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ustpilot_Full Review" sheetId="1" r:id="rId4"/>
    <sheet state="visible" name="Sentiment_Words" sheetId="2" r:id="rId5"/>
    <sheet state="visible" name="top complaint from negative" sheetId="3" r:id="rId6"/>
    <sheet state="visible" name="repeat vs one-time" sheetId="4" r:id="rId7"/>
    <sheet state="visible" name="repeating users over negative" sheetId="5" r:id="rId8"/>
    <sheet state="visible" name="repeat + negative" sheetId="6" r:id="rId9"/>
  </sheets>
  <definedNames>
    <definedName hidden="1" localSheetId="0" name="_xlnm._FilterDatabase">'Trustpilot_Full Review'!$A$1:$BU$3728</definedName>
  </definedNames>
  <calcPr/>
  <pivotCaches>
    <pivotCache cacheId="0" r:id="rId10"/>
    <pivotCache cacheId="1" r:id="rId11"/>
    <pivotCache cacheId="2" r:id="rId12"/>
  </pivotCaches>
</workbook>
</file>

<file path=xl/sharedStrings.xml><?xml version="1.0" encoding="utf-8"?>
<sst xmlns="http://schemas.openxmlformats.org/spreadsheetml/2006/main" count="15185" uniqueCount="10428">
  <si>
    <t>org name</t>
  </si>
  <si>
    <t>reviewer</t>
  </si>
  <si>
    <t>experience date</t>
  </si>
  <si>
    <t>review date</t>
  </si>
  <si>
    <t>head line</t>
  </si>
  <si>
    <t>full review</t>
  </si>
  <si>
    <t>clean_review</t>
  </si>
  <si>
    <t>processes_review</t>
  </si>
  <si>
    <t>word_count</t>
  </si>
  <si>
    <t>positive_count</t>
  </si>
  <si>
    <t>negative_count</t>
  </si>
  <si>
    <t>sentiment_theme</t>
  </si>
  <si>
    <t>sentiment</t>
  </si>
  <si>
    <t>reviewer_cleaned</t>
  </si>
  <si>
    <t>review_count</t>
  </si>
  <si>
    <t>repeat_reviewer</t>
  </si>
  <si>
    <t>PetFlow</t>
  </si>
  <si>
    <t>George Romer</t>
  </si>
  <si>
    <t>14 hours ago</t>
  </si>
  <si>
    <t>Value added online retailer</t>
  </si>
  <si>
    <t>I shopped the product, Milk Bone Pill Pouches for several weeks. Our dog is on Holistic Herbal supplements and dosing requires about five pouches a day. PetFlow, hands down, is a best price retailer for my target product. Great value for consumer. Customer service is prompt, courteous and efficient.</t>
  </si>
  <si>
    <t>DEBORAH HELFER</t>
  </si>
  <si>
    <t>11 hours ago</t>
  </si>
  <si>
    <t>Arm and Hammer litter</t>
  </si>
  <si>
    <t>Arm and Hammer litter, is dust free, clumping/seal, which is difficult to find. I used to wear a mask handling other litter, not necessary now and no smell. I have it on auto ship, which makes it convenient and it is $7.00 less expensive than buying in store.</t>
  </si>
  <si>
    <t>Sam Walker</t>
  </si>
  <si>
    <t>5 hours ago</t>
  </si>
  <si>
    <t>I have been with them since 2013 and my…</t>
  </si>
  <si>
    <t>I have been with them since 2013 and my orders are on time. When there was a delay during COVID they were sending out notices and updates. I had an issue with my fed EX people taking my dog food. The company immediately send another order out to me. They are wonderful and always responds to me.</t>
  </si>
  <si>
    <t>Janie</t>
  </si>
  <si>
    <t>A day ago</t>
  </si>
  <si>
    <t>In Stock at PetFlow !</t>
  </si>
  <si>
    <t>PetFlow was able to ship an important dog food product that was not available from other on-line merchants. It was frustrating contacting the usual sources until PetFlow showed up on a browser search. We had not heard of PetFlow before; we will not forget them !</t>
  </si>
  <si>
    <t>VANESSA HOWARD</t>
  </si>
  <si>
    <t>6 hours ago</t>
  </si>
  <si>
    <t>I received a damaged pet food bag and…</t>
  </si>
  <si>
    <t>I received a damaged pet food bag and the customer service people were so responsive and wonderful. I received a replacement bag immediately! I always prefer PetFlow because your shipping is always professional with no loose food or mess. I always promote you to my pet friends! Thank you.</t>
  </si>
  <si>
    <t>Judith l Williams</t>
  </si>
  <si>
    <t>12 hours ago</t>
  </si>
  <si>
    <t>This is the second time I have received…</t>
  </si>
  <si>
    <t>This is the second time I have received rancid dog food from this company, The first time they finally answered my email and said they would re-send the order. They resent the order and 1 item was wrong . They then ignored my email and didn't respond to my phone call.
As of right now they are ignoring my second email about rancid food.</t>
  </si>
  <si>
    <t>Nan R.</t>
  </si>
  <si>
    <t>3 days ago</t>
  </si>
  <si>
    <t>The company was very responsive to…</t>
  </si>
  <si>
    <t>The company was very responsive to problems I had manoeuvering their site. The shipping was well within reasonable expectations.
My only issue has to do with the site not being easy for me actually 'maze-like' in its degree of difficulty. I wish it would be more customer friendly for people like me who are not accustomed to not being able to 'just go to the page I need' without all the precision points having to be passed to get there.
The selection of goods for a smaller company is impressive and prices are very competitive with other larger companies.</t>
  </si>
  <si>
    <t>dave minnich</t>
  </si>
  <si>
    <t>15 hours ago</t>
  </si>
  <si>
    <t>Ordered dog food and 5 days later no…</t>
  </si>
  <si>
    <t>Ordered dog food and 5 days later no shipment no contact. Have to call to cancel order and delete your payment method. Pretty much a fake joke site.</t>
  </si>
  <si>
    <t>Cynde S R</t>
  </si>
  <si>
    <t>4 days ago</t>
  </si>
  <si>
    <t>The people there if contacted go up and…</t>
  </si>
  <si>
    <t>The people there if contacted go up and beyond to answer questions and help. Orders are processed in record time and shipped out fast.
Very happy with the switch over to using them . Very satisfied customer</t>
  </si>
  <si>
    <t>CATHERINE NOCELLA</t>
  </si>
  <si>
    <t>Great Service</t>
  </si>
  <si>
    <t>This was my first purchase from Petflow and I am impressed. First when I set up my my new account I had issues with logging in. I received the email with the 6 digit security code but when I used the link to use it I wasn’t sent to the page to enter. After multiple try’s I gave up. Monday morning Petflow contacted me about my problem with an apology and a solution. Great customer service. My order shipped quickly and received on time</t>
  </si>
  <si>
    <t>customer</t>
  </si>
  <si>
    <t>7 days ago</t>
  </si>
  <si>
    <t>First-time customer</t>
  </si>
  <si>
    <t>First-time customer, I ordered canned cat food because of the good price. Free shipping--good! Timely delivery--good.
However, the packaging was terrible both boxes split open and from one box 3 cans had popped open spilling liquid throughout. Three other cans were so badly dented that I couldn't trust that the product was not tainted. Thus one-fifth of the 32 cans were unusable and had to be discarded. So much for the good price!</t>
  </si>
  <si>
    <t>M. K. MULLENBACH</t>
  </si>
  <si>
    <t>Great value and fast delivery!</t>
  </si>
  <si>
    <t>I've discovered PetFlow because I searched for the best value I could find for bully sticks for my dogs. I've been really happy with my purchases and will look to them for other pet supplies in the future.</t>
  </si>
  <si>
    <t>Julie B.</t>
  </si>
  <si>
    <t>Good product</t>
  </si>
  <si>
    <t>Good product, but it would have been easier if these 2 bags were boxed separately. Being a little old lady, it's hard to manage both of them together, but it's all good.</t>
  </si>
  <si>
    <t>Anne</t>
  </si>
  <si>
    <t>1 days ago</t>
  </si>
  <si>
    <t>I have had a great experience with…</t>
  </si>
  <si>
    <t>I have had a great experience with Petflow. They carry Fromm dog food which can be hard to find. Good prices. The website is easy to use and I can adjust the date of my subscription as needed.</t>
  </si>
  <si>
    <t>Joe P Chavez</t>
  </si>
  <si>
    <t>I had to change my password the past…</t>
  </si>
  <si>
    <t>I had to change my password the past three times I attempted to place an order. Everytime I ended up having to call customer service to place the order. When I tried to tell the agent what was happening with the order app, I kept getting replies that basically called me a liar for what was happening. There are so many other options to buy pet supplies it makes this experience not worth the trouble.</t>
  </si>
  <si>
    <t>Josh</t>
  </si>
  <si>
    <t>2 days ago</t>
  </si>
  <si>
    <t>I was surprised to be able to talk to…</t>
  </si>
  <si>
    <t>I was surprised to be able to talk to an actual person whenever I called for support. One of the few places I can buy the best food for my dog.</t>
  </si>
  <si>
    <t>Gary</t>
  </si>
  <si>
    <t>Fromm artisan quality</t>
  </si>
  <si>
    <t>Quality Fromm dog food and treats that can not be found on other sites. Exceptional service.</t>
  </si>
  <si>
    <t>Ann</t>
  </si>
  <si>
    <t>Good service</t>
  </si>
  <si>
    <t>I placed a large order (my 2nd one). Petflow was running a good special. Unfortunately, they had some internet issues which delayed my order. However, it arrived fairly quickly giving the issues. One of the dry food bags had a puncture hole in it. When I spoke to a representative, she did not hesitate in telling me a replacement bag would be sent out. I spoke to her on Saturday. I received an email on Monday that the new bag was being sent. That was good customer service.</t>
  </si>
  <si>
    <t>KEN L.</t>
  </si>
  <si>
    <t>Good experience</t>
  </si>
  <si>
    <t>The shipping is usually pretty fast, which is much appreciated. There seems to be an issue with using my credit card on the PetFlow page but now I just use PayPal and that seems to work out fine.</t>
  </si>
  <si>
    <t>Theresa Patzke Guiver</t>
  </si>
  <si>
    <t>One of the best things I love besides…</t>
  </si>
  <si>
    <t>One of the best things I love besides the great pet product selection is how PetFlow ships orders. If something heavy is being shipped with something that can easily be crushed, there is a U shaped piece of cardboard inserted in the box to create a protective space for the easily crushed items. Way to go PetFlow. I highly recommend Petflow for the products and care of those products in shipping.</t>
  </si>
  <si>
    <t>Linda Lee</t>
  </si>
  <si>
    <t>Helpful</t>
  </si>
  <si>
    <t>Had a technical problem with my account and had to call for help. Your rep was very helpful and got the food ordered and delivered quickly.</t>
  </si>
  <si>
    <t>Barbara Tierney</t>
  </si>
  <si>
    <t>Really pleasant</t>
  </si>
  <si>
    <t>Really pleasant, helpful people on the phones. Lowest price by far of any. Fast n free shipping. Great experience.</t>
  </si>
  <si>
    <t>Daniel Faflik</t>
  </si>
  <si>
    <t>Horrible online ordering experience</t>
  </si>
  <si>
    <t>I have used pet flow in the past many years ago with success and don’t remember having the same issues I’ve had recently when I started using there company again. A dog food called Rockster which is produced in Europe and only sold via a couple store fronts and petflow where I live forces me to either drive about an hour to the closest store or using petflow.
Since starting back up using petflow I’ve run into many at least 5-6 issues finalizing orders. I’ve set up my profile entered my payment information and updated where needed.
I have had numerous orders canceled on me with 0 notifications being sent to my email on file so by the time 1 week 2 weeks go by I realize I didn’t receive my order.
This then prompts me to go into my petflow account just to realize the order was canceled even though the payment method is GOOD and my personal info all CORRECT.
I have no idea what the problem is now but years ago I don’t remember having a single issue ordering from this company.</t>
  </si>
  <si>
    <t>Eduardo</t>
  </si>
  <si>
    <t>5 days ago</t>
  </si>
  <si>
    <t>My first experience was terrible</t>
  </si>
  <si>
    <t>My first experience was terrible. I placed an order on May 8th, and on May 10th it was not even being processed. I cancelled it, placed an order in Chewy.com and got it at the same day.
I will not use PetFlow anymore.</t>
  </si>
  <si>
    <t>Packoffour</t>
  </si>
  <si>
    <t>Cannot cancel an auto ship online</t>
  </si>
  <si>
    <t>Cannot cancel an auto ship online. Cannot update expired credit card on auto ship online. Had to call, nobody available until 9 am eastern. Finally pause auto ship and place new order. Do not ever set up any auto ship.</t>
  </si>
  <si>
    <t>Mel</t>
  </si>
  <si>
    <t>First transaction great, downhill after that…</t>
  </si>
  <si>
    <t>First transaction and auto ship went well. Cheaper than Chewy and all downhill after that. Cant log into account to change or cancel autoship, tried password reset never get the e-mail and checked junk e-mail as well. Contact support ok we’ll send you a password reset email. Umm could have swore I just told you I don't get them even though I get the help replies. Shipped the autoship, didn’t have funds which was why I needed the autoship changed, caused havoc with the bank. Thank goodness I used paypal as I went and cancelled the autopay through them. Still no help getting into account. Im headed back to Chewy where I always get my food, they have great customer service and never have a problem accessing my account. Guess that is what I get for trying to save money.</t>
  </si>
  <si>
    <t>NANCY MADIGAN</t>
  </si>
  <si>
    <t>Updated 16 hours ago</t>
  </si>
  <si>
    <t>I placed an order on May 10th-updates…</t>
  </si>
  <si>
    <t>I placed an order on May 10th-updates and tracking with fedex did not occur past the second day and ultimately an agent ordered a replacement order on May 17...on May 24th the shipment was on a truck for delivery but did not arrive...the site still said it would be delivered by end of day ...(they never do deliver to Sahd's after about 3 pm) Your customer service agents generally try to be helpful with the amount of authority they have but do not seem to have any way of influencing fedex . They usually give you (the customer) the same read fedex is showing on the tracking update....Speaking to a supervisor takes "24-48" hours and really is unsatisfactory in view of the fact an order has taken two weeks (and two orders!) and still is not delivered. Most companies have more readily available access to a supervisor when needed or they change delivery options for a replacement order....this would certainly improve customer satisfaction ratings, one would think...I have been a customer with your company for a number of years and would like to see you succeed...I really think having a tighter rein on fedex or changing carrier options would solve a lot of issues. Just a note...the lower case fedex is because they aren't dependable.... I know fedex issues/problems have been before you consistently over time - but are you going to do anything about them - to support the customer ? Or continue the status quo...One fresh food pet company I recently spoke with told me they had a number of issues with fedex and no longer have a primary contract with them although they do offer fedex as a carrier if a customer requests it....These are signs a business is serious about customer satisfaction ( and are running with notable standards of operation)...This is an example of just one of many delayed shipment orders I have experienced... I give this experience 2 stars because the agents are really trying to get my order here...the third replacement has been ordered as the second one is in limbo(?)...Sincerely hoping for change... Nancy</t>
  </si>
  <si>
    <t>DAVID J</t>
  </si>
  <si>
    <t>I just discovered petflow</t>
  </si>
  <si>
    <t>I just discovered petflow. Great selection. Prices just like or better than the online retailer named after a jungle. I usually get my order in 2 days using standard shipping. Will continue shopping here.</t>
  </si>
  <si>
    <t>Kimberly</t>
  </si>
  <si>
    <t>4 hours ago</t>
  </si>
  <si>
    <t>The items I ordered were exactly what I…</t>
  </si>
  <si>
    <t>The items I ordered were exactly what I wanted and they were delivered in a timely manner.</t>
  </si>
  <si>
    <t>MELINDA JEWART</t>
  </si>
  <si>
    <t>Very dissatisfied</t>
  </si>
  <si>
    <t>My delivery was very delayed and then showed up even a day later than it was supposed to. Very dissatisfied with this past order. Petflow wouldn’t even offer to expedite the shipping even though the delay was on their end. Didn’t even offed a discount for a future order.</t>
  </si>
  <si>
    <t>Gracie Wierbinski</t>
  </si>
  <si>
    <t>When was important to me was how quick they checked. They told me that he was out of stock and various things but it is difficult to get this particular trees that I would like to have soon.</t>
  </si>
  <si>
    <t>When I called to order anything the customer service representatives that represent your company they are so so nice and very knowledgeable and Just I just love them they’re great.</t>
  </si>
  <si>
    <t>Vicki</t>
  </si>
  <si>
    <t>FedEx delivery date inaccurate</t>
  </si>
  <si>
    <t>The product ordered needed to be shipped from a further destination. FedEx gave an arrival date of Monday, May 8 then changed their arrival date to Sunday , May 7. It actually arrived on Tuesday May 9. I had to go to the store to buy some dry food to see me through to Tuesday.</t>
  </si>
  <si>
    <t>LINDA W. Oviedo, FL</t>
  </si>
  <si>
    <t>Great service!</t>
  </si>
  <si>
    <t>We purchased canned dog food from Petflow. Their prices were the lowest we were able to find as this brand was hard to find elsewhere. Ordering was very easy and shipping was quick and flawless. We will continue to purchase from Petflow.</t>
  </si>
  <si>
    <t>RENEE FRANK</t>
  </si>
  <si>
    <t>Petflow is the only place I can find…</t>
  </si>
  <si>
    <t>Petflow is the only place I can find Fromm dog food. Their prices are reasonable and they ship quickly.</t>
  </si>
  <si>
    <t>PATRICIA CONNORS</t>
  </si>
  <si>
    <t>It was able to order easily</t>
  </si>
  <si>
    <t>It was able to order easily, delivery was prompt and the products had good variety.</t>
  </si>
  <si>
    <t>MARIA M</t>
  </si>
  <si>
    <t>Excellent price</t>
  </si>
  <si>
    <t>I find the best price on my preferred cat food at PetFlow. Everything is also packaged neatly and arrived in perfect shape PetFlow has been great. The only criticism would be that it took nearly a week to receive the order, but now I factor this in when I place an order. I'll absolutely be ordering from PetFlow again. :)</t>
  </si>
  <si>
    <t>Jack Hammer - The Electric Radio Show</t>
  </si>
  <si>
    <t>My New "Go To" Online!</t>
  </si>
  <si>
    <t>I have shopped at a couple of different online pet sites, only to be disappointed and frustrated. When I found PetFlow, to say the least, I was skeptical. But to my surprise, PetFlow came through As Promised! Not only did they process my order quickly, it was shipped just as fast. I have signed up for their email and text offers as well. PetFlow, hands down, is my NEW online source for my dog. Thank you, PetFlow!</t>
  </si>
  <si>
    <t>CAROL GANSER</t>
  </si>
  <si>
    <t>The items were received in a timely…</t>
  </si>
  <si>
    <t>The items were received in a timely manner and were packaged well. The descriptions on your website were accurate and very detailed. This was very helpful.</t>
  </si>
  <si>
    <t>K JOHNSON</t>
  </si>
  <si>
    <t>Best selections, fast shipping, and best prices!</t>
  </si>
  <si>
    <t>I love your fast shipping, and the fact that you use boxes that are strong enough to hold the contents! You carry the bags of Dr. Kelsey’s kitty litter instead of the new 20 lb boxes. The boxes are too heavy for me, but I can handle the 18 pound bags. Your prices are the best!</t>
  </si>
  <si>
    <t>CAROL COLE</t>
  </si>
  <si>
    <t>6 days ago</t>
  </si>
  <si>
    <t>I had a very friendly young lady help…</t>
  </si>
  <si>
    <t>I had a very friendly young lady help me order my cat food. Her name is Savannah. It was a pleasure having her help me today.
Today is 5-19-23. At the bottom of this page, for some unknown reason, someone chose to type in the date as May 8, 2023. NOT SO !</t>
  </si>
  <si>
    <t>KAREN CLARK</t>
  </si>
  <si>
    <t>The customer service is outstanding</t>
  </si>
  <si>
    <t>The customer service is outstanding - always kind, helpful, courteous and professional. PetFlow often has special discounts I've applied to my purchases, and can be counted on to have the special brand and flavor of dog food my (admittedly spoiled princess) dog eats when I can't find it anywhere else.</t>
  </si>
  <si>
    <t>Tammmy Mackai</t>
  </si>
  <si>
    <t>This is the second time that I’ve been…</t>
  </si>
  <si>
    <t>This is the second time that I’ve been sent, two shipments, the system said I needed to update my credit card, I did and then it was double charged and foible shipped</t>
  </si>
  <si>
    <t>PATRICK LITTERER</t>
  </si>
  <si>
    <t>There was an issue with shipping and…</t>
  </si>
  <si>
    <t>There was an issue with shipping and the Petflow team resolved it within hours. I've been a customer of Petflow for several years and they always come through for my kiddos and me. Thank you.</t>
  </si>
  <si>
    <t>Tactical Ant</t>
  </si>
  <si>
    <t>I had an issue with shipping damage</t>
  </si>
  <si>
    <t>I had an issue with shipping damage, they fixed the problem right away. A+</t>
  </si>
  <si>
    <t>CeCe Moore</t>
  </si>
  <si>
    <t>I placed my order on the 3rd of May</t>
  </si>
  <si>
    <t>I placed my order on the 3rd of May. After a number of phone calls, my order hadn’t been shipped. On the 7th of May I asked for my money to be refunded. I more than understand the business is small. My account stated that my order was shipped on the 3rd. When in actuality it never shipped at all. I’ll try them another time. Because I can’t wait a week for and order to be shipped. Very bad first time experience! I hope when I order the next time it won’t be!</t>
  </si>
  <si>
    <t>DIANE L</t>
  </si>
  <si>
    <t>Just discovered this company</t>
  </si>
  <si>
    <t>Just discovered this company. Great price super fast shipping. Will definitely be back. Highly recommend</t>
  </si>
  <si>
    <t>DEBRA ZBOROWSKI</t>
  </si>
  <si>
    <t>PetFlow has always been great with…</t>
  </si>
  <si>
    <t>PetFlow has always been great with wonderful customer service support. My only issue is that they don’t protect their canned food deliveries very well and I always end up with a few dented cans. They do offer to make it right, I just wish it wasn’t every time.</t>
  </si>
  <si>
    <t>Ana Arellano</t>
  </si>
  <si>
    <t>My order arrived later than expected…</t>
  </si>
  <si>
    <t>My order arrived later than expected and some of the items were damaged, leading to a frustrating return process! PetFlow has its pros and cons, and I would advise potential customers to weigh them carefully before making a purchase.</t>
  </si>
  <si>
    <t>NANCY VALETT</t>
  </si>
  <si>
    <t>The Person was very kind</t>
  </si>
  <si>
    <t>The Person was very kind, but as soon as I hung up the phone, my order was delivered. It seems to me she should have been able to tell it was shipped. I never received an email stating my order was shipped</t>
  </si>
  <si>
    <t>B Stroup</t>
  </si>
  <si>
    <t>Great prices</t>
  </si>
  <si>
    <t>Great prices, great customer service, and really fast delivery!</t>
  </si>
  <si>
    <t>VIRGINIA DUNK</t>
  </si>
  <si>
    <t>We can count on Pet Flow delivery…</t>
  </si>
  <si>
    <t>We can count on PetFlow delivery on-time with AutoShip. Like this easy way ordering my dogs food.</t>
  </si>
  <si>
    <t>STEVEN SELTZER</t>
  </si>
  <si>
    <t>Very good prices and the product…</t>
  </si>
  <si>
    <t>Very good prices and the product arrived in about a week. We are perhaps spoiled by next day - two day delivery but thankfully I had anticipated running out of dog food!</t>
  </si>
  <si>
    <t>Natalie</t>
  </si>
  <si>
    <t>Great customer service</t>
  </si>
  <si>
    <t>Great customer service. Whoever I speak with always helps me with my issue.</t>
  </si>
  <si>
    <t>JOYCE</t>
  </si>
  <si>
    <t>Great product!</t>
  </si>
  <si>
    <t>Nice, quality collar with a quick release snap. I love this beautiful blue collar and matching leash. Petflow is the best!</t>
  </si>
  <si>
    <t>JK</t>
  </si>
  <si>
    <t>Discount mysteriously disappeared</t>
  </si>
  <si>
    <t>I arrived at site via a link that promised a discount. Discount appeared on checkout page and I checked out with the discount applied. However, discount was not included in final billing, so I feel I was cheated.</t>
  </si>
  <si>
    <t>Donna Beckner</t>
  </si>
  <si>
    <t>You bet everyone elses prices</t>
  </si>
  <si>
    <t>You bet everyone elses prices, your delivery was great and the order was correct!!</t>
  </si>
  <si>
    <t>DAWN DOWLING</t>
  </si>
  <si>
    <t>The web site is difficult to navigate</t>
  </si>
  <si>
    <t>The web site is difficult to navigate. It takes several attempts to order a bag of dog food</t>
  </si>
  <si>
    <t>WB</t>
  </si>
  <si>
    <t>Petflow had the dog food product I was…</t>
  </si>
  <si>
    <t>Petflow had the dog food product I was looking for. I had spent a long time searching other various web sites and not having any luck. Petflow was very good with communications and the shipping/delivery of my order. Very excited to find them!!</t>
  </si>
  <si>
    <t>WILLIAM CARDONA</t>
  </si>
  <si>
    <t>Poor customer service!!!</t>
  </si>
  <si>
    <t>To start, the order did not go through after 4 attempts using my debit card, to the point of me being highly suspicious about a scam. It was not until I called the phone number, because the rep in the chat and the text were dismissal, that I was notified there was a problem with the company's system not processing cards. I did order through PayPal, just to receive one case of food and not two as ordered. I was not notified until I made another query that the warehouse ran out of what I ordered and they have to get it from another. So, if customers don't ask, we are not informed but be left into limbo. Customers like me do no need apologies, what we need is for companies to act proactive and aware of what real marketing is.</t>
  </si>
  <si>
    <t>DIANNE WILEY</t>
  </si>
  <si>
    <t>3 days since I placed my order online</t>
  </si>
  <si>
    <t>3 days since I placed my order online. Called to verify that my order was coming from the NJ warehouse. I'm in NJ about an hr away from the warehouse. I still don't even have a comfirmation that my order has even shipped.</t>
  </si>
  <si>
    <t>Laura Shigemitsu</t>
  </si>
  <si>
    <t>Snarky customer service</t>
  </si>
  <si>
    <t>They canceled an order without telling me, and when I sent an email asking what happened, the response was a little on the snarky side. I asked a follow up question and never received a reply. I thought I'd try this out, but it's not worththe headache and rudeness. I'll never stray from Chewy again.</t>
  </si>
  <si>
    <t>CARA MOORE</t>
  </si>
  <si>
    <t>Shipping took way longer than Chewy's…</t>
  </si>
  <si>
    <t>Shipping took way longer than Chewy's and the box that FedEx eventually delivered was in horrible shape.</t>
  </si>
  <si>
    <t>Linda</t>
  </si>
  <si>
    <t>my credit card is always getting…</t>
  </si>
  <si>
    <t>my credit card is always getting flagged for fraud with this site. Site itself has good selection with great prices, but if I want to continue using it I have to make a Paypal acct.</t>
  </si>
  <si>
    <t>Monti</t>
  </si>
  <si>
    <t>The price was right</t>
  </si>
  <si>
    <t>The price was right, time to receive the product was fast. Only issue was the packaging- 11lbs of cat food and 38 lbs littler in a box that could not handle the weight- The cat littler box broke open and we had little everywhere.</t>
  </si>
  <si>
    <t>CHARLENE GIORADNO</t>
  </si>
  <si>
    <t>All items arrived within a few days…</t>
  </si>
  <si>
    <t>All items arrived within a few days well packed.
Ordered dog food and was a bit worried about possibly getting a short expiration date.
The food had an expiration date of over a year.
Very pleased.</t>
  </si>
  <si>
    <t>MARIA PERRONE</t>
  </si>
  <si>
    <t>Not very Satisfied</t>
  </si>
  <si>
    <t>Did not like how mostly everything I looked for was out of stock.
Did not like how I was charged an extra $5.00 and not told prior. My order came from a different warehouse and so I was charged differently. This should not have been my fault, I should’ve only paid what I originally was charged and agreed to.</t>
  </si>
  <si>
    <t>Sue</t>
  </si>
  <si>
    <t>Room to improve</t>
  </si>
  <si>
    <t>I called to ask a few questions and the rep could not answer anything. Luckily, I called back and got a rep who could. Basic questions. Also once when I was a prior customer and then with my last order I called for assistance and was assured my issues would be handled. They weren’t. I would rather be told it can’t be done than be told it will be handled and it is not.</t>
  </si>
  <si>
    <t>LARRY HOGUE</t>
  </si>
  <si>
    <t>I have had two auto shipments of dog…</t>
  </si>
  <si>
    <t>I have had two auto shipments of dog food messed up in less than 4 months . First of all I do auto ship with you . I order 2 bags of Victor Nutrapro every 10 -13 weeks . My first problem was an order of two bags sent to me , one was not in a box and was taped shut where it had been ripped open , half the bag of food was gone , the other box was crushed and resulted in crushed granular dog food . You did replace it and for that I was grateful as I understood , hopefully this happened during shipping and not during shipment . Second I had an auto ship that was supposed to go out April 25 , I had time food to be available as I was running out … the shipment status said shipped , however the tracking number continued to show waiting for carrier . If I had not followed up with a call I wouldn’t have received my food , the shipment was resent May 1 … I had to go to Petco and buy dog food to cover gap . My suggestion is tighten up on your shipping process and accountability and internal tracking … you should have notified me of a shipping issue not vice versa . I still use your company and will unless this begins a trend .
Regards
Larry</t>
  </si>
  <si>
    <t>rired</t>
  </si>
  <si>
    <t>The shipping was by slow boat</t>
  </si>
  <si>
    <t>The shipping was by slow boat. Very disappointed in that.</t>
  </si>
  <si>
    <t>KC Jenkins</t>
  </si>
  <si>
    <t>Always fair price and prompt shipping…</t>
  </si>
  <si>
    <t>Always fair price and prompt shipping and great products choices.</t>
  </si>
  <si>
    <t>SUSAN ANDERSON</t>
  </si>
  <si>
    <t>It was very helpful to have that…</t>
  </si>
  <si>
    <t>It was very helpful to have that special with $75 off of $250 purchase. It’s hard for me as a senior on a fixed income.</t>
  </si>
  <si>
    <t>Deanna F</t>
  </si>
  <si>
    <t>Great Place to Shop</t>
  </si>
  <si>
    <t>Easy transaction, good selection, good prices, quick shipment.</t>
  </si>
  <si>
    <t>ALLISON CRYER</t>
  </si>
  <si>
    <t>The shipping is literally always late</t>
  </si>
  <si>
    <t>The shipping is literally always late. I know that is out of your control but it would be worth talking to fed ex about it. Im sure you are losing return business.</t>
  </si>
  <si>
    <t>Lisa</t>
  </si>
  <si>
    <t>Quick delivery of a hard-to-find…</t>
  </si>
  <si>
    <t>Quick delivery of a hard-to-find product my dog loves.</t>
  </si>
  <si>
    <t>Barb' Bichons</t>
  </si>
  <si>
    <t>Use Google incognito</t>
  </si>
  <si>
    <t>Petflow has good prices if you have
coupon codes and use Google Incognito.</t>
  </si>
  <si>
    <t>NIKKI PARSON</t>
  </si>
  <si>
    <t>I ordered a case of 12 cans of dog…</t>
  </si>
  <si>
    <t>I ordered a case of 12 cans of dog food. When it came, 10/12 cans were severely dented. I called the company and they did send out a new case very quickly. When the new set of 12 came. 2 were damaged and unusable. This isn’t cheap dog food. The packaging/shrink wrapping wasn’t messed up. So I’m not sure how these cans are getting so messed up.
Company has great customer service. But the product keeps coming damaged so that’s frustrating.</t>
  </si>
  <si>
    <t>Alex G</t>
  </si>
  <si>
    <t>Great Prices and Quick Delkivery and Customer Service</t>
  </si>
  <si>
    <t>Online ordering is easy; product selection is great; delivery is fast; good customer service to boot!</t>
  </si>
  <si>
    <t>LINDA CROSTIC</t>
  </si>
  <si>
    <t>We needed dog food ASAP so Petflow to…</t>
  </si>
  <si>
    <t>We needed dog food ASAP so Petflow to the rescue. Plus their subscription program gets food to us on time without having to wait to order. We love it!</t>
  </si>
  <si>
    <t>CHRISTINE FLOWERS</t>
  </si>
  <si>
    <t>Easy to order and delivered in a timely…</t>
  </si>
  <si>
    <t>Easy to order and delivered in a timely matter. And when I had a problem with a delivery as crushed cans or a torn bag of dry dog food, it was taken care of.</t>
  </si>
  <si>
    <t>BAILLEE</t>
  </si>
  <si>
    <t>Excellent experience</t>
  </si>
  <si>
    <t>Sure is easy to navigate and the experience was quick. They have good deals, I'll definitely be back &amp; recommend to others.</t>
  </si>
  <si>
    <t>Paul</t>
  </si>
  <si>
    <t>Good prices and selections and fast…</t>
  </si>
  <si>
    <t>Good prices and selections and fast delivery.</t>
  </si>
  <si>
    <t>LINDA CONVERSA</t>
  </si>
  <si>
    <t>I made a mistake on my order and…</t>
  </si>
  <si>
    <t>I made a mistake on my order and customer service immediately corrected it for me.</t>
  </si>
  <si>
    <t>DONNA QUANTE</t>
  </si>
  <si>
    <t>Always willing to put up with my…</t>
  </si>
  <si>
    <t>Always willing to put up with my constant changes.</t>
  </si>
  <si>
    <t>Deb.</t>
  </si>
  <si>
    <t>Never [dis]dissappointed</t>
  </si>
  <si>
    <t>Accurate &amp; timely. I depend on them every month.</t>
  </si>
  <si>
    <t>AMANDA GARNER</t>
  </si>
  <si>
    <t>Shipped from Nevada to Ohio then back…</t>
  </si>
  <si>
    <t>Shipped from Nevada to Ohio then back to California. It took 10 days to get the food</t>
  </si>
  <si>
    <t>RUTH</t>
  </si>
  <si>
    <t>I love the connivence of having my…</t>
  </si>
  <si>
    <t>I love the connivence of having my dog's food delivered directly to my home. It is so easy to have auto ship. If I want to choose additional products, I just go on line.</t>
  </si>
  <si>
    <t>DEBBIE TRIGG</t>
  </si>
  <si>
    <t>Great customer service. Love your sales! I order the litter and use the pharmacy. Great products.</t>
  </si>
  <si>
    <t>OLshopper</t>
  </si>
  <si>
    <t>Great customer support!</t>
  </si>
  <si>
    <t>Very helpful and friendly support staff and reliable shipping.</t>
  </si>
  <si>
    <t>Nicole Tabbert</t>
  </si>
  <si>
    <t>Prices are awesome and super fast…</t>
  </si>
  <si>
    <t>Prices are awesome and super fast shipping</t>
  </si>
  <si>
    <t>ANIA LOVELESS</t>
  </si>
  <si>
    <t>YES!</t>
  </si>
  <si>
    <t>I love the selection of products offered. My dogs loved the treats they received. The prices are amazing.</t>
  </si>
  <si>
    <t>LARRY THOMPSON</t>
  </si>
  <si>
    <t>Everything was great as always,very…</t>
  </si>
  <si>
    <t>Everything was great as always,very courteous and helpful.</t>
  </si>
  <si>
    <t>TOM KULPINSKI</t>
  </si>
  <si>
    <t>Extremely fast processing and delivery</t>
  </si>
  <si>
    <t>Extremely fast processing and delivery. I placed my order night time, April 17. Food for my dog left at my door April 20, 2:00 pm. Truly, Greyhound speed. Thank you, Perflow</t>
  </si>
  <si>
    <t>KAREN SALAY</t>
  </si>
  <si>
    <t>I did not get my dog food</t>
  </si>
  <si>
    <t>I did not get my dog food. I asked Fed Ex about it and it is lost. I got the cat food and the litter but not the dog food.
Can you resend it.</t>
  </si>
  <si>
    <t>Yadi govea</t>
  </si>
  <si>
    <t>I love pet flow</t>
  </si>
  <si>
    <t>I love pet flow, the toys are always the best quality and have a lot of options! Great service</t>
  </si>
  <si>
    <t>AUDREY SCRUGGS</t>
  </si>
  <si>
    <t>I bought large bags of Open Farm food…</t>
  </si>
  <si>
    <t>I bought large bags of Open Farm food from you but now you only sell the small bags</t>
  </si>
  <si>
    <t>COLLEEN THOMPSON</t>
  </si>
  <si>
    <t>I love this food for my schipperke</t>
  </si>
  <si>
    <t>I love this food for my schipperke. It has great ingredients and delivery is very fast. I would and have recommend Fromm's to friends.</t>
  </si>
  <si>
    <t>DONNA LA ROCCO</t>
  </si>
  <si>
    <t>easy to work with and fast delivery time</t>
  </si>
  <si>
    <t>Websites very easy to use, product arrived promptly, product arrived in great shape, and product that arrived was exactly what was ordered. No complaints!</t>
  </si>
  <si>
    <t>Aussie Lover</t>
  </si>
  <si>
    <t>Great products and service!</t>
  </si>
  <si>
    <t>Reasonably priced Fromm dry dog food
Easy website to browse and place an order and shipping was on time
Will order from this site again</t>
  </si>
  <si>
    <t>Elyse</t>
  </si>
  <si>
    <t>Reasonably priced Fromm dry dog food</t>
  </si>
  <si>
    <t>Petflow had the product I needed, would rate a 5 star but the product took an excessive time to ship and recieve.</t>
  </si>
  <si>
    <t>ARMANDO LOPEZ</t>
  </si>
  <si>
    <t>Petflow had the product I needed</t>
  </si>
  <si>
    <t>None</t>
  </si>
  <si>
    <t>Quick</t>
  </si>
  <si>
    <t>Quick
Easy
Kept you informed
Open communication</t>
  </si>
  <si>
    <t>Julio Rodriguez</t>
  </si>
  <si>
    <t>A very smooth and seamless process to…</t>
  </si>
  <si>
    <t>A very smooth and seamless process to secure my spot in the breeder’s upcoming litter.</t>
  </si>
  <si>
    <t>HELAINE DIETZ</t>
  </si>
  <si>
    <t>Easy to order and I received the…</t>
  </si>
  <si>
    <t>Easy to order and I received the correct shipment.</t>
  </si>
  <si>
    <t>Lex</t>
  </si>
  <si>
    <t>Hard to find dog food at a good price…</t>
  </si>
  <si>
    <t>Hard to find dog food at a good price e, quick free shipping.</t>
  </si>
  <si>
    <t>Bessie</t>
  </si>
  <si>
    <t>Easy to order --wide variety of product…</t>
  </si>
  <si>
    <t>Easy to order --wide variety of product choices and great prices!!!</t>
  </si>
  <si>
    <t>Vickie</t>
  </si>
  <si>
    <t>A Good Experience</t>
  </si>
  <si>
    <t>The ordering was easy, the delivery was fast, and I found what I wanted.</t>
  </si>
  <si>
    <t>Kelly</t>
  </si>
  <si>
    <t>Can't beat the prices!</t>
  </si>
  <si>
    <t>Can't beat the prices &amp; very convenient service!</t>
  </si>
  <si>
    <t>MEL</t>
  </si>
  <si>
    <t>Great prices and loved the free…</t>
  </si>
  <si>
    <t>Great prices and loved the free shipping!</t>
  </si>
  <si>
    <t>Dave B</t>
  </si>
  <si>
    <t>Highly recommended thank you guys for…</t>
  </si>
  <si>
    <t>Highly recommended thank you guys for providing absolutely phenomenal service</t>
  </si>
  <si>
    <t>Lana</t>
  </si>
  <si>
    <t>Damaged products</t>
  </si>
  <si>
    <t>My shipment reached Grand Junction, CO. which is close to where I live then it was shipped back to Nevada. Then back to Grand Junction. This is the second time this has happened. All of the cans were damaged when I received my shipment.</t>
  </si>
  <si>
    <t>THEODORE FRANK</t>
  </si>
  <si>
    <t>Not easy to put together,but it works great!</t>
  </si>
  <si>
    <t>Love how tall it is,and the look,just what I was looking for!was shipped very fast</t>
  </si>
  <si>
    <t>Mom of 8 fur babies</t>
  </si>
  <si>
    <t>Pet Flow was very good about my special…</t>
  </si>
  <si>
    <t>Pet Flow was very good about my special order. They had to reach out to my vet to get the script for the dog food and did so. I received my order right after that. Thank you!</t>
  </si>
  <si>
    <t>Vivian Parker</t>
  </si>
  <si>
    <t>Always a problem.</t>
  </si>
  <si>
    <t>Had a problem with my order duplicate customer service fixed right away and answered the phone with a person I could understand super plus for that</t>
  </si>
  <si>
    <t>JEANNINE THEAKOS</t>
  </si>
  <si>
    <t>Had a problem with my order duplicate…</t>
  </si>
  <si>
    <t>My order came with 4 cans dented out of 12 and this is not the first time....</t>
  </si>
  <si>
    <t>GAIL MACGILLIVRAY</t>
  </si>
  <si>
    <t>My order came with 4 cans dented out of…</t>
  </si>
  <si>
    <t>Good company to order better prices</t>
  </si>
  <si>
    <t>EULISES R ANTON</t>
  </si>
  <si>
    <t>Good company to order</t>
  </si>
  <si>
    <t>You had the items I wanted at a good price. My order was filled and shipped as advertised. I'll use your service again. Thank you.</t>
  </si>
  <si>
    <t>CATHERINE CLARK</t>
  </si>
  <si>
    <t>You had the items I wanted at a good…</t>
  </si>
  <si>
    <t>I've always had good reliable service from Petflow. I'm very happy with the experience.</t>
  </si>
  <si>
    <t>Ken B.</t>
  </si>
  <si>
    <t>Easy to sign up and courteous staff</t>
  </si>
  <si>
    <t>My card number failed to go through properly and I didn't know it so I finally called the company when I didn't get my product they explained to me what had happened and I said oh let's go ahead and use the number again and when I went ahead they give me $10 discount for my trouble you can't beat this kind of service</t>
  </si>
  <si>
    <t>JEFFREY BREWSTER</t>
  </si>
  <si>
    <t>Consistently good service</t>
  </si>
  <si>
    <t>DONALD BRUMFIELD</t>
  </si>
  <si>
    <t>Correction of mistake</t>
  </si>
  <si>
    <t>PENELOPE SMITH</t>
  </si>
  <si>
    <t>Always get anything I order on a timely…</t>
  </si>
  <si>
    <t>Always get anything I order on a timely basis.</t>
  </si>
  <si>
    <t>ELLEN HURWITCH</t>
  </si>
  <si>
    <t>The prices were extremely competitive</t>
  </si>
  <si>
    <t>The prices were extremely competitive. Everything arrived without a problem. Delivery was fast.</t>
  </si>
  <si>
    <t>KAREN LANZ</t>
  </si>
  <si>
    <t>I have yet to get my order</t>
  </si>
  <si>
    <t>I have yet to get my order. It was easy ordering.</t>
  </si>
  <si>
    <t>Llemmon</t>
  </si>
  <si>
    <t>Best value for bully sticks</t>
  </si>
  <si>
    <t>Best value for bully sticks! Nobody comes close. Every place is way more expensive.</t>
  </si>
  <si>
    <t>Richard Vernon</t>
  </si>
  <si>
    <t>I received what I ordered pronto</t>
  </si>
  <si>
    <t>I received what I ordered pronto. Great prices compared to Petco. I saved 75% compared to Petco.</t>
  </si>
  <si>
    <t>Terria Bryant</t>
  </si>
  <si>
    <t>Great First Experience</t>
  </si>
  <si>
    <t>Had everything I needed, ordering was quick and easy, speedy delivery.</t>
  </si>
  <si>
    <t>Kidsarek9</t>
  </si>
  <si>
    <t>Will be back for more!</t>
  </si>
  <si>
    <t>The furkids love the treats and customer service was top notch, great communication.</t>
  </si>
  <si>
    <t>CHERYL MCCOY</t>
  </si>
  <si>
    <t>Quick shipping and a great price</t>
  </si>
  <si>
    <t>Quick shipping and a great price. I will be a returning customer!</t>
  </si>
  <si>
    <t>MARIA KLEIN</t>
  </si>
  <si>
    <t>Super fast shipping awesome and…</t>
  </si>
  <si>
    <t>Super fast shipping awesome and fantastic prices!</t>
  </si>
  <si>
    <t>MM</t>
  </si>
  <si>
    <t>Great communication w/ frequent updates</t>
  </si>
  <si>
    <t>Great communication with frequent updates on my order tracking.</t>
  </si>
  <si>
    <t>MICHAEL GIBSON</t>
  </si>
  <si>
    <t>Good site</t>
  </si>
  <si>
    <t>Wish there were more options for the length of time for dog food ordering</t>
  </si>
  <si>
    <t>ANDREA ULLON</t>
  </si>
  <si>
    <t>Fast shipping</t>
  </si>
  <si>
    <t>Experience was great, shipping was fast, very happy with my purchase.</t>
  </si>
  <si>
    <t>Jennifer Carver</t>
  </si>
  <si>
    <t>It's a great product and the family dog…</t>
  </si>
  <si>
    <t>It's a great product and the family dog loves it</t>
  </si>
  <si>
    <t>JANET GREY</t>
  </si>
  <si>
    <t>everything was simple and fast delivery</t>
  </si>
  <si>
    <t>Lured in by low pricing, I ordered a case of a new dog food (canned) to try it out. I ended up converting my dog (over about 10 days) onto this new food. I then ordered 7 more cases with Petflow of the same food I had auditioned and transitioned my dog onto.
What a NIGHTMARE. They put all 7 cases (i.e .84 cans) in ONE BOX. There was a little bubble cushion on one side of the box, but the other 5 sides had no cushion. Guess what? ALL 84 cans were dented -- many of them crushed accordian style and unsafe to use. The majority were deemed unsafe (according to a government can dent guideline I consulted).
Working with Petflow was an exercise in frustration. I called on a Friday and was told that somebody would get back to me tomorrow – – which was Saturday. Nobody ever called me. So late Saturday I called and I was told "oh no, it takes 24 to 48 hours for somebody to get back to you". So I waited another 24 hours (IE 48 hours later) still no call. So I call them back on Sunday and say "where is my return call". The Petlow representative essentially said oh no what made you think somebody would call you back on the weekend? I was then told I had to wait until Monday, three days later. Meanwhile I had run out of food: the food I had just transitioned my dog onto. My dog has a sensitive stomach and I can't just switch foods on him or he will get severe diarrhea. Now, because of their false promises over the weekend that "someone" would call me back, I was totally out!
Finally on Monday a supervisor did call me back. She agreed that there should've been more cushioning in the box and she assured me that they would resend the entire order but instead of sending seven cases in one box they would split it into two boxes and they would include cushioning between the boxes and on the edges of the box.
Well… The replacement shipment arrived today. Indeed, the seven cases were in two boxes split between them. But to my incredible surprise there was zero – – ZERO cushioning in either box. In fact one of the boxes had a very large space of about 3 to 4 inches for the cases to slide back-and-forth inside the box.
What was the condition of these new cans? The 84 replacement cans for the 84 cans that got crushed and dented the first time? Can you guess? These too were crushed and dented. (OMG - I was upset beyond belief going through them. Such a waste of GOOD food... all having to be thrown away -- again.)
Meanwhile, I have spent already about 3 to 4 hours of my life on the phone with PetFlow, documenting the damage in videos, inventorying which cans are severe and which cans are dented but perhaps OK and creating 4 piles based on severity of the dents. I had already thrown out about 65 cans and donated the rest to neighbors who have a higher tolerance for risk than I do. But now… I am facing the same dilemma again because of their incompetence.
For a second time in a week I am finding myself inventorying 84 cans of damaged/crushed dog food cans that are shamelessly dented and ruined so that they can't be enjoyed and put to good use.
As the saying goes fool me once shame on you, fool me twice shame on me. Shame on me for trusting anyone at PetFlow that they would actually keep their word or that they could actually deliver the $200 plus quantity of dog food in a way that it was not ruined and actually safe and edible.
Honestly, the customer service people are completely siloed away from their warehouse and you are taking your chances if you order any canned food from them. If they tell you they are going to do better next time or they're going to "include cushioning" next time… DO NOT BELIEVE THEM.
Run... it's not worth the extra $.50 per can you save. It's absolutely devastating to have to throw out over a hundred cans of dog food that would've been edible if their warehouse staff had half a brain or would take more care.</t>
  </si>
  <si>
    <t>Happy Customer</t>
  </si>
  <si>
    <t>NEVER Buy Canned Food from PetFlow</t>
  </si>
  <si>
    <t>Order came just as promised. Very quick shipping.</t>
  </si>
  <si>
    <t>ALYSON MCDONALD</t>
  </si>
  <si>
    <t>Order came just as promised</t>
  </si>
  <si>
    <t>Best price, fast delivery</t>
  </si>
  <si>
    <t>BENJAMIN KIING</t>
  </si>
  <si>
    <t>Best price</t>
  </si>
  <si>
    <t>I think you provide good service and deliver your products on a timely basis.</t>
  </si>
  <si>
    <t>JEAN</t>
  </si>
  <si>
    <t>Good prices, large selection, fast delivery, good response to questions.</t>
  </si>
  <si>
    <t>NextAdvisor Reader</t>
  </si>
  <si>
    <t>Good prices, large selection</t>
  </si>
  <si>
    <t>Super fast shipping, competitive pricing, accurate order delivered.</t>
  </si>
  <si>
    <t>JULIE L</t>
  </si>
  <si>
    <t>Super fast shipping</t>
  </si>
  <si>
    <t>As I said before</t>
  </si>
  <si>
    <t>As I said before, a mistake was made with my order and customer service immediately fixed it</t>
  </si>
  <si>
    <t>ANN MCCOY</t>
  </si>
  <si>
    <t>wonderful to find Natural Balance…</t>
  </si>
  <si>
    <t>wonderful to find Natural Balance Venison CANNED FOOD IN STOCK DELIVERED...delivered...</t>
  </si>
  <si>
    <t>David</t>
  </si>
  <si>
    <t>Package was never delivered (10 days…</t>
  </si>
  <si>
    <t>Package was never delivered (10 days after order)</t>
  </si>
  <si>
    <t>Anonymous</t>
  </si>
  <si>
    <t>Easy ordering, fast shipping</t>
  </si>
  <si>
    <t>They had what I needed (hard-to-find item) in stock, and shipped quickly.</t>
  </si>
  <si>
    <t>WALTER WININGER</t>
  </si>
  <si>
    <t>Fantastic and Fabulous</t>
  </si>
  <si>
    <t>Very easy to navigate website, excellent prices, great selection and just an overall best experience (second to none</t>
  </si>
  <si>
    <t>Siham Ayoub</t>
  </si>
  <si>
    <t>Good quality and quick delivery</t>
  </si>
  <si>
    <t>I received my order promptly. These people are on their game for sure.</t>
  </si>
  <si>
    <t>Joe Pick</t>
  </si>
  <si>
    <t>I received my order promptly</t>
  </si>
  <si>
    <t>User friendly online shopping experience and very good prices.</t>
  </si>
  <si>
    <t>cans damaged</t>
  </si>
  <si>
    <t>I was pleased with the prices and the products at PetFlow.</t>
  </si>
  <si>
    <t>TOM S</t>
  </si>
  <si>
    <t>User friendly online shopping experience</t>
  </si>
  <si>
    <t>Quick delivery on great product at a great price.</t>
  </si>
  <si>
    <t>LAURA M</t>
  </si>
  <si>
    <t>I was pleased with the prices and the…</t>
  </si>
  <si>
    <t>Great prices, Good service</t>
  </si>
  <si>
    <t>Barbara Anderson</t>
  </si>
  <si>
    <t>Quick delivery on great product at a…</t>
  </si>
  <si>
    <t>Got what I ordered &amp; it was delivered on time.</t>
  </si>
  <si>
    <t>Rick East</t>
  </si>
  <si>
    <t>Pet flow had an out of stock item we have been looking for over 8 months. My dogs are so happy.</t>
  </si>
  <si>
    <t>JENNIFER TAYLOR</t>
  </si>
  <si>
    <t>Great customer service and fast shipping</t>
  </si>
  <si>
    <t>Great prices and free fast shipping. Awesome!</t>
  </si>
  <si>
    <t>DANIEL GRACE</t>
  </si>
  <si>
    <t>Got what I ordered &amp; it was delivered…</t>
  </si>
  <si>
    <t>Higgins parrots feed</t>
  </si>
  <si>
    <t>Dennis Felicio</t>
  </si>
  <si>
    <t>delivery times have gotten worse.</t>
  </si>
  <si>
    <t>MARK JACKSON</t>
  </si>
  <si>
    <t>Pet flow had an out of stock item we…</t>
  </si>
  <si>
    <t>MARGARET PALMER</t>
  </si>
  <si>
    <t>Love the products and fast service!</t>
  </si>
  <si>
    <t>SUSAN BORLAND</t>
  </si>
  <si>
    <t>Ease of purchase and speed of delivery</t>
  </si>
  <si>
    <t>TMOT</t>
  </si>
  <si>
    <t>Great prices and free fast shipping</t>
  </si>
  <si>
    <t>ROBERT</t>
  </si>
  <si>
    <t>Great parrot feed!</t>
  </si>
  <si>
    <t>ANDREA SCHULTHEIS</t>
  </si>
  <si>
    <t>Fast shipping, great fresh seed and the brands I use Higgins.</t>
  </si>
  <si>
    <t>JANET</t>
  </si>
  <si>
    <t>Easy to place an order</t>
  </si>
  <si>
    <t>Easy to place an order, great prices and fast shipping!</t>
  </si>
  <si>
    <t>N LUFFEY</t>
  </si>
  <si>
    <t>Easy ordering process and fast shipping!</t>
  </si>
  <si>
    <t>Good customer service. Great prices.</t>
  </si>
  <si>
    <t>Free and fast shipping.</t>
  </si>
  <si>
    <t>I always get good service at a good price in a very good time.</t>
  </si>
  <si>
    <t>OTMANE HATTANI</t>
  </si>
  <si>
    <t>Good customer service</t>
  </si>
  <si>
    <t>Good price on pigeon feed shipped with no damage</t>
  </si>
  <si>
    <t>Kenneth</t>
  </si>
  <si>
    <t>I always get good service at a good…</t>
  </si>
  <si>
    <t>Company is affordable and Customer service is exceptional.</t>
  </si>
  <si>
    <t>JOHN KIMBER</t>
  </si>
  <si>
    <t>Good price</t>
  </si>
  <si>
    <t>Everything was perfect, thank you!</t>
  </si>
  <si>
    <t>JACKIE FRASCATORE</t>
  </si>
  <si>
    <t>Great company</t>
  </si>
  <si>
    <t>Great prices! Prompt delivery!</t>
  </si>
  <si>
    <t>JOHN WU</t>
  </si>
  <si>
    <t>Everything was perfect</t>
  </si>
  <si>
    <t>Ordered and you didn’t have in stock. Still waiting</t>
  </si>
  <si>
    <t>Richard Nuzman</t>
  </si>
  <si>
    <t>Great products &amp; prices!</t>
  </si>
  <si>
    <t>Easy to order at a fair price for this day and age</t>
  </si>
  <si>
    <t>WANDA HARRIS</t>
  </si>
  <si>
    <t>Ordered and you didn’t have in stock</t>
  </si>
  <si>
    <t>Easy to place order, delivered on time.</t>
  </si>
  <si>
    <t>HAROLD TALBOT</t>
  </si>
  <si>
    <t>Easy to order at a fair price for this…</t>
  </si>
  <si>
    <t>Good Price; Timely Delivery</t>
  </si>
  <si>
    <t>DIANNE</t>
  </si>
  <si>
    <t>Order was on time and complete.</t>
  </si>
  <si>
    <t>they get my stuff i ordered to me within a few days</t>
  </si>
  <si>
    <t>Donna Peterson</t>
  </si>
  <si>
    <t>Easy to place order</t>
  </si>
  <si>
    <t>Love the product. Very fast service/shipping.</t>
  </si>
  <si>
    <t>DrGSD</t>
  </si>
  <si>
    <t>Positive!</t>
  </si>
  <si>
    <t>Like always, quick and reliable.</t>
  </si>
  <si>
    <t>MINA SEYMOUR</t>
  </si>
  <si>
    <t>Fast professional great!</t>
  </si>
  <si>
    <t>ELLEN ENNIS</t>
  </si>
  <si>
    <t>dog food</t>
  </si>
  <si>
    <t>RONDA DAUS</t>
  </si>
  <si>
    <t>Love the product</t>
  </si>
  <si>
    <t>Baron Eike Von Lincoln</t>
  </si>
  <si>
    <t>Quick and reliable</t>
  </si>
  <si>
    <t>Betty Jo Lesonsky</t>
  </si>
  <si>
    <t>Very quick fulfillment and shipping</t>
  </si>
  <si>
    <t>DONNA BIONDI</t>
  </si>
  <si>
    <t>Mallory was awesome.</t>
  </si>
  <si>
    <t>Good !! I will purchase again</t>
  </si>
  <si>
    <t>TUYEN NGUYEN</t>
  </si>
  <si>
    <t>Good</t>
  </si>
  <si>
    <t>You had what I wanted and you got it to me quickly</t>
  </si>
  <si>
    <t>ANDRANEA ALEXANDER</t>
  </si>
  <si>
    <t>Good fresh food</t>
  </si>
  <si>
    <t>You had the product that I needed and it was shipped quickly .</t>
  </si>
  <si>
    <t>ERIC RIDGEWAY</t>
  </si>
  <si>
    <t>You had what I wanted and you got it to…</t>
  </si>
  <si>
    <t>Great shipping speed. Bones I ordered are great</t>
  </si>
  <si>
    <t>Julia B</t>
  </si>
  <si>
    <t>Shipping takes too long</t>
  </si>
  <si>
    <t>Good price. Fast shipping.</t>
  </si>
  <si>
    <t>Katherine Sidon</t>
  </si>
  <si>
    <t>You had the product that I needed and…</t>
  </si>
  <si>
    <t>Fast and efficient service</t>
  </si>
  <si>
    <t>NordVPN Customer</t>
  </si>
  <si>
    <t>Easy ordering experience. Good Products</t>
  </si>
  <si>
    <t>DONA JOERGER</t>
  </si>
  <si>
    <t>Great prices and good dog food brands.</t>
  </si>
  <si>
    <t>My dog loves it</t>
  </si>
  <si>
    <t>SHIRLEY HARRIS</t>
  </si>
  <si>
    <t>Great bones shipping speed</t>
  </si>
  <si>
    <t>Fast and easy
Good price</t>
  </si>
  <si>
    <t>Al DiSante</t>
  </si>
  <si>
    <t>Easy online ordering with fast delivery.</t>
  </si>
  <si>
    <t>ELWOOD SMITH</t>
  </si>
  <si>
    <t>LINDA KLEMKA-WALDEN</t>
  </si>
  <si>
    <t>Received order when expected</t>
  </si>
  <si>
    <t>Anthony Cuccaro</t>
  </si>
  <si>
    <t>service</t>
  </si>
  <si>
    <t>Carrie</t>
  </si>
  <si>
    <t>Easy ordering experience</t>
  </si>
  <si>
    <t>ROSI WALSH</t>
  </si>
  <si>
    <t>It’s good</t>
  </si>
  <si>
    <t>Anthony Williams</t>
  </si>
  <si>
    <t>Consistently great buying experience.</t>
  </si>
  <si>
    <t>DEWAYNE LOVELL</t>
  </si>
  <si>
    <t>Fast and easy</t>
  </si>
  <si>
    <t>Ahmmed Patwary</t>
  </si>
  <si>
    <t>Quick and efficient customer service.</t>
  </si>
  <si>
    <t>Andrea</t>
  </si>
  <si>
    <t>Competitive pricing and fast delivery!</t>
  </si>
  <si>
    <t>Terry Anderson</t>
  </si>
  <si>
    <t>Great prices!</t>
  </si>
  <si>
    <t>sylvia bl</t>
  </si>
  <si>
    <t>Fast delivery of what we needed</t>
  </si>
  <si>
    <t>I order and in no time my order is delivered. Staff also quite helpful with advice and customer service.</t>
  </si>
  <si>
    <t>VALERIE FOX</t>
  </si>
  <si>
    <t>Ordering and customer service</t>
  </si>
  <si>
    <t>I am committed to feeding my cat the required ingredients suggested by my vet to give Tammy quality of life as she grows older. Because of the cost of prescription diet food I have to shop around for the best, affordable prices which PetFlow has provided and is my number one choice for price, quality, and prompt service in that regards. I look forward to continuing with PetFlow to provide Tammy's needs in the future.</t>
  </si>
  <si>
    <t>ROCH MALZAC</t>
  </si>
  <si>
    <t>I am committed to feeding my cat the…</t>
  </si>
  <si>
    <t>I needed a prescription food you say you stock. Your instructions were to mail the prescription in. This seems bazaar in the online world. After a few days you emailed me saying that I could email a scanned in image of the prescirption.
Why didn't you provide this right up front?
I went back to my old online provider who accepts scanned in images - as part of the process.</t>
  </si>
  <si>
    <t>ERIC BELL</t>
  </si>
  <si>
    <t>Awful online experience - confusing and antiquated</t>
  </si>
  <si>
    <t>Always fast service. Good prices</t>
  </si>
  <si>
    <t>PHILLIP MANLEY</t>
  </si>
  <si>
    <t>Always fast service</t>
  </si>
  <si>
    <t>Best price on KMR liquid and powder.</t>
  </si>
  <si>
    <t>LINDA SFORZA</t>
  </si>
  <si>
    <t>Best Price</t>
  </si>
  <si>
    <t>Great service &amp; pricing.
Thank you!</t>
  </si>
  <si>
    <t>LISA ROSSELLI</t>
  </si>
  <si>
    <t>Great service &amp; pricing</t>
  </si>
  <si>
    <t>First, Petflow shipped my product to the wrong address, even though they confirmed via email and text that the address would be updated to the correct address for the shipment. Secondly, do not rely on their autoship -- they have constant delays so it is not dependable-- like everything else about their company. Their workers demonstrate incompetence and their access to products is unreliable. Some items may be cheaper on Petflow, but you pay a worse price in other ways.</t>
  </si>
  <si>
    <t>Karen Ivers</t>
  </si>
  <si>
    <t>Incompetent and Unreliable</t>
  </si>
  <si>
    <t>Great service
Easy to order
Shipped quickly
Thanks</t>
  </si>
  <si>
    <t>Crystal Brown</t>
  </si>
  <si>
    <t>Great service</t>
  </si>
  <si>
    <t>Excellent customer service! Thank you!</t>
  </si>
  <si>
    <t>Greg</t>
  </si>
  <si>
    <t>Excellent customer service</t>
  </si>
  <si>
    <t>I found what I needed quickly, not many shippers carry Nutrisource. I also got a significant discount through my Capital One add-on so I bought 2 bags to get the free delivery. They were delivered very quickly as well. I am disappointed that they don't participate in the frequent buyer freebies that Nutrisource offers, though the 10% autoship is more than most other companies offer. Some of the prices, such as the Nutrisource dog food are still too high, though.</t>
  </si>
  <si>
    <t>Renee P.</t>
  </si>
  <si>
    <t>I found what I needed quickly</t>
  </si>
  <si>
    <t>Easy to navigate website; lots of name brand foods at reasonable prices.</t>
  </si>
  <si>
    <t>MARY</t>
  </si>
  <si>
    <t>Easy order, received in timely manner</t>
  </si>
  <si>
    <t>Best prices anywhere and great communication from Petflow. Received food four days after ordered and pet flow notified me on day 3 the order was delayed one day in the St. Paul location but was quicker delivery time than other companies I have used so was very happy to find Petflow</t>
  </si>
  <si>
    <t>Dacatsparky</t>
  </si>
  <si>
    <t>My order came fast</t>
  </si>
  <si>
    <t>The shipment was received in a timely manner; however, for the cost of the canned food I purchased (almost $10/can), I would have expected a little bit of packaging material in the box. Almost all of the cans have big dents in them from being shipped. I am glad that though that they carry the product.</t>
  </si>
  <si>
    <t>Troy Arenz</t>
  </si>
  <si>
    <t>Best prices anywhere and great…</t>
  </si>
  <si>
    <t>Due to shipping restrictions I was unable to reroute the delivery via my FedEx delivery manager. This is a big issue for me because I live in an apartment complex with a lot of theft, and having my cat’s expensive food stolen is too much of a risk to take when ordering from PetFlow.</t>
  </si>
  <si>
    <t>Amy C</t>
  </si>
  <si>
    <t>Good but packaging poor</t>
  </si>
  <si>
    <t>The website is very easy to navigate. Our purchases were shipped and arrived quickly to our home. The prices are the best I’ve found. All these things have added up for me to be a repeat customer.</t>
  </si>
  <si>
    <t>Ariana</t>
  </si>
  <si>
    <t>Shipping restrictions</t>
  </si>
  <si>
    <t>Easy to order and quick shipping makes Petflow a winner in my book!</t>
  </si>
  <si>
    <t>Gail B.</t>
  </si>
  <si>
    <t>The website is very easy to navigate</t>
  </si>
  <si>
    <t>Good selection of cat foods, good quality and fast shipping with fair prices.</t>
  </si>
  <si>
    <t>LAURA ROMANO</t>
  </si>
  <si>
    <t>Petflow is great!…</t>
  </si>
  <si>
    <t>The product is $2 - $3 a case less than competitors.
Shipping time is relatively timely. They product came in manageable size boxes. Not one oversized heavy box.</t>
  </si>
  <si>
    <t>Jack</t>
  </si>
  <si>
    <t>Good selection of cat foods</t>
  </si>
  <si>
    <t>Furrykid mom</t>
  </si>
  <si>
    <t>Better value</t>
  </si>
  <si>
    <t>JOHN DEFEO</t>
  </si>
  <si>
    <t>They are very responsive. An item was missing from my shipment. It was reshipped within a day or two</t>
  </si>
  <si>
    <t>Bobbi helms</t>
  </si>
  <si>
    <t>They are very responsive</t>
  </si>
  <si>
    <t>Fedex failed to deliver package even though it was shown as delivered. 4 boxes of milk bones. One call and Petflow sent a replacement. One week later the fedex package showed up - most likely dropped off by a neighbor. Called Petflow and they said keep the treats and donate to a pet shelter. Will do. Thank you Petflow for prompt and courteous service.</t>
  </si>
  <si>
    <t>KB</t>
  </si>
  <si>
    <t>Fedex failed to deliver package even…</t>
  </si>
  <si>
    <t>Timely orders, great communication and wonderful products!</t>
  </si>
  <si>
    <t>Maria</t>
  </si>
  <si>
    <t>Timely orders</t>
  </si>
  <si>
    <t>They gave me a credit because something I ordered was no longer in stock. New items came very fast!</t>
  </si>
  <si>
    <t>Great prices and service</t>
  </si>
  <si>
    <t>It was my second order and second time it was easy, and with high expectations.
Thank you for nice service.</t>
  </si>
  <si>
    <t>NANCY POPE</t>
  </si>
  <si>
    <t>They gave me a credit because something…</t>
  </si>
  <si>
    <t>Tried Chewy, but there is no comparison to Pet Flow! Your service is far above them. My order is always delivered quickly, customer service department is great and helpful! I am a returning customer, and Pet Flow is the best!</t>
  </si>
  <si>
    <t>LARYSA MUZHANOVA</t>
  </si>
  <si>
    <t>Very good…</t>
  </si>
  <si>
    <t>Prompt services and delivery. Competitive pricing</t>
  </si>
  <si>
    <t>Marian</t>
  </si>
  <si>
    <t>The company delivers promptly.</t>
  </si>
  <si>
    <t>Lowest price I could find, fast shipping, knowledgeable, polite, customer service....one small flaw, wasn't able to use paypal, no biggie</t>
  </si>
  <si>
    <t>MARIE HUTCHINGS</t>
  </si>
  <si>
    <t>Tried Chewy</t>
  </si>
  <si>
    <t>Always good products, always good prices. Repeat customer many times over.</t>
  </si>
  <si>
    <t>SHERYL BILUS</t>
  </si>
  <si>
    <t>Dog Food Etc</t>
  </si>
  <si>
    <t>I received the packages in good shape and as promised with little delay. Products were as described and much appreciated. Thank you PetFlow</t>
  </si>
  <si>
    <t>philip</t>
  </si>
  <si>
    <t>Lowest price I could find</t>
  </si>
  <si>
    <t>Had to call in because of recent c card change. Efficient, quick delivery. Thank you</t>
  </si>
  <si>
    <t>SVETLANA LITVINSKI</t>
  </si>
  <si>
    <t>Thank you very much</t>
  </si>
  <si>
    <t>PetFlow offers items for my dog at lower prices than other pet supply websites. There aren't as many choices as the bigger websites, but I look at PetFlow first when I need something because of their good prices. My order shipped quickly and accurately.</t>
  </si>
  <si>
    <t>GRACE</t>
  </si>
  <si>
    <t>Always good products</t>
  </si>
  <si>
    <t>I can change the order and they always catch up with the changes.</t>
  </si>
  <si>
    <t>Nora</t>
  </si>
  <si>
    <t>I received the packages in good shape…</t>
  </si>
  <si>
    <t>MEW</t>
  </si>
  <si>
    <t>Efficient process and speedy delivery.</t>
  </si>
  <si>
    <t>BARBARA BOWEN BAER</t>
  </si>
  <si>
    <t>Had to call in because of recent c card…</t>
  </si>
  <si>
    <t>Dr. C</t>
  </si>
  <si>
    <t>Great service.</t>
  </si>
  <si>
    <t>DEBBIE GOOD</t>
  </si>
  <si>
    <t>I never received the order.</t>
  </si>
  <si>
    <t>Moe</t>
  </si>
  <si>
    <t>GOOD PRICES</t>
  </si>
  <si>
    <t>NANCY FONT</t>
  </si>
  <si>
    <t>I can change the order and they always…</t>
  </si>
  <si>
    <t>EDGARDO GONZALEZ</t>
  </si>
  <si>
    <t>That it got delivered in time and your…</t>
  </si>
  <si>
    <t>That it got delivered in time and your price is fare</t>
  </si>
  <si>
    <t>Eugene Woodard</t>
  </si>
  <si>
    <t>Theyon time and a reasonable price got my order out to me in a timely…</t>
  </si>
  <si>
    <t>They got my order out to me in a timely matter and a good price</t>
  </si>
  <si>
    <t>WRESTLING MAMA</t>
  </si>
  <si>
    <t>Small litter pans at the lowest price!</t>
  </si>
  <si>
    <t>We needed small litter pans and were able to find them at PetFlow. Not only were we able to buy the quantity we required, but these were also the lowest price available online. Thank you PetFlow!</t>
  </si>
  <si>
    <t>LF</t>
  </si>
  <si>
    <t>Totally satisfied with product and the purchasing process.</t>
  </si>
  <si>
    <t>Easy to use website. I found the product I wanted. Notifications sent through the whole process after purchase was made. Product arrived when specified, in whole undamaged form (well packed).</t>
  </si>
  <si>
    <t>Dr. Brenda Luther</t>
  </si>
  <si>
    <t>Understanding the PetFlow auto ship system</t>
  </si>
  <si>
    <t>I am very happy with the fast delivery and also knowing that my ordered items are available. I’m still learning how to navigate the auto shipment with PetFlows system. There are too many shipment options on the page and I have accidentally double ordered because of how the auto shipment is set up. I use several other pet supply sites and find that Chewy has the simplist auto shipment system. So I hope I can figure out the PetFlow system much better as I very happy with PetFlow.</t>
  </si>
  <si>
    <t>ANN WEINRICH</t>
  </si>
  <si>
    <t>We appreciate your efforts to keep…</t>
  </si>
  <si>
    <t>We appreciate your efforts to keep Orijen products in stock for the past five years our puppy has been alive. And you get them to us fast! Thanks!</t>
  </si>
  <si>
    <t>Great customer service!</t>
  </si>
  <si>
    <t>Great customer service! The chews need to be long lasting.</t>
  </si>
  <si>
    <t>Jean</t>
  </si>
  <si>
    <t>Prescription food</t>
  </si>
  <si>
    <t>This was the first time I had to use a prescription for food. The staff was on the ball. Got taken care right of way and shipped to me in 3 days.</t>
  </si>
  <si>
    <t>RONALD MROFCZA</t>
  </si>
  <si>
    <t>The Auto Ship is a lifesaver</t>
  </si>
  <si>
    <t>The Auto Ship is a lifesaver. The prices are comparable to store prices but never having to worry about running out is fantastic. They are always on time as promised</t>
  </si>
  <si>
    <t>Terri</t>
  </si>
  <si>
    <t>They are still bothering my vet for a…</t>
  </si>
  <si>
    <t>They are still bothering my vet for a prescription on an I order I canceled. Annoying.</t>
  </si>
  <si>
    <t>PETER J CAPPELLO</t>
  </si>
  <si>
    <t>1BETTER THAN CHEWY!</t>
  </si>
  <si>
    <t>1. Best prices. 2. Fast free delivery. 3. You can get cashbak with Rakuten</t>
  </si>
  <si>
    <t>Customer</t>
  </si>
  <si>
    <t>I got what i order and when was suppost…</t>
  </si>
  <si>
    <t>I got what i order and when was suppost to be deliver</t>
  </si>
  <si>
    <t>KEVIN BENEDICT</t>
  </si>
  <si>
    <t>Reliable &amp; easy ordering and quick…</t>
  </si>
  <si>
    <t>Reliable &amp; easy ordering and quick shipping. Their prices for the fish food we use is the best you can find.
Don't hesitate to use PetFlow,
they're outstanding.</t>
  </si>
  <si>
    <t>MARY BUSBY</t>
  </si>
  <si>
    <t>Great Finds</t>
  </si>
  <si>
    <t>Always great finds at great prices on your site!</t>
  </si>
  <si>
    <t>CRYSTAL ORTIZ</t>
  </si>
  <si>
    <t>I was very pleased about the shipping…</t>
  </si>
  <si>
    <t>I was very pleased about the shipping and that it came on the day it said it would. Also I like the price, a lot of people in Amazon are price gouging so this is nice. Thank you</t>
  </si>
  <si>
    <t>jack paul</t>
  </si>
  <si>
    <t>Fast shipping was provided</t>
  </si>
  <si>
    <t>Fast shipping was provided as I was running low on canned dog food. The only problem was some of the cans were smashed. They still were able to be opened but tough to get all the food oyt.</t>
  </si>
  <si>
    <t>Barbara Coleman</t>
  </si>
  <si>
    <t>Love the large Guinea pig house</t>
  </si>
  <si>
    <t>Love the large Guinea pig house. She loves the cloth ones without a bottom. PetFlow was the only place I could find them. So happy they had them I will absolutely continue to order from them</t>
  </si>
  <si>
    <t>MARY BALLOGG</t>
  </si>
  <si>
    <t>Quick shipping and easy website....cost…</t>
  </si>
  <si>
    <t>Quick shipping and easy website....cost is up tho.</t>
  </si>
  <si>
    <t>ARNOLD GRAD</t>
  </si>
  <si>
    <t>Rapid response</t>
  </si>
  <si>
    <t>Rapid response.
Personal interchange.
Human contact.</t>
  </si>
  <si>
    <t>AMANDA</t>
  </si>
  <si>
    <t>First time customer</t>
  </si>
  <si>
    <t>First time customer. Ordered prescription food so it had to be approved by my vet. Still had my order in less than a week. Thanks for the speedy delivery.</t>
  </si>
  <si>
    <t>RANJANA BHATTACHARYA</t>
  </si>
  <si>
    <t>Packaging needs improvement</t>
  </si>
  <si>
    <t>This was my first time purchasing. The products available for my cockatiels while limited were good quality. The issue I have is with the packaging of 5 pounds of millet. They need to be put in a bag first to prevent the seeds from spilling out into the larger box. It creates wasteage and a mess because there are seeds all over the house now.</t>
  </si>
  <si>
    <t>Susan Thomas</t>
  </si>
  <si>
    <t>Very professional and my orders are…</t>
  </si>
  <si>
    <t>Very professional and my orders are always right and on time.</t>
  </si>
  <si>
    <t>Andy</t>
  </si>
  <si>
    <t>New customer</t>
  </si>
  <si>
    <t>I have a been a long time Chewy customer and you beat their price on one of the items and then with 10% autoship, you beat the price on the other item. SO I gave you a try and you delivered.
I am new and plan to stay.</t>
  </si>
  <si>
    <t>CRAIG</t>
  </si>
  <si>
    <t>Preformed as Advertized</t>
  </si>
  <si>
    <t>timely delivery, wide choice of product at a competitive price.</t>
  </si>
  <si>
    <t>Jim</t>
  </si>
  <si>
    <t>Poor Service</t>
  </si>
  <si>
    <t>Original order on 3/29. Damaged in transit. Heard nothing for a week after. I called and replacement order initiated. Supposed to be delivered on 4/17. It’s now 4/20 and order still showing intransit from NJ with no additional info as to ETA or when my order should be delivered. Very poor performance.
1. Plastic jugs should be overpacked.
2. When original order is damaged, a CSR should be involved on reshipment to make sure order is completed.</t>
  </si>
  <si>
    <t>Rhonda Peyton</t>
  </si>
  <si>
    <t>A better value than their competitors…</t>
  </si>
  <si>
    <t>A better value than their competitors and fast service!! Thank you!!</t>
  </si>
  <si>
    <t>TROY HARIMON</t>
  </si>
  <si>
    <t>Had my product in stock</t>
  </si>
  <si>
    <t>Had my product in stock. Great price. Payed the shipping. Thank you.</t>
  </si>
  <si>
    <t>LAURA KOTLAR</t>
  </si>
  <si>
    <t>Always fast</t>
  </si>
  <si>
    <t>Always fast, friendly service.</t>
  </si>
  <si>
    <t>MAUREEN MEIL</t>
  </si>
  <si>
    <t>Glad I Found Pet Flow</t>
  </si>
  <si>
    <t>Fast delivery, cans not dented and price!</t>
  </si>
  <si>
    <t>JOSEPH J PUIIA JR</t>
  </si>
  <si>
    <t>My order was processed and shipped…</t>
  </si>
  <si>
    <t>My order was processed and shipped promptly and at a very good price.</t>
  </si>
  <si>
    <t>MONICA COLVILLE</t>
  </si>
  <si>
    <t>Prices are comparable and free delivery…</t>
  </si>
  <si>
    <t>Prices are comparable and free delivery is great!!!</t>
  </si>
  <si>
    <t>Donna Sullivan</t>
  </si>
  <si>
    <t>So happy to get my very hard to find…</t>
  </si>
  <si>
    <t>So happy to get my very hard to find dog food!</t>
  </si>
  <si>
    <t>OD</t>
  </si>
  <si>
    <t>We like ordering from PetFlow</t>
  </si>
  <si>
    <t>We like ordering from PetFlow. The orders come quick and it is easy to get what we need for our babies.</t>
  </si>
  <si>
    <t>Michelle Currey</t>
  </si>
  <si>
    <t>Easy to order and it shipped quickly…</t>
  </si>
  <si>
    <t>Easy to order and it shipped quickly and pup is enjoying the toys!</t>
  </si>
  <si>
    <t>Cynthia E Day</t>
  </si>
  <si>
    <t>Excellent! So easy to order online &amp; was quickly…</t>
  </si>
  <si>
    <t>So easy to order online &amp; was quickly delivered to my home!</t>
  </si>
  <si>
    <t>ROSE MOORE</t>
  </si>
  <si>
    <t>I like that I was able to find food for…</t>
  </si>
  <si>
    <t>I like that I was able to find food for my dog that is hard to locate in pet stores. My order was received within five days and my Pup was very Happy. I will definitely make more purchases from Petflow.</t>
  </si>
  <si>
    <t>Alicia Patterson</t>
  </si>
  <si>
    <t>Delivery usually on time and what you need.</t>
  </si>
  <si>
    <t>I have used Pet Flow a number of times. They are usually on time and get things shipped timely.</t>
  </si>
  <si>
    <t>Excellent service and price. What can I say...every order is on…</t>
  </si>
  <si>
    <t>What can I say...every order is on delivered in a very reasonable time and the selection of products as well as the price is spot on.</t>
  </si>
  <si>
    <t>Cheaper than chewy</t>
  </si>
  <si>
    <t>Great wish they had an app and wish shipping was faster</t>
  </si>
  <si>
    <t>KEVIN KOCHENOUR</t>
  </si>
  <si>
    <t>Never no discount or coupon for Fromm…</t>
  </si>
  <si>
    <t>Never no discount or coupon for Fromm food. Spend 70/100 dollars a month on from food</t>
  </si>
  <si>
    <t>JOSEPH CAMPE</t>
  </si>
  <si>
    <t>You see brands of dog food other…</t>
  </si>
  <si>
    <t>You see brands of dog food other companies do not.</t>
  </si>
  <si>
    <t>LORI</t>
  </si>
  <si>
    <t>Love the sales that Petflow sometimes…</t>
  </si>
  <si>
    <t>Love the sales that Petflow sometimes has. And I always get what I ordered, as expected, and in a timely manner. Easy to check out too.</t>
  </si>
  <si>
    <t>MARIA MIRELES</t>
  </si>
  <si>
    <t>I called for help with an order and…</t>
  </si>
  <si>
    <t>I called for help with an order and agent wanted me to be schooled on how to add to an auto order &amp; I just wanted her help me delete &amp; start new order. She said in a not nice way that if I didn’t learn I would call each time. I’m staying with Chewy for best service always helpful and cheerful.</t>
  </si>
  <si>
    <t>real customer service</t>
  </si>
  <si>
    <t>name brand item at good price. There was a problem with my credit card being accepted. I called and talked to a REAL human being and was helped promptly.
Customer service with real people, getting either is rare today</t>
  </si>
  <si>
    <t>Mary Lopez</t>
  </si>
  <si>
    <t>Fast reliable</t>
  </si>
  <si>
    <t>Whenever I have a problem it's always taken care of immediately!</t>
  </si>
  <si>
    <t>Sheba</t>
  </si>
  <si>
    <t>Whenever I have a problem it's always…</t>
  </si>
  <si>
    <t>The company is easy to work with, helpful when I have had problems and easy to work with to resolve any issues. Shipping is timely also.</t>
  </si>
  <si>
    <t>GINNY STENOIEN</t>
  </si>
  <si>
    <t>The company is easy to work with</t>
  </si>
  <si>
    <t>I got my order on time and it was less expensive than any other place.</t>
  </si>
  <si>
    <t>Kei</t>
  </si>
  <si>
    <t>I got my order on time and it was less…</t>
  </si>
  <si>
    <t>Fast and easy to shop and order. Plus Customer Service was great answering my questions via email.</t>
  </si>
  <si>
    <t>MICHELE ALLEN</t>
  </si>
  <si>
    <t>Fast and easy to shop and order</t>
  </si>
  <si>
    <t>You have a toy that my dog loves. I have trouble finding it but you have it! So thank you</t>
  </si>
  <si>
    <t>Karen Doman</t>
  </si>
  <si>
    <t>You have a toy that my dog loves</t>
  </si>
  <si>
    <t>Customer service is non-existent. Shipping takes forever.</t>
  </si>
  <si>
    <t>KSzymo</t>
  </si>
  <si>
    <t>Do not recommend</t>
  </si>
  <si>
    <t>Better prices than Chewy, shipping is a bit slower, but worth it if you just plan ahead.
First order with them took about a week to get, the second and larger order only took a few days from east to west coast, not bad at all. Good selection of products also.</t>
  </si>
  <si>
    <t>nismoman</t>
  </si>
  <si>
    <t>Better prices than Chewy</t>
  </si>
  <si>
    <t>prices good, fast, leaning a but much on subscribing. My cat is an animal - things need to be flexible, not locked into the same food delivered regularly. Can't I get a discount without subscribing?</t>
  </si>
  <si>
    <t>Michael Lord</t>
  </si>
  <si>
    <t>fine, but tired of reviewing everybody</t>
  </si>
  <si>
    <t>Ordered twice and order was canceled with no explanation. Finally called and they said my card/order was suspicious and that I needed to call. I went ahead and ordered from Petco instead. They had no issues with my payment. Then I asked them to take me off their mailing list, which they said they would and low and behold I'm still receiving their emails.</t>
  </si>
  <si>
    <t>SARA LENTZ</t>
  </si>
  <si>
    <t>Ordered twice and order was canceled…</t>
  </si>
  <si>
    <t>I ordered dog food. It was delivered the next day.</t>
  </si>
  <si>
    <t>PM</t>
  </si>
  <si>
    <t>Excellent quick delivery</t>
  </si>
  <si>
    <t>When the item was ordered, I didn’t receive any communication as to when it would arrive that was accurate after the email stating that it was ordered. Also, initially the form of payment used was incorrect and the company didn’t notify me or communicate with me so that I could correct it … they simply cancelled the order.</t>
  </si>
  <si>
    <t>WALTER WILLIAMS</t>
  </si>
  <si>
    <t>quality feed prompt service fair price</t>
  </si>
  <si>
    <t>Always have Fromm dog food in stock. Always received my order within 2 to 3 days. Great service.</t>
  </si>
  <si>
    <t>Caldwell</t>
  </si>
  <si>
    <t>When the item was ordered</t>
  </si>
  <si>
    <t>You ship so fast and I really appreciate, plus your products and prices are really good and affordable. I can count on my dogs getting exactly what they need. Thank you.</t>
  </si>
  <si>
    <t>JEANNETT WASICEK</t>
  </si>
  <si>
    <t>Great customer service when an issue arises.</t>
  </si>
  <si>
    <t>MARY AYALA</t>
  </si>
  <si>
    <t>Fast delivery and great products</t>
  </si>
  <si>
    <t>JOEYC</t>
  </si>
  <si>
    <t>Immediate Response</t>
  </si>
  <si>
    <t>Helen</t>
  </si>
  <si>
    <t>PetFlow's customer service is great!</t>
  </si>
  <si>
    <t>PetFlow's customer service is great! Always someone helpful to answer the phone and solve issues.</t>
  </si>
  <si>
    <t>Carmello</t>
  </si>
  <si>
    <t>Updated Apr 16, 2023</t>
  </si>
  <si>
    <t>Ordering from their website is easy and…</t>
  </si>
  <si>
    <t>Ordering from their website is easy and they have good prices and fast shipping.</t>
  </si>
  <si>
    <t>THERESE KASCHULUK</t>
  </si>
  <si>
    <t>Well it all started with me not…</t>
  </si>
  <si>
    <t>Well it all started with me not noticing that the shipping address was wron. I didn’t notice it until the order was done. So I sent an email and a test if I remember correctly. I then received a phone call and discussed the wrong shipping address with someone who assured me that it would be sent to the correct address ( it was not sent to correct address) so I reached out again to explain what happened and they were wonderful, accommodating and fixed it. They sent a new order to the correct addresses with no charge. I will definitely order with you again. Great customer service</t>
  </si>
  <si>
    <t>Veronica Villanueva</t>
  </si>
  <si>
    <t>Loving Fur Babies parent</t>
  </si>
  <si>
    <t>I had been shopping from another company, but the prices were just getting to steep. I found Petflow.com to have reasonable prices and all the products I needed for my fur babies. The customer service has been great. I recommend Pet Flow to all the parents up fur babies.</t>
  </si>
  <si>
    <t>Ron C.</t>
  </si>
  <si>
    <t>Best for price and delivery</t>
  </si>
  <si>
    <t>I searched the internet and Petflow had the best price for the Blue Buffalo brand. Delivery was quick and we are very satisfied.</t>
  </si>
  <si>
    <t>CHRISTINE SMITH</t>
  </si>
  <si>
    <t>If I could give a rating of zero stars…</t>
  </si>
  <si>
    <t>If I could give a rating of zero stars I would. I order two different times and both were immediately cancelled, no reason given. I texted and emailed you company with no response. I have since started using a different pet company for my needs.
No customer service at all.</t>
  </si>
  <si>
    <t>Rachel</t>
  </si>
  <si>
    <t>Easy to use website</t>
  </si>
  <si>
    <t>Easy to use website! Food arrived on time!</t>
  </si>
  <si>
    <t>GINA</t>
  </si>
  <si>
    <t>PetFlow features fast food for fuss pot cat.</t>
  </si>
  <si>
    <t>You offer fast shipping to my fussy cat who only eats three things. I appreciate your quick turnaround time.</t>
  </si>
  <si>
    <t>Mayra</t>
  </si>
  <si>
    <t>The delivery was delayed</t>
  </si>
  <si>
    <t>The delivery was delayed. I was expecting it Friday and it got pushed until Monday. This was my first time ordering so I'll be wary if I order again and be mindful of the delays. Not sure if this is the experience those on auto ship have</t>
  </si>
  <si>
    <t>LISA Hall</t>
  </si>
  <si>
    <t>Great company for my needs</t>
  </si>
  <si>
    <t>Excellent telephone info and easy to buy/receive what our pets needed. Quality/price were best I could find also.</t>
  </si>
  <si>
    <t>DONNA S.</t>
  </si>
  <si>
    <t>Dog Mom</t>
  </si>
  <si>
    <t>My dog had dental surgery and I needed more Royal Canin canned food. My usual stores out of stock. I discovered PetFlow online. Great price and super fast ship! My new go to store. I recommended to many friends!</t>
  </si>
  <si>
    <t>Peter Di</t>
  </si>
  <si>
    <t>Easy to order on line</t>
  </si>
  <si>
    <t>Easy to order on line, quick delivery and when I called Customer Service they were exceptional!</t>
  </si>
  <si>
    <t>FRANK KENDRICK</t>
  </si>
  <si>
    <t>Good Products and Helpful Employees</t>
  </si>
  <si>
    <t>Only place I can get the small-breed dog food I need. Fairly fast shipping. Very helpful customer service.</t>
  </si>
  <si>
    <t>Christina Clark</t>
  </si>
  <si>
    <t>PetFlow has lost me has a customer</t>
  </si>
  <si>
    <t>PetFlow has lost me has a customer. We've been ordering on a consistent basis since July 2018 (so just shy of 5 years). This final straw has been the last two months when we decided to order all our food for the month in one large order and we have been told we are "fraudulent". Then PetFlow tries to blame our credit card getting declined. When I call our bank they say no charges have come through to be declined. This month I have been calling PetFlow every day and dealing with this for 8 days trying to get food for our family. I have spoken with two supervisors, been told I need to wait 24 hours here or 24 hour there but each day I am still "fraudulent" for trying to place a large order for my family. All I am doing is instead of ordering small quantities every 5-6 days like I use to, I want to order one large order once a month to make my life easier, but apparently that makes a customer of 5 years a fraud. I'm done. I will take my money and order from a company who makes my life simpler and less insulting.</t>
  </si>
  <si>
    <t>Vickie Hancock</t>
  </si>
  <si>
    <t>Great customer service.</t>
  </si>
  <si>
    <t>I’ve been ordering from for my Chihuahua since he was a puppy. He’s now two years old. Everything is so quick and prompt. The best Company I’ve ever dealt with when it comes to my dogs. Thank you.</t>
  </si>
  <si>
    <t>MIKE SEISS</t>
  </si>
  <si>
    <t>I’ve been ordering from for my chihuahuas since he was a puppy, and he is now two years old</t>
  </si>
  <si>
    <t>Amazing company that I’m glad I found. Your prices are great and your customer service is super friendly and helpful.</t>
  </si>
  <si>
    <t>DEANA WOODRUFF</t>
  </si>
  <si>
    <t>Amazing company that I’m glad I found</t>
  </si>
  <si>
    <t>Petflow had the best overall price (with shipping) I could find anywhere, on the items I needed. Shipping took a few days but only one company offers next day delivery and their goods prices are increasing.</t>
  </si>
  <si>
    <t>Marktrimarc</t>
  </si>
  <si>
    <t>Petflow had the best overall price…</t>
  </si>
  <si>
    <t>No problems, fast shipping!</t>
  </si>
  <si>
    <t>CHRIS W</t>
  </si>
  <si>
    <t>Cheaper than Amazon.</t>
  </si>
  <si>
    <t>Karen Armer</t>
  </si>
  <si>
    <t>No problems</t>
  </si>
  <si>
    <t>STEVEN S</t>
  </si>
  <si>
    <t>Great service and price.</t>
  </si>
  <si>
    <t>WE NEVER RECEIVED THIS ORDER!!!
We have received several emails that say our order was delivered but it HAS NOT arrived.</t>
  </si>
  <si>
    <t>MACHACA</t>
  </si>
  <si>
    <t>WE NEVER RECEIVED THIS ORDER!!!</t>
  </si>
  <si>
    <t>Product arrived quickly as I was running low.</t>
  </si>
  <si>
    <t>ROBIN LAWSON</t>
  </si>
  <si>
    <t>Quick delivery and good value.</t>
  </si>
  <si>
    <t>My order for my precious pets arrived promptly and in good condition. My dog’s have loved the food and treats. I have been pleasantly surprised. So much, that I have made a second order.</t>
  </si>
  <si>
    <t>LYNDA CLAVER</t>
  </si>
  <si>
    <t>Product arrived quickly as I was…</t>
  </si>
  <si>
    <t>I ordered 3 Kong toys and my Pitbull just loves them. The squeaker is a prolonged one so it really keeps him entertained.
I would recommend these to anyone who has a curious pup.
As for Petflow, they have a vast array of items and the experience was a pleasant one and I would recommend doing all you pets shopping here😀</t>
  </si>
  <si>
    <t>TED WIATEROWSKI</t>
  </si>
  <si>
    <t>Fast delivery and Fair-priced, excellent service for my Chessie. Thank you</t>
  </si>
  <si>
    <t>TAMMY WIGGINS</t>
  </si>
  <si>
    <t>Speedy Delivery My order for my precious pets arrived…</t>
  </si>
  <si>
    <t>PetFlow had all the information from a purchase from some time ago.
Immediately filled order and sent pet food which arrived in no time.
SMOOTH</t>
  </si>
  <si>
    <t>Jheri</t>
  </si>
  <si>
    <t>Entertaining Squeaky Toy…</t>
  </si>
  <si>
    <t>I ordered well over a week ago and still have not received it.</t>
  </si>
  <si>
    <t>HANNAH SUSAN SELZNICK</t>
  </si>
  <si>
    <t>Fast delivery and Fair-priced</t>
  </si>
  <si>
    <t>The product was just what I was looking for. We have three large dogs and they enjoy the big bones to chew on. The local store that we use to purchase them from, no longer carries them. I told the Vet this and she suggested to go on-line. I found PetFlow and was very happy to find the same bones a a great price. We will be ordering more in another month or so. Thank you!</t>
  </si>
  <si>
    <t>JAMES HEIDEBRECHT</t>
  </si>
  <si>
    <t>PetFlow had all information.</t>
  </si>
  <si>
    <t>Easy to order, fast delivery!</t>
  </si>
  <si>
    <t>Tammy Cox</t>
  </si>
  <si>
    <t>Delivery take too long</t>
  </si>
  <si>
    <t>Amazingly fast shipping. Our dog has allergies so getting the right dog food (consistently) is important. PetFlow has come through twice now for us.</t>
  </si>
  <si>
    <t>JB Walter</t>
  </si>
  <si>
    <t>Great Product and a Great Price</t>
  </si>
  <si>
    <t>Pet Flows price for Science Diet was less expensive than the other online suppliers I checked with. I received my order within two days of ordering. Overall, I was happy with my shopping experience.</t>
  </si>
  <si>
    <t>Janet</t>
  </si>
  <si>
    <t>Easy to order</t>
  </si>
  <si>
    <t>The convenience of having products delivered to my door is a big plus. Dog food is always fresh. If and when I have to call for assistance, everyone is friendly and helpful.</t>
  </si>
  <si>
    <t>Bill D</t>
  </si>
  <si>
    <t>Amazingly fast shipping</t>
  </si>
  <si>
    <t>The order was filled quickly and shipped right to my door. I know, from experience, that if I had a problem with my order, it would be worked out. It is a great company.</t>
  </si>
  <si>
    <t>WR</t>
  </si>
  <si>
    <t>Very Good Experience</t>
  </si>
  <si>
    <t>The items I needed were IN STOCK when I couldn't find them elsewhere. I have switched my subscription service to PetFlow! Fast shipping too!</t>
  </si>
  <si>
    <t>CHERYL HARPER</t>
  </si>
  <si>
    <t>The convenience of having products…</t>
  </si>
  <si>
    <t>Part of my order was incorrect but they promptly took care of it arranging to pick up the incorrect items and delivering the correct ones.</t>
  </si>
  <si>
    <t>MARILYN SMITH</t>
  </si>
  <si>
    <t>The order was filled quickly and…</t>
  </si>
  <si>
    <t>I found the dog food I needed for an excellent price and it was delivered quickly.</t>
  </si>
  <si>
    <t>Stacia Travis</t>
  </si>
  <si>
    <t>The items I needed were IN STOCK when I…</t>
  </si>
  <si>
    <t>I was hesitant after I made the purchase as I looked at the comments and saw how people had trouble with the shipping. I was grateful to have not experienced this. I immediately received a tracking number and my order arrived on time</t>
  </si>
  <si>
    <t>DebNVA</t>
  </si>
  <si>
    <t>Part of my order was incorrect but they…</t>
  </si>
  <si>
    <t>ASHLEY</t>
  </si>
  <si>
    <t>I found the dog food I needed for an…</t>
  </si>
  <si>
    <t>SORAYA F.</t>
  </si>
  <si>
    <t>I was hesitant after I made the…</t>
  </si>
  <si>
    <t>BOBBIE MCGEE</t>
  </si>
  <si>
    <t>Fast shipping and lower prices than…</t>
  </si>
  <si>
    <t>Fast shipping and lower prices than many other places I've bought my dog's favorite brand of food.</t>
  </si>
  <si>
    <t>MEG WHIPPLE</t>
  </si>
  <si>
    <t>They corrected a bad experience.</t>
  </si>
  <si>
    <t>I received a broke ( cracked) pet carrier. They shipped a new one the very next day. It arrived in good condition!</t>
  </si>
  <si>
    <t>Lori</t>
  </si>
  <si>
    <t>Happy!</t>
  </si>
  <si>
    <t>Easy ordering and fast shipping!!</t>
  </si>
  <si>
    <t>ARIELLA</t>
  </si>
  <si>
    <t>The wrong dog bowls were sent</t>
  </si>
  <si>
    <t>The wrong dog bowls were sent, then they wanted me to return them by FedEx and would send me the correct ones, but when they did that, they sent them by FedEx ground and they would not have arrived in time. When I called, they said there was nothing they could do except cancel, and I still have to repackage and return the other bowls via FedEx, which is a huge pain because there isn't a FedEx location very close to me. They offered absolutely nothing in the way of compensation for the mess up or for the inconvenience this caused. I had to go to Petco and buy bowls that were too big, but at least wouldn't be knocked over by my dogs and make a mess everywhere. I will not be ordering from this company again.</t>
  </si>
  <si>
    <t>Ann marie Peskowski</t>
  </si>
  <si>
    <t>pet flow 4 8 23</t>
  </si>
  <si>
    <t>I am a first time customer of Pet Flow. Representative was available upon calling to ask a few questions, The rep was very courteous and knowledgeable answer all my questions? Able to track order which arrived in two days... Yes I will order again...</t>
  </si>
  <si>
    <t>Love them!</t>
  </si>
  <si>
    <t>I love that my dogs, favorite dog food I order gets delivered right to my front door in a matter of two days. What’s better than that?!</t>
  </si>
  <si>
    <t>colleen annes</t>
  </si>
  <si>
    <t>Prompt delivery, perfect condition</t>
  </si>
  <si>
    <t>Prompt delivery, product just as described and arrived without damage.</t>
  </si>
  <si>
    <t>TONYA DEITRICK</t>
  </si>
  <si>
    <t>Came timely!</t>
  </si>
  <si>
    <t>Came timely!! It was easy to order!!</t>
  </si>
  <si>
    <t>Lois Schwechtje</t>
  </si>
  <si>
    <t>Company is very nice to deal with.</t>
  </si>
  <si>
    <t>Ordered prescription food for my diabetic dog. First time with Petflow and the transaction was handled smoothly and correctly. Order arrived on time and as expected.</t>
  </si>
  <si>
    <t>Doug</t>
  </si>
  <si>
    <t>Ordered prescription food for my…</t>
  </si>
  <si>
    <t>Wonderful company. Great selection of products, super quick shipping, very reasonable prices and outstanding customer service.</t>
  </si>
  <si>
    <t>Canine Mom</t>
  </si>
  <si>
    <t>Wonderful company</t>
  </si>
  <si>
    <t>Great pricing, free shipping and acceptable shipping time!</t>
  </si>
  <si>
    <t>BERNIE HAMBLIN</t>
  </si>
  <si>
    <t>Great pricing</t>
  </si>
  <si>
    <t>Ordering was easy and the shipping was fast.</t>
  </si>
  <si>
    <t>Cheryl Robinson</t>
  </si>
  <si>
    <t>Ordering was easy and the shipping was…</t>
  </si>
  <si>
    <t>Petflow is always in stock and ships immediately. My pet supplies arrive in perfect condition. No complaints here!!!</t>
  </si>
  <si>
    <t>MARILYN KEMPINSKI</t>
  </si>
  <si>
    <t>PetFlow website is easy to navigate. My order was processed and shipped quickly and accurately.</t>
  </si>
  <si>
    <t>KATHERINE GISMONDI</t>
  </si>
  <si>
    <t>Love PetFlow</t>
  </si>
  <si>
    <t>Sitejabber Website Reviews and Complaints
Thanks – your review was successfully submitted. Woo hoo! 🎉
Our internal mod team will take a look and notify you when it’s posted.
Thumbnail of user ardigoc
Ardigo C.
0 reviews 0 helpful votes
Whew!
April 6th, 2023
I ordered a few items from chewy and then couldn't find the dog food I always order and found it on this site and ordered it on here. I immediately got a email confirmation from Chewy but not from this site. I was nervous and saw a lot of bad reviews and tried to cancel my order, but could not figure out how to do it. But, I started getting emails, About a half hour after my order, confirming it and then text messages. I received other emails and text messages offering me coupons and special deals. Always keeping me informed. The next morning I got an email and a text message that my order was shipped and the next day my order arrived! I was excited to find this product because chewy does not have it anymore and on Amazon It was double the price. Maybe the bad reviews were for a product that was low stock or maybe the company was just starting out? I'm glad everything worked out. I was nervous at first!
Products used:
Dog food</t>
  </si>
  <si>
    <t>PAULETTE VOCU</t>
  </si>
  <si>
    <t>PetFlow website is easy to navigate</t>
  </si>
  <si>
    <t>Fast delivery, always have what I want at reasonable prices.</t>
  </si>
  <si>
    <t>Harold</t>
  </si>
  <si>
    <t>Sitejabber Website Reviews and…</t>
  </si>
  <si>
    <t>I ordered my dog's food and it came right in time!</t>
  </si>
  <si>
    <t>GORDON BRYANT</t>
  </si>
  <si>
    <t>Fast delivery</t>
  </si>
  <si>
    <t>Was happy to get our new puppy the food we were looking for at a good deal. However, the dog food bag had a hole in it food was scattered everywhere and the box was falling apart (which was not a big deal except for that our food bag had a hole in it).</t>
  </si>
  <si>
    <t>MARION MOHR</t>
  </si>
  <si>
    <t>I ordered my dog's food and it came…</t>
  </si>
  <si>
    <t>WA</t>
  </si>
  <si>
    <t>Was happy to give our new puppy the food…</t>
  </si>
  <si>
    <t>RAY VITALE</t>
  </si>
  <si>
    <t>Fast easy service</t>
  </si>
  <si>
    <t>Fast easy service, timely delivery and easy return. We’ll be back to order again in the future.</t>
  </si>
  <si>
    <t>BARBARA SWANSON</t>
  </si>
  <si>
    <t>My order experience was great!</t>
  </si>
  <si>
    <t>My order was correct, came quickly, and was as advertised. My doggos love love love this food, and I loved the ordering experience!</t>
  </si>
  <si>
    <t>EL ROAKE</t>
  </si>
  <si>
    <t>My order hasn’t been shipped after over…</t>
  </si>
  <si>
    <t>My order hasn’t been shipped after over a week. When I reached out I was told I had to call management. I’m glad I received a prompt response, but I don’t want to call anyone, and I didn’t want to wait any longer so I went back to chewy, although your prices were a fraction better. But my animals can’t wait. Thank you</t>
  </si>
  <si>
    <t>MCKEONE, ALONNA</t>
  </si>
  <si>
    <t>Excellent Items</t>
  </si>
  <si>
    <t>Excellent Items! Packing was also excellent and fast shipping. Will order again</t>
  </si>
  <si>
    <t>Great Variety, Prices and Prompt Shipment!</t>
  </si>
  <si>
    <t>Most items are always in stock and reasonably priced. My orders are shipped promptly. Keep up the great work!!</t>
  </si>
  <si>
    <t>ALEXANDRA MENDIZABAL</t>
  </si>
  <si>
    <t>Very nice and quick with my order…</t>
  </si>
  <si>
    <t>Very nice and quick with my order unlike some other companies who delay my package love it and the coupons please send more because we in a recession thank you</t>
  </si>
  <si>
    <t>Barb W.customer</t>
  </si>
  <si>
    <t>Been ordering from PetFlow for a few…</t>
  </si>
  <si>
    <t>Been ordering from PetFlow for a few years now. They have fast shipping, and always get my order correct. I also like that they have many different foods and products to choose from.</t>
  </si>
  <si>
    <t>Pamela M</t>
  </si>
  <si>
    <t>My first time with PetFlow</t>
  </si>
  <si>
    <t>My first time with PetFlow. It was a fluke how I heard about them. Glad I did. Wonderful website and easy to use (I'm not a tech savvy person). Love the auto-delivery discount and the variety they have. My little one's flavor of Pure Vita dog food is hard to find online but PetFlow had it! I was also very satisfied with the delivery. Happy customer and will continue to order from them.</t>
  </si>
  <si>
    <t>VH</t>
  </si>
  <si>
    <t>Never received dog food.</t>
  </si>
  <si>
    <t>Always a positive experience! Quick delivery and has always resolved promptly if there are any issues!</t>
  </si>
  <si>
    <t>ALLEN KAROL</t>
  </si>
  <si>
    <t>Always a positive experience</t>
  </si>
  <si>
    <t>Quick delivery, good prices, and trustworthy. We always get what we ordered. Thank you!</t>
  </si>
  <si>
    <t>shellie hall</t>
  </si>
  <si>
    <t>Quick delivery</t>
  </si>
  <si>
    <t>REPRESENTATIVES ARE VERY UNDERSTANDING AND EASY TO WORK WITH.</t>
  </si>
  <si>
    <t>MARYANN KURTZ</t>
  </si>
  <si>
    <t>REPRESENTATIVES ARE VERY UNDERSTANDING…</t>
  </si>
  <si>
    <t>I had a little trouble placing the order initially but that was apparently me rather than the site. Once the order was placed I received an email stating that one of the items was out of stock and would ship from another location. I went to the website and found that on the remaining parts of the order shipping was charged, even though the original order was large enough for free shipping. A phone call remedied that problem and the shipping charges were refunded. Overall not a bad experience for my first order.</t>
  </si>
  <si>
    <t>LISA PEAK</t>
  </si>
  <si>
    <t>Rep always gets back to me immediately.</t>
  </si>
  <si>
    <t>you have decent prices, quality products -- i am a customer for life</t>
  </si>
  <si>
    <t>Donald Coffman</t>
  </si>
  <si>
    <t>Not great but went okay.</t>
  </si>
  <si>
    <t>Both times that we have ordered. We have gotten out purchase when promised.
Only thing I have that may need to be worked on is the ordering site. It took me like 4 times to finally fulfill my order.</t>
  </si>
  <si>
    <t>DRU hofmann</t>
  </si>
  <si>
    <t>you have decent prices</t>
  </si>
  <si>
    <t>Love Pet Flow..been using them for 8 years now!</t>
  </si>
  <si>
    <t>LEYLA DAVIS</t>
  </si>
  <si>
    <t>Happy Willow, happy Fern!!!</t>
  </si>
  <si>
    <t>I've never heard of this company and they sent me an order confirmation. Wouldn't tell me what credit card was used but apparently someone is targeting them -- to gain what, I have no idea. How does using a stolen credit card to ship something to someone who didn't order going to benefit anyone except the merchant who gets the sale?</t>
  </si>
  <si>
    <t>LESLIE SEELEY</t>
  </si>
  <si>
    <t>Love Pet Flow..been using them for 8…</t>
  </si>
  <si>
    <t>Petflow is amazing. The dog food I ordered was out of stock from the other company I have used and so I was so pleased Petflow had it in stock. It got to me quickly which surprised me since it came Fed Ex who I have not had a great experience with for speedy delivery. So thrilled as I was about out of food. Thank you Petflow!!!</t>
  </si>
  <si>
    <t>Scammed User</t>
  </si>
  <si>
    <t>Scammed and never ordered</t>
  </si>
  <si>
    <t>All of my experiences with PetFlow are amazing.</t>
  </si>
  <si>
    <t>Jane Collier</t>
  </si>
  <si>
    <t>Petflow is amazing</t>
  </si>
  <si>
    <t>SporeSharon R. Goltz</t>
  </si>
  <si>
    <t>All of my experiences with PetFlow are…</t>
  </si>
  <si>
    <t>ANTONIO POPJORDANOV</t>
  </si>
  <si>
    <t>Payment glitches, long waits with Call Centre</t>
  </si>
  <si>
    <t>The first attempt to pay failed due to a fraud control with my credit card. After I approved it, the website did not let me retry the payment, it was some glitch. I attempted calling PetFlow during business hours but I was put on an endless wait of over 20 minutes. I ended up cancelling my order by e-mail, which was taken care of.</t>
  </si>
  <si>
    <t>Linda Croll Howell</t>
  </si>
  <si>
    <t>Very quick delivery and high quality…</t>
  </si>
  <si>
    <t>Very quick delivery and high quality products. I really appreciated how good they were at communicating the status of the order as well. Will definitely shop with them again.</t>
  </si>
  <si>
    <t>SUSAN LANGMAN</t>
  </si>
  <si>
    <t>You should have known when I placed my…</t>
  </si>
  <si>
    <t>You should have known when I placed my order that you DID NOT have it in stock</t>
  </si>
  <si>
    <t>Great experience!!!!!!</t>
  </si>
  <si>
    <t>Easy shopping. Great products. Comparable prices. Fast shipping</t>
  </si>
  <si>
    <t>Mike Miller</t>
  </si>
  <si>
    <t>Shipping was quick</t>
  </si>
  <si>
    <t>Shipping was quick. And the order was right. The prices are getting awful high, but I guess that is the due to our rotten economy.</t>
  </si>
  <si>
    <t>JennaK</t>
  </si>
  <si>
    <t>If I could give you a 0 star I would</t>
  </si>
  <si>
    <t>If I could give you a 0 star I would. I was a new customer and I purchased a bag of dog food for my dog that has a super sensitive stomach. I waited 5 days and the food never arrived, so I had to call customer service for them to FINALLY tell me that I was " flagged for fraud " ??? So my dog had NO food, and you never felt the need to send me an email letting me know there was an error with my order. I order things everyday online and have never gotten or heard of getting flagged for fraud. Even when I told customer service about the situation and how my dog now has no food because no one let me know there was a problem with my order, she never offered a discount or help to figure out the situation. You lost a customer who would've done auto ship every month for my dogs food he needs.</t>
  </si>
  <si>
    <t>BUYER BEWARE!!</t>
  </si>
  <si>
    <t>BUYER BEWARE!!! PetFlow had so many excuses as to why they couldn’t ship my prescription order; cc wouldn’t work, vet clinic wasn’t on record (it was), my account was flagged for fraud…informed fraud dept would reach out to me. Never happened and then my order of hard to find food went on back order. I told PetFlow to cancel my account. CHEWY is much better. Fast shipping, great customer service, in stock products.</t>
  </si>
  <si>
    <t>Linda Rucker</t>
  </si>
  <si>
    <t>quick service</t>
  </si>
  <si>
    <t>quick service. easy to use</t>
  </si>
  <si>
    <t>BRENDA PEREZ-GOODRUM</t>
  </si>
  <si>
    <t>I have not received my product</t>
  </si>
  <si>
    <t>I buy canned dog food. I should have split my order into two because I could have taken advantage of two discounts that way. It was an expensive order, but I only used one discount. My fault and it cost me.
Petflow has the best price on the dog food that I buy. I tell people in the pet food isle in Walmart to consider going to you for pet food.
What is the point of offering one order of two cases of canned dog food for the same price as two orders of one case? Your site implies that the two case order is less expensive, but it isn't.</t>
  </si>
  <si>
    <t>Daniel Hollingsworth</t>
  </si>
  <si>
    <t>I still have not received my order.</t>
  </si>
  <si>
    <t>Web site needs to be a little eiser to use. I have a hard time adjusting the auto ship without out deleting the product and resubmitted to increase or decrease the amount of product.
Also, I need pigeon grit to be added for sale. I also use Versa laga for the grit. Red Stone.</t>
  </si>
  <si>
    <t>PG</t>
  </si>
  <si>
    <t>Best price I have found for Dog Food</t>
  </si>
  <si>
    <t>PetFlow has food and toys my dogs love. The website is easy to use, and my orders arrive quickly.</t>
  </si>
  <si>
    <t>JEFF</t>
  </si>
  <si>
    <t>Web site</t>
  </si>
  <si>
    <t>Customer service is awesome; ordering online is quick and easy; my dog loves these treats</t>
  </si>
  <si>
    <t>Karen</t>
  </si>
  <si>
    <t>PetFlow has food and toys my dogs love</t>
  </si>
  <si>
    <t>Super delivered my home the price is good</t>
  </si>
  <si>
    <t>MARY BETH DIDION</t>
  </si>
  <si>
    <t>Customer service is awesome</t>
  </si>
  <si>
    <t>Very helpful polite phone staff, and prompt delivery. A positive shopper experience. Will continue to shop for my cats Rx food from Petflow.</t>
  </si>
  <si>
    <t>Joannie Maheux</t>
  </si>
  <si>
    <t>Super delivered my home the price is…</t>
  </si>
  <si>
    <t>I placed an order, my card was charged and then credited a day or so later and then I was locked out of my account. I created another account and the same thing happened, all for no reason, and my orders were never shipped. It was a waste of my time and I don't understand what the problem was.</t>
  </si>
  <si>
    <t>NANCY ADDESSO</t>
  </si>
  <si>
    <t>Very helpful polite phone staff</t>
  </si>
  <si>
    <t>Well, you know what they say about 1st impressions!
The CSR's are never on the same page when asked the same questions. When CSR's were asked when will I receive my shipment? Answers varied between CSR's.
One CSR said everything will ship on Monday, while yet another said we are out of the shampoo, so not sure? Another one said PetFlow was out of the dry cat food and was not sure? Your hold and wait times are crazy! Some CSR's seemed better trained than others?</t>
  </si>
  <si>
    <t>HAILEY SUMPTER</t>
  </si>
  <si>
    <t>Delivery slower than Chewy. Occasionally, items are sold out.</t>
  </si>
  <si>
    <t>MICHAEL MOORE</t>
  </si>
  <si>
    <t>Locked out of website, orders not shipped</t>
  </si>
  <si>
    <t>Jerry Divijak</t>
  </si>
  <si>
    <t>The Ebb and Flow Of PetFlow's CSR's</t>
  </si>
  <si>
    <t>ANDRE HENDERSON</t>
  </si>
  <si>
    <t>Very good overall</t>
  </si>
  <si>
    <t>DONNA PEREZ</t>
  </si>
  <si>
    <t>Came quickly and efficiently</t>
  </si>
  <si>
    <t>It is only recently that we came back to PetFlow after a period of being away. No particular reason for this. We are very pleased with the experience and will be coming back as a customer. Meanwhile, we had been doing business with a major competitor of yours and their customer service has fallen off noticeably for the past few months. Keep up the good work!</t>
  </si>
  <si>
    <t>MURRAY RITLAND</t>
  </si>
  <si>
    <t>Great Service from PetFlow</t>
  </si>
  <si>
    <t>My dogs were having an allergy attack and you gave me ideas on what to do, what to buy for the allergies, it really helped</t>
  </si>
  <si>
    <t>KRISTINA DUROCHER</t>
  </si>
  <si>
    <t>Canceled my orders without notification</t>
  </si>
  <si>
    <t>Shipping was super-fast, and Koko got her favorite food at a price that left me amazed (not to mention a bit piqued at myself for paying so much more from 2 other major online stores for the last several years). Note that this wasn't any kind of sale, it was PetFlow's regular price. So glad I found them!</t>
  </si>
  <si>
    <t>Diane Stewart</t>
  </si>
  <si>
    <t>Terrific service.</t>
  </si>
  <si>
    <t>Pet Flow always gets my order right and delivers in a couple of days.</t>
  </si>
  <si>
    <t>DELAINE ENDL</t>
  </si>
  <si>
    <t>My dogs were having an allergy attack…</t>
  </si>
  <si>
    <t>They had the product I needed at a great price. Fast shipping too!!</t>
  </si>
  <si>
    <t>SHEILA ROBBINS</t>
  </si>
  <si>
    <t>Fast shipping and amazing value</t>
  </si>
  <si>
    <t>Place order for the first time on PETFLOW for a difficult product to find on 3/16/23. After almost two weeks, 3/28/23, I attempted to log in to my account on the website, which had been deleted! My payment had post via my bank on 3/17/23 and no refund. So I called customer service and was told my order had been cancelled! Strange....I had not received a refund or email to inform me? Anyway, the very pleasant women fix every thing and it became a Happy Ending!!!</t>
  </si>
  <si>
    <t>GARY ROLD</t>
  </si>
  <si>
    <t>Pet Flow gets it right.</t>
  </si>
  <si>
    <t>Ordering was very easy and cost was less than most places. Shipping time was outstanding, 3-4 days and that was over a weekend.</t>
  </si>
  <si>
    <t>Dian</t>
  </si>
  <si>
    <t>They had the product I needed at a…</t>
  </si>
  <si>
    <t>I had some issues on broken items due to poor packaging. I let Pet Flow know and they took care of it. I have been using pet Flow for a long time and this is my first problem. YES I will keep purchasing from Pet Flow.</t>
  </si>
  <si>
    <t>KIMBERLY COLEMAN</t>
  </si>
  <si>
    <t>Order Cancelled???</t>
  </si>
  <si>
    <t>My order was canceled. I was given no notification about the cancellation. Additionally, when I talked to a customer service person to inquire, they were not helpful either. They couldn’t tell me what caused the cancellation because payment is done through a third party. It was a very strange experience.</t>
  </si>
  <si>
    <t>VERA WILSON</t>
  </si>
  <si>
    <t>Ordering was very easy and cost was…</t>
  </si>
  <si>
    <t>The products I needed were very reasonably priced and delivered to my door step quickly.</t>
  </si>
  <si>
    <t>Mully</t>
  </si>
  <si>
    <t>Pet Flow</t>
  </si>
  <si>
    <t>Shame on PETFLOW!
The shipment of dog food for 17 and 13 year old dogs FAILED to be shipped.
Ordered on 3/14/2023. I was informed my Vet had approved the Hill's Prescription w/d canned dog food.
On 3/25/2023, PETFLOW informed me "due to uncertain times, we're currently delayed on email" - too busy to fulfill an order?
On 3/27/2023 I called 888-316-7297 to determine what was the delay in the shipment. I was told your FRAUD DEPARTMENT cancelled the order without informing me - why!
Let me remind you, THIS IS NO WAY TO RUN A SUCCESSFUL ORDER-ON-LINE DOG FOOD COMPANY! And needless to say, I will never use your company again!
Shame on you, PETFLOW, and your Fraud Department for neglecting to provide food for senior dogs!
Benay and The Girls
On Mar 25, 2023, at 10:08 AM, PetFlow Customer Support wrote:
##- Please type your reply above this line -##
Thanks for contacting PetFlow!
Due to these uncertain times, we're currently delayed on email. We're doing our best to get to every email as soon as possible. If this is urgent, please call 888-316-7297
If there's anything you'd like to add in the meantime, feel free to respond to this email. We're always here and happy to help!
Thank you!
This email is a service from PetFlow.
MY ACCOUNT &gt;
PetFlow - prescriptions fulfilled by Vetsource
WE'RE ON IT.
We just received
your order!
WE'LL EMAIL YOU A SHIPPING CONFIRMATION SOON.
ORDER NUMBER: 10982207
PRESCRIPTION ORDERS:
Please allow an extra 1-2 additional business days while we contact your veterinarian to verify your prescription before your order ships.
You will receive a shipping confirmation email with tracking number once your order has shipped. Please note all medications and some prescription foods ship separately from other items. Prescriptions are fulfilled by Vetsource.
ITEMS ORDERED
(Shipment 1 of 1)
Cloud Star Buddy Biscuits Soft and Chewy Peanut Butter Dog Treats
6-oz
Price / QTY
$5.24 x 1
Total
$5.24
Hill's Prescription Diet w/d Canine Multi-Benefit Chicken Flavor Wet Dog Food
13-oz, case of 12
Price / QTY
$53.99 x 1
Total
$53.99
Gourmet Natural Bully Sticks
6-inch, 5-pack
Price / QTY
$5.99 x 1
Total
$5.99
SHIPPING ADDRESS
4971 WILLEO RIDGE COURT
MARIETTA, GA 30068
Subtotal $65.22
Shipping $0.00
Tax $0.00
Total $65.22
Hi Benay,
Thank you for your order 10982207. If you wish to make changes, you can log into your account to modify your order. If you have any questions or need any assistance, you can also call us (888-316-7297), text us (833-316-1577) or reply to this email.
We'd Love Your Feedback!
Need Help
NEED HELP? CALL
1-888-316-7297
shop clearance
SHOP
CLEARANCE
Refer a Friend and Earn 10 Dollars
GIVE $10,
GET $10
Copyright 2021 PetFlow, All rights reserved. Privacy Policy
9340 W Martin Ave, Las Vegas, NV 89148
Visit our email preference page to Unsubscribe or Change Your Email Preferences.
View in Browser</t>
  </si>
  <si>
    <t>TARA OLSON</t>
  </si>
  <si>
    <t>My order was canceled</t>
  </si>
  <si>
    <t>Good product, good service</t>
  </si>
  <si>
    <t>GA Dog Lover</t>
  </si>
  <si>
    <t>Great Pet Products and Quick Delivery</t>
  </si>
  <si>
    <t>First time purchase, two orders were cancelled for no reasons. I called customer service and they said they will investigate and send me an explanation email. Received no explanation, nothing…and agent attitude was terrible. One of the order refund has not been issued until I called second time. Terrible shopping experience, I will never use this website again.</t>
  </si>
  <si>
    <t>B E Gunbye</t>
  </si>
  <si>
    <t>Shame on PETFLOW!</t>
  </si>
  <si>
    <t>I did not order anything but received multiple emails about an order being delivered to my name and my address
I didn’t receive anything
Something is seriously amiss here</t>
  </si>
  <si>
    <t>Daniel Gotten</t>
  </si>
  <si>
    <t>Overrall, the experience with this online vendor is excellent; however, they frequently run out of products often. Sometimes they delay thr shipments.
The possitive is that they try to help the clients when they call on the phone.</t>
  </si>
  <si>
    <t>XS</t>
  </si>
  <si>
    <t>First time purchase, terrible experience</t>
  </si>
  <si>
    <t>PetFlow is my first choice for dog supplies. Great customer service and friendly people who genuinely care about their customers.</t>
  </si>
  <si>
    <t>kathleen armstrong</t>
  </si>
  <si>
    <t>I did not order anything but received…</t>
  </si>
  <si>
    <t>I never placed an order with you but my credit card was charged by someone else.</t>
  </si>
  <si>
    <t>MARTHA KROGSTAD</t>
  </si>
  <si>
    <t>My cats store</t>
  </si>
  <si>
    <t>Leisure world</t>
  </si>
  <si>
    <t>PetFlow is the best</t>
  </si>
  <si>
    <t>TERRY RICHARDSON</t>
  </si>
  <si>
    <t>I never placed an order with you but my…</t>
  </si>
  <si>
    <t>MOLLY B</t>
  </si>
  <si>
    <t>Prices are very competitive</t>
  </si>
  <si>
    <t>Prices are very competitive. Shipment arrived very quickly.</t>
  </si>
  <si>
    <t>Keith Dugas</t>
  </si>
  <si>
    <t>Great price with opportunity to get…</t>
  </si>
  <si>
    <t>Great price with opportunity to get free shipping. Fast and accurate shipping and order filling. They had the dog food I was looking for.</t>
  </si>
  <si>
    <t>DARREN MAGUIRE</t>
  </si>
  <si>
    <t>I still haven’t received my order…</t>
  </si>
  <si>
    <t>I still haven’t received my order…
It took over two weeks to receive a call from Petflow after placing my order. Evidently they didn’t have my full address. That has been at least a week and still have not received a shipping notification. I ordered puppy food because my dog needs to eat. Three weeks and counting is a disgrace. I had to order elsewhere while waiting. I received that order the next day. I did not cancel my order because I can still use this food for my puppy. Unfortunately I will not order from this company again. I would like this order resolved soon!</t>
  </si>
  <si>
    <t>VICKIE NELSON</t>
  </si>
  <si>
    <t>pleased with this company</t>
  </si>
  <si>
    <t>good company, nice people that can be reached by phone right away- no robots!
good selection of products and very helpful and do not rush you
PetFlow carries my favorite cat and dog food- Orijen.</t>
  </si>
  <si>
    <t>Matt C</t>
  </si>
  <si>
    <t>Easy, fast, and best price!</t>
  </si>
  <si>
    <t>I ordered 8 boxes of 20-pound cat litter. I got a great deal, 48-hr. shipping, and an easy shopping experience. Plus, Raukten had 4% cash back. This was a better deal than chewy.com, which is usually the best. I am very happy!</t>
  </si>
  <si>
    <t>Sheryl S</t>
  </si>
  <si>
    <t>Fast delivery
Accurate order</t>
  </si>
  <si>
    <t>Jeffrey B</t>
  </si>
  <si>
    <t>Good products at good prices delivered…</t>
  </si>
  <si>
    <t>Good products at good prices delivered timely.</t>
  </si>
  <si>
    <t>Taylor Smith</t>
  </si>
  <si>
    <t>Very good service!!</t>
  </si>
  <si>
    <t>Very good service, thank you!</t>
  </si>
  <si>
    <t>STEFANIE ROSENTHAL</t>
  </si>
  <si>
    <t>Shipment 3 different times</t>
  </si>
  <si>
    <t>Every time I order from PetFlow I get fast service. It's nice to know when I need food or treats or toys they are on their way quickly. I also like receiving tracking information to keep in the loop.</t>
  </si>
  <si>
    <t>Brenda M</t>
  </si>
  <si>
    <t>Great service with Speed.</t>
  </si>
  <si>
    <t>Order canceled for no reason or notice given</t>
  </si>
  <si>
    <t>Tim</t>
  </si>
  <si>
    <t>Order canceled for no reason or notice…</t>
  </si>
  <si>
    <t>Great Prices. Fast delivery. Almost everything for taking care of your pets.</t>
  </si>
  <si>
    <t>FRANK W</t>
  </si>
  <si>
    <t>Great Prices Fast delivery</t>
  </si>
  <si>
    <t>Did not like that I buy a membership in order to save on my purchase…very disappointed with that part of checkout</t>
  </si>
  <si>
    <t>DANA FEHSAL</t>
  </si>
  <si>
    <t>Did not like that I buy a membership in…</t>
  </si>
  <si>
    <t>Left product out by the street in the rain...It was covered in plastic....but still by the street is bad news.</t>
  </si>
  <si>
    <t>Stella</t>
  </si>
  <si>
    <t>Left product out by the street in the…</t>
  </si>
  <si>
    <t>I ordered some Guinea pig food and the price was better than any other place! It shipped out fast and the company did a great job emailing when it shipped out with tracking. The products arrived perfectly packaged in a box that was just the right size for the shipment and nothing was damaged including the strong shipping box! Thank you and I am referring others to your web site!</t>
  </si>
  <si>
    <t>Mary Schings</t>
  </si>
  <si>
    <t>I ordered some Guinea pig food and the…</t>
  </si>
  <si>
    <t>I have ordered twice now from this company. Fast shipping, boxes arrived in tact, no problems.</t>
  </si>
  <si>
    <t>Smileyone</t>
  </si>
  <si>
    <t>Dry dog foods.</t>
  </si>
  <si>
    <t>I had been looking for best auto ship on wet cat food and found PetFlow to be the best. They ship quickly and the whole experience is just great!</t>
  </si>
  <si>
    <t>Catgirl</t>
  </si>
  <si>
    <t>I had been looking for best auto ship…</t>
  </si>
  <si>
    <t>Good prices, great customer service. You also carry brands that mainstream stores do not.</t>
  </si>
  <si>
    <t>Edmond Kachurak</t>
  </si>
  <si>
    <t>Good prices</t>
  </si>
  <si>
    <t>I ordered dog food to be sent to my daughters while she is keeping my dog. You evidently canceled my order and was not advised by Petflow.</t>
  </si>
  <si>
    <t>NANCY HARVEY</t>
  </si>
  <si>
    <t>I ordered dog food to be sent to my…</t>
  </si>
  <si>
    <t>I always did love PetFlow. Only switched after years of buying from them because it took a bit longer to receive the product than was convenient. After finding out that they carry a product I was not able to get at my current pet food company I decided to try again. It is still slower than I like, but much better! Other than that, AAA+++</t>
  </si>
  <si>
    <t>Huckabee's Place</t>
  </si>
  <si>
    <t>I always did love PetFlow</t>
  </si>
  <si>
    <t>ALBERTA WALKER</t>
  </si>
  <si>
    <t>Account flagged as fraud</t>
  </si>
  <si>
    <t>Account flagged as fraud. Long wait time for customer service. Had to give credit card info over phone. Can’t get a password email reset even though you recognize my email address. So, can’t access account.</t>
  </si>
  <si>
    <t>Lisa Mitchell</t>
  </si>
  <si>
    <t>REAL Customer Service Reps</t>
  </si>
  <si>
    <t>Petflow published an anniversary discount of 25% for orders over $100. I was so frustrated when my order wouldn't accept the discount. I called Petflow - and spoke to a REAL PERSON! (Bonus Points) Better still, the customer service rep was apologetic, friendly and worked with me to get the discount applied to my order. They certainly turned around what could have been a sour interaction.</t>
  </si>
  <si>
    <t>SANDY SPENCER</t>
  </si>
  <si>
    <t>Website takes too long to navigate.</t>
  </si>
  <si>
    <t>Website takes too long to navigate.
Shipping takes too long.
7 days from order to delivery.</t>
  </si>
  <si>
    <t>ROBERT THRUSH</t>
  </si>
  <si>
    <t>Great prices fast shipping only…</t>
  </si>
  <si>
    <t>Great prices fast shipping only compliant is several cans were dented but they were still sealed.</t>
  </si>
  <si>
    <t>HEATHER</t>
  </si>
  <si>
    <t>This is a fake account</t>
  </si>
  <si>
    <t>This is a fake account. I already called my bank and you a few weeks ago. Someone is using my email address &amp; an old card that is already marked fraudulent to purchase cat supplies. I don’t even own a cat. I have unsubscribed and continue to get these emails from your company. When I called the lady I spoke with said she was deleting account and removing my email address so why do I continue to get these emails thanking me for my purchase??</t>
  </si>
  <si>
    <t>PATRICK KELLEY</t>
  </si>
  <si>
    <t>friendly competent person that took…</t>
  </si>
  <si>
    <t>friendly competent person that took care of my problem quickly</t>
  </si>
  <si>
    <t>BRENT NEW</t>
  </si>
  <si>
    <t>The 1 star may or may not be fair</t>
  </si>
  <si>
    <t>The 1 star may or may not be fair, but it’s to make a point. I have not prior history or account with PetFlow. I randomly started receiving multiple daily emails from PetFlow regarding multiple orders made (including order updates) to multiple people in multiple states. I sent them to junk and tried to unsubscribe, but it continued. It did not appear that any of my accounts or credit cards were used. I researched and it appeared that PetFlow is a legitimate company but has several BBB concerns. I called PetFlow initially and was on hold for quite a while, then gave up. Emails persisted. Called again a few days later and spoke to a human who was very nice and deduced that multiple fraudulent accounts had been opened, attached to my email. She reported to cancel them. It’s only been a few days and there are some persistent emails but less so. I think it’s too early to tell whether the problem is resolved. Hopefully it is. If so, then it would appear PetFlow is not at fault and handled the issue appropriately.</t>
  </si>
  <si>
    <t>Cat Mom</t>
  </si>
  <si>
    <t>Horrible.</t>
  </si>
  <si>
    <t>I ordered cat food and when it didn't come and I was just running out, I called. They didn't even bother to tell me that it had been cancelled because they couldn't verify that the order was from a real person.</t>
  </si>
  <si>
    <t>Sho En Kan Nei</t>
  </si>
  <si>
    <t>The round cat scratcher fitted perfectly</t>
  </si>
  <si>
    <t>The round cat scratcher fitted perfectly inside a round woven basket that my cats love. I had to remove the cardboard supports, which was easy to do.
Many thanks!</t>
  </si>
  <si>
    <t>DANIEL MERRILL</t>
  </si>
  <si>
    <t>Not sure why but I had a monthly…</t>
  </si>
  <si>
    <t>Not sure why but I had a monthly subscription set up with my name, old address, and some credit card I don't own. Not sure what caused it. The website wouldn't let me cancel anything so I had to call in to talk with someone and get them to cancel it. The person was really helpful but it was still a pain in the ass an worrying.</t>
  </si>
  <si>
    <t>Nina</t>
  </si>
  <si>
    <t>Easy online ordering and product came…</t>
  </si>
  <si>
    <t>Easy online ordering and product came as promised with no issues.</t>
  </si>
  <si>
    <t>Carol Lloyd</t>
  </si>
  <si>
    <t>Pricing</t>
  </si>
  <si>
    <t>Pricing, ease of using your website</t>
  </si>
  <si>
    <t>DAVID GROVES</t>
  </si>
  <si>
    <t>we received a shipment from petflow and…</t>
  </si>
  <si>
    <t>we received a shipment from petflow and never made an order. When we contacted petflow, customer service rescinded the order and sent a notice to FedEx to pick up the package. We were supposed to leave the package outdoors. After 2 days, we contacted customer service again to pick up the package. FedEx picked it up and then we got a notice that petflow was sorry that our package was late and FedEx redelivered the same package. Luckily we caught FedEx before he left and returned the package.</t>
  </si>
  <si>
    <t>Bob Johnson</t>
  </si>
  <si>
    <t>I keep getting emails about orders I…</t>
  </si>
  <si>
    <t>I keep getting emails about orders I did not submit showing a shipping address in Mexico, NY. I am reluctant to click on any link in their email message and will not call the number listed as this appears to be a scam.</t>
  </si>
  <si>
    <t>PETER NGUYEN</t>
  </si>
  <si>
    <t>Excellent service</t>
  </si>
  <si>
    <t>Excellent service, super fast delivery.</t>
  </si>
  <si>
    <t>ALYSSA HARA</t>
  </si>
  <si>
    <t>This was a fraudulent purchase</t>
  </si>
  <si>
    <t>The first time I used the automatic dog bowl it leaks around fitting</t>
  </si>
  <si>
    <t>BRANDON PHILLIPS</t>
  </si>
  <si>
    <t>The first time I used the automatic dog…</t>
  </si>
  <si>
    <t>My purchased was flagged and canceled.I have called twice and no one can tell me why!.i am pissed!</t>
  </si>
  <si>
    <t>ANNE JENNINGS</t>
  </si>
  <si>
    <t>My purchased was flagged and canceled.I…</t>
  </si>
  <si>
    <t>Ordered 3 times from Petflow, great customer service every time. They answer calls, respond to emails, and honestly do everything you would want from a company. Not to mention affordable prices.</t>
  </si>
  <si>
    <t>Kyle</t>
  </si>
  <si>
    <t>Ordered 3 times from Petflow</t>
  </si>
  <si>
    <t>2 33 lb. bags of dog food in one box is TOO HEAVY! I can’t move it.</t>
  </si>
  <si>
    <t>Andrew Stevenson</t>
  </si>
  <si>
    <t>Too Heavy!</t>
  </si>
  <si>
    <t>Victoria</t>
  </si>
  <si>
    <t>I am getting emails about orders I did…</t>
  </si>
  <si>
    <t>I am getting emails about orders I did not place. I have replied back numerous times I am not Jeff and I have not placed ANY orders with you, and based on this experience, I never will. I would like you to leave me alone</t>
  </si>
  <si>
    <t>Consumer</t>
  </si>
  <si>
    <t>Poor delivery time</t>
  </si>
  <si>
    <t>Delivery time for product wasn't as promised; it was completely unacceptable.</t>
  </si>
  <si>
    <t>Alessandra Caltabiano</t>
  </si>
  <si>
    <t>Updated Mar 20, 2023</t>
  </si>
  <si>
    <t>Amazing experience.</t>
  </si>
  <si>
    <t>Amazing experience.
My package was delivered on time and very fast!</t>
  </si>
  <si>
    <t>JESSE WITT</t>
  </si>
  <si>
    <t>Delivered as PeomisedProduct was delivered as promised.</t>
  </si>
  <si>
    <t>Product was delivered as promised.</t>
  </si>
  <si>
    <t>ALICIA</t>
  </si>
  <si>
    <t>Pet Flow is my Go To for pet food</t>
  </si>
  <si>
    <t>Pet Flow always has my dog’s food in stock and it arrives very quickly.</t>
  </si>
  <si>
    <t>MONICA CLONINGER</t>
  </si>
  <si>
    <t>Easy to use App for ordering and always…</t>
  </si>
  <si>
    <t>Easy to use App for ordering and always quick delivery. Also if I order a large bag of food for my dog I get free shipping!</t>
  </si>
  <si>
    <t>Eddie Hales</t>
  </si>
  <si>
    <t>Have had very good experience with…</t>
  </si>
  <si>
    <t>Have had very good experience with PetFlow
Good products with great shipping
will order more</t>
  </si>
  <si>
    <t>KP</t>
  </si>
  <si>
    <t>price was much better than most other…</t>
  </si>
  <si>
    <t>price was much better than most other places that I have purchased. I reached out to you about changing my shipment and the response was great. I will continue to purchase from this company</t>
  </si>
  <si>
    <t>WildSpaniels</t>
  </si>
  <si>
    <t>Quick reliable service</t>
  </si>
  <si>
    <t>Quick reliable service. I’ve been with them for a while now. Sometimes it takes longer in the winter.</t>
  </si>
  <si>
    <t>KYRIAKA EHRENSBERGER</t>
  </si>
  <si>
    <t>I love the convenience auto ship</t>
  </si>
  <si>
    <t>I love the convenience of PetFlow. I live in a rural area and they are the best price and value for having my dog’s specialty food shipped. They make it easy with auto shipments. Even when I need to change dates it’s very easy. Shipping is always as expected as well.</t>
  </si>
  <si>
    <t>VIRHA PATE</t>
  </si>
  <si>
    <t>I have never shopped with you guys…</t>
  </si>
  <si>
    <t>I have never shopped with you guys remove my email from your marketing emails/ company!</t>
  </si>
  <si>
    <t>S BLAKE</t>
  </si>
  <si>
    <t>First time purchasing</t>
  </si>
  <si>
    <t>First time purchasing. Beats Amazon prices!</t>
  </si>
  <si>
    <t>Mark A.</t>
  </si>
  <si>
    <t>A good place to find a variety of food for your dog</t>
  </si>
  <si>
    <t>I always find a great selection of products and competitive pricing.</t>
  </si>
  <si>
    <t>KAREN ARNOLD</t>
  </si>
  <si>
    <t>Packaging is unsafe and unreliable</t>
  </si>
  <si>
    <t>All was well with initial service and product. The problem is with your packaging of two large bags of dog food in one box. The box quality is mediocre at best, the dog food is too heavy and too large for the box. The box broke open. This could be foreseen. Also, many seniors order from you and the boxes are too heavy to move or pickup without injury. And- don't give me the carbon footprint stuff- your customers safety and your sane packing are more important.</t>
  </si>
  <si>
    <t>Karen Gregory</t>
  </si>
  <si>
    <t>Easy website to use and prompt shipping.</t>
  </si>
  <si>
    <t>I am happily impressed with the personal service and speed of delivery from PetFlow. As long as PetFlow carries the pet food I use I will continue to shop PetFlow.</t>
  </si>
  <si>
    <t>mxf</t>
  </si>
  <si>
    <t>I am happily impressed with the…</t>
  </si>
  <si>
    <t>EXCEEDINGLY EXPENSIVE!
If I oculd attach a screen print ... I'd show/ prove it to you. Look at the price for the same item from CHEWY and MOST OTHER REPUTABLE COMPANIES. I put CHEWY'S link here but TRUST PILOT DOESN'T ALLOW LINKS. Too bad ... BECAUSE IT WAS PROOF
@CHEWY $33FOR 30 3oz CANS of MEDLEY
And you, PETFLOW ....OMG!
@PETFLOW $24.72 for 12 cans of MEDLEY
GREED IS DISGUSTING!
What you're doing is GOUGING ... AT ITS FINEST
OUTRAGEOUS.</t>
  </si>
  <si>
    <t>Judith Lustgarten</t>
  </si>
  <si>
    <t>EXCEEDINGLY EXPENSIVE!</t>
  </si>
  <si>
    <t>I've been buying from Petflow for several years. Every order has been carefully packaged and timely delivered. Shop with confidence.</t>
  </si>
  <si>
    <t>Excellent service!</t>
  </si>
  <si>
    <t>What I ordered was in stock and the order fulfilled promptly.</t>
  </si>
  <si>
    <t>Ellen Eaton</t>
  </si>
  <si>
    <t>Pleased</t>
  </si>
  <si>
    <t>Great quality products and very quick shipping</t>
  </si>
  <si>
    <t>Julieggeno</t>
  </si>
  <si>
    <t>Great quality products and very quick…</t>
  </si>
  <si>
    <t>CLAUDIA KLECZKOWSKI</t>
  </si>
  <si>
    <t>I bought the Kong monster balls for our Beagle …</t>
  </si>
  <si>
    <t>I bought the Kong monster balls for our Beagle , her second set of them . She loves them so much she hardly plays with any of her other toys.</t>
  </si>
  <si>
    <t>Marcy</t>
  </si>
  <si>
    <t>Your two representatives</t>
  </si>
  <si>
    <t>Your two representatives, Tristan and Ryan were knowledgeable, professional and courteous. They helped me through the process of creating a subscription account.</t>
  </si>
  <si>
    <t>SARAH SAPPINGTON</t>
  </si>
  <si>
    <t>Good prices; delivered as expected</t>
  </si>
  <si>
    <t>RICHARD SYKES</t>
  </si>
  <si>
    <t>You cancelled my order because I made…</t>
  </si>
  <si>
    <t>You cancelled my order because I made it while traveling abroad. Don't worry, I will never visit your website again.</t>
  </si>
  <si>
    <t>Cris E</t>
  </si>
  <si>
    <t>My dogs most favorite treats are…</t>
  </si>
  <si>
    <t>My dogs most favorite treats are impossible to find!! Thankfully PetFlow has them in stock regularly!!! No more rationing their favorites!! Always fast shipping, arrives in great condition!!</t>
  </si>
  <si>
    <t>SHAY LEE</t>
  </si>
  <si>
    <t>Prices are good however, cans were damaged upon delivery</t>
  </si>
  <si>
    <t>Prices of the Blues Buffalo Wilderness canned dog food was good. Delivery was late bc it was out of stock which was fine. However, six of the 12 cans were dented which I won't use.</t>
  </si>
  <si>
    <t>Joel Rappaport</t>
  </si>
  <si>
    <t>Fast shipping and prices in line with…</t>
  </si>
  <si>
    <t>Fast shipping and prices in line with other companies.</t>
  </si>
  <si>
    <t>Great prices, fast delivery!!</t>
  </si>
  <si>
    <t>CHERYL PASZKIEWICZ</t>
  </si>
  <si>
    <t>Great selection and price</t>
  </si>
  <si>
    <t>Great selection and price, fast delivery</t>
  </si>
  <si>
    <t>JENNIE DUNLAP</t>
  </si>
  <si>
    <t>Had never heard of this company before…</t>
  </si>
  <si>
    <t>Had never heard of this company before and was planning to use Chewy for our order, but found this company in an online search. They offered a coupon so I opted to give them a try. Our order was for prescription dog food, so we had to go through mailing in the script (same for every company) but the last time we did this with Walmart pet meds, they messed it all up and it took some work to get our order. With this company, the day they received our prescription that we overnighted, they processed the order and shipped it the next day. I called them to check on it, expecting issues, but they were on it. We got our order in a timely manner and had great service. I’ll definitely use this company again for future needs.</t>
  </si>
  <si>
    <t>CAROLE PAULSEN</t>
  </si>
  <si>
    <t>Great prices - Great service!</t>
  </si>
  <si>
    <t>Easy to navigate website and you had food for both my pets.</t>
  </si>
  <si>
    <t>Gene W.</t>
  </si>
  <si>
    <t>Try 'em, they're GREAT!</t>
  </si>
  <si>
    <t>Very pleased with purchase! Price was great, better than Amazon! Free shipping over certain amount fast also! Very well packaged. Often from A it looks like it rode behind the truck, not in it! Very happy with Petflow! They be my new goto supplier! Thank you Petflow!</t>
  </si>
  <si>
    <t>KIM GIFFORD</t>
  </si>
  <si>
    <t>Best price anywhere and fast shipping</t>
  </si>
  <si>
    <t>My first order was cancelled in error by merchant. They were quick to resolve this when I called. Unfortunately, the same thing happened again when I ordered other merchandise. Again, they were quick to resolve this with a phone call. The customer service folks are excellent, helpful and quickly solved the problem. PetFlow Customer Service is well above what we have come to experience or expect when dealing with on-line retailers. Nice to do business with.</t>
  </si>
  <si>
    <t>ANDREW G</t>
  </si>
  <si>
    <t>My first order was cancelled in error…</t>
  </si>
  <si>
    <t>Easy for me to order, the package showed up in a very timely manner.</t>
  </si>
  <si>
    <t>MIKE KOECK</t>
  </si>
  <si>
    <t>it only took 3 days to get my order!</t>
  </si>
  <si>
    <t>Prices are good
Wish delivery was faster</t>
  </si>
  <si>
    <t>DONNA BELDERRAIN</t>
  </si>
  <si>
    <t>Great communication</t>
  </si>
  <si>
    <t>I added a few things to my cart and left for a bit to get some lunch. I came back to several emails, telling me about the contents of my cart, and coupons on such. It had been like 20 minutes and ya’ll was already bugging me. Calm the hell down.
Further, I had the 15% off coupon, so I applied that, but because I made a mistake and got an error, the coupon was no longer added and I had to add it again manually. I tested this a few times, and each time the coupon was removed. No thanks. Your prices are okay, the coupon was a nice bonus, but all that coupon crap and the extra emails really shows me how I’m gonna get treated in the future and how I have to watch my back when trying to save some money.
No I’m coming here to write a review for ya’ll and you’re continuing to set me up. By submitting this review, I have agree to you ‘automatically create a Trustpilot account“ for me… Imma do that anyway, cause I already have an account, but there again…
No thanks, good luck, thanks for the coupon.</t>
  </si>
  <si>
    <t>Rose O’Neil</t>
  </si>
  <si>
    <t>Great experience</t>
  </si>
  <si>
    <t>JOANN FRY</t>
  </si>
  <si>
    <t>Prices are good</t>
  </si>
  <si>
    <t>MICHAEL BACA</t>
  </si>
  <si>
    <t>I added a few things to my cart and…</t>
  </si>
  <si>
    <t>SAMANTHA ROLDAN</t>
  </si>
  <si>
    <t>Took forever to get my dog food.</t>
  </si>
  <si>
    <t>PAMELA GENOVESI MACDONALD</t>
  </si>
  <si>
    <t>Very slow service!</t>
  </si>
  <si>
    <t>I have sent in the prescription several times and my order still has not been filled. It is way too time consuming.</t>
  </si>
  <si>
    <t>SARAH SAALFIELD</t>
  </si>
  <si>
    <t>I haven’t received the order after two…</t>
  </si>
  <si>
    <t>I haven’t received the order after two weeks, and I haven’t received a reply from the help desk about when it’s coming.</t>
  </si>
  <si>
    <t>RPF</t>
  </si>
  <si>
    <t>PetFlow definitely had the best price…</t>
  </si>
  <si>
    <t>PetFlow definitely had the best price on this item that I could find, including prompt, free shipping.</t>
  </si>
  <si>
    <t>Kathy</t>
  </si>
  <si>
    <t>My Go-To Online Pet Supply Store</t>
  </si>
  <si>
    <t>Fast, great prices, great selection &amp; super customer service.</t>
  </si>
  <si>
    <t>DARREN PARKER</t>
  </si>
  <si>
    <t>Best prices that I’ve found</t>
  </si>
  <si>
    <t>Best prices that I’ve found. Great customer service. Shipped my order promptly.</t>
  </si>
  <si>
    <t>STEVEN MILLER SR.</t>
  </si>
  <si>
    <t>Ordered it and it got here</t>
  </si>
  <si>
    <t>Found Pet Flow purely by accident when looking for a specific dog food kibble online. Made my first order which was shipped promptly and arrived in a few days. I also noticed that prices are very competitive and shipping is free over a $49. purchase.</t>
  </si>
  <si>
    <t>Alice Burke</t>
  </si>
  <si>
    <t>Lucky Find</t>
  </si>
  <si>
    <t>I know that the road conditions for my order were difficult, but the delay was minimal.</t>
  </si>
  <si>
    <t>JOHN</t>
  </si>
  <si>
    <t>I know that the road conditions for my…</t>
  </si>
  <si>
    <t>Likes: Good pricing, Fast shipping
Dislikes: Not disclosing all information about pet food ingredients. Lack of customer support.</t>
  </si>
  <si>
    <t>RACHELLE MARPLE</t>
  </si>
  <si>
    <t>Exactly what I ordered.</t>
  </si>
  <si>
    <t>My first experience was excellent….from the quality of the product…my dog loves the chicken treats…to the customer service. The sale was a great way for me to become acquainted as I do live on a budget!</t>
  </si>
  <si>
    <t>TERI VAILLANCOURT</t>
  </si>
  <si>
    <t>Caution</t>
  </si>
  <si>
    <t>Your website is very intrusive and hard to navigate, all I wanted to do was look up availability, choose and pay. It invariably brings up prior views, goes all over, even signed me up for recurring deliveries. Decided to leave and shop somewhere else.</t>
  </si>
  <si>
    <t>My first was experience was excellent overall!</t>
  </si>
  <si>
    <t>I have been using this company for years and will continue to do so. They carry high-quality product. Have a great customer service and fast shipping.</t>
  </si>
  <si>
    <t>maria guillermo</t>
  </si>
  <si>
    <t>Your website is very intrusive and hard…</t>
  </si>
  <si>
    <t>PetFlow has such a variety of options for your pet. I have a very picky cat and can’t always find her choice of food at the pet store! Thankfully, I discovered PetFlow. They were way less expensive than the store I normally shop at and had exactly what I needed. The food arrived in packaging that protected it, yet was minimalistic. Great experience!</t>
  </si>
  <si>
    <t>MICHELE</t>
  </si>
  <si>
    <t>Highly recommend this company</t>
  </si>
  <si>
    <t>Price was good. Product was received promptly. Ordering was easy. The only issue was that most of the cans in one case were severely dented. Customer service responded quickly and provided a new case.</t>
  </si>
  <si>
    <t>Debbie</t>
  </si>
  <si>
    <t>PetFlow has such a variety of options…</t>
  </si>
  <si>
    <t>I've ordered several times from PetFlow.
They have excellent products. Easy website to navigate. Good customer service.</t>
  </si>
  <si>
    <t>GORDON CELLIERS</t>
  </si>
  <si>
    <t>Price and customer service was good</t>
  </si>
  <si>
    <t>Low prices, fast shipping.</t>
  </si>
  <si>
    <t>sue</t>
  </si>
  <si>
    <t>Great compant with quality products</t>
  </si>
  <si>
    <t>Quick delivery when everyone else is so slow or delayed. Accurate orders. Petflow cares about the animals by donating a portion of the profits 🫶🏼</t>
  </si>
  <si>
    <t>Lisa Kelly</t>
  </si>
  <si>
    <t>Low prices</t>
  </si>
  <si>
    <t>I received the dog food I ordered in a timely manner. They offer a wide variety of food.</t>
  </si>
  <si>
    <t>Deborah Ann</t>
  </si>
  <si>
    <t>Quick &amp; Accurate</t>
  </si>
  <si>
    <t>Fast shipping on hard to find item! Thanks</t>
  </si>
  <si>
    <t>SandyN</t>
  </si>
  <si>
    <t>I received the dog food I ordered in a…</t>
  </si>
  <si>
    <t>ANITA HUDNALL</t>
  </si>
  <si>
    <t>Fast shipping on hard to find item</t>
  </si>
  <si>
    <t>Darlene Scheuermann</t>
  </si>
  <si>
    <t>Frequent customer</t>
  </si>
  <si>
    <t>I order from petflow a lot. Never been disappointed</t>
  </si>
  <si>
    <t>Daniel Jarovisky</t>
  </si>
  <si>
    <t>Order #: 10895458</t>
  </si>
  <si>
    <t>Upon placing the order I received and email from Petflowasking me to allow a couple of days while the Vet is contacted. Around the middle of the week the food was delivered as promised with no hassles. My cat can not conusme any other food and this Veterinerian prescribed diet seems so far to be the right one. Booty will have to be on it for the rest of his life. Twenty four cans for $84.99 is steep but necessary, and is the going rate so I'm not faulting PetFlow.</t>
  </si>
  <si>
    <t>SHEILA G</t>
  </si>
  <si>
    <t>Customer focused great cat food</t>
  </si>
  <si>
    <t>I had to call customer service regarding an auto ship that I needed sooner. Somehow I had an extra bag of cat food arrive. I may have made the error but when I called the Petflow representative, they were willing to take the bag back however, I wanted to keep it as the product has kept my cats health tiptop. I thank you to the representative and very friendly staff at Petflow from a 4-year customer.</t>
  </si>
  <si>
    <t>ABINA COHEN</t>
  </si>
  <si>
    <t>Fast shipping and great products</t>
  </si>
  <si>
    <t>Food arrives quickly and well packaged. They carry Fromm dog food which Chewy and Petco don’t carry.</t>
  </si>
  <si>
    <t>THERESE</t>
  </si>
  <si>
    <t>Item was priced very fairly</t>
  </si>
  <si>
    <t>Item was priced very fairly. Shipping was soo fast. Just an excellent experience.</t>
  </si>
  <si>
    <t>michael</t>
  </si>
  <si>
    <t>When I got my package I found that I…</t>
  </si>
  <si>
    <t>When I got my package I found that I was only sent half of my order. I called customer service and got ready to go rounds with someone telling me they were sorry BUT... It wasn't like that at all. I was immediately sent another shipment, no fuss or hassle. To me it is the service when something goes wrong that really stands out and it was excellent 👌</t>
  </si>
  <si>
    <t>DONNA HILLIARD</t>
  </si>
  <si>
    <t>Excellent cs</t>
  </si>
  <si>
    <t>I already reported that this is my email not Dale Leonard's. I was told that Dale's account was removed from your records. Please remove my email from your records.
Thank you,
D Beatson</t>
  </si>
  <si>
    <t>DEBRA</t>
  </si>
  <si>
    <t>Remove my email address from your records</t>
  </si>
  <si>
    <t>Lots of finger pointing between my vet and PetFlow… I’m not sure what problem was but vet said he never heard from
PetFlow vet… so preset want processed… first time in last year I’ve had any issues with the process on prescription dog food… anyways once I stirred the pot and let it be known “hey figure it out” order it was approved and shipped out…</t>
  </si>
  <si>
    <t>Jayme K</t>
  </si>
  <si>
    <t>Lots of finger pointing between my vet…</t>
  </si>
  <si>
    <t>It was easy to find the product and place the order. Shipping was super speedy, which my cats appreciated.</t>
  </si>
  <si>
    <t>Darlene Dali-jon</t>
  </si>
  <si>
    <t>It was easy to find the product and…</t>
  </si>
  <si>
    <t>It arrived in time no delays or hiccups in the delivery.</t>
  </si>
  <si>
    <t>ANTHONY KELLY</t>
  </si>
  <si>
    <t>It arrived in time no delays or hiccups…</t>
  </si>
  <si>
    <t>It’s always great, great low price, super fast shipping, great experience all the way around….Love Pet Flow…Thanks</t>
  </si>
  <si>
    <t>John Rodriguez</t>
  </si>
  <si>
    <t>Internet Pond Fish are happy and love Pet Flow…</t>
  </si>
  <si>
    <t>Pedro's Mom, Allison, was attentive, helpful and pleasant. She's a truly a professional customer Service agent.</t>
  </si>
  <si>
    <t>Steven RIchardson</t>
  </si>
  <si>
    <t>Pedro's Mom</t>
  </si>
  <si>
    <t>Thank you for excellent customer service.</t>
  </si>
  <si>
    <t>ANTHONY REID</t>
  </si>
  <si>
    <t>Thank you for excellent customer…</t>
  </si>
  <si>
    <t>Constant account hacks. I would be recommend.</t>
  </si>
  <si>
    <t>BROOKE MARSH</t>
  </si>
  <si>
    <t>Constant account hacks</t>
  </si>
  <si>
    <t>My account was hacked and my credit card information was mixed in with at least one other stranger’s information. When I advised Petflow about the problem I was merely told I had been the victim of some outsider’s actions and to start a new account with a different email address. Petflow took no responsibility and offered no assistance. Needless to say this gave me no confidence in Petflow and I will no longer trade with your company.</t>
  </si>
  <si>
    <t>CHARLOTTA</t>
  </si>
  <si>
    <t>My account was hacked and my credit…</t>
  </si>
  <si>
    <t>Easy to use website, fast easy shipping, great products. It would be nice if the free shipping limit was lowered.</t>
  </si>
  <si>
    <t>JG</t>
  </si>
  <si>
    <t>Great online pet products store</t>
  </si>
  <si>
    <t>Very cool customer service. Quick shipping . The price is high. But the puppies love it.</t>
  </si>
  <si>
    <t>JEAN GERMANO</t>
  </si>
  <si>
    <t>Good prices and fast delivery</t>
  </si>
  <si>
    <t>The wrong product was shipped and Petflow immediately sent out the correct food for my dog! Great customer service. Will definitely buy from then again.</t>
  </si>
  <si>
    <t>Excellent product. Shipping is quick.</t>
  </si>
  <si>
    <t>LYNN</t>
  </si>
  <si>
    <t>The wrong product was shipped and…</t>
  </si>
  <si>
    <t>WILLIAM COBERLY</t>
  </si>
  <si>
    <t>Pet flow is the most awesome online pet…</t>
  </si>
  <si>
    <t>Pet flow is the most awesome online pet food provider in the market ! Even w/ trivial issues we incurred they prevailed as the winner &amp; so did we , thanks !</t>
  </si>
  <si>
    <t>RUBY KILGORE</t>
  </si>
  <si>
    <t>Fast shipping great prices great quality</t>
  </si>
  <si>
    <t>package and order was ok just left at wrong house and I did not see any notice of delivery</t>
  </si>
  <si>
    <t>MARIA DETOMMASO</t>
  </si>
  <si>
    <t>Excellent PETFLOW is the best</t>
  </si>
  <si>
    <t>I have always had good service from Petflow. I have received damaged cans and they have always taken care of me. I donate the damaged cans to the shelter. The customer service reps have always been very friendly and professional. I love that they also donate to the shelters and rescues. It means the world to the animals and to the facilities they help.</t>
  </si>
  <si>
    <t>DONNA HEASTON</t>
  </si>
  <si>
    <t>package and order was ok just left at…</t>
  </si>
  <si>
    <t>Just switched over to you from many years with Chewy.com Ongoing Out of Stock for our Prescription Food, then far too many "cute" apologies.
Came to you to fill and you had the inventory, twice actually and now I am on Auto with you.
Thank you.</t>
  </si>
  <si>
    <t>Gena Berkebile</t>
  </si>
  <si>
    <t>I have always had good service from…</t>
  </si>
  <si>
    <t>I ordered 2 items and one never shipped and both items were coming out of the same warehouse. Shipping for the 1st item took 7 days . When my order arrived, I called to tell them my 2nd item never came. Customer service was great and said they would "rush" that item out since it was their fault. 2nd item arrived next day.</t>
  </si>
  <si>
    <t>Jeffrey Brenner</t>
  </si>
  <si>
    <t>Made the Switch</t>
  </si>
  <si>
    <t>Very hard to work with even though I had a prescription from the Veterinarian Office, which they never contacted Carolina Beach kept sending me the same message. If you have a copy of your prescription, please email a clear copy to along with your order number and we may be able to fulfill your order sooner!
Order #: 10884471 Sarah Boone
I have every email sent by your company, I called many times could give dates.... BOONE WAS SICK NEEDED THAT FOOD DIDN'T NEED THE RUN AROUND THAT I GOT... THE DAY I CANCELLED IT BY MONDAY WITH THE SAME PRESCRIPTION YOU HAD TROUBLE WITH ANOTHER COMPANY PASSED IT.
I used to buy from you and hope in the future I can come back....
VICKI K. BOYLES
help@petflow
Order #: 10884471
Sarah Boone
Along with the Prescription</t>
  </si>
  <si>
    <t>LARRY GRUETZMACHER</t>
  </si>
  <si>
    <t>Came in a timely manner</t>
  </si>
  <si>
    <t>Ease of ordering and modifying my auto ship order</t>
  </si>
  <si>
    <t>BONNIE VOHDEN</t>
  </si>
  <si>
    <t>Good prices and customer service, but not great shipping</t>
  </si>
  <si>
    <t>All of the information you need to fill my order you have on file, which helps things go very smoothly!</t>
  </si>
  <si>
    <t>Vicki K Boyles</t>
  </si>
  <si>
    <t>Very hard to work with even though I…</t>
  </si>
  <si>
    <t>I tried ordering dog food twice and both my orders were cancelled for some reason. Never received an email saying it was canceled just never reviewed the package and had to log onto my account and check what was going on both times. Ended up having to get dog food that my dog has never eaten because she ran out of dog food. Terrible experience.</t>
  </si>
  <si>
    <t>KAREN W</t>
  </si>
  <si>
    <t>Ease of ordering and modifying my auto…</t>
  </si>
  <si>
    <t>everything came quickly, but the bird treat sticks came all broken up. I wish there was a better way to send them</t>
  </si>
  <si>
    <t>DONALD MORAVICK</t>
  </si>
  <si>
    <t>All of the information you need to fill…</t>
  </si>
  <si>
    <t>I am getting emails telling me that my order is on its way or it’s delivered. I DID NOT ORDER ANYTHING RECENTLY. PLEASE GET THIS STRAIGHT!
Nothing is being charged on my credit card, I just get emails saying my order is on its way to some address I don’t even recognize in another state. Help!</t>
  </si>
  <si>
    <t>Nate</t>
  </si>
  <si>
    <t>Terrible Service</t>
  </si>
  <si>
    <t>No issues and will order again.</t>
  </si>
  <si>
    <t>Barbara Smith</t>
  </si>
  <si>
    <t>everything came quickly</t>
  </si>
  <si>
    <t>I placed an order and with no explanation or email, they canceled it. I logged on to my account to see why it was taking so long to deliver and it just said order canceled. I called customer support and waited on hold for 30 minutes and then it just hung up on me. Worst customer service ever.</t>
  </si>
  <si>
    <t>Rod Ferrand</t>
  </si>
  <si>
    <t>I am getting emails telling me that my…</t>
  </si>
  <si>
    <t>Every time I have called, everyone is very respectful and answers my questions.</t>
  </si>
  <si>
    <t>Mike</t>
  </si>
  <si>
    <t>Thank you!</t>
  </si>
  <si>
    <t>Order came fast.
Staff answered my email quickly and helpfully.
This company actually has REAL people who answer the phone and are sp pleasant and helpful.
Prices are good.</t>
  </si>
  <si>
    <t>Edward</t>
  </si>
  <si>
    <t>They randomly canceled my order</t>
  </si>
  <si>
    <t>Always works perfectly...order online, what I ordered delivers in a few days.</t>
  </si>
  <si>
    <t>JANE ROBERTS</t>
  </si>
  <si>
    <t>Every time I have called</t>
  </si>
  <si>
    <t>SIMONE</t>
  </si>
  <si>
    <t>Good reply in customer service support.</t>
  </si>
  <si>
    <t>Rickie Rabourn</t>
  </si>
  <si>
    <t>Pleasant experience!</t>
  </si>
  <si>
    <t>MARY-JANE CARLISLE</t>
  </si>
  <si>
    <t>Always works perfectly...order online</t>
  </si>
  <si>
    <t>Rebecca</t>
  </si>
  <si>
    <t>It was real fast service to get the bag…</t>
  </si>
  <si>
    <t>It was real fast service to get the bag of pet food. Our puppy appreciated it!</t>
  </si>
  <si>
    <t>ANNE DEMSKY</t>
  </si>
  <si>
    <t>It was great to receive dog food in…</t>
  </si>
  <si>
    <t>It was great to receive dog food in three days, delivered to my door, and for the lowest price!</t>
  </si>
  <si>
    <t>Clare Longo</t>
  </si>
  <si>
    <t>I ordered two cases of Merrick Grain…</t>
  </si>
  <si>
    <t>I ordered two cases of Merrick Grain Free Chunky Pappy's Pot Roast Canned Dog Food. I received one case of the correct item and one of another food. One of my dogs has a chicken allergy so we checked the ingredients on the cans we didn't order and they had chicken in them. I called Petflow and was told to put it outside my door for pick up by FedEx and I would receive another case. No compensation for the inconvenience, but of course we couldn't have used the food with chicken anyway. We did receive the replacement case but it had mostly dented cans. I appreciate your low prices and will wait to see what happens with my next delivery.</t>
  </si>
  <si>
    <t>skwa</t>
  </si>
  <si>
    <t>Although I received an email stating my…</t>
  </si>
  <si>
    <t>Although I received an email stating my order needed to be fulfilled by a further distanced warehouse and that my order could take up to 5 extra days, this company was able to deliver my goods on the original date.
This was important, because no one in my area had this certain type of cat food for the past 4 months!</t>
  </si>
  <si>
    <t>Lorraine Swanson</t>
  </si>
  <si>
    <t>It was easy to place order online and it came quickly.</t>
  </si>
  <si>
    <t>Caucus</t>
  </si>
  <si>
    <t>Great Service ships on time</t>
  </si>
  <si>
    <t>Great Service ships on time. Have purchased multiple times</t>
  </si>
  <si>
    <t>Deborah</t>
  </si>
  <si>
    <t>This account was supposed to be closed…</t>
  </si>
  <si>
    <t>This account was supposed to be closed as it is fraudulent. Still getting emails for it. Looks like their purchase went though. Please close this account.</t>
  </si>
  <si>
    <t>Andy Johnson</t>
  </si>
  <si>
    <t>Very good prices on the dog food we…</t>
  </si>
  <si>
    <t>Very good prices on the dog food we need. Also, fast shipping.</t>
  </si>
  <si>
    <t>REBECCA BERGWALL</t>
  </si>
  <si>
    <t>My e mail is bein used through your…</t>
  </si>
  <si>
    <t>My e mail is bein used through your website without being verified by myself. I am not using your website at all.</t>
  </si>
  <si>
    <t>SMB</t>
  </si>
  <si>
    <t>Fast efficient delivery of a difficult…</t>
  </si>
  <si>
    <t>Fast efficient delivery of a difficult to find product.</t>
  </si>
  <si>
    <t>Brooke</t>
  </si>
  <si>
    <t>My account was hacked and charges were…</t>
  </si>
  <si>
    <t>My account was hacked and charges were made. Then i was told 3 times they restarted my autoship but never did and then locked my account. Meanwhile im expected my dogs food that i can't get around town</t>
  </si>
  <si>
    <t>Rita</t>
  </si>
  <si>
    <t>Great prices. I texted with a request and was answered within 24 hours with a nicely stated response.</t>
  </si>
  <si>
    <t>KIM AMOIA-POST</t>
  </si>
  <si>
    <t>I have been dealing with your company…</t>
  </si>
  <si>
    <t>I have been dealing with your company for a very long time and just love doing so. All of the representatives are so friendly and helpful. A quality that seems lost in these times.</t>
  </si>
  <si>
    <t>KRISTIN HETLAND</t>
  </si>
  <si>
    <t>Out of stock items</t>
  </si>
  <si>
    <t>Two of the things I ordered were out of stock but there was no indication when I placed the order that they were, so I was quite disappointed when I opened the box and two items were not inlcuded.</t>
  </si>
  <si>
    <t>ART CONTRESTANO</t>
  </si>
  <si>
    <t>Mr. Bigdog</t>
  </si>
  <si>
    <t>Mr. Bigdog, Samson Loves the Cranberry treats and, the Parmesan treats the best~! He'll eat both but, picks out the Cranberry first... Art</t>
  </si>
  <si>
    <t>Julie McManus</t>
  </si>
  <si>
    <t>Outstanding Customer Service reps</t>
  </si>
  <si>
    <t>Outstanding Customer Service reps. They are very knowledgeable and helpful. Thank you!</t>
  </si>
  <si>
    <t>Carol Zingler</t>
  </si>
  <si>
    <t>What a great place to shop for dog…</t>
  </si>
  <si>
    <t>What a great place to shop for dog food!!!!!!</t>
  </si>
  <si>
    <t>Jennifer</t>
  </si>
  <si>
    <t>There is a glitch in your system</t>
  </si>
  <si>
    <t>There is a glitch in your system. My account kept going to auto fill even though I cancelled it back in 2020. I should not have a problem now that I asked to have my account deleted.</t>
  </si>
  <si>
    <t>HELEN LAMAGNA</t>
  </si>
  <si>
    <t>Prices were great</t>
  </si>
  <si>
    <t>Prices were great, the orders were sent right away</t>
  </si>
  <si>
    <t>Pete</t>
  </si>
  <si>
    <t>Great service. Ultra-fast delivery.</t>
  </si>
  <si>
    <t>LAWRENCE OTIS</t>
  </si>
  <si>
    <t>Twice now I’ve relied on Petflow to…</t>
  </si>
  <si>
    <t>Twice now I’ve relied on Petflow to send me my Blue Wilderness- but it’s been out of stock- very disappointing.</t>
  </si>
  <si>
    <t>Jb</t>
  </si>
  <si>
    <t>My order was canceled. I wasn't notified. When I called to find out why I was told it was flagged as fraud due to the quality in my order. I explained it was not fraud, it was less than a month of food for my two dogs, I was told they would reach out to the team that blocked the order and respond to me in email with an update on my order. I never got an email, an update, or the items I ordered. Worst customer service experience I've had the misfortune to deal with.</t>
  </si>
  <si>
    <t>JS</t>
  </si>
  <si>
    <t>Asked me to review a fraudulent order</t>
  </si>
  <si>
    <t>My login was hacked and a fraudulent order was placed using my account. Even after I asked Petflow to cancel the order and fully delete my account, they still sent me a request to review the order on Trustpilot. Seriously?</t>
  </si>
  <si>
    <t>SANDRA WAGONER</t>
  </si>
  <si>
    <t>PetFlow has ALL your pet needs!</t>
  </si>
  <si>
    <t>PetFlow always has the best pricing and fast shipping. Auto ship is wonderful for never forgetting all your pet’s needs. It’s also customizable. Would DEFINITELY recommend PetFlow!</t>
  </si>
  <si>
    <t>Bergen County NJ home buyer</t>
  </si>
  <si>
    <t>Great selection</t>
  </si>
  <si>
    <t>Great selection, on-time shopping</t>
  </si>
  <si>
    <t>Rick Cianflone</t>
  </si>
  <si>
    <t>Good prices and quick</t>
  </si>
  <si>
    <t>PRICES AND SPEEDY SHIPPING IS THE BEST. FEEDING HUNGRY DOGS IS EVEN BETTER</t>
  </si>
  <si>
    <t>SHIRLEY DUFRANE</t>
  </si>
  <si>
    <t>PRICES AND SPEEDY SHIPPING IS THE BEST</t>
  </si>
  <si>
    <t>Prices are generally the same as Amazon and service is better. Prefer to support a private company when possible- and they sell Fromm products.</t>
  </si>
  <si>
    <t>IMRAN KHAN</t>
  </si>
  <si>
    <t>The Order are getting canceled</t>
  </si>
  <si>
    <t>Petflow is a great place that offers the best bang for your buck.
Toys were as described and the pups were very happy.</t>
  </si>
  <si>
    <t>WILLIAM</t>
  </si>
  <si>
    <t>Good prices and service</t>
  </si>
  <si>
    <t>I screwed up my order and Mikaila fixed it without a problem. My items arrived quickly. I appreciated the new customer discount as well.</t>
  </si>
  <si>
    <t>EVAN DEMARR</t>
  </si>
  <si>
    <t>Petflow is a great place</t>
  </si>
  <si>
    <t>We have used Petflow for years through the course of many dogs and have always found them very informative, caring, and a company that we do buisness with monthy. Between Petflow and Chewy there is no better full-service animal food, etc. provider.</t>
  </si>
  <si>
    <t>ROBERTA WORKMAN</t>
  </si>
  <si>
    <t>I screwed up my order and Mikaila fixed…</t>
  </si>
  <si>
    <t>PetFlow is always responsive and great at filling our monthly auto ship order. Happy to do business with them.</t>
  </si>
  <si>
    <t>Desert Skies Kennel</t>
  </si>
  <si>
    <t>Great Customer service</t>
  </si>
  <si>
    <t>Even though I have complained before Petflow continues to package two 30lb bags of food on one box resulting in Gedex the carrier to drop the box and the contents inside burst open.</t>
  </si>
  <si>
    <t>JMR</t>
  </si>
  <si>
    <t>PetFlow is always great!</t>
  </si>
  <si>
    <t>I got a great deal on a great product. I was worried because I had never shopped with PetFlow before. I received my order in a timely fashion and I received plenty of notification about the status of my order. The particular Dog feeder I was looking for was out of stock for other online retailers.</t>
  </si>
  <si>
    <t>Richard Rippon</t>
  </si>
  <si>
    <t>Even though I have complained before…</t>
  </si>
  <si>
    <t>Easy ordering process. My only complaint is that it would be more convenient to see past orders to order again or edit an order as having to go thru and search products needed. My cat is on special diet and just need to be able to order his food in a quick and easy fashion.</t>
  </si>
  <si>
    <t>NATHANIEL DEARINGER</t>
  </si>
  <si>
    <t>I got a great deal on a great product!</t>
  </si>
  <si>
    <t>Easy, fast and reasonable.</t>
  </si>
  <si>
    <t>CAROL KARVOSKY</t>
  </si>
  <si>
    <t>Once I have items in cart ordering is easy. Would be nice to be able to order previously ordered items again.</t>
  </si>
  <si>
    <t>Easy to place order. Items arrived as described and when expected. Very happy with everything.</t>
  </si>
  <si>
    <t>ROBERT COOK</t>
  </si>
  <si>
    <t>Easy</t>
  </si>
  <si>
    <t>I love that you donate a meal to a homeless animal with my purchase. It’s a wonderful way to help them, to not forget them. Also, your shipping is exemplary. I wish more companies were like Pet Flow!</t>
  </si>
  <si>
    <t>LISA</t>
  </si>
  <si>
    <t>Petflow’s Phone wraps are very pleasant and knowledgeable on how to help you my English cream golden retriever Walter needs a veterinarian prescription dry dog food. I used to get it through Chewy. But lately they’ve been having a hard time keeping it stocked. When it was taking a few days to come I called Petflow. They were happy to look into my account and reassured me everything was working on time.</t>
  </si>
  <si>
    <t>JUDITH PATTERSON</t>
  </si>
  <si>
    <t>I love that you donate a meal to a…</t>
  </si>
  <si>
    <t>NORA BAGA</t>
  </si>
  <si>
    <t>Walter</t>
  </si>
  <si>
    <t>Cathy Karabetsos</t>
  </si>
  <si>
    <t>Updated Mar 4, 2023</t>
  </si>
  <si>
    <t>Order was never received</t>
  </si>
  <si>
    <t>Order was cancelled, I had to call and email for 2 weeks (3 calls and 3 emails).
Supposedly due to some unknown reason my account was flagged as fraudulent. No real explanation.
I was told a few times to reset my PW however my account has been disabled.
I was told several times an email to reset was sent -never received. Not in spam or junk mail.
My pack is out of the product, I’ve wasted hours trying to get this handled and shipped.
I cannot tell you how frustrated and disappointed I am at this point.
Please make it right! I ordered 10 bags of 48ounce Food
Cathy Karabetsos</t>
  </si>
  <si>
    <t>Doodlebug</t>
  </si>
  <si>
    <t>Shipping seems to take a bit longer…</t>
  </si>
  <si>
    <t>Shipping seems to take a bit longer than it used to but I suppose it's a common problem. Petflow DOES update their delivery date notifications though.</t>
  </si>
  <si>
    <t>RONALD STRAUB</t>
  </si>
  <si>
    <t>SCAM ORDER</t>
  </si>
  <si>
    <t>I live in Florida. My email was used to order twice. The shipments went to Texas probably using a stolen credit card. I was not charged. Talked to Petflo representative last week with information.</t>
  </si>
  <si>
    <t>A WORTHAM</t>
  </si>
  <si>
    <t>I'm so glad you asked</t>
  </si>
  <si>
    <t>I'm so glad you asked. I will be back. The process was simple, professional, and unbelievably fast. Thank you!</t>
  </si>
  <si>
    <t>JERRI CARROLL</t>
  </si>
  <si>
    <t>Mallory was AWESOME!</t>
  </si>
  <si>
    <t>Mallory was AWESOME!
She deserves a raise!!
Only issue is still waiting.
Been billed, finally got notification it shipped. Possibly because it had to go to Vet?
Anyway, again, I will ask for Mallory next time!</t>
  </si>
  <si>
    <t>(c/o sierra glass distributors)</t>
  </si>
  <si>
    <t>This is the first time I've ordered…</t>
  </si>
  <si>
    <t>This is the first time I've ordered from this outfit and I was totally pleased with the transaction. Their price for
the dogfood I ordered was reasonable, they shipped quickly, and Rocco the dog is a happy camper.</t>
  </si>
  <si>
    <t>SONYA ROBINSON</t>
  </si>
  <si>
    <t>Love the fact it’s cheaper</t>
  </si>
  <si>
    <t>Love the fact it’s cheaper, comes right to my door and no shipping cost. Great deals</t>
  </si>
  <si>
    <t>ERICA</t>
  </si>
  <si>
    <t>I was looking for that specific dog…</t>
  </si>
  <si>
    <t>I was looking for that specific dog food for our new puppy and petflow was the only online store that I could find Verus Brand!</t>
  </si>
  <si>
    <t>LAURIE S</t>
  </si>
  <si>
    <t>We bought dog food online.</t>
  </si>
  <si>
    <t>I found the food I was looking for. The price is high but industry standard. I liked the option to purchase a large bag and 2 of them. Thanks!</t>
  </si>
  <si>
    <t>THERESA</t>
  </si>
  <si>
    <t>Simply the BEST.</t>
  </si>
  <si>
    <t>Pet flow is the way to go, I order my fur baby food all the time from pet flow and my delivery is on time, that is why they are the best.
Thank you to pet flow and all of the team that works there. Shadow said woof. 🐕‍🦺</t>
  </si>
  <si>
    <t>LIBBY ALLEN</t>
  </si>
  <si>
    <t>My dogs love this food</t>
  </si>
  <si>
    <t>You send me a survey link yet I still haven't received the items. Surely you know this. The communication is terrible. Takes several days for any response. Hopefully I'll get the items soon - and I understand the weather delay but my items have basically gone nowhere. I ordered from another place 2 days later and got my shipment today,</t>
  </si>
  <si>
    <t>JANET TENNISON</t>
  </si>
  <si>
    <t>You send me a survey link yet I still…</t>
  </si>
  <si>
    <t>While the prices at PetFlow may be good, there are severe problems with having products in stock. It seems that no matter what I order (wet or dry cat food and cat litter), it's out of stock or has to come from a further away location. It didn't use to be like this. PetFlow was very reliable. Now I have to follow up with calls to customer service because emails are ignored. Very disappointing. I use Chewy instead.</t>
  </si>
  <si>
    <t>Patricia</t>
  </si>
  <si>
    <t>No matter what I order, it's out of stock</t>
  </si>
  <si>
    <t>Reliable. Great choices.</t>
  </si>
  <si>
    <t>Jay Eldredge</t>
  </si>
  <si>
    <t>Delivery was on time and as instructed.</t>
  </si>
  <si>
    <t>Everything I order was right and I get fast delivery</t>
  </si>
  <si>
    <t>MARY MADECO-SMTIH</t>
  </si>
  <si>
    <t>Reliable</t>
  </si>
  <si>
    <t>Easy ordering, fast delivery, competitive prices.
My only complaint is — too many texts and emails!</t>
  </si>
  <si>
    <t>ROBERTO RIOS RUIZ</t>
  </si>
  <si>
    <t>Everything I order was right and I get…</t>
  </si>
  <si>
    <t>I had recently ordered food from Pat flow with no issue. A couple of times my card was compromised and I had an issue with it and resolved it but recently, for some reason no one will give me an explanation of why I am not able to order food from you, even if my card is Up-to-date. No one can give me an explanation other than they can’t do anything for me pretty unprofessional, and I have started using another company.</t>
  </si>
  <si>
    <t>Jenny Drastura</t>
  </si>
  <si>
    <t>Easy ordering</t>
  </si>
  <si>
    <t>You carry the quality products I feed my 2 dogs and cat! Fromm, Annamaet, and Wellness. In addition, you deliver these foods in a timely fashion. I am a VERY satisfied customer and I recommend you to all my animal stewards.</t>
  </si>
  <si>
    <t>ROBERT SHORT</t>
  </si>
  <si>
    <t>I had recently ordered food from Pat…</t>
  </si>
  <si>
    <t>There is no option to cancel an auto ship so beware when you sign up for one. I am still trying to cancel it. There is only a pause option online and I can not get a support person to contact me.</t>
  </si>
  <si>
    <t>Sherry Hardwick Thomas</t>
  </si>
  <si>
    <t>Updated Mar 2, 2023</t>
  </si>
  <si>
    <t>YEAH, PETFLOW!</t>
  </si>
  <si>
    <t>LC</t>
  </si>
  <si>
    <t>BEWARE OF AUTO SHIP CANT CANCEL</t>
  </si>
  <si>
    <t>A Krutsch</t>
  </si>
  <si>
    <t>Products</t>
  </si>
  <si>
    <t>Your fast delivery, customer service, and packaging is excellent.</t>
  </si>
  <si>
    <t>LORI KIESOW</t>
  </si>
  <si>
    <t>My dog food that is on automatic order</t>
  </si>
  <si>
    <t>My dog food that is on automatic order, the size i usually get was out of stock, so i was told unable to ship and received no food. However, that same dog food was available in a larger size and no-one took the time to let me know that. Not very good customer service.</t>
  </si>
  <si>
    <t>PEGGY HITCHINGS</t>
  </si>
  <si>
    <t>It took over ONE week to get my order…</t>
  </si>
  <si>
    <t>It took over ONE week to get my order delivered!😩</t>
  </si>
  <si>
    <t>JOSEPH SOBREMONTE</t>
  </si>
  <si>
    <t>I requested few times to add more…</t>
  </si>
  <si>
    <t>I requested few times to add more selections of versele laga pigeon feeds and grits like gerrymandering, champion, black label, ic start etc. Pls pls pls</t>
  </si>
  <si>
    <t>sandra halpin</t>
  </si>
  <si>
    <t>Very easy to order and products arrived quickly and in great shape! Thank you !</t>
  </si>
  <si>
    <t>I experienced a problem with my order (not their fault) and customer service was so quick to help me fix it! Really appreciate the immediate response and care that was given. My order then arrived safely and packed well.</t>
  </si>
  <si>
    <t>KATHARYN S</t>
  </si>
  <si>
    <t>Besides canned dog food, I ordered 4 bags of rather fragile treats and they arrived a little crushed. The company quickly shipped four new bags of the treats. They arrived in very good condition. I was impressed at how quickly and easily the customer service agent handled this.</t>
  </si>
  <si>
    <t>RICHARD WEISS</t>
  </si>
  <si>
    <t>Still not delivered on the 28th.</t>
  </si>
  <si>
    <t>Still not delivered on the 28th.
12 days ago
Terrible</t>
  </si>
  <si>
    <t>jaqueline cormier</t>
  </si>
  <si>
    <t>great product</t>
  </si>
  <si>
    <t>I did not place this order! I have already notified you about this. What is going on with these correspondences?</t>
  </si>
  <si>
    <t>James</t>
  </si>
  <si>
    <t>I did not place this order</t>
  </si>
  <si>
    <t>Quick Shipping! Unfortunately 2 cans of the dog food were badly dented!</t>
  </si>
  <si>
    <t>CATHERINE WARNER</t>
  </si>
  <si>
    <t>Quick Shipping</t>
  </si>
  <si>
    <t>The shipping is so inconsistent. Took almost 8 days to receive my dog food. This happens about every 3 months. Hard to foresee when I need to order. Leaving my pets without food so I’m forced to buy dog food elsewhere.</t>
  </si>
  <si>
    <t>Shasta Sowards</t>
  </si>
  <si>
    <t>The shipping is so inconsistent</t>
  </si>
  <si>
    <t>Canceled my $300+ needed vet cat food order because "email doesn't match." When I literally called them asking them what was going on here. Wouldn't send out my cat food. Horrible service. Will look do business elsewhere unless they have some killer deals.</t>
  </si>
  <si>
    <t>Jonathan</t>
  </si>
  <si>
    <t>Great deals and products</t>
  </si>
  <si>
    <t>This was our first time buying on here. I found what I needed at a great price. It was easy to order and arrived quickly. Thank you!</t>
  </si>
  <si>
    <t>Festive</t>
  </si>
  <si>
    <t>Canceled my $300+ needed vet cat food…</t>
  </si>
  <si>
    <t>You had the product that I needed at a fair price plus your shipping was on time.</t>
  </si>
  <si>
    <t>Patty</t>
  </si>
  <si>
    <t>This was our first time buying on here</t>
  </si>
  <si>
    <t>Fast shipping, great product, and even better price for what I purchased.
I have made my second order, and will continue to do so with PetFlow.</t>
  </si>
  <si>
    <t>CHRISTIAN LEWIS</t>
  </si>
  <si>
    <t>my order was cancelled</t>
  </si>
  <si>
    <t>Good selection of high quality products. Shipped promptly. Authentic product from approved distributor. Packaged securely for shipping.</t>
  </si>
  <si>
    <t>SUSAN WISZ</t>
  </si>
  <si>
    <t>Great customer service
Very prompt to fix slight problem</t>
  </si>
  <si>
    <t>Amy K</t>
  </si>
  <si>
    <t>Anon</t>
  </si>
  <si>
    <t>Good selection of high quality products</t>
  </si>
  <si>
    <t>C Santana</t>
  </si>
  <si>
    <t>SUSAN MANNING</t>
  </si>
  <si>
    <t>Great, as usual!</t>
  </si>
  <si>
    <t>Great as usual. Easy, quick, and reliable!
Thanks</t>
  </si>
  <si>
    <t>KIM BULKOWSKI</t>
  </si>
  <si>
    <t>Customer service</t>
  </si>
  <si>
    <t>I called because my order was delayed twice. The gentleman I spoke with was very condescending. I told him that nowhere on the website does it state how long or how your purchase will take or ve shipped. I explained to him that I have 7 dogs and it is hard for me to get an exact time frame for having my dog food auto shipped. He rudely told me " I am sorry you have a problem on when you need your dog food " I didn't appreciate it. I tried to explain to them that maybe they should put this information on their website along that it takes 3-5 days to ship
He say well I have no control over the website site.</t>
  </si>
  <si>
    <t>Ginny Bee</t>
  </si>
  <si>
    <t>Vinnie and I are Happy.</t>
  </si>
  <si>
    <t>After a little confusion on your website about auto-ship, I was helped along by a pleasant customer svc lady. Smooth transaction. Great price on what I needed (and usually purchased at Chewy for more $); came in 3 days in a roomy box that my senior cat, Vinnie, played in for days. First purchase but will be a continuing customer. : )</t>
  </si>
  <si>
    <t>MICHELE SAGE</t>
  </si>
  <si>
    <t>The experience with pet flow is always…</t>
  </si>
  <si>
    <t>The experience with pet flow is always so great!! I love the customer service and how helpful everyone is.</t>
  </si>
  <si>
    <t>Brenda (Brendy Pugs)</t>
  </si>
  <si>
    <t>Great service!! Lots of dog food choices!</t>
  </si>
  <si>
    <t>Samantha</t>
  </si>
  <si>
    <t>Ordering was easy and delivery was…</t>
  </si>
  <si>
    <t>Ordering was easy and delivery was quick.</t>
  </si>
  <si>
    <t>Virginia Welsh</t>
  </si>
  <si>
    <t>Excellent customer service!</t>
  </si>
  <si>
    <t>They worked with me very well when my cat refused to eat the brand of prescription food I'd bought.</t>
  </si>
  <si>
    <t>SHELLEY</t>
  </si>
  <si>
    <t>Service was great and combined with the…</t>
  </si>
  <si>
    <t>Service was great and combined with the best price, you can't go wrong.</t>
  </si>
  <si>
    <t>Christine Whittinghill</t>
  </si>
  <si>
    <t>The only place to get our dog and cat food</t>
  </si>
  <si>
    <t>I really appreciate that PetFlow carries Fromm. It's difficult to get and PetFlow delivers quickly.</t>
  </si>
  <si>
    <t>LYNN HUIZINGA</t>
  </si>
  <si>
    <t>-4 for delivery time</t>
  </si>
  <si>
    <t>I would give a 1 star for getting the dog food in a timely matter. FedEx is the worse by far. I’ll have to find a local shop in my town to buy as the shipping rates a minus 4.</t>
  </si>
  <si>
    <t>DENISE KOCHICK</t>
  </si>
  <si>
    <t>The company canceled my order 3 tines…</t>
  </si>
  <si>
    <t>The company canceled my order 3 tines with no notification. Bad company bad customer service. Zero stars. I'll keep shopping with Chewy.com</t>
  </si>
  <si>
    <t>DANIEL NEUMANN</t>
  </si>
  <si>
    <t>My order went to the wrong address and…</t>
  </si>
  <si>
    <t>My order went to the wrong address and wasn't delivered. Thank you for replacing it</t>
  </si>
  <si>
    <t>Pamela</t>
  </si>
  <si>
    <t>Excellent pet products at bargain…</t>
  </si>
  <si>
    <t>Excellent pet products at bargain prices!</t>
  </si>
  <si>
    <t>BRADLEY SERLIS</t>
  </si>
  <si>
    <t>Makes pet shopping easy!</t>
  </si>
  <si>
    <t>Products were shipped quick and for a great price! I was searching for bird toys (budgie) and there were plenty of toys to pick from on the site.</t>
  </si>
  <si>
    <t>Skeeter</t>
  </si>
  <si>
    <t>Orders arrive on time and prices are…</t>
  </si>
  <si>
    <t>Orders arrive on time and prices are good. I recommend.</t>
  </si>
  <si>
    <t>MINDY REED</t>
  </si>
  <si>
    <t>My orders are always delivered within 2…Mazey’s kibble</t>
  </si>
  <si>
    <t>My orders are always delivered within 2 days. Great service and price.</t>
  </si>
  <si>
    <t>FABIOLA V.</t>
  </si>
  <si>
    <t>They always have the items I am looking…</t>
  </si>
  <si>
    <t>They always have the items I am looking for and at a great price. Check out is easy and delivery is fast.</t>
  </si>
  <si>
    <t>KIMBERLY GUIDI</t>
  </si>
  <si>
    <t>This company was awful to deal with</t>
  </si>
  <si>
    <t>This company was awful to deal with. They never sent my product and gave me a hard time about my refund.</t>
  </si>
  <si>
    <t>Valentine</t>
  </si>
  <si>
    <t>Great prices and on time delivery.</t>
  </si>
  <si>
    <t>Although FedEx is the most miserable POS low life carrier, your agent putting "deliver to porch" actually worked! They usually just kick it out the door on the way past. I'll buy from you again!</t>
  </si>
  <si>
    <t>RON KNIGHT</t>
  </si>
  <si>
    <t>Although FedEx is the most miserable…</t>
  </si>
  <si>
    <t>HELEN CORYELL</t>
  </si>
  <si>
    <t>It's nice to get a heads up before a…</t>
  </si>
  <si>
    <t>It's nice to get a heads up before a shipment goes out in case I need to adjust the contents or timing. Shipping is always prompt and the selection of food, treats, etc is quite amazing.</t>
  </si>
  <si>
    <t>BRIAN WARD</t>
  </si>
  <si>
    <t>100% SATISFIED</t>
  </si>
  <si>
    <t>I ordered roaches, and not one of them was dead. EVERYONE OF THEM WAS ALIVE AND HEALTHY.
Very fast shipping and very fair price!
I will definitely be doing more business with PetFlow.</t>
  </si>
  <si>
    <t>WILLARD D MEYER</t>
  </si>
  <si>
    <t>Great and plentiful selection of pet…</t>
  </si>
  <si>
    <t>Great and plentiful selection of pet supplies, prompt delivery, and excellent customer service!</t>
  </si>
  <si>
    <t>JUAN AZCONA</t>
  </si>
  <si>
    <t>Website has alot of choices and the…</t>
  </si>
  <si>
    <t>Website has alot of choices and the delivery was on time</t>
  </si>
  <si>
    <t>Diane</t>
  </si>
  <si>
    <t>Great service &amp; quality products</t>
  </si>
  <si>
    <t>I mostly order kibble &amp; bull sticks . I order &amp; it always comes quickly.</t>
  </si>
  <si>
    <t>crystalballing</t>
  </si>
  <si>
    <t>Petflow ships promptly!</t>
  </si>
  <si>
    <t>Petflow ships promptly every time we order our Fromm dog food from them. Excellent customer service!</t>
  </si>
  <si>
    <t>TERRESA HOLMES</t>
  </si>
  <si>
    <t>I ordered cat food for my 2 fur babies…</t>
  </si>
  <si>
    <t>I ordered cat food for my 2 fur babies and it always arrives on time. Petflow has great communication with its costumers.I like the extra help if I can't find something.Nice people!</t>
  </si>
  <si>
    <t>tmh</t>
  </si>
  <si>
    <t>Out of stock?</t>
  </si>
  <si>
    <t>Tried to place large order using $50 off $200, but ran into out of stock items making it difficult. Once order was finally placed, got another out of stock notice. If petflow is to be depended on to supply pet needs, shouldn’t they have items in stock?</t>
  </si>
  <si>
    <t>TRACY WIGHT</t>
  </si>
  <si>
    <t>Great discounts!!</t>
  </si>
  <si>
    <t>PetFlow has been good for me and my dog Elsa.Happy with products,price and shipping.</t>
  </si>
  <si>
    <t>Steven</t>
  </si>
  <si>
    <t>Convenient</t>
  </si>
  <si>
    <t>Great company to deal with! They notify you when your next shipment is coming and you can adjust that date if needed. Good prices too!</t>
  </si>
  <si>
    <t>GAIL MORRISON</t>
  </si>
  <si>
    <t>Great company to deal with</t>
  </si>
  <si>
    <t>easy ordering, quick shipping</t>
  </si>
  <si>
    <t>ANGIE HUTCHINS</t>
  </si>
  <si>
    <t>The products arrived undamaged. With heavy cans, that is great.</t>
  </si>
  <si>
    <t>BRIAN OHEARN</t>
  </si>
  <si>
    <t>The products arrived undamaged</t>
  </si>
  <si>
    <t>Had the food in stock and promptly shipped</t>
  </si>
  <si>
    <t>JOHN OROKE</t>
  </si>
  <si>
    <t>Had the food in stock and promptly…</t>
  </si>
  <si>
    <t>I received my first bully sticks from my dog’s breeder. When my Bernese mountain dog treated them like candy the doc suggested I only order natures own grass feed steer. Service, price and reliability have been excellent. I am am auto ship customer now.</t>
  </si>
  <si>
    <t>JJ</t>
  </si>
  <si>
    <t>Best quality bully sticks</t>
  </si>
  <si>
    <t>I changed suppliers of canned dog food and got the same product for a substantially reduced price.
I'm happy.</t>
  </si>
  <si>
    <t>Spike Cover</t>
  </si>
  <si>
    <t>Good product, great price!</t>
  </si>
  <si>
    <t>Great prices, great service.</t>
  </si>
  <si>
    <t>Richard qQ</t>
  </si>
  <si>
    <t>Phone reps were great! On both occasions this month they worked diligently to get my order dates changed and on the 40 lb. bag of catfood for the ferals, got it shipped out THE SAME DAY!</t>
  </si>
  <si>
    <t>DAVID HANSEN</t>
  </si>
  <si>
    <t>Phone reps were great</t>
  </si>
  <si>
    <t>While the checkout experience was decent, and I was able to save money with a coupon (this all made me happy) - once my package was delivered, I was not happy! I bought 12 bags of dog treats for my 3 boys and 3 of those bags (3 of same kind/flavor) all expire next month!!! They will not be eaten by then and are therefore no good to me and a waste of money!!! VERY DISSATISFIED! Those treats are expensive and I have wasted money now! Do you not check your products for expiration dates? How is this ok???</t>
  </si>
  <si>
    <t>CAMBREA HENDRICKS</t>
  </si>
  <si>
    <t>Received product expiring next month, wasted my money</t>
  </si>
  <si>
    <t>You are reliable, honest, efficient and timely.</t>
  </si>
  <si>
    <t>LAUREL LONG</t>
  </si>
  <si>
    <t>You are reliable</t>
  </si>
  <si>
    <t>MHan</t>
  </si>
  <si>
    <t>Not user friendly but got what I needed</t>
  </si>
  <si>
    <t>The filters and search were not fluid or user friendly. So many items out of stock but that was not known making it time consuming. I nearly gave up twice because of the experience. Not sure how the rest of the site is as I only searched for cat food and a dog bone.</t>
  </si>
  <si>
    <t>customer ellen</t>
  </si>
  <si>
    <t>Order process easy</t>
  </si>
  <si>
    <t>Order process easy. Great service corresponding with our Vet.</t>
  </si>
  <si>
    <t>Shelly G</t>
  </si>
  <si>
    <t>My order came quickly and was accurate.</t>
  </si>
  <si>
    <t>Easy to find what I needed at a good price.
Thanks!</t>
  </si>
  <si>
    <t>Easy to find what I needed at a good…</t>
  </si>
  <si>
    <t>Shipment always delayed and customer service never responds to email 👎🏽</t>
  </si>
  <si>
    <t>mohammad abdi</t>
  </si>
  <si>
    <t>Shipment always delayed and customer…</t>
  </si>
  <si>
    <t>I ordered by wet dog food from Pet Flow for several reasons, those being the price difference between a competing online dog food distributor, the ease of ordering, the friendliness and helpfulness of the agent I spoke with and the fast delivery of the product.
The price difference, with or without the sale price, is much lower than that Pet Flow's online competitor.</t>
  </si>
  <si>
    <t>PATRICK VALENTINE</t>
  </si>
  <si>
    <t>I ordered by wet dog food from Pet Flow…</t>
  </si>
  <si>
    <t>The item I needed was in stock, the process was very easy, I had my order within days and on time. I will continue to order through PetFlow!</t>
  </si>
  <si>
    <t>J Howe</t>
  </si>
  <si>
    <t>The item I needed was in stock</t>
  </si>
  <si>
    <t>I was waiting for notification that my prescription had been verified by the vet and/or that my order had been shipped. After several days, I contacted PetFlow to ask what was up. I got an email saying the order was cancelled out of concern for fraud. I was a long-time customer of PetFlow since my dog already required a special veterinary diet prior to starting this new medication. I couldn’t believe that PetFlow made no attempt to verify my details or determine that i am a legitimate customer placing a valid order. Customer service gave no information for how I should proceed. They just cancelled my pet’s medication without any communication. If I hadn’t have reached out, we would still be waiting. I guess we are Chewy customers now. Thanks for nothing.</t>
  </si>
  <si>
    <t>ADRIANA CULMONE</t>
  </si>
  <si>
    <t>PetFlow canceled my medication order with no communication and lost a customer.</t>
  </si>
  <si>
    <t>My orders were cancelled without notification twice.</t>
  </si>
  <si>
    <t>OLGA INTSKIRVELI</t>
  </si>
  <si>
    <t>My orders were cancelled without…</t>
  </si>
  <si>
    <t>I have had a horrible experience which is still to date not resolved. Placed an order (not a first time customer), My vet was contacted and sent back approval for prescription food. Internal PetFlow issue isnt adjuticating the approval. Noone will help me or call me back after me calling 5 times. I had to make my way to the vet to get a written prescription, email it in, waiting an additional 24 hrs for a response which then said 1-2 more business days to validate. My dog is out of food, no representative will do anything other then send an email to other working groups within the organization. Again no call back after multiple requests. I will be filing a complaint with the Better Business Bureau.</t>
  </si>
  <si>
    <t>I have had a horrible experience which…</t>
  </si>
  <si>
    <t>Easy to begin auto ship. Has the special dog food we were searching for that is highly rated for having ingredients important to long lives of optimal health. Shipment notices sent to keep us informed of when to expect order. Received order in timely manner with zero problems.</t>
  </si>
  <si>
    <t>PAMELA COOPER</t>
  </si>
  <si>
    <t>Good service!</t>
  </si>
  <si>
    <t>Shipment was quick. Product was packaged well.</t>
  </si>
  <si>
    <t>Renea Justice</t>
  </si>
  <si>
    <t>Easy to begin auto ship</t>
  </si>
  <si>
    <t>Solid reliable company to purchase from. Customer service seems supportive if anything beyond a typical order is needed.</t>
  </si>
  <si>
    <t>JANE GETSLA</t>
  </si>
  <si>
    <t>Shipment was quick</t>
  </si>
  <si>
    <t>Great website, excellent prices, and quick deliveries. I will only get my dog's food from PetFlow going forward.</t>
  </si>
  <si>
    <t>ERIN MURPHY</t>
  </si>
  <si>
    <t>Solid &amp; Reliable</t>
  </si>
  <si>
    <t>Best price, fast shipping for my hungry dogs.</t>
  </si>
  <si>
    <t>Katherine Forbes</t>
  </si>
  <si>
    <t>Good communication and fair pricing.</t>
  </si>
  <si>
    <t>Had just what I needed at a great price! Very quick shipping. Had trouble getting the order through a couple of times but I persisted and am glad I did! Will definitely tell my local shelter about them, I am a cat socializer and they might be interested in purchasing from Pet Flow too.</t>
  </si>
  <si>
    <t>CARL SIMONIAN</t>
  </si>
  <si>
    <t>Excellent pet food company</t>
  </si>
  <si>
    <t>Awesome service....great packaging......great prices....very convenient</t>
  </si>
  <si>
    <t>ROSCOE WHITE</t>
  </si>
  <si>
    <t>Efficient and trustworth</t>
  </si>
  <si>
    <t>Pleased with all my purchases. People are helpful.</t>
  </si>
  <si>
    <t>Linda Hatcher</t>
  </si>
  <si>
    <t>Great products at a great price</t>
  </si>
  <si>
    <t>HERB LOWRANCE</t>
  </si>
  <si>
    <t>Awesome service....great…</t>
  </si>
  <si>
    <t>NANCY HOUGH</t>
  </si>
  <si>
    <t>Pleased with all my purchases</t>
  </si>
  <si>
    <t>rajan girdhar</t>
  </si>
  <si>
    <t>Auto ship does not work</t>
  </si>
  <si>
    <t>Auto ship does not work. Advance notice of order was supposed to come but does not. Auto ship does not take changed scheduled when modified days before shipment date. Will not use auto ship or this company again to order dog food.</t>
  </si>
  <si>
    <t>Name withheld</t>
  </si>
  <si>
    <t>My order was canceled and I was never…</t>
  </si>
  <si>
    <t>My order was canceled and I was never notified. I only discovered that it was cancelled after I logged onto my account to find out when my order would be delivered. I called and was given no explanation for the cancellation or when the dog food would be delivered. Never again.</t>
  </si>
  <si>
    <t>rossermond</t>
  </si>
  <si>
    <t>They are doing a great job!</t>
  </si>
  <si>
    <t>They are doing a great job! Left Chewy for them and haven’t looked back since.</t>
  </si>
  <si>
    <t>Risa</t>
  </si>
  <si>
    <t>Easy website for me!</t>
  </si>
  <si>
    <t>Easy website for me, always a pleasure to speak customer service if you need them! Auto ship is easy, changing ship date and products is a breeze and you get a nice discount too!</t>
  </si>
  <si>
    <t>Mauricio</t>
  </si>
  <si>
    <t>Quick shipping and competitive prices. Thank you!</t>
  </si>
  <si>
    <t>SONJA ALLEN</t>
  </si>
  <si>
    <t>Quick shipping and competitive prices</t>
  </si>
  <si>
    <t>Shipping was faster than I expected. Best of all, the items were in perfect condition. No dented cans or boxes, which has not always been the case, so I especially appreciate it.</t>
  </si>
  <si>
    <t>Frances Drake</t>
  </si>
  <si>
    <t>Order came in perfect condition</t>
  </si>
  <si>
    <t>Product was in stock. Added to cart and quick checkout process meant I was “in and out” in less than five minutes.</t>
  </si>
  <si>
    <t>AJ Bon</t>
  </si>
  <si>
    <t>Product was in stock</t>
  </si>
  <si>
    <t>I have now ordered a couple of times and I am 💯 satisfied. The orders are correct, well packaged, and on time if not early. I will be ordering on a regular basis from this company. I have nothing but praise for them. Excellent!</t>
  </si>
  <si>
    <t>AP</t>
  </si>
  <si>
    <t>you need more coupons</t>
  </si>
  <si>
    <t>I called customer service because my order had not shipped after several days. The woman I spoke with in customer service was very polite and helpful and my order was shipped out the next day and I received notifications of the shipping status throughout the process. My order arrived in two seperate shipments but they were only days apart and I was notified that my particular item was out of stock at the time so the remainder of my order would soon follow and it did. I was very pleased with customer service and their attention to detail. Thank you Pet Flow Customer Service for all your assistance.</t>
  </si>
  <si>
    <t>TERESA BRACE</t>
  </si>
  <si>
    <t>I have now ordered a couple of times…</t>
  </si>
  <si>
    <t>Very fast shipping! Had my order in a few days! I was able to saveoney as well! Great company!</t>
  </si>
  <si>
    <t>CHRISTINA KAELIN</t>
  </si>
  <si>
    <t>Customer Service</t>
  </si>
  <si>
    <t>I placed an order, and called three days later to make sure it was coming that day. I was then told that my order was cancelled for possible fraud. I was never notified by a phone call or e-mail that this happened. She couldn't place a new order because it would still go to fraud, and she needed to find out from the fraud dept. why this happened, and she said they get back to her when they can. I told her to e-mail or call me when she found out, and I never heard from her. I was furious. I will never try to order from Pet Flow again.</t>
  </si>
  <si>
    <t>CLIFFORD HEATER</t>
  </si>
  <si>
    <t>Very fast shipping</t>
  </si>
  <si>
    <t>Prices are good, and delivery is timely. My problem has been with ordering from your website. The system cannot seem to store my credit card information properly. Last time it was so bad I had to have one of your staff order for me.</t>
  </si>
  <si>
    <t>PAMELA DOHERTY</t>
  </si>
  <si>
    <t>I placed an order</t>
  </si>
  <si>
    <t>Petflow reps are always helpful &amp; make good on any issues you have</t>
  </si>
  <si>
    <t>GEORGE CRAFTS</t>
  </si>
  <si>
    <t>Online order problem</t>
  </si>
  <si>
    <t>Too long for shipment. Had to keep emailing when order would ship. Items were in stock. Don’t know what the hold up was</t>
  </si>
  <si>
    <t>JEAN QUIGLEY</t>
  </si>
  <si>
    <t>Petflow reps are always helpful &amp; make…</t>
  </si>
  <si>
    <t>Great company quick delivery have all the pet products we need</t>
  </si>
  <si>
    <t>CONSTANCE ANTONELLI</t>
  </si>
  <si>
    <t>Too long for shipment</t>
  </si>
  <si>
    <t>Petflow had brands that I have difficulty obtaining elsewhere. Their prices are good, and the food I ordered for my dog with allergies arrived in good condition.</t>
  </si>
  <si>
    <t>CNM</t>
  </si>
  <si>
    <t>Great company quick delivery have all…</t>
  </si>
  <si>
    <t>Great price on the Chinchilla food that purchased. I always shop away and PetFlow had the best price and I received it super quick,</t>
  </si>
  <si>
    <t>Kristin</t>
  </si>
  <si>
    <t>Petflow had brands that I have…</t>
  </si>
  <si>
    <t>First-time experience</t>
  </si>
  <si>
    <t>Diane Langlois</t>
  </si>
  <si>
    <t>Great price on the Chinchilla food!</t>
  </si>
  <si>
    <t>ED COAN</t>
  </si>
  <si>
    <t>Dog provider</t>
  </si>
  <si>
    <t>SUSAN TASHIRO</t>
  </si>
  <si>
    <t>I changed the address for delivery and…</t>
  </si>
  <si>
    <t>I changed the address for delivery and it got mailed twice, one went to the wrong address but I still had to pay for it.</t>
  </si>
  <si>
    <t>Robert Adams</t>
  </si>
  <si>
    <t>I ordered canned prescription Royal…</t>
  </si>
  <si>
    <t>I ordered canned prescription Royal Canin wet food at a cost of 95.00. Most of the cans were dented on top and bottom. It could be bad for my cat to eat. What a waste. I usually order from Chewy.com, but they were out of stock</t>
  </si>
  <si>
    <t>Botti</t>
  </si>
  <si>
    <t>Discovered Petflow When Other Place Out of Stock</t>
  </si>
  <si>
    <t>Discovered Petflow due to Chewy being out of stock for several weeks of my dog's prescription canned dog food. I got the name of PetFlow from a trusted dog friend. Food arrived quickly. Thank you!</t>
  </si>
  <si>
    <t>Sharon Hazelrigg</t>
  </si>
  <si>
    <t>Willingness to help me through the…</t>
  </si>
  <si>
    <t>Willingness to help me through the ordering process for the first time--I was having some technical difficulty.</t>
  </si>
  <si>
    <t>JODY WARDER302 NEWPORT DR 1506NAPLES, FL 34114</t>
  </si>
  <si>
    <t>Excellent service and very quick…</t>
  </si>
  <si>
    <t>Excellent service and very quick delivery!</t>
  </si>
  <si>
    <t>MARY JANE</t>
  </si>
  <si>
    <t>Prices are good and shipping is fast.</t>
  </si>
  <si>
    <t>Never had a bad experience. Prices are extremely reasonable and customer services is awesome.</t>
  </si>
  <si>
    <t>Denise Fergusson</t>
  </si>
  <si>
    <t>Never had a bad experience</t>
  </si>
  <si>
    <t>The customer service is extraordinary. Any problem I’ve had was corrected swiftly, expertly, and cheerfully. These people seem genuinely interested in taking care of our pets.</t>
  </si>
  <si>
    <t>Stephen</t>
  </si>
  <si>
    <t>The customer service is extraordinary</t>
  </si>
  <si>
    <t>Good price, fast service.</t>
  </si>
  <si>
    <t>Portland customer</t>
  </si>
  <si>
    <t>It was my first time ordering with this company and it will be my last one. They canceled my order and didn't notify me, when I called them, they said it was flagged for fraud and had to be canceled. I asked why, they said they can't give me any additional info. My order wasn't big, but the item I bought was on sale. I reported them to BBB. And looks like a lot of people had the same issue as me.</t>
  </si>
  <si>
    <t>Yulia B</t>
  </si>
  <si>
    <t>It was my first time ordering with this…</t>
  </si>
  <si>
    <t>I didn’t even place the order that triggered this review to pop up. It was fraud and I’m still dealing with the canceling of my credit card because your website wasn’t secure.
Also, even on this page my name coming up as James Shearer. That is not my name. Honestly, I’m not going to give my name as from here on out I’m deleting anything else from your site.</t>
  </si>
  <si>
    <t>JAMES SHEARER</t>
  </si>
  <si>
    <t>I didn’t even place the order that…</t>
  </si>
  <si>
    <t>Carries brand not found in most pet stores. Efficient, fast delivery.</t>
  </si>
  <si>
    <t>ARDEN LARSEN</t>
  </si>
  <si>
    <t>Carries brand not found in most pet…</t>
  </si>
  <si>
    <t>Awesome professional support with timely shipping. Great prices as well.</t>
  </si>
  <si>
    <t>Rob</t>
  </si>
  <si>
    <t>Awesome professional support with…</t>
  </si>
  <si>
    <t>Prompt response when I had a problem with my order. They gave me a credit because my dog will not eat the food I ordered.</t>
  </si>
  <si>
    <t>Prompt response.</t>
  </si>
  <si>
    <t>Great experience on website and delivery!</t>
  </si>
  <si>
    <t>KAREN COSTELLO</t>
  </si>
  <si>
    <t>Great experience on website and…</t>
  </si>
  <si>
    <t>EXCELLENT PRICING, SHIPPING NOTIFICATION AND PACKING OF ORDER!! Just wished they had more selection available.</t>
  </si>
  <si>
    <t>AMY</t>
  </si>
  <si>
    <t>EXCELLENT PRICING</t>
  </si>
  <si>
    <t>I’m was technologically inept on the computer and had to call the company to order my product. The person who answered the phone was so courteous and helpful. Because of her, I will continue to order my dogs food from PetFlow.</t>
  </si>
  <si>
    <t>APRIL WOODRUFF</t>
  </si>
  <si>
    <t>I’m was technologically inept on the…</t>
  </si>
  <si>
    <t>Everything I was looking for was in stock, and delivery was quick.</t>
  </si>
  <si>
    <t>Marcelino</t>
  </si>
  <si>
    <t>Everything I was looking for was in…</t>
  </si>
  <si>
    <t>The whole process went smooth.
Fast shipping.
Very satisfied.</t>
  </si>
  <si>
    <t>GARY FULLER</t>
  </si>
  <si>
    <t>First order!</t>
  </si>
  <si>
    <t>Using Petflow was easy, and I was able to find substrate for my tortoise that was not available near me. I also ordered wet cat food. It was the trouble with Fedex that will make me reconsider using Petflow again. My catfood was shipped all over the place and arrived a week later than the substrate. It was right here in Colorado and was sent to Bloomington, CA then to Utah and then back to CO. When I finally got the box, it was partially open on the bottom and the cans of food were dented. One was leaking. Getting answers from Fedex was like pulling teeth. This is why the 3 rating. Petflow was great but Fedex ruined the experience.</t>
  </si>
  <si>
    <t>KG</t>
  </si>
  <si>
    <t>Using Petflow was easy</t>
  </si>
  <si>
    <t>Kevin</t>
  </si>
  <si>
    <t>Great Customer Service &amp; Best Produce Pricing</t>
  </si>
  <si>
    <t>Two reasons: the terrific customer service and product pricing. Simply put: they earned my business. Sometimes low pricing (actually the best price I could find) means low quality customer service, but not at PetFlow. My first order from PetFlow arrived damaged due to knife cut in dog food bag resulting in a significant amount of dog food loose in the shipping box - I could hear it even before I opened the box. The professional handling and lightening quick replacement shipment arrived in less than a week from my first shipment. Nicely done.</t>
  </si>
  <si>
    <t>Linda Lou</t>
  </si>
  <si>
    <t>NO one knew what was happening</t>
  </si>
  <si>
    <t>Ordered prescription dog food. No email telling me you got the order. I called and they said it would be coming out of a warehouse, did not know from where or when. Still no email. Had to go buy food locally, which I am disabled and it was alot of work and extra money. After about a week the food was delivered. Two days after delivery an email came saying the food was delivered. Had to spend money and energy to make sure my dog had food, because no one knew when and where it was coming from. No emails.</t>
  </si>
  <si>
    <t>Cynthia Greene</t>
  </si>
  <si>
    <t>I was looking for better pricing for my…</t>
  </si>
  <si>
    <t>I was looking for better pricing for my dogs food, and that is how I found Pet Flow. I want to feed them a better dog food than what is in most grocery stores. I was happy to find Pet Flow, they have good customer service, and great prices. With 5 dogs, I need a good price. I will be ordering my food from them from now on.</t>
  </si>
  <si>
    <t>MARYANNE</t>
  </si>
  <si>
    <t>They always have what I am looking for…</t>
  </si>
  <si>
    <t>They always have what I am looking for at a fair price. In particular, I order Fromm's dog food. They are one of few places that carry it. Shipping is quick as well</t>
  </si>
  <si>
    <t>Quick shipping</t>
  </si>
  <si>
    <t>Easy, awesome new pet products online order/delivery company recommended to all pet parents 😀</t>
  </si>
  <si>
    <t>DENNITTA HILL</t>
  </si>
  <si>
    <t>Awesome online pet products delivered to your door</t>
  </si>
  <si>
    <t>They had what I needed in stock and it came fast.</t>
  </si>
  <si>
    <t>JILL JOHNSON</t>
  </si>
  <si>
    <t>They had what I needed in stock and it…</t>
  </si>
  <si>
    <t>Website was easy to navigate and shipping was fast. Compared prices and Petflow was the best by far. Will definitely order again</t>
  </si>
  <si>
    <t>TERRI</t>
  </si>
  <si>
    <t>Website was easy to navigate and…</t>
  </si>
  <si>
    <t>After deciding what brand of dog food I wanted for my new puppy, I did a search for the best price.
PetFlow had the best price.</t>
  </si>
  <si>
    <t>GREG BISI</t>
  </si>
  <si>
    <t>Best price I could find</t>
  </si>
  <si>
    <t>RECIEVED THE LAST PRODUCT, I ORDERED. I CALLED YOUR COMPANY TO LET YOU KNOW, THE PRODUCT WAS DAMAGED (BENT). I TOLD THE PERSON, THE BOX WAS NOT DAMAGED, SO THE PRODUCT HAD TO HAVE BEEN PUT IN THE BOX DAMAGED!
HE DIDN'T WANT TO HEAR IT AND WAS REALLY RUDE!!!</t>
  </si>
  <si>
    <t>SONG LEE</t>
  </si>
  <si>
    <t>arrogance sales!</t>
  </si>
  <si>
    <t>This was a new Company to me with a good buy on the products I needed so I decided to give them a try. I am VERY DISAPPOINTED: 1) I never received an Order Confirmation Email as stated (checked my Spam) and was rather referred to my Email Provider immediately without even offering to investigate on their end, 2) When I tried to sign in to check the status, there was no record of my Order ALREADY CHARGED TO MY BANK ACCOUNT-- (perhaps why I didn't get the Confirmation via Email and not the fault of Microsoft Hotmail who they blamed), 3) Multiple Phone Reps were quite rude and offered conflicting information regarding shipping/delivery that even varied from that which was available on their Website. When I asked for Site direction in order to view details the Rep was providing for clarity and assurance, he was unable to do so, 4) I do not even know at this point when or if I will get the PAID FOR Order, now past the initial represented date for delivery and with no Site Record of the transaction. I will pursue the reimbursement protection my Financial Institution offers me in these cases, but it is not worth the trouble to have to go that route for just a few dollars saved on the merchandise and hence becoming too low on supply for my Kitty with Special Needs for comfort. This is the first time I have 'strayed' from CHEWY and definitely will NEVER do so again as they have a SPOTLESS AND ERROR FREE RECORD over the course of my YEARS of transactions. Live and Learn and I hope this helps someone. :)</t>
  </si>
  <si>
    <t>PAULINE HAMASAKI</t>
  </si>
  <si>
    <t>HORRIBLE CUSTOMER SERVICE!</t>
  </si>
  <si>
    <t>Everything was quick and easy. The Custer service rep was knowledgeable, professional and pleasant</t>
  </si>
  <si>
    <t>LAST NAME Ranney</t>
  </si>
  <si>
    <t>EXTREMELY DISAPPOINTED</t>
  </si>
  <si>
    <t>Could not pay with paypal. For some reason kept getting message problem with connection</t>
  </si>
  <si>
    <t>Anita</t>
  </si>
  <si>
    <t>Good experience. Thank yoy</t>
  </si>
  <si>
    <t>I appreciate their communication with me in regards to orders and delivery</t>
  </si>
  <si>
    <t>STEPHEN BECKETT</t>
  </si>
  <si>
    <t>Could not pay with paypal</t>
  </si>
  <si>
    <t>I can always find the products I want for my dogs at really good prices</t>
  </si>
  <si>
    <t>SARA &amp; CHRISTY HANSHEW</t>
  </si>
  <si>
    <t>I appreciate their communication with…</t>
  </si>
  <si>
    <t>There was a delay in shipping and the order had to be split, but throughout everything they kept me highly informed of everything going on. Best part for me, the customer service representative who responded to my email was kind, helpful, and informative.</t>
  </si>
  <si>
    <t>Olga Abella</t>
  </si>
  <si>
    <t>Affordable Place to Shop</t>
  </si>
  <si>
    <t>Great and Fast Service and plenty of communication …. You can’t ask for more</t>
  </si>
  <si>
    <t>SHALENE H.</t>
  </si>
  <si>
    <t>Even with delays they were top-notch!</t>
  </si>
  <si>
    <t>I had to get a specialty cat food for our cat who has dietary restrictions. I was unable to use a coupon that had been sent to me. I called and immediately it was taken care of, I was able to use that coupon, they quickly confirmed prescription with our vet, and delivered in a timely manner. The only thing we did not get was a confirmation or tracking number. But we were so pleased with the purchase, that it wasn't a big deal. Thanks for a great experience!</t>
  </si>
  <si>
    <t>Great and Fast Service and plenty of…</t>
  </si>
  <si>
    <t>Georgia</t>
  </si>
  <si>
    <t>Super quick shipping and good prices.</t>
  </si>
  <si>
    <t>Heidi McCain</t>
  </si>
  <si>
    <t>Specialty cat food order</t>
  </si>
  <si>
    <t>Joy</t>
  </si>
  <si>
    <t>Excellent!</t>
  </si>
  <si>
    <t>Easy to use, fast, and cheaper than other pet supply companies!</t>
  </si>
  <si>
    <t>cb</t>
  </si>
  <si>
    <t>Order shipping delays - NJ warehouse</t>
  </si>
  <si>
    <t>Over the last year there has been significant shipping delays with my autoship order. The issue seems to be primarily with the NJ warehouse where they don't work night, weekends etc. There is a discconnect between product forecasting, order entry and supply chain. these operations are clearly not in sync. There is no back up plan for order surges. In addition, the customer is never notified of shipping delays until the customer calls. Petflow needs to ensure that the product demands are met complete and on time. Their efficieny and on time delivery metrics must be terrible. Nothing seems to be done about it.</t>
  </si>
  <si>
    <t>CustomerMsMarianne</t>
  </si>
  <si>
    <t>My favorite mail order for pet food and stuff</t>
  </si>
  <si>
    <t>PetFlow always gets my order correct, has great prices and I never have to worry about running out of food for my dogs and cats</t>
  </si>
  <si>
    <t>JULIA JOHNSON</t>
  </si>
  <si>
    <t>My cat would not eat several differert…</t>
  </si>
  <si>
    <t>My cat would not eat several differert canned cat foods. I tried the one for stomach and hair and she has not thrown up since. You now have a returning customer!! tHANKS</t>
  </si>
  <si>
    <t>Gregory Gigantiello</t>
  </si>
  <si>
    <t>Always excellent customer service.</t>
  </si>
  <si>
    <t>Shipment on time. Customer service great</t>
  </si>
  <si>
    <t>CHRISTINE ROBINSON</t>
  </si>
  <si>
    <t>Shipment on time</t>
  </si>
  <si>
    <t>Not a good experience at all. I choose your company because of a discount you offered me fir being a first time customer. I never got the discount because your ad was misleading. I was only going to get the discount if I signed up for auto refills (that was not mentioned with the WELCOME10 discount).
I still have not received my order, which I placed over 2 weeks ago. Please keep the order and refund me my money. I have already ordered from CHEWY...AND received my order 4 days ago.</t>
  </si>
  <si>
    <t>Marylou</t>
  </si>
  <si>
    <t>Not a good experience at all</t>
  </si>
  <si>
    <t>Fast shipping!!
Had the food I needed —happy to have a promo code as well !
Great communication with shipping and delivery</t>
  </si>
  <si>
    <t>pam l</t>
  </si>
  <si>
    <t>Fast shipping!!</t>
  </si>
  <si>
    <t>The exact product I was buying locally at Petsmart. A prescription cat food but in a larger economy bag for about 30 % less. Shipped free and on time. I'll be a regular customer now</t>
  </si>
  <si>
    <t>Jim Damm</t>
  </si>
  <si>
    <t>Special cat food</t>
  </si>
  <si>
    <t>Very happy with the product the way it was pack, got it in the time frame I was told and what’s more important my cat love it and you guys where the only place who have it in stock thank you so much</t>
  </si>
  <si>
    <t>ODALYS CRUZ</t>
  </si>
  <si>
    <t>Very happy with the product the way it…</t>
  </si>
  <si>
    <t>Ten business days after placing my order and being charged for the order, the product has yet to ship. 5 business days after placing the order I contacted customer service, who indicated they would check with supplier and get back to me. I was told it could take up to 5 business days for my order to ship— after 10 business days I’ve received no update and it appears my item hasn’t shipped.</t>
  </si>
  <si>
    <t>JESSICA FRIEDMAN</t>
  </si>
  <si>
    <t>Charged 10 days ago for unshipped order</t>
  </si>
  <si>
    <t>Trouble free delivery. Arrived when expected as expected. No complaints at all. Would recommend...</t>
  </si>
  <si>
    <t>Tammy Borell</t>
  </si>
  <si>
    <t>Trouble free delivery</t>
  </si>
  <si>
    <t>Tried ordering twice..both times the orders got cancelled by their team. Neither time did they reach out to me to inform me they were cancelled, it was just after waiting days for a shipping confirmation after getting an email they were fulfilling the order. I had to reach out asking where my order was just to be told it got cancelled first because the payment team told them not to fulfill it even though my card on file and zip code were correct...I figured whatever and replaced the order at the recommendation of the customer service person with a different card, again verifying all the information. Wait for days for the shipping confirmation..nothing. Email them and once again the order got cancelled because the fraud team this time flagged the order. Once again never was I messaged or informed there was anything wrong..just told they were fulfilling the order and then had to reach out to them to see what was going on. Was told I need to call in and go through a verification process...called and was on hold so said screw this. Way too much trouble for rat food that I can get elsewhere and not jump through 20 hoops for.</t>
  </si>
  <si>
    <t>NK</t>
  </si>
  <si>
    <t>Tried ordering twice..both times the…</t>
  </si>
  <si>
    <t>Got what I ordered and delivered quickly.</t>
  </si>
  <si>
    <t>DEBBIE LATTIN</t>
  </si>
  <si>
    <t>Got what I ordered and delivered…</t>
  </si>
  <si>
    <t>Although I had never purchased from PetFlow before, they delivered quick and on time and the product was exactly as advertised.</t>
  </si>
  <si>
    <t>Matthew</t>
  </si>
  <si>
    <t>Although I had never purchased from…</t>
  </si>
  <si>
    <t>Had dog food I used, processed my order quickly and I received it quickly.
Only problem I had was box that it was shipped in was totally broken. Luckily dog food wasn’t.</t>
  </si>
  <si>
    <t>Had dog food I used</t>
  </si>
  <si>
    <t>Good selection of products, pricing was very competitive, and shipping was super fast!</t>
  </si>
  <si>
    <t>Et</t>
  </si>
  <si>
    <t>I still haven’t gotten my order</t>
  </si>
  <si>
    <t>Good service and competitive prices. Products arrive in good condition and in a timely manner.</t>
  </si>
  <si>
    <t>STEVE W.</t>
  </si>
  <si>
    <t>Good Experience</t>
  </si>
  <si>
    <t>They went above and beyond the call to ensure satisfaction after the carrier had lost a shipment. I highly recommend Petflow to anyone looking for quality goods at a fair price.</t>
  </si>
  <si>
    <t>Good service and competitive prices</t>
  </si>
  <si>
    <t>SCOTT BILOT</t>
  </si>
  <si>
    <t>They went above and beyond the call</t>
  </si>
  <si>
    <t>STEVEN HARRINGTON</t>
  </si>
  <si>
    <t>Could not buy cat food without a…</t>
  </si>
  <si>
    <t>Could not buy cat food without a prescription...like what the hell is that about, It's all so Veterinarians can get paid it's total b*******. Absolutely uncalled for</t>
  </si>
  <si>
    <t>ROXANNE M KITZMAN</t>
  </si>
  <si>
    <t>Availability</t>
  </si>
  <si>
    <t>Availability
Good Price
Easy Scheduling</t>
  </si>
  <si>
    <t>Diana L</t>
  </si>
  <si>
    <t>Good products quality excellent…</t>
  </si>
  <si>
    <t>Good products quality excellent customer service</t>
  </si>
  <si>
    <t>Michael</t>
  </si>
  <si>
    <t>Ordering the needed vet diet for my dog…</t>
  </si>
  <si>
    <t>Ordering the needed vet diet for my dog has been easy. More communication regarding the order and when it is shipped and will be delivered would make it a perfect transaction.</t>
  </si>
  <si>
    <t>Unhappy member</t>
  </si>
  <si>
    <t>You falsely advertised an item</t>
  </si>
  <si>
    <t>You falsely advertised an item. You advertised the item was in stock then when it was supposed to ship I receive an email stating was out of stock but on your website it still to this day states it is in stock. Now I can't cancel the auto ship I can only delay it and I'm unable to remove my account with my credit card information on it</t>
  </si>
  <si>
    <t>Stephanie P</t>
  </si>
  <si>
    <t>Extremely friendly and helpful customer…</t>
  </si>
  <si>
    <t>Extremely friendly and helpful customer service and quality items always available. Shipping is always quick and they donate a bowl of food with your order. Win/Win</t>
  </si>
  <si>
    <t>JEAN SILVER</t>
  </si>
  <si>
    <t>Happy with service very pleased.</t>
  </si>
  <si>
    <t>Very happy I ordered the food one day and received it the next.</t>
  </si>
  <si>
    <t>I have received my puppy’s food in a…</t>
  </si>
  <si>
    <t>I have received my puppy’s food in a timely manner and he loves it. Thanks!</t>
  </si>
  <si>
    <t>Frank viola</t>
  </si>
  <si>
    <t>Federal express incompetence</t>
  </si>
  <si>
    <t>7 of the cans were extremely dented. One of the seven damaged cans was leaking</t>
  </si>
  <si>
    <t>JULIE WAYMIRE</t>
  </si>
  <si>
    <t>Super quick response time when I…</t>
  </si>
  <si>
    <t>Super quick response time when I accidently ordered a toy I didn't want.
Website is user friendly. Huge amount of items to choose from.
I used to shop a Chewy but I needed a prescription and it was easier to pick my vet from you list than going through all of Chewy's site. Also, they don't even carry the prescription food.
You carry everything I need so I'll just stick with you. The only thing I don't know is the turn-around time...?
I do wish I could have put my little girls liver vitamin on auto ship but I could not figure that out..?</t>
  </si>
  <si>
    <t>Chanel Silva</t>
  </si>
  <si>
    <t>PetFlow is wonderful!</t>
  </si>
  <si>
    <t>PetFlow is wonderful, many varieties of food for your pets. My only gripe is that after placing an order I got a Thank you email w/a picture on it saying review yr item, get $10 back. They gave it to me for only one of my reviews &amp; the very good, sweet customer service reps have never followed up on my other reviews.</t>
  </si>
  <si>
    <t>ROBERT NAYLIS</t>
  </si>
  <si>
    <t>Fast service and delivery</t>
  </si>
  <si>
    <t>Customer service has been great, but shipping practices need work! I have complained on multiple occasions that my shipment of canned dog food arrives damaged. They pack too many flats of cans in the same box, and don't use any packing materials to prevent against damage. I have brought this to their attention each time, but nothing is ever done about it. Most recently, they packed 4 cases of cans- 48 cans!- in the same package. It arrived with dented cans and the box was totally opened. It was way too heavy for a senior citizen to lift without injury. On each occasion, PetFlow has made an accommodation for me, either a discount or a new shipment, which is very much appreciated. However, I would prefer that they ship it properly the first time. One time, the cans sent as a replacement were also dented. I still use PetFlow because customer services reps have been routinely nice each time I have had to contact them. Just wish their shipping department would change their practices.</t>
  </si>
  <si>
    <t>Kriss M.</t>
  </si>
  <si>
    <t>Great customer service...Poor shipping procedures</t>
  </si>
  <si>
    <t>After ordering I did NOT get a tracking number or shipping confirmation even after getting a notice that the food was shipped. My PayPal payment was taken right away.
I also was put on autopay WITHOUT MY PERMISSION.
I had to manually cancel an autopsy I didn’t agree to!</t>
  </si>
  <si>
    <t>GRANDMA RINK</t>
  </si>
  <si>
    <t>No tracking info, Autopay that was not agreed to.</t>
  </si>
  <si>
    <t>I’ve been overcharged for my orders since mid August due to incorrect sales tax. I informed company of this explaining why we were overcharged including documentation from the state proving the correct rate but was continuously blown off and disregarded. I shouldn’t have to prove my correct tax rate to begin with but then when I do and you still tell me you are charging the correct rate when I provide documentation you are not, that is just bad business. We will no longer support your business.</t>
  </si>
  <si>
    <t>DON PETERS</t>
  </si>
  <si>
    <t>I’ve been overcharged for my orders…</t>
  </si>
  <si>
    <t>Concerned about the package that I ordered 2 weeks ago that still has not arrived. I'm running out of the canned food for my dogs . . .</t>
  </si>
  <si>
    <t>LESLIE FEARING</t>
  </si>
  <si>
    <t>Concerned about the package that I…</t>
  </si>
  <si>
    <t>I have a recurring order and needed to modify. Tried and messed it up and ended up having two recurring orders. Called customer service and a very friendly person helped me navigate to delete one.</t>
  </si>
  <si>
    <t>deirdre santoscoy</t>
  </si>
  <si>
    <t>great value and quick delivery.</t>
  </si>
  <si>
    <t>Overall a good experience. I am not a fan of the website, could be a bit more user friendly. Shipping takes too long. Orders take a while to process. Availability of products is ok. Prices/sales could be better.</t>
  </si>
  <si>
    <t>linda</t>
  </si>
  <si>
    <t>Friendly customer service</t>
  </si>
  <si>
    <t>First time ordering prescription food order for my pup and customer service was so helpful to track order to deliver as soon possible! Very helpful and trustworthy!</t>
  </si>
  <si>
    <t>MELONIE ESO</t>
  </si>
  <si>
    <t>Overall a good experience</t>
  </si>
  <si>
    <t>Donna Ross</t>
  </si>
  <si>
    <t>First time ordering prescription food…</t>
  </si>
  <si>
    <t>Paul Auger</t>
  </si>
  <si>
    <t>Good price and fast delivery</t>
  </si>
  <si>
    <t>As advertised product with timely service.</t>
  </si>
  <si>
    <t>Steve Sell</t>
  </si>
  <si>
    <t>As advertised product with timely…</t>
  </si>
  <si>
    <t>Was on time and order is right. Thank you.</t>
  </si>
  <si>
    <t>michael ri</t>
  </si>
  <si>
    <t>Great prices and quick delivery</t>
  </si>
  <si>
    <t>Hi, I live 1/2 mile off the county road,fed x is the only delivery outfit that will come up here in the winter. You shipped my food with them so I got it in a short time. Way to go! Tim</t>
  </si>
  <si>
    <t>Julie</t>
  </si>
  <si>
    <t>Was on time and order is right</t>
  </si>
  <si>
    <t>Need to tape top and bottom end edges. Just the middle is not enough on large bags.</t>
  </si>
  <si>
    <t>Customer Timothy</t>
  </si>
  <si>
    <t>It’s extremely easy to order anything.
I really appreciate that. It’s always on time when they say you’ll receive it.
They also give you a tracking number so you can keep track of your order.
It’s a great company and so easy ordering what you need. 👍🏼♥️👍🏼</t>
  </si>
  <si>
    <t>Bruce</t>
  </si>
  <si>
    <t>Tape top and bottom end edges</t>
  </si>
  <si>
    <t>The deliveries arrive in good condition, and on time.</t>
  </si>
  <si>
    <t>DEBBIE REYES</t>
  </si>
  <si>
    <t>It’s extremely easy to order anything.</t>
  </si>
  <si>
    <t>PetFlow carries the particular brands of food for my pups that I are the most nutritious and made by family run companies in the US.</t>
  </si>
  <si>
    <t>KathyN</t>
  </si>
  <si>
    <t>Quality products, good customer service</t>
  </si>
  <si>
    <t>I have been using this service for over 10 years. I have never had a bad experience with either the product or the customer service. Everyone I have dealt with has been friendly, knowledgeable, and professional.</t>
  </si>
  <si>
    <t>BubblesLaTour47</t>
  </si>
  <si>
    <t>PetFlow carries the particular brands…</t>
  </si>
  <si>
    <t>Shipment arrived torn from stem to stern and keel. Meager attempts at re-taping most likely by the carrier. Packaging too light for the weight in the box. Amazed that all product was still in the box, even tho box was near total destruction. I notified Pet Flow and get zero response. I'm thinking about seeking a new supplier. This time Pet Flow was woefully under expectations.</t>
  </si>
  <si>
    <t>CHERYL RENSHAW</t>
  </si>
  <si>
    <t>Petflow review…</t>
  </si>
  <si>
    <t>Apparently when I placed my order the item was in stock. My card was charged and I expected shipment soon. A couple days later I got a refund of my purchase with no explanation. The explanation came a couple days later that they were out of stock. Seems a bit odd that it was in stock, I was charged and then all of a sudden it's out of stock. I guess they need a better inventory tracking system.</t>
  </si>
  <si>
    <t>Marilyn Cole</t>
  </si>
  <si>
    <t>Updated Feb 2, 2023</t>
  </si>
  <si>
    <t>Sorry packaging!!!</t>
  </si>
  <si>
    <t>Usually, I don't have any issues. This time, the shipment of cat food was all over the place. Cans were not secure in the case and many were severely dented. Almost like someone just threw the case in the box.</t>
  </si>
  <si>
    <t>DEBORA MCNAMARA</t>
  </si>
  <si>
    <t>Suddenly out of stock??</t>
  </si>
  <si>
    <t>Responsive customer support.</t>
  </si>
  <si>
    <t>NORA WADE-SCHULTZ</t>
  </si>
  <si>
    <t>Terrible packing for this shipment</t>
  </si>
  <si>
    <t>Price and prompt delivery</t>
  </si>
  <si>
    <t>A. Iannotta</t>
  </si>
  <si>
    <t>Responsive customer support. Good availability of product I needed.</t>
  </si>
  <si>
    <t>I found this company online when the place I usually order from was out. Ordered three bags on Saturday the product shipped on Monday and arrived to my home on Wednesday, I live in a very rural area as well. WOULD DEFINITELY RECOMMEND.</t>
  </si>
  <si>
    <t>Mary Hommel</t>
  </si>
  <si>
    <t>👍👍</t>
  </si>
  <si>
    <t>Quick shipping, helpful customer support, and quality cat food purchase. Best price too. Thank you.</t>
  </si>
  <si>
    <t>ROSS HARRISON</t>
  </si>
  <si>
    <t>I found this company online when the…</t>
  </si>
  <si>
    <t>There was a bit of confusion with the customer service rep when I called regarding the prescription diet food for my dog. I had already sent the script to customer support but when I called to let them know it was there, she said I needed to send it to customer support. Better listening would help. But the product came quickly after they realized they had Vet approval.</t>
  </si>
  <si>
    <t>richard wilson</t>
  </si>
  <si>
    <t>Got dog food in a timely manner.</t>
  </si>
  <si>
    <t>I ordered tetraColor XL tropical granules fish food and my fish thank you. I got it just in time as I ran out of 3 days servings left. Speedy delivery for great price.</t>
  </si>
  <si>
    <t>Sue Evans</t>
  </si>
  <si>
    <t>Thank you</t>
  </si>
  <si>
    <t>SUZANNE</t>
  </si>
  <si>
    <t>Better listening skills in customer support</t>
  </si>
  <si>
    <t>Pa Jo</t>
  </si>
  <si>
    <t>Fast delivery I ordered tetraColor XL tropical…</t>
  </si>
  <si>
    <t>Arizona Customer</t>
  </si>
  <si>
    <t>My package was delivered damaged and…</t>
  </si>
  <si>
    <t>My package was delivered damaged and they quickly replaced it without questions.</t>
  </si>
  <si>
    <t>BETTY GIBBS</t>
  </si>
  <si>
    <t>Has what I needed and delivered it in…</t>
  </si>
  <si>
    <t>Has what I needed and delivered it in good time.</t>
  </si>
  <si>
    <t>Susan Ostby</t>
  </si>
  <si>
    <t>Easy to navigate website</t>
  </si>
  <si>
    <t>Easy to navigate website. Found the dog food I was looking for and with discounts applied by PetFlow was able to get the lowest price I could find anywhere.</t>
  </si>
  <si>
    <t>K8VL</t>
  </si>
  <si>
    <t>Great selection and fast shipping!</t>
  </si>
  <si>
    <t>This was the first time I had shopped with PetFlow and found it to be very easy to find what I needed.</t>
  </si>
  <si>
    <t>JODY HUTH</t>
  </si>
  <si>
    <t>This was the first time I had shopped…</t>
  </si>
  <si>
    <t>I will never order anything from this company again. They do not have the food I ordered, but it’s on back order now they are holding my credit card hostage and won’t cancel my order.</t>
  </si>
  <si>
    <t>DIANE CAMPOCHIARO</t>
  </si>
  <si>
    <t>I will never order anything from this…</t>
  </si>
  <si>
    <t>My orders are always punctual and good. This time, was especially essential that my order was expedited faster than usual as my dog sitter who was taking care of my dog during a family death over the holidays didn't tell me he was almost out of food! Thank you for sending so fast and making my pup happy. The FROMM brand is the only kind my dog can eat as he is allergic to chicken and do you know how hard it is to find treats or anything else without chicken products? Thank goodness for this FROMM brand. Thanks again!</t>
  </si>
  <si>
    <t>THOMAS SMITH</t>
  </si>
  <si>
    <t>Great price and fast shipping</t>
  </si>
  <si>
    <t>my account showed a backorder. order more product, then got a bunch of products, good for months.</t>
  </si>
  <si>
    <t>My orders are always punctual and good</t>
  </si>
  <si>
    <t>I needed to find a specific prescription food for my diabetic dog and they had it, along with some other options that my vet would approve if my dog didn’t like this one. They got in touch with my vet immediately to verify his prescription and shipped the food to me within 24 hours.</t>
  </si>
  <si>
    <t>Abbey’s parents</t>
  </si>
  <si>
    <t>PetFlow has a great selection of products, great prices and fast shipping. I buy the Nulo Cod and Lentils Weight Management dog food, my guys love it</t>
  </si>
  <si>
    <t>DON URBIELEWICZ</t>
  </si>
  <si>
    <t>my account showed a backorder</t>
  </si>
  <si>
    <t>Cheaper then other places. Fast shipping. I was very pleased.</t>
  </si>
  <si>
    <t>KIMBERLY JENSEN</t>
  </si>
  <si>
    <t>Great options and Fast delivery</t>
  </si>
  <si>
    <t>All of my dealings with pet have been positive. My dog food is always delivered in a timely manner.</t>
  </si>
  <si>
    <t>Rhonda Williams</t>
  </si>
  <si>
    <t>PetFlow has a great selection of products</t>
  </si>
  <si>
    <t>Easy to order, competitive prices orders arrive fast!</t>
  </si>
  <si>
    <t>Mamichellr</t>
  </si>
  <si>
    <t>Cheaper then other places</t>
  </si>
  <si>
    <t>I purchased Milk Bone Pill Pockets. This was a really good price, and they shipped my order quick. I'll definitely be back.</t>
  </si>
  <si>
    <t>DONNA GREENE</t>
  </si>
  <si>
    <t>All of my dealings with pet have been…</t>
  </si>
  <si>
    <t>Fast shipping and almost always have foods I am looking for in stock for immediate shipment.</t>
  </si>
  <si>
    <t>TXCJG</t>
  </si>
  <si>
    <t>Quick service, good packing, good prices.</t>
  </si>
  <si>
    <t>ELIZABETH CARTER</t>
  </si>
  <si>
    <t>Great price and quick shipping!</t>
  </si>
  <si>
    <t>Cumbersome Internet system caused two orders to register rather than one. Canceling the orders immediately still did not stop an extra bag of dog food from arriving, causing multiple emails and finally return.</t>
  </si>
  <si>
    <t>SCOTT L</t>
  </si>
  <si>
    <t>Fast shipping and almost always have…</t>
  </si>
  <si>
    <t>I received this order so quickly which I really appreciated. It surprised me, it was so fast.</t>
  </si>
  <si>
    <t>Travis</t>
  </si>
  <si>
    <t>Quick service</t>
  </si>
  <si>
    <t>ALAN PETERS</t>
  </si>
  <si>
    <t>Cumbersome Internet system caused two…</t>
  </si>
  <si>
    <t>DELORES BECKETT-PASTIRCHAK</t>
  </si>
  <si>
    <t>I received this order so quickly which…</t>
  </si>
  <si>
    <t>MARY RUSSELL</t>
  </si>
  <si>
    <t>Took 9 days for order to arrive</t>
  </si>
  <si>
    <t>Took 9 days for order to arrive. Multiple erroneous ails re expected arrival, had to go buy at store and.order was delivered after I left the area.</t>
  </si>
  <si>
    <t>JANE BREYER</t>
  </si>
  <si>
    <t>This has to be my 10 th or more times…</t>
  </si>
  <si>
    <t>This has to be my 10 th or more times that I have either purchased dog and cat food from PetFlow. The delivery service is excellent! Also selection is wonderful and price is just the same or less than in the stores. It’s so nice to come home and your fur babies food is here!</t>
  </si>
  <si>
    <t>Good service at a reason able price.</t>
  </si>
  <si>
    <t>Was kept informed about items back ordered and other items shipped separately.</t>
  </si>
  <si>
    <t>Sheri Gittinger</t>
  </si>
  <si>
    <t>Was good customer service kept informed about items back…</t>
  </si>
  <si>
    <t>PetFlow is a great place for pet products at reasonable prices. Delivery is reliable as well.</t>
  </si>
  <si>
    <t>Kayan Eplett</t>
  </si>
  <si>
    <t>PetFlow My Go to Place</t>
  </si>
  <si>
    <t>I've ordered bulk cat litter from PetFlow several times now. They offer a great price, great products and quick shipping! Will be ordering again.</t>
  </si>
  <si>
    <t>Kathy K-</t>
  </si>
  <si>
    <t>Order for Cat Litter</t>
  </si>
  <si>
    <t>Website was easy to navigate. Checkout was quick. Easy to track shipping. Delivery within a short period of time.</t>
  </si>
  <si>
    <t>Easy process: order to delivery</t>
  </si>
  <si>
    <t>I can count on PetFlow to carry the food that my furry babies like.</t>
  </si>
  <si>
    <t>WANDA KLING</t>
  </si>
  <si>
    <t>I can count on PetFlow to carry the…</t>
  </si>
  <si>
    <t>Incredibly fast service. Perfect packaging. Everything absolutely wonderful!</t>
  </si>
  <si>
    <t>CAROL GREENBERG</t>
  </si>
  <si>
    <t>Incredibly fast service</t>
  </si>
  <si>
    <t>I Love PetFlow, there are always so helpful and easy to order. I love how I get free shipping and they're always on time. Customer service is great and I have definitely recommended PetFlow to friends and family.</t>
  </si>
  <si>
    <t>Christopher Weaver</t>
  </si>
  <si>
    <t>Quick delivery and competitive prices.</t>
  </si>
  <si>
    <t>I HAVE ORDERED FROM PETFLOW SEVERAL TIMES AND MY ITEMS ALWAYS ARRIVED WITHOUT ISSUES, THE PRICES ARE THE LOWEST IN EVERY STORE AND ONLINE SITE THAT I COULD FIND. I HAD A SMALL ISSUE AND IT WAS TAKEN CARE OF IMMEDIATELY. CUSTOMER SERVICE WAS QUICK TO ASSIST, SUPER FRIENDLY AND HELPFUL.</t>
  </si>
  <si>
    <t>PAULA GODINA</t>
  </si>
  <si>
    <t>I Love PetFlow</t>
  </si>
  <si>
    <t>Offer quality dog food and treats.
Fast order filling and shipping.
Reasonable prices. Great clearances.</t>
  </si>
  <si>
    <t>DEE</t>
  </si>
  <si>
    <t>I HAVE ORDERED FROM PETFLOW SEVERAL…</t>
  </si>
  <si>
    <t>Ease of ordering, product better than described, costs are reasonable, very prompt shipping.</t>
  </si>
  <si>
    <t>Suzanne HILL-TRIPP</t>
  </si>
  <si>
    <t>GREAT SERVICE</t>
  </si>
  <si>
    <t>PetFlow delivers the treats my dog prefers. With the pandemic we weren’t always able to get her treats at the store - that’s how we found PetFlow. Yay!</t>
  </si>
  <si>
    <t>MRJ</t>
  </si>
  <si>
    <t>Ease of ordering</t>
  </si>
  <si>
    <t>Always have great order takers, fast and efficient.</t>
  </si>
  <si>
    <t>Suzann</t>
  </si>
  <si>
    <t>Thanks PetFlow</t>
  </si>
  <si>
    <t>Confirmed my order for dog food and did not ship it nor contact me. I ran out of food for my dog. Unacceptable to harm my dog or anyone's pet. Will never do business with a company that disregards the health of their real customers. Apparently this issue is not isolated to my experience per other reviews of Petflow.</t>
  </si>
  <si>
    <t>MARILYN SHARP</t>
  </si>
  <si>
    <t>Always have great order takers</t>
  </si>
  <si>
    <t>Website was easy to use and checkout was quick</t>
  </si>
  <si>
    <t>Ziva</t>
  </si>
  <si>
    <t>Updated Jan 27, 2023</t>
  </si>
  <si>
    <t>Petflow has no issue starving your pet</t>
  </si>
  <si>
    <t>Easy ordering. Very fast delivery.</t>
  </si>
  <si>
    <t>PETER TEDONE</t>
  </si>
  <si>
    <t>Website was easy to use and checkout…</t>
  </si>
  <si>
    <t>Great product and quick service. Will definitely buy from them again.</t>
  </si>
  <si>
    <t>Angela</t>
  </si>
  <si>
    <t>KRISTEN MULLIN</t>
  </si>
  <si>
    <t>Great product and quick great service and quick delivery</t>
  </si>
  <si>
    <t>Donna</t>
  </si>
  <si>
    <t>Timely delivery</t>
  </si>
  <si>
    <t>Timely delivery, large selection of products. Notification of products arrival that had been out of stock. Great web. Thank you PetFlow!</t>
  </si>
  <si>
    <t>Ted’s Mom</t>
  </si>
  <si>
    <t>Fast delivery and Well packaged</t>
  </si>
  <si>
    <t>I ordered 2 trays of special vet approved canned dog food - it arrived quickly and well packaged. No delays even though they had to confirm with Vet.</t>
  </si>
  <si>
    <t>MONICA MOORE</t>
  </si>
  <si>
    <t>More often than not my dog's food is…</t>
  </si>
  <si>
    <t>More often than not my dog's food is backordered, so then I have to scramble to find her food, then days later the backordered item ships. I then have 2 bags of $80 food that I didn't budget for.</t>
  </si>
  <si>
    <t>STEVEN KIMPTON</t>
  </si>
  <si>
    <t>Satisfied customer!</t>
  </si>
  <si>
    <t>I have used PetFlow for a few years. Every order has been filled accurately and timely. Communications regarding order status has been excellent. I would give a five star rating except for the minimum order size and shipping costs.</t>
  </si>
  <si>
    <t>TERENCE SHUBECK</t>
  </si>
  <si>
    <t>I Love the products</t>
  </si>
  <si>
    <t>I Love the products! I feel the shipping takes a long time. Much longer than other companies I buy from.</t>
  </si>
  <si>
    <t>Mark Kelley</t>
  </si>
  <si>
    <t>Awesome website and many brands to…</t>
  </si>
  <si>
    <t>Awesome website and many brands to choose from. Easy ordering and the dog food- Canine Cuisine- is loved by all furry friends. Definitely recommend Petflow.com.</t>
  </si>
  <si>
    <t>EVE STANGOR</t>
  </si>
  <si>
    <t>I don't like that 2 orders were placed…</t>
  </si>
  <si>
    <t>I don't like that 2 orders were placed (only 1 charged for) and I still don't have either of the orders!</t>
  </si>
  <si>
    <t>Ana Ramos</t>
  </si>
  <si>
    <t>Very good delivery</t>
  </si>
  <si>
    <t>Easy to make a order and a good delivery</t>
  </si>
  <si>
    <t>safr</t>
  </si>
  <si>
    <t>Why was shipping in the past better than now?</t>
  </si>
  <si>
    <t>The shipping used to be very quick but now it seems although the items show in stock it takes a week for the items to ship. It is disappointing as I grew accustomed to the fast service</t>
  </si>
  <si>
    <t>I was able to find what I needed at a…</t>
  </si>
  <si>
    <t>I was able to find what I needed at a good price. Shipping and delivery was very timely too</t>
  </si>
  <si>
    <t>ANDREA PAQUETTE</t>
  </si>
  <si>
    <t>Another positive experience!</t>
  </si>
  <si>
    <t>Petflow has consistently met my expectations even when having to ship from Nevada, what normally ships from New Jersey.</t>
  </si>
  <si>
    <t>Kathleen Smith</t>
  </si>
  <si>
    <t>First time purchasing from Pet Flow</t>
  </si>
  <si>
    <t>First time purchasing from Pet Flow. Ordered Dr. Marty's small breed food and a bag of treats. Great fast shipping. And my dog LIKES the food.</t>
  </si>
  <si>
    <t>Mattman.</t>
  </si>
  <si>
    <t>All online</t>
  </si>
  <si>
    <t>All online. Ordered prescribed cat food. They took care of rest. They confirmed with vet and bam, 2 day later the food was at my door.</t>
  </si>
  <si>
    <t>SARAH</t>
  </si>
  <si>
    <t>Amazing Customer Service</t>
  </si>
  <si>
    <t>The representative was super friendly, easy to work with, and quick to resolve my issue. 10/10</t>
  </si>
  <si>
    <t>OWLEN SCAGGS</t>
  </si>
  <si>
    <t>Dr tims Dog Food</t>
  </si>
  <si>
    <t>Great price very quick shipping and great to talk to.</t>
  </si>
  <si>
    <t>Eileen Portelli</t>
  </si>
  <si>
    <t>Fromm Cat food</t>
  </si>
  <si>
    <t>Everything was so easy
Placing the order shipment. Just delivery time was a bit slower than Chewy</t>
  </si>
  <si>
    <t>HF</t>
  </si>
  <si>
    <t>Ignored by Customer Service</t>
  </si>
  <si>
    <t>I never received a notification that I had an upcoming subscription order being processed. I was unable to edit the delivery date. When I reached out to Customer Service several times I got zero response.
The day I was notified I had this order being processed, within hours I got the shipment notice. Still to this day I haven't received anything back from Customer Care.
I have since cancelled my subscription order.</t>
  </si>
  <si>
    <t>DONNA KENNY</t>
  </si>
  <si>
    <t>Your prices were the best we could…</t>
  </si>
  <si>
    <t>Your prices were the best we could find. Quick delivery.</t>
  </si>
  <si>
    <t>DUSTIN MURDOCK</t>
  </si>
  <si>
    <t>I had trouble finding Verus dog food…</t>
  </si>
  <si>
    <t>I had trouble finding Verus dog food anywhere else, but PetFow had it and delivered at a good price,</t>
  </si>
  <si>
    <t>MP</t>
  </si>
  <si>
    <t>Easy ordering, product in stock and for cheapest price among other sales outlets, reliable shipping and delivery.</t>
  </si>
  <si>
    <t>meshelle eicher</t>
  </si>
  <si>
    <t>Great Company</t>
  </si>
  <si>
    <t>I’ve placed multiple orders with Petflow and each time it’s delivered really fast with great prices an excellent service.</t>
  </si>
  <si>
    <t>DIANE AMONO</t>
  </si>
  <si>
    <t>My order NEVER arrived</t>
  </si>
  <si>
    <t>My order NEVER arrived. I ordered the tear stain tablets and two different treats. Please send me my order or credit my account 10767863</t>
  </si>
  <si>
    <t>ARTHUR BUCKLEY</t>
  </si>
  <si>
    <t>Excellent</t>
  </si>
  <si>
    <t>On Time delivery</t>
  </si>
  <si>
    <t>MommaWinks</t>
  </si>
  <si>
    <t>Pet Flow was fast with shipping and…</t>
  </si>
  <si>
    <t>Pet Flow was fast with shipping and delivered when promised. Merchandise was is excellent condition and exactly as pictured. Very pleased.</t>
  </si>
  <si>
    <t>KAREN SHARKEY</t>
  </si>
  <si>
    <t>Delivery and customer service</t>
  </si>
  <si>
    <t>The greatest part was the followup when my package got damaged and you all replaced it. My only criticism is that your tape doesn’t hold, especially in the harsh rain.</t>
  </si>
  <si>
    <t>TOM WIECK</t>
  </si>
  <si>
    <t>Ordering was easy</t>
  </si>
  <si>
    <t>Ordering was easy. Delivery was prompt. Customer service is exemplary.</t>
  </si>
  <si>
    <t>kathleen holmes</t>
  </si>
  <si>
    <t>My product order was in stock and I…</t>
  </si>
  <si>
    <t>My product order was in stock and I received in a timely fashion.</t>
  </si>
  <si>
    <t>CustomerNancy Ullrich</t>
  </si>
  <si>
    <t>I ordered a product on January 9 and…</t>
  </si>
  <si>
    <t>I ordered a product on January 9 and still have not received it. I've written to Petflow inquiring about this and never received a response.</t>
  </si>
  <si>
    <t>NANCY LEWIS</t>
  </si>
  <si>
    <t>I can always count on my pet food…</t>
  </si>
  <si>
    <t>I can always count on my pet food delivery to be on time and we’ll packaged.</t>
  </si>
  <si>
    <t>TINA SPRING</t>
  </si>
  <si>
    <t>In the last year service has gone from…</t>
  </si>
  <si>
    <t>In the last year service has gone from fantastic to spectacularly frustrating. My last interactions have been frustrating to the point of closing my account. I have a hospitalized friend in another state. I was purchasing food for his dogs and having Petflow deliver it to his home. Twice they canceled the order without communicating with me. The last time I placed the order with a rep on the phone who was quite rude, only to have the order get canceled again without cause. Simply ridiculous. So sad to see a fantastic company become such a mess.</t>
  </si>
  <si>
    <t>MARGARET</t>
  </si>
  <si>
    <t>Love the carrier</t>
  </si>
  <si>
    <t>Love the carrier! It was easy to get my cat in through the top door and was just the right size. Will fit my 14 pound cat as well. Had it within a few days of ordering it.</t>
  </si>
  <si>
    <t>Cancelled my order and claimed it was…</t>
  </si>
  <si>
    <t>Cancelled my order and claimed it was fraud and refused to sell to me.</t>
  </si>
  <si>
    <t>SUSAN LATCHAM</t>
  </si>
  <si>
    <t>You carry my product but took awhile to…</t>
  </si>
  <si>
    <t>You carry my product but took awhile to arrive !</t>
  </si>
  <si>
    <t>The product I ordered was out of stock</t>
  </si>
  <si>
    <t>The product I ordered was out of stock, yet the system still allowed me to order it, even though it was out of stock. I cannot trust the system to give me the correct stocking of this item.</t>
  </si>
  <si>
    <t>Renee Breeden</t>
  </si>
  <si>
    <t>Shipping was fast</t>
  </si>
  <si>
    <t>Shipping was fast, I saved a lot with the coupon they sent for a first time shopper! Got 3 heated mats for our dogs</t>
  </si>
  <si>
    <t>RONALD STOUT</t>
  </si>
  <si>
    <t>Pet Flow Delivers</t>
  </si>
  <si>
    <t>Pet Flow is a great place for your pet needs. We have been very satisfied!</t>
  </si>
  <si>
    <t>Flagged my purchases as fraud and then…</t>
  </si>
  <si>
    <t>Flagged my purchases as fraud and then refused to allow me to repurchase.</t>
  </si>
  <si>
    <t>Linda Wutz</t>
  </si>
  <si>
    <t>Auto-Ship is not reliable</t>
  </si>
  <si>
    <t>We were counting on our Fromm dog food Auto-Ship order to be shipped on the date that PetFlow said they would ship. According to them they got very busy during the holidays and this order did not ship until the following week. As a result we had just enough food to mix/switch to another brand that was available in our area. In our opinion the Auto-Ship customers should have taken precedence and shipped on time and as scheduled because this order was in their system for many weeks. We have purchased other items from PetFlow since .....just not items that we need to ship on time! The competition is able to get their auto-ship orders out on time and delivered in 2 days!</t>
  </si>
  <si>
    <t>Kim</t>
  </si>
  <si>
    <t>Product was in stock and order was…</t>
  </si>
  <si>
    <t>Product was in stock and order was filled correctly and quickly.</t>
  </si>
  <si>
    <t>Guest</t>
  </si>
  <si>
    <t>Delivery was on time and at a better…</t>
  </si>
  <si>
    <t>Delivery was on time and at a better cost than other merchants.</t>
  </si>
  <si>
    <t>Maureen Doran Kocka</t>
  </si>
  <si>
    <t>3 BEAGLES LOVE TASTE OF THE WILD</t>
  </si>
  <si>
    <t>Dog food was delivered to family members home. It arrived quickly and in good condition.</t>
  </si>
  <si>
    <t>Em</t>
  </si>
  <si>
    <t>Good communication</t>
  </si>
  <si>
    <t>I placed my order online easily. I did receive an email stating the shipping would be delayed but they kept communication open, it was only delayed by 2 days and I received my items as expected!</t>
  </si>
  <si>
    <t>scouter63</t>
  </si>
  <si>
    <t>Good company</t>
  </si>
  <si>
    <t>The company delivered when promised, with the exact items ordered. My only complaint (and it's a little one) is that it was difficult to follow the order once it was in the system so that I could see where it stood.</t>
  </si>
  <si>
    <t>Tom Lindemann</t>
  </si>
  <si>
    <t>Overall Petflow has good service and…</t>
  </si>
  <si>
    <t>Overall Petflow has good service and competitive pricing for the products they handle. The website could be much more user friendly - to adjust an order or make changes to a saved order can be very confusing.</t>
  </si>
  <si>
    <t>LOIS FERGUSON SMITH</t>
  </si>
  <si>
    <t>Carry brand I was seeking. Delivered timely.</t>
  </si>
  <si>
    <t>Carry brand I was seeking.</t>
  </si>
  <si>
    <t>DEBBIE THOMPSON</t>
  </si>
  <si>
    <t>Great Customer Service</t>
  </si>
  <si>
    <t>I was low on food for my dog because I forgot to order so it got here pretty quickly. I was down pretty low and I called to see when it was going to arrive and spoke to a very lovely and helpful woman in their customer service.</t>
  </si>
  <si>
    <t>LOURDES.</t>
  </si>
  <si>
    <t>A large variety of pet food products to…</t>
  </si>
  <si>
    <t>A large variety of pet food products to choose from. Package arrives intact. An animal gets a bowl of food with my purchase.
Thank you</t>
  </si>
  <si>
    <t>Susan</t>
  </si>
  <si>
    <t>Great price and fast delivery</t>
  </si>
  <si>
    <t>They were very friendly they would take your phone calls if your computer wasn’t working and the delivery was always on time and I appreciate that thank you</t>
  </si>
  <si>
    <t>ROBERT NELSON</t>
  </si>
  <si>
    <t>Great company to do business with …</t>
  </si>
  <si>
    <t>The quality of the pet food. The fact that you carry Fromm can’t get it many places, and it’s a trusted brand by me and my family</t>
  </si>
  <si>
    <t>Tina</t>
  </si>
  <si>
    <t>Competitive prices, shipped well with no damage.</t>
  </si>
  <si>
    <t>Kim Phillips</t>
  </si>
  <si>
    <t>The quality of the pet food</t>
  </si>
  <si>
    <t>PetFlow is the —only— online source that seems to be able to maintain stock of the particular Taste of the Wild canned variety that we prefer to feed to our guys. Shipping is free above $49 or so, and since we get multiple cases, no problem! Shipping is FedEx, so order is traceable, too. We have ordered multiple times from PetFlow and have found this company to be very reliable.</t>
  </si>
  <si>
    <t>ELLENP</t>
  </si>
  <si>
    <t>Competitive prices</t>
  </si>
  <si>
    <t>Where to begin? First, inventory on their site isn't real. In my case, the veterinary dog food I ordered was to be shipped from the manufacturer who was out of stock. Second, rather than them inform me, I called for order status three times. The first two I was told "the order's processing." Third call and a week later they came clean. Obviously, I told them to cancel the order. They said they couldn't because it's processing. Four days later I got a boiler plate "out of stock" e-mail. Never again for me.</t>
  </si>
  <si>
    <t>Chuck</t>
  </si>
  <si>
    <t>PetFlow is a great source for ToTW</t>
  </si>
  <si>
    <t>I didn’t make an order. Someone hacked my account and tried to set up an auto ship order to an address that is not mine.</t>
  </si>
  <si>
    <t>Barry H</t>
  </si>
  <si>
    <t>Run fast, run far.</t>
  </si>
  <si>
    <t>This was my first order from PetFlow. I found out my dog has some pretty extensive allergies and with each passing day, I had no choice but to feed him the stuff he was allergic to until my new food arrived from PetFlow. I regret switching from my usual provider. I was giving PetFlow a chance but my food didn't even leave their warehouse for a week and it took a few days beyond that for my order to arrive. I appreciated being able to text customer service (which I did regularly) but got a whole bunch of "let me check on that." I ended up going out and buying the food from a local provider so my dog wouldn't suffer. The PetFlow order showed up many days later with no apology or remedy from the company. I'm not impressed.</t>
  </si>
  <si>
    <t>TYSON STEIGERS</t>
  </si>
  <si>
    <t>I didn’t make an order</t>
  </si>
  <si>
    <t>I was told when I ordered 1-3 days for arrival. It took 7 days. I have a kennel of puppies and needed the food.
Will never order again from you. It has happened several times.</t>
  </si>
  <si>
    <t>CHRISTINA L</t>
  </si>
  <si>
    <t>This was my first order from PetFlow -- NOT impressed</t>
  </si>
  <si>
    <t>Everything went smooth, I had to ask for help using the sight and received it well.</t>
  </si>
  <si>
    <t>I was told when I ordered 1-3 days for…</t>
  </si>
  <si>
    <t>The PetFlow website is easy to navigate and their autoship is easy too. I appreciate getting the notices that it will be shipping and that I need to make changes, if any, by a certain date. I also get emails keeping me up to date on my orders.</t>
  </si>
  <si>
    <t>MUNROE CHAPIN</t>
  </si>
  <si>
    <t>Everything went smooth</t>
  </si>
  <si>
    <t>Didn't help at all, Basically said I can not order the item and move on</t>
  </si>
  <si>
    <t>Rebecca Smith</t>
  </si>
  <si>
    <t>PetFlow is easy to work with</t>
  </si>
  <si>
    <t>CAROLYN W SHAFFER</t>
  </si>
  <si>
    <t>Didn't help at all</t>
  </si>
  <si>
    <t>ROIX</t>
  </si>
  <si>
    <t>Reasonable prices &amp; great communication</t>
  </si>
  <si>
    <t>Reasonable prices. Very good communication and notification system. The only con is that some products are not always available and back ordered.</t>
  </si>
  <si>
    <t>JEANETTE G.</t>
  </si>
  <si>
    <t>Good products and quick shipping</t>
  </si>
  <si>
    <t>PetFlow is great because they sell the dry food I feed my cat and it isn't around anywhere else. I also want to say thank you for receiving my order 3 days after I ordered it. Often it can take up to a week.</t>
  </si>
  <si>
    <t>AL LARSON</t>
  </si>
  <si>
    <t>GREAT Company</t>
  </si>
  <si>
    <t>GREAT Company, GREAT Service and GREAT Products</t>
  </si>
  <si>
    <t>April</t>
  </si>
  <si>
    <t>I couldn't access my account because I…</t>
  </si>
  <si>
    <t>I couldn't access my account because I couldn't remember my password. Your account recovery system is not very good at all.</t>
  </si>
  <si>
    <t>JUDY SMITH</t>
  </si>
  <si>
    <t>The order was wrong</t>
  </si>
  <si>
    <t>The order was wrong. I called and the young lady that answered was very professional and efficient. She took care of the problem and I could hear the smile in her voice.</t>
  </si>
  <si>
    <t>SUSAN LOVE</t>
  </si>
  <si>
    <t>Order took almost a week to reach me</t>
  </si>
  <si>
    <t>Order took almost a week to reach me. When I called to check where it was I was told you were experiencing delays. It would have been good customer service to tell me that via email before I called.</t>
  </si>
  <si>
    <t>Crystal Riley</t>
  </si>
  <si>
    <t>I absolutely LOVE PetFlow!!</t>
  </si>
  <si>
    <t>I absolutely LOVE PetFlow!!! I am thankful for fast shipping and the fact they work so well with my vet to get my Diabetic Dog the food she needs!!!</t>
  </si>
  <si>
    <t>NICK</t>
  </si>
  <si>
    <t>Damaged but made it right! A+</t>
  </si>
  <si>
    <t>I ordered (2) 40lb bags of dog food. One bag was damaged on arrival and they replaced entire order sending 2 replacement bags. More than made up for it. One thing is the replacement boxes actually had more packaging material to hold up better in shipment that the first shipment with damaged bag did not have. Short wait times on call and was polite and professional.</t>
  </si>
  <si>
    <t>HILARY BURNS</t>
  </si>
  <si>
    <t>1-10-23Impossible website entry</t>
  </si>
  <si>
    <t>Impossible website entry. Customer service didn’t answer my questions. Delivery is late - I don’t have my shipment yet.</t>
  </si>
  <si>
    <t>BKO</t>
  </si>
  <si>
    <t>Updated Jan 15, 2023</t>
  </si>
  <si>
    <t>Bad customer service</t>
  </si>
  <si>
    <t>I have ordered from Petflow for a few years now-never had a problem. My last order was a total nightmare dealing with your customer service reps. Rude, condescending, passive aggressive e-mails sent to me when all I asked was "where's my dog food". I ordered on Dec 31st fully aware that there would be a delay in shipping due to the Jan. 1st holiday. 12 days later still no dog food. First I was given every excuse short of climate change. Then I was just about accused of being a Christmas Grinch for expecting PetFlow employees to work through the holidays-Again I ordered on the 31st way past Christmas and expected a delay. By the 10th of Jan I had given up hope of receiving my dog food so I requested a refund. With that request I received another nasty e-mail with a link to print up a mailing label to send the dog food back before I could receive a refund. I live in a rural town where the nearest Fed EX is 60 miles away so 120 miles round trip to return a bag of dog food that I still never received! Petflow did offer me a $15 credit towards my next order to which I told them to donate it to feed homeless pets. Well your customer reps did not like that response. I finally did get my refund from Omnipet and then received the dog food following day. With that I received one last e-mail from a rep telling me my dog food arrived which it had and then telling me to take that bag of dog food and donate it it to a shelter! Wow just wow..I never expected something for nothing, again a final insult from a customer service rep. Your company lost a really good customer- I order/ordered 2 different bags of dog food bi monthly but never again. I kept all correspondence and would be happy to forward it all to you.</t>
  </si>
  <si>
    <t>GIL G</t>
  </si>
  <si>
    <t>I have used these folks for a couple of…</t>
  </si>
  <si>
    <t>I have used these folks for a couple of years. They have the best price for the product I buy. Delivery is quite prompt.</t>
  </si>
  <si>
    <t>TIM FREYTAG</t>
  </si>
  <si>
    <t>To slow on getting the order out,hard…</t>
  </si>
  <si>
    <t>To slow on getting the order out,hard to understand the ordering system.</t>
  </si>
  <si>
    <t>Gail</t>
  </si>
  <si>
    <t>Easy to use and find items with quick…</t>
  </si>
  <si>
    <t>Easy to use and find items with quick delivery.</t>
  </si>
  <si>
    <t>CASEY FLETCHER</t>
  </si>
  <si>
    <t>My order took 10 days to be delivered</t>
  </si>
  <si>
    <t>Intuitive site allows me to easily order and reorder the dog food varieties I need. Good electronic notifications confirming orders, tracking shipping and projected order arrivals. I like easy.</t>
  </si>
  <si>
    <t>JONATHAN LUECKE</t>
  </si>
  <si>
    <t>Intuitive site, great product selection, value.</t>
  </si>
  <si>
    <t>It took a little long to receive the items due to product availability. This is not the 1st time.when I did receive it, tge order was fine</t>
  </si>
  <si>
    <t>DDBrown</t>
  </si>
  <si>
    <t>It took a little long to receive the…</t>
  </si>
  <si>
    <t>Always get a great deal with coupons and the food arrives exactly when they told you! Will be ordering again soon!!</t>
  </si>
  <si>
    <t>Great Service/Prices</t>
  </si>
  <si>
    <t>Customer service is terrible. I will not order from you again.</t>
  </si>
  <si>
    <t>J. HAMU</t>
  </si>
  <si>
    <t>They cancel orders and they don’t tell you and they don’t call back</t>
  </si>
  <si>
    <t>I loved PetFlow - they used to be really good with getting my orders out right away. I placed an order on 1/1, called a few days later as my order still was not sent out. Customer service said they were noting that my items needed to be sent out ASAP - still were not shipped by 1/6, so I canceled my order. I will no longer be using Petflow because of this experience.</t>
  </si>
  <si>
    <t>Alexa</t>
  </si>
  <si>
    <t>I loved PetFlow</t>
  </si>
  <si>
    <t>Communication regarding shipping was lacking. In the past, ship dates and estimated arrival times were closer to reality.</t>
  </si>
  <si>
    <t>DAVID EICHORN</t>
  </si>
  <si>
    <t>Shipping delays</t>
  </si>
  <si>
    <t>KM</t>
  </si>
  <si>
    <t>Lousy Customer Service!</t>
  </si>
  <si>
    <t>My order was cancelled without them letting me know, and I received lousy customer service trying to figure out why. Placed my order again, but of course the price of one of my items has gone up. Customer service will not help.</t>
  </si>
  <si>
    <t>MiuMiu's Mom</t>
  </si>
  <si>
    <t>- I was .49 cents short for free…</t>
  </si>
  <si>
    <t>- I was .49 cents short for free shipping so I added 3.00 treats that never got added to the order, got charged for shipping, the package was so heavy FedEx dumped it in the wrong lobby not even bothering to drop it at my door.
You make us order so much &amp; to not give free shipping when with tax my order was way over your minimum. If the treats were added as I selected it would have met your requirements. Too complicated for me &amp; very stressful for both me &amp; my cat while I searched the local buildings for her cat food.</t>
  </si>
  <si>
    <t>Barbara</t>
  </si>
  <si>
    <t>Delivery Slow</t>
  </si>
  <si>
    <t>It took a very, very long time to get to my house. I've switched to Chewy because their shipments get to me in one to 2 days.</t>
  </si>
  <si>
    <t>STEPHEN</t>
  </si>
  <si>
    <t>Haven't received product and you want a review?</t>
  </si>
  <si>
    <t>Haven't received product and you want a review? Ordered on 12/30 needing it no later than 1/12 and won't receive it until the 13th if lucky. But still asked for review. Maybe make your automated emails for review tied to the delivery of the items. Would be nice.</t>
  </si>
  <si>
    <t>Cheri Collins</t>
  </si>
  <si>
    <t>Fast and package was in good condition!</t>
  </si>
  <si>
    <t>The package came in good condition and when it was running late I have a coupon for the next order that they sent.</t>
  </si>
  <si>
    <t>Frank Lucero</t>
  </si>
  <si>
    <t>Great company.</t>
  </si>
  <si>
    <t>I’ve been with Petflow for many years. Product is alway delivered promptly and no damage. If you do have a damaged can they make it good. Love this company.</t>
  </si>
  <si>
    <t>Debi</t>
  </si>
  <si>
    <t>Exceptional service</t>
  </si>
  <si>
    <t>Ryan was exceptionally helpful and because of his assistance, I will continue to shop at PetFlow.</t>
  </si>
  <si>
    <t>ALLEN M FELDMAN</t>
  </si>
  <si>
    <t>7 years doing business with You…</t>
  </si>
  <si>
    <t>7 years doing business with You (PetFlow).
Poor resolve for item I have been buying from you for 7 years.
I will look forward discussing this with Senior Corporate Manager.
With 60 years in Corporate myself with Customer Support responsibilities, pehaps I could assist getting your act together.</t>
  </si>
  <si>
    <t>Richard</t>
  </si>
  <si>
    <t>Convenience at a great price!</t>
  </si>
  <si>
    <t>They always have what I need in stock and at a great price especially with the use of the coupon options.</t>
  </si>
  <si>
    <t>S I-P</t>
  </si>
  <si>
    <t>Stay far away from Petflow if what you’re looking for is good service and to actually receive your items</t>
  </si>
  <si>
    <t>If I could give Petflow 0 stars I would. Their customer service is AWFUL, AWFUL, AWFUL, they take forever to ship items (on the off-chance that they actually have the items available) and will require a huge waste of time on your part to rectify issues that they create. They consistently gone downhill over the years. I’ve given them multiple chances and each time wonder why I did. I am currently on the phone for the third time with them to rectify an issue. Stay away. While your local pet store might be a few dollars more expensive (or maybe they won’t be), it will be worth the time and effort you’ll save from NOT giving your business to Petflow.</t>
  </si>
  <si>
    <t>DAVE DUFOUR</t>
  </si>
  <si>
    <t>Slow Shipping</t>
  </si>
  <si>
    <t>My order was placed December 20 and I still don’t have it. Two weeks is just too long. Ordering from PetFlow is just too unpredictable, sometimes it’s days, sometimes it’s weeks. I had to buy from another source.</t>
  </si>
  <si>
    <t>Julia</t>
  </si>
  <si>
    <t>Do better PetFlow</t>
  </si>
  <si>
    <t>Please give alerts or notifications when you can’t fulfill an auto ship order! I have to find out by checking my account after the expected shipment date has passed and I’m out of my cats prescription KD food. Have voiced my concerns multiple times over the phone that notice needs to be provided, only to be assured it won’t happen again. It has.
Additionally, you should allow your customers to cancel their own auto ship orders. Why can I only pause it myself (and only for 2-13 weeks at that), but have to talk to someone to cancel? What if my pet passed away? You think that’s a fun experience? Please do better.</t>
  </si>
  <si>
    <t>Kenneth Tuffern</t>
  </si>
  <si>
    <t>Nothing Special</t>
  </si>
  <si>
    <t>Delivers as promised, and checks that it was received. I am thrilled that I found PetFlow!</t>
  </si>
  <si>
    <t>Bethann Baer</t>
  </si>
  <si>
    <t>Delivers as promised</t>
  </si>
  <si>
    <t>I like that you sent the food and the price was lower than most other places. I did not like not being able to order food because it seemed to automatically turn on auto shipping that I didn't want. And I couldn't find a way to turn off auto shipping. So I couldn't order the food.</t>
  </si>
  <si>
    <t>Shelley Lloyd</t>
  </si>
  <si>
    <t>Made an order. Just like I have several times before. They canceled the order but did not let us know. No email. No phone call. Nothing. We bought from Petco and will from now on.</t>
  </si>
  <si>
    <t>KIRT KOON</t>
  </si>
  <si>
    <t>I couldn't order because auto shipping</t>
  </si>
  <si>
    <t>I have tried to use PetFlow a few times for their monthly shipment of dog food and I have always come across issues. The first order, my first bag of dog food was delivered on time. The second order of dog food was delivered with tape all around it. I removed the tape to see that the bag was opened. The bag of food didn’t even come delivered in a box. I couldn’t believe they delivered of bag of opened dog food. At that point, I canceled my membership and went to my local pet store to pick up my monthly bag of food. After about 7 months, my Father In Law convinced me to give them another chance since I was saving $5 an order with PetFlow. Again, my first order was delivered on time with no issues. My second order was delayed by two weeks of my original delivery date. I contacted customer service multiple times and the only thing they could say was would you like to cancel your order. No apology or anything. I bought a smaller bag of food while I was waiting for my 30 pound bag of food and of course, my shipment was delayed further where I had to go back to my pet store to buy a 30 pound bag of food because I ran out of food again. I received a $5 coupon for inconvenience but in the end I spent $90 within two weeks because of my order constantly being delayed with no actual answer for expected delivery time. My food finally came in today but I am canceling my subscription. Customer service is no help, they don’t even know when my order would be delivered and I even texted their customer service number twice with no response from their team. I will be going back to my local pet store and making my purchase through them again. It’s not worth the $5 monthly savings.</t>
  </si>
  <si>
    <t>Geoff</t>
  </si>
  <si>
    <t>No Communication</t>
  </si>
  <si>
    <t>Still haven't received our order, so ordered from and received in two days - which is good so our senior dogs do not have to eat puppy chow.</t>
  </si>
  <si>
    <t>I have tried to use PetFlow a few times…</t>
  </si>
  <si>
    <t>FELIX GAN</t>
  </si>
  <si>
    <t>fast delivery</t>
  </si>
  <si>
    <t>Raine Tyler</t>
  </si>
  <si>
    <t>Still haven't received our order</t>
  </si>
  <si>
    <t>Order not shipped from warehouse for…</t>
  </si>
  <si>
    <t>Order not shipped from warehouse for about a week and still shows as not picked up. I had to check the status and call to cancel it after 7-8 days.</t>
  </si>
  <si>
    <t>Rebecca D Cintron</t>
  </si>
  <si>
    <t>No order ever received</t>
  </si>
  <si>
    <t>No follow up regarding status of order and no order received. Very disappointed</t>
  </si>
  <si>
    <t>Melvin Check</t>
  </si>
  <si>
    <t>Lousy order processing and customer service</t>
  </si>
  <si>
    <t>Like others, my order was canceled without notice, and I only found out when I checked my order online after 10 days. A rep at PetFlow said that they automatically cancel orders because of fraud concerns if the shipping address is different than the billing address, even though my similar order went through 11 months ago, and even though their online ordering system takes orders like that. He said that they don't send an email advising that this has happened because that could give more information to the fraudster. What??!!! After confirming my addresses, he re-ordered for me. On a whim I checked a few hours later. Canceled again. I'm done with PetFlow.</t>
  </si>
  <si>
    <t>Ann Sabin</t>
  </si>
  <si>
    <t>Where is my Order, which was ordered on 12/26/2022? I would have expected it delivered by know and have already spoken with one of your representatives who said that they are trying to catch up?</t>
  </si>
  <si>
    <t>WHERE IS MY ORDER WHICH WAS OREDERED ON 12/26/2022? ORDER #10729000 BERGEN K-9 CAFE!</t>
  </si>
  <si>
    <t>My orders are taking longer and longer…</t>
  </si>
  <si>
    <t>My orders are taking longer and longer to get. It's taking about a week (in the beginning they came in a few days). I have ended up going to the only location nearby that carries Fromm dog food while waiting for my dogs food. A week ahead of time should be enough time but it hasn't been coming as quickly as it initially did.</t>
  </si>
  <si>
    <t>Love the convenience and customer…</t>
  </si>
  <si>
    <t>Love the convenience and customer service.</t>
  </si>
  <si>
    <t>Linda Schmidt</t>
  </si>
  <si>
    <t>Everything went smoothly</t>
  </si>
  <si>
    <t>Everything ships quickly.
Was disappointed that I couldn’t find the one medication through PetFlow.</t>
  </si>
  <si>
    <t>LORI LAVINE</t>
  </si>
  <si>
    <t>Everything ships quickly</t>
  </si>
  <si>
    <t>Placed an order for dog food, waited over a week without updates so I followed up only to find out my order was canceled, but I was never notified. This caused such a delay with getting the food that I am currently out of. Had to order from somewhere else and still waiting.</t>
  </si>
  <si>
    <t>MINDY SAETERN</t>
  </si>
  <si>
    <t>Placed an order for dog food</t>
  </si>
  <si>
    <t>Easy to reorder and shipping is fast and free.</t>
  </si>
  <si>
    <t>John Toner</t>
  </si>
  <si>
    <t>Great experience.</t>
  </si>
  <si>
    <t>Great experience. Fast shipping. I haven’t been able to order my cat’s food from anywhere else because it was out of stock. PetFlow got it for me.</t>
  </si>
  <si>
    <t>BRENDA</t>
  </si>
  <si>
    <t>Ordering online was easy and shipping was fast. Had an item that was out of stock, they let me know then shipped it when it was back in stock. Great to do business with</t>
  </si>
  <si>
    <t>LINDA SOKOLOWSKI</t>
  </si>
  <si>
    <t>Ordering online was easy and shipping…</t>
  </si>
  <si>
    <t>Great selection of products. Carry name brand at a reasonable price. Quick shipping. Quick response from customer service. If something is wrong with your order they correct it in a timely manner. Very happy with my service from PetFlow. Will definitely recommend them to my friends.</t>
  </si>
  <si>
    <t>MARTHA VASI</t>
  </si>
  <si>
    <t>Great selection of products</t>
  </si>
  <si>
    <t>My order was cancelled by the fraud department without any notice to m. I wouldn't recommend PetFlow to my worst enemy. I have tried to reset my password and correct the problem but, when they say they sent a password reset I never receive it.</t>
  </si>
  <si>
    <t>RICHARD RINER</t>
  </si>
  <si>
    <t>My order was cancelled by the fraud…</t>
  </si>
  <si>
    <t>Sorry, not sure if it's my phone or your website. Used to always order online but the last few times, I can't seem to get all the way through to place the order. I'll have to go back to calling my orders in.</t>
  </si>
  <si>
    <t>LINDA RUFFING</t>
  </si>
  <si>
    <t>I give up</t>
  </si>
  <si>
    <t>The best prices and fast shipping. Very happy!</t>
  </si>
  <si>
    <t>The best prices and fast shipping</t>
  </si>
  <si>
    <t>I have 3 dogs and not one of them would play with it they totally ignored it</t>
  </si>
  <si>
    <t>Mary Hawks</t>
  </si>
  <si>
    <t>I have 3 dogs and not one of them would…</t>
  </si>
  <si>
    <t>HORRIBLE COMPANY. ORDERED FOOD FOR MY DOG AND GOT AN EMAIL SAYING WE RECEIVED YOUR ORDER. CALLED A WEEK LATER AS NEVER RECEIVED MY ORDER OR AN EMAIL SAYING IT SHIPPED. THEY SAID THEY CANCELLED MY ORDER AND COULD NOT SAY WHY AS THEY ARE NOT ALLOWED. SERIOUSLY YOU CAN NOT TELL ME WHY YOU CANCELLED MY ORDER. GOING BACK TO CHEWY WHERE CUSTOMER SERVICE IS THE BEST</t>
  </si>
  <si>
    <t>HORRIBLE COMPANY</t>
  </si>
  <si>
    <t>The company is absolutely awsom.another company sent me to petfkow and I'm so happy they did and I will contiune to shop at petflow. Thank you for being petflow.</t>
  </si>
  <si>
    <t>LAURIE GREEAR</t>
  </si>
  <si>
    <t>petflow is the best</t>
  </si>
  <si>
    <t>Great prices and fast delivery. We we were using Chewy, which is great, but they don't carry the food we need for new dog. I am very happy with my recent Petflow experience.</t>
  </si>
  <si>
    <t>Jill M</t>
  </si>
  <si>
    <t>Great prices and fast delivery</t>
  </si>
  <si>
    <t>Mandisa Henry</t>
  </si>
  <si>
    <t>Better Than Average Pet Customer Service Experience</t>
  </si>
  <si>
    <t>Communications and correspondences (via email) was better than most pet stores.</t>
  </si>
  <si>
    <t>Lesli Kelsey</t>
  </si>
  <si>
    <t>Pet Flo is really on top of it</t>
  </si>
  <si>
    <t>I am very impressed that my order was received before expected, none of cans of food were damaged, the food is very fresh, and the price is right. PetFlow is now my go-to from now on for Zignature Kangaroo Formula canned dog food. Thanks for being so on top of things.</t>
  </si>
  <si>
    <t>Melissa</t>
  </si>
  <si>
    <t>Terrible just terrible</t>
  </si>
  <si>
    <t>Terrible just terrible. Not helpful at all. Still waiting for my dog’s medication it’s going on 3 weeks now I keep getting the run around from everyone I speak to. I’m over this company. Y’all need to get ur “stuff”together.</t>
  </si>
  <si>
    <t>FREDERICK PISANI</t>
  </si>
  <si>
    <t>Ordering can be made easier and…</t>
  </si>
  <si>
    <t>Ordering can be made easier and delivery took longer than ecpected.</t>
  </si>
  <si>
    <t>A Five Star Wow</t>
  </si>
  <si>
    <t>First was the excellent selection offered at a fair price. Then there was delivery. No easy challenge since ihe order was placed over the holiday and we had a major snow storm. Guess what BuddyHolley, my Bearded Collie, was enjoying his food and treats earlier than excepted. Wow! Just Wow!</t>
  </si>
  <si>
    <t>AMcc</t>
  </si>
  <si>
    <t>I have a dog who is allergic to…</t>
  </si>
  <si>
    <t>I have a dog who is allergic to everything basically so I used the online chat and the customer service person helped me locate a food and treats that basically only have duck (one of the only things she’s not allergic to).</t>
  </si>
  <si>
    <t>BEN LEVER</t>
  </si>
  <si>
    <t>Delivered on time good choices</t>
  </si>
  <si>
    <t>Delivered on time. Was able to brands I wanted not available on other sites like Chewey.</t>
  </si>
  <si>
    <t>rmc</t>
  </si>
  <si>
    <t>all around great!</t>
  </si>
  <si>
    <t>fast shipping, fair prices, and excellent customer service!</t>
  </si>
  <si>
    <t>D P</t>
  </si>
  <si>
    <t>Great products, quick shipping</t>
  </si>
  <si>
    <t>Had products in stock, quick delivery. Great customer service.</t>
  </si>
  <si>
    <t>SHEILA W</t>
  </si>
  <si>
    <t>Easy to navigate the website and items…</t>
  </si>
  <si>
    <t>Easy to navigate the website and items shipped fast !</t>
  </si>
  <si>
    <t>DAVE LAWSON</t>
  </si>
  <si>
    <t>Petflow always delivers good products…</t>
  </si>
  <si>
    <t>Petflow always delivers good products in a timely manner. They are also the only online provider of my dog’s food.</t>
  </si>
  <si>
    <t>Quick shipping!</t>
  </si>
  <si>
    <t>Twice my order has been canceled due to fear of fraud and no one ever reaches out to me to ask. I’m frustrated that a week later, when my order isn’t received, I call and find out it was canceled. They have my email and phone number.</t>
  </si>
  <si>
    <t>KATHY DURGIN-LEIGHTON</t>
  </si>
  <si>
    <t>Twice my order has been canceled due to…</t>
  </si>
  <si>
    <t>I placed an order recently from Petflow. They had the best price on the items I was searching for. I didn't need the items right away and I appreciated that I could request the date I would like the items shipped to me. Highly recommend Petflow!!</t>
  </si>
  <si>
    <t>Christine</t>
  </si>
  <si>
    <t>Great!!!</t>
  </si>
  <si>
    <t>Fast shipping, great prices and accurate order</t>
  </si>
  <si>
    <t>CIndyNC</t>
  </si>
  <si>
    <t>I had put numerous orders in for this product in the past two years. The order got canceled many times and I was told I would be notified when they came in. I was never notified! I just happened to come back to your site to see that you had them in stock. Otherwise, good product we have used for years and delivery time was awesome.</t>
  </si>
  <si>
    <t>CLAIRE TURNBULL</t>
  </si>
  <si>
    <t>I had put numerous orders in for this…</t>
  </si>
  <si>
    <t>In the past, the customer service was always exceptional. My last phone call pertaining to a delivery delay was met with indifference &amp; a lack of resolution. I'll continue to shop at Petflow but will think twice before inquiring about a problem.</t>
  </si>
  <si>
    <t>HOPE-CAROLYN QUENTZEL</t>
  </si>
  <si>
    <t>Customer service not up to par</t>
  </si>
  <si>
    <t>My dog food took FOREVERRRRR to get here. Each time I called customer service, it rang about 20 times and the phone would hang up. I emailed them and it took 3 days for them to get back to me. Rep said they are overwhelmed because they are a small company. I’d say, hire more people because this was ridiculous!</t>
  </si>
  <si>
    <t>Eva</t>
  </si>
  <si>
    <t>Fromm dog food</t>
  </si>
  <si>
    <t>I contacted customer support online to cancel my auto ship. I accidently set a second one while trying to cancel. I had 2 auto ship orders. I made it clear I wanted them both canceled because my order increased by almost $84.00. Too pricey. I found my order cheaper somewhere else. And the customer support person shipped both orders to for over $600.</t>
  </si>
  <si>
    <t>GLENDA LAUBHAN</t>
  </si>
  <si>
    <t>You always get your order on time</t>
  </si>
  <si>
    <t>ELIZABETH DEKARSKE</t>
  </si>
  <si>
    <t>I contacted customer support online to…</t>
  </si>
  <si>
    <t>C Machleit</t>
  </si>
  <si>
    <t>Package arrived late again</t>
  </si>
  <si>
    <t>Package arrived late again
Fed ex should not be your carrier</t>
  </si>
  <si>
    <t>SANDRA</t>
  </si>
  <si>
    <t>Easy to order and I love the automatic…</t>
  </si>
  <si>
    <t>Easy to order and I love the automatic ordering</t>
  </si>
  <si>
    <t>James Lallman</t>
  </si>
  <si>
    <t>Terrible customer service</t>
  </si>
  <si>
    <t>Terrible customer service, worst company to ever do business with even the supervisors are rude they constantly hang up without addressing any of your issues.</t>
  </si>
  <si>
    <t>Joe Smith</t>
  </si>
  <si>
    <t>Unbelievably Bad Service / Policy’s</t>
  </si>
  <si>
    <t>I placed an order which was received by PetFlow with a ship date of Dec 19th. Dec 28th still had not heard a word. Called customer service who told me PetFlow had canceled the order because it was flagged as fraudulent by “them” ! Not my bank ! I will “never” use this company again and highly suggest you think twice and read the other reviews before ordering.</t>
  </si>
  <si>
    <t>PHIL THOMAS</t>
  </si>
  <si>
    <t>Easy order process and quick response…</t>
  </si>
  <si>
    <t>Easy order process and quick response to the order</t>
  </si>
  <si>
    <t>MARY BATES</t>
  </si>
  <si>
    <t>I stopped using Chewy when the company was bought by PetSmart. I'm glad I chose PetFlo.</t>
  </si>
  <si>
    <t>Vanessa</t>
  </si>
  <si>
    <t>Poor communication</t>
  </si>
  <si>
    <t>I placed my order on 12/14/22 and received an email that my order would ship on 12/15/22. I contacted PetFlow on 12/21/22 about my order not shipping yet. When I received a response the next day I was informed “due to stock issues my order was cancelled”. But yet I wasn’t notified until I reached out to ask where my order was. Poor customer service communication practices.</t>
  </si>
  <si>
    <t>MICHAEL DEL MASTO</t>
  </si>
  <si>
    <t>The dog food I ordered came quickly and I didn’t have to pay for shipping. The food I ordered changed the look of the bag so I thought I was sent the wrong food. Petflow responded immediately to my issue.</t>
  </si>
  <si>
    <t>Better Deals through Amazon</t>
  </si>
  <si>
    <t>Even with your promos (EX: Current promo PFT025 25.00 off 100.00) Amazon is still better priced. And I get better sizes and better autoship deals. We are working with tough times folks - you need to step up your game on competition or get left behind. Not trying to be rude - it's just the facts.</t>
  </si>
  <si>
    <t>Yury K</t>
  </si>
  <si>
    <t>Unexpected treatment of 7 years customer</t>
  </si>
  <si>
    <t>I have an account at PetFlow since June 2015
Unfortunately my order of cat food was cancelled without any notification...Such an unexpected behavior of company... customer service when I called them explain order was blocked by fraud prevention department without any explanation .... they advised me to change my email address or my delivery address to remove this block.
I highly recommend to brave customers who will order from PetFlow check status of their order in an hour after placing it to make sure order was not cancelled without any note.</t>
  </si>
  <si>
    <t>MICHAEL MOREHEAD</t>
  </si>
  <si>
    <t>Fast Shipping</t>
  </si>
  <si>
    <t>You're fine. Don't be so insecure! I used you once and I've gotten like 30 emails from you. It's too much! Now you want to be rated, it's coming off very needy and insecure. Keep having the lowest prices and I will keep using you. Stop with all the email or I'm gone, seriously!</t>
  </si>
  <si>
    <t>T Ward</t>
  </si>
  <si>
    <t>You're fine</t>
  </si>
  <si>
    <t>Had the product I was looking for for my cat. Fast service</t>
  </si>
  <si>
    <t>ALBERT EGAN</t>
  </si>
  <si>
    <t>Had the product I was looking for for…</t>
  </si>
  <si>
    <t>Our beloved Newfie died a day or so after we received his auto shipment of food from Perflow. We had not even opened the box. Allison from Petflow offered her's and Petflow's sincere condolences. And she said just set the unopen box outside on the porch and she would have Fedex pick it up; they would have a label; and we would not be charged for it. It was a small bright light in an otherwise very, very sad week for us. Thank you very much and we will subscribe back to Petflow when the time comes with our other "Boys".</t>
  </si>
  <si>
    <t>MICHELLE RUE</t>
  </si>
  <si>
    <t>Always helpful and products are quality.</t>
  </si>
  <si>
    <t>Actually I am writing to see if I can return an unopened bag of food. Winnie did not like it and is back on her original food.</t>
  </si>
  <si>
    <t>BOB and ANNE BLAICHER</t>
  </si>
  <si>
    <t>Our beloved Newfie died a day or so…</t>
  </si>
  <si>
    <t>Best price on the dog food I buy. Very quick shipping</t>
  </si>
  <si>
    <t>Helene</t>
  </si>
  <si>
    <t>Actually I am writing to see if I can…</t>
  </si>
  <si>
    <t>Good sales on good products. Fast shipping.</t>
  </si>
  <si>
    <t>JENNIFER K</t>
  </si>
  <si>
    <t>Best price on the dog food I buy.</t>
  </si>
  <si>
    <t>My beloved dog passed away unexpectedly just after I had received a large shipment of food and supplies. I contacted PetFlow and they arranged to have the products picked up right away and closed out my auto ship orders so I would not have to do that. I've used Petflow for more than 10 years and it has been easy and consistent and great service. I will miss it.</t>
  </si>
  <si>
    <t>james</t>
  </si>
  <si>
    <t>Good sales on good products</t>
  </si>
  <si>
    <t>What made my experience great was finding the product I wanted (and a little more) and getting it ordered quickly and easily. Got what I needed in just a few days before running out of the product at home. Excellent service! Great products!</t>
  </si>
  <si>
    <t>Tammy</t>
  </si>
  <si>
    <t>Thoughtful and helpful service</t>
  </si>
  <si>
    <t>STEVEN NEVADA</t>
  </si>
  <si>
    <t>EXCELLENT SERVICE - GREAT PRODUCTS</t>
  </si>
  <si>
    <t>JOHN ANDERSON</t>
  </si>
  <si>
    <t>I wanted to purchase some that was not noted on your website</t>
  </si>
  <si>
    <t>I wanted to purchase a item on your website but the item only showed one color blue I contacted you about wanting the item in gray and you person went out in the whrs. and found that you had it in gray. Told me to order it and e-mail the order number to her and she would make sure I received the gray litter box I wanted. She was very nice and helped a lot.</t>
  </si>
  <si>
    <t>Barbara Rice</t>
  </si>
  <si>
    <t>I got a good price on Tillys Treasures…</t>
  </si>
  <si>
    <t>I got a good price on Tillys Treasures Beef Liver Chunks. My dog loves them.</t>
  </si>
  <si>
    <t>Wheels</t>
  </si>
  <si>
    <t>Easy order, great delivery, great product!</t>
  </si>
  <si>
    <t>JENNY O'BRIEN</t>
  </si>
  <si>
    <t>I used to love PetFlow because the…</t>
  </si>
  <si>
    <t>I used to love PetFlow because the prices were reasonable with quality items and dependable shipping. I have a small house so I cannot stockpile dog food so I order close to finishing a bag. Well, now, when things used to arrive in about 3 days of ordering, it can be 2 weeks or 3 days or 7 days. There’s no way of knowing. It’s really hard to plan around these orders which makes me want to shop elsewhere which bums me out because I’ve really loved PetFlow.</t>
  </si>
  <si>
    <t>Peter Utrata</t>
  </si>
  <si>
    <t>Prompt delivery at a fair price 😀</t>
  </si>
  <si>
    <t>I have been buying my dogs' pet food from them for years! They are very reasonably priced and are flexible enough to allow me to change my order depending on the dogs we have.</t>
  </si>
  <si>
    <t>Great Food, Price and Service!</t>
  </si>
  <si>
    <t>My delivery address is really complicated and caused a few issues when I attempted to place my order, but customer service was quick to respond to my messages and they handled the situation effectively and efficiently. Once shipped, the order reached me in a very reasonable amount of time.
As for the purchase itself...
Despite costing significantly less than similar products (specifically, bully sticks) from competitors do, the ones I ordered from PetFlow seem to be of high quality, are fairly consistent in shape and size and, most importantly, my dogs love them.
I will definitely be repurchasing once I run out and I've already recommended the website to a friend.</t>
  </si>
  <si>
    <t>Jenna</t>
  </si>
  <si>
    <t>A Satisfied Customer</t>
  </si>
  <si>
    <t>Prices and selection were great. Shipping was fast and received emails regarding the status of order and shipping.</t>
  </si>
  <si>
    <t>Michael G</t>
  </si>
  <si>
    <t>Fast delivery of our pet food</t>
  </si>
  <si>
    <t>The toy was so little. The shampoo was expensive but worth it</t>
  </si>
  <si>
    <t>NLB</t>
  </si>
  <si>
    <t>Your fast shipping was great</t>
  </si>
  <si>
    <t>My auto ship is easy and convenient and arrives quickly after it ships. The food is always in stock so I never have to worry.</t>
  </si>
  <si>
    <t>PAUL VERZOSA</t>
  </si>
  <si>
    <t>Great choice for pet toys and supplies</t>
  </si>
  <si>
    <t>I tried to change what we are receiving on the recurring order. Instead of changing the item it sent me an additional bag of dog food.</t>
  </si>
  <si>
    <t>Kathryn Johnson</t>
  </si>
  <si>
    <t>The toy was so little</t>
  </si>
  <si>
    <t>Great prices on the kong squeez ball</t>
  </si>
  <si>
    <t>Lh</t>
  </si>
  <si>
    <t>My auto ship is easy and convenient and…</t>
  </si>
  <si>
    <t>BEWARE! Pet Flow can accuse you of theft cat food $46 value from them.
Absolutely terrible experience with my order NUMBER: 10690189
After receiving order confirmation from PetFlow,
I was expect receiving the tracking number for shipment, but when I login to my account the order status was "cancelled" After I called customer service I was told my order blocked by fraud prevention department with no deeper explanations of reason why my PayPal account and American Express card make then suspect me as a cat food theft I will NEWER order here again.</t>
  </si>
  <si>
    <t>PAUL GUEVARA</t>
  </si>
  <si>
    <t>I tried to change what we are receiving…</t>
  </si>
  <si>
    <t>Good quality products. Cheaper prices. Fast shipping.</t>
  </si>
  <si>
    <t>KIM M</t>
  </si>
  <si>
    <t>Kong ball</t>
  </si>
  <si>
    <t>I’ve struggled purchasing food for my FIV+ cat because her vet is under my partners name but I’m the one buying Chewy specifically made my life hell. Thank you PetFlow! I appreciate y’all and I’m great full my kitty gets her special food now :)</t>
  </si>
  <si>
    <t>VIVIANA K.</t>
  </si>
  <si>
    <t>Terrible experience suspect me theft cat food</t>
  </si>
  <si>
    <t>With the cost of this pet food increasing every year, I decided to switch to PetFlow away from my usual supplier because of the discount. Making my dog's food more affordable really helped a lot. I'm hoping this company continues to offer competitive pricing.</t>
  </si>
  <si>
    <t>Brad Galusha</t>
  </si>
  <si>
    <t>Fast and efficient with brands I want.</t>
  </si>
  <si>
    <t>I always get my dogs food on time</t>
  </si>
  <si>
    <t>THERESA VAN VELS</t>
  </si>
  <si>
    <t>Good quality products</t>
  </si>
  <si>
    <t>Nick</t>
  </si>
  <si>
    <t>I’ve struggled purchasing food for my…</t>
  </si>
  <si>
    <t>TIFFANY</t>
  </si>
  <si>
    <t>With the cost of this pet food…</t>
  </si>
  <si>
    <t>LAURA CYPHERS</t>
  </si>
  <si>
    <t>JANA ANDERSON</t>
  </si>
  <si>
    <t>I have had a good relationship w…</t>
  </si>
  <si>
    <t>I have had a good relationship w Petflow up until my last text message was ignored. Natural Balance canned dog food was discontinued supposedly due to supply issues. I researched other foods &amp; decided on Nutrisource which Petflow carries. I ordered 10 cases. Confirmation email &amp; delivery date to follow. After a couple days I sent a text asking for that info. No response. I did eventually receive the dog food in four deliveries.</t>
  </si>
  <si>
    <t>LINDA B</t>
  </si>
  <si>
    <t>Great customer service. Quick shipping.</t>
  </si>
  <si>
    <t>josephine vollkommer</t>
  </si>
  <si>
    <t>Great quality and shipping was very…</t>
  </si>
  <si>
    <t>Great quality and shipping was very fast. Definitely will be ordering from them again.</t>
  </si>
  <si>
    <t>John Toto</t>
  </si>
  <si>
    <t>Liked that ordering is easy</t>
  </si>
  <si>
    <t>Liked that ordering is easy. I did not like how very long it took to receive the order.</t>
  </si>
  <si>
    <t>STEPHANIE CARPENTER</t>
  </si>
  <si>
    <t>My order never arrived and unprofessional customer service</t>
  </si>
  <si>
    <t>My order never arrived. I called your company and the person I spoke to was incredibly unprofessional sounding. I asked why my order hasn’t shown up and he said it was canceled by their fraud department. I asked why or what triggered this and was told he couldn’t tell me why. Then I asked if I could still order from this company because of them thinking my order was fraudulent. The guy responded “I don’t know can you?”. I was shocked by this unprofessional customer service. This review asks for the date of the incident but I don’t recall when I called but it was earlier this month in December. I placed my order on December 6 and never received a confirmation email but I did take a screenshot of my confirmed order. I’ll never order here again.</t>
  </si>
  <si>
    <t>MARIA</t>
  </si>
  <si>
    <t>You were the only company that had the…products in</t>
  </si>
  <si>
    <t>You were the only company that had the product I needed for my special needs cat!!!!</t>
  </si>
  <si>
    <t>Melinda</t>
  </si>
  <si>
    <t>Updated Dec 18, 2022</t>
  </si>
  <si>
    <t>You asked for response</t>
  </si>
  <si>
    <t>First customer service rep wasn't nearly has helpful as the second one I talked with. The third person was reassuring. Now the wait for the refund. 😊</t>
  </si>
  <si>
    <t>Tracy</t>
  </si>
  <si>
    <t>Chewy is a cheaper and nicer alternative</t>
  </si>
  <si>
    <t>I was really happy with pet flow until two things happened. One is I found some thing I could only buy at Chewy, and their customer service is light years beyond petflow.
The other is that petflow wanted a profile of me and my pets names, and things in a way that made me feel like I was being phished.
I am very unlikely to ever be a petflow customer again.</t>
  </si>
  <si>
    <t>Chris S</t>
  </si>
  <si>
    <t>Fast accurate shipping and fair prices</t>
  </si>
  <si>
    <t>Fast accurate shipping and fair prices, have ordered twice and will continue to order.</t>
  </si>
  <si>
    <t>SUZANNE CAMPBELL</t>
  </si>
  <si>
    <t>Was great</t>
  </si>
  <si>
    <t>Was great! I enjoyed it a lot. The song made me feel special !</t>
  </si>
  <si>
    <t>MARK L</t>
  </si>
  <si>
    <t>Always fast shipments</t>
  </si>
  <si>
    <t>Always fast shipments. I order two 30-pound bags of food at a time. The only concern is the packaging needs more tape on the box or they need to be shipped in two boxes. The last shipment the tape had broke and someone for the carrier must have re-taped it, there was clear package tape on top of the original tape. This is not the first time the tape has been broken, it has happened to previous shipments.</t>
  </si>
  <si>
    <t>TagandLink</t>
  </si>
  <si>
    <t>Prices are high for the food I feed and…</t>
  </si>
  <si>
    <t>Prices are high for the food I feed and I realize it may not be Petflow's fault but there was a huge increase in cost in just a few months. Also, delivery seems to take a week with FedEx. Seems long to me.</t>
  </si>
  <si>
    <t>Monica Loeffler</t>
  </si>
  <si>
    <t>fast and easy checkout and shipping</t>
  </si>
  <si>
    <t>my orders are taking longer and longer to arrive. last order was over 10 days until I received it. I order early so my boy doesn't run out, but these times are ridiculous. Currently looking for another provider.</t>
  </si>
  <si>
    <t>Earl Mullett Jr</t>
  </si>
  <si>
    <t>my orders are taking longer and longer…</t>
  </si>
  <si>
    <t>Wonderful products for my cats. Can ask for assistance should I need it. Great on-time deliveries for my purchases, and very good service from PetFlow and the folks that do great jobs for me and my kitties!</t>
  </si>
  <si>
    <t>Gretchen</t>
  </si>
  <si>
    <t>My cats love their "Tasty Treats"!!</t>
  </si>
  <si>
    <t>Where do I begin!? I order 10 tennis balls then y’all wanna chancel my order for fraudulent because your customer service person over the phone says why would you buy 10 tennis balls?? I’m sorry I have multiple dogs, like WTH! Worse part is I had to call y’all 7 days after my order to figure out what’s going on cause y’all don’t know how to return emails at all. Definitely will never buy anything from y’all!!!!</t>
  </si>
  <si>
    <t>Justin</t>
  </si>
  <si>
    <t>Where do I begin!</t>
  </si>
  <si>
    <t>Quick friendly people to help with an easy phone call! Dependable deliveries and updates. I really like their customer satisfaction approach to business.</t>
  </si>
  <si>
    <t>JUDY MITCHELL</t>
  </si>
  <si>
    <t>Quick friendly people to help with an…</t>
  </si>
  <si>
    <t>I had a major issue with my package being held up on the FedEx side. I emailed into Petflow support to see if they could help, I didn't hear back. HOWEVER, I called a few days later. The person that answered was so kind and helpful. They reshipped the product. I left the call crying just due to her kindness, as shipping really isn't their problem, but FedEx said only the shipper could make a claim. I just wanted some help getting FedEx to deliver, but she went above and beyond.</t>
  </si>
  <si>
    <t>Kelli S.</t>
  </si>
  <si>
    <t>Good Customer Service</t>
  </si>
  <si>
    <t>Received food in timely manner. Good price.</t>
  </si>
  <si>
    <t>Kathryn</t>
  </si>
  <si>
    <t>Received food in timely manner</t>
  </si>
  <si>
    <t>Great prices
Fast delivery
A place to count on</t>
  </si>
  <si>
    <t>XIMENA RAMOS</t>
  </si>
  <si>
    <t>Dog food</t>
  </si>
  <si>
    <t>Linda S</t>
  </si>
  <si>
    <t>Litter Review</t>
  </si>
  <si>
    <t>Even though this litter was out of stock and no date when available they kept me informed of my in order status. I did end up of canceling and they were in great about be this too.</t>
  </si>
  <si>
    <t>PHYLLIS YAEGER</t>
  </si>
  <si>
    <t>Awesome company with good deals and…</t>
  </si>
  <si>
    <t>Awesome company with good deals and prompt service delivered right to your door. I would highly recommend Petflow for all your pets’ needs.</t>
  </si>
  <si>
    <t>Linda Clark</t>
  </si>
  <si>
    <t>Quicker delivery</t>
  </si>
  <si>
    <t>What your company needs to work is your delivery time. Your company takes way to long from the date of purchase to get the product to your customer. The company Chewy gets it to me in 24 to 48 hours. Learn their method.</t>
  </si>
  <si>
    <t>ROGER RAY</t>
  </si>
  <si>
    <t>My go to place for the Aussiedoodle</t>
  </si>
  <si>
    <t>Great selection of dog foods and snacks and great customer service! Order arrive in just a few days.</t>
  </si>
  <si>
    <t>DAWN</t>
  </si>
  <si>
    <t>Great price</t>
  </si>
  <si>
    <t>Great price, quick shipping and delivery!</t>
  </si>
  <si>
    <t>LKM</t>
  </si>
  <si>
    <t>Love the prices and quick service</t>
  </si>
  <si>
    <t>Love the prices and quick service. My only concern is I can’t seem to apply the auto ship discount</t>
  </si>
  <si>
    <t>CAROLYNN GALAVIZ</t>
  </si>
  <si>
    <t>First purchase/ great!</t>
  </si>
  <si>
    <t>Name brand products. Fast shipping. Great coupons/deals.</t>
  </si>
  <si>
    <t>KELLY LAFRANCE</t>
  </si>
  <si>
    <t>First</t>
  </si>
  <si>
    <t>First, I was sent the wrong items. I called and was told they would ship the right ones out asap the next AM. I spent over $75. On dog treats, 7 bags. The original delivery took a week. Customer service emailed me a Fed ex label to ship the wrong treats back. I had to drive to a Fed Ex drop off to do it. Then the next AM, I get an email that the right treats were on back order. I called to find out how long until I received them. They had no idea so I cancelled ny order. This was my first time ordering from Petflow.</t>
  </si>
  <si>
    <t>great food, great price, great delivery, shipping free</t>
  </si>
  <si>
    <t>ordered the nature's logic food at a great price, delivered quickly, shipping free......
what is not to like about this?</t>
  </si>
  <si>
    <t>Bennett</t>
  </si>
  <si>
    <t>Always difficult to gain access to site.</t>
  </si>
  <si>
    <t>Difficult to make an accurate credit card charge</t>
  </si>
  <si>
    <t>JEFF WARMOUTH</t>
  </si>
  <si>
    <t>My shipping box came damaged</t>
  </si>
  <si>
    <t>My shipping box came damaged - nearly falling apart when it arrived at my door.
Plus my bag of Dr. Marty food was cut with a razor and food was inside the shipping box. I have a picture if needed.
And finally it took nearly 7 days (I ordered early Sunday morning and the product arrived late Friday evening). Definitely slower than Chewy.com which takes 3-4 days to arrive after ordering.</t>
  </si>
  <si>
    <t>customer Robert Elgin</t>
  </si>
  <si>
    <t>Very good customer service package arrived on time everything that I asked for was in the box complete</t>
  </si>
  <si>
    <t>SHAGGY PHIPPS</t>
  </si>
  <si>
    <t>No takebacks</t>
  </si>
  <si>
    <t>I needed a bag of dog food and proceeded with “buy it now” When I received order confirmation, I saw that an item I had previously purchased was still in my cart They said they would not remove an item from my order immediately after. I wasn’t happy with the item when I bought it the first time, so now I have 2.</t>
  </si>
  <si>
    <t>TERRY SCHNITTER</t>
  </si>
  <si>
    <t>Products available</t>
  </si>
  <si>
    <t>Products available; competitive pricing; delivery delay not too bad considering the holidays.</t>
  </si>
  <si>
    <t>GLENYCE ROSS</t>
  </si>
  <si>
    <t>Timely delivery happy with service</t>
  </si>
  <si>
    <t>Appreciate the great selection of Fromm dry dog food! Service is great and very fast shipping!</t>
  </si>
  <si>
    <t>Denali</t>
  </si>
  <si>
    <t>Totally Pleased with PetFlow</t>
  </si>
  <si>
    <t>We have been using PetFlow for years and they are consistently fast with shipping and if there are any issues (maybe 3x in 10 years) they are responsive and it gets resolved fast. Thank you !</t>
  </si>
  <si>
    <t>ROBIN CROCE</t>
  </si>
  <si>
    <t>We have been using PetFlow for years…</t>
  </si>
  <si>
    <t>Ordered on line for less than in stores and it was delivered to me!!</t>
  </si>
  <si>
    <t>FRED HARRAH</t>
  </si>
  <si>
    <t>Communications were good</t>
  </si>
  <si>
    <t>Lack of availability of the specific treats I was looking for was the only reason I did not leave a 5-star rating. Otherwise, prices, delivery time, &amp; correctness of the order was great. Thanks. Luka &amp; Remi are head-over-heels with their tasty treats!</t>
  </si>
  <si>
    <t>Michele</t>
  </si>
  <si>
    <t>Ordered on line for less than in stores…</t>
  </si>
  <si>
    <t>Mary Ann</t>
  </si>
  <si>
    <t>PetFlow is the place to go for treats</t>
  </si>
  <si>
    <t>DORY RODRIGUEZ</t>
  </si>
  <si>
    <t>I spoke with customer service weeks ago…</t>
  </si>
  <si>
    <t>I spoke with customer service weeks ago and my concern was not addressed.
My original account was under my personal gmail. I had an auto ship on there for years. A few months ago my password did not work, and when I tried repeatedly to reset it, I never received the reset email...not even to my spam or junk folder.
I opened a new account on my work email
No one has been able to tell me if the auto ship is still on my personal gmail account?</t>
  </si>
  <si>
    <t>Robert Danforth</t>
  </si>
  <si>
    <t>Good price on dog food.</t>
  </si>
  <si>
    <t>When I started to really look around, PetFlow offers the best price, especially since it comes right to my door in rural Vermont. Dog food has become crazy expensive.</t>
  </si>
  <si>
    <t>KERRY OHAGEN</t>
  </si>
  <si>
    <t>I have used PetFlow for several years. They are a quality organization, I recently had an issue with a delivery and a return. Both issues were resolved quickly. one via phone and the other through email. They also took the time to follow up and make sure I was satisfied.</t>
  </si>
  <si>
    <t>Rick Cantu</t>
  </si>
  <si>
    <t>Great Product Selection</t>
  </si>
  <si>
    <t>Website was easy to maneuver, Great product selection and good prices along with fast delivery time</t>
  </si>
  <si>
    <t>loretta vacek</t>
  </si>
  <si>
    <t>Your products are healthy and…</t>
  </si>
  <si>
    <t>Your products are healthy and reasonable in price. I also received my purchases in 5 days and paid no shipping due to buying $49.00 and more in merchandise. I also get the pleasure to help animals in need. Thanks for being there!</t>
  </si>
  <si>
    <t>EDWARD</t>
  </si>
  <si>
    <t>Good prices but stopped carrying my item</t>
  </si>
  <si>
    <t>Found it odd that a very popular item on the internet was discontinued. I ordered 2 but only got one and they refunded my other one fast. Made
it look like they were selling them too low and stopped so they didn’t have to keep filling orders.</t>
  </si>
  <si>
    <t>Wilma McCoy</t>
  </si>
  <si>
    <t>I like ordering online don’t like…</t>
  </si>
  <si>
    <t>I like ordering online don’t like getting out. Delivered to my door</t>
  </si>
  <si>
    <t>Mm Nava</t>
  </si>
  <si>
    <t>The shipping time is awful</t>
  </si>
  <si>
    <t>The shipping time is awful. When I placed and order it said it will ship the next two days, it didn’t ship for a whole 2 weeks!</t>
  </si>
  <si>
    <t>KAREN FORSEE</t>
  </si>
  <si>
    <t>Very reliable when ordering a product</t>
  </si>
  <si>
    <t>Very reliable when ordering a product. Even if on back-order, you are kept informed. Impressive.</t>
  </si>
  <si>
    <t>Jeff Burke</t>
  </si>
  <si>
    <t>Best prices around initially</t>
  </si>
  <si>
    <t>Best prices around initially, we will see if they continue offering these deals. I have referred a few friends so I’m hoping they don’t disappoint.</t>
  </si>
  <si>
    <t>JOAN GINARD</t>
  </si>
  <si>
    <t>Slow shipping</t>
  </si>
  <si>
    <t>Slow shipping. Slow answer to E -mails. Don’t have items in stock.</t>
  </si>
  <si>
    <t>SANDRA HERNANDEZ</t>
  </si>
  <si>
    <t>I'm still waiting on my last order</t>
  </si>
  <si>
    <t>I'm still waiting on my last order. I am out of Kidney can food. I have 2 dogs. I supplement dog treats through Amazon as they deliver way quicker, but the prescription Kidney food I cannot. As I tracked my last order it showed it's been sitting in the Homestead Fed Ex Dept. for 5 days. It arrived Tues. 12/6 &amp; I'm writing this review on Sat. Dec. 10th and I still haven't received it. I called Pet Flow to ask why is it just sitting at Fed Ex so long. They couldn't tell me either. I may go back to Chewy, as they may be a little more expensive, but they deliver way quicker!</t>
  </si>
  <si>
    <t>RustyBritt</t>
  </si>
  <si>
    <t>Great job PetFlow!</t>
  </si>
  <si>
    <t>I just started using you a few months ago and was a little concerned because of some of your reviews but I liked your prices and thought I’d give you a try! Glad I did! You have totally delivered for me! I’ve had several large orders for dog and cat products … 5 star!</t>
  </si>
  <si>
    <t>CRISTINA MEDNICK</t>
  </si>
  <si>
    <t>You guys are the best!</t>
  </si>
  <si>
    <t>I've been a client for some time. I had just bought a 22 lb. bag of Merrick senior dog food. The vet said that my 11 year old dog reacted badly to the ingredients in the senior food, which caused severe diarrhea and to go back to what I had been doing. The person who answered my call credited my account with no complaints, very graciously and professionally. I was able to get my dogs regular food and the pro-biotics that he needs.</t>
  </si>
  <si>
    <t>Janice</t>
  </si>
  <si>
    <t>Prompt shipping and great prices!!!</t>
  </si>
  <si>
    <t>I found this company a couple months ago, WOW, very impressed. The product line is outstanding, the prices are the best I've seen and last but not least the shipping is super fast. I've had such a wonderful experience with their easy online ordering system, I've never had to contact customer service, but I'd bet they would be just as fantastic as the rest of my experience has been.</t>
  </si>
  <si>
    <t>CMS</t>
  </si>
  <si>
    <t>POSITIVE EXPERIENCE TO-DATE</t>
  </si>
  <si>
    <t>Order was easy to place, delivery and updates were all great</t>
  </si>
  <si>
    <t>NANCY GIBBS</t>
  </si>
  <si>
    <t>Order was easy to place great price on Dr Marty’s</t>
  </si>
  <si>
    <t>I received no notice of canceled order or assistance in correcting the order.</t>
  </si>
  <si>
    <t>TRAVIS SHERMAN</t>
  </si>
  <si>
    <t>I received no notice of canceled order…</t>
  </si>
  <si>
    <t>We have ordered for over a year from Pet flow and have NEVER experienced any issues. What they promise we get. I will be staying with them!!</t>
  </si>
  <si>
    <t>Mel M.</t>
  </si>
  <si>
    <t>We have ordered for over a year from…</t>
  </si>
  <si>
    <t>Cheaper price takes a little longer for shipping though.</t>
  </si>
  <si>
    <t>KYLE POLLOCK</t>
  </si>
  <si>
    <t>Cheaper price takes a little longer for…</t>
  </si>
  <si>
    <t>HOLLY HENRY WEST</t>
  </si>
  <si>
    <t>Great service and products I use for my…</t>
  </si>
  <si>
    <t>Great service and products I use for my pets</t>
  </si>
  <si>
    <t>KAREN HARPER</t>
  </si>
  <si>
    <t>I have had a subscription dogfood on…</t>
  </si>
  <si>
    <t>I have had a subscription dogfood on file for 3-4 years that is prescription. Most of the time, it is delayed or outright cancelled. Then I have to call and change to a different flavor in order to get the dog food. The last time this happened, I had to change the flavor twice and request a new order 4 times before I finally got one to ship. I even had the vet send me the prescription written for any flavor which I forwarded to you. It seems your software program to the vet is not timely.</t>
  </si>
  <si>
    <t>KATHY HARVEY-JONES</t>
  </si>
  <si>
    <t>What I order always comes as expected.</t>
  </si>
  <si>
    <t>I placed ab order for the first time and the product was not going to arrive for over a week. That was unexceptable. Your competition Chewy it arrives usually in two days. I cancelled my order o and my auto ship</t>
  </si>
  <si>
    <t>BRUCE MALICKI</t>
  </si>
  <si>
    <t>I placed ab order for the first time…</t>
  </si>
  <si>
    <t>Reliable delivery. Dels for auto-ship.</t>
  </si>
  <si>
    <t>JEFF BOAK</t>
  </si>
  <si>
    <t>Reliable delivery</t>
  </si>
  <si>
    <t>Fast delivery, great prices. What else could anyone want?</t>
  </si>
  <si>
    <t>Suzanne L Fraccaroli</t>
  </si>
  <si>
    <t>Always get excellent customer service if there is an issue. Vert easy to deal with.</t>
  </si>
  <si>
    <t>Spencer</t>
  </si>
  <si>
    <t>Great service, great people</t>
  </si>
  <si>
    <t>Ordered product and it never shipped. I had to call customer service to get it shipped.</t>
  </si>
  <si>
    <t>CHRIS MARMO</t>
  </si>
  <si>
    <t>Ordered product and it never shipped</t>
  </si>
  <si>
    <t>After my order being cancelled I don’t know maybe three times? I emailed them to get it cleared up. I explain I moved and got married and mention perhaps it’s my maiden name . Ryan tells me fraud says not to process so first i ask okay what’s the reason and do I need to call. Ryan says they can’t give out that information , so I call to clear this up and basically get told to order from another company as I’m considered a fraud. So ridiculous and unhelpful. Ryan’s customer services needs work.</t>
  </si>
  <si>
    <t>Amber S</t>
  </si>
  <si>
    <t>After my order being cancelled I don’t…</t>
  </si>
  <si>
    <t>I appreciated the ease of ordering but was not really happy with the shipping time. It took too long to come.</t>
  </si>
  <si>
    <t>PB</t>
  </si>
  <si>
    <t>Order and Shipping</t>
  </si>
  <si>
    <t>PetFlow is great, fast and efficient. Customer service is helpful.</t>
  </si>
  <si>
    <t>TY STRAWHECKER</t>
  </si>
  <si>
    <t>Went well as I expected</t>
  </si>
  <si>
    <t>I switched to Pet Flow from Chewy bc their prices got high and their customer service dramatically declined. The prices and auto ship discounts are much better at Pet Flow, and their customer service personnel are superior to Chewy's. The only reason I gave 4 stars is bc they don't carry Pet Fresh cat litter which is my preferred brand, and Fancy Feast cat food is out of stock often (this may not be Pet Flow's fault though) I will say, they have gotten it to me before I have ever ran out, however. Overall, I am happy with Pet Flow and would recommend them!</t>
  </si>
  <si>
    <t>Anna</t>
  </si>
  <si>
    <t>PetFlow is great</t>
  </si>
  <si>
    <t>As promised, so delivered</t>
  </si>
  <si>
    <t>DS</t>
  </si>
  <si>
    <t>I switched to Pet Flow from Chewy bc…</t>
  </si>
  <si>
    <t>When I place my order I can relax. It arrives quickly and is always fresh and ready for my two senior dogs. I am so happy that I have this service and don't have to lug heavy bags of questionable freshness.</t>
  </si>
  <si>
    <t>Thomas</t>
  </si>
  <si>
    <t>As promised</t>
  </si>
  <si>
    <t>I placed an order. Your company took the money out of my account. Days went by with no tracking or anything so I called to see what was going on and your tech support told me she didn't know when I would be getting my order so I canceled it. Than after i canceled your company sends a email saying it was out of stock. I ended up going with chewy. They're are fast and reliable</t>
  </si>
  <si>
    <t>Doggiemistress</t>
  </si>
  <si>
    <t>Relax</t>
  </si>
  <si>
    <t>My order was easy to place, and arrived quickly. Will order from you again. 10/10 would recommend</t>
  </si>
  <si>
    <t>LYNN KALUHIOKALANI</t>
  </si>
  <si>
    <t>My dogs went crazy over all these treats. Very happy.</t>
  </si>
  <si>
    <t>Molly McMurray</t>
  </si>
  <si>
    <t>You were less pricey than other places.</t>
  </si>
  <si>
    <t>alicia savino</t>
  </si>
  <si>
    <t>Always satisfying shopping at Petflow.</t>
  </si>
  <si>
    <t>Rebecca O</t>
  </si>
  <si>
    <t>Easy, Convenient, Quickly shipped</t>
  </si>
  <si>
    <t>Victoria Schulze</t>
  </si>
  <si>
    <t>My dogs went crazy over all these…</t>
  </si>
  <si>
    <t>Gina</t>
  </si>
  <si>
    <t>Nice representative</t>
  </si>
  <si>
    <t>The representative was understanding of my situation and was quick to resolve the issue. Very nice and patient.</t>
  </si>
  <si>
    <t>Great company to work with……always…</t>
  </si>
  <si>
    <t>Great company to work with……always responsive….with quick delivery .but costs seem to continue to escalate over last two years as is everything.</t>
  </si>
  <si>
    <t>SHIPPING DELAYS DETRIMENTAL TO HEALTH OF PETS WITH SPECIAL DIETARY NEEDS</t>
  </si>
  <si>
    <t>My dog is a senior with a heart condition and must have a special low-sodium diet. When her food doesn't arrive on time, her diet and condition is compromised. Typically, I receive orders in 2-4 days. I need and depend this reliability. My last order took 10 days to arrive. When I called to inquire about the delay, the representative blamed it on the holiday season, though there was ample time to deliver sooner.</t>
  </si>
  <si>
    <t>LINA COLELLA</t>
  </si>
  <si>
    <t>My little Maltese loves the small bites…</t>
  </si>
  <si>
    <t>My little Maltese loves the small bites Beef Frittata! I wish you had other flavors in small bites for small breed dogs.</t>
  </si>
  <si>
    <t>Laurel Cole</t>
  </si>
  <si>
    <t>The shipping was surprisingly slow</t>
  </si>
  <si>
    <t>The shipping 2as surprisingly slow</t>
  </si>
  <si>
    <t>ALEX MARTINEZ</t>
  </si>
  <si>
    <t>Poor shipping Boxes</t>
  </si>
  <si>
    <t>So when ordering food for my canaries there's been 2 times in the shipping process bad experiences. two times the orders get returned due to the poor packaging Petflow uses. Don't really understand why 2 50lb bags are shipped in 1 thin big box without any protection inside and that is the reason the bags inside get ripped up, plus on top of the shipping company handling the box in a bad way. 👎</t>
  </si>
  <si>
    <t>SHARON ELLIS</t>
  </si>
  <si>
    <t>First time using Pet Flow</t>
  </si>
  <si>
    <t>First time using Pet Flow. My dog food was ordered in time to arrive three days before a big trip. It was delayed and came the day after I left. Customer service had been called several times.
I asked for a refund and was told I would get a credit. I’m going back to Chewy until Pet Flow puts customers first when they make a mistake.</t>
  </si>
  <si>
    <t>KAREN KUNS</t>
  </si>
  <si>
    <t>Petflow is our primary dog food supplier</t>
  </si>
  <si>
    <t>I always order our dogs regular food diet Petflow as well as a subscription. All items arrive well.</t>
  </si>
  <si>
    <t>MARY SUGGS</t>
  </si>
  <si>
    <t>Order</t>
  </si>
  <si>
    <t>Great service. I can always depend on Pet Flow.</t>
  </si>
  <si>
    <t>Richard W</t>
  </si>
  <si>
    <t>An excellent company with wonderful…</t>
  </si>
  <si>
    <t>An excellent company with wonderful customer service. Orders are shipped efficiently and with care. An added plus is their charitable donation policy!</t>
  </si>
  <si>
    <t>Took over a week before product even…</t>
  </si>
  <si>
    <t>Took over a week before product even got prepared for shipping. Zero communication.</t>
  </si>
  <si>
    <t>STANLEY</t>
  </si>
  <si>
    <t>Instead of a usual delivery of 2…</t>
  </si>
  <si>
    <t>Instead of a usual delivery of 2 business days after my orders placement it took 7 business days and two calls to your service.</t>
  </si>
  <si>
    <t>DAVID ADAMS</t>
  </si>
  <si>
    <t>Didnt receive box on scheduled day.</t>
  </si>
  <si>
    <t>While the prices are much better than Chewy’s, the shipping is SLOW!!! The only reason we wait so long for it to arrive is because of the money we save.</t>
  </si>
  <si>
    <t>Robin</t>
  </si>
  <si>
    <t>While the prices are much better than…</t>
  </si>
  <si>
    <t>I placed an order for cat food that PetFlow cancelled with no notice. After wondering why it hadn’t arrived yet I checked on the status and was told it had been cancelled because they thought my email was fraudulent. And if I wanted to place a new order it would have to be with a different email. To PetFlow: I used Apple’s hide-my-email feature which assigns a random email to protect my real one. This feature is being used more and more by people like me who care to protect their e-mail addresses from possibly ending up being sold and from receiving junk email. It would be great if you would update your system to be more flexible. And most importantly, please send emails when you decide to cancel an order. Thankfully I was able to order our cat food from elsewhere and get in two days it before our inventory ran out!</t>
  </si>
  <si>
    <t>Order cancelled without notice</t>
  </si>
  <si>
    <t>Super friendly staff and wonderful company</t>
  </si>
  <si>
    <t>Sdo</t>
  </si>
  <si>
    <t>Perfect service</t>
  </si>
  <si>
    <t>Had a problem with password was locked out and when I called they said too bad you have to wait the time out. They did not reset it or help any further.</t>
  </si>
  <si>
    <t>Larry</t>
  </si>
  <si>
    <t>Had a problem with password was locked…</t>
  </si>
  <si>
    <t>Absolutely THE WORST company I have ever used to date for delivery of our dog food. Will never use them again. They like to use the excuse that its the holidays and they're backed up for deliveries.
Then shut your doors and stop taking orders until you can deliver. Don't waste my time with your BS.</t>
  </si>
  <si>
    <t>This company SUCKS</t>
  </si>
  <si>
    <t>Absolutely THE WORST company I have…</t>
  </si>
  <si>
    <t>Ordered dog food with a few toys on Wednesday night. If you're a pet store, and somebody orders dog food well before the weekend, you ship it out before the weekend. RIGHT?! Never again with these people. Have fun losing money on this order. What an absolute joke of a pet supply company. Unbelievable incompetence and lack of caring.</t>
  </si>
  <si>
    <t>MALENA PORTER</t>
  </si>
  <si>
    <t>I have not gotten my products yet</t>
  </si>
  <si>
    <t>They don't think dog food is an urgent item to send out</t>
  </si>
  <si>
    <t>Carole</t>
  </si>
  <si>
    <t>I generally like Pet Flow but I find…</t>
  </si>
  <si>
    <t>I generally like Pet Flow but I find the website very confusing. My cat has prescription food, and I sent the script in with the first order. When reordered, however, it asks for this information again. I had to call to find out that it isn't necessary.</t>
  </si>
  <si>
    <t>Raven 654</t>
  </si>
  <si>
    <t>Shipment is quick</t>
  </si>
  <si>
    <t>Shipment is quick. Notified timely of any deviation to shipping of order. Reasonable price</t>
  </si>
  <si>
    <t>CRISTINA CONKLIN</t>
  </si>
  <si>
    <t>It was a great experience overall</t>
  </si>
  <si>
    <t>It was a great experience overall. The ordering was easy, it was delivered quickly and the price was great.</t>
  </si>
  <si>
    <t>THOMAS WILLIAMS</t>
  </si>
  <si>
    <t>The willingness to listen to my issue…</t>
  </si>
  <si>
    <t>The willingness to listen to my issue and try to work out a solution</t>
  </si>
  <si>
    <t>marky</t>
  </si>
  <si>
    <t>Good job!</t>
  </si>
  <si>
    <t>the delivery is on time or close to the scheduled time.</t>
  </si>
  <si>
    <t>Good product and fast delivery</t>
  </si>
  <si>
    <t>Best price anywhere - in fact I bought 2 for what other shops were selling for the same price for one! Fast quick shipping totally satisfied customer!</t>
  </si>
  <si>
    <t>Debra H</t>
  </si>
  <si>
    <t>The product was shipped promptly.</t>
  </si>
  <si>
    <t>Excellent selection for pet food and product came quickly. Enjoyed the quality and communication throughout the experience.</t>
  </si>
  <si>
    <t>susan bjurstrom</t>
  </si>
  <si>
    <t>Best price anywhere</t>
  </si>
  <si>
    <t>Shipping times and amount of available products</t>
  </si>
  <si>
    <t>Danny Tang</t>
  </si>
  <si>
    <t>Excellent selection for pet food and…</t>
  </si>
  <si>
    <t>Customer service was excellent</t>
  </si>
  <si>
    <t>MES</t>
  </si>
  <si>
    <t>Shipping times and amount of available…</t>
  </si>
  <si>
    <t>Super fast shipping! Good selection of dog foods and good prices.</t>
  </si>
  <si>
    <t>SHIRLEY</t>
  </si>
  <si>
    <t>Easy to find items and reasonable prices</t>
  </si>
  <si>
    <t>Tried to get my auto shipment moved up a few days sooner &amp; instead, they cancelled it. When they finally shipped, it appeared that I was only being charged $29.30 instead of $39.30, I figured bc of the mix-up. When I checked later in the day, the $10 was added back. Emailing about it has gotten ZERO response.</t>
  </si>
  <si>
    <t>LUKE ROSE</t>
  </si>
  <si>
    <t>customer service is excellent</t>
  </si>
  <si>
    <t>Bryan was great. He explained things and followed up right away. I’m thankful I connected with him about my issue.</t>
  </si>
  <si>
    <t>Susanna S.</t>
  </si>
  <si>
    <t>Always fast shipping and always have what I need!</t>
  </si>
  <si>
    <t>LISA CHAPPELL</t>
  </si>
  <si>
    <t>Tried to get my auto shipment moved up…</t>
  </si>
  <si>
    <t>Switched over from chewy because natures logic dry dog food was a bit cheaper but shipping is very slow, last package arrived opened, bully stick sizing is inconsistent and seems foul.</t>
  </si>
  <si>
    <t>LACEY</t>
  </si>
  <si>
    <t>Bryan was great</t>
  </si>
  <si>
    <t>I have no complaints about the company other than you using FedEx as your shipper. I seem to have issues with them every time. Always changing delivery dates, this time they left the boxes in plain sight in front of my garage, allowing them to get wet in the rain before I could get them. I have a covered front porch but they ignored that. I may look for a new source for my dog food because you use FedEx. UPS would be a much better choice.</t>
  </si>
  <si>
    <t>Teresa Mads</t>
  </si>
  <si>
    <t>Always reliable…</t>
  </si>
  <si>
    <t>the treats had small fine bones in them</t>
  </si>
  <si>
    <t>Hien</t>
  </si>
  <si>
    <t>Chewy might be a better option</t>
  </si>
  <si>
    <t>I honestly have never done a review… ever!!! Well, I have ordered twice from this company… and each time there was issues. The first time the help people were amazing and rushed to fix it right away so obviously I ordered again. But, this time omg!!! I had to make a new email because it locked me out of old account and that’s what the help people told me to do then I placed order. I never got confirmation saying if it shipped or not so, 4 days after expected ship date I asked the help people. Took over two days to respond and they said it got flagged by our fraud department not to fill order call this number so I did. They couldn’t tell me either. Still waiting for a response when they said they would email me back last night. It’s just ridiculous! I have tried and been kind but seriously order from Amazon less hassle!</t>
  </si>
  <si>
    <t>ROB</t>
  </si>
  <si>
    <t>I have no complaints about the company…</t>
  </si>
  <si>
    <t>GLEN CASSELLS</t>
  </si>
  <si>
    <t>the treats had small fine bones in them had to boil to remove them, it was not fun will not buy again !</t>
  </si>
  <si>
    <t>JOBYNA</t>
  </si>
  <si>
    <t>Updated Dec 1, 2022</t>
  </si>
  <si>
    <t>Go through amazon</t>
  </si>
  <si>
    <t>Sue H.</t>
  </si>
  <si>
    <t>No order acknowledgement from Pet Flow</t>
  </si>
  <si>
    <t>Didn't receive an acknowledgement from Pet Flow for on line order placed on a Sunday. I called Monday morning asking for a tracking number and idea of when I could expect the 80 pounds of dog food I got a snarky no reply. Never did receive from Pet Flow any documentation of the order. Luckily, the shipment arrived, unexpectedly, the following Wednesday. We got lucky, given the shipper, to be home to receive it during a driving rainstorm.. Bottom line....poor communication /customer service.</t>
  </si>
  <si>
    <t>Brian</t>
  </si>
  <si>
    <t>Dry Kibble ordered on Nov</t>
  </si>
  <si>
    <t>Dry Kibble ordered on Nov. 17- Still has not arrived- Supposed to be delivered today!! They are VERY responsive to E-Mails and communications- Good Company but need soem updated shipping procedures- BW</t>
  </si>
  <si>
    <t>SANDRA O'DELL</t>
  </si>
  <si>
    <t>Service Rep said 2-3</t>
  </si>
  <si>
    <t>Service Rep said 2-3. Business days and it took 8 days. Had to go to local store to buy food to get by. Mailing system slow lately.</t>
  </si>
  <si>
    <t>Darlene</t>
  </si>
  <si>
    <t>I had a concern with my order--the…</t>
  </si>
  <si>
    <t>I had a concern with my order--the customer service was outstanding, far better than I expected. My problem was taken care of very quickly and I will be ordering again soon!</t>
  </si>
  <si>
    <t>MELINDA THEIDE</t>
  </si>
  <si>
    <t>It took a very long time and multiple…</t>
  </si>
  <si>
    <t>It took a very long time and multiple emails to customer service to see why my order didn’t ship and I ordered two items only received one and no explanation where the other item is.</t>
  </si>
  <si>
    <t>MELISSA</t>
  </si>
  <si>
    <t>Limited/minimal stock items…</t>
  </si>
  <si>
    <t>Again so many products out of stock/not available which means I have to go to other sources to get what I need.</t>
  </si>
  <si>
    <t>JORDAN</t>
  </si>
  <si>
    <t>As always, incredible customer service</t>
  </si>
  <si>
    <t>She was extremely helpful and very kind for the situation I had.</t>
  </si>
  <si>
    <t>TAMI COMETTE</t>
  </si>
  <si>
    <t>The company was prompt in getting my…</t>
  </si>
  <si>
    <t>The company was prompt in getting my order out the door. It took the delivery service some extra time.</t>
  </si>
  <si>
    <t>Shelley Malin</t>
  </si>
  <si>
    <t>FIVE STARS!!</t>
  </si>
  <si>
    <t>FIVE STARS!!
I highly recommend this company. Their selection is excellent and they are competitively priced.</t>
  </si>
  <si>
    <t>DENISE</t>
  </si>
  <si>
    <t>Great Dog Food</t>
  </si>
  <si>
    <t>My Pomsky (5 years old) loves Fromm Dog Food from Petflow.
Its always fresh + the Duck is her favorite. She likes the salmon, too.
Food is always shipped quickly.
I haven't needed customer service, but sure they are great, too.</t>
  </si>
  <si>
    <t>JACK KRAUT</t>
  </si>
  <si>
    <t>Representatives very helpful and…</t>
  </si>
  <si>
    <t>Representatives very helpful and friendly, great bonuses</t>
  </si>
  <si>
    <t>Mary Forsythe</t>
  </si>
  <si>
    <t>I can order Fromm dog food</t>
  </si>
  <si>
    <t>I can order Fromm dog food. The website is easy to use. The delivery is fast.</t>
  </si>
  <si>
    <t>KAREN</t>
  </si>
  <si>
    <t>having the product I needed and fast…</t>
  </si>
  <si>
    <t>having the product I needed and fast shipping.</t>
  </si>
  <si>
    <t>TAMMY ROSS</t>
  </si>
  <si>
    <t>great company …</t>
  </si>
  <si>
    <t>always dependable and shipped everything on time. let you change the dates on your auto ship just a great company. customer service is also awesome.</t>
  </si>
  <si>
    <t>Great support</t>
  </si>
  <si>
    <t>Listen to my concern. Fixed the issue quickly.</t>
  </si>
  <si>
    <t>HENRY CHANDLER</t>
  </si>
  <si>
    <t>Have been a client for years</t>
  </si>
  <si>
    <t>Have been a client for years! Only issue is tons of promotions sent via text and never on Froms! Which is the only product we buy,</t>
  </si>
  <si>
    <t>Rescue an Animal Save your Sou</t>
  </si>
  <si>
    <t>Updated Dec 13, 2022</t>
  </si>
  <si>
    <t>Shipping was delayed for 6 straight…</t>
  </si>
  <si>
    <t>Shipping was delayed for 6 straight days, whilst I was told repeatedly that the item would ship next day. Generally, I would give Petflow 5 stars, however this last experience was less than stellar.
I want to be fair and mindful that warehouse working conditions are difficult and the pace of filling thousands of daily orders are not an easy task. The communication was poor however once the issue was resolved, the shipment was promptly delivered and I was given an account credit for the delay.</t>
  </si>
  <si>
    <t>casey bradshaw</t>
  </si>
  <si>
    <t>good quality stock and fast shipping!</t>
  </si>
  <si>
    <t>First time order for puppy food for our son's puppy and the price was fantastic, with free and SUPER fast delivery! Was very impressed and I am a seasoned value shopper. Highly recommend and will definitely order from here again!</t>
  </si>
  <si>
    <t>NJLuvs2Shop!</t>
  </si>
  <si>
    <t>Excellent website for pet food!! First time order for puppy food for our…</t>
  </si>
  <si>
    <t>Most of my experiences have been excellent. Unfortunately my last order of Fussie cat dry food was less than good. I normal order the 2.5 lbs bag and I’ve had no issues. The cats love it! The last order I purchased the 4 lbs bag and my cats refuse to eat it. I did call Pet flow to inquire if they had any recalls or issues with the food. I was told their was nothing they were aware of, I was given a $10 dollar discount on the purchase of another food the cats normally eat. Still I’m disappointed in the food. Also that I had to get rid of it.</t>
  </si>
  <si>
    <t>JAMES BARNETT</t>
  </si>
  <si>
    <t>Updated Nov 28, 2022</t>
  </si>
  <si>
    <t>Disappointed</t>
  </si>
  <si>
    <t>MIKE BERTRAND</t>
  </si>
  <si>
    <t>Shipping…second order Fr you….first…</t>
  </si>
  <si>
    <t>Shipping…second order Fr you….first order completely messed up. You can check your logs and see. Second order said delivery and day of supposed delivery it was still in New Jersey. Got all items both times but not easy process except for ordering and paying. Wellll, second time anyway…first time was charged for 3 delivery’s til cleared up. Believe I will find another place to order again😔</t>
  </si>
  <si>
    <t>Stevens Rosemary</t>
  </si>
  <si>
    <t>I've been buying from PetFlow for years now and been very happy with them. Prices are competitive, items are usually in stock or quickly restocked, and shipping is prompt. The one time I called customer service as I wanted to add a bag of food I'd forgotten to include in an order, the people were helpful and kind. I'll continue to shop with them and would recommend them to other pet owners.</t>
  </si>
  <si>
    <t>CHRISTINE P</t>
  </si>
  <si>
    <t>Poor customer service</t>
  </si>
  <si>
    <t>I placed an order for dog food… when I noticed it hadn’t shipped after a week I reached out to customer service. No reply back, over a week later looked up my order status and it showed that it was cancelled. Was never notified.
Will never use this company again, now I’m buying directly from the manufacturer.</t>
  </si>
  <si>
    <t>Cathy in New York</t>
  </si>
  <si>
    <t>Best prices and service</t>
  </si>
  <si>
    <t>Our cats have been put on a sensitive diet and Petflow had the best price for what we needed. Online ordering was simple and shipping was fast. Will definitely order from them again.</t>
  </si>
  <si>
    <t>Stop spamming me!!!</t>
  </si>
  <si>
    <t>Exceptionally responsive customer…</t>
  </si>
  <si>
    <t>Exceptionally responsive customer service. Also good products.</t>
  </si>
  <si>
    <t>PAMELA KELLY</t>
  </si>
  <si>
    <t>Easy to order; Prompt shipping; Competitive prices; Great service.</t>
  </si>
  <si>
    <t>JERI POWELL</t>
  </si>
  <si>
    <t>When I received a case of Blue Buffalo cans in a very damaged box with 8/12 cans being severely dented I was immediately sent a full replacement. I also ordered 3 lights for my dogs collar. Only 1/3 works and I’m hoping to receive replacements for those as well.</t>
  </si>
  <si>
    <t>Sasciee</t>
  </si>
  <si>
    <t>I love that you donate to pet charities and carry Nutrisource.</t>
  </si>
  <si>
    <t>Elizabeth Dahl</t>
  </si>
  <si>
    <t>I love that you donate to pet charities…</t>
  </si>
  <si>
    <t>Quick shipping. Product works!! Barking has decreased markedly.</t>
  </si>
  <si>
    <t>Sally</t>
  </si>
  <si>
    <t>We needed to Order Prescription food for our cat and it kept getting Cancelled.
Each time it got Cancelled we called and got a different answer. (Fraud dept, Credit Card Company, etc).
Each time the person on the phone said they would take care of it.
Finally, someone must of actually taken care of it because it finally shipped.</t>
  </si>
  <si>
    <t>JULIE ALMS</t>
  </si>
  <si>
    <t>We needed to Order Prescription food…</t>
  </si>
  <si>
    <t>Bad customer service. Over-priced. Poor quality food. Shop somewhere else.</t>
  </si>
  <si>
    <t>C Junior</t>
  </si>
  <si>
    <t>Bad customer service - GO ELSEWHERE</t>
  </si>
  <si>
    <t>My mind is blown they won't fill my order. DUMB AND USELESS. Took almost two weeks to respond to me. Never seen a company who didn't want business. Last time I'll shop there.</t>
  </si>
  <si>
    <t>Annoyed</t>
  </si>
  <si>
    <t>DON'T ORDER FROM THEM</t>
  </si>
  <si>
    <t>Petflow is a great company. They go above and beyond to provide excellent customer service.</t>
  </si>
  <si>
    <t>KELLY VIGIL</t>
  </si>
  <si>
    <t>Petflow is a great company</t>
  </si>
  <si>
    <t>Easy to order, fast delivery</t>
  </si>
  <si>
    <t>TEIMURAZ BANDZAVA</t>
  </si>
  <si>
    <t>No problems and timely delivery.</t>
  </si>
  <si>
    <t>I've been ordering from Petflow for years. I used to order from Chewy but Petflow offered better discounts so I switched to them for most things. My only issue with Petflow is shipping and that's just such a minor issue that it really isn't even review worthy and doesn't occur often. I can set something to ship on a certain day and sometimes it doesn't ship on that day(rare, but does happen). If I need something in a hurry, I purchase elsewhere. If I remember on time, I will let my normal Petflow program go through for that month.</t>
  </si>
  <si>
    <t>Kathryn Riddle</t>
  </si>
  <si>
    <t>Prompt delivery</t>
  </si>
  <si>
    <t>You stopped part of my order without telling me at all. Took me all kinds of communications to find out what the problem was. I was not, and am not a happy customer. Check your records for my order - it should tell you what went wrong.
How dare you now try and lecture me about what a useful review is!!!</t>
  </si>
  <si>
    <t>K.</t>
  </si>
  <si>
    <t>Customer for years</t>
  </si>
  <si>
    <t>My first order was cancelled with no notice!
My second order was placed but sent to wrong address via Fed Ex. Then I received an email saying that they can't process my order. (it was already processed) So when I called to see what this was about. I was told I would not be able to place another order and to take it up with my bank. (Still no real answer why they did this)</t>
  </si>
  <si>
    <t>Ann R</t>
  </si>
  <si>
    <t>Not Happy</t>
  </si>
  <si>
    <t>The was available and sent promptly.</t>
  </si>
  <si>
    <t>VICKI BUTLER</t>
  </si>
  <si>
    <t>My first order was cancelled with no…</t>
  </si>
  <si>
    <t>Eric Fisher</t>
  </si>
  <si>
    <t>Very convenient!</t>
  </si>
  <si>
    <t>Peter Jurich</t>
  </si>
  <si>
    <t>The product is great so far</t>
  </si>
  <si>
    <t>The product is great so far. The issue that I have is that the clumps from the urine are heavier than any other product that I've used in the past 9 years.</t>
  </si>
  <si>
    <t>Easy to order and quick delivery</t>
  </si>
  <si>
    <t>Only issue I have is that there is not 30 count in the bottle - was given only five dollars off my next order.</t>
  </si>
  <si>
    <t>Mary L Smith</t>
  </si>
  <si>
    <t>Check Count in the Bottle - Should be 30....</t>
  </si>
  <si>
    <t>Took almost 10 gays to get the puppy food, which I ordered a week before getting the puppy. Then when it did arrive, the bag was not properly sealed and food had spilled out all in the box.</t>
  </si>
  <si>
    <t>JERI BOSWELL</t>
  </si>
  <si>
    <t>Took almost 10 gays to get the puppy…</t>
  </si>
  <si>
    <t>Competitive prices, GREAT customer service, excellent packaging of products, and fast delivery! Easy website to navigate and get all you are looking for! What more can you ask for? I highly recommend this company</t>
  </si>
  <si>
    <t>K. Neely</t>
  </si>
  <si>
    <t>I ordered dog food on line and never received a confirmation. A few days later I called and was told the warehouse was working on it. Three days later I called again and they said it was in the warehouse. With the stiff competition on line for pet food / supplies, I don't feel that I need to wait longer then 2 days for my delivery. I cancelled my order.</t>
  </si>
  <si>
    <t>Catlover</t>
  </si>
  <si>
    <t>I don’t want to write anything.</t>
  </si>
  <si>
    <t>Liked the convenience of getting our pet food delivered. What I dislike is the time it takes to get the delivery. We were down to our last kibble when the package arrived. Not sure the service is dependable enough</t>
  </si>
  <si>
    <t>Beth Miranda</t>
  </si>
  <si>
    <t>I ordered dog food on line and never…</t>
  </si>
  <si>
    <t>Thank you for this opportunity to provide constructive feedback on my experience.
When I received my Pet Barriers, (I had ordered two), they came on separate days, which is fine, but they were both in horrible shape on arrival, both boxes open on both or one end, some taped together, others not and I was missing parts. luckily, I could fashion one entire barrier from the two boxes. I am missing a packet of screws, and one of the support feet. If you could send those to me I would appreciate it and then I will be able to put the second pet barrier in my wife's car. The Product appears to be of excellent construction and I believe I will have many years use from it. The price was reasonable if not cheap, for the quality of the product!
The shipping although on time - seems to be a problem.</t>
  </si>
  <si>
    <t>SAL ITALIANO</t>
  </si>
  <si>
    <t>Liked the convenience of getting our…</t>
  </si>
  <si>
    <t>It would be nice to get some discounts for items that are less than $200.</t>
  </si>
  <si>
    <t>Raymond Butts</t>
  </si>
  <si>
    <t>PRICE AND DELIVERY SPEED</t>
  </si>
  <si>
    <t>I ordered my pet supplies on Monday and did not receive it</t>
  </si>
  <si>
    <t>GEORGE HACKNEY</t>
  </si>
  <si>
    <t>Good product, lousy shipping condition.</t>
  </si>
  <si>
    <t>I've purchased from PetFlow for many years - usually dog treats and food. Always good products and good service. Highly recommend.</t>
  </si>
  <si>
    <t>MARK MARZINO</t>
  </si>
  <si>
    <t>It would be nice to get some discounts…</t>
  </si>
  <si>
    <t>Easy to use website and quick delivery 11</t>
  </si>
  <si>
    <t>Joye Thomas</t>
  </si>
  <si>
    <t>I ordered my pet supplies on Monday and…</t>
  </si>
  <si>
    <t>Great service. Good prices, quality products</t>
  </si>
  <si>
    <t>Kristie</t>
  </si>
  <si>
    <t>Consistently good service and products</t>
  </si>
  <si>
    <t>Great company always on time with my order</t>
  </si>
  <si>
    <t>Erin Leigh</t>
  </si>
  <si>
    <t>Easy to use website and quick delivery…</t>
  </si>
  <si>
    <t>Orders are correct and intact upon delivery, which is always fast. Any issues or delays are quickly communicated. The tone of communication is always congenial and helpful. And, for me, I can buy my dog's healthier and preferred foods that the big-box stores do not carry. I also like that the sizes of dog toys are often given in actual inches, so Ican get the appropriate size for my pets.</t>
  </si>
  <si>
    <t>LAURA GARVIN</t>
  </si>
  <si>
    <t>I love how fast they ship but I’m annoyed. My first order, the products were expiring in 3 weeks so I had to use 3 bags of sweet potato fries before they expired. That didn’t happen and they seemed okay so I used them until they were gone.
This latest order, the fries don't expire for 12 months but they are all dried and whitish brown and I threw one bag out. I’m really annoyed and don’t have time to sit on hold on the phone for a live person and to go back n forth on email.</t>
  </si>
  <si>
    <t>KAREN WAXMAN</t>
  </si>
  <si>
    <t>Stuff always right and on time!</t>
  </si>
  <si>
    <t>SUSAN MCCLAIN</t>
  </si>
  <si>
    <t>Great company always on time with my…</t>
  </si>
  <si>
    <t>PAOLA BELLI</t>
  </si>
  <si>
    <t>I got the shipment pretty quick.</t>
  </si>
  <si>
    <t>Ohiodoglover</t>
  </si>
  <si>
    <t>PetFlow always comes through...</t>
  </si>
  <si>
    <t>I love how fast they ship but I’m…</t>
  </si>
  <si>
    <t>ANGELA PLUMLEY</t>
  </si>
  <si>
    <t>I haven't received my order</t>
  </si>
  <si>
    <t>Good products service and price. Only problem is you are out of stock too often.</t>
  </si>
  <si>
    <t>George T</t>
  </si>
  <si>
    <t>Good products service and price</t>
  </si>
  <si>
    <t>Petflow has provided exceptional service, great prices, and very good selection of products and foods for my pets for about 10 years, I highly recommend this company!</t>
  </si>
  <si>
    <t>CECILy</t>
  </si>
  <si>
    <t>Petflow has provided exceptional…</t>
  </si>
  <si>
    <t>Ordering is easy and shipping is -always fast! My favorite site for ordering cat food and supplies.</t>
  </si>
  <si>
    <t>PENNY GOODIN</t>
  </si>
  <si>
    <t>Ordering is easy and shipping is…</t>
  </si>
  <si>
    <t>Shipping has been so fast each time I’ve ordered! Excellent customer service and great selection of pet food and items! They’ve won my business!</t>
  </si>
  <si>
    <t>S STAVRO</t>
  </si>
  <si>
    <t>Fast shipping and excellent product selection …</t>
  </si>
  <si>
    <t>Easy to order &amp; delivery was good as well.</t>
  </si>
  <si>
    <t>SHARON</t>
  </si>
  <si>
    <t>Easy to order &amp; delivery was good as…</t>
  </si>
  <si>
    <t>Not as familiar with navigating your website thus found it confusing and confusing, perhaps as I use it more I’ll become better with it. Products are excellent, prices are excellent too.</t>
  </si>
  <si>
    <t>JEFF HALE</t>
  </si>
  <si>
    <t>Not as familiar with navigating your…</t>
  </si>
  <si>
    <t>Easy website. Delivery updates and promptness of delivery.</t>
  </si>
  <si>
    <t>MARILYN ROTH</t>
  </si>
  <si>
    <t>Easy website</t>
  </si>
  <si>
    <t>I never received my package. Have been waiting about 2 weeks since order. I would recommend petco or something like that.</t>
  </si>
  <si>
    <t>THOMAS CARRAN</t>
  </si>
  <si>
    <t>I never received my package</t>
  </si>
  <si>
    <t>A great place to get pet food that is quality for my Gigi girl.</t>
  </si>
  <si>
    <t>ETHEL HOUMAN</t>
  </si>
  <si>
    <t>A great place to get my pets food.</t>
  </si>
  <si>
    <t>Great experience from ordering to delivery!</t>
  </si>
  <si>
    <t>Pat</t>
  </si>
  <si>
    <t>Great experience from ordering to…</t>
  </si>
  <si>
    <t>The order has been cancelled by Petflow and I was not even notified. Thankfully, Chewy had my back.</t>
  </si>
  <si>
    <t>Alla Ruchkina</t>
  </si>
  <si>
    <t>Cancelled order</t>
  </si>
  <si>
    <t>I placed a order on 11/6. I sent a text on 11/16 asking when my order would arrive. I was told my order was flagged and never shipped. The person didn’t know why or what that meant. Why wouldn’t I get a email or a call if a problem was encountered? You have ALL my contact information.….Home address, email address, phone number, credit card…..That’s horrible customer service. I ended up ordering from Chewy. You lost a customer.</t>
  </si>
  <si>
    <t>CHRISTINA M.</t>
  </si>
  <si>
    <t>I placed a order on 11/6</t>
  </si>
  <si>
    <t>Fast shipping and always consistent with supply! My Shih Tzu approves and is a happy baby! Thank you Pet Flow</t>
  </si>
  <si>
    <t>MICHAEL BIRCHALL</t>
  </si>
  <si>
    <t>Fast shipping and always consistent…</t>
  </si>
  <si>
    <t>Your prevention protection is not accurate. Please fix it.</t>
  </si>
  <si>
    <t>DANIEL SAMARDZICH</t>
  </si>
  <si>
    <t>Your prevention protection is not…</t>
  </si>
  <si>
    <t>Shipped to me very fast and no damage packaged well enough to prevent damage. I wish fromm allowed discounts for auto ship but I understand it is up to them to allow that. Not petflows fault at all</t>
  </si>
  <si>
    <t>FELICIA SISK</t>
  </si>
  <si>
    <t>Shipped to me very fast</t>
  </si>
  <si>
    <t>I appreciated receiving an email when the item I needed was back in stock. I waited to buy it from PetFlow because their price was so much more affordable and this service was so helpful.</t>
  </si>
  <si>
    <t>JT</t>
  </si>
  <si>
    <t>Quick shipping and great prices!</t>
  </si>
  <si>
    <t>Second time ordering prescription food, told it’s in stock and a week later they cancel the order stating it’s not in stock. Never again!</t>
  </si>
  <si>
    <t>MARIAN M</t>
  </si>
  <si>
    <t>Email notice of item I needed</t>
  </si>
  <si>
    <t>I have ordered twice and each time, the delivery has been delayed. The order this time was not properly packaged and the box was literally falling apart and patched together with more tape than cardboard. I am surprised the entire order made it here. I wondered why you are able to sell the Fancy Feast at less than everyone else and after examining the cans, I think I now know why. All the cans are dented and have different numbers indicating that they were made from different lots or perhaps at different factories. Appears to be a compilation of all the scratch and dented product. Makes me wonder about the quality of the product. Probably won’t be purchasing from you again.</t>
  </si>
  <si>
    <t>Disappointing</t>
  </si>
  <si>
    <t>Second time ordering prescription food</t>
  </si>
  <si>
    <t>Bergie</t>
  </si>
  <si>
    <t>Ordered Twice and Likely Won’t Again</t>
  </si>
  <si>
    <t>Ga B</t>
  </si>
  <si>
    <t>The sales experience was fine</t>
  </si>
  <si>
    <t>The sales experience was fine. Delivery, not so much. Again, their chosen delivery company left my very heavy package sitting in front of my garage for all to see, with no knock or ring at the door to let me know it was there (thankfully it wasn’t raining that day). I am not sure if I will order again in the future, because of who they use for shipping. I’m happy I have different companies to choose from and next time will likely shop from someone who delivers to my front porch.</t>
  </si>
  <si>
    <t>JUDY BUTTON</t>
  </si>
  <si>
    <t>The dog food came quickly</t>
  </si>
  <si>
    <t>MAKAYLA BRAIN</t>
  </si>
  <si>
    <t>Ordered 10 boxes of arm &amp; Hammer…</t>
  </si>
  <si>
    <t>Ordered 10 boxes of arm &amp; Hammer fragrance free super scoop cat litter two weeks ago never received it</t>
  </si>
  <si>
    <t>DENISE ANGELO</t>
  </si>
  <si>
    <t>It takes a very long time for shipping.</t>
  </si>
  <si>
    <t>Numerous choices at excellent prices. Fast shipping. Excellent customer service. Highly recommend.</t>
  </si>
  <si>
    <t>Starr Herscovitch</t>
  </si>
  <si>
    <t>Numerous choices at excellent prices</t>
  </si>
  <si>
    <t>I was told I would receive a tracking number for my package I placed on Friday. I did not so I called 4 days later on Tuesday at 5:30. I understand the company doesn’t work on weekends. Brian answered the phone, he was very rude when I asked for a tracking number. Saying why would they have sent it to me when it was the weekend and they close at 5 on Friday. Like I’m supposed to know that. I called Tuesday at 5:30. So no tracking number the whole day on Monday and Tuesday. This is my first time ordering from them and will be ordering from another company. Still no tracking number. The email said it would be shipped on Monday but still on Tuesday at 5:30 no tracking number and not shipped. I’m just trying to get dog food and support your business. Now I’m ordering from chewy. Also chewy is cheaper for anyone reading this. Brian should not be in customer service. He’s angry for no reason and speaks with attitude. Will not recommend to my Breeders or friends. When you order dog food online you don’t think it’s going to be delayed. Don’t use this company you’ll be wasting your time. Also we can’t get this food in stores in our area.</t>
  </si>
  <si>
    <t>Cassidy Craig</t>
  </si>
  <si>
    <t>Bad experience</t>
  </si>
  <si>
    <t>I ordered a prescription cat food where the website indicated that it was in stock. When I had not received a status update after a few days, I sent an email inquiring about the status and was told that it was out of stock, which I had suspected since it was out of stock at other online retailers. I’m disappointed that I had to reach out and that the inventory was not kept up to date.</t>
  </si>
  <si>
    <t>GAIL</t>
  </si>
  <si>
    <t>Attentive customer service</t>
  </si>
  <si>
    <t>The website doesn’t work right, horrible to navigate. I got food I didn’t order, what’s with that? Shipping was fast. Prices were good.</t>
  </si>
  <si>
    <t>SUSAN VAZ</t>
  </si>
  <si>
    <t>Inaccurate inventory</t>
  </si>
  <si>
    <t>Purchased toys for my red squirrel. He loves them. That r safe, and durable. Costumer service truly is customer service, helpful, polite, this company is a joy to deal with.</t>
  </si>
  <si>
    <t>LINDA CRANE</t>
  </si>
  <si>
    <t>The website doesn’t work right</t>
  </si>
  <si>
    <t>Great service and people! Thank you</t>
  </si>
  <si>
    <t>Karen Reed</t>
  </si>
  <si>
    <t>Small animal products</t>
  </si>
  <si>
    <t>I ordered cat food delivery on 11/2 and I am still waiting for it to be shipped to me. There has been no update.</t>
  </si>
  <si>
    <t>A.Q.</t>
  </si>
  <si>
    <t>Great service and people</t>
  </si>
  <si>
    <t>I love the products they carry, I love the communication. The only negative is that they are out of my items a lot, however I know that probably has more to do with the company who makes it than them.</t>
  </si>
  <si>
    <t>ANDREW RAMSEYER</t>
  </si>
  <si>
    <t>I ordered cat food delivery on 11/2 and…</t>
  </si>
  <si>
    <t>Products were in stock. Website was easy to use. Prices were comparable to other things online retailers.</t>
  </si>
  <si>
    <t>Nicole</t>
  </si>
  <si>
    <t>I love the products they carry</t>
  </si>
  <si>
    <t>Great products fresh free shipping
Great pricing</t>
  </si>
  <si>
    <t>Gail Pray</t>
  </si>
  <si>
    <t>Products were in stock.</t>
  </si>
  <si>
    <t>Even though the delivery company brought my package a day later than they predicted, it was still earlier than the estimated date I got when I placed my order. All items arrived in good condition and I got a very reasonable price.</t>
  </si>
  <si>
    <t>Great products fresh free shipping</t>
  </si>
  <si>
    <t>Food my pet needs was listed on your website and so I placed an order. Then a few days later received a message my order could not be filled. Items should not be listed or show as out of stock if unavailable.</t>
  </si>
  <si>
    <t>DOUGLAS ALLAN</t>
  </si>
  <si>
    <t>A very easy experience</t>
  </si>
  <si>
    <t>My order got canceled without any notification to me on 2 separate occasions. I found out by checking the website on the status of my order.</t>
  </si>
  <si>
    <t>REBECCA BROGAN</t>
  </si>
  <si>
    <t>Out of Stock Items</t>
  </si>
  <si>
    <t>I am extremely happy with the ease of ordering from you!</t>
  </si>
  <si>
    <t>My order got canceled without any…</t>
  </si>
  <si>
    <t>Ordered two times and both times it was stated in stock. After placing the order i was notified "Sorry out of stock". Worst website ever if you don't have it in stock ready to ship then don't state in stock.</t>
  </si>
  <si>
    <t>MML</t>
  </si>
  <si>
    <t>I am extremely happy with the ease of…</t>
  </si>
  <si>
    <t>ART HILER</t>
  </si>
  <si>
    <t>Ordered two times and both times it was…</t>
  </si>
  <si>
    <t>CHARLENE</t>
  </si>
  <si>
    <t>I’d never heard of Petflow</t>
  </si>
  <si>
    <t>I’d never heard of Petflow before they came up in a Google search. Very glad they did! I was able to buy some Blue Buffalo kitten food at a lower price than PetSmart, Petco, and Chewy.
I also got a bunch of my kitten’s favorite clicker training treats at a reasonable price.
I received my order within the timeframe quoted and the packaging was excellent. They used a box which was the perfect size, not overly large like so many companies do these days. I’m happy with my experience and will certainly buy from Petflow again.</t>
  </si>
  <si>
    <t>REBECCA ALDERMAN</t>
  </si>
  <si>
    <t>Love I can get pacificsource from them</t>
  </si>
  <si>
    <t>Good communication, shipped fast and great product!!</t>
  </si>
  <si>
    <t>Cary Brenchley</t>
  </si>
  <si>
    <t>I ordered and the item was not in stock but it doesn’t say that online. Then when I try to reach out to find out if/when the item will be in stock, communication was minimal to none.</t>
  </si>
  <si>
    <t>LANAY SAMUELSON</t>
  </si>
  <si>
    <t>I ordered and the item was not in stock…</t>
  </si>
  <si>
    <t>Customer service is awesome. I was having trouble using a couopon and the woman I talked with took care of it. It's important to me that my purchase will feed a doggie.</t>
  </si>
  <si>
    <t>CAROL BRONSON</t>
  </si>
  <si>
    <t>Your website said the wet cat food WAS in stock. I never received my order because you are out of the food.</t>
  </si>
  <si>
    <t>AMBUR M</t>
  </si>
  <si>
    <t>Wet cat food Was out of stock</t>
  </si>
  <si>
    <t>Always satisfied with the service I have gotten at Pet Flow. Delivered in a timely manner, packaged well and in good shape when it arrives and products we use are always available.</t>
  </si>
  <si>
    <t>DAN MARCH</t>
  </si>
  <si>
    <t>Very satisfied with Pet Flow.</t>
  </si>
  <si>
    <t>Great prices, timely delivery, and great products!</t>
  </si>
  <si>
    <t>WENDY STELMACK</t>
  </si>
  <si>
    <t>Package arrived promptly and was well-packed. Ordering was easy. The product is just what my cats love, too - and it's hard to find.</t>
  </si>
  <si>
    <t>ROBIN MUNSON</t>
  </si>
  <si>
    <t>Great Service, No Problems</t>
  </si>
  <si>
    <t>Prices great, and selection/deals appealing! preparation and shipping could be quicker. Customer Service agent was snarky.
Still choosing over Chewy -</t>
  </si>
  <si>
    <t>LilNLu’s ma</t>
  </si>
  <si>
    <t>One Above Chewy</t>
  </si>
  <si>
    <t>Speedy service with a personal touch. They also carry some brands we can’t get elsewhere. They are lifesavers!</t>
  </si>
  <si>
    <t>Frederick Irwin</t>
  </si>
  <si>
    <t>Fast delivery fair prices</t>
  </si>
  <si>
    <t>Very quick service on Fromm Dog food for our new puppy. We were not able to find this brand elsewhere &amp; happily Pet Flow was able to keep him on his regular brand .</t>
  </si>
  <si>
    <t>Gourmet Gal</t>
  </si>
  <si>
    <t>Speedy service with a personal touch</t>
  </si>
  <si>
    <t>Fraud team kept flagging my credit card and cancelling my shipment, even though I've purchased here many times and there was no issue with my bank.</t>
  </si>
  <si>
    <t>MICHAEL PRINCIPE</t>
  </si>
  <si>
    <t>Very quick service on Fromm Dog food…</t>
  </si>
  <si>
    <t>Variety of "flavors" for fancy feast wet cat food is limited right now but I was able to find what I wanted at a great price at Pet Flow. Shipping was fast</t>
  </si>
  <si>
    <t>Monica Feagan</t>
  </si>
  <si>
    <t>Fraud team kept flagging my credit card…</t>
  </si>
  <si>
    <t>The order I placed arrived on time. I question whether this product was the actual item from the original product made by another company. My beagle would not eat this brand but ate the real brand from the manufacturer. The dog food didn’t even look like the real food.</t>
  </si>
  <si>
    <t>TRACY</t>
  </si>
  <si>
    <t>Great prices on fancy Feast</t>
  </si>
  <si>
    <t>Love Science Diet pet food and love their price!</t>
  </si>
  <si>
    <t>LaDonna Swaim</t>
  </si>
  <si>
    <t>The order I placed arrived on time</t>
  </si>
  <si>
    <t>Happy with PetFlow! Good Prices, Delivered timely, packaged well!!</t>
  </si>
  <si>
    <t>Ashley</t>
  </si>
  <si>
    <t>Great price!</t>
  </si>
  <si>
    <t>My dog loves PetFlow pet food, the taste is very good, the logistics is also very fast, and the nutrition is very balanced</t>
  </si>
  <si>
    <t>MICHAEL JAMES</t>
  </si>
  <si>
    <t>Great</t>
  </si>
  <si>
    <t>Products are great, customer service is excellent, shipping is fast! Thank you very much!</t>
  </si>
  <si>
    <t>Jordan Rogers</t>
  </si>
  <si>
    <t>My dog loves PetFlow pet food</t>
  </si>
  <si>
    <t>Shelly</t>
  </si>
  <si>
    <t>ASHLEY P.</t>
  </si>
  <si>
    <t>Seems like a decent startup</t>
  </si>
  <si>
    <t>Pros: very wide selection of dog and cat items. I think you could probably find what you would get at any other pet-retailer, comparable prices, the website was easy enough to navigate and there were discount codes available.
Cons: the autoship that I set up did not get shipped until about 6 days after the chosen date. The packaging is not as environmentally friendly as I had hoped - lots of plastic “air pockets” that really can’t be recycled. Customer service interactions were odd. I sent an email asking when my shipment would be sent out and the auto-reply started with the line “During these difficult times…”. Difficult times for the company? For humanity? For me? It was just bizarre and I’m surprised that whoever came up with that got it approved. A few days later I received an email from an actual agent asking for my order number because they couldn’t find the info. How can you not find my info? What type of record-keeping system are you using that you can’t look up a client and see all of their purchases and the statuses?
Overall, the cons feel like growing pains. I work for a startup and I understand how those earlier days can be. I’ll continue purchasing from them. At the end of the day, I was able to purchase what I wanted at a discounted price and the items arrived in a reasonable time frame. So, overall a decent first impression.</t>
  </si>
  <si>
    <t>bobbi</t>
  </si>
  <si>
    <t>I will forever be a customer</t>
  </si>
  <si>
    <t>I will forever be a customer. Food gets here fast and helps other dogs in need every time you purchase. Plus I prefer to support a small business! Highly recommend and have passed on to friends!</t>
  </si>
  <si>
    <t>SOPHIE BROOKS</t>
  </si>
  <si>
    <t>Was able to place my order easily. The only issue was a slight delay in delivery due to warehouse stocking. I was quickly notified that my delivery would arrive a day later and I was delighted when it did.</t>
  </si>
  <si>
    <t>ROMAN BOWSSER</t>
  </si>
  <si>
    <t>I placed an order and two days later I…</t>
  </si>
  <si>
    <t>I placed an order and two days later I received an email from you saying something like your fraud review team advised you not to fill my order. No explanation. I've never had anything like this happen to me before.</t>
  </si>
  <si>
    <t>REYVONNA WHITE</t>
  </si>
  <si>
    <t>My orders are always on time</t>
  </si>
  <si>
    <t>My orders are always on time. If not I’m promptly notified. Expectations are properly set .</t>
  </si>
  <si>
    <t>MO</t>
  </si>
  <si>
    <t>I love the company but communication is…</t>
  </si>
  <si>
    <t>I love the company but communication is bad. I’ve had a standing order for a long time and they where unable to fill the dog food. There was no communication or replacement. I had to place this order on my own. Very disappointed.</t>
  </si>
  <si>
    <t>RH</t>
  </si>
  <si>
    <t>The order was processed as always</t>
  </si>
  <si>
    <t>The order was processed as always, however, I was surprised it took so long to receive. I used to order and get it within 1-2 days. This time it took 5.</t>
  </si>
  <si>
    <t>Yvette</t>
  </si>
  <si>
    <t>On time delivery</t>
  </si>
  <si>
    <t>On time delivery, and ease of use website.</t>
  </si>
  <si>
    <t>PERLA BUCHSBAUM</t>
  </si>
  <si>
    <t>Efficient Service &amp; Speedy Delivery</t>
  </si>
  <si>
    <t>The product I was looking for was available, and was able to place my order without a hassle</t>
  </si>
  <si>
    <t>It was great service and my stuff was…</t>
  </si>
  <si>
    <t>It was great service and my stuff was delivered quickly</t>
  </si>
  <si>
    <t>Paula Brock</t>
  </si>
  <si>
    <t>I love PetFlow!</t>
  </si>
  <si>
    <t>I just recently discovered PetFlow and they provided me with the best price, customer service, and speedy delivery for the item that I was looking for! I will definitely choose PetFlow for future purchases!</t>
  </si>
  <si>
    <t>STEVEN C.</t>
  </si>
  <si>
    <t>PetFlow is the best!</t>
  </si>
  <si>
    <t>Great customer service and dog food arrived on time.</t>
  </si>
  <si>
    <t>Donna Grubbs</t>
  </si>
  <si>
    <t>Shipping was quick!</t>
  </si>
  <si>
    <t>Shipping was quick, my order was accurate! Customer service is fantastic!</t>
  </si>
  <si>
    <t>HappyCamper</t>
  </si>
  <si>
    <t>Never again</t>
  </si>
  <si>
    <t>Terribly disappointed with this retailer. Order was confirmed yet I never received a shipping notification. When I requested a status update, was told their Fraud Prevention team suggested not filling the order. What a load of crap. I use the identical payment source on a daily basis without issues. Or did they not actually have product to fulfill the order? Will never know. I invest quite a bit of money monthly for pet care and was hoping to have a new source in PetFlow. Never again. Their loss.</t>
  </si>
  <si>
    <t>NAJA AYERS</t>
  </si>
  <si>
    <t>Updated Nov 24, 2022</t>
  </si>
  <si>
    <t>Received my items in only 3 days!</t>
  </si>
  <si>
    <t>Easy to order, and I received everything very fast,with free shipping. I'm planning on buying more pet items from this site for sure! It's rare that you receive ordered things within 3 days from most pet sites for free, unless you pay.</t>
  </si>
  <si>
    <t>Randi K</t>
  </si>
  <si>
    <t>Great, quick service</t>
  </si>
  <si>
    <t>I needed to get my prescription pet food that was sold out everywhere. This was the only place that had it. Submitting my vet info for the prescription was easy, and the food arrived quickly.</t>
  </si>
  <si>
    <t>CHRISTINE SWISZCZ</t>
  </si>
  <si>
    <t>Company was great in fulfilling my…</t>
  </si>
  <si>
    <t>Company was great in fulfilling my order of Hills RX Derm Complete dry dog food. Although a delay between veterinarian to PetFlow in the timeliness of my order, some of that was beyond Petflow’s control. Once things were in order, the order came as expected and overall, I was happy with the experience.</t>
  </si>
  <si>
    <t>Anja Metz</t>
  </si>
  <si>
    <t>Competitive prices and good service</t>
  </si>
  <si>
    <t>Competitive prices, good selection of bird food, quick shipping.</t>
  </si>
  <si>
    <t>REBECCA SOTO</t>
  </si>
  <si>
    <t>My order is constantly being canceled</t>
  </si>
  <si>
    <t>My order is constantly being canceled. Why can't I stay on a list until the product is back in stock so it can be shipped to me.</t>
  </si>
  <si>
    <t>JULIE HAGEN-CHURCHMAN</t>
  </si>
  <si>
    <t>Honored competitor pricing - thank you!</t>
  </si>
  <si>
    <t>For over a year, I have an auto-subscribe food order. The price went up on the food and I reached out to see if you would honor a competitor's price. Without hesitation, you did!!! Thank you so much for your superior customer service AND quick and seamless order/delivery.</t>
  </si>
  <si>
    <t>JEANNE MARIE THALLMAYER</t>
  </si>
  <si>
    <t>All around best pet supply company</t>
  </si>
  <si>
    <t>The web site is easy to use. Great deals on all pet supplies. Wide variety of pet foods especially for what I need for my Cavalier. I recommended PetFlow to all my pet parents.</t>
  </si>
  <si>
    <t>ROBIN SCHMINCKE</t>
  </si>
  <si>
    <t>Ordered cat food on sale</t>
  </si>
  <si>
    <t>Ordered cat food on sale. 5 cases, received email item was out of stock. Very disappointed. Should have been offered sale price when item returned to stock</t>
  </si>
  <si>
    <t>Candy and Brian</t>
  </si>
  <si>
    <t>Wonderful</t>
  </si>
  <si>
    <t>Wonderful, fast FAST</t>
  </si>
  <si>
    <t>Valerie</t>
  </si>
  <si>
    <t>Had to inquire whether or not my order…</t>
  </si>
  <si>
    <t>Had to inquire whether or not my order had shipped, which it hadn’t. Inquired twice and was told both times had not been shipped. On the second inquiry I also asked that if it was not going to be shipped today (11/8/22) to cancel. Interestingly, it has been shipped today.</t>
  </si>
  <si>
    <t>JOYCE BARBER</t>
  </si>
  <si>
    <t>i have a difficult time finding this…</t>
  </si>
  <si>
    <t>i have a difficult time finding this product and PETFLOW had what I needed, Fast delivery</t>
  </si>
  <si>
    <t>JENNIFER H</t>
  </si>
  <si>
    <t>Great prices, fast shipping and they actually have the dog food I need in the right size bag that I can't find anywhere else! So glad I stumbled upon this company!</t>
  </si>
  <si>
    <t>Ordered food</t>
  </si>
  <si>
    <t>Ordered food. Got message later that it was out of stock. So website isn't accurately updated. Waited as they said they would ship as soon as they got it in stock. Then I got a message that they canceled my order. So this was the first and last time I will try this site.</t>
  </si>
  <si>
    <t>ron henderson</t>
  </si>
  <si>
    <t>quick quick delivery and a free toy</t>
  </si>
  <si>
    <t>quick quick delivery after several deliveries of same order, 8 lb bag of prescription dry cat food, the shipping box holding the bag has become more compact and instead of a 20 foot long of brown packing paper crumpled and wrapped around the bag to fend off damage (makes a great tail come halloween) has been replaced by a 3 foot by 7 inch bubble pack with 5 bubbles- oh yeh kittens turned it into a toy</t>
  </si>
  <si>
    <t>sal quintero</t>
  </si>
  <si>
    <t>Petflow = pet love</t>
  </si>
  <si>
    <t>I love petflow. I prefer them to chewy and petsmart. I feel like they are geared more towards the consumer and their pets and not political posturing. I buy for my pets and want a company committed to my pets.</t>
  </si>
  <si>
    <t>brent mccaig</t>
  </si>
  <si>
    <t>CSR told me my card was fraudulent and…</t>
  </si>
  <si>
    <t>CSR told me my card was fraudulent and my order would not ship. I bought dog food from another place and then I notice PetFlow had shipped my order after telling me it was cancelled. I won’t shop here again.</t>
  </si>
  <si>
    <t>Richard Beard</t>
  </si>
  <si>
    <t>A Swift Smooth Transaction</t>
  </si>
  <si>
    <t>Easy to order.
My order was a repeat order and the site made it easy to identify the previous order.
the site facilitated the scanning for coupons which gave me a discount.
Communications regarding order placement, shipping and delivery were timely and accurate.
The item delivered was as ordered.
Overall a swift smooth transaction.
Highly recommended.</t>
  </si>
  <si>
    <t>Christopher Munns</t>
  </si>
  <si>
    <t>We’ve been using PetFlow for many years…</t>
  </si>
  <si>
    <t>We’ve been using PetFlow for many years now and every aspect of their service has always been amazing. Premium kibble, reasonable price and product arrives quickly!</t>
  </si>
  <si>
    <t>JULIE R.</t>
  </si>
  <si>
    <t>Consistent delivered quickly and quality cat food</t>
  </si>
  <si>
    <t>Always delivered quickly and you carry high quality cat food! Thank you!</t>
  </si>
  <si>
    <t>MARY LEADER</t>
  </si>
  <si>
    <t>Delivered quickly</t>
  </si>
  <si>
    <t>I ordered a couple hundred dollars worth of stuff. All but 2 items were unable to be shipped and on backorder. Why do they have items listened that they clearly don't have in stock? One or two items - ok. But pretty much my entire order? You might want to call and ask if they have the items you want before ordering. What a joke.</t>
  </si>
  <si>
    <t>Jasmine Williams</t>
  </si>
  <si>
    <t>Website Lists Items They Don't Have</t>
  </si>
  <si>
    <t>Main complaint - Damaged cans over and over again.
I have been told to call and requests additional packing, additional boxes, email notifications on auto ship status. I do all these things and still petflow comes up short.
If something is out of stock at the time of shipping not at the time of ordering. Zero communication even though petflow has charged your card.
Repeated damaged shipments regardless of my continuous phone calls to them requesting split shipments and additional packing as they themselves told me to do. Every time I call it is a different excuse.
I've had credits applied to my account and assured they will be applied to my next order. NO, I have to call and make sure they do it. Sometimes they can't find it, have to hunt for it, and blame someone else that works there for the error.
After repeatedly calling in and telling them about dented cans arriving here, and the external boxes showing no damage, calling in prior to shipping and requesting two boxes and additional packaging (as they told me to do) still damage. They don't listen and have a book full of excuses.
The last order just two days ago and the previous order had many dented cans and many orders before. Some actually crushed top to bottom. Not the manufacturers fault I checked. So who FedEx? I really don't care who's to blame. I want quality product delivered to my door step and proper treatment. You could learn a thing or two from Amazon.
This last order had 17 dented cans out of 48. That's bad.
Correct the problem both in your shipping department and your customer service department before you lose business.</t>
  </si>
  <si>
    <t>DobetterBIleave</t>
  </si>
  <si>
    <t>Damage Goods</t>
  </si>
  <si>
    <t>Spoke with a rep named Ryan and he was extremely rude and hung up after saying have a good day because he couldn’t answer my questions about a product pet flow says they have in stock.</t>
  </si>
  <si>
    <t>KHAIRUL ALAM</t>
  </si>
  <si>
    <t>Spoke with a rep named Ryan and he was…</t>
  </si>
  <si>
    <t>Products were damaged and Petflow replaced them immediately l</t>
  </si>
  <si>
    <t>KATHRYN MARSHBURN</t>
  </si>
  <si>
    <t>Everything as described. Fast service</t>
  </si>
  <si>
    <t>Anatoly Tokar</t>
  </si>
  <si>
    <t>Everything as described</t>
  </si>
  <si>
    <t>I like that shipment can happen the same same day as the order date. Delivery is fast! Packaging can be better as I’ve gotten several dented cans.</t>
  </si>
  <si>
    <t>Mia’s Mommy Nunez</t>
  </si>
  <si>
    <t>I like that shipment can happen the…</t>
  </si>
  <si>
    <t>IRAIDA TRUSOVA</t>
  </si>
  <si>
    <t>This company has very quickly response…</t>
  </si>
  <si>
    <t>This company has very quickly response and nice service,people are very friendly and helpful.</t>
  </si>
  <si>
    <t>Lily</t>
  </si>
  <si>
    <t>I ordered prescription food for my sick…</t>
  </si>
  <si>
    <t>I ordered prescription food for my sick cat, submitted my vet’s prescription with the order, made the payment, and my vet confirmed it was approved the same day. It’s NOT on backorder, but it has now been two weeks and my order still hasn’t shipped or been delivered. And I haven’t received any responses to my inquiries.</t>
  </si>
  <si>
    <t>Phyllis Beasley</t>
  </si>
  <si>
    <t>I get the brand I want and don’t have to hunt the stores for it.</t>
  </si>
  <si>
    <t>Having the dog food delivered takes a large load off my schedule. The delivery people are very courteous and friendly.</t>
  </si>
  <si>
    <t>CAROL CLARKE</t>
  </si>
  <si>
    <t>Auto ship beeare</t>
  </si>
  <si>
    <t>I had paused my auto ship then ordered what I needed. 2weeks later I have ANOTHER shipment of 26 lbs of dog food.</t>
  </si>
  <si>
    <t>M. Savage</t>
  </si>
  <si>
    <t>Inconsistent</t>
  </si>
  <si>
    <t>Petflow is unfortunately very inconsistent with their delivery. We recently received 2 orders within 3 days after not getting anything for approximately 6 weeks.</t>
  </si>
  <si>
    <t>ANGELA WHITE</t>
  </si>
  <si>
    <t>Great service Had the product I needed</t>
  </si>
  <si>
    <t>Great service Had the product I needed. Shipped and received in very reasonable time. I will shop with Petflow again.</t>
  </si>
  <si>
    <t>P. Rick</t>
  </si>
  <si>
    <t>Two orders placed at different times</t>
  </si>
  <si>
    <t>Two orders placed at different times, showed in stock. Gave all my billing info, got confirmation of order. A week later got an email "order canceled" due to no stock. My cat needed this food ASAP &amp; was quite disappointed that it took a week to notify me. TWO TIMES they did this. I will not count on PetFlow again, instead I will shop elsewhere.</t>
  </si>
  <si>
    <t>WILLIAM BAUMGARTNER</t>
  </si>
  <si>
    <t>As usual many of the cans were dented…</t>
  </si>
  <si>
    <t>As usual many of the cans were dented in shipping, I assume. Makes it difficult to stack and store.
May not order again.</t>
  </si>
  <si>
    <t>I had a issue with my picky cat</t>
  </si>
  <si>
    <t>I had a issue with my picky cat. He would not eat the food I purchased. I contacted them, and they helped me out.</t>
  </si>
  <si>
    <t>TraM</t>
  </si>
  <si>
    <t>Great product and shipping was fast</t>
  </si>
  <si>
    <t>Great product and shipping was fast. They communicated every step of the way. Will definitely order from them again.</t>
  </si>
  <si>
    <t>MIKE L.</t>
  </si>
  <si>
    <t>Name Changer</t>
  </si>
  <si>
    <t>The discount on my order the order itself and the delivery time are all 5 star
( maybe you should change the name from PetFlow to 5 star</t>
  </si>
  <si>
    <t>CHRISTINE J</t>
  </si>
  <si>
    <t>I appreciate that I can quickly reach a…</t>
  </si>
  <si>
    <t>I appreciate that I can quickly reach a customer service representative on the phone when I have a question about a product or an order, and I'm glad that PetFlow donates food to needy animals. I also like that PetFlow is not connected to companies that sell live animals. However, on my last two orders, I needed to call customer services to address, respectively, a delivery delay and an incorrect credit card charge.</t>
  </si>
  <si>
    <t>SANDRA BOYAS</t>
  </si>
  <si>
    <t>Notify Me Please About Sending Prior To</t>
  </si>
  <si>
    <t>While I needed this product and was up on its delivery time, I'd like pre notification of sending. This allows me to plan about being home etc.</t>
  </si>
  <si>
    <t>DIANE R</t>
  </si>
  <si>
    <t>Order Hasn't Arrived - Not Processed Properly</t>
  </si>
  <si>
    <t>I ordered a prescription diet for my cat and accidentally typed the incorrect vet in for the prescription referral - one that has a very similar name as that of my vet. Petflow emailed me that the vet didn't have any records of my cat - and I when contacted them, confused, I found out why.
I talked with someone in customer service, gave the correct name of the vet, and the customer service rep said he would process the reorder. I explained that I was nearly out of food and asked if it could be expedited, but they don't do that.
However, the food hasn't arrived - it should have come this week. I just checked my order and it was cancelled. Never reprocessed like the customer service rep said he would do.
I am completely out of food - just reordered it now because Chewy, who I usually purchase from, doesn't even have the food. This is not good for my cat to be going so long without the proper food.</t>
  </si>
  <si>
    <t>GINA ANDREWS</t>
  </si>
  <si>
    <t>Your website needs to be better…</t>
  </si>
  <si>
    <t>Your website needs to be better maintained. I ordered product listed as being in stock, and got a confirmation email. Then two days later ordercwas cancelled with no explanation. I called and the only reason you got 3 stars is customer support was so nice. However, the product, I was told had been out of stock for a while. So, you wasted a week of my time</t>
  </si>
  <si>
    <t>JOHN AMBROSE</t>
  </si>
  <si>
    <t>Merrick Lil Plates</t>
  </si>
  <si>
    <t>Items that were on backorder were listed as "in stock" on the website. Customer service wasn't helpful, couldn't say when the items might be back in stock. Called back to cancel the order after finding the items cheaper on Amazon and was told that the items were already back in stock and were processing, my order couldn't be canceled. I was later informed by email that my order had been canceled and a refund issued.</t>
  </si>
  <si>
    <t>MJ</t>
  </si>
  <si>
    <t>DON’T BOTHER ORDERING, THEY’LL JUST CANCEL IT!</t>
  </si>
  <si>
    <t>I have tried to order cat food at least 4 times this year from Petflow and they have canceled every order due to supply shortages even though when I placed my orders the food showed on the website as in stock. It has been very frustrating and I am tired of wasting my time ordering from them when they don’t have the products in stock as their website indicates.</t>
  </si>
  <si>
    <t>N. Lucci</t>
  </si>
  <si>
    <t>Updated Nov 6, 2022</t>
  </si>
  <si>
    <t>BE NICE to REPEAT CUSTOMERS !!</t>
  </si>
  <si>
    <t>I placed an order - and signed-up for •ongoing• orders, but the NEXT EMAIL I received was one offering a DISCOUNT that was NEVER offered to me ?!? until *AFTER* I ordered and signed on for “REAPEAT ORDERS*?!
THATS TERRIBLE !!
That is #NOT a way to do business with REPEAT customers!!!</t>
  </si>
  <si>
    <t>MELISSA RICHARD</t>
  </si>
  <si>
    <t>Both times that I have ordered from…</t>
  </si>
  <si>
    <t>Both times that I have ordered from petflow my orders had delayed shipping dispite me calling and emailing them.</t>
  </si>
  <si>
    <t>CARRIE ROBERTS</t>
  </si>
  <si>
    <t>I placed an order online because it…</t>
  </si>
  <si>
    <t>I placed an order online because it showed the item in stock. I didn't receive any notifications that it wasn't in stock until I emailed in a query. At that point, all I received was a notification that my order was canceled, again with no reason as to why. Very frustrating.</t>
  </si>
  <si>
    <t>DENISE ANDERSON</t>
  </si>
  <si>
    <t>Signed up and waited 9 days to learn you don't have the product</t>
  </si>
  <si>
    <t>I would not have provided my personal information if I had known you don't have what I need. Not happy .</t>
  </si>
  <si>
    <t>Jane</t>
  </si>
  <si>
    <t>PetFlow has grown on me</t>
  </si>
  <si>
    <t>PetFlow has grown on me. I have used their competitor for a long time but tried PetFlow when I initiated a food change. I have found PetFlow to be responsive and helpful. Quite honestly, I feel their service has continued to improve over the time I have been using them. They</t>
  </si>
  <si>
    <t>HEATHER THACKER</t>
  </si>
  <si>
    <t>Wonderful company!</t>
  </si>
  <si>
    <t>Great product and shipping times! I'm so happy to have found this company!</t>
  </si>
  <si>
    <t>Very knowledgeable and helpful…</t>
  </si>
  <si>
    <t>Very knowledgeable and helpful assistance over the phone. Quality product. Prices can't be beat.</t>
  </si>
  <si>
    <t>TOM W</t>
  </si>
  <si>
    <t>good service</t>
  </si>
  <si>
    <t>The item I needed was in stock, priced better than the competition, and arrived timely as needed.</t>
  </si>
  <si>
    <t>Lynn</t>
  </si>
  <si>
    <t>Recently I ordered over $200 in treats. They came in one large box, and half of the treats (raw, freeze dried) had turned to “dust” in their packages. It was likely due to rough handling during shipping. That had never happened before, and I’ve been ordering treats from PetFlow for years. I called Customer Service, and they shipped replacements the next day. I was so impressed! I can always count on PetFlow to deliver what I order, to give great value, and now I know they also believe in making right whatever may go wrong. Thanks!!</t>
  </si>
  <si>
    <t>Miss Christine</t>
  </si>
  <si>
    <t>Can’t recommend. They could care less if you order or not!</t>
  </si>
  <si>
    <t>I guess my card was declined- for my second order of Fromms cat food- 2 cases. But instead of telling me by text? Email? Call? I was just ignored. When I was down to one lonely can and wondering where my cat food was…I emailed- no response to my question. Just a we’ll get back to you later. Then, I called, and found out the problem. OHMY… the person I spoke with could care less if I ordered or not. She actually said my card would be declined again if we tried it again. True, but I have other cards. She Told me if it came NJ would take at least a week to California. If Las Vegas, a day. But she didn’t know or wasn’t able to tell where it would come from. So…I Bought 2 cases of Fromm from the pet store down the street. Should have done that in the first place, I guess. Got a big piece of “I could care less” from PetFlow.</t>
  </si>
  <si>
    <t>Jim Russo</t>
  </si>
  <si>
    <t>Don’t bother</t>
  </si>
  <si>
    <t>Your website lied and said a product was in stock when it wasn’t. We ordered it and heard nothing from you. I had to call several times and then I was finally told my order was canceled because it was back ordered. So was it never in stock to begin with? I’ll never order or attempt to order through your company again.</t>
  </si>
  <si>
    <t>NELSON TIBURCIO</t>
  </si>
  <si>
    <t>Slight Issue Resolved Quickly</t>
  </si>
  <si>
    <t>I had a slight issue with a couple of the cans that were shipped and the customer service representative said they would issue a credit on my next order. Very professional and courteous service!</t>
  </si>
  <si>
    <t>LINDA RANKIN</t>
  </si>
  <si>
    <t>My order was cancelled and I did not…</t>
  </si>
  <si>
    <t>My order was cancelled and I did not know it no email, nothing, I had to log into my account to find out. I have re-ordered and hopefully product will be sent.</t>
  </si>
  <si>
    <t>PHIL DAHLQUIST</t>
  </si>
  <si>
    <t>Everything… I always need personal help…</t>
  </si>
  <si>
    <t>Everything… I always need personal help with my orders, which usually include a prescription for my cat. The prescription I have, is a open one, that I usually have to send a picture of, and PetFlow seems the only online site that will talk to me personally in order to get this done (as opposed to taking the cat to the vet each time and having to pay $150 to $300)</t>
  </si>
  <si>
    <t>Russ</t>
  </si>
  <si>
    <t>great serviceThe people on the phone are friendly…</t>
  </si>
  <si>
    <t>The people on the phone are friendly and helpful.</t>
  </si>
  <si>
    <t>NOEL HIRSCH</t>
  </si>
  <si>
    <t>What a great business to work with</t>
  </si>
  <si>
    <t>What a great business to work with. When I made an error, and ordered the wrong food - customer service was happy to take it back and get me the right food.
What a pleasure to work with such nice and helpful staff. A most unusual treat today!</t>
  </si>
  <si>
    <t>Gene Smith</t>
  </si>
  <si>
    <t>My order was shipped in record time.</t>
  </si>
  <si>
    <t>i originally ordered a 24 can case of c/d chicken stew and a 24 can case of c/d tuna stew and was told that they were both in stock. about a week later i got the case of chicken stew but but still am waiting for the case of tuna stew. i just called a little while ago to see why the case ot tuna stew hasen't shipped yet and was told that it was out of stock. number one,why was i told that it was in stock when i originally ordered it and now i'm told it's out of stock. did they ship my order to someone else. second, that's for giving me a heads up that it is,all of a sudden,out of stock. my cat really needs this food. it is the only thing she can eat.</t>
  </si>
  <si>
    <t>A.H.(Chico)Tose</t>
  </si>
  <si>
    <t>very disappointed</t>
  </si>
  <si>
    <t>Excellent product I've been buying from them for years, and fast service!</t>
  </si>
  <si>
    <t>Maitri Libellule</t>
  </si>
  <si>
    <t>Excellent product I've been buying from…</t>
  </si>
  <si>
    <t>I ordered 2 cases of the hills cd wet can food. One stew and one fish. I only received the stew? My invoice shows that I was charged for both.
But no explanation on why I didn’t get the full order!</t>
  </si>
  <si>
    <t>Pauly</t>
  </si>
  <si>
    <t>Frustrating</t>
  </si>
  <si>
    <t>Wanted to order dog kibble but the price on the "select" and description page was $56.06 but when I started processing the order the cart jumped it to $59.07. I called and explained the problem -the guy hung up on me. I called again and the second guy also hung up on me. Petflow will never see another order for anything from this family.</t>
  </si>
  <si>
    <t>HR Teel</t>
  </si>
  <si>
    <t>Up-priced in the cart and customer service simply hung up on me</t>
  </si>
  <si>
    <t>Would give this company zero stars if possible. Have ordered from Chewy, Petco, Pet Nirvana and VetSource with absolutely no issues whatsoever using the same credit card I used for PetFlow. However twice PetFlow cancelled my order WITH NO NOTICE (I didn't discover until I contacted them to see why 2 weeks later my orders still hadn't arrived). I only ordered from them because the cat food I needed wasn't available through other vendors. They told me their security system red flagged my account. What does that mean? Probably that they were out of the food I ordered but don't update their website to prevent an order going through on an out of stock item. RUN AWAY!!!</t>
  </si>
  <si>
    <t>Happy Camper</t>
  </si>
  <si>
    <t>Would give this company zero stars if…</t>
  </si>
  <si>
    <t>I have tried to order food for my cat 3 times. Each time the order being cancelled because they did not have the product in stock I didn’t understand why the would show a product in stock when in fact they didn’t have it</t>
  </si>
  <si>
    <t>No cat food</t>
  </si>
  <si>
    <t>Marcela Reilly</t>
  </si>
  <si>
    <t>Great product</t>
  </si>
  <si>
    <t>Great product, exactly how it was described.
Works great for my dogs.</t>
  </si>
  <si>
    <t>Vickie Mullins</t>
  </si>
  <si>
    <t>Fast delivery and fair prices</t>
  </si>
  <si>
    <t>So glad I found this company! Products in stock and ships quickly! Appreciate the great service!</t>
  </si>
  <si>
    <t>KIMBERLY MCBRIDE</t>
  </si>
  <si>
    <t>So glad I found this company</t>
  </si>
  <si>
    <t>I was never told you did not have the product in-stock I ordered it and my debit card was charged. Three days later I was told you were out of stock and refunded me. Next time tell me you were out of stock and don't make me go through the process of ordering something you clearly dis not have in stock.</t>
  </si>
  <si>
    <t>Tam</t>
  </si>
  <si>
    <t>Items Ordered</t>
  </si>
  <si>
    <t>Both Orders was delivered on time. PetFlow provides a tracker number so that you can track your order. Items in both boxes came spill-proof, and dog food bags were tightly sealed. PetFlow also offered me 10% off both of my boxed items. Thus-far, our house Yorkipoo and Maltese both like the Salmon and lentils, along with the Turkey and Sweet Potato grain-free dog food. Glad that I didn't waste my money. I have only tried the Elanco Advantage Flea &amp;Tick Shampoo on both dogs and so far, it seems to have some works to it, but with more time, I"m sure it will be much more powerful with lessing their dog itches.</t>
  </si>
  <si>
    <t>MAHMOUD ALNAJAR</t>
  </si>
  <si>
    <t>Very good!!!</t>
  </si>
  <si>
    <t>It is nice product!!!</t>
  </si>
  <si>
    <t>RITA DEFRANCO</t>
  </si>
  <si>
    <t>Updated Oct 6, 2022</t>
  </si>
  <si>
    <t>Worst customer service I have ever experienced</t>
  </si>
  <si>
    <t>Pet flow kept canceling my order and asking me to resubmit it even though it was out of stock. They gave me deep discounts on the order but they were never able to deliver it. This is a serious situation because my cat cannot live without her prescription food. They said a manager would call but they never did. I ordered from Chewy and they delivered the order within 24 hours on a weekend. Thanks to Chewy my cat is alive. Do not order from pet flow, they will not fulfill your order. They are unprofessional and their customer service is The worst I have ever experienced!! I would give them less than one star but I do not have that option.</t>
  </si>
  <si>
    <t>JAQUELINE BUGALLO PASCUCCI</t>
  </si>
  <si>
    <t>excellent</t>
  </si>
  <si>
    <t>hello
I really enjoyed the experience of shopping with PetFlow
at first the purchase was cancelled because the product was out of stock. Pet Flow solved the issue, I was informed at every step. The prices are very competitive...
I can say that PetFlow is my favorite store now.</t>
  </si>
  <si>
    <t>Janesa Calone</t>
  </si>
  <si>
    <t>Customer service is great</t>
  </si>
  <si>
    <t>Customer service is great. Delivery is a bit slow. Order shipped September 19 and it’s September 29th and I still do have my item.</t>
  </si>
  <si>
    <t>D. C.</t>
  </si>
  <si>
    <t>Why I chose Petflow</t>
  </si>
  <si>
    <t>Cheapest place to purchase my dogs Fromm dog food, and it always arrives on my doorstep fresh. I feel confident in purchasing with Petflow.</t>
  </si>
  <si>
    <t>ROSE H., Arkansas</t>
  </si>
  <si>
    <t>I was pleased to find what I needed at…</t>
  </si>
  <si>
    <t>I was pleased to find what I needed at a good price but also saw a number of things that were much higher than on other sites. My order was shipped within 48 hrs and arrived in good condition. I appreciate the messages keeping me informed every step of the way and there are good offers sent to me. I would use Petflow again.</t>
  </si>
  <si>
    <t>LEROY FHLUG</t>
  </si>
  <si>
    <t>You place sucks</t>
  </si>
  <si>
    <t>Thank goodness for Petflow! I needed prescription treats I could not find any where, even my vet’s office was out. I had not heard of Petflow before and you came to me and my lab Bella’s rescue! FAST shipping. Thank you! We appreciate you so much! We will be back!</t>
  </si>
  <si>
    <t>CHARLENE GALLARDO</t>
  </si>
  <si>
    <t>Thank goodness for Petflow</t>
  </si>
  <si>
    <t>An honest, informative explanation. My cats appreciate it. Please send me your list of US cat food manufacturers. I fiddled with your email until I couldn’t view it or print it.
Thanks,</t>
  </si>
  <si>
    <t>WALT HUNT</t>
  </si>
  <si>
    <t>Honest Reply, informative</t>
  </si>
  <si>
    <t>Love this cat tower! My girls have a great time climbing and lounging. It's very sturdy and was delivered promptly. Thank you!!</t>
  </si>
  <si>
    <t>Love this cat tower</t>
  </si>
  <si>
    <t>Great products and reviews that help pet parents. Too bad items don’t ship during the weekend. Great products and resources. Thanks.</t>
  </si>
  <si>
    <t>Daniel Glunt</t>
  </si>
  <si>
    <t>Great products and reviews that help…</t>
  </si>
  <si>
    <t>They were very helpful &amp; my Cat food was delivered on time.</t>
  </si>
  <si>
    <t>SUE MOGLE</t>
  </si>
  <si>
    <t>They were very helpful &amp; my Cat food…</t>
  </si>
  <si>
    <t>It took longer that buying it directly or with other companies</t>
  </si>
  <si>
    <t>ADA FRASCA</t>
  </si>
  <si>
    <t>It took longer that buying it directly…</t>
  </si>
  <si>
    <t>I have been getting auto deliveries for many years. Recently went on line to order and set up a new auto delivery for new puppy. My ship to address was no longer correct. I FIXED IT! Went to order the food and it flipped back to the bill to address. I FIXED IT!, but the order still shipped to wrong address. I called and customer service tried to change the delivery address, but it still delivered to wrong address. I called and the guy said tough luck. No way did the system work incorrectly and change my address to the bill to. I still do not have the food. I bought some locally. The bill to address is 2 hrs away and I rarely go there. I will not be ordering from you guys again. Not exactly sure of the date.</t>
  </si>
  <si>
    <t>MARSHA MUELLER</t>
  </si>
  <si>
    <t>wrong address</t>
  </si>
  <si>
    <t>PetFlow is great! I place my order within 4 days I have dog food. Sooo convenient to have it shipped right to your door. I’ve been doing business with them now for 2 years and will continue.</t>
  </si>
  <si>
    <t>Jill</t>
  </si>
  <si>
    <t>If I could give it zero I would. They never contacted the vet, despite giving them fax, phone and email and contacting them on multiple occasions. I have a prescription for the same dog food, but I tried ordering snacks. I have a prescription for the dog food. It works for snacks as well according to my vet, Petsmart and Chewy.com. Still if you require a separate authorization, get in touch with my vet. I have no trouble reaching mathematician. After 10 days, still no authorization.</t>
  </si>
  <si>
    <t>RIA</t>
  </si>
  <si>
    <t>If I could give it zero I would</t>
  </si>
  <si>
    <t>Fast Shipping and Good Prices for hard to find dog food!</t>
  </si>
  <si>
    <t>RONALD GARLICK</t>
  </si>
  <si>
    <t>Fast Shipping and Good Prices for hard…</t>
  </si>
  <si>
    <t>Great selection, timely shipping. The boxes are still crap. They show up half open, beaten up, sometimes too small for the bags of food, causing them to be ripped open. If I could get Nutrisource food somewhere convenient, I would not use Petflow.</t>
  </si>
  <si>
    <t>Rick</t>
  </si>
  <si>
    <t>Great selection, but…..</t>
  </si>
  <si>
    <t>I ordered some thing and the order was approved, by the vet because it was a prescription. Then I found out five days later that the order was not being fulfilled because it was out of stock. It seems as if the company should know what it has and doesn’t have in stock before it accepts an order.</t>
  </si>
  <si>
    <t>Jennifer Abbott-Walker</t>
  </si>
  <si>
    <t>I ordered some thing and the order was…</t>
  </si>
  <si>
    <t>Have spoken to 5 people to get an order of dry dog food on auto ship to no avail. Process started late Aug, with everyone saying it would ship asap. I still do not have it. I don’t understand what the problem is.</t>
  </si>
  <si>
    <t>CANDEE ZENKLUSEN</t>
  </si>
  <si>
    <t>Have spoken to 5 people to get an order…</t>
  </si>
  <si>
    <t>My cat needs prescription Hills y/d. After going thru the verification process &amp; stopping my search I was told you couldn't source it. Wasted time waiting. I was informed after the fact, wish I had known in the beginning.</t>
  </si>
  <si>
    <t>TIMMY BJORKQUIST</t>
  </si>
  <si>
    <t>My cat needs prescription Hills y/d</t>
  </si>
  <si>
    <t>I’ve been using Petflow for quite a while now and have had nothing but positive experiences! Generally, I receive my order in about four days or less.</t>
  </si>
  <si>
    <t>WILLIAM G</t>
  </si>
  <si>
    <t>I’ve been using Petflow for quite a…</t>
  </si>
  <si>
    <t>Captain Stumpy</t>
  </si>
  <si>
    <t>NutriSource Large Breed Puppy Chicken &amp; Rice Dry Dog Food 60 lb. (2 x 30 lb.)</t>
  </si>
  <si>
    <t>Ordered on 09/14, received 09/19 via FedEx.
The box it came in was trashed, more than likely from shipping and handling. I would suggest using sturdier or reinforced boxes but that probably would add more cost. One of the bags was leaking food. It seems the bag was not sealed properly at the factory. Fortunately, only a few bits came out of the bag but the freshness of the food is suspect since I don't know how long the bag had been open. The packaging is on PetFlow, the open bag is on NutriSource.</t>
  </si>
  <si>
    <t>ALEXANDRA PARRA</t>
  </si>
  <si>
    <t>Delivery of the product was sloppy.</t>
  </si>
  <si>
    <t>Delivery of the product was sloppy.
It was raining and the box was left outside where there is a dry place available.</t>
  </si>
  <si>
    <t>Frederic Steinhardt</t>
  </si>
  <si>
    <t>My only complaint is that the bags of…</t>
  </si>
  <si>
    <t>My only complaint is that the bags of dogfood were not packed properly. Instead of the big 40 pound bag being in the usual big boxes that it usually arrives in, the 40 pound bag was crammed into the same size box as the 26 pound bag, with the result that the box arrived in damaged condition and had been taped up along the way. I was quite surprised that it the bag and not burst. Please make sure that your shipping department does not do that again.</t>
  </si>
  <si>
    <t>Jacqui</t>
  </si>
  <si>
    <t>Great prices of several items we use</t>
  </si>
  <si>
    <t>Great prices of several items we use. Thank you!</t>
  </si>
  <si>
    <t>hofty</t>
  </si>
  <si>
    <t>The best prices ,in stock merchandise…</t>
  </si>
  <si>
    <t>The best prices ,in stock merchandise and quick shipping. Would use them again.</t>
  </si>
  <si>
    <t>Kimberley Lightcap</t>
  </si>
  <si>
    <t>Dog food showed up moldy</t>
  </si>
  <si>
    <t>PetFlow carries Fromm healthy weight for senior dogs. Bandit loves it. Bandit's favorite is treat is the 12inch pizzle chews. He has to have them</t>
  </si>
  <si>
    <t>BRENDA MITCHELL</t>
  </si>
  <si>
    <t>PetFlow carries Fromm healthy weight…</t>
  </si>
  <si>
    <t>My order was cancelled without any notification. It was a sizeable order on a brand new account but not providing notification was both inconvenient and has left me scrambling.
The prices will result in me trying to order from petflow again but the experienced service to date has not been ideal.</t>
  </si>
  <si>
    <t>HMa</t>
  </si>
  <si>
    <t>My order was cancelled without any…</t>
  </si>
  <si>
    <t>I appreciate the discount and sales offered to your large selection of product. My items arrive carefully packed and I have yet to receive one dented can or damaged item. Keep doing what your doing.</t>
  </si>
  <si>
    <t>Siameez</t>
  </si>
  <si>
    <t>Good selection and promotions.</t>
  </si>
  <si>
    <t>Stop accepting orders for items you do not have in stock. This has happened twice now.</t>
  </si>
  <si>
    <t>STEVEN GANUNG</t>
  </si>
  <si>
    <t>Stop accepting orders for items you do…</t>
  </si>
  <si>
    <t>Always a great experience with Petflow. Product is of great quality and ships fast. Only place I can find these ears in bulk.</t>
  </si>
  <si>
    <t>JENNIFER SCHILLING</t>
  </si>
  <si>
    <t>Always a great experience with Petflow</t>
  </si>
  <si>
    <t>My dog food order arrived with 3 exploded and dented cans. PetFlow's 9-16-2022 email reply was to tell me they will credit my card $8.52. Today is 9-24-2022 and my card has yet to be credited. I am not happy about this. ORDER NUMBER: 10446008 placed on 9-12-2022.</t>
  </si>
  <si>
    <t>Where is my credit for exploded dog food cans?</t>
  </si>
  <si>
    <t>First time using Petflow and I’m happy with the service. I now have autoship with them. Used Chewy autoship in the past but their service has become unreliable in past few months. Petflow was able to supply prescription food that was out of stock at Chewy.</t>
  </si>
  <si>
    <t>Donna M.</t>
  </si>
  <si>
    <t>First time using Petflow</t>
  </si>
  <si>
    <t>Products and pricing are wonderful. Shipping is slow compared to Chewy. That’s the only downfall.</t>
  </si>
  <si>
    <t>Jborine</t>
  </si>
  <si>
    <t>Our items were shipped quickly!</t>
  </si>
  <si>
    <t>Orders are not packed properly and arrive dented. This is not the first time. Customer service did in fact send me a new Oder.</t>
  </si>
  <si>
    <t>Brenda</t>
  </si>
  <si>
    <t>Timely and accurate delivery</t>
  </si>
  <si>
    <t>It was entirely on me to send a prescription, the order was sat on for weeks, and eventually was cancelled without me asking for it. Now your site shows it’s out of stock. Just literally the worst order I’ve tried to place for prescription food - for which my cat has had to go without because I kept trying to actually get my damn order filled. Jfc.</t>
  </si>
  <si>
    <t>DEBBIE FLORES</t>
  </si>
  <si>
    <t>Products and pricing are wonderful</t>
  </si>
  <si>
    <t>After receiving an email requesting I contact my vet to facilitate getting required prescription for my dog, my vet had received no such request. I called customer service requesting another prescription be submitted. I was treated with arrogance, disrespect and unprofessional behavior. I canceled my order and will never, ever us your company again.</t>
  </si>
  <si>
    <t>PATTI MARTINEZ</t>
  </si>
  <si>
    <t>Packed orders</t>
  </si>
  <si>
    <t>2 thumbs down. It’s 9/22. My order was supposed to arrive 9/12. Today I was told the fraud department canceled my order for reasons they won’t disclose. They didn’t tell me the order was canceled. I was simply left waiting. When I attempted to re-order payment, they said the fish food was that out of stock.</t>
  </si>
  <si>
    <t>DREW NELSON</t>
  </si>
  <si>
    <t>It was entirely on me to send a…</t>
  </si>
  <si>
    <t>Geraldine Hagan</t>
  </si>
  <si>
    <t>ELIZABETH CUNNINGHAM</t>
  </si>
  <si>
    <t>No customer awareness</t>
  </si>
  <si>
    <t>Carlos G</t>
  </si>
  <si>
    <t>Good Service, fast delivery</t>
  </si>
  <si>
    <t>Good Service and fast delivery</t>
  </si>
  <si>
    <t>Lara M</t>
  </si>
  <si>
    <t>Easy to order and wonderful product.</t>
  </si>
  <si>
    <t>I have purchased from PetFlow regularly for a number of years. They have good prices (often the best!), they ship quickly and I've never had an issue. What's not to love?</t>
  </si>
  <si>
    <t>Long-term customer for a reason</t>
  </si>
  <si>
    <t>My Scooter’s food got here in a very timely manner. He loves this food, and it is hard to find in our area. The cost is reasonable; though it would be nice if there was ever a sale on it. Thank you PetFlow for helping me provide the best for my fur baby.</t>
  </si>
  <si>
    <t>Fast and Great Price</t>
  </si>
  <si>
    <t>I was very disappointed with my experience. I was looking everywhere for the prescription cat food my furbaby needs, and PetFlow was the only place that showed having it in stock. But by the time they finally got around to contacting my vet (nearly a week after I placed my order) it was no longer available. Sorry, they needed to step it up a bit and contact my vet SOONER rather than LATER. I would have only given 2 stars, but the customer service people I talked to when trying to track down what my order status was were very nice. THAT earned the extra star.</t>
  </si>
  <si>
    <t>Elizabeth Jackson</t>
  </si>
  <si>
    <t>Ziggy went nuts over the treats. It's his crack cocaine. Will definitely order again</t>
  </si>
  <si>
    <t>BARBARA JONES</t>
  </si>
  <si>
    <t>Ziggy went nuts over the treats</t>
  </si>
  <si>
    <t>Your service and products have always been excellent. The only glitch was on my last autoship. I never received notice that my order was getting ready to ship. If I had I would have pushed it to a week later. It's not a big deal, but I like having the advance notice in case I want to adjust the shipping date.</t>
  </si>
  <si>
    <t>KATHY WESOLOWSKI</t>
  </si>
  <si>
    <t>Excellent service and products</t>
  </si>
  <si>
    <t>I believe your website was corrupted and my account breached leading to several orders that I did not authorize. There was faulty Information shown (for example the website showed order # xzy123 was just placed “today”, but when I asked your rep about that order number he told me that was an order number from years ago. Again convinced your website is at fault I asked him to consider more than just me changing my password etc and he was disinterested in the beneficial info I was providing him. He cared less about the good of your company but got snotty on the phone as I repeatedly asked him to take an interest. And when I asked to speak to his manager he told me he would have someone call me. I cant imagine ordering from Petflow in the future.</t>
  </si>
  <si>
    <t>Dan</t>
  </si>
  <si>
    <t>Find a different source for your pet needa</t>
  </si>
  <si>
    <t>Good food, Cheap, Easy</t>
  </si>
  <si>
    <t>Jaclyn Koester</t>
  </si>
  <si>
    <t>Good food</t>
  </si>
  <si>
    <t>I placed a subscription order for prescription food for my pet. PetFlow claimed they had it in Stock. I was wondering where my order was so I logged into my account to find that the order was canceled because they did not have it in Stock. The did not cancel my auto-shipment, just my order. I had to call them to cancel my auto-shipment. They also gave me a welcome coupon. I would have had free shipment but my welcome coupon disqualified me for for free shipping. What good was the coupon? I am not thrilled with PetFlow and will not use them.</t>
  </si>
  <si>
    <t>Phillip Lavery</t>
  </si>
  <si>
    <t>Item out of stock</t>
  </si>
  <si>
    <t>It would be nice to get some of the discount codes for non-auto ship orders, for frequent order customers.
Thanks, PetFlow.</t>
  </si>
  <si>
    <t>Z C W</t>
  </si>
  <si>
    <t>All good overall!</t>
  </si>
  <si>
    <t>Website advertised canned y/d thyroid cat food so we ordered a case. After a week we were told it wasn’t available, which left us scrambling for thyroid food for our cat.</t>
  </si>
  <si>
    <t>DAVID BLAKE</t>
  </si>
  <si>
    <t>Website advertised canned y/d thyroid…</t>
  </si>
  <si>
    <t>I gave you a top score because we ordered food from you guys all the time this time I didn’t get any emails I looked in my junk folder there was nothing there I had to call twice to figure out what was going on I hope you can improve this process</t>
  </si>
  <si>
    <t>Kathie Potega</t>
  </si>
  <si>
    <t>I Helping you to improve your processgave you a top score because we…</t>
  </si>
  <si>
    <t>Have enjoyed using this site to help take care of our for babies… Great selection… Decent prices…delivery on time</t>
  </si>
  <si>
    <t>Barb</t>
  </si>
  <si>
    <t>Love our fur babies</t>
  </si>
  <si>
    <t>Our girls love the Dreambone peanut butter sticks and they are always out or extra expensive on other sites. This price is great!</t>
  </si>
  <si>
    <t>SheliaJ</t>
  </si>
  <si>
    <t>Peanut butter snacks</t>
  </si>
  <si>
    <t>I had a good experience with this company. I ordered my dogs food and received a great price. Order arrived in the time frame and condition expected. I will be reordering as needed.
Thank you!</t>
  </si>
  <si>
    <t>EightBlueEyes</t>
  </si>
  <si>
    <t>Better than Chewy</t>
  </si>
  <si>
    <t>My pups love all of the toys we ordered from PetFlow. Most of the toys we ordered are made by Kong. Toys are great for our young aggressive chewer, as well as our fairly active, 18 year old, senior pup. Ordering was easy. Prices are great.</t>
  </si>
  <si>
    <t>Ellen Solis-Cohen</t>
  </si>
  <si>
    <t>My pups love all of the toys we ordered…</t>
  </si>
  <si>
    <t>I submitted a signed prescription from my vet through email for 2 orders and kept receiving emails from this vendor telling me they couldn’t ship until the prescription is verified. Then more emails saying they would approve it if I would submit a prescription from my vet. I have been trying to cancel my orders but it won’t allow me because it’s pending prescription approval. Having to provide a prescription for dog snacks is ridiculous to begin with. I wager it’s much easier for a person to obtain a script for narcotics than for a pet owner whose best friend is suddenly sick and can’t get products due to a impossible system. Shame on vetenarians!</t>
  </si>
  <si>
    <t>William</t>
  </si>
  <si>
    <t>I submitted a signed prescription from…my veterinarian but it’s like I didn’t</t>
  </si>
  <si>
    <t>Great communication, free and fast shipping and they carry an item that’s out of stock everywhere.</t>
  </si>
  <si>
    <t>Katarina</t>
  </si>
  <si>
    <t>Great website</t>
  </si>
  <si>
    <t>I'm really happy with all my purchases from PetFlow. Affordable prices and fast shipping..</t>
  </si>
  <si>
    <t>M.clem</t>
  </si>
  <si>
    <t>Happy Pets</t>
  </si>
  <si>
    <t>MICHELE BOWERS</t>
  </si>
  <si>
    <t>I have gotten Myias can food before…</t>
  </si>
  <si>
    <t>I have gotten Myias can food before from you but this time every single can was dented up!! Not the quality I expect for the price of Hills prescription food!!</t>
  </si>
  <si>
    <t>James B.</t>
  </si>
  <si>
    <t>Avoid this Company!</t>
  </si>
  <si>
    <t>The worst. Spoke with a customer service rep "Ryan" and he was courteous and yet at the same time, completely unhelpful and unwilling to do what it takes to resolve the issue. He was very passive/aggressive, so I to him to suck a bag of Di*#ks, etc. etc.
My problem was getting an uploaded prescription form one department to the other. Ryan couldn't do this. Poor Ryan! Both he and the company should go broke and find another way to make a living- perhaps cleaning out horse stalls?</t>
  </si>
  <si>
    <t>Ed</t>
  </si>
  <si>
    <t>Great service and communication</t>
  </si>
  <si>
    <t>No issues with shipment or product! Easy ordering.</t>
  </si>
  <si>
    <t>Marmy</t>
  </si>
  <si>
    <t>Easy Peasy...Got What I Needed</t>
  </si>
  <si>
    <t>My experience was very positive. I was able to get some dog treats that I had not been able to purchase for quite some time. Thank you!</t>
  </si>
  <si>
    <t>KIM FRAZIER</t>
  </si>
  <si>
    <t>My experience was very positive</t>
  </si>
  <si>
    <t>Fast shipping, good price!</t>
  </si>
  <si>
    <t>DONNA AUGUSTINE</t>
  </si>
  <si>
    <t>My puppy Lola has had allergy skin issues and she hates all food and treats until I cane across Hills prescription Hypo. Pet Flow was so nice to work with. Great service great prices and the variety is wonderful. Thank you so much.</t>
  </si>
  <si>
    <t>Mary Chalaire</t>
  </si>
  <si>
    <t>My puppy Lola has had allergy skin…</t>
  </si>
  <si>
    <t>You are asking for me to rate something that hasn't yet been delivered!? I just tracked it and see that it is "expected" to be delivered tomorrow, we'll see if that happens.
By the way, I ordered from your competitor, about 2 days later than this order and it was delivered last week! So....how would you rate this "experience"?</t>
  </si>
  <si>
    <t>GINNY B</t>
  </si>
  <si>
    <t>You are asking for me to rate something…</t>
  </si>
  <si>
    <t>I am pet flow subscriber and I love it. My cat food always arrives on time and if I order an item before it only takes 3 days to arrive or maybe less.</t>
  </si>
  <si>
    <t>Buddha / Opalina</t>
  </si>
  <si>
    <t>I appreciate the delivery, your prices are fair, but it took a longer time to get the food. I used to get food from you in 2 days, this was 6 days, which doesn’t seem too bad but long if you expect it in 2 days.</t>
  </si>
  <si>
    <t>RHONDA</t>
  </si>
  <si>
    <t>I appreciate the delivery</t>
  </si>
  <si>
    <t>Something went wrong with one of my first orders with your company. It was either the dried beef lung, or a chew toy. but either way no notification was sent to explain why! I drive a truck for Safeway/Albertsons for a living, so I understand supply chain delays. But what I don't understand is not notifying the customer. Just a quick email, it doesn't take very long to simply notify the customer. for the time being I will continue to use this service, until i find a suitable replacement service.</t>
  </si>
  <si>
    <t>stanleychavez</t>
  </si>
  <si>
    <t>Okay for Now</t>
  </si>
  <si>
    <t>Scam . I tried to order bowls and they sent an email stating they were supposed to ship on the 15 and that I would get a tracking number in my email . I never got the tracking number so I called and they said my order was canceled because of fraud and they can’t tell me why or how , but they somehow already knew who I was when I called before I said who I was. And that’s it . So yea I’m calling scam</t>
  </si>
  <si>
    <t>Honey Flavorz</t>
  </si>
  <si>
    <t>Scam</t>
  </si>
  <si>
    <t>Placed an order for dogfood from PetFlow for the 1st time ... not only was delivery quick but price was way better than where I usually purchase ... will definitely order from PetFlow again:)</t>
  </si>
  <si>
    <t>GREAT PRICE</t>
  </si>
  <si>
    <t>We are a small chihuahua breeding program and it is most convenient to have our dogfood delivered...with free shipping.</t>
  </si>
  <si>
    <t>Stephanie Lucas</t>
  </si>
  <si>
    <t>Updated Sep 19, 2022</t>
  </si>
  <si>
    <t>I have my dog food delivered</t>
  </si>
  <si>
    <t>I ordered my cat's prescription canned food, called to check on it several days later &amp; was told my order was being processed. Then received an email a week after my order date stating my order could not be fulfilled as it was out of stock. By that time I was out of state in a remote area with little to no cell phone service &amp; now am almost out of her prescription food. I would have ordered it elsewhere if you had just been upfront &amp; informed me sooner. Poor customer service!</t>
  </si>
  <si>
    <t>Smw</t>
  </si>
  <si>
    <t>Soooo disappointed here. Needed (still need) RX canned cat food. Said it was in stock, our vet sent RX right away. Then I didn’t hear anything. Checked on it a week later, they said, ‘oops’ out of stock, we have to cancel your order. Whaaat?</t>
  </si>
  <si>
    <t>Annie LaVigne</t>
  </si>
  <si>
    <t>Soooo disappointed here</t>
  </si>
  <si>
    <t>i’m usually pretty pleased with petflow‘s delivery system but for some reason this time it took almost a week for me to get my product usually it’s in within a day or two so I just hope he gets a little bit more through the delivery service other than that it’s OK and I know everybody’s running low on products they’re all getting harder to find</t>
  </si>
  <si>
    <t>AUDREY EICHWALD</t>
  </si>
  <si>
    <t>i’m usually pretty pleased with…</t>
  </si>
  <si>
    <t>Was very pleased with fast, courteous service.</t>
  </si>
  <si>
    <t>JOYCE BERRY</t>
  </si>
  <si>
    <t>Was very pleased with fast</t>
  </si>
  <si>
    <t>You allowed an order to be placed for rx food when it was not available. I had to call to get a cancellation email. It was nearly a week later before that was sent.</t>
  </si>
  <si>
    <t>BRIANNA SCHUMAKER NGUYEN</t>
  </si>
  <si>
    <t>Quick delivery and great coupon</t>
  </si>
  <si>
    <t>REBECCA LOPEZ</t>
  </si>
  <si>
    <t>You allowed an order to be placed for…</t>
  </si>
  <si>
    <t>LAK</t>
  </si>
  <si>
    <t>I was very pleased with my purchase…</t>
  </si>
  <si>
    <t>I was very pleased with my purchase experience with PetFlow. I ordered a Hills Prescription Diet dry cat food that I've been having a lot of trouble finding. I bought it for a better than average price. It arrived earlier than quoted and in good condition.</t>
  </si>
  <si>
    <t>GERA WILLIAMS</t>
  </si>
  <si>
    <t>Very Happy</t>
  </si>
  <si>
    <t>Very good Service, I love the play pen I order.</t>
  </si>
  <si>
    <t>FRANK WESSINGER</t>
  </si>
  <si>
    <t>Dr Marty Dog food</t>
  </si>
  <si>
    <t>Easy use of website for ordering and you have always delivered this hard to find food on time. I’ve come to depend on your consistent service. Thank you</t>
  </si>
  <si>
    <t>MAYME WILHEM</t>
  </si>
  <si>
    <t>Ordering is quick and easy</t>
  </si>
  <si>
    <t>Ordering is quick and easy. Product arrives in 1 - 2 days !</t>
  </si>
  <si>
    <t>LANIER WATSON</t>
  </si>
  <si>
    <t>Every one was helpful</t>
  </si>
  <si>
    <t>Every one was helpful. I am sorry not to be able to get my at food.</t>
  </si>
  <si>
    <t>Rebecca Wickstrom</t>
  </si>
  <si>
    <t>Petflow made it easy!</t>
  </si>
  <si>
    <t>Petflow made it easy, and my food was delivered quickly with no problems! My dogs love their new food, and the auto ship makes it hassle-free!</t>
  </si>
  <si>
    <t>Susan Jay</t>
  </si>
  <si>
    <t>First time buyer</t>
  </si>
  <si>
    <t>First time buyer. Ordered one product which needed Vet approval. Once obtained shipping took a while, poor communication as there was none on their part unless I called, repeatedly.</t>
  </si>
  <si>
    <t>DIANE ESCOBAR</t>
  </si>
  <si>
    <t>Not the end of the world BUT...</t>
  </si>
  <si>
    <t>Ive been using Petflow for years now, never had an issue till recently. This time around, I received a package BEFORE I received the shipping notification. Upon receiving my partial order (because one item was on backorder) there was 1 item missing (other than the backordered item). I was charge for all items, but only 2 of the 3 other items were in the package. I called and spoke to someone, they also thought it was very strange to receive the items before the notification and that one of the items was missing. After this conversation, i received the shipping notification for this shipment which did indicate that the missing item was supposed to be included. After about 2 days, i still hadn't received a communication or shipping info on the missing item. I then received a shipping notification for the backordered item, ,but still nothing on the missing item. Not even confirmation of our conversation... nothing to indicate that the missing item was being taken care of. I then emailed you again to ask about it, at that time the shipping notification had come in showing that the missing item had shipped and then a reply to the email to say the same. While there was no real tragedy here... there was a lot of unnecessary stress all due to not being more communicative. The rep had told me that the warehouse failed to input the shipping info which is why the notification wasn't triggered. What ever it was, it was unusual to say the least.</t>
  </si>
  <si>
    <t>DEBBIE ROBERTS</t>
  </si>
  <si>
    <t>I ordered two cases of food</t>
  </si>
  <si>
    <t>I ordered two cases of food, I provided the prescription and the two cases were ready to be shipped. I followed up the next two days and I was told was due to the prior holiday weekend. But, the two cases were ready to be shipped. However, two days later, I was told that the product was out of stock.?? But, it was ready to be shipped. Which is it???</t>
  </si>
  <si>
    <t>d excellent quality of…products</t>
  </si>
  <si>
    <t>Very well made and excellent quality of the product 👌.</t>
  </si>
  <si>
    <t>Never received product nor heard that…</t>
  </si>
  <si>
    <t>Never received product nor heard that it could not be fulfilled. Item was listed as in stock when purchased</t>
  </si>
  <si>
    <t>MARGARET S WARNER</t>
  </si>
  <si>
    <t>Always reliable</t>
  </si>
  <si>
    <t>Always reliable, and a great price. Thank you!!!</t>
  </si>
  <si>
    <t>Super helpful staff!</t>
  </si>
  <si>
    <t>Absolutely friendly staff and helped me right away. Helped me find the perfect alternative for the same price.</t>
  </si>
  <si>
    <t>Max’s mom</t>
  </si>
  <si>
    <t>It was cheaper than anywhere else</t>
  </si>
  <si>
    <t>It was cheaper than anywhere else. fast delivery &amp; Customer service was also fast and friendly.</t>
  </si>
  <si>
    <t>MYRON</t>
  </si>
  <si>
    <t>I ordered my dog food almost two weeks…</t>
  </si>
  <si>
    <t>I ordered my dog food almost two weeks ago and I’m still waiting for it to be shipped or get a refund. I have received multiple emails about them not being able to reach Banfield pet hospital to get my prescription for my dog but Banfield is open from like 8am to 6 pm everyday.</t>
  </si>
  <si>
    <t>TANJINA</t>
  </si>
  <si>
    <t>Horrible service. Go to Chewy</t>
  </si>
  <si>
    <t>Horrible, horrible service. I did everything right on my part. Even then the food for my cats wasn’t shipped in a timely manner. Despite me calling for it, and being told it will be shipped ASAP multiple times. Only to be told later it is being delayed. Then being offered to have it get cancelled. And agree to have it cancelled. Then being told days later that cancelling is not possible. Did I mention, one of your representatives hang up on me bc she couldn’t handle why I would be frustrated. She threatened me on the phone then hang up. And my order wasn’t still cancelled. I have texts proof of the many interactions prior to the call where the woman hang up on me. I told her I have written communication the offer to cancel. She did not care. She was rude beyond word. This was my first and last order from Petflow. No integrity.</t>
  </si>
  <si>
    <t>STEVE KARMAN</t>
  </si>
  <si>
    <t>Very Unprofessional</t>
  </si>
  <si>
    <t>I placed an order for treats and a few days later the order was cancelled without any notice. The reason given was something flagged a fraud alert. However, when I called the customer service number, they couldn't give me specifics. All they suggested was trying to place the order again. Very unprofessional and no confidence that the next order would turn out differently.</t>
  </si>
  <si>
    <t>LINDA KELLER</t>
  </si>
  <si>
    <t>Many items are not available at this time.</t>
  </si>
  <si>
    <t>I was very encouraged when I first logged into this site as some of the prices are lower than other sites but just after submitting my first order I'm being told that half my order isn't available at this time. When I logged out and went back into the site everything I click on says not available at this time. If this would have appeared when I originally logged, 5 min prior to signing out and logging back in, I would have looked for the product on a different site.</t>
  </si>
  <si>
    <t>ALISE SAUNDERS</t>
  </si>
  <si>
    <t>Order cancelled with no communication for fraud for diff shipping and billing addresses</t>
  </si>
  <si>
    <t>I travel for work and I ordered pet food via your site for the first time with my billing address as my home address and my shipping address as the place I was on location working. I travel with my two cats. My order was cancelled and I WAS NOT NOTIFIED. It was cancelled for fraud. When I called to check on the order, I was told it was still fraudulent and wouldn't be reversed. I am appalled that this day and age, that we can't have different billing and shipping. What if I wanted to send my child a gift of pet items from your site (which would have been a diff shipping and billing). This is really short sighted and the lack of communication was abhorrent.</t>
  </si>
  <si>
    <t>ANITA SAINT CLAIR</t>
  </si>
  <si>
    <t>Apparently my order was canceled by the…</t>
  </si>
  <si>
    <t>Apparently my order was canceled by the fraud department. I'd like to know why. I spoke to someone on the phone as I wanted 6 of the item but you only had one. No one notified me. I ordered 5 from another company thinking I had 1 coming from you. Now your out and I will have to pay more than I should with shipping.. very very upset! I've been in business for 10 years and have NEVER done this to my customers.</t>
  </si>
  <si>
    <t>Andrina DaCar</t>
  </si>
  <si>
    <t>I tried using a coupon that said…</t>
  </si>
  <si>
    <t>I tried using a coupon that said expires 9/15/22 on 9/15/22 and it was already expired.</t>
  </si>
  <si>
    <t>Ronnie Hoffman</t>
  </si>
  <si>
    <t>I will never ever contact Pet Flow for…</t>
  </si>
  <si>
    <t>I will never ever contact Pet Flow for anything ever again. Terrible terrible customer service and failure to deliver. Told me their fraud division refused to ship item I ordered. I contacted my credit card companies and all of them said there was zero issues with any of my cards. Numerous other complaints just like my experience with this company. I would give them a zero if possible.</t>
  </si>
  <si>
    <t>berkshires</t>
  </si>
  <si>
    <t>Love PetFlow! Site carries my favorite products, great prices, fast shipping and items arrive in good condition. A+++</t>
  </si>
  <si>
    <t>Christopher</t>
  </si>
  <si>
    <t>Bi-monthly order of dog food that is…</t>
  </si>
  <si>
    <t>Bi-monthly order of dog food that is the best price I can find online</t>
  </si>
  <si>
    <t>VERLA E ORDING</t>
  </si>
  <si>
    <t>Shows on website the food I needed for…</t>
  </si>
  <si>
    <t>Shows on website the food I needed for my cat was in stock....and it wasn't</t>
  </si>
  <si>
    <t>Angela Bowen</t>
  </si>
  <si>
    <t>Great products</t>
  </si>
  <si>
    <t>Great products, service and website!</t>
  </si>
  <si>
    <t>DAN W</t>
  </si>
  <si>
    <t>Kind of odd. . .</t>
  </si>
  <si>
    <t>My experience isn't complete because I only received one small piece of the order. Kind of odd: I ordered a case of cat food. When I placed the order, the site said I was only $2.00 away from free shipping so I ordered a small kitty toy for $3.00. I got an email on Monday that my order had arrived. It was a large box but when I picked it up, it felt empty. It was only the kitty toy, no food. Kind of odd. . . why not include it with the food and why use such a big box for a small item that only weighed a couple ounces.</t>
  </si>
  <si>
    <t>ADRIENNE B</t>
  </si>
  <si>
    <t>Half of an order and half of the service</t>
  </si>
  <si>
    <t>half of order delivered as expected, other half was on perpetual delay. petflow team could not provide update, except that “all” prescription orders were delayed. this was obviously not the case, as the first half of my order was fine and not delayed. that said, if they anticipate delays on all prescription orders, outline that on your website. after four days of asking for answers with no update in sight, I canceled the remainder of my order. unreliable service and won’t be ordering again.</t>
  </si>
  <si>
    <t>Wendy Morrey</t>
  </si>
  <si>
    <t>I tried twice to order the dog food for…</t>
  </si>
  <si>
    <t>I tried twice to order the dog food for my 2 dogs. Both times it was cancelled by this company. Their so called Fraud Prevention Dept. I was Dumb-Founded. I called to ask why. The woman i talked to had no idea, and could not transfer me to anyone to talk to about it. I got an e-mail from another person just saying their fraud dept decided my order should not be done. I finally talked to another person who also didnt know why. she suggested I contact my company. I had already done that after I got an e-mail about the fraud dept declining my order. The card company was just as dumb-founded as I was. they told me there wasnt anything wrong with my card, my credit or anything. She couldnt figure out why they even said that. We kind of chuckled about it When I said Ive gotten calls from my cards banks if they thought there was a suspicious order made with the card, but never heard of the company refusing an order this way. Guess I dont get to try this dog food for my dogs, and they dont want my business. oh well.</t>
  </si>
  <si>
    <t>STEPHEN HELD</t>
  </si>
  <si>
    <t>Ordered wrong food; contacted company before shipped; they said it was too far in the process. They told me to deny delivery when they come; the delivery company dropped off without notice and they denied my return. They lost me as a customer over $50. I purchased the $100 bag of food from chewy and cancelled my regular food subscription. Horrible service</t>
  </si>
  <si>
    <t>B Bradford</t>
  </si>
  <si>
    <t>Probably won’t buy again</t>
  </si>
  <si>
    <t>Product is good but way too many emails.</t>
  </si>
  <si>
    <t>MARILYN BADGER</t>
  </si>
  <si>
    <t>Took over two weeks for order to…</t>
  </si>
  <si>
    <t>Took over two weeks for order to arrive.
Soft Cookies are very hard.</t>
  </si>
  <si>
    <t>RodB</t>
  </si>
  <si>
    <t>This place is a real joke</t>
  </si>
  <si>
    <t>This place is a real joke. Seems like they are selling items that they don't have. We purchased 30 dog bowls for our feeders. after they was supposed to ship them out, we called and they said that they canceled our order due to they thought it was FRAUD. How is making a purchase a fraud? They couldn't explain it. Then they gave another excuse saying they don't sell to companies. We are not a company. They stated they refunded our money but yet to see it. BE VERY CAUTIOUS WITH THIS COMPANY.</t>
  </si>
  <si>
    <t>Melissa Susino-Nussbaum</t>
  </si>
  <si>
    <t>Waiting and Waiting...</t>
  </si>
  <si>
    <t>Every time I order it takes forever to receive. I also have received the wrong product and had to reorder and wait even longer. Kind of a headache. Customer service is just ok.</t>
  </si>
  <si>
    <t>William Matthews</t>
  </si>
  <si>
    <t>Happy cat owner</t>
  </si>
  <si>
    <t>Nice selection of premium, reasonably priced, high-quality cat food shipped and delivered quickly with no hassles.</t>
  </si>
  <si>
    <t>ELIZABETH CUMBERBATCH</t>
  </si>
  <si>
    <t>Petflow does a very good job.</t>
  </si>
  <si>
    <t>Website is extremely difficult to navigate, and customer service is merely “okay.”
After I was told my order was IN STOCK, it wasn’t, and my order was =CANCELLED=. No “We’ll let you know as soon as it gets in,“ or anything, just plain canceled.
Not gonna bother shopping here again.</t>
  </si>
  <si>
    <t>JESSE CLARK</t>
  </si>
  <si>
    <t>No recommendations from me</t>
  </si>
  <si>
    <t>I place my first order with PetFlow. A few days after placing the order, I realized I hadn't received an email with shipping information so I called to find out when my order would be delivered. I was informed my order was canceled. I asked why it was canceled and was told it was due to fraud. I asked why they thought it was fraud and how to correct it, and was told they couldn't give me any more information because they didn't want to tip off fraudsters.
Are you kidding me?? I buy things online all the time, and this was the one and only time I've had an order canceled for suspected fraud. They didn't even have the courtesy to tell me the order was canceled and I had to dispute the payment with my credit card company. And what fraud crime ring is running dog food scams? The most annoying part was that I placed an order through Chewy (who had no issues processing my order) but couldn't get it delivered before I ran out of dog food so I had to go to the pet store as well.</t>
  </si>
  <si>
    <t>MICHELLE UNGER</t>
  </si>
  <si>
    <t>Terrible Customer Service</t>
  </si>
  <si>
    <t>Overall it was easy to order. However, it took more than a week for me to receive my dog food. The FL Warehouse was out of stock. There was no correspondence to let me know That the food was then coming from the NJ warehouse.I had to call in order to find out when my order was being delivered. I ordered dry food and wet food. Most of the cans had dents in them. The dry food was actually $10 cheaper on this website than other places. Not sure if I will order from them again.</t>
  </si>
  <si>
    <t>L.RIVERA</t>
  </si>
  <si>
    <t>Not sure if I will oder again</t>
  </si>
  <si>
    <t>My parents'dog loves this pet food. It arrived when I was advised it would arrive, so that was awesome!</t>
  </si>
  <si>
    <t>EBONY PARKER WAUGH</t>
  </si>
  <si>
    <t>My parents'dog loves this pet food</t>
  </si>
  <si>
    <t>SCD</t>
  </si>
  <si>
    <t>Great Company to buy Pet Food Fromm...Pun Intended!</t>
  </si>
  <si>
    <t>Been ordering pet food from PetFlow for years now and have had nothing but good experience with the company. Products I order are the best and at the best prices available. Shipping has always been super fast. Great Company.</t>
  </si>
  <si>
    <t>It’s too hard to cancel auto ship…</t>
  </si>
  <si>
    <t>It’s too hard to cancel auto ship orders. It should be a simple button you can press, instead you have to contact customer service, which takes time for what should be something I can do myself. Other than that petflow is always fantastic.</t>
  </si>
  <si>
    <t>DOGMOM</t>
  </si>
  <si>
    <t>Delivery took longer than I expected</t>
  </si>
  <si>
    <t>Delivery took longer than I expected. After a week and half I had not received an email letting me know my order had shipped. I contacted customer service to ask and what do you know?? My order shipped the next day!</t>
  </si>
  <si>
    <t>Very good customer service</t>
  </si>
  <si>
    <t>Very good customer service! Happy with product and delivery! Prescription treats my dog likes, they had in stock.</t>
  </si>
  <si>
    <t>William Gallop</t>
  </si>
  <si>
    <t>Deception at its finest</t>
  </si>
  <si>
    <t>Claimed a dog food product was in stock, and even told me that only ONE was available, not the two that I had in my cart, so I purchased the ONE. Two weeks later, no dog food has arrived, BUT I just got an email stating it’s out of stock and not known when it will be in. DECEPTION AT ITS FINEST!</t>
  </si>
  <si>
    <t>Zar's Mom</t>
  </si>
  <si>
    <t>Always an excellent experience at PetFlow!!</t>
  </si>
  <si>
    <t>Ordering was simple, communication was excellent, selection /prices were great anf items were shipped promptly. No problems were encountered at all!!</t>
  </si>
  <si>
    <t>FREDERICK BROUGH III</t>
  </si>
  <si>
    <t>Petflow had the sensitivity select dog…</t>
  </si>
  <si>
    <t>Petflow had the sensitivity select dog food I needed, which is hard to find, at a reasonable price. I received it within a week. Great company to deal with.</t>
  </si>
  <si>
    <t>Carla Trujillo</t>
  </si>
  <si>
    <t>Ord delayed no communication</t>
  </si>
  <si>
    <t>Order on 9-1 called on 9-5 to verify prescription received, told yes will ship soon, no contact from you, called again on 9-9 told will ship that day, I expected to receive by 9-12, tracking sent stated expected arrival 9-15. Was never informed of these delays and my cat has now run out of food. Called to complain and inform customer service I will not be using PetFlow in the future. We have 5 cats a d 4 dogs, could have been a good customer for you</t>
  </si>
  <si>
    <t>CAROL K</t>
  </si>
  <si>
    <t>Lack of communication issues</t>
  </si>
  <si>
    <t>I ordered Hills prescription CD ocean fish wet cat food on the 1st of September. I had no knowledge that is was not in stock prior to ordering as it was not noted on the PetFlow site. I got an acknowledgement email from PetFlow and that was it. To make a long, tedious story short I ended up having to make multiple phone calls to find out what was going on and when I would receive the food. I had to initiate all informational communications as there was no communication from PetFlow. All of the PetFlow employees I spoke with gave me a different story as to why I did not yet have the food. Unbelievable. The tracking info. I did get was incomplete. The employees were, for the most part cheerful and polite (hence the two stars) but customer communication and employee training needs a major overhaul. Enough said.</t>
  </si>
  <si>
    <t>Joseph</t>
  </si>
  <si>
    <t>transfering a new hardcopy Rx was a bit…</t>
  </si>
  <si>
    <t>transfering a new hardcopy Rx was a bit cumbersome.
First I was told that I had to send a new Rx via US mail then I was told I could simply upload it. So it took almost 2 weeks to receive the product.</t>
  </si>
  <si>
    <t>MarkO</t>
  </si>
  <si>
    <t>GREAT CUSTOMER SUPPORT</t>
  </si>
  <si>
    <t>I had some issues with my order but contacted customer support twice and each time has been reassuring. It's easy to get a hold of a real person, and the team has been very professional and courteous in resolving my issues. I will continue making purchases for my four-legged friends and recommend PetFlow to those seeking to find pet supplies.</t>
  </si>
  <si>
    <t>PAMELA YEH</t>
  </si>
  <si>
    <t>Very prompt service</t>
  </si>
  <si>
    <t>very happy experience from Petflow!
Thank you</t>
  </si>
  <si>
    <t>JILL CLARKE</t>
  </si>
  <si>
    <t>Dog food I ordered went out of stock…</t>
  </si>
  <si>
    <t>Dog food I ordered went out of stock immediately after it allowed me to order. I called, and I was told they could not give me any idea of when it would be in stock. I tried to cancel my subscription with them, but they told me they wanted to keep it for now. I am calling again today to cancel. Will never use them. Chewy is the best!!! Stick to Chewy.com!!!</t>
  </si>
  <si>
    <t>Don Walters</t>
  </si>
  <si>
    <t>FRDEX didn't deliver the previous…</t>
  </si>
  <si>
    <t>FRDEX didn't deliver the previous order. Your customer care rep. ordered another Fromm Sur &amp; turf for me and it was delivered</t>
  </si>
  <si>
    <t>Kathi</t>
  </si>
  <si>
    <t>you can count on PetFlow</t>
  </si>
  <si>
    <t>I signed up once for auto-ship &amp; the order took over a week to reach me. Since that experience, I order when I need it and always receive it within a few days. I am a regular!</t>
  </si>
  <si>
    <t>INDIANA DILAN</t>
  </si>
  <si>
    <t>I bought the august 31st haven't even…</t>
  </si>
  <si>
    <t>I bought the august 31st haven't even received any email with shipping, last time i talked to them haven't shipped yet, last time i called didn't even answer.</t>
  </si>
  <si>
    <t>ROBERT ANDERSON</t>
  </si>
  <si>
    <t>I think you are all fantastic A+++++</t>
  </si>
  <si>
    <t>I placed an order. About 6 days go by and I realize I hadn’t gotten a shipping confirmation number. I called and representative said ….. oh….. did no one reach out to you? No, they didn’t! Long story short- nothing happened- except they held onto my money. I canceled the order. Now I’m waiting on a refund!</t>
  </si>
  <si>
    <t>No happy</t>
  </si>
  <si>
    <t>I placed an order then nothing</t>
  </si>
  <si>
    <t>I placed my order a few days ago. I then had to get a prescription from the vet and mail it... mail it, not fax it or email it but mail it. I have yet to get notice that my dog treats have been mailed and it had been days. My dog has IBD and these are the only treats she can have so I'm anxious to get them.</t>
  </si>
  <si>
    <t>STACEY M.</t>
  </si>
  <si>
    <t>What the heck?</t>
  </si>
  <si>
    <t>Communication with PetFlow staff was exceptional and professional. I truly believe the staff was interested in helping me with the prescription from my vet for the product and clarification expedited the process well.</t>
  </si>
  <si>
    <t>YOLANDA GRIFFITHS</t>
  </si>
  <si>
    <t>Communication with PetFlow staff was…</t>
  </si>
  <si>
    <t>michelle berentz</t>
  </si>
  <si>
    <t>Super prompt service which included PetFlow needing to verify a new prescription with my veterinarian. Fast shipping, too! Much appreciated!</t>
  </si>
  <si>
    <t>Renee &amp; Bee</t>
  </si>
  <si>
    <t>Super prompt service!</t>
  </si>
  <si>
    <t>PetFlow website had Hills Y-D canned cat food available. I ordered a case. They sent me a confirmation &amp; then contacted my vet for the required prescription. After receiving it &amp; checking their inventory &amp; then with their distributor, notified me they don’t have it. Wouldn’t it make more sense to initially check that the product is available. I stopped searching once PetFlow said they had it.</t>
  </si>
  <si>
    <t>Judith Lewis</t>
  </si>
  <si>
    <t>YD CANNED CAT FOOD</t>
  </si>
  <si>
    <t>My order was not processed as it was flagged for fraud. However I was not informed of this. I had to call 5 days after placing the order to find out.</t>
  </si>
  <si>
    <t>NANCY CLASEN</t>
  </si>
  <si>
    <t>Products were cheaper locally.</t>
  </si>
  <si>
    <t>Ordered prescription cat food that was in stock. Never heard anything for 2 weeks then got an email saying it is now out of stock. I looked it up again and it is NOT out of stock!? Total waste of my time. And I don’t remember the date exactly.</t>
  </si>
  <si>
    <t>Laura</t>
  </si>
  <si>
    <t>Poor Communication</t>
  </si>
  <si>
    <t>Had what I was looking for, good price and fast shipping! Great job!</t>
  </si>
  <si>
    <t>WENDY MANN</t>
  </si>
  <si>
    <t>Ordered prescription cat food that was…</t>
  </si>
  <si>
    <t>Easy website to navigate. Customer service both via chat and phone were very helpful when I entered my CC number incorrectly. Shipping was fast too.</t>
  </si>
  <si>
    <t>S Tate</t>
  </si>
  <si>
    <t>Had what I was looking for</t>
  </si>
  <si>
    <t>My order was canceled twice without an email or call. This is unacceptable and I will never recommend Petflow to anyone</t>
  </si>
  <si>
    <t>TAMMIE Y</t>
  </si>
  <si>
    <t>I have a rescue and wanted to give Petflow a try because they had some great deals. I placed an order in my name but used my husbands credit card.....same last name....i received a confirmation....8 days later, never received it. I called and was told my order was cancelled because Credit card was not in my name....they never had the courtesy to contact me. I will never order from this company.</t>
  </si>
  <si>
    <t>Beckley Van Cleave</t>
  </si>
  <si>
    <t>My order was canceled twice without an…</t>
  </si>
  <si>
    <t>The crate arrived so quickly. It was way to assemble. Looks great! Very pleased !.</t>
  </si>
  <si>
    <t>DENISE ARCHER</t>
  </si>
  <si>
    <t>I have a rescue and wanted to give…</t>
  </si>
  <si>
    <t>I placed an order on 08/24/22 and had not heard anything about it by 09/03/22, so I emailed the company and was told that their Fraud Protection team suggested that they not fulfill the order. When I emailed back for an explanation, I was told to call a number, which I didn't do, but I think I should have at least been notified to begin with that I wouldn't be getting my order, and I wonder had I not emailed them first if I would have ever been notified about my order not being fulfilled.</t>
  </si>
  <si>
    <t>LARRY BENTLEY</t>
  </si>
  <si>
    <t>Awesome crate</t>
  </si>
  <si>
    <t>Dog food arrived in good condition (dry food). It was not broken up like some other places where I have ordered. Good service.</t>
  </si>
  <si>
    <t>M. Quick</t>
  </si>
  <si>
    <t>order not fulfilled</t>
  </si>
  <si>
    <t>This site is legitimate. I feed my dog Chicken Soup for the Soul Weight Care for dogs. After checking other places they definitely had the best price. So glad I found them. Shipping was minimal but fast. Set it up for Auto ship.</t>
  </si>
  <si>
    <t>Ted</t>
  </si>
  <si>
    <t>Worst purchase experience ever</t>
  </si>
  <si>
    <t>good site good site good sitegood site</t>
  </si>
  <si>
    <t>VIKKI FLAHERTY</t>
  </si>
  <si>
    <t>Dog Food Delivery</t>
  </si>
  <si>
    <t>I ordered a prescription diet food for my pet on a Saturday. That Monday I called into customer service and confirmed receipt of my pets prescription. I expressed urgency to the rep that we were running low and needed this food ASAP. 5 days later I received an email canceling my order as it was now out of stock. Apparently there is a supply issue with this food but the communication from this company was horrific. This food is my pet's medicine. Almost a whole week went by before my order was cancelled. Better and more timely communication would have given me more options but because Petflow failed in both these areas I had to drive almost 2 hours to locate it somewhere else.</t>
  </si>
  <si>
    <t>DAWN SCHAFFER</t>
  </si>
  <si>
    <t>This site is legitimate</t>
  </si>
  <si>
    <t>Prescription wasn’t approved and I didn’t get any food.</t>
  </si>
  <si>
    <t>SHEFFIELD LARRY</t>
  </si>
  <si>
    <t>good site</t>
  </si>
  <si>
    <t>Fast very secure service, easy and safe method of purchase, and excellent products, affordable pricing.</t>
  </si>
  <si>
    <t>DENNIS HOFFBUHR</t>
  </si>
  <si>
    <t>Simple ordering and quick delivery</t>
  </si>
  <si>
    <t>ELYSE D.</t>
  </si>
  <si>
    <t>Horrible communication and customer service …</t>
  </si>
  <si>
    <t>KAY</t>
  </si>
  <si>
    <t>Prescription wasn’t approved and I…</t>
  </si>
  <si>
    <t>Bob Kobashigawa</t>
  </si>
  <si>
    <t>Fast very secure service</t>
  </si>
  <si>
    <t>LOUI MARRA</t>
  </si>
  <si>
    <t>Nothing but good to say about petflow</t>
  </si>
  <si>
    <t>Nothing but good to say about petflow. They have what I want, the prices are fair, the delivery is fast.</t>
  </si>
  <si>
    <t>Chris Cassner</t>
  </si>
  <si>
    <t>EXCELLENT CUSTOMER SERVICE</t>
  </si>
  <si>
    <t>EXCELLENT CUSTOMER SERVICE! I ordered "Etta Says Premium Elk treats", 20 count. One arrived, not 20, just the one. I called, the rep on the phone was more than polite, and sent out an order for the missing 19 chews. Again the box arrived with one chew, not 19. I called a second time, and again the rep was very kind and apologetic. She sent out an order for the now 18 missing chews. Today they arrived. I know this must have been a wear house glitch, because the others I ordered in packs of 20 arrived with the first delivery in the correct amounts. Thanks to the Pet Flow rep for her attempts and eventual success at getting the order corrected. :)</t>
  </si>
  <si>
    <t>BELINDA HARLOW</t>
  </si>
  <si>
    <t>Great to do business with</t>
  </si>
  <si>
    <t>Awesome to do business with. Received product on time!</t>
  </si>
  <si>
    <t>MIA LAVERGNE</t>
  </si>
  <si>
    <t>found z/d Hill's hypo</t>
  </si>
  <si>
    <t>Very happy that I found this site for my aging dog who needed prescribed treats that he was on most of his life. They contacted my Vet for approval, and I did not have to wait too long before I got my package</t>
  </si>
  <si>
    <t>Agnes</t>
  </si>
  <si>
    <t>Wonderful and caring experience…</t>
  </si>
  <si>
    <t>I had a wonderful experience with PetFlow. My Cat, Max, is on a special Hill's prescription diet for urinary issues. It is very difficult to find c/d cat food where I live. I found PetFlow on-line and ordered chicken stew, tuna and ocean fish. I uploaded the prescription from my vet and food was ordered, except tuna unavailable. The staff is very knowledgeable and helpful. Will continue with PetFlow.</t>
  </si>
  <si>
    <t>NANCY</t>
  </si>
  <si>
    <t>The ordering process was easy…however</t>
  </si>
  <si>
    <t>The ordering process was easy, however, within one day I received an email saying my item had shipped BUT after 5 days with no tracking number I called and was told the item was out of stock. Shortly after that call I received an email saying the item was out of stock. Not good customer service.</t>
  </si>
  <si>
    <t>Judy Kathleen Thompson</t>
  </si>
  <si>
    <t>If you want the very best for your beloved pet, trust PetFlow to deliver.</t>
  </si>
  <si>
    <t>PetFlow and its fine customer service representatives are always dependable, always on time, forever and always pro-n-polished.</t>
  </si>
  <si>
    <t>Cynthia Gould</t>
  </si>
  <si>
    <t>Excellent customer service. Well stocked inventory.</t>
  </si>
  <si>
    <t>LINDA MEEHAN</t>
  </si>
  <si>
    <t>Fast shipping &amp; best price when…</t>
  </si>
  <si>
    <t>Fast shipping &amp; best price when compared with other delivery companies of same product.</t>
  </si>
  <si>
    <t>PetFlow offers competitive prices</t>
  </si>
  <si>
    <t>PetFlow offers competitive prices compared with other online pet supply companies!</t>
  </si>
  <si>
    <t>LISA SHAFFER</t>
  </si>
  <si>
    <t>I tried to order litter boxes for my…</t>
  </si>
  <si>
    <t>I tried to order litter boxes for my shelter and my order was canceled Without my knowledge and after the order was already supposed to have shipped I contacted the company and they canceled my order because they said it was fraudulent. Are used PayPal which is a secure account and they could not give me any reason. I will not be ordering from them again.</t>
  </si>
  <si>
    <t>Barrie</t>
  </si>
  <si>
    <t>Went from bad to worse</t>
  </si>
  <si>
    <t>Went from bad to worse.
Ordered rocks and cat treats. My package was lost. NO ONE reached out. I contacted Fed Ex several days later and it's GONE. I called Petflow to get me my order over night from another location. They said a manager would get in touch. NOTHNG. I ordered from Chewy and it came right away. I called Petflow AGAIN to get my money back and was told no manager would be in for the 3 day weekend. WOW. I hope my card never gets charged. I got an email yesterday a week plus later that they do not have my items and they would cancel. WHAT A MESS.</t>
  </si>
  <si>
    <t>Good prices and relatively fast delivery</t>
  </si>
  <si>
    <t>This is my third time ordering from This company. The first two times were very positive. However, after putting in an order on a Saturday morning they are telling me that it “might” leave their warehouse “at some point” in the day on a Thursday. So basically almost a week to release an order. Wow!!! I wish I had known that when I ordered. Now I’m out of time to fix the situation before having to travel. I’m REALLY disappointed, and doubly so when their customer service team seemed to not be capable of doing anything to make good on the situation. I gave one extra star b/c of the prior, more successful orders, but I’m really going to have to think twice before ordering from them again.</t>
  </si>
  <si>
    <t>Yas</t>
  </si>
  <si>
    <t>Thinking twice. :-(</t>
  </si>
  <si>
    <t>Everything was great!
I unfortunately had to let go of my baby ( black lab) of almost 12 years.
If/ when I am ready I would use your services with no questions.</t>
  </si>
  <si>
    <t>T M BUCKMAN</t>
  </si>
  <si>
    <t>Everything was great!</t>
  </si>
  <si>
    <t>You offer free shipping for orders over $49. So I try to meet that requirement. But then you offer coupons which are really nice. But when I apply a coupon, it brings my total below the free shipping mark. My choices are to accept the shipping charges or buy more to bring the value back above the free shipping level. Or just cancel in frustration. You are not doing me any favors with coupons, its just a mind twister that your marketing uses to increase revenue. I wish you would just offer free shipping base on the original order value then deduct the coupon with out penalties.</t>
  </si>
  <si>
    <t>Duane Neuerburg</t>
  </si>
  <si>
    <t>Frustrated…</t>
  </si>
  <si>
    <t>This is my first time ordering from Petflow and I am very satisfied! My order came quickly and the prices are less than other places I ordered from. The type of dog food I buy for my dogs is hard to find and I'm glad Petflow has it. It saves me time looking for it.</t>
  </si>
  <si>
    <t>Eva Fresquez</t>
  </si>
  <si>
    <t>Completely satisfied!</t>
  </si>
  <si>
    <t>Good service arrived when you said it would. I was a little confused by the check out on your website, but I’m old.</t>
  </si>
  <si>
    <t>ROLLIN BAIRD</t>
  </si>
  <si>
    <t>Good service arrived when you said it…</t>
  </si>
  <si>
    <t>My auto ship sat in processing status for 2 weeks so I paused it so I could order something else. I called and the person acted like they didn't want to help. Once I placed my new order, I received my auto ship order at the same time. This was over $150 at one time. Very frustrating. Will more then likely switch to someone else.</t>
  </si>
  <si>
    <t>TRACY WESTMORELAND</t>
  </si>
  <si>
    <t>My auto ship sat in processing status…</t>
  </si>
  <si>
    <t>I'm unhappy with your service. My vet was out of the prescription diet for my cat, so I ordered from your website on Friday, 08/26. You charged my credit card on Monday, 08/29. Since you charged my card, I thought you had the okay from the vet to get the prescription food for me. I thought it would be shipped that day. However, you didn't ship it until Wed, 08/31. It finally arrived on Saturday, 09/03. In the meantime, my vet called on Monday, 08/29 and said they just received the food I needed. Their price was about half of what you charged me. It's unlikely that I will order from you again, or recommend you to anyone.</t>
  </si>
  <si>
    <t>Too expensive. Delivered late.</t>
  </si>
  <si>
    <t>Penny</t>
  </si>
  <si>
    <t>Two times I tried to order a particular…</t>
  </si>
  <si>
    <t>Two times I tried to order a particular flavor of food for my cat and both times your site said it was in stock. about 7 days later after not hearing anything, I contacted petflow only to find out that the product was out of stock.
You do not let customers know that an item is out of stock until they contact you. You just leave them hanging and wondering.
You also take too long to deliver your products. This is not acceptable. When you pet has special dietary needs and you cannot supply the food they need, it is very frustrating and we don't know what to do to be able to feed our precious pet.
Dont know if I will give your company a third try.</t>
  </si>
  <si>
    <t>JUDITH TAYLOR</t>
  </si>
  <si>
    <t>This is the first time I used pet flow…</t>
  </si>
  <si>
    <t>This is the first time I used pet flow and I was very happy with the results. They got the approval from my vet and shipped the products in a timely manner. I will be using them again</t>
  </si>
  <si>
    <t>Joel Goldin</t>
  </si>
  <si>
    <t>Great customer support and very fair…</t>
  </si>
  <si>
    <t>Great customer support and very fair pricing. Speedy delivery. Will use again and do rexommend!</t>
  </si>
  <si>
    <t>DB</t>
  </si>
  <si>
    <t>good communication about delivery…</t>
  </si>
  <si>
    <t>good communication about delivery status.</t>
  </si>
  <si>
    <t>PAUL WEILER</t>
  </si>
  <si>
    <t>I am NOT Paul Weiler</t>
  </si>
  <si>
    <t>I am NOT Paul Weiler. Not only are you asking me to rate my experience you have joined my account with his!
I am Dawn Martin and have canceled my account. I’m a over 10 years a customer. I hope you take my info off Paul’s account and VDH versa.
Thank you</t>
  </si>
  <si>
    <t>Charlie</t>
  </si>
  <si>
    <t>No product</t>
  </si>
  <si>
    <t>The website said they had the product, 3 days later I received an email stating they were canceling my order. They did not have the food I had originally ordered.</t>
  </si>
  <si>
    <t>JOHN HEITZMAN</t>
  </si>
  <si>
    <t>Good service ordered dog food and it…</t>
  </si>
  <si>
    <t>Good service ordered dog food and it arrived within couple days.</t>
  </si>
  <si>
    <t>KALLIE DAVISCOURT</t>
  </si>
  <si>
    <t>My product never made it to my…</t>
  </si>
  <si>
    <t>My product never made it to my doorstep, and I still haven’t received my money back. Extremely disappointed with the service of this company.</t>
  </si>
  <si>
    <t>Eric</t>
  </si>
  <si>
    <t>Shipping is outstanding!</t>
  </si>
  <si>
    <t>Prices are a little high but the shipping is outstanding! I am able to get my dog what she needs!</t>
  </si>
  <si>
    <t>NANCY CAMACHO</t>
  </si>
  <si>
    <t>Unhappy customer…</t>
  </si>
  <si>
    <t>I was happy first time ordered food from this company I usually ordered from chewy and then they sent me the wrong food for my dogs. I called they were able to change it and asked me to send back the one I had the wrong one. The new order yes it was $0 but it’s still not here as of yet leaving to get food else where for my dogs but I had already paid for the first order $60 or 70 n change so I’m just here like what am I suppose to feed my dogs until…smh I’m displeased with the service.</t>
  </si>
  <si>
    <t>SANDRA HERSOM</t>
  </si>
  <si>
    <t>Called twice to check on my order</t>
  </si>
  <si>
    <t>Called twice to check on my order. People on phone were pleasant but not very helpful. My order was canceled without any communication from Pet Flow. I was told that an email was sent but I did not receive one on the day of cancellation or ever. Very disappointed and dissatisfied!</t>
  </si>
  <si>
    <t>MARTHA GARLICK</t>
  </si>
  <si>
    <t>The cat food arrived on time</t>
  </si>
  <si>
    <t>The cat food arrived on time. once I ordered the wrong flavor. great customer service for an exchange of flavors</t>
  </si>
  <si>
    <t>JENNIFER FRAIN</t>
  </si>
  <si>
    <t>Package arrived in timely manner</t>
  </si>
  <si>
    <t>Steven Poster</t>
  </si>
  <si>
    <t>Great customer service
It was so easy to set up an account and get reoccurring deliveries. And the prices are right.</t>
  </si>
  <si>
    <t>Tom P</t>
  </si>
  <si>
    <t>Satisfied Customer</t>
  </si>
  <si>
    <t>My order arrived promptly and packed well. Thanks.</t>
  </si>
  <si>
    <t>Deberoh Gruver</t>
  </si>
  <si>
    <t>Petflow A Good Pet Supply company</t>
  </si>
  <si>
    <t>I do like Petflow for my dog’s food and supplies. I found the auto ship to be somewhat confusing while I was determining how much dog food to order as my pup was growing. I’m unsure how much the discount is for auto ship and when does it start. I do not see discount for auto ship on orders. Also as the price keeps rising for the dog food I order, I think that I should get a notice of a price increase. I do consider their shipping and delivery is good.</t>
  </si>
  <si>
    <t>Cathy K</t>
  </si>
  <si>
    <t>Petflow was so helpful in telling me…</t>
  </si>
  <si>
    <t>Petflow was so helpful in telling me when I should expect my package and sure enough, it came on time! I couldn’t ask for more!!!</t>
  </si>
  <si>
    <t>Biscuit</t>
  </si>
  <si>
    <t>Good products and prices, slooow delivery</t>
  </si>
  <si>
    <t>Good products and prices. Very disappointed that it took 8 days for delivery. I’m used to Chewy with 3-4 day delivery.</t>
  </si>
  <si>
    <t>JOSE ARAUJO</t>
  </si>
  <si>
    <t>My pet lovess</t>
  </si>
  <si>
    <t>Great service. Also, was able to find the prescription food I needed for my cat ONLY here after finding it out of stock at my vet and at other web sites. Both my precious cat and I are very happy now!</t>
  </si>
  <si>
    <t>bomarkat</t>
  </si>
  <si>
    <t>Carole Springer</t>
  </si>
  <si>
    <t>No one called me to tell me my order…</t>
  </si>
  <si>
    <t>No one called me to tell me my order was going to be late. My husband called and gave his credit card several months ago and I have placed orders, with this credit card numerous times but for some reason y’all decided not to send this order because our last names are not the same. So the dog food was so late I had to go out and purchase dog food from our vet which was very expensive!! Maybe it’s time to go back to Chewy.</t>
  </si>
  <si>
    <t>Daniel</t>
  </si>
  <si>
    <t>Fast</t>
  </si>
  <si>
    <t>Fast, reliable shipping.</t>
  </si>
  <si>
    <t>LON CARNEY</t>
  </si>
  <si>
    <t>Easy to order, quick free shipping. Got veterinary food I needed in the large size. Pet Smart won't sell you the large size which is a much better deal. Been ordering all of Chloe's treats from you for several years. Keep up the good work. Please get her some more piggy sticks.Thanks!</t>
  </si>
  <si>
    <t>KADY TETZLAFF</t>
  </si>
  <si>
    <t>Shipping was fast, delivery was not. Not delivered by estimated day, but 2 days after. Wish it was more accurate.</t>
  </si>
  <si>
    <t>Peggy Jo Gustis</t>
  </si>
  <si>
    <t>DOGGIE HEAVEN</t>
  </si>
  <si>
    <t>All was good. Not one complaint 👍👍</t>
  </si>
  <si>
    <t>DAN</t>
  </si>
  <si>
    <t>Could have been worse</t>
  </si>
  <si>
    <t>Shipping was on the slow side but worse boxes were destroyed. Thankfully dog food bags were not ripped open.</t>
  </si>
  <si>
    <t>MAUREEN WATSON</t>
  </si>
  <si>
    <t>I am always happy with my orders from…</t>
  </si>
  <si>
    <t>I am always happy with my orders from Petflow! I get my food within a couple days!</t>
  </si>
  <si>
    <t>CORINNE BROWN</t>
  </si>
  <si>
    <t>Happy experience</t>
  </si>
  <si>
    <t>Placed an order, received the order (late) but was sent a discount coupon to make up for it. That's nice.</t>
  </si>
  <si>
    <t>LAURA BISHOP</t>
  </si>
  <si>
    <t>The site and purchase was fine</t>
  </si>
  <si>
    <t>The site and purchase was fine, but then my order was canceled due to the food being out of stock. It's a prescriptions food, so I was pleased to find somewhere that had it (everywhere else has said it's on backorder) then disappointed when it was unavailable.</t>
  </si>
  <si>
    <t>Feniix</t>
  </si>
  <si>
    <t>Super fast shipping. Lowest price online</t>
  </si>
  <si>
    <t>Beth V</t>
  </si>
  <si>
    <t>Customer Service helpful!</t>
  </si>
  <si>
    <t>I was given a $25 discount off $100 purchase. My order was split and shipped in 2 shipments 1 day apart. They removed the discount! Customer Service did give me the discount after I requested it. Satisfied. Will probably order from them again provided good price on item needed.</t>
  </si>
  <si>
    <t>SYNDEE F.</t>
  </si>
  <si>
    <t>Shipping</t>
  </si>
  <si>
    <t>Ordered dog food and I was informed that it shipped on the twenty second of August. It's now the third of September and no dog food. They said it would take seven to ten days. It's now been twelve days.</t>
  </si>
  <si>
    <t>KSJ</t>
  </si>
  <si>
    <t>The service at Pet Flow is very…</t>
  </si>
  <si>
    <t>The service at Pet Flow is very reliable and the prices are very competetive</t>
  </si>
  <si>
    <t>Don Land</t>
  </si>
  <si>
    <t>all good so far but what can i say…</t>
  </si>
  <si>
    <t>all good so far but what can i say about dog food? on time and price was probably fair. so we will see</t>
  </si>
  <si>
    <t>DAWN MORDICA</t>
  </si>
  <si>
    <t>I would give 5 stars but I had several…</t>
  </si>
  <si>
    <t>I would give 5 stars but I had several issues with the website! I’m sure it’s working through the kinks! Technology is great until it doesn’t work. I will say the online chat was on point with helping. I think I was actually texting with a real human and my technical issues were solved. Shipping was super fast! Overall, I was completely satisfied and will order again!</t>
  </si>
  <si>
    <t>Linda J Larson</t>
  </si>
  <si>
    <t>Sent Expired Food!</t>
  </si>
  <si>
    <t>I placed an order with the company for high quality dog food. When it arrived it had been expired for nearly 5 months. This was my first order and though they refunded me when I complained, I still lost faith in them as a company. I expect better than expired food. There prices were also much higher than our local small pet shop by about $10. I would not recommend them.</t>
  </si>
  <si>
    <t>All seeing Isaac</t>
  </si>
  <si>
    <t>My dog needed a prescription diet dog…</t>
  </si>
  <si>
    <t>My dog needed a prescription diet dog food. This company is a joke. Have us the complete run around for 2 weeks, meanwhile my dog suffered. I do not recommend this website or this company to anyone.</t>
  </si>
  <si>
    <t>CAROLINE HALDER</t>
  </si>
  <si>
    <t>Exactly what I ordered and quick delivery time.</t>
  </si>
  <si>
    <t>THAD S</t>
  </si>
  <si>
    <t>Unreliable source of diet food</t>
  </si>
  <si>
    <t>I used to enjoy ordering from pet flow for our cats prescription diet. However, recently, the reliability has been terrible, and to make it worse the communication about it has been lacking. They were very quick to charge my credit card while they place the order, and then several days later ended up canceling it, and refunding my money days later. I will be looking for other sources for our food.</t>
  </si>
  <si>
    <t>BEVERLY DELAET</t>
  </si>
  <si>
    <t>I'm satisfied with the food but you…</t>
  </si>
  <si>
    <t>I'm satisfied with the food but you need to use stronger boxes. I order 30 lb. bags every month and they are always opening and falling apart.</t>
  </si>
  <si>
    <t>DALE T</t>
  </si>
  <si>
    <t>Extremely poor and not to be trusted</t>
  </si>
  <si>
    <t>This is the 2nd time you sent me the wrong cheaper item. I called before the last order and you promised I would get the correct item as described and pictured.</t>
  </si>
  <si>
    <t>Good customer service, quick reply from pet flow! I highly recommend this website for your pet’s needs!</t>
  </si>
  <si>
    <t>ROBIN</t>
  </si>
  <si>
    <t>Petflow has a great variety of foods</t>
  </si>
  <si>
    <t>Petflow has a great variety of foods. My dog food is sometimes hard to find, and they carry it. Their prices are competitive also.</t>
  </si>
  <si>
    <t>JOSEPH G.</t>
  </si>
  <si>
    <t>Dented dog food cans</t>
  </si>
  <si>
    <t>Purchased 3 cases of dog food and many cans were dented from the delivery. Otherwise good value and quick delivery.</t>
  </si>
  <si>
    <t>DHK</t>
  </si>
  <si>
    <t>Horrid experience</t>
  </si>
  <si>
    <t>Horrid experience. Ordered some cat food on a Monday, and it wasn't until Thursday that I was told that the food was out of stock and they didn't know when they would get more. I know that cat food is in short supply, but the website could have at least said "out of stock" like other providers do... never again.</t>
  </si>
  <si>
    <t>Joy to the world</t>
  </si>
  <si>
    <t>I love my dog's new collars</t>
  </si>
  <si>
    <t>I love my dog's new collars. They are nice and strong, and very reflective. I measured their old collars and ordered what I thought would be a perfect size for them. Unfortunately, the collars are too big... by alot. I'm hoping there is something that can be done to correct this matter.</t>
  </si>
  <si>
    <t>GAIL HUGHES</t>
  </si>
  <si>
    <t>Fast delivery, good quality products.</t>
  </si>
  <si>
    <t>Eessam Ammouri</t>
  </si>
  <si>
    <t>You are excellent</t>
  </si>
  <si>
    <t>You are excellent, accommodating, and understanding, I will buy from you again.</t>
  </si>
  <si>
    <t>SUSAN ABEEL</t>
  </si>
  <si>
    <t>Denemarin available...</t>
  </si>
  <si>
    <t>Denemarin available...
I was pleasantly surprised to find and purchase the above mentioned without a prescription. Unable to find chewable tabs for my Queensland Healer locally. Thank you, Thank you.
Please let me know when you get more in stock.</t>
  </si>
  <si>
    <t>Maureen</t>
  </si>
  <si>
    <t>Pet Flow "usually" OKAY, not GREAT!</t>
  </si>
  <si>
    <t>Pet Flow "usually" arrives in a timely manner. However, quality control and training are needed for packing. Our products, especially canned and treats, arrive dented and in crumbs. That couple delivery too!
Longtime customers should not be forced into auto ship - and offered the same discounts as anyone else w/o having to go search and find. That's we have started signing up, with rewards, with the distributors of the products we enjoy, like Open Farm Pet, directly.</t>
  </si>
  <si>
    <t>ROZ DORF</t>
  </si>
  <si>
    <t>My vet could not get the prescription…</t>
  </si>
  <si>
    <t>My vet could not get the prescription wet food for my cat. I tried for weeks and PetFlow finally had the food in stock. PetFlow faxed the prescription to my vet, and in a couple days I received the case of the wet food via FedEx. Free shipping and I had a 20% off coupon from my on-line coupon locator. My cat is so very happy, and so am I.</t>
  </si>
  <si>
    <t>JEANETTE ZGLOBICKI</t>
  </si>
  <si>
    <t>I place an ordered on August 22 and messaged the company on August 27 since I hadn’t received a invoice saying that they shipped. I then got a message back saying that it was marked fraudulent. And they wouldn’t be sending it. But they never intended to say another email saying so or they could of at least called</t>
  </si>
  <si>
    <t>PAULETTE TARDIO</t>
  </si>
  <si>
    <t>This is the first time that I ordered from Petflow and so far so good no complaints!!</t>
  </si>
  <si>
    <t>MICHAEL PAGLIANTI</t>
  </si>
  <si>
    <t>It was all pretty seamless</t>
  </si>
  <si>
    <t>It was all pretty seamless. I am a first time customer and will be back👋</t>
  </si>
  <si>
    <t>ROBERT EARHART</t>
  </si>
  <si>
    <t>Large bag dry dog food</t>
  </si>
  <si>
    <t>Easy to order on line; prompt delivery; no fee for delivery since it was a large bag I ordered. 5 stars.</t>
  </si>
  <si>
    <t>AMY NASH</t>
  </si>
  <si>
    <t>Looking all over for prescription wet…</t>
  </si>
  <si>
    <t>Looking all over for prescription wet cat food. Saw a comparison between Pet World, Petco and Petflow. It showed Petflow had what I was looking for in stock. So very excited that you were showing Science Diet in stock. Ordered 5 cases, gave my vet a heads up you’d be contacting them for a prescription. It did not show out of stock when I was making my order. Then I get an email advising you didn’t have it either.
Poor form showing you have it when you really don’t.</t>
  </si>
  <si>
    <t>MARIE</t>
  </si>
  <si>
    <t>Super fast shipping!</t>
  </si>
  <si>
    <t>Super fast shipping!! I placed my order and received it 2 days later. Great service!</t>
  </si>
  <si>
    <t>Anya Spielberg</t>
  </si>
  <si>
    <t>Had Great Experience with PetFlow!</t>
  </si>
  <si>
    <t>I was sceptacle, but chose to move forward and sure glad I did. Very prompt delivery. Have since ordered mega amounts of my cat's favorite food again.</t>
  </si>
  <si>
    <t>KLaurie</t>
  </si>
  <si>
    <t>Order was quickly shipped BUT order was…</t>
  </si>
  <si>
    <t>Order was quickly shipped BUT order was not complete due to inaccurate inventory on website AND several items were VERY dirty when they arrived. If it hadn’t been for tags, I would have thought the items were used. Somewhat disappointing!!</t>
  </si>
  <si>
    <t>MEGAN R</t>
  </si>
  <si>
    <t>No dog food for you!</t>
  </si>
  <si>
    <t>Fraud department is out of control. I’ve never known a company so bent on refusing to allow customers to purchase from them. Good luck with that business model lol.</t>
  </si>
  <si>
    <t>Sharen</t>
  </si>
  <si>
    <t>I recently purchased a bag of dog food</t>
  </si>
  <si>
    <t>I recently purchased a bag of dog food. Emails kept me updated about when it would be delivered &amp; it did arrive as scheduled. It was a good experience &amp; I'm very satisfied with the service provided.</t>
  </si>
  <si>
    <t>ELLEN CHILDS</t>
  </si>
  <si>
    <t>Quick service &amp; delivery....</t>
  </si>
  <si>
    <t>Quick service &amp; delivery..... No problems at all</t>
  </si>
  <si>
    <t>JENNIFER HOFFMAN</t>
  </si>
  <si>
    <t>Shipping took entirely too long</t>
  </si>
  <si>
    <t>Shipping took entirely too long. Wasn’t notified about a shipping delay until after package was due</t>
  </si>
  <si>
    <t>DAVID COHEN</t>
  </si>
  <si>
    <t>Friendly folks</t>
  </si>
  <si>
    <t>Friendly folks, poor stock on hands.
This is the second time I attempted to order dog food from you. A days after ordering both times, I received an email stating that was out of stock. This was for Hills d/d potato and venison. It would have been nice to know that this item was out of stock at time of purchase.</t>
  </si>
  <si>
    <t>LOIS SUSSMAN</t>
  </si>
  <si>
    <t>It took way too long to ship the food</t>
  </si>
  <si>
    <t>It took way too long to ship the food. I called and canceled order while it was still in the warehouse and not processed . They sent it anyway.</t>
  </si>
  <si>
    <t>JUDITH ENDEAN</t>
  </si>
  <si>
    <t>I ordered product</t>
  </si>
  <si>
    <t>I ordered product
Never received it
Later told thru text communication that product was out of stock
If so, why was it on your website!??
Nobody advised me.</t>
  </si>
  <si>
    <t>Fraud Depoatment has flagged my…</t>
  </si>
  <si>
    <t>Fraud Depoatment has flagged my account. THey have been no help to get this corrected. I would like to purchase form this compnay but they have been no help in correcting their error about mt information being fraud. Who can I talk to to get this corrected?</t>
  </si>
  <si>
    <t>WHITNEY CHIRDON</t>
  </si>
  <si>
    <t>Ghosted</t>
  </si>
  <si>
    <t>I had to reach out to find out what was happening with my order after never hearing anything.</t>
  </si>
  <si>
    <t>Sami's mom</t>
  </si>
  <si>
    <t>You were unable to fill my order and…</t>
  </si>
  <si>
    <t>You were unable to fill my order and never let me know until I sent an email asking where it was!</t>
  </si>
  <si>
    <t>Pet Lover</t>
  </si>
  <si>
    <t>Not worth the value</t>
  </si>
  <si>
    <t>After making a purchase that exceeded the threshold for free shipping, I was not able to add on another item after making a purchase. The salesperson could not waive the shipping fee on another item I forgot to add on to my original purchase. Instead, she wanted me to purchase more items so I can get free shipping. I decided to continue my business with Chewy.com because they were able to waive the shipping fee on items I forgot to add to a previous purchase.</t>
  </si>
  <si>
    <t>Lck</t>
  </si>
  <si>
    <t>I ordered 3 bags of hills feline dry…</t>
  </si>
  <si>
    <t>I ordered 3 bags of hills feline dry metabolic + cd which has been hard to find at alot of stores. You listed it as in stock. I am the veternarian for my pets and you didn't allow me to upload an image of my prescription. You sent my clinic an email to get order approved and same day sent me an email saying you'd contacted them and heard nothing back( yet they had already approved it), which is why lots of pet parents get mad at us for orders. Then, after confirming with my staff for approval, I waited a few bussiness days for shipping comfort matron. Instead, you cancelled my order with no reason in my email or account. I had to call customer service to learn it's out of stock.</t>
  </si>
  <si>
    <t>LISA DENNY</t>
  </si>
  <si>
    <t>I ordered my cat a specialty cat food…</t>
  </si>
  <si>
    <t>I ordered my cat a specialty cat food which at the time was listed as in stock then the next day I received an email saying it was “out of stock”
To be fair most if not all places were out of stock but that’s why I was excited to finally find a store that had it available. Not very happy!
I have since purchased a different brand of food from a competitor.</t>
  </si>
  <si>
    <t>VW</t>
  </si>
  <si>
    <t>I called to cancel an order within 24…</t>
  </si>
  <si>
    <t>I called to cancel an order within 24 hrs of placing it. Was told it was too late but that I once it arrived I can call and request a pre-paid label to return. So I called when it arrived and was told that RX dog food cannot be returned and that it states that on the website. I said that I was told I could return it. The man said "people make mistakes".</t>
  </si>
  <si>
    <t>I've been using Petflow for my furry…</t>
  </si>
  <si>
    <t>I've been using Petflow for my furry babies for a few years now and am very happy with the ease of the website navigation and managing my auto-shipments. They also have great customer service!</t>
  </si>
  <si>
    <t>vicki thornborough</t>
  </si>
  <si>
    <t>Treat Shopping</t>
  </si>
  <si>
    <t>I get all of the treats that my dog loves on one site for the best price</t>
  </si>
  <si>
    <t>CRAIG LETRICH</t>
  </si>
  <si>
    <t>CEazy-Peazyouldn't be much easier and a great…</t>
  </si>
  <si>
    <t>Couldn't be much easier and a great price, no one even close.</t>
  </si>
  <si>
    <t>NILDA BERRIOS</t>
  </si>
  <si>
    <t>Good company and they had my baby’s dog food in stock</t>
  </si>
  <si>
    <t>PATRICIA MULQUEEN</t>
  </si>
  <si>
    <t>Best customer service!!</t>
  </si>
  <si>
    <t>Pet Flow has excellent prices on the food I was looking to purchase for my cats. Their prompt delivery was also superb. Have shopped here twice and will be doing it again regularly.</t>
  </si>
  <si>
    <t>Cathy</t>
  </si>
  <si>
    <t>Updated Aug 27, 2022</t>
  </si>
  <si>
    <t>Four Paws Up For Pet Flow</t>
  </si>
  <si>
    <t>We have discovered some awesome dog treats available at very reasonable prices through this company. Ten Points!
When we have questions or order something that is temporarily unavailable, we experience stellar communication and feel that we have received excellent customer service. Ten Points!
Total: 20 Stars</t>
  </si>
  <si>
    <t>ANNETTE</t>
  </si>
  <si>
    <t>Awesome Dog Treats and Stellar Service</t>
  </si>
  <si>
    <t>KAYE OWENS</t>
  </si>
  <si>
    <t>Easy. Fast delivery 🚚 thank you.</t>
  </si>
  <si>
    <t>JOSE DIAZ</t>
  </si>
  <si>
    <t>The website was easy to use</t>
  </si>
  <si>
    <t>The website was easy to use. I like the prices of the cat food. And I also like the discounts you offer.</t>
  </si>
  <si>
    <t>ANTOINETTE PELKEY</t>
  </si>
  <si>
    <t>I'm pleased with the order process and…</t>
  </si>
  <si>
    <t>I'm pleased with the order process and the shipping was as promised. I will be ordering from PetFlow again.</t>
  </si>
  <si>
    <t>Jennifer Daly</t>
  </si>
  <si>
    <t>Great price, fast shipping.</t>
  </si>
  <si>
    <t>TnE</t>
  </si>
  <si>
    <t>They have the brands we feed our pets</t>
  </si>
  <si>
    <t>We go where Fromm dog food is. We move a lot, and (so far) have never had an issue receiving our pet food and supplies from Pet Flow.
The ordering process is easy and the site has everything we need for our pets. The only reason 4/5 stars is that there is no rewards program… otherwise, (as long as they carry Fromm) I’m a loyal customer.</t>
  </si>
  <si>
    <t>MAUREEN R.</t>
  </si>
  <si>
    <t>Good prices, excellent service!</t>
  </si>
  <si>
    <t>Good prices, great selection, and excellent service! I highly recommend Petflow!</t>
  </si>
  <si>
    <t>MARC EISEN</t>
  </si>
  <si>
    <t>Prescription food showed "in stock" on…</t>
  </si>
  <si>
    <t>Prescription food showed "in stock" on the website. Ordered and they got a prescription from my vet the next day. Only then was I notified that they did not have it, and did not know when it would be available as they use a third-party vendor that does not update their site. Was unable to cancel my order as it was "locked". Finally canceled by them a week later.</t>
  </si>
  <si>
    <t>Jackie</t>
  </si>
  <si>
    <t>I ordered my cat’s prescription food…</t>
  </si>
  <si>
    <t>I ordered my cat’s prescription food and Petflow obtained his prescription frim the vet. After not hearing anything for a few days, I called Petflow to make sure the food was in stock. The representative said she would call the supplier and email me to let me know. I received an email saying the food was in stock and would ship soon. Then the next day, I was informed by Petflow that my order was cancelled because the food wasn’t in stock. I think everyone needs to try and get on the same page. For now, I’ll find his food somewhere else.</t>
  </si>
  <si>
    <t>BRENDA HACH</t>
  </si>
  <si>
    <t>Everything has been great</t>
  </si>
  <si>
    <t>My experience with PetFlow has been great. Items are delivered when I expect them, in great condition. Auto delivery works just as it should.</t>
  </si>
  <si>
    <t>Denise Moll</t>
  </si>
  <si>
    <t>My experience with PetFlow has been…</t>
  </si>
  <si>
    <t>Easy to use site . Like that you give the option to set up an auto shipment for the date I needed it to shipped instead of order now choose auto ship. Allowed me to set up when I need the shipment instead of waiting or ending up over stocked .</t>
  </si>
  <si>
    <t>rk</t>
  </si>
  <si>
    <t>Good Web Site</t>
  </si>
  <si>
    <t>My experience was good. Found the items quickly and without any problems.</t>
  </si>
  <si>
    <t>SHELIA</t>
  </si>
  <si>
    <t>My experience was good</t>
  </si>
  <si>
    <t>I WAS AMAZED THAT THEY HAD THE SAME PRODUCT I HAD BEEN GETTING FROM AMAZON FOR MORE THAN $1.50 LESS PER ITEM, SO I FIGURED, WELL THERE MUST BE A LIMIT TO HOW MANY I CAN BUY. NOPE!! SO I BOUGHT MORE THAN 20 OF THEM. I FEEL LIKE, SINCE I HAVE SUDDENLY LOST OVER HALF OF MY INCOME, DUE TO MY HUSBAND'S UNTIMELY DEATH, AND PENNIES ARE SCARCE, I'D BETTER DO A LITTLE MORE "SHOPPING AROUND" FOR THE THINGS MY CAT AND I NEED. THANK YOU "PET-FLOW" FOR SAVING ME WELL OVER $37.00 ON A PRODUCT I WAS GETTING FROM AMAZON.... AND THEY SAY AMAZON IS CHEAPER, BAH HUMBUG TO THAT!!</t>
  </si>
  <si>
    <t>SHARON WAINWRIGHT</t>
  </si>
  <si>
    <t>I WAS AMAZED THAT THEY HAD THE SAME…</t>
  </si>
  <si>
    <t>Fast and good service! Thank you!</t>
  </si>
  <si>
    <t>Nura Cue</t>
  </si>
  <si>
    <t>Fast and good service. We were running out of food</t>
  </si>
  <si>
    <t>Convenient and prices are very good. Wish the shipping was a bit more urgent but will shop with them again.</t>
  </si>
  <si>
    <t>JOHN HAWTHORNE</t>
  </si>
  <si>
    <t>Convenient and prices are very good</t>
  </si>
  <si>
    <t>Easy to shop. Great prices. I got my pet waste bags quickly and well-packaged. Will definitely shop with PetFlow again!</t>
  </si>
  <si>
    <t>Marietta Pup Mom</t>
  </si>
  <si>
    <t>Easy to shop</t>
  </si>
  <si>
    <t>I switched to Petflow from Chewy and so far, so good. Chewy doesn't carry Fromm, which my dogs like the best. Decided to give them a try and I'm very satisfied. The food arrived about 3 or 4 days after I placed my order. The expiration date is more than a year from now, so the food is fresh and not outdated. Will order again. Thank you Petflow</t>
  </si>
  <si>
    <t>Andrew Cohen</t>
  </si>
  <si>
    <t>Great Prices Speedy Delivery</t>
  </si>
  <si>
    <t>Loved the website ! They had what I was looking for . Ordering was easy I got my dog food 36 hours later ! I will definitely use pet flow for my ongoing pet needs .</t>
  </si>
  <si>
    <t>Cynthia</t>
  </si>
  <si>
    <t>Loved the website</t>
  </si>
  <si>
    <t>The prescription cat food (wd) is out of stock, but I was
let to order it as if you had it. No one seems to be able to get this. It's an important prescription for my cat who has a fractured pelvis.
Arn't the making this anymore? Is there a substitute that might be ok, like one of the other Hills canned prescription can food?</t>
  </si>
  <si>
    <t>JOANNE BEIGER</t>
  </si>
  <si>
    <t>The prescription cat food (wd) is out…</t>
  </si>
  <si>
    <t>This company was able to get the dog food we needed and were having trouble getting elsewhere.</t>
  </si>
  <si>
    <t>Carol</t>
  </si>
  <si>
    <t>MATTHEW ATHERLEY</t>
  </si>
  <si>
    <t>I have a dog that needs prescription…</t>
  </si>
  <si>
    <t>I have a dog that needs prescription food, I searched the internet and your website said you had it in stock, I ordered it, anticipating the amount of time I had until my dogs food ran out. Well you took over a week to tell me that you couldn’t fulfill the order, leaving me scrambling to find food somewhere else, in the meantime my dog didn’t have the food she needed. Don’t say you have something and then wait over a week to tell me you don’t.</t>
  </si>
  <si>
    <t>KATHY</t>
  </si>
  <si>
    <t>Pleased with Petflow</t>
  </si>
  <si>
    <t>Easy to order, slight delay with the product not available in the closest warehouse but arrived well packaged</t>
  </si>
  <si>
    <t>Fast response and showed initiative</t>
  </si>
  <si>
    <t>What I loved was that they told me that their fast delivery was delayed because they had to ship from another supplier without me asking where my package was. They took initiative and emailed me about the details of my package.</t>
  </si>
  <si>
    <t>AMY SENSTAD</t>
  </si>
  <si>
    <t>No product
xxxxxxxxxcccccccczzzzzzzz</t>
  </si>
  <si>
    <t>SHERYL MCLEAN</t>
  </si>
  <si>
    <t>Prescription Cat Food</t>
  </si>
  <si>
    <t>I ordered prescription cat food from Pet Flow. However, a few days later they stated they were out of stock and would ship it as soon as they received it. I had to cancel my order and they were very communicative throughout the process. I would definitely shop with them again.</t>
  </si>
  <si>
    <t>Ronda Raye</t>
  </si>
  <si>
    <t>PetFlow is now my reliable go-to for pet food/supplies!</t>
  </si>
  <si>
    <t>PetFlow came through for me again when a kitty food subscription was out of stock. I'll be sticking with PetFlow! Thank you!</t>
  </si>
  <si>
    <t>LESLIE ZELKOWITZ</t>
  </si>
  <si>
    <t>Disappointing service</t>
  </si>
  <si>
    <t>I made an order and canceled 2 days later. Customer service told me it was taken care of. The charge disappeared and I thought all was well. Then several more days passed and I received a shipping notice. I was told it was now too late to stop my already canceled order. I am not allowed to return this prescription pet food. Very disappointed in PetFlow. The order arrived about 9 days after my original order.</t>
  </si>
  <si>
    <t>WENDY GANSER</t>
  </si>
  <si>
    <t>One thing I really love Petflow is they…</t>
  </si>
  <si>
    <t>One thing I really love Petflow is they always have their products available. I don’t get a constant “on back order “ like many other mail order purchases. I also appreciate the occasional discounts offered to regular customers.</t>
  </si>
  <si>
    <t>MARIAN</t>
  </si>
  <si>
    <t>Was able to order special food for my…</t>
  </si>
  <si>
    <t>Was able to order special food for my dog that was not available elsewhere. Delivered quickly and I was kept uo to date on the delivery.</t>
  </si>
  <si>
    <t>AL T.</t>
  </si>
  <si>
    <t>Quick and easy</t>
  </si>
  <si>
    <t>Placed an order and Rx was on file. Waited a few days and didn’t hear anything. Contacted the company and was told, sorry…..it’s just sitting in fulfillment for some reason. Then the customer service person said they’d try to expedite. That was almost a week ago and still NO order or communication. This is Rx food that my cat NEEDS!</t>
  </si>
  <si>
    <t>MONICA</t>
  </si>
  <si>
    <t>Terrible Service &amp; Communication!</t>
  </si>
  <si>
    <t>Our pet food was delivered promptly.</t>
  </si>
  <si>
    <t>Timely response and follow-up. Timely processing once order details (prescription food) were in place. The one area that needs to be addressed is the contradicting information the site provides during the prescription food order process. The site noted that food (non-medicine) prescriptions can be emailed to s specific inbox. However, once the order was submitted, the confirmation email noted that the hard copy prescription must be physically mailed to the pharmacy before the order is fully processed. This was confirmed by the support representative when I called. Therefore, scripts for prescription food or for medication must be physically mailed. Hopefully, this discrepancy in the process between medication and prescription food will have been addressed by the time this review goes up.</t>
  </si>
  <si>
    <t>Ian</t>
  </si>
  <si>
    <t>Good first experience</t>
  </si>
  <si>
    <t>After placing an order and receiving the shipment, I realized I had ordered the wrong food. I had set up auto ship for the food, so immediately tried to change the type of food on my auto ship. When I couldn't change it myself, I emailed and the responder took care of the issue for me and changed the product to the food I needed to get for my Gizmo.</t>
  </si>
  <si>
    <t>KATHY KLEIST</t>
  </si>
  <si>
    <t>Change future order</t>
  </si>
  <si>
    <t>The box that the bag of food arrived in was open. That was probably due to the heavy food bag inside without any protective packing.</t>
  </si>
  <si>
    <t>Suzanne Fleischmann</t>
  </si>
  <si>
    <t>Large,heavy food bag delivery</t>
  </si>
  <si>
    <t>I placed an order, and without notice, it was canceled, and the product never arrived.</t>
  </si>
  <si>
    <t>ANDRES</t>
  </si>
  <si>
    <t>Bad follow-up after placing an order</t>
  </si>
  <si>
    <t>1. Your site told me that I was REQUIRED to mail the original prescription for my cat’s Hill’s m/d food. Luckily, I had asked my vet for a prescription in June, so I had an original to mail. I don’t like to mail this, because I have to get a new one anytime I find a better price somewhere else. I mailed it the very next day, and I immediately start getting emails telling me to mail the prescription. It had only been one day. So, after about 3 days, I get an email telling me that I could email a copy if I preferred. YES, I PREFERRED to go that at the time of ordering, but I was NOT given that option. Do I called to complain, and I asked for my original prescription back. I was told that they could not get the script back. I then asked to just cancel the order and was told that I could order that either. Then, about a week later, I get an order…….NOT my order…….someone else’s order. I called the customer service number and got a young man. When I tried to explain that the box had my name/address, but the box contained someone else’s order/receipt, he got belligerent and acted like I was nuts. He hung up on me. I called back and got a very pleasing young woman who listened to me and handled my issue. I lost all confidence in Pet Flow and will never order from them again. Their company has some serious issues.</t>
  </si>
  <si>
    <t>B Sillwell</t>
  </si>
  <si>
    <t>Terrible company with issues</t>
  </si>
  <si>
    <t>Dependable, well stocked with helpful phone assistance</t>
  </si>
  <si>
    <t>KENNETH KANTOR</t>
  </si>
  <si>
    <t>Terrific!</t>
  </si>
  <si>
    <t>I bought a 12 pack of Duck and a 12 pack of Salmon. Usually my dog loves salmon but she did not like the salmon from Pet Flow. It was disintegrated little chunks floating in tons of liquid. She left her dish unfinished.
On the other hand, she gobbled down the duck.</t>
  </si>
  <si>
    <t>MS</t>
  </si>
  <si>
    <t>Good duck, mediocre salmon</t>
  </si>
  <si>
    <t>LEE BARTHEL</t>
  </si>
  <si>
    <t>You're really great</t>
  </si>
  <si>
    <t>PHILIP M</t>
  </si>
  <si>
    <t>Fast delivery, good prices</t>
  </si>
  <si>
    <t>Was looking to get my cat's food supply from a smaller company than the giant online pet stores, and after researching i found PetFlow.
Good prices and fast delivery!
very satisfied with PetFlow's customer service as well
totally recommended!</t>
  </si>
  <si>
    <t>The in-stock status of food was…</t>
  </si>
  <si>
    <t>The in-stock status of food was inaccurate</t>
  </si>
  <si>
    <t>Violet Ahrenholtz</t>
  </si>
  <si>
    <t>I have used petflow for a long time</t>
  </si>
  <si>
    <t>I have used petflow for a long time. They carry some hard to find products which I really enjoy. They are usually easy to get ahold of too if you call them.
The only areas I see that could afford growth are these:
An auto ship program that can be paused or deleted by The buyer themselves.
A more automated return process.
More truthful advertising. They make discounts that are great, but then you find that they can only be used on certain items, or perhaps the food brand you buy is excluded from all coupons.</t>
  </si>
  <si>
    <t>First time shopper</t>
  </si>
  <si>
    <t>First time shopper. Friendly knowledgeable efficient. Great service, fast delivery. I will be back.</t>
  </si>
  <si>
    <t>Virginia Buxton</t>
  </si>
  <si>
    <t>Finally found a source for the Hills…</t>
  </si>
  <si>
    <t>Finally found a source for the Hills Prescription Diet Gluco Support MD dry cat food. I tried my vets, local pet stores, and Amazon. My vet suggested that I try you folks. Success! The food was in stock and shipped in a reasonable length of time. Happy customer and cat! Thank you. Apparently Hills had it on back order, so other places were “Out of stock” for extended periods.</t>
  </si>
  <si>
    <t>Treats were hits with dog and cats.</t>
  </si>
  <si>
    <t>This company has labeled me as fraud after a purchase because my billing address didn’t match after I called twice to their customer service department and their rep Mallory said I could never buy nothing from pet flow ever again. I’m not going to state what I do for a living but there’s absolutely nothing fraud about me or my money!</t>
  </si>
  <si>
    <t>Johaen B Nunez</t>
  </si>
  <si>
    <t>This company has labeled me as fraud…</t>
  </si>
  <si>
    <t>Working with PetFlow was wonderful. Working with Fed EX, their shipper was not. PetFlow responded to every call or text that I sent them within a few minutes. Fed Ex was another story. Things got lost and were late. They really need to find a better carrier.</t>
  </si>
  <si>
    <t>ROBERT HERNANDEZ</t>
  </si>
  <si>
    <t>You make getting dog food a breeze</t>
  </si>
  <si>
    <t>Online order was simple. Delivery was on time. My only comment is that you not use plastic bubble for cushioning and instead biodegradable packing.</t>
  </si>
  <si>
    <t>JANET PATACCA</t>
  </si>
  <si>
    <t>Working with PetFlow was wonderful</t>
  </si>
  <si>
    <t>I ordered a prescription diet for my dog…I thought I was ordering hills metabolic lamb and rice diet as my dog is allergic to chicken. The lamb and rice has been difficult to find and online it said Petco and PetFlow had it available. I received an email from PetFlow indicating the order was on its way but noticed it was the chicken formula. I called customer service right away and they were both courteous and helpful..saying they would stop the order and refund my monies once the product was returned. I was so grateful they could do this. Turns out they did not have the lamb and rice formula on hand but will notify me once it becomes available again.</t>
  </si>
  <si>
    <t>EVELYN WHITE</t>
  </si>
  <si>
    <t>This process was flawless.</t>
  </si>
  <si>
    <t>DEANNA MEYER</t>
  </si>
  <si>
    <t>Nice people and great service.</t>
  </si>
  <si>
    <t>Easy to order, quick delivery</t>
  </si>
  <si>
    <t>JEANNIE</t>
  </si>
  <si>
    <t>I ordered a prescription diet for my dog</t>
  </si>
  <si>
    <t>Always such quick service and exactly what my Ginger Girl wanted! Thanks!</t>
  </si>
  <si>
    <t>JEAN WINANS</t>
  </si>
  <si>
    <t>Happy customer</t>
  </si>
  <si>
    <t>The website is organized and works well. Ordering went smoothly and my items arrived promptly and the quality is great.</t>
  </si>
  <si>
    <t>RHONA HAMMOCK</t>
  </si>
  <si>
    <t>I ordered 2 bags of Hills Science Diet dog food for my 2 Rotts and got a good deal. I will be buying more in the future</t>
  </si>
  <si>
    <t>Irina</t>
  </si>
  <si>
    <t>Accurate, fast, good quality</t>
  </si>
  <si>
    <t>I’ve been a fan of PetFlow for several years. Their service is prompt and professional. An added plus is your purchase goes to help an animal in a shelter.</t>
  </si>
  <si>
    <t>Ginger’s mom</t>
  </si>
  <si>
    <t>Always such quick service and exactly…</t>
  </si>
  <si>
    <t>Everything was great. Order came in a timely manner. Great price! No problems. Would recommend this company!</t>
  </si>
  <si>
    <t>LINDA SHINNEMAN</t>
  </si>
  <si>
    <t>The website is organized and works…great service.</t>
  </si>
  <si>
    <t>Rexford Nichols</t>
  </si>
  <si>
    <t>I ordered 2 bags of Hills Science Diet…</t>
  </si>
  <si>
    <t>Joann Shepherd</t>
  </si>
  <si>
    <t>Kudos for PetFlow</t>
  </si>
  <si>
    <t>KATIE</t>
  </si>
  <si>
    <t>Everything was great</t>
  </si>
  <si>
    <t>CHARLOTTE COOPER</t>
  </si>
  <si>
    <t>I had issues with my order</t>
  </si>
  <si>
    <t>I had issues with my order. It was fixed and replaced. I thank you for the help and fixing it asap.</t>
  </si>
  <si>
    <t>Jean Kandel</t>
  </si>
  <si>
    <t>We ordered product and after two days…</t>
  </si>
  <si>
    <t>We ordered product and after two days you said it was out of stock after all</t>
  </si>
  <si>
    <t>LETA WELLS</t>
  </si>
  <si>
    <t>Very disappointed</t>
  </si>
  <si>
    <t>Very disappointed. Our order was canceled by you because you didn't get your order of the goods. I know you can't help it if your supplier doesn't come thru for you. But our order was placed middle of July &amp; we're just told Aug 18 you can't supply.</t>
  </si>
  <si>
    <t>SHANNON MOLLOY</t>
  </si>
  <si>
    <t>Thank Goodness for PetFlow</t>
  </si>
  <si>
    <t>I was so thankful that PetFlow had my dog's prescription food because they were the only place that did. Even our local vet couldn't get it. As soon as my order was complete, they contacted my vet to get the process going. In less than 7 business days, I ordered, got approval from our vet and received our bag of food. I am extremely glad I selected AutoShip.</t>
  </si>
  <si>
    <t>Leo</t>
  </si>
  <si>
    <t>exact product I was looking for and at…</t>
  </si>
  <si>
    <t>exact product I was looking for and at a great price and wonderful shipping service</t>
  </si>
  <si>
    <t>RICHARD K FALKE</t>
  </si>
  <si>
    <t>Great price. Fast delivery</t>
  </si>
  <si>
    <t>Great product. Dog loves it</t>
  </si>
  <si>
    <t>Mary Boyle</t>
  </si>
  <si>
    <t>Updated Aug 18, 2022</t>
  </si>
  <si>
    <t>This was my first time ordering from…</t>
  </si>
  <si>
    <t>This was my first time ordering from somewhere other than Chewy.com. I’m very pleased with their service. And they’re cheaper than chewy for the litter I needed. You have a new customer. Well done. P.S. Lets Go Brandon</t>
  </si>
  <si>
    <t>ANGELA SEVERE</t>
  </si>
  <si>
    <t>Your Shipping time was 3x as long as…</t>
  </si>
  <si>
    <t>Your Shipping time was 3x as long as quoted. We ran out of dog food in the meantime I refer a lot of business your way. Not sure I can anymore.</t>
  </si>
  <si>
    <t>HEATHER PARCHMAN</t>
  </si>
  <si>
    <t>food order took a long time to arrive</t>
  </si>
  <si>
    <t>food order took a long time to arrive, wasnt aware to order before noon on fridays to ensure order received before weekend so it was a long time before order was even received</t>
  </si>
  <si>
    <t>patrick</t>
  </si>
  <si>
    <t>when i ordered said in stock,,then i…</t>
  </si>
  <si>
    <t>when i ordered said in stock,,then i get email not in stock,,takes long time to get and multiple delivery,,and you have to add up each delivery to make sure its right,prob won't order again i did twice and happened both times</t>
  </si>
  <si>
    <t>ROBERT VANMETER</t>
  </si>
  <si>
    <t>Another satisfied customer</t>
  </si>
  <si>
    <t>Items were just as I ordered and shipping was faster then I expected. All good things! Glad we discovered PetFlow. It was our son who has two pups, that made the recommendation. Thankful for that.</t>
  </si>
  <si>
    <t>Herb</t>
  </si>
  <si>
    <t>Always correct and on time</t>
  </si>
  <si>
    <t>They accepted an order, charged my credit card - and all the while the food (which was a prescription food) WASN’T EVEN IN STOCK. The item wasn’t listed ‘out of stock’ or ‘on back order’ at the time I purchased it. It was only nearly a week later after I contacted them regarding the order - and after receiving NO communication from them as to the status of the order - that I found out the item was NOT in stock - not then - or at the time I placed the order. Apparently they fulfill PRESCRIPTION food orders through another company (VetSource) and claim that the VetSource warehouse never informed them it was out of stock. In addition, their website CONTINUED to list the item as available days after this incident. Whether or not it’s PetFlow’s fault/responsibility or VetSource’s - the bottom line is Pet Flow shouldn’t accept orders and charge credit cards unless THE ITEM IS IN STOCK.</t>
  </si>
  <si>
    <t>Nick V.</t>
  </si>
  <si>
    <t>Terrible experience…</t>
  </si>
  <si>
    <t>I purchased 2 bags of dog food one came right away the other took a while to be delivered</t>
  </si>
  <si>
    <t>MONICA ABEYTA</t>
  </si>
  <si>
    <t>Delivery</t>
  </si>
  <si>
    <t>Wouldn't allow me to place an order. Had to order through a family member. It's a new house but it's on maps so idk what the problem is.</t>
  </si>
  <si>
    <t>Wouldn't allow me to place an order</t>
  </si>
  <si>
    <t>Your service by email promised to contact my vet about the order for the prescription. You failed to do that and had to cancel the order.</t>
  </si>
  <si>
    <t>MARK STEVENS</t>
  </si>
  <si>
    <t>Failed to Meet Promises</t>
  </si>
  <si>
    <t>Products were good, but delivery took a long time and tracking didn't give updates after day 2.</t>
  </si>
  <si>
    <t>TIMOTHY COOPER</t>
  </si>
  <si>
    <t>Slow delivery, bad tracking updates</t>
  </si>
  <si>
    <t>Awesome experience. Pet feeder was bent. And email was sent explaining how feeder arrived and new feeder was sent out immediately. Great customer service. Well shop here again. Awesome! Awesome! Awesome! Second feeder arrived in excellent condition and my animals are in love with it!</t>
  </si>
  <si>
    <t>DENNIS</t>
  </si>
  <si>
    <t>Very happy with service they provided.</t>
  </si>
  <si>
    <t>Great prices and fast shipping! Awesome auto-ship discount as well.</t>
  </si>
  <si>
    <t>STEPHANIE WALKER</t>
  </si>
  <si>
    <t>Awesome experience</t>
  </si>
  <si>
    <t>cam</t>
  </si>
  <si>
    <t>Great!</t>
  </si>
  <si>
    <t>Great customer service. I provided some feedback regarding coupon/promo codes and received a very nice response quickly. I was just offering some feedback in didn't want/expect anything in return. However, the Rep went above and beyond and provided me with a discount. Wonderful customer service!!</t>
  </si>
  <si>
    <t>ANGELA ROMBACH</t>
  </si>
  <si>
    <t>Petflow has great pricing and service</t>
  </si>
  <si>
    <t>Petflow has great pricing and service. I signed up for the autoship program for out dog's Hills Science Diet. They were priced the most competitively. My order shipped as promised and even delivered a day earlier than expected.</t>
  </si>
  <si>
    <t>DESIREE ZAMBRANA</t>
  </si>
  <si>
    <t>I wasn’t happy when they told me they…</t>
  </si>
  <si>
    <t>I wasn’t happy when they told me they would not charge my card unless the item was available and ready to ship out but unfortunately that wasn’t the case when they decided to charge my card even if it was a pre-authorization or pending I don’t like to see my balance increase unless the item is actually going to ship so today I will call to follow up because when I ordered this last time it looked available I got Vet to approve prescription and it turned out the item was not in stock</t>
  </si>
  <si>
    <t>LLB52</t>
  </si>
  <si>
    <t>Great Prices!</t>
  </si>
  <si>
    <t>PetFlow has the best prices on nice dog pens and wonderful customer service.</t>
  </si>
  <si>
    <t>JOSEPH GONZALES</t>
  </si>
  <si>
    <t>Unable to get product</t>
  </si>
  <si>
    <t>At the time I ordered the product your website said that it was in stock but after about a week later it was no longer in stock and I could not get it at all. I was really hoping that I could get this since after much research your website showed that it was available.</t>
  </si>
  <si>
    <t>RON</t>
  </si>
  <si>
    <t>I’ve shopped with Petflow for years</t>
  </si>
  <si>
    <t>I’ve shopped with Petflow for years. Excellent selection, very good customer service too. The shipping can be a little slow, but that’s FedEx not them. I get aggravated with the auto ship and you have to call in to cancel. But otherwise dry happy with them.</t>
  </si>
  <si>
    <t>BRENDA KEISTER</t>
  </si>
  <si>
    <t>I can't actually manage autoship</t>
  </si>
  <si>
    <t>I can't actually manage autoship. I always get an error that would prompt me to contact costumer service.</t>
  </si>
  <si>
    <t>LINDA MURPHY</t>
  </si>
  <si>
    <t>Disappointed in your service Was told…</t>
  </si>
  <si>
    <t>Disappointed in your service Was told that you had an item in stock to be mailed When I inquired about status of order, I was told an error was made and food was not being mailed Out of stock !!</t>
  </si>
  <si>
    <t>HAt</t>
  </si>
  <si>
    <t>First but not last order !</t>
  </si>
  <si>
    <t>I made my first order for Blue Buffalo wet food for 2 cases because the price was great. The food cost had suddenly skyrocketed on Amazon and chewy. Shipping was fast and exactly right. Food had extended expiration dates. So I immediately repeated my order and had the same great experience! I’m sold on this company.</t>
  </si>
  <si>
    <t>MARGARET FINNEGAN</t>
  </si>
  <si>
    <t>My canned dog came dented</t>
  </si>
  <si>
    <t>My canned dog came dented. One can was so dented that it opened and was so spoiled from being out on delivery that my whole kitchen smelled and I had to throw away about 3 or 4 of the cans. It was so incredibly disgusting.</t>
  </si>
  <si>
    <t>RICHARD DAVILA</t>
  </si>
  <si>
    <t>They did not fulfill any of my orders</t>
  </si>
  <si>
    <t>They did not fulfill any of my orders, few reliable</t>
  </si>
  <si>
    <t>Susan Ross</t>
  </si>
  <si>
    <t>Quick shipping, great selection of dog foods.</t>
  </si>
  <si>
    <t>TERRYN</t>
  </si>
  <si>
    <t>Best prices!</t>
  </si>
  <si>
    <t>Best price on dog food and super fast shipping—love pet flow!!!</t>
  </si>
  <si>
    <t>PATRICIA SOSA</t>
  </si>
  <si>
    <t>Always easy to work with</t>
  </si>
  <si>
    <t>Always easy to work with , the best customer service !!</t>
  </si>
  <si>
    <t>LORRIE CANDLER</t>
  </si>
  <si>
    <t>Easy ordering, they kept me updated about my order. Order was shipped and delivered quickly. Great service.</t>
  </si>
  <si>
    <t>Linda Ryburn</t>
  </si>
  <si>
    <t>Great,prompt service</t>
  </si>
  <si>
    <t>Great,prompt service. Great product. Linda Ryburn</t>
  </si>
  <si>
    <t>Klossau</t>
  </si>
  <si>
    <t>Delivery is quick and accurate</t>
  </si>
  <si>
    <t>I have ordered twice now and the cat food was delivered quickly and best of all, with no damage to any cans. I'm very pleased.</t>
  </si>
  <si>
    <t>FEO</t>
  </si>
  <si>
    <t>Received quickly &amp; packaged well.</t>
  </si>
  <si>
    <t>I love PetFlow. There is great healthy pet food on this site.
My pets look forward to their healthy food and snacks!</t>
  </si>
  <si>
    <t>SABLE JAK</t>
  </si>
  <si>
    <t>Very pleased</t>
  </si>
  <si>
    <t>Naioma Emanuel</t>
  </si>
  <si>
    <t>I love PetFlow</t>
  </si>
  <si>
    <t>Hilary</t>
  </si>
  <si>
    <t>My order was shipped on August 4</t>
  </si>
  <si>
    <t>My order was shipped on August 4, it is now August 13, and it has not shown up. I would love to cancel because I had to drive 100 miles to the nearest pet food supplier to buy food. No clue where the shipment is.</t>
  </si>
  <si>
    <t>Kim B.</t>
  </si>
  <si>
    <t>Very good product and fast shipping</t>
  </si>
  <si>
    <t>Very good product and fast shipping. My dogs are happy!</t>
  </si>
  <si>
    <t>Victoria K</t>
  </si>
  <si>
    <t>Updated Aug 14, 2022</t>
  </si>
  <si>
    <t>I don’t think I will take a risk…</t>
  </si>
  <si>
    <t>I don’t think I will take a risk ordering from this place ever again. I placed an order on Saturday for a prescription food for my cat. I provided the required information to verify my cat’s prescription. I checked the status on the following Tuesday and the order status was “shipping”. A couple days later, on Saturday, a week after placing my order, I called the Petflow to check why my order wasn’t shipped and they told me that they cancelled my order due to stocking issues. Really? Why do you accept orders if you don’t have food in the stock? Why does it have to take a week to figure out that you don’t have food in the stock?? It’s not just any food, it’s prescription food. The customer service was absolutely oblivious. They said that cancellation was sent on Thursday. I didn’t receive anything though. Any reputable business would call in similar circumstances.</t>
  </si>
  <si>
    <t>KIMBERLY REED</t>
  </si>
  <si>
    <t>Unfortunately incorrect stock listed</t>
  </si>
  <si>
    <t>Unfortunately, I ordered 30+ bowls for our rescue. It showed them as in stock and I'd searched everywhere. I paid for it and received confirmation of the order. Then after a few days, I received a email that there were no bowls available, they were out of stock and I wouldn't be receiving my order. So disappointing....</t>
  </si>
  <si>
    <t>ROSE G</t>
  </si>
  <si>
    <t>Best Dog Food Subscription service</t>
  </si>
  <si>
    <t>Best Dog Food Subscription service! I use two different brands for my dogs. One is a prescription food. PetFlow has the best prices and always provides excellent Customer Service when I call. My orders always arrive right on time! I highly recommend PetFlow for all of your pet's needs!</t>
  </si>
  <si>
    <t>ANDREA MENZER-FEEBECK</t>
  </si>
  <si>
    <t>Horrible experience</t>
  </si>
  <si>
    <t>Horrible experience! Do not buy from Petflow! They advertise that they have product in stock and allow you to order it, fill out entire order, credit card info and everything online and tell you we will let you know when it ships. Then a week later says oh I’m sorry we don’t actually have this product, it’s out of stock so guess what I’m going to cancel your order ! They have done this to me twice! They know they don’t have it but still advertise they do! Horrible deceitful way to do business</t>
  </si>
  <si>
    <t>TRACIE OSBORNE</t>
  </si>
  <si>
    <t>My order showed food was in stock</t>
  </si>
  <si>
    <t>My order showed food was in stock. Email stated pending. Continued to say pending for a few days. Called and was told it would be sent asap. A couple days after that was told it was out of stick and credited. Ordered through you because your site said it was available when no one else had it</t>
  </si>
  <si>
    <t>RLL</t>
  </si>
  <si>
    <t>Fast and reliable</t>
  </si>
  <si>
    <t>Fast, reliable shipping. High quality products for great, competitive prices. Thank you Pet Flow.</t>
  </si>
  <si>
    <t>BOB HERBERT HSU</t>
  </si>
  <si>
    <t>I recommend.</t>
  </si>
  <si>
    <t>It was a very pleasant shopping experience. I bought mixed vegetable food for my dogs. They liked it very much, but there were too few kinds of petflow products, which were the fly in the ointment. But it doesn't matter. I think they will improve and I will support them.</t>
  </si>
  <si>
    <t>delphiguy</t>
  </si>
  <si>
    <t>Fast shipping, thanks.</t>
  </si>
  <si>
    <t>FYNN MORELAND</t>
  </si>
  <si>
    <t>On the website</t>
  </si>
  <si>
    <t>On the website, it is too easy to set up multiple auto ships. Would be nice if there was a confirmation box… “you already have this item part of an auto ship, are you sure you want to add another”. Would be nice if people could delete an auto-ship order without have to call customer service and wait on hold.</t>
  </si>
  <si>
    <t>KAREN ARMER</t>
  </si>
  <si>
    <t>Great company. Out of stock not their fault.</t>
  </si>
  <si>
    <t>Placed order. Got email that one item was out of stock and was cancelled. When order came another item was not shipped but I never received another cancel notice for that one.</t>
  </si>
  <si>
    <t>Terry Wolverton</t>
  </si>
  <si>
    <t>Very disappointing</t>
  </si>
  <si>
    <t>I ordered food and was told I needed my vet to prescribe it. After some back and forth with the vet that happened. Then Petflow informed me that they didn't have the food in stock and instead of backordering it, cancelled my order. A lot of wasted time for no result.</t>
  </si>
  <si>
    <t>Ljudice</t>
  </si>
  <si>
    <t>Fabulous</t>
  </si>
  <si>
    <t>Fabulous, great, fantastic, worth it, affordable</t>
  </si>
  <si>
    <t>Mary Griswold</t>
  </si>
  <si>
    <t>Zero star Review…</t>
  </si>
  <si>
    <t>I originally spoke with a very helpful employee who helped me place my order. I received an email verifying the order. I then received another email stating the order was Vet approved and would ship Aug. 8,2022. I looked up my order to check status and saw it was canceled. I called and was told it was out of stock so they canceled it. I received no notification of cancellation nor stock availability.
I have a blind/ deaf diabetic dog. I searched for the Hills product everywhere recommended and realized it was out of stock everywhere except your company. I was thrilled!! You took my order, verified it, checked with my Veterinarian and sent a ship date. Never was I notified of any change to my original order!
I will never order from nor recommend your company. I am a member of several special needs dog groups and will be sharing my experience with your company. I wish I could give a negative stars.
Signed: Mary Griswold</t>
  </si>
  <si>
    <t>ANITA</t>
  </si>
  <si>
    <t>I requested my auto ship arrive early…</t>
  </si>
  <si>
    <t>I requested my auto ship arrive early and it was shipped on 8/1/22. At that time I requested the next auto ship arrive in I believe it was 9 or 12 weeks. However, it appears that another 30# bag of food was shipped today. I certainly do not need 60# of dry food. Hoping Petflow will help to resolve the issue.</t>
  </si>
  <si>
    <t>Kathy J.</t>
  </si>
  <si>
    <t>Prices were good and all items arrived…</t>
  </si>
  <si>
    <t>Prices were good and all items arrived in a timely manner. Website is easy to use.</t>
  </si>
  <si>
    <t>ALEXIS ROEBER</t>
  </si>
  <si>
    <t>You don't deliver parcels.</t>
  </si>
  <si>
    <t>You don't deliver parcels.
Very Disappointed</t>
  </si>
  <si>
    <t>Purrfectly Contented Pat</t>
  </si>
  <si>
    <t>No delivery after 12 days</t>
  </si>
  <si>
    <t>I ordered cat food on July 29th (12 days ago). It still has not arrived. I live in Oregon. Early in this misadventure I received a message that it was being shipped from a more distant place (NJ) because the closer warehouse was out of the brand I chose. Then I got updates that the order was in transit. The day before It was supposed to be delivered (Aug 9th) FedEx said there was an "Exception". I have heard nothing more since then. I am now wondering if I will ever get this order. Very disappointing.</t>
  </si>
  <si>
    <t>TARA NOSICH</t>
  </si>
  <si>
    <t>You guys suck</t>
  </si>
  <si>
    <t>You guys suck. I couldn't even place an order because of ur fraud dept</t>
  </si>
  <si>
    <t>Kitty Mama</t>
  </si>
  <si>
    <t>Unreliable, disappointing</t>
  </si>
  <si>
    <t>I had hoped that Petflow would be a reliable source to order my cats' food, especially the prescription food that is critically important. Unfortunately, Petflow has failed me multiple times, canceling my order FIVE DAYS AFTER I PLACED IT.
Sometimes the chat window on their website works - sometimes it doesn't even appear. I get lots of excuses of why they can't fulfill my orders, including supply chain issues (which I understand), but I can still get those orders fulfilled by Petsmart most of the time.
I came across Petflow when I went to the website for Hill's pet food, and they recommended Petflow as a resource. I DO NOT recommend Petflow if you're looking for a reliable source of pet food and prompt communication. You will be sorely disappointed.</t>
  </si>
  <si>
    <t>GLENN DONOFRI</t>
  </si>
  <si>
    <t>the shipper had damaged the box of dog…</t>
  </si>
  <si>
    <t>the shipper had damaged the box of dog food and returned it to PetFlow. I received a nice e-mail saying they were shipping a replacement out right away.</t>
  </si>
  <si>
    <t>Jim D</t>
  </si>
  <si>
    <t>PetFlow's what the cats need</t>
  </si>
  <si>
    <t>I use PetFlow because they're priced right, prompt and have what the cats on prescription need.</t>
  </si>
  <si>
    <t>NATALIYA KUTYEPOVA</t>
  </si>
  <si>
    <t>Good price, fast shipping. Thanks.</t>
  </si>
  <si>
    <t>CHRISTY</t>
  </si>
  <si>
    <t>I’ve recently moved and I was…</t>
  </si>
  <si>
    <t>I’ve recently moved and I was struggling to find my cats food and I found it on this website but sadly I was put on their fraud list right away. I called customer service and they told me there’s no way for me to talk to the fraud department to get my name off of the list so I never got to actually use their website or products. I feel like this is probably a great company but definitely needs to improve the fraud department. I give two stars because after trying everything and didn’t really receive help I’ve had to find my cats food on a separate website. Also if my order is cancelled, an email letting me know would be helpful instead of waiting a week expecting their food to come to find out it’s not.</t>
  </si>
  <si>
    <t>Ruth Butler</t>
  </si>
  <si>
    <t>Very helpful service over the via phone</t>
  </si>
  <si>
    <t>Very helpful service over the phone. Received just what I ordered fast!</t>
  </si>
  <si>
    <t>JANET ALLI</t>
  </si>
  <si>
    <t>Never heard from you guys</t>
  </si>
  <si>
    <t>Never heard from you guys. Said my order was reported as fraudulent ???
Seriously???? You never even got back to me. I think your company is super sketch! Would never ever order from you again.
Byeeeeeeee…….,,</t>
  </si>
  <si>
    <t>ken123</t>
  </si>
  <si>
    <t>Try Them</t>
  </si>
  <si>
    <t>Great prices and fast shipping.</t>
  </si>
  <si>
    <t>Gator</t>
  </si>
  <si>
    <t>Online order-paying-shipping was great</t>
  </si>
  <si>
    <t>Order online was easy
Check out offered pay pal and was easy to check out
Shipping is quick
Pricing was great
Customer service is fantastic</t>
  </si>
  <si>
    <t>Ben Szilagy</t>
  </si>
  <si>
    <t>Terrible customer service and company…</t>
  </si>
  <si>
    <t>Terrible customer service and company to work with. Site days 1-3 business days delivered from purchase date. Didn’t even ship the product until a week after the order and kept making excuses as to why it wasn’t being shipped. Product was dog food for my puppy that could only be ordered online. Will never order from here again.</t>
  </si>
  <si>
    <t>Deborah h</t>
  </si>
  <si>
    <t>this is a place where they have fair…</t>
  </si>
  <si>
    <t>this is a place where they have fair prices fast delivery would buy from again a+++++++++++++++++++++++++++</t>
  </si>
  <si>
    <t>BETSY RAYLE</t>
  </si>
  <si>
    <t>I asked to be shipped on a Monday.</t>
  </si>
  <si>
    <t>I asked to be shipped on a Monday.
My order wasn’t shipped until Tuesday.
The expiration date on the dog treats I this November.
When I purchase them from Chewy or Amazon, the expiration date is always at least one year out.</t>
  </si>
  <si>
    <t>Tyrone Morgan</t>
  </si>
  <si>
    <t>Everything was great!!</t>
  </si>
  <si>
    <t>I am happy with petflow. There are some inconsistencies with their warehouse Packaging. I placed an extra order and they shipped out boxes weighing 70 lb. I don't know how FedEx moved them I certainly couldn't. I believe they need a little more training and need to use common sense on what they pack in a box. My rep is helpful and the manager that I have spoken to has also been extremely helpful. I would definitely recommend using petflow for all your animals needs.</t>
  </si>
  <si>
    <t>I am happy with petflow</t>
  </si>
  <si>
    <t>I called Customer Service to discuss the possibility of your obtaining more Fromm cat food in small bag sizes. Great conversation.</t>
  </si>
  <si>
    <t>LBrotkin</t>
  </si>
  <si>
    <t>Fromm Cat Food</t>
  </si>
  <si>
    <t>All past orders have been good, and if there were any issues in the past the staff handled it appropriately and quick. However, this past problem was a slap in the face and took much needed funds away from my rescues. PetFlow did not take responsibility for a screw up on an order and I was charged for two orders which took away a few hundred dollars from my rescue pup’s account. Not sure if I should continue with my auto delivery or find another source that cares.delivery</t>
  </si>
  <si>
    <t>STACY BOVE-FULGENZI</t>
  </si>
  <si>
    <t>Past orders have been good until now.</t>
  </si>
  <si>
    <t>Where is the rest of my order?
Your website shows the Hills Prescription Metabolic and Mobility 12.5 bag as being in stock, yet it has not been shipped to me. I do not know whether I have been charged for it.
Please respond to me.
Carol Ann (no "e ") Olsen</t>
  </si>
  <si>
    <t>CAROL ANNE OLSEN</t>
  </si>
  <si>
    <t>Where is the rest of my order?</t>
  </si>
  <si>
    <t>First time order on a pet food I couldn't find anywhere else. Placed order and received order in 5 business days which included the time the pharmacy contacted my vet. Was a mailed and updated as to when my order would be delivered. Will order again</t>
  </si>
  <si>
    <t>Deb</t>
  </si>
  <si>
    <t>Glucose diet for 17 year old cat…</t>
  </si>
  <si>
    <t>Very bothersome! You don’t instantly charge my card! Sometimes it’s a day or two later! I turn my credit card on and off as I’ve had so much fraud! It takes me many attempts each month to get my order. Other companies I do regular
Busy with do the transaction immediately! Super annoyed! Once the order goes through y’all are five star! But the credit card thing is absolutely rediculous! What’s up with that?</t>
  </si>
  <si>
    <t>Robert William</t>
  </si>
  <si>
    <t>Fast good service no hassle</t>
  </si>
  <si>
    <t>Kaybar</t>
  </si>
  <si>
    <t>Very bothersome</t>
  </si>
  <si>
    <t>LB</t>
  </si>
  <si>
    <t>PetFlow is amazing</t>
  </si>
  <si>
    <t>PetFlow is amazing. Best brands, fast delivery and fair prices.</t>
  </si>
  <si>
    <t>Elissa Rogovin</t>
  </si>
  <si>
    <t>Happy kitties</t>
  </si>
  <si>
    <t>I have been happy with Petflow. I’ve been able to get the cases of food that my cats like that I was unable to find elsewhere. The website is easy to use and the price is as expected.</t>
  </si>
  <si>
    <t>KATHLEEN HALE</t>
  </si>
  <si>
    <t>Ordering was easy enough</t>
  </si>
  <si>
    <t>Ordering was easy enough, shipping was the problem. Petflow uses FedEx, an unreliable company. The order was split without Petflow or me being aware. The second portion arrived 3 days later. This is unacceptable. No packing slip was available on either shipment so no information was available to me. I stated to Customer Service when I called to determine status of order that if Petflow continues to use FedEx, I will find another vendor.</t>
  </si>
  <si>
    <t>PATRICK WOOD</t>
  </si>
  <si>
    <t>I placed a large order for kitten food. Credit card processed. When I looked to find out shipping date a few days later, it had been cancelled, no notice to me, no email, nothing! I called and they said when a large order is placed they suspect fraud. Total BS. FirsT and only time you’ll get an order from me.</t>
  </si>
  <si>
    <t>SUZIE MCLEOD</t>
  </si>
  <si>
    <t>CO CANCELLED ORDER WITHOUT NOTIFYING ME</t>
  </si>
  <si>
    <t>There's no status available to see whether or not my vet has been contacted. Canceling the autoship is deceiving, I can only pause it up to 17 weeks. Everything about this website is difficult.</t>
  </si>
  <si>
    <t>MEGAN J</t>
  </si>
  <si>
    <t>Prices were fair and shipment came in a reasonable time</t>
  </si>
  <si>
    <t>Suzanne</t>
  </si>
  <si>
    <t>Prices were fair and shipment came in …</t>
  </si>
  <si>
    <t>Good products at good prices and fast delivery!! I'll be using pet flow again!</t>
  </si>
  <si>
    <t>KAREN GOOD</t>
  </si>
  <si>
    <t>Good products at good prices and fast…</t>
  </si>
  <si>
    <t>The ease of ordering was great, &amp; the shipping was fast</t>
  </si>
  <si>
    <t>Kim Bartley</t>
  </si>
  <si>
    <t>Great service, &amp; good prices</t>
  </si>
  <si>
    <t>Petflow carries food that others don't that I want. The prices are fair and shipping is good. I buy Formm and Nurti Source. The treats and toys are great.</t>
  </si>
  <si>
    <t>NANCY ROBERTS</t>
  </si>
  <si>
    <t>Petflow carries food that others don't…</t>
  </si>
  <si>
    <t>Ordered 4 cases canned dog food, Eleven cans of food severely damaged, 5 cans actually were broke open.
Excellent place to shop but not so good packing</t>
  </si>
  <si>
    <t>carl mcHenry</t>
  </si>
  <si>
    <t>dog food cans damaged</t>
  </si>
  <si>
    <t>This is in reference to my order: 10303683. I ordered 8 packages of these dog treats that your system said were in stock and confirmed the order via email. Then I receive a subsequent email advising they were out of stock. Not a good experience and no way to know how long before I can receive my order. Not a very efficient system.</t>
  </si>
  <si>
    <t>RICHARD ARVONIO</t>
  </si>
  <si>
    <t>This is in reference to my order</t>
  </si>
  <si>
    <t>Customer service wouldnt help located an order i placed approximately 10 days ago. She referred me to the website disclosures. We i told her how to do her job, she became upset. Customer service rep said we all have pets as though it wasn’t a big deal my dog’s order had no information.</t>
  </si>
  <si>
    <t>Valued Customer</t>
  </si>
  <si>
    <t>Customer service wouldnt help located…</t>
  </si>
  <si>
    <t>It was so easy to find what I need for my kitties, it was easy to order and it was at a great price. And the delivery was very fast. PetFlow is the best!!!!</t>
  </si>
  <si>
    <t>karen</t>
  </si>
  <si>
    <t>My cats love this food</t>
  </si>
  <si>
    <t>ecxellent. always helpful</t>
  </si>
  <si>
    <t>martha</t>
  </si>
  <si>
    <t>ecxellent</t>
  </si>
  <si>
    <t>My pups really like the Dr. Marty freez dried food.
And I like being able to get better pricing from PetFlow.</t>
  </si>
  <si>
    <t>Faye Robinson</t>
  </si>
  <si>
    <t>My pups really like the Dr Marty food</t>
  </si>
  <si>
    <t>I ordered 8 boxes of Arm and Hammer litter I received 2 yesterday. The packing box was not strong enough plus tape was not holding the box had holes plus one of the two boxes had broken open and litter all over the boxes inside. I should have 6 boxes to com soon. You did notify me that some were returned to you. Hope you will let me know when and get those out to me a.s.a.p.</t>
  </si>
  <si>
    <t>Judy Sander</t>
  </si>
  <si>
    <t>Need better boxes to ship in.</t>
  </si>
  <si>
    <t>Easy to navigate around the site. Delivery was quick and my items were packaged nicely!</t>
  </si>
  <si>
    <t>LISA GREEN</t>
  </si>
  <si>
    <t>Easy to navigate around the site</t>
  </si>
  <si>
    <t>The food I needed was in stock when I purchased it. When I didn’t get an email that it had shipped I looked at my account online. The account said it was delivered to my address. It was not at my house, so I called Pet Flow and was told that my order had been cancelled because they were unable to get the cat food from the company. My cat was then out of food and I had to hurry up and get new cat food from another company (which is not her prescribed food). After my phone call I got an email from Pet Flow that my order had been cancelled due to the fact that they couldn’t get it from the manufacture. It would have been nice to know that right away so I could have picked another company to begin with. Unsatisfactory!</t>
  </si>
  <si>
    <t>Francesca</t>
  </si>
  <si>
    <t>The food I needed was in stock when I…</t>
  </si>
  <si>
    <t>I recently ordered Hills Science Diet Feline W/D. Your website indicated that it was in stock. However, after several days of waiting for shipping info to come through, I called to check on the order. I was told that it was out of stock. Then a few days later you canceled my order.</t>
  </si>
  <si>
    <t>JOHN FEZIO</t>
  </si>
  <si>
    <t>Is it in stock or not?</t>
  </si>
  <si>
    <t>DIANE Tempe Az</t>
  </si>
  <si>
    <t>Great products, fair prices, fast service</t>
  </si>
  <si>
    <t>RICHARD BOTT</t>
  </si>
  <si>
    <t>Easy to,order</t>
  </si>
  <si>
    <t>Easy to,order, and fast to deliver.</t>
  </si>
  <si>
    <t>kg</t>
  </si>
  <si>
    <t>Never Again</t>
  </si>
  <si>
    <t>Shipping was quick. However a food product needed to be exchanged due to manufacturer changed formula and didn't want old formula sold. Customer service was unbelievably rude and lacking concern completely. I won't spend another dollar with them again. And I have told all the pet parents I know about my experience.</t>
  </si>
  <si>
    <t>CORNELIS BOUDEWIJN</t>
  </si>
  <si>
    <t>Started our automatic delivery program</t>
  </si>
  <si>
    <t>Started our automatic delivery program. It worked flawlessly! I was able to correct a mistake in my order without any problem.</t>
  </si>
  <si>
    <t>SCOTT HOLDER</t>
  </si>
  <si>
    <t>The initial order went great</t>
  </si>
  <si>
    <t>The initial order went great. When it came time to reorder our cats diabetic food it was out of stock. We waited hoping it would return by the time we needed it, but we were sent scrambling to find another source.</t>
  </si>
  <si>
    <t>HOWARD LOW</t>
  </si>
  <si>
    <t>Reliable repeat order program</t>
  </si>
  <si>
    <t>Reliable repeat order program at reasonable prices.</t>
  </si>
  <si>
    <t>CAROL</t>
  </si>
  <si>
    <t>Petfow is consistently good overall. Timely shipping and mostly reasonable in costs. Any issues I've had were always addressed to satisfaction.</t>
  </si>
  <si>
    <t>Easy ordering and quick delivery</t>
  </si>
  <si>
    <t>Great prices, always in stock and fast delivery. Excellent customer service.</t>
  </si>
  <si>
    <t>Scott</t>
  </si>
  <si>
    <t>Petfow is consistently good overall</t>
  </si>
  <si>
    <t>I have shopped Petflow for years but lately they are having difficulties filling and shipping orders. I order when I am about 2 weeks out from having either dog or cat food. They can't ship in a timely manner.I have cancelled my last 2 orders due to shipping. I will wait and try them again.</t>
  </si>
  <si>
    <t>K Rom</t>
  </si>
  <si>
    <t>The best!</t>
  </si>
  <si>
    <t>Unfortunately. the delivery was promised for a specific, acceptable date, then changed by Petflows carrier to the next day, and, to make your service unusable, delayed yet another day.
Learn to honor your commitments if you want my ongoing business. Expectations for Saturday do not mean Monday. No excuses.</t>
  </si>
  <si>
    <t>JOYCE CURTIS</t>
  </si>
  <si>
    <t>I have shopped Petflow for years but…</t>
  </si>
  <si>
    <t>While there were a couple of mishaps in my order, PetFlow went out of its way to make sure everything was made right. In fact, they went above and beyond! I've been recommending them to my friends and family with confidence, have ordered and will definitely order again. Thanks especially to Ryan, from PetFlow!</t>
  </si>
  <si>
    <t>RICHARD K.</t>
  </si>
  <si>
    <t>Deceptive Delivery Commitment</t>
  </si>
  <si>
    <t>Great company. Very fast shipping. Prices are competitive.</t>
  </si>
  <si>
    <t>Denise Kramer</t>
  </si>
  <si>
    <t>Above and Beyond Service!</t>
  </si>
  <si>
    <t>PetFlow has the best price on the dog food I purchase for my dog. Ordering is simple and delivery is fast.</t>
  </si>
  <si>
    <t>Excellent product selection and pricing. We are so happy that there is a wide variety of pet products. Customer service is above par!</t>
  </si>
  <si>
    <t>JOHN B</t>
  </si>
  <si>
    <t>Best prices and great service</t>
  </si>
  <si>
    <t>The package arrived on time and everything inside was good.</t>
  </si>
  <si>
    <t>COURTNEY FRALEY</t>
  </si>
  <si>
    <t>Great Products!</t>
  </si>
  <si>
    <t>Ordered Hills W/D wet cat food... Website said in stock. I get a confirmation email and am asked to be patient as they contact my veterinarian for approval. About a week later I get an email saying the food is now out of stock. Veterinarian was prompt in their response, so unfortunately I think that this is just poor management of stock. Very unfortunate.</t>
  </si>
  <si>
    <t>The package arrived on time and…</t>
  </si>
  <si>
    <t>Nobody, including my vet, could get this particular Rx product. It was out of stock everywhere. So I was thrilled to see PF's website say it was in stock. I did the order, arranged the Rx, and my vet responded to fax the next day. I assumed it was all set, and planned around it shipping soon, waited. I got notified 8 days after my order that PF didn't have the item and wasn't going to get it, so they canceled my order. I am not sure if that means the website just was wrong, and PF was like every other site that didn't have this in stock, except website/inventory error? In this case I have a backup plan for my cat's new medical needs (this is a new diet after hospital admission), and so I'm not left hanging. Cat will be fine. But the fact that I waited 8 days just to hear this order was never going to happen will make me avoid this service for my next Rx. Hope this feedback is helpful to the company to potentially improve the service.</t>
  </si>
  <si>
    <t>MEGAN</t>
  </si>
  <si>
    <t>Food went out of stock after purchasing</t>
  </si>
  <si>
    <t>Products arrive on time and are very well packaged.</t>
  </si>
  <si>
    <t>CAP</t>
  </si>
  <si>
    <t>PF canceled order 8 days later</t>
  </si>
  <si>
    <t>Ellen</t>
  </si>
  <si>
    <t>Very reliable</t>
  </si>
  <si>
    <t>JAILALL RAMLAGAN</t>
  </si>
  <si>
    <t>My cat only wants a certain brand of talapia for breakfast each morning and since the supply chain issues, we haven’t been able to find it from our usual source. It’s a popular grain free brand and they haven’t been able to keep this brand in stock in any of their stores. That also applies to other flavors of the same brand. I’ve had no issues buying cases of the food from PetFlow. As a matter of fact, I decided to put it on auto ship because I know I can rely on getting what I need at basically the same price but delivered to my door. Thanks!</t>
  </si>
  <si>
    <t>DEBORAH</t>
  </si>
  <si>
    <t>No supply chain issues here</t>
  </si>
  <si>
    <t>I wish I could give a five star because I love the availability for delivery. It did take a little long to receive the order, but I didn’t like the packaging. When I opened the box, I cut the bag of dog food, even thought I opened it carefully just in case. There should be some type of protection at least where we have to cut the box open.</t>
  </si>
  <si>
    <t>LYANNE LOPEZ</t>
  </si>
  <si>
    <t>Dog food delivery</t>
  </si>
  <si>
    <t>Cats like food that was ordered. Yet again, the box was partially open when delivered. Some cans dented. What goes?</t>
  </si>
  <si>
    <t>RUTH ROTHMAN</t>
  </si>
  <si>
    <t>Cats like food that was ordered</t>
  </si>
  <si>
    <t>Easy to use website, products desired always in stock so far.</t>
  </si>
  <si>
    <t>RICHARD</t>
  </si>
  <si>
    <t>When I ordered WD canned cat food I know it has to be approved by my vet and that it takes a little longer because it is prescription. It was in stock when I ordered it and I thought with my request once it was approved, I would get a case, believing a case was held for my order. I made 3 or 4 phones call to PetFlow regarding status and after receiving an email to have my vet approve their request, I call to let them know my vet would be approving shortly. The person said they would let the pharmacy know, but he never asked me for the order number, my name or any of my order information. The last call I made, PetFlow said it would ship that day or by Monday. The next day I saw the order was rejected and I called again. Apparently, it became out of stock right before my vet approved the prescription.</t>
  </si>
  <si>
    <t>CCole</t>
  </si>
  <si>
    <t>Disappointing Experience</t>
  </si>
  <si>
    <t>Was out of the dogfood that I wanted but I guess that was not their fault. They cancelled the order automatically instead of giving me the option for back order or to cancel it myself.</t>
  </si>
  <si>
    <t>Kathy Huber</t>
  </si>
  <si>
    <t>Was out of the dogfood…</t>
  </si>
  <si>
    <t>Petflow is fast and accurate at shipping out my order, but the packing leaves something to be desired. I order two cases of canned dog food with each order and the box usually shows up damaged and/or repaired, but the cans are OK. This time three of the 24 cans where bent with one actually crushed. I realized the order is heavy and challenging to pack, but it could be done better than it has been.</t>
  </si>
  <si>
    <t>Barb S</t>
  </si>
  <si>
    <t>Packaging could be better and more protective</t>
  </si>
  <si>
    <t>Everything was great…
Everything was great until the shipping. I don't know what happened but it took too long this time and I had to go locally and buy the same things that almost cost me double. I cant have my cat who has kidney issues eat anything else but this brand of canned food. Maybe next time it will be better.</t>
  </si>
  <si>
    <t>ZooFmly</t>
  </si>
  <si>
    <t>Everything was great…</t>
  </si>
  <si>
    <t>Petflow always processes orders quickly and accurately. Shipment is excellent.</t>
  </si>
  <si>
    <t>JOHN DOWN</t>
  </si>
  <si>
    <t>Petflow always processes orders quickly…</t>
  </si>
  <si>
    <t>Extremely poor packaging with using cheap boxes and very little tape that results in receiving damaged products. Even Walmart and Amazon use better boxes and more tape for sealing.</t>
  </si>
  <si>
    <t>MARK ELIASOFF</t>
  </si>
  <si>
    <t>Extremely poor packaging with using…</t>
  </si>
  <si>
    <t>I ordered something out of stock, so it was the case. They said they would let me know when it came back in. The customer service was very fine.</t>
  </si>
  <si>
    <t>AUDREY EPSTEIN</t>
  </si>
  <si>
    <t>I ordered something out of stock</t>
  </si>
  <si>
    <t>The "profit racks" is something like speed bumps to hold me back from completing my purchase. I don't like it.</t>
  </si>
  <si>
    <t>ROBERT EWING</t>
  </si>
  <si>
    <t>Review</t>
  </si>
  <si>
    <t>Always have available merchandise. The staff is very helpful and friendly.</t>
  </si>
  <si>
    <t>DIANE ALDRETE</t>
  </si>
  <si>
    <t>Always have available merchandise</t>
  </si>
  <si>
    <t>PetFlow has always been great and prompt. Customer service always friendly. The only thing I wish for one day is for Fromm products (dog) to go on sale once in a while : )</t>
  </si>
  <si>
    <t>LORI DIGIOVANNI</t>
  </si>
  <si>
    <t>PetFlow has always been great and…</t>
  </si>
  <si>
    <t>you helped us by getting the dr marty had huge problems we received from you you spent hours trying to get this for our pup it came so fast our dog really to get this we found you by google we now will be getting this from you nice job cindy</t>
  </si>
  <si>
    <t>charles</t>
  </si>
  <si>
    <t>you got us the product</t>
  </si>
  <si>
    <t>I recently had a very helpful and pleasant experience with PetFlow. They had left out one item by mistake in my order, and also replaced a bag of dog food that came with a small hole in it, no questions asked, they just said they would replace it. No hassle of fuss and very pleasant in the phone. I’ve ordered from them for years and will continue to do so.</t>
  </si>
  <si>
    <t>Sandra F</t>
  </si>
  <si>
    <t>Timely order in good shape</t>
  </si>
  <si>
    <t>Always easy &amp; convenient to order our dogs’ food online.</t>
  </si>
  <si>
    <t>Pet friend</t>
  </si>
  <si>
    <t>Competitive prices and fast delivery, I would order from them again !</t>
  </si>
  <si>
    <t>LANCE YOUNG</t>
  </si>
  <si>
    <t>Always easy &amp; convenient to order our…</t>
  </si>
  <si>
    <t>PATRICIA LLOYD</t>
  </si>
  <si>
    <t>Competitive prices and fast delivery</t>
  </si>
  <si>
    <t>Robert Stoff</t>
  </si>
  <si>
    <t>I appreciated the email stating the dog…</t>
  </si>
  <si>
    <t>I appreciated the email stating the dog food I ordered would be a few days late! I’m glad they sell Fromms! It’s the only dog food my dogs have been used to!</t>
  </si>
  <si>
    <t>WILSON</t>
  </si>
  <si>
    <t>Great to deal with</t>
  </si>
  <si>
    <t>Great to deal with. Easy ordering and fast delivery. Thanks, Petflow.</t>
  </si>
  <si>
    <t>PATRICIA WALLEY</t>
  </si>
  <si>
    <t>My order was canceled.</t>
  </si>
  <si>
    <t>Really one star is too high of a rating. I tried to order Hills Science Prescription Diet w/d wet food for my cat and saw where PetFlow had it available. PetFlow verified with my vet that my cat was supposed to have the food and then I got a notice that PetFlow cancelled my order because they did not have it in stock. Why say you had it in stock online and then go through the process of charging my credit card and verifying with my vet when you knew good and well you did not have it in stock. Poor, very poor experience.</t>
  </si>
  <si>
    <t>STEPHENY TAYS</t>
  </si>
  <si>
    <t>Misleading Information</t>
  </si>
  <si>
    <t>I ordered a prescription canned food for my cat. You emailed me asking me to contact my vet because you didn’t have approval for the food. My vet approved, then you canceled my order because you didn’t even have the product available! What a joke of a process!!! Thanks for wasting everyone’s time.</t>
  </si>
  <si>
    <t>Banteaux</t>
  </si>
  <si>
    <t>Advertise products they don’t have!</t>
  </si>
  <si>
    <t>Your website specifically said you had my prescription cat food in stock. So I ordered it - twice. Only after you took all my personal info and told me you were getting ready to ship my order did you inform me the food was out of stock. I lost a week of finding food for my poor cat waiting on you to be honest and admit you didn't have it. I also told you to cancel my account and delete my personal information. You obviously did not because you emailed me to do this survey.</t>
  </si>
  <si>
    <t>Angie Tracy</t>
  </si>
  <si>
    <t>Awful First Order Experience</t>
  </si>
  <si>
    <t>PetFlow is wonderful and always comes to my rescue, when other places cannot. They contact the veterinarian promptly to verify my cat’s prescription, and the food is delivered in record time. I’m completely satisfied with PetFlow!</t>
  </si>
  <si>
    <t>Mrs. Bill</t>
  </si>
  <si>
    <t>Dishonest company</t>
  </si>
  <si>
    <t>I just started using PetFlow for my dog's first prescription food as I found the prices better than competition. They even reached out to our vet to get the prescription and in just a few days, I had the food on my porch! Easy peasy.</t>
  </si>
  <si>
    <t>Sheila Brooks</t>
  </si>
  <si>
    <t>The Food You Need When You Need It</t>
  </si>
  <si>
    <t>Shipment arrived right on time. Thank you!</t>
  </si>
  <si>
    <t>Crystal Shackleford</t>
  </si>
  <si>
    <t>Great pricing, fast and easy</t>
  </si>
  <si>
    <t>very slow delivery.
no delivery status report.
MUCH slower than Chewy</t>
  </si>
  <si>
    <t>Elizabeth Moody</t>
  </si>
  <si>
    <t>Shipment arrived right on time</t>
  </si>
  <si>
    <t>First order went overall well. Need more discounts.</t>
  </si>
  <si>
    <t>DOREEN BARNAS</t>
  </si>
  <si>
    <t>Awesome customer service</t>
  </si>
  <si>
    <t>Awesome customer service! Carolina is professional and always provides fantastic customer service! Resolved my problem with a smile! Thanks!</t>
  </si>
  <si>
    <t>jsmom</t>
  </si>
  <si>
    <t>cats don't like and they don't take…</t>
  </si>
  <si>
    <t>cats don't like and they don't take returns. What do I do with such expensive food? Took over a week to get when Chewy does 1-3 day shipping at most.</t>
  </si>
  <si>
    <t>CANTWELL, JOANNE</t>
  </si>
  <si>
    <t>Placed an order and it was at my door…</t>
  </si>
  <si>
    <t>Placed an order and it was at my door in a couple of days.</t>
  </si>
  <si>
    <t>RILEY MCINTIRE</t>
  </si>
  <si>
    <t>I'm disappointed with autoship</t>
  </si>
  <si>
    <t>I'm disappointed with autoship. Items can't be added if they're in stock. When in stock and added, they aren't shipped if out of stock, that is they're not reserved when the order is placed. Why use autoship? I've started ordering and buying directly, and pay a penalty for doing that.</t>
  </si>
  <si>
    <t>Gloria</t>
  </si>
  <si>
    <t>Great selection and price.</t>
  </si>
  <si>
    <t>Placed my order on July 12th &amp; I’m still waiting for my shipment. I’ve had to buy food locally due to get him by. I texted &amp; emailed my concerns &amp; was told it’s been approved &amp; would be shipping in a few days. As of today, July 24th, still no shipping notification or why there is a delay. Terrible customer service &amp; im very unhappy!</t>
  </si>
  <si>
    <t>DEBORAH TREADWAY</t>
  </si>
  <si>
    <t>Had an issue with a previous order. Petflow issued a credit for that order so I ordered again and this time everything was great. I appreciate a company that makes things right. I will be ordering from them again!!</t>
  </si>
  <si>
    <t>LISA HERNDON</t>
  </si>
  <si>
    <t>Placed my order on July 12th &amp; I’m…</t>
  </si>
  <si>
    <t>I would say the customer service rep has had the issue I called about many times so she certainly understood the frustration. I think Petflow as a company leaves a lot to be desired regarding how they handle things. The 3 stars is for the young lady whom I spoke with.</t>
  </si>
  <si>
    <t>Dl</t>
  </si>
  <si>
    <t>If there is an issue they will make things right!</t>
  </si>
  <si>
    <t>Petflow delivers to my DOOR and not to the post office, and the order is accurate and secure! I love them.</t>
  </si>
  <si>
    <t>RIKI ORELLANA</t>
  </si>
  <si>
    <t>customer service vs company policy</t>
  </si>
  <si>
    <t>I have dealt with pet flow for over a year now . Prices very reasonable customer service great. Very quick delivery . Have recommended them to others. Will continue to use them in the future</t>
  </si>
  <si>
    <t>Linda Schulz</t>
  </si>
  <si>
    <t>Petflow delivers to my DOOR</t>
  </si>
  <si>
    <t>I still have not received my order or a ship date. I ordered two weeks ago and the item was in stock. I am out of food and disappointed.</t>
  </si>
  <si>
    <t>KEITH SCHWARTZ SCHWARTZ</t>
  </si>
  <si>
    <t>I have dealt with pet flow for over a…</t>
  </si>
  <si>
    <t>Worst pet online company. Unreliable delivery service. Overall horrible pet online company. Do not use this company for your furry babies. I am a very dissatisfied customer.</t>
  </si>
  <si>
    <t>ERIN ANSELM</t>
  </si>
  <si>
    <t>I still have not received my order or a…</t>
  </si>
  <si>
    <t>Customer service was good. Disappointed that I was able to add an item to my cart, check out, and process an order only to find out a week later it was not available to order.</t>
  </si>
  <si>
    <t>TRINIDAD MAGNO</t>
  </si>
  <si>
    <t>Worst pet online company</t>
  </si>
  <si>
    <t>Always ship fast, worked hard to get my prescription food. Customer service is very responsive.</t>
  </si>
  <si>
    <t>Kam</t>
  </si>
  <si>
    <t>Mixed Experience</t>
  </si>
  <si>
    <t>I was very happy to find Petflow since they have some products I no longer can get on Chewy. Their ordering was smooth, prices fair and I have used them twice now. And I will again!</t>
  </si>
  <si>
    <t>KARA MILLER</t>
  </si>
  <si>
    <t>Great place to get prescription cat products</t>
  </si>
  <si>
    <t>Ordered hard to get dog food - Arrived on time as ordered.</t>
  </si>
  <si>
    <t>Lydia Theys</t>
  </si>
  <si>
    <t>Very pleased with your service. Especially the people that answered the phone. I wait only a minute to speak to someone. They are very pleasant and professional. Thank you</t>
  </si>
  <si>
    <t>Ordered hard to get dog food</t>
  </si>
  <si>
    <t>It to long to get then I only got 1/2 order then you tell me I can’t get the can food,I differently won’t buy from you again.</t>
  </si>
  <si>
    <t>BARBARA GROSSI</t>
  </si>
  <si>
    <t>Great .</t>
  </si>
  <si>
    <t>Still has not yet shipped despite a 1-2 day wait on the website. I’ve contacted support via text and despite this, my dog’s food has not shipped.</t>
  </si>
  <si>
    <t>RICHARD BAUMGARTNER</t>
  </si>
  <si>
    <t>It to long to get then I only got 1/2…</t>
  </si>
  <si>
    <t>Aaron Schott</t>
  </si>
  <si>
    <t>Still has not yet shipped despite a 1-2…</t>
  </si>
  <si>
    <t>PATTY JABLONOWSKI</t>
  </si>
  <si>
    <t>Customer service very helpful</t>
  </si>
  <si>
    <t>Customer service very helpful. Quick response to text message.</t>
  </si>
  <si>
    <t>RICHARD RITCHEY</t>
  </si>
  <si>
    <t>Thanks</t>
  </si>
  <si>
    <t>I would like thank Pet Flow and especially the young lady I spoke to when I called in about my order. I have always been very happy with your service, especially now. Service and customer satisfaction have always been extraordinary.</t>
  </si>
  <si>
    <t>RICHARD CECCACCI JR</t>
  </si>
  <si>
    <t>They sent me a duplicate order and told…</t>
  </si>
  <si>
    <t>They sent me a duplicate order and told me I could return it if I pay the shipping. Not good business practice. Lost this customer of a shipping charge that was their fault.</t>
  </si>
  <si>
    <t>ROBIN ELDER</t>
  </si>
  <si>
    <t>Too much confusion....</t>
  </si>
  <si>
    <t>I ordered a product you listed as in stock
Gave info for Vet Clinic
Order was marked shipped in account but no tracking supplied
after a few days i looked on line and account said script denied by Clinic
Then I received an email saying out of stock and order cancelled
Not a good way to start with my first order</t>
  </si>
  <si>
    <t>LAURA ANNE WELCH</t>
  </si>
  <si>
    <t>Good value and Service</t>
  </si>
  <si>
    <t>Finding birdfood in 25 lbs is very hard the order went great and was delivered fast very happy</t>
  </si>
  <si>
    <t>dorecia wilde</t>
  </si>
  <si>
    <t>Birdfood</t>
  </si>
  <si>
    <t>My orders were canceled and I didn't get any email letting me know. I had to contact customer service and they told me they were canceled</t>
  </si>
  <si>
    <t>CHRISTINE BONHAM</t>
  </si>
  <si>
    <t>My orders were canceled and I didn't…</t>
  </si>
  <si>
    <t>Good experience and they had what I wanted and quick delivery. I’ll use you again!</t>
  </si>
  <si>
    <t>DOUGLAS VERGARA</t>
  </si>
  <si>
    <t>Good experience and they had what I…</t>
  </si>
  <si>
    <t>I think the communication around delivery was good, and the prices were good! But, the separate package I was sent of wet food (to fulfill the order) had dents along the side, which I am reluctant to give to any of the cats we care for. So, in that regard, I'm unsure of whether to ask for a partial refund, and/or to order through PetFlow again.</t>
  </si>
  <si>
    <t>bwheeler</t>
  </si>
  <si>
    <t>Mostly good, but some dented cans</t>
  </si>
  <si>
    <t>Only picked your website because of the promised 10% off first order and it wasnt valid for my products.</t>
  </si>
  <si>
    <t>Roy Chen</t>
  </si>
  <si>
    <t>Only picked your website because of the…</t>
  </si>
  <si>
    <t>Exceptional communication &amp; Deliver right on time</t>
  </si>
  <si>
    <t>SUSAN WINTER</t>
  </si>
  <si>
    <t>Exceptional communication &amp; Deliver…</t>
  </si>
  <si>
    <t>I ordered specific food. Was told two to three times, just hadnt been packed and shipped. Vet provided prescription. Last minute told didnt have in inventory. They repeatedly were dishonest! Caveat Emptor!</t>
  </si>
  <si>
    <t>John Dustin</t>
  </si>
  <si>
    <t>I ordered specific food</t>
  </si>
  <si>
    <t>My order was canceled by you guys because you didn't have the product.</t>
  </si>
  <si>
    <t>LAZARO PEREZ</t>
  </si>
  <si>
    <t>My order was canceled by you guys…</t>
  </si>
  <si>
    <t>Appreciative of recent discount offered when purchasing greater than $200 worth of products. I feed approximately 35 cats, so I buy in larger quantities when on sale. Canned food continues to arrive dented and one can popped open on last delivery, but I've already informed your company of dented cans in the past with no change.</t>
  </si>
  <si>
    <t>JEN PETSU</t>
  </si>
  <si>
    <t>Appreciative of recent discount offered…</t>
  </si>
  <si>
    <t>I am very satisfied with petflow. Service is great. Delivery is fast</t>
  </si>
  <si>
    <t>Mildred Crawford</t>
  </si>
  <si>
    <t>I am very satisfied with petflow</t>
  </si>
  <si>
    <t>So happy I found this website . They have all my Frenchie’s products . Will order again soon!</t>
  </si>
  <si>
    <t>Erica A</t>
  </si>
  <si>
    <t>So happy I found this website</t>
  </si>
  <si>
    <t>I know it's a specialty food, but I think for the amount of food delivered for the price is still too high</t>
  </si>
  <si>
    <t>VICKI HARTSBURG</t>
  </si>
  <si>
    <t>Great experience dealing with PetFlow</t>
  </si>
  <si>
    <t>Order was processed very quickly and website is very easy to navigate</t>
  </si>
  <si>
    <t>Stan</t>
  </si>
  <si>
    <t>I know it's a specialty food</t>
  </si>
  <si>
    <t>Excellent service, they keep me informed on my orders. If there is a problem they inform me in advance! Good job!</t>
  </si>
  <si>
    <t>VIRGINIA SUNDIN</t>
  </si>
  <si>
    <t>Order was processed very quickly and…</t>
  </si>
  <si>
    <t>Steven Kellerman</t>
  </si>
  <si>
    <t>nelfudge</t>
  </si>
  <si>
    <t>This was my first order with PetFlow</t>
  </si>
  <si>
    <t>This was my first order with PetFlow. I ordered a bag of puppy food and Fed Ex was to deliver. I received a notice stating that it was delivered and I checked and it was not there.
PetFlow and FedEx were both excellent in finding the dog food.
Great Customer Service</t>
  </si>
  <si>
    <t>JENN</t>
  </si>
  <si>
    <t>Will order again</t>
  </si>
  <si>
    <t>Easy to use website. Ordering &amp; delivery were quick and easy.</t>
  </si>
  <si>
    <t>DEIDRA ECKERD</t>
  </si>
  <si>
    <t>My cat has a very sensitive system and…</t>
  </si>
  <si>
    <t>My cat has a very sensitive system and no one had her food except PetFlow. You got it here quickly and it was correct. Thank you!</t>
  </si>
  <si>
    <t>Gems Mom</t>
  </si>
  <si>
    <t>Long time returning customer- love this…</t>
  </si>
  <si>
    <t>Long time returning customer- love this company</t>
  </si>
  <si>
    <t>Alicia P</t>
  </si>
  <si>
    <t>Great prices! Fast shipping!</t>
  </si>
  <si>
    <t>Txbear</t>
  </si>
  <si>
    <t>Great service with competitive prices</t>
  </si>
  <si>
    <t>Fast delivery and better prices than petsmart or petco. Purchased 200 lbs of dry blue buffalo.</t>
  </si>
  <si>
    <t>JOAN</t>
  </si>
  <si>
    <t>What was that dog food???</t>
  </si>
  <si>
    <t>First I couldn’t remember the name of the dog food. Replied to one of their ads asking about it. Immediately they replied that they’d find it. Sent me the link and bingo! Ordered it and it came in about 3 days! It’s the one food Dog can eat without scratching his hide off! Lovely be it!</t>
  </si>
  <si>
    <t>Excellent selection</t>
  </si>
  <si>
    <t>Excellent selection of dog food and treats. Good prices.</t>
  </si>
  <si>
    <t>CYNTHIA MCMAHAN</t>
  </si>
  <si>
    <t>Readily replaced an item damaged in…</t>
  </si>
  <si>
    <t>Readily replaced an item damaged in shipping, very helpful customer service</t>
  </si>
  <si>
    <t>CARTER FARMER</t>
  </si>
  <si>
    <t>Had the quality brands need at best…</t>
  </si>
  <si>
    <t>Had the quality brands need at best price</t>
  </si>
  <si>
    <t>Marilyn Thorson</t>
  </si>
  <si>
    <t>Lately I have a few problems with the items ordered...
Some chews looked really bad and I ordered some bird items that were damaged...
However, customer service were very helpful and sent corrected items....
These things happen in shipment....</t>
  </si>
  <si>
    <t>Jane Smiley</t>
  </si>
  <si>
    <t>Wonderful service</t>
  </si>
  <si>
    <t>Your site was the only one that had the prescription diet my cat needed. Also, when I went online to look for another option, there was no way I could look at the ingredient list. I called someone using the number you listed. She, also, was unable to get the list of ingredients but told me she would call the company and get back to me. About an hour later she sent me an email listing the ingredients. Appreciate the wonderful service.</t>
  </si>
  <si>
    <t>Picky Eaters Approved! (And bonus: scratch resistant)</t>
  </si>
  <si>
    <t>We have 2 German Shepard’s who decided to become really picky.. after ordering this food, they eat it right up! They love it. I have noticed even after just a couple weeks it has also calmed down Scooby’s scratching some (we haven’t been able to pinpoint why he scratches so much), so hoping that with continued feeding of this brand, it will help even more!</t>
  </si>
  <si>
    <t>Joan</t>
  </si>
  <si>
    <t>I have been using PetFlow for over 10…</t>
  </si>
  <si>
    <t>I have been using PetFlow for over 10 years. Their prices are great, and shipping is always super fast.</t>
  </si>
  <si>
    <t>JC</t>
  </si>
  <si>
    <t>Trustworthy company</t>
  </si>
  <si>
    <t>Trustworthy company! Pet food shipped quickly. Just as good as competitors. I can always rely on them!</t>
  </si>
  <si>
    <t>MJ.</t>
  </si>
  <si>
    <t>Took 8 days for delivery!</t>
  </si>
  <si>
    <t>Took 8 days for delivery!? Ran out of dog food in the interim. Several emails and a phone contact to customer service, nobody could tell me where my order was. I received several messages, none of which could tell me a correct delivery date. Frustrating!</t>
  </si>
  <si>
    <t>JERRY SCOTT</t>
  </si>
  <si>
    <t>Delivery is fast my cats love hills cat…</t>
  </si>
  <si>
    <t>Delivery is fast my cats love hills cat food great job Hills</t>
  </si>
  <si>
    <t>jim</t>
  </si>
  <si>
    <t>Good price on dog food order. Tracking provided and fast shipping.</t>
  </si>
  <si>
    <t>Dave G.</t>
  </si>
  <si>
    <t>Order was slow to deliver.</t>
  </si>
  <si>
    <t>Quick customer service, a variety of dog foods to choose from.</t>
  </si>
  <si>
    <t>Breewynd Labradors</t>
  </si>
  <si>
    <t>Quick customer service</t>
  </si>
  <si>
    <t>JOHN BOSTER</t>
  </si>
  <si>
    <t>I called to change an order for a later…</t>
  </si>
  <si>
    <t>I called to change an order for a later date and told her to make sure she keeps the newest date, well she cancelled both orders. When I called back to find out why, the girl was very rude because I was upset and said the earlier call she didn’t know what she was doing. I may just switch back to chewy.</t>
  </si>
  <si>
    <t>MNTX</t>
  </si>
  <si>
    <t>Easy ordering and prompt delivery</t>
  </si>
  <si>
    <t>Ordered with a coupon! Perfect delivery.</t>
  </si>
  <si>
    <t>LINDA MIVILLE</t>
  </si>
  <si>
    <t>Ordered with a coupon</t>
  </si>
  <si>
    <t>Only received half of our order, and cannot get the auto ship part to work correctly. also a very hard to navigate and unclear website. Not user friendly!</t>
  </si>
  <si>
    <t>Janet Moore</t>
  </si>
  <si>
    <t>Only received half of our order</t>
  </si>
  <si>
    <t>My food order was “lost in transit” and after waiting for 5 days and having to contact the company they “made it up to me” by simply sending me a new order. While shipping issues may not be the vendor’s fault, communication and customer satisfaction should still matter.</t>
  </si>
  <si>
    <t>SARAH MCANALLY</t>
  </si>
  <si>
    <t>Lost Order</t>
  </si>
  <si>
    <t>Placed my first order. Everything arrived in wonderful condition and was priced at great prices.</t>
  </si>
  <si>
    <t>CFrick</t>
  </si>
  <si>
    <t>Placed my first order</t>
  </si>
  <si>
    <t>So great and will help if there is a problem with order. Al ways on time.</t>
  </si>
  <si>
    <t>CLEMENTINE MAUREEN L PARADISE</t>
  </si>
  <si>
    <t>So great and will help if there is a…</t>
  </si>
  <si>
    <t>A few things went wrong. Items shipped from two warehouses which is okay, but took an extra few days for shipping. Didn't ship immediately. The first shipment they shorted me a bag of food. So since the chat feature wasn't working, e-mail stated they are behind on answering, so I called them. I was told the "missing" bag would arrive on Monday. This didn't sound right to me since it showed it had been shipped with the order. And I knew I was going to get the remaining part of my order by Wednesday. This was on a Friday. I then e-mailed for confirmation the missing bag would be here on Monday as stated. Instead the next representative who responded by e-mail let me know they had put in a replacement to ship the missing bag. So the shorted bag was simply a packing error, and instead of telling me they had messed up, they were stringing me along. Because the second rep. put the order in, I did finally receive the bag I had been shorted. Also, always check the fresh by dates. One item I received has a use by date of 8/22 which is only a month out. Luckily it is a treat, and I will be using it this coming week. So overall, not too thrilled with how they ship, some of their customer service, but the prices are goods. I will probably order from again, but I know to stay vigilant on when it's being shipped, once it's arrived to check it, then to verify the use by dates.</t>
  </si>
  <si>
    <t>LINDA</t>
  </si>
  <si>
    <t>Everything came quickly &amp; good prices.</t>
  </si>
  <si>
    <t>Good, fast delivery, and cat food was in good shape when it got here. Best price I could find on it too. I will definitely use PetFlow again.</t>
  </si>
  <si>
    <t>customer Brenda</t>
  </si>
  <si>
    <t>A few things went wrong</t>
  </si>
  <si>
    <t>Will order again! 5 stars!</t>
  </si>
  <si>
    <t>Will use PetFlow again.</t>
  </si>
  <si>
    <t>Fast delivery! Available products!
I was able to find a certain dog food that was not available on another pet food website.
Thanks PetFlow</t>
  </si>
  <si>
    <t>Kika</t>
  </si>
  <si>
    <t>It was great! I will always order my food from here.</t>
  </si>
  <si>
    <t>Cheryl</t>
  </si>
  <si>
    <t>Have been using PerFlow for several years, with 2 standard Poodles was nice to have a 40lb bag of food delivered every month before they ran out plus always good prices on treats, dog toothpaste, bird food, etc. My dog gets excited to find out what’s in the box!</t>
  </si>
  <si>
    <t>MORGAN BRIGGS</t>
  </si>
  <si>
    <t>It was great</t>
  </si>
  <si>
    <t>Product is a little light for 100 pound dog. Shipping was quick arrived early and in good shape.</t>
  </si>
  <si>
    <t>Suzy Osum</t>
  </si>
  <si>
    <t>Have been using PerFlow for several…</t>
  </si>
  <si>
    <t>PetFlow has always been easy to use and a good source of our pets food. I just wish the shipping time was a little faster.</t>
  </si>
  <si>
    <t>DUB CROFFORD</t>
  </si>
  <si>
    <t>Large elevated dog bathing station.. Rated AR 125 pou d dog.Product is a little light for 100 pound…</t>
  </si>
  <si>
    <t>I had found some bones at a grocery store that my dogs loved. I hadn't seen them anywhere else. So I saved a wrapper and checked online. Sure enough Petflow had them. I literally ordered as box full! The price was way better than the store and I got them delivered. What could be better than keeping your pups happy for less money?</t>
  </si>
  <si>
    <t>CHARLIE</t>
  </si>
  <si>
    <t>PetFlow has always been easy to use and…</t>
  </si>
  <si>
    <t>Very unhappy with lack of service or effort to fill script for Hills diet food for kidney issues! We provided the vet's prescription along with the vet's email which the vet said he'd approve the script if PetFlow would just email him for approval, after PetFlow related they could not reach the vet. PetFlow never did fill the script so we're left without option except to just take the script to Petsmart to fill instead, as we can't just accept that PetsFlow won't fill it and therefore our cat has to go without the necessary diet after the ultrasound showed his sediments in his bladder/kidney. VERY disappointed!</t>
  </si>
  <si>
    <t>Randi Buslik</t>
  </si>
  <si>
    <t>Find anything here</t>
  </si>
  <si>
    <t>I am so glad that I found PetFlow. I can get my cats their Farmina dry food at a great price with fast service.</t>
  </si>
  <si>
    <t>SANDRA N</t>
  </si>
  <si>
    <t>Unhappy w/lack of effort to fill vet's script for Hills diet food for kidney issues!!</t>
  </si>
  <si>
    <t>PetFlow website is very easy to navigate. Able to place my order quickly and receive product in a short time.</t>
  </si>
  <si>
    <t>Maureen Whyte</t>
  </si>
  <si>
    <t>PetFlow is awesome</t>
  </si>
  <si>
    <t>RUTH MONZEL</t>
  </si>
  <si>
    <t>PetFlow website is very easy to…</t>
  </si>
  <si>
    <t>KERIN ANTHONY</t>
  </si>
  <si>
    <t>I WILL NEVER ORDER FROM PETFLOW AGAIN</t>
  </si>
  <si>
    <t>They sent me an email of monthly coupon codes. I used one for $25 off. There were no exclusions listed, &amp; it worked in my cart until AFTER I submitted my order, when they removed my coupon &amp; my credit card was charged for $25 more than the total shown when I submitted the order. When I contacted customer service about it they tried to say the coupon was only good for autoship orders, which there was no indication of, even during checkout. (If it was, I would have made my order into an autoship order.) They didn't care. I disputed the overcharge with my credit card, cancelled all of my autoship orders, &amp; will NEVER order from Petflow again.</t>
  </si>
  <si>
    <t>Lisa Kleiner</t>
  </si>
  <si>
    <t>I have three auto ships over the past…</t>
  </si>
  <si>
    <t>I have three auto ships over the past three months that were all canceled and I was not notified that they were canceled I’d call up to find out a week later where they were and they said oh we ran out so I order for the third time and I put the order in last Friday tomorrow morning is Friday again and I still haven’t gotten any shipment information or any response from any customer service person in regards to the shipment of my two cases of cat food</t>
  </si>
  <si>
    <t>S SHAY</t>
  </si>
  <si>
    <t>Every order I place gets cancelled due…</t>
  </si>
  <si>
    <t>Every order I place gets cancelled due to not in stock</t>
  </si>
  <si>
    <t>Virginia</t>
  </si>
  <si>
    <t>Ordered prescription cat food</t>
  </si>
  <si>
    <t>Ordered prescription cat food, site accepted order and said available. They followed up via email to get vet prescription. Three days later email me food Is out of stock and they were cancelling order.</t>
  </si>
  <si>
    <t>Galina Moliboga</t>
  </si>
  <si>
    <t>Pet flow is the worst place to get your…</t>
  </si>
  <si>
    <t>Pet flow is the worst place to get your pets food. I decided to go with then since not everyone has that perticular brand. Since im on auto ship program it should be shipped every 3 weeks and first time i didnt get it ive been told there was double order. I didnt get it again and been told that they cancelled my order completely. Im trying to be nice but irresposible people should get fired. Worst company ever. Would never recommend.</t>
  </si>
  <si>
    <t>Maria Plochocki</t>
  </si>
  <si>
    <t>Some ways to go</t>
  </si>
  <si>
    <t>The folks at PetFlow are v nice; they responded to my query quite promptly and gave me a credit because my order was delayed in shipping.
The not-so-good part: I didn't find out unril after I'd placed my order that it would be shipped the following week, which forced me to scramble to buy more. As well, the order wasn't shipped as originally scheduled/ promised, and I had to ask when it would be shipped (instead of being sent an email informing me of the delay).</t>
  </si>
  <si>
    <t>DAMIEN HORST</t>
  </si>
  <si>
    <t>Easy order process and set up of automatic delivery. Good price.</t>
  </si>
  <si>
    <t>DuWi</t>
  </si>
  <si>
    <t>Easy order process and set up of…</t>
  </si>
  <si>
    <t>Delivery on Schedule very happy with</t>
  </si>
  <si>
    <t>ADO ZOHOROVIC</t>
  </si>
  <si>
    <t>Very happy with</t>
  </si>
  <si>
    <t>You had our dog food listed as in stock so we ordered two bags. After quite a bit of time you alerted us that it wasn't in stock. That put us a week plus behind and we ran out of food. This is a special diet food for our dog and not easily found. Very bad experience and we won't be back.</t>
  </si>
  <si>
    <t>DAVE REIK</t>
  </si>
  <si>
    <t>Misleading stocked item</t>
  </si>
  <si>
    <t>I'm happy with the product that I order, however, the lack of 'date of delivery' makes it hard for a customer to be able to receive it, or plan to schedule to be home. I've gotten email notices saying 'your shipment will be there tomorrow', with no actual date. But comes a couple of days later.</t>
  </si>
  <si>
    <t>JILL GREER</t>
  </si>
  <si>
    <t>I'm happy with the product that I…</t>
  </si>
  <si>
    <t>This is the third time I have ordered this cat food, and the order was submitted and accepted, leading me to believe I would be receiving the product. Three or four days later, I receive an email that it is out of stock!! Don't keep sending me emails to order it, if it is out of stock!!!</t>
  </si>
  <si>
    <t>Kitty Queen</t>
  </si>
  <si>
    <t>ORDER CONFUSION</t>
  </si>
  <si>
    <t>I have been having a hard time finding some pet food faves for the dog and stumbled upon your site and you had those hard to find faves for him yay!</t>
  </si>
  <si>
    <t>SHERI GARRISON</t>
  </si>
  <si>
    <t>One happy dog</t>
  </si>
  <si>
    <t>I ordered my dogs brand of dry food. Fast and easy to order web site, they carry my dogs brand Fromm which not many physical stores do. Fast shipping too.</t>
  </si>
  <si>
    <t>DEBRA LOPER</t>
  </si>
  <si>
    <t>Fast and easy service and carry my dogs brand</t>
  </si>
  <si>
    <t>Your company led me on to beleive the food I ordered was in process of delivery. You cancelled the order when I was down to one can at home. Then I had to struggle to find food for my cat, with no advice from you. I will not ever order from you again.</t>
  </si>
  <si>
    <t>Mary Henry</t>
  </si>
  <si>
    <t>Your company led me on to beleive the…</t>
  </si>
  <si>
    <t>I have ordered before and my order was the same, rx cat food, even in the middle of covid, first time customer and it was fast! This time..6 days after ordering it still didn't ship, I asked for it to be cancelled, and was told they weren't sure if it could be, but they would let me know, 2 days later, still no word, I sent another email, same response, so here I am 13 days after I ordered, still don't know if my order has been cancelled because they use another party because of the rx, and the status still shows shipping, I can't get a straight answer!!!! They need a new system so they can provide customers with accurate answers!! Back to getting the food from the vet, and chewy!!! I should have read the other reviews!</t>
  </si>
  <si>
    <t>TIFFANY DRISCOLL</t>
  </si>
  <si>
    <t>Process was seamless as far as ordering and receiving my order in a timely manner. Had no issues and would highly recommend Petflow to anyone looking for good service and product selection.</t>
  </si>
  <si>
    <t>DAVE PINNER</t>
  </si>
  <si>
    <t>Petflow is good to go!!!</t>
  </si>
  <si>
    <t>It would be nice to be able to edit your autoship if the item is backorder online. I have had the item on backorder twice and the last was canceled. I do not like having to make a phone call when it should be easy to make the changes online. This goes for the cancelation of an autosgip as well.</t>
  </si>
  <si>
    <t>TAMMY KRAUSS</t>
  </si>
  <si>
    <t>Backorders and cancellations…</t>
  </si>
  <si>
    <t>Originally my order was to ship on July 5th. Then an email said the shipment would be late and would arrive today. It currently is 8pm and I do not have my order!</t>
  </si>
  <si>
    <t>JUDITH JONES</t>
  </si>
  <si>
    <t>Originally my order was to ship on July…</t>
  </si>
  <si>
    <t>Petflow had all the items I needed, delivered them promptly, and quickly responded to questions/concerns I had.</t>
  </si>
  <si>
    <t>Cat Appreciator from SE NY</t>
  </si>
  <si>
    <t>Highly Recommended</t>
  </si>
  <si>
    <t>Fast shipping with sturdy packaging</t>
  </si>
  <si>
    <t>Fast shipping with sturdy packaging. Good price. User friendly website. Thanks so much.</t>
  </si>
  <si>
    <t>G.O.</t>
  </si>
  <si>
    <t>Ordered wet dog food, came quick and what I ordered!</t>
  </si>
  <si>
    <t>CHUCK HOWARD</t>
  </si>
  <si>
    <t>Ordered wet dog food</t>
  </si>
  <si>
    <t>Easy online ordering and prompt delivery.</t>
  </si>
  <si>
    <t>MR</t>
  </si>
  <si>
    <t>Very satisfied with PetFlow</t>
  </si>
  <si>
    <t>I order my cat food and it arrived quickly. Cannot ask for anything better.
Oscr</t>
  </si>
  <si>
    <t>OSCAR RINGNESS</t>
  </si>
  <si>
    <t>I order my cat food and it arrived…</t>
  </si>
  <si>
    <t>We needed a certain Vet Approved Cat Food. PetFlow faxed my Vet for authorization and returned the approval. PetFlow went to work on filling the order. Unfortunately, it was over the 4th of July Holiday &amp; ran into delivery problems, but PetFlow followed up with the carrier. PetFlow monitored the transportation. PetFlow's Customer Service answered all my questions w/o hesitation even over the Holiday. Great job and My Two Furry Babies also Thank you for your Service.</t>
  </si>
  <si>
    <t>William Hroch</t>
  </si>
  <si>
    <t>We needed a certain Vet Approved Cat…</t>
  </si>
  <si>
    <t>I suppose I purchased something, though I don't recall.</t>
  </si>
  <si>
    <t>Ubaldo Morales</t>
  </si>
  <si>
    <t>I suppose I purchased something</t>
  </si>
  <si>
    <t>I love that this site carries Fromm Gold brand and fast delivery</t>
  </si>
  <si>
    <t>Sandi Lynn Dupuy</t>
  </si>
  <si>
    <t>I love that this site carries Fromm…</t>
  </si>
  <si>
    <t>The box arrived half open and crushed and ripped open on one corner, but the 2 bags of prescription dog food were still fine inside. I informed PetFlow and they promptly replied and said they would initiate a complaint with the shipping company. As long as the food was fine, nothing else needed to be done on my end.</t>
  </si>
  <si>
    <t>Hayley</t>
  </si>
  <si>
    <t>Box arrived damaged, but contents ok.</t>
  </si>
  <si>
    <t>I got what I ordered but it took ten days and a lot of the cans were dented and banged up. These days I guess I should be glad that I got my order at all.</t>
  </si>
  <si>
    <t>I got what I ordered but it took ten…</t>
  </si>
  <si>
    <t>I had never heard of this company, but decided to use them for their prices. I was amazed at how effectively they communicated, how quickly the products arrived, and the price was better than their competitors. I will shop them again for sure!</t>
  </si>
  <si>
    <t>Caitlin R.</t>
  </si>
  <si>
    <t>Great experience with this company</t>
  </si>
  <si>
    <t>The price was very good, but the delivery was sloppy and careless. I came home to find the boxes laying on my lower stair step and on the walkway leading to the stairs. They could've easily been stolen as they were so close to the public sidewalk. When I order from other companies they have the courtesy and common sense to leave the packages on the porch hidden behind the shrubs. Also, there was quite a bit of spilled litter for me to clean up since one of the boxes had a tear in the corner, so that was annoying for me to have to do.</t>
  </si>
  <si>
    <t>RENATO FABBRO</t>
  </si>
  <si>
    <t>Good price, sloppy delivery</t>
  </si>
  <si>
    <t>Great price, but out of stock! Why take the order in the first place? WASTE OF TIME AND EFFORT. Never coming back!</t>
  </si>
  <si>
    <t>Rick Doctor</t>
  </si>
  <si>
    <t>Bogus Claims</t>
  </si>
  <si>
    <t>I was very disappointed!!! I ordered a case of Hill's Prescription Diet c/d Canine Urinary Care Chicken &amp; Vegetable Stew Canned Dog Food and all of sudden it was cancelled!</t>
  </si>
  <si>
    <t>JAMES BADACZEWSKI</t>
  </si>
  <si>
    <t>I was very disappointed!!</t>
  </si>
  <si>
    <t>They had my cat's prescription diet in stock when I couldn't find it anyplace else! My order was delivered more quickly than anticipated. I'll use them again.</t>
  </si>
  <si>
    <t>Jennotjenn</t>
  </si>
  <si>
    <t>They had my cat's prescription diet in…</t>
  </si>
  <si>
    <t>The food was in stock when I ordered. It took so long for your people to get the prescription from the vet. Someone even called me thinking they was calling the vets office. It was out of stock so I never got my order it was canceled. If I could have gave no stars I would of. Do yourself a favor and don’t waste your time ordering from them.</t>
  </si>
  <si>
    <t>LISA THOMPSON</t>
  </si>
  <si>
    <t>Updated Jul 13, 2022</t>
  </si>
  <si>
    <t>The worst place I have ever ordered from</t>
  </si>
  <si>
    <t>Package wasn't taped very securely. Many of the cans were dinged or dented and worst of all was the Godzilla sized cockroach I had to kill when I opened the package. Will not be using you again.</t>
  </si>
  <si>
    <t>ANNE RAINEY</t>
  </si>
  <si>
    <t>Ordered it one day and had it the next</t>
  </si>
  <si>
    <t>My order arrived on the scheduled date and was complete.</t>
  </si>
  <si>
    <t>C. Thomas</t>
  </si>
  <si>
    <t>Godzilla sized Cockroach in package.</t>
  </si>
  <si>
    <t>I've shopped at PetFlow for years. I've always been impressed with the quality of goods, the low prices, and the fast shipping. Will do business again!</t>
  </si>
  <si>
    <t>NORMA MURPHY</t>
  </si>
  <si>
    <t>My order arrived on the scheduled date…</t>
  </si>
  <si>
    <t>Long-time Customer</t>
  </si>
  <si>
    <t>JASON DIEHL</t>
  </si>
  <si>
    <t>It was very disappointing to have my…</t>
  </si>
  <si>
    <t>It was very disappointing to have my order canceled after the item I purchased was out of stock. When I ordered the item it was shown as being in stock. A more accurate representation of this would be appreciated considering this is online retail.</t>
  </si>
  <si>
    <t>Shopping was easy</t>
  </si>
  <si>
    <t>Shopping was easy. Website easy to navigate. Prices were good.</t>
  </si>
  <si>
    <t>They replaced a damaged bag of dog food promptly!</t>
  </si>
  <si>
    <t>I received my shipment of 2 bags of dry dog food and found the box they were shipped in crawling with ants! One of the bags had a small tear in it, which caused the ants. I called customer service at PetFlow and they immediately sent me a new bag to replace the damaged one - I did not have to send them a picture or send the damaged bag back. THis is the only time in several years that I have received a damaged bag.Great customer service!</t>
  </si>
  <si>
    <t>BARBARA CHIAPETTA</t>
  </si>
  <si>
    <t>Never received what I ordered</t>
  </si>
  <si>
    <t>Never received what I ordered, even though I was charged for it.</t>
  </si>
  <si>
    <t>JL</t>
  </si>
  <si>
    <t>I am very happy with the services I…</t>
  </si>
  <si>
    <t>I am very happy with the services I receive from Pet Flo.
I do on occasion have difficulty with using the web site. It will keep saying my password is in correct.</t>
  </si>
  <si>
    <t>I ordered puppy food and was given…</t>
  </si>
  <si>
    <t>I ordered puppy food and was given tracking in less than 2 days! Shipment was fast and efficient</t>
  </si>
  <si>
    <t>Had what I needed</t>
  </si>
  <si>
    <t>Had what I needed! Fast shipping!</t>
  </si>
  <si>
    <t>CR SIMMONS</t>
  </si>
  <si>
    <t>I was impressed by how fast I got that…</t>
  </si>
  <si>
    <t>I was impressed by how fast I got that items I ordered and that they were available for auto ship! Now my three babies will never have to be without their chews 🐾🐾🐾</t>
  </si>
  <si>
    <t>Pam Schiller</t>
  </si>
  <si>
    <t>Heads Up Would Be Nice</t>
  </si>
  <si>
    <t>I have a late shipment of cat litter twice now. I know shipping and supplies are messed up in our country so I understand. What I don't understand is why you system doesn't alert you that the product is not in stock so you can let me know before my delivery should be here instead of on the day it should ship. I have been a loyal customer for several years now.</t>
  </si>
  <si>
    <t>Eileen</t>
  </si>
  <si>
    <t>Great price and good product</t>
  </si>
  <si>
    <t>Great price and good product. My cat and I are happy. Thank you.</t>
  </si>
  <si>
    <t>CATHY ALIRE</t>
  </si>
  <si>
    <t>I order on a regular basis</t>
  </si>
  <si>
    <t>I order on a regular basis. I receive my order within a couple of days of placing it. Never disappointed!</t>
  </si>
  <si>
    <t>Glenn Singer</t>
  </si>
  <si>
    <t>Good supply of hard-to-find food</t>
  </si>
  <si>
    <t>PetFlow had the prescription dog food that two of my vets could not get. Shipping was quick and the price competitive.</t>
  </si>
  <si>
    <t>LINDA SCHUHMACHER</t>
  </si>
  <si>
    <t>I was looking for the cheapest price on…</t>
  </si>
  <si>
    <t>I was looking for the cheapest price on our puppy food. I came across Petflow and was excited you carried both brands of food for our Gigi girl and new pup Miles and they both can be delivered right to our front door!! I immediately enrolled in your autoship. 😃 I also love that you are a small company. 🐶🐶</t>
  </si>
  <si>
    <t>CAROLYNF</t>
  </si>
  <si>
    <t>Prices are great and shipping is fast…</t>
  </si>
  <si>
    <t>Prices are great and shipping is fast and on time. My only criticism is the packing for shipping. Cans are arriving dented and boxes are often partially opened from not being taped properly. Overall very happy and will still keep shopping :)</t>
  </si>
  <si>
    <t>Ana</t>
  </si>
  <si>
    <t>Received food promptly</t>
  </si>
  <si>
    <t>Received food promptly, well packaged and in good condition.</t>
  </si>
  <si>
    <t>SHIRLEY ALEXANDER</t>
  </si>
  <si>
    <t>Petflow has the cat food that I prefer</t>
  </si>
  <si>
    <t>Petflow has the cat food that I prefer. Many other vendors do not carry it.</t>
  </si>
  <si>
    <t>CHERYL CORBEAN</t>
  </si>
  <si>
    <t>I found what I needed at cheaper prices and the customer service was superior. Petflow has a new customer and I HIGHLY recommend</t>
  </si>
  <si>
    <t>PATRICK RYAN</t>
  </si>
  <si>
    <t>PetFlow is always on point with my…</t>
  </si>
  <si>
    <t>PetFlow is always on point with my order. Never had a bad experience with them.</t>
  </si>
  <si>
    <t>SARA ANN STOCKER</t>
  </si>
  <si>
    <t>I had the perfect PetFlow experience!!</t>
  </si>
  <si>
    <t>I had the perfect PetFlow experience!!! It took 5 days to get to me because of delays in Middletown!! Which was not there fault. Will be buying more dog food from them!!</t>
  </si>
  <si>
    <t>LAN ZHAO</t>
  </si>
  <si>
    <t>I received my order but shorrt 3 little…</t>
  </si>
  <si>
    <t>I received my order but shorrt 3 little clay boxes and some of them with the box open already</t>
  </si>
  <si>
    <t>LISA WOTTRICH</t>
  </si>
  <si>
    <t>Love the selection and convenience of…</t>
  </si>
  <si>
    <t>Love the selection and convenience of the auto ship, recently added prescription food for one of our dogs and that was just as easy as everything else. Highly recommend!</t>
  </si>
  <si>
    <t>John</t>
  </si>
  <si>
    <t>Great service and delivery was fast.</t>
  </si>
  <si>
    <t>Unable to ship a pet food product after leaving me on hold for a week. What else can I say ?</t>
  </si>
  <si>
    <t>Loren</t>
  </si>
  <si>
    <t>Unable to ship a pet food product after…</t>
  </si>
  <si>
    <t>PetFlow consistently meets and exceeds my expectations. Phone operators are extremely pleasant and helpful and get things done. Recently there was a sales tax exemption for pet food, and the staff gave me a credit for the state tax that was going to be applied to the order. Keep up the good work!</t>
  </si>
  <si>
    <t>DOLORES LIBERTI</t>
  </si>
  <si>
    <t>Delivery service is exceptional.</t>
  </si>
  <si>
    <t>I was very pleased buying from Petflow. Honestly, I wasn't familiar with them and they were the only ones with inventory of the dog food I was looking for. The order process was clean and efficient. They contacted my vet (was prescription food). Notices were well timed. Delivery as expected. Can't ask for more. Thanks!</t>
  </si>
  <si>
    <t>Daniel Culbert</t>
  </si>
  <si>
    <t>PetFlow consistently exceeds expectations</t>
  </si>
  <si>
    <t>Reputable company. Good prices and selection</t>
  </si>
  <si>
    <t>Carol Staten Clark</t>
  </si>
  <si>
    <t>Pleasantly pleased with Petflow</t>
  </si>
  <si>
    <t>I have consistently had double filled orders, delayed orders without notification, shipped orders without advance notification, orders that started auto-shipping that weren’t supposed to…the past 9 months has been a disaster. This convenient service has become anything but.</t>
  </si>
  <si>
    <t>LYNN CATHEY</t>
  </si>
  <si>
    <t>Reputable company</t>
  </si>
  <si>
    <t>Fast an easy, The prices were great</t>
  </si>
  <si>
    <t>DANE</t>
  </si>
  <si>
    <t>Convenience turned inconvenient</t>
  </si>
  <si>
    <t>I was looking for Avoderm canned dog food as my previous supplied has been out for a very long time. You have the food and the price is good. I ordered it and got it in a few days . No problem with delivery. My two dogs are very happy to be back on the food they ate for years and I will be ordering as long as you carry it.</t>
  </si>
  <si>
    <t>Fast an easy</t>
  </si>
  <si>
    <t>Product was perfect, shipping was super fast and customer service was polite, helpful and efficient. If I need other pet products this will be the first place I check. Thank you PetFlow</t>
  </si>
  <si>
    <t>CAROLA</t>
  </si>
  <si>
    <t>Avoderm found at last</t>
  </si>
  <si>
    <t>Fast. Easy. Going price</t>
  </si>
  <si>
    <t>Dusty</t>
  </si>
  <si>
    <t>Product was perfect</t>
  </si>
  <si>
    <t>As always, my order arrived as scheduled, with updates enroute, and was well packaged. Consistently good service.</t>
  </si>
  <si>
    <t>LEE HARVIE</t>
  </si>
  <si>
    <t>I had a question about mixing different proteins using the Stella &amp; Chewy freeze dried food and got a response much faster than I had anticipated! I was able to complete my purchase without having to wait until the next day. The food arrived quickly and my Rosie LOVES it! Will definitely purchase from PetFlow again!</t>
  </si>
  <si>
    <t>quokka</t>
  </si>
  <si>
    <t>As always</t>
  </si>
  <si>
    <t>Great product selection and order expediently processed and shipped.</t>
  </si>
  <si>
    <t>Paula G.</t>
  </si>
  <si>
    <t>Very quick response and shipping</t>
  </si>
  <si>
    <t>I am not sure about your products coz this was my very first order &amp; i was waiting for my order longtime and when i logged in and checked- status showed cancelled..
When u send order confirmation email why you cant send the cancellation email?</t>
  </si>
  <si>
    <t>MICHAEL NEYHART</t>
  </si>
  <si>
    <t>Great product selection and order…</t>
  </si>
  <si>
    <t>PETFLOW is a great company and is one of the few who sell Nutrisource dog food that was recommended by our breeder for our pure bred shih tzu at a reasonable price . She has been on this food since she was weaned and is 1 year old now and very healthy. She just loves it.
THANKS PETFLOW</t>
  </si>
  <si>
    <t>SK SOURCE</t>
  </si>
  <si>
    <t>I am not sure about your products coz…</t>
  </si>
  <si>
    <t>Trustworthy company! I recommend them!</t>
  </si>
  <si>
    <t>Molly</t>
  </si>
  <si>
    <t>PETFLOW is a great company</t>
  </si>
  <si>
    <t>I am a loyal PetFlow customer for 5+ years. I am so happy to use their website. I regularly order food and toys for my dog. I place an order online and immediately receive confirmation. Then amazingly, I get the order within 2 days. PetFlow carries anything you need for your pet. A wonderful company to do business with.</t>
  </si>
  <si>
    <t>JOE BUFFA</t>
  </si>
  <si>
    <t>AN</t>
  </si>
  <si>
    <t>Fantastic as always.</t>
  </si>
  <si>
    <t>LISA INGRAM</t>
  </si>
  <si>
    <t>Happy dog = Happy mom</t>
  </si>
  <si>
    <t>JUDITH HARRIS</t>
  </si>
  <si>
    <t>Thank you!!</t>
  </si>
  <si>
    <t>Sent quickly. Great experiences so far.thank you.
Judith</t>
  </si>
  <si>
    <t>chris</t>
  </si>
  <si>
    <t>highly recommend</t>
  </si>
  <si>
    <t>Recommend this vendor. The items I wanted were in stock, I had a coupon (yeah!) and the checkout was two clicks since I was already registered and my information was stored. I received the ahipping information within hours and the 5 cases of dog food arrived packaged well.and with no dents in the cans. Expiration dates are well in the future. There are a lot of online pet stores but I buy from PetFlow a lot because the prices are good and they communicate well about the status of the orders.</t>
  </si>
  <si>
    <t>VICKY BROWN</t>
  </si>
  <si>
    <t>Had the cat food I needed just before I…</t>
  </si>
  <si>
    <t>Had the cat food I needed just before I was about to run out and received quickly.</t>
  </si>
  <si>
    <t>customerJeannie</t>
  </si>
  <si>
    <t>Always helpful</t>
  </si>
  <si>
    <t>Always helpful. Courteous on time delivery</t>
  </si>
  <si>
    <t>Alyssa Jolley</t>
  </si>
  <si>
    <t>Delivery was fast in spite of coming…Service</t>
  </si>
  <si>
    <t>Delivery was fast in spite of coming all the way across the country. :) I cannot find the bowls I received in this order with food anywhere else. I only see bigger sizes elsewhere. Since my girls are small, I prefer the smaller bowls by OurPets. The bowls are sturdy, nonskid, and a good size for littles. The food is also loved by 3 of my 4 personal dogs (4th is on a kidney food).</t>
  </si>
  <si>
    <t>Lidia &amp; Antoni Ljubic</t>
  </si>
  <si>
    <t>Great Shop</t>
  </si>
  <si>
    <t>Have plenty of choices, the shipping speeds are all time high and prices are reasonable for the items that are being sold at the website. Would buy again for my beloved pet.</t>
  </si>
  <si>
    <t>Jk</t>
  </si>
  <si>
    <t>Excellent customer service solving an…</t>
  </si>
  <si>
    <t>Excellent customer service solving an issue with my order.</t>
  </si>
  <si>
    <t>Chelsey Hutchings</t>
  </si>
  <si>
    <t>Everything was great! It was definitely time for new dry dog food. I only wish I could buy a smaller size. Everything else is perfect!</t>
  </si>
  <si>
    <t>R MEYER</t>
  </si>
  <si>
    <t>Satisfied with NutriSource dry dog food…</t>
  </si>
  <si>
    <t>Satisfied with NutriSource dry dog food but pricey.</t>
  </si>
  <si>
    <t>MARIBEL PADILLA</t>
  </si>
  <si>
    <t>Great service!!</t>
  </si>
  <si>
    <t>Good service I like how they keep you informed about your order .</t>
  </si>
  <si>
    <t>Susan Gibson</t>
  </si>
  <si>
    <t>Good service I like how they keep you…</t>
  </si>
  <si>
    <t>PetFlow sells the dog food and treats we prefer at a competitive price, and the free shipping is so fast! We live in a rural area where many items aren’t available, and we really appreciate being able to shop with them.</t>
  </si>
  <si>
    <t>aqualiz</t>
  </si>
  <si>
    <t>We appreciate PetFlow!</t>
  </si>
  <si>
    <t>Fast shipping. Great products.</t>
  </si>
  <si>
    <t>SAM B</t>
  </si>
  <si>
    <t>Awesome</t>
  </si>
  <si>
    <t>Fast, efficient, quality product that arrives when expected for a reasonable price</t>
  </si>
  <si>
    <t>BARBARA MOOSE</t>
  </si>
  <si>
    <t>I love that I can call and they have my account pulled up and bam... ordered! Excellent customer service!!!</t>
  </si>
  <si>
    <t>DEBORAH STUMM</t>
  </si>
  <si>
    <t>Fast and efficient ordering!</t>
  </si>
  <si>
    <t>Quick shipment, kept me informed, good price and will buy from them again.</t>
  </si>
  <si>
    <t>Lilly</t>
  </si>
  <si>
    <t>Thank you for sending fresh treats!!!</t>
  </si>
  <si>
    <t>I ordered Kong squeak balls(M). My dog loves them and also loses them so now we have some extras. The price was much better than on Amazon!</t>
  </si>
  <si>
    <t>Sharon</t>
  </si>
  <si>
    <t>Quick shipment</t>
  </si>
  <si>
    <t>First time using PetFlow I received the order nicely packed and delivered on time. Priced at a good value.</t>
  </si>
  <si>
    <t>TG</t>
  </si>
  <si>
    <t>MORGAN BAILEY</t>
  </si>
  <si>
    <t>First time using PetFlow I received the…</t>
  </si>
  <si>
    <t>DIANE WENDTE</t>
  </si>
  <si>
    <t>PHYLLIS SNOOK</t>
  </si>
  <si>
    <t>I just changed Vets so if I am still…</t>
  </si>
  <si>
    <t>I just changed Vets so if I am still able to buy my special cat food I will return to ordering it from Petflow as they are outstanding!</t>
  </si>
  <si>
    <t>MARILYNN ESTES</t>
  </si>
  <si>
    <t>Very easy to order</t>
  </si>
  <si>
    <t>Very easy to order! I needed prescription treats &amp; they contacted &amp; got approval from my vet &amp; had my order in just a few days! They were also cheaper than other pet mail order companies.</t>
  </si>
  <si>
    <t>SHIRLEY NEWMONT</t>
  </si>
  <si>
    <t>User friendly website</t>
  </si>
  <si>
    <t>User friendly website, good prices and fast shipping.</t>
  </si>
  <si>
    <t>Mary Ann Salomone</t>
  </si>
  <si>
    <t>Easy website to navigate...quick…</t>
  </si>
  <si>
    <t>Easy website to navigate...quick response and delivery...very satisfied</t>
  </si>
  <si>
    <t>TIMOTHY EISCHENS</t>
  </si>
  <si>
    <t>My kitty was diagnosed with kidney…</t>
  </si>
  <si>
    <t>My kitty was diagnosed with kidney disease.
Petflow helped me get set up on recurring food for his new diet. I did have to reach out and communicate with them regarding the RX and I was impressed with the timely response and care they took to help me.
Thank you!!</t>
  </si>
  <si>
    <t>Joan L</t>
  </si>
  <si>
    <t>They had what I was looking for and the…</t>
  </si>
  <si>
    <t>They had what I was looking for and the delivery was very fast.</t>
  </si>
  <si>
    <t>Mel Givison</t>
  </si>
  <si>
    <t>NutriSource Small &amp; Medium Breed Puppy…</t>
  </si>
  <si>
    <t>NutriSource Small &amp; Medium Breed Puppy Chicken &amp; Rice Dry Dog Food 30-lb. I just got 2 Cairn Terriers, the breeder said, this was the best puppy food. "Pet Flow," made it so easy to place my order and the price was good. I also picked up some nice dog toy</t>
  </si>
  <si>
    <t>JOANNE LARSEN</t>
  </si>
  <si>
    <t>The product was available</t>
  </si>
  <si>
    <t>The product was available, the price was fair, but the ordering process kept trying to lock me in to repeating delivery. It took me an unreasonable amount of time to navigate the form.</t>
  </si>
  <si>
    <t>CONNIE BOREE</t>
  </si>
  <si>
    <t>I like that it's compact and doesn't…</t>
  </si>
  <si>
    <t>I like that it's compact and doesn't take up much room. The food doesn't flow as well as I'd like but all gravity feeders work about the same. The water spout could be lower. There's quite a bit of water left. The container must be tilted to use all the water. Simple fix would be to raise one side a little. Filling the water is a breeze; fill from the drinking cup. Laying it flat on the sink edge makes it super easy. My dogs took to it quickly. I placed it on a square furniture mover that has carpet and four wheels. Just the right height and it rolls. It's heavy when full. If the dogs move it, I know it's low on water and/or food. Overall, I'm happy with it. It's worth it for the footprint alone.</t>
  </si>
  <si>
    <t>Frenchie Mom</t>
  </si>
  <si>
    <t>Great selection and prices</t>
  </si>
  <si>
    <t>Great selection and prices. Prefer to shop here.</t>
  </si>
  <si>
    <t>JEFFREY DREISIN</t>
  </si>
  <si>
    <t>In this instance</t>
  </si>
  <si>
    <t>In this instance, PetFlow was the only place i could acquire the exact item that I wanted and it arrived in a timely fashion. In fact if they are still carrying it I will order more.</t>
  </si>
  <si>
    <t>Laketa</t>
  </si>
  <si>
    <t>Bad service</t>
  </si>
  <si>
    <t>I have been purchasing cat food from you all for over 3 years ( since I got my cat). I have not had any problems, but my last order was shipped and it was dog food ( your mistake). I asked for you all to do a rush and you rushed alright. You came and picked up the dog food, mean while my cat is starving. I still have not received the food (I opened the box on Sunday, June 26 and you had the dog food picked up June 28. Where is my cat food. I guess it’s at A***** where I will be ordering next time! Your loyal but not wanted customer Me!</t>
  </si>
  <si>
    <t>John Hofker</t>
  </si>
  <si>
    <t>fast and excellent service</t>
  </si>
  <si>
    <t>Has the products I need. Quick shipping at no charge over a certain amount. Packing well down.</t>
  </si>
  <si>
    <t>Montana Hayes</t>
  </si>
  <si>
    <t>Has the products I need</t>
  </si>
  <si>
    <t>Great communications, came in short time.</t>
  </si>
  <si>
    <t>ZAHRA TAPPOUNI</t>
  </si>
  <si>
    <t>Great communications</t>
  </si>
  <si>
    <t>The company did not ship my pet food, canceled the order and failed to notify me. The only reason I noticed is because a week had went by and no dog food. When I contacted them they advised they needed more information. I asked why they didn't request that and notify me, the answer I received was, not sure. I will not ever use this company again.</t>
  </si>
  <si>
    <t>Sara</t>
  </si>
  <si>
    <t>The company did not ship my pet food</t>
  </si>
  <si>
    <t>I have recently had a bad experience with Chewy. However, I have found you. I have 1 d9og and 2 cats and so far you have their food. i will look for other things as they come up. So far everything is great!</t>
  </si>
  <si>
    <t>HEIDI RIPKE-CURCIO</t>
  </si>
  <si>
    <t>I have recently had a bad experience…</t>
  </si>
  <si>
    <t>Easy online ordering and super fast delivery!</t>
  </si>
  <si>
    <t>Easy online ordering and super fast…</t>
  </si>
  <si>
    <t>Very efficient and convenient to have your unappreciative cat's food and litter appear at your front door ~ Highly recommend !</t>
  </si>
  <si>
    <t>Very efficient and convenient to have…</t>
  </si>
  <si>
    <t>It has been 21 days since my order was confirmed and it has not shipped. When I contacted Petflow, I was told that first time Rx orders can sometimes take a while to be approved, but this feels ridiculous.</t>
  </si>
  <si>
    <t>sad cat</t>
  </si>
  <si>
    <t>Order delay</t>
  </si>
  <si>
    <t>Denise A Hobson</t>
  </si>
  <si>
    <t>I love Petflows auto delivery system</t>
  </si>
  <si>
    <t>I love Petflows auto delivery system. It’s easy to use and I can change the schedule with a couple clicks. Packages always arrive secure and on time♥️</t>
  </si>
  <si>
    <t>JENNY LADD</t>
  </si>
  <si>
    <t>Love Pet flow great customer service!</t>
  </si>
  <si>
    <t>Love Pet flow great customer service!! Quick shipping highly recommended
Have foods others don’t</t>
  </si>
  <si>
    <t>LISA TIMM</t>
  </si>
  <si>
    <t>Concerns about shipping via FedEx</t>
  </si>
  <si>
    <t>I was glad to find what I needed on your site but I was concerned about shipment via Federal Express. In my opinion they are unreliable. My shipment was delayed but thankfully arrived before I became worried.</t>
  </si>
  <si>
    <t>annie marie</t>
  </si>
  <si>
    <t>Perfect transaction</t>
  </si>
  <si>
    <t>Perfect transaction! Perfect delivery. Perfect communication. Your my store.</t>
  </si>
  <si>
    <t>customerDebra</t>
  </si>
  <si>
    <t>I ordered veterinary dog treats so gave…</t>
  </si>
  <si>
    <t>I ordered veterinary dog treats so gave Petflow all necessary vetinary info. After no e-mails from them for quite a few days I e-mailed to see when order would be shipped out, they said “soon”. After a couple of days I called back to check to make sure that they had item in stock and that was not the delay. The woman I spoke to on the phone said they were definitely in stock, should be mailed soon. Called directly again in 2 days as no update. That person told me that they were NOT in stock. Told them to cancel my order and send me an email confirmation saying they canceled. Never received an email confirmation saying that it was in fact canceled. Disappointing</t>
  </si>
  <si>
    <t>Rollie Bennett</t>
  </si>
  <si>
    <t>Great price....super service</t>
  </si>
  <si>
    <t>We have ordered through PetFlow a few times now and are very happy with our experiences. We will continue to order our dog food and other pet items through them.</t>
  </si>
  <si>
    <t>DEVON LEWIS</t>
  </si>
  <si>
    <t>We have ordered through PetFlow a few…</t>
  </si>
  <si>
    <t>Always used chewy, but not anymore! U guys r really on top of ur game. Thank you, Anna Sutocky</t>
  </si>
  <si>
    <t>ANNA SUTOCKY</t>
  </si>
  <si>
    <t>Always used chewy</t>
  </si>
  <si>
    <t>Very fast and easy shipment of dog food - five stars
Their use of FedEx is a problem - one star.
Fedex drivers repeatedly damage my property. Repeatedly notified FedEx. Other deliveries, like UPS or Amazon, have not had a problem.</t>
  </si>
  <si>
    <t>Walter L Zych</t>
  </si>
  <si>
    <t>I have enjoyed the quick response.</t>
  </si>
  <si>
    <t>Petflow was easy and fast to respond and deliver. I was using chewy but it took forever to get approval for the dog food needed and I had trouble with them on every order so petflow was a relief how easily it went thank you for that and I would recommend petflow to everyone with pet</t>
  </si>
  <si>
    <t>RICHARD in SC</t>
  </si>
  <si>
    <t>Very fast and easy shipment of dog food…</t>
  </si>
  <si>
    <t>My order was correct and received very timely. I have no complaints.</t>
  </si>
  <si>
    <t>RANDY SHELBY</t>
  </si>
  <si>
    <t>Petflow was easy and fast to respond…if you want easy and fast order through petflow</t>
  </si>
  <si>
    <t>Perfect!!! My dogs thank you, and extremely fast, will absolutely shop here again!</t>
  </si>
  <si>
    <t>DIANE</t>
  </si>
  <si>
    <t>My order was correct and received very…</t>
  </si>
  <si>
    <t>First, FedEx lost the package. Left on a neighbors doorstep. Might not be such a big deal in the city, but in the country, that's a game changer. Neighbor finally brought the package up to the house a couple of days later.
Second, Product was short dated. This is mid-June of 22 - product has BBD of July 22.
As someone who oversees the date rotations in my place of employment, this is really low standards.
I gave two stars because Customer Service didn't harass me when I cancelled my autoship, but I won't use this company again.</t>
  </si>
  <si>
    <t>CATHERINE BURNS</t>
  </si>
  <si>
    <t>Perfect!!</t>
  </si>
  <si>
    <t>This company was there for me when I couldn’t find my cats’ prescription food anywhere. Thankful to have found it. Quick script review, quick shipping.</t>
  </si>
  <si>
    <t>Taira Naiomy</t>
  </si>
  <si>
    <t>Perfect Transaction</t>
  </si>
  <si>
    <t>I ordered Science Diet W/D wet cat food from them because their website said they had it in stock. About a week later, I got an email saying they were cancelling my order because they didn't have any in and didn't know when they would be getting it. They didn't charge me for it, since they weren't able to ship it, just very disappointed that they would have it listed as in stock when they didn't have any.</t>
  </si>
  <si>
    <t>DANI</t>
  </si>
  <si>
    <t>Poor Standards, outdated product</t>
  </si>
  <si>
    <t>Reliable, good products, timely delivery</t>
  </si>
  <si>
    <t>Sarah</t>
  </si>
  <si>
    <t>There for my kitties when we needed it</t>
  </si>
  <si>
    <t>Love it!
Good products, convenient, quality, communication, and on time delivery.</t>
  </si>
  <si>
    <t>I’ve been having a hard time finding this cat food and when I did find it usually the bags were sold out. This made it easy and convenient for me to order this online and got it in a couple of days before we ran out.</t>
  </si>
  <si>
    <t>HELEN HEGARTY</t>
  </si>
  <si>
    <t>Rita Krause</t>
  </si>
  <si>
    <t>Love it!</t>
  </si>
  <si>
    <t>RENEE GUTIERREZ-KINZ</t>
  </si>
  <si>
    <t>I’ve been having a hard time finding…</t>
  </si>
  <si>
    <t>Mrs Wicked Dragonfly</t>
  </si>
  <si>
    <t>Easy site to navigate</t>
  </si>
  <si>
    <t>Easy site to navigate. Product was originally out of stock but I was notified once the product was available. Delivered as scheduled. My cat loves the product. It is a prescription food for diabetic cats. Hopefully, I will see an improvement in his condition.</t>
  </si>
  <si>
    <t>Roger Martinez</t>
  </si>
  <si>
    <t>the product dog food is excellent my…</t>
  </si>
  <si>
    <t>the product dog food is excellent my dogs love it looking forward to do more beisness with soon</t>
  </si>
  <si>
    <t>KYLE L</t>
  </si>
  <si>
    <t>I was impressed by the selection</t>
  </si>
  <si>
    <t>I was impressed by the selection, price and delivery time of PetFlow. Getting ready to place my second order!</t>
  </si>
  <si>
    <t>GWEN</t>
  </si>
  <si>
    <t>Order was correct</t>
  </si>
  <si>
    <t>Order was correct, and arrived quickly!</t>
  </si>
  <si>
    <t>A pleasant surprise</t>
  </si>
  <si>
    <t>PetFlow was a company that I had not heard of prior. I was in need of Hills cat food which was not available anywhere locally or online except at PetFlow. I even ordered more than originally planned for. They got the okay from my vet and had the order shipped to my home within a week. How terrific!</t>
  </si>
  <si>
    <t>LAUREN S</t>
  </si>
  <si>
    <t>Great delivery &amp; promotions for cheaper food!!</t>
  </si>
  <si>
    <t>Mary Dalton</t>
  </si>
  <si>
    <t>My go-to for pet supplies</t>
  </si>
  <si>
    <t>Great prices and fast, friendly service. I will continue making this my go-to for pet supplies.</t>
  </si>
  <si>
    <t>Jeff</t>
  </si>
  <si>
    <t>Clearly not “in stock”</t>
  </si>
  <si>
    <t>Tired ordering a product that said “in stock” twice now and both times I get an email a few days later saying my order was cancelled because it can’t be fulfilled. If it was “in stock” why can’t it be fulfilled?</t>
  </si>
  <si>
    <t>DEBORAH PERRY</t>
  </si>
  <si>
    <t>Dogs Love it!</t>
  </si>
  <si>
    <t>This product is excellent I believe for my dogs and they love it. This is, however the second time I have had a bag ripped open when it arrived and food in the box and not the bag. Don’t know if this is a problem at the packing end or the delivery end. Wish it wouldn’t happen again.</t>
  </si>
  <si>
    <t>Jay S</t>
  </si>
  <si>
    <t>Too Many Great Things to Say</t>
  </si>
  <si>
    <t>Easy site to use with great prices and a large variety of options</t>
  </si>
  <si>
    <t>Alejandro</t>
  </si>
  <si>
    <t>Never received my order 10179757</t>
  </si>
  <si>
    <t>Never received my order 10179757, FedEx Lost it no refund or anything at all, FedEx express that they left it at the front door, but how my gate was closed and my cameras capture nothing at all and no one was home. I also called FedEx several more times with no luck, they say they open an investigation with no result at all.
Called a Petflow representative and let them know and he was very rude and hung up on me, had to call again, and then another representative gave me a credit of 20 dollars when my order was 46.40. I asked for documentary evidence of delivery and they can not provide it, next time am using Amazon which always provides document evidence (photo) of delivery.</t>
  </si>
  <si>
    <t>MICHAEL</t>
  </si>
  <si>
    <t>Item said in stock when it wasn't.</t>
  </si>
  <si>
    <t>I ordered cat food from PetFlow. It showed in stock and i waited for it to ship for about a week. I called customer service and the lady indicated that my order was processed (needed Vet prescription approval) and that I should receive a tracking email that day or the following. Did not receive the email so I called again, spoke to someone else and they said the order was canceled. When I asked why he said that I should have gotten an email explaining it to me. I repeated what the lady had told me yesterday and all he could say was I'm not sure why but you need to check your email. The email indicated the order was canceled because the item was not in stock from manufacturer. My feedback is this: First, don't say that an item is in stock when it clearly isn't. The site has tons of items that show in stock vs not. Second, it seems like the customer service people (both whom I talked to) have no idea what's going on, if one said everything is good and is shipping and the other couldn't tell me the order status/why it was canceled so I needed to reference my email. Poor customer experience.</t>
  </si>
  <si>
    <t>DESIREE RACQER</t>
  </si>
  <si>
    <t>great way to buy my dog's food products…</t>
  </si>
  <si>
    <t>great way to buy my dog's food products and needs! no hassles and comes straight to my door.</t>
  </si>
  <si>
    <t>Marcus TwoTime</t>
  </si>
  <si>
    <t>Incredible rude and out of touch…</t>
  </si>
  <si>
    <t>Incredible rude and out of touch representatives. They didn't have my item in stock and then made me replace a second order for what they did have in stock. The next day I get notified that my order was for resale and flagged as fraud even though I placed it through them and explained that I was a bulldog breeder with 12 dogs and I feed this niche food for a variety of reasons.
I call again and they tell me they don't support breeders or any businesses and wouldn't transfer me anywhere.
Imagine selling dog food, but refuse to sell to the largest consumers of dog food....</t>
  </si>
  <si>
    <t>SANDRA MAYES</t>
  </si>
  <si>
    <t>I disappointed in the way my packages where sent to me! For example when you sent my case of dog food it was put in box that could have fit 4cases instead of 1 the rest was filed with packing papers to make it weigh more to charge more</t>
  </si>
  <si>
    <t>CINDY FLATT</t>
  </si>
  <si>
    <t>Packing</t>
  </si>
  <si>
    <t>Reasonably effective but annoyingly disorganized. Looking for alternatives</t>
  </si>
  <si>
    <t>Brian Aderer</t>
  </si>
  <si>
    <t>Reasonably effective but annoyingly…</t>
  </si>
  <si>
    <t>Got my online order very quickly and was pleased with how easy it was. Will definitely use again</t>
  </si>
  <si>
    <t>JAN BERTI</t>
  </si>
  <si>
    <t>Got my online order very quickly and…</t>
  </si>
  <si>
    <t>After hunting high and low through my usual pet food sources I was able to find the two items that had been back ordered everywhere else. Delivery was fast and saved me the risk of switching brands with my dogs.</t>
  </si>
  <si>
    <t>LISA MEYERS</t>
  </si>
  <si>
    <t>PetFlow Always Delivers!!!</t>
  </si>
  <si>
    <t>Rafe H Schindler</t>
  </si>
  <si>
    <t>After hunting high and low through my…</t>
  </si>
  <si>
    <t>RANDY HOLLOWAY</t>
  </si>
  <si>
    <t>We needed a shipping kennel.</t>
  </si>
  <si>
    <t>We needed a shipping kennel (Large) a bed for the kennel a toy, a small bed, and dog food. All that got shipped was the dog food, toy and small bed. After visiting the Pet Smart store, they had all we needed in stock, although a higher price.</t>
  </si>
  <si>
    <t>LANETTE WILKE</t>
  </si>
  <si>
    <t>My first order and I was mailed wrong…</t>
  </si>
  <si>
    <t>My first order and I was mailed wrong product. When second order can it will be out of date in 5 months. I like to know I have a newer product.</t>
  </si>
  <si>
    <t>Chris</t>
  </si>
  <si>
    <t>Your new source!</t>
  </si>
  <si>
    <t>Quick, easy, and better priced than most of the competition. Definitely an under-known source for pet supplies.</t>
  </si>
  <si>
    <t>JOSEPH STEELE</t>
  </si>
  <si>
    <t>Good time on delivery</t>
  </si>
  <si>
    <t>Good time on delivery. Just mad about the way the box showed up. Was thrown over my fence and box was damaged and retaped because it was so damaged. Think about who you ship you packages by. The delivery to my house was a fedX driver who did even look to see if this was the spot to deliver to and just dropped it over my fence. This to me is just unacceptable. Keep an eye on who delivers you packages.</t>
  </si>
  <si>
    <t>WES TANAKA</t>
  </si>
  <si>
    <t>Quick turn around shipping</t>
  </si>
  <si>
    <t>Great choices. These days, it is so necessary to have a reliable resource; especially for our pet family.</t>
  </si>
  <si>
    <t>Great selections and ongoing discounts</t>
  </si>
  <si>
    <t>6/19/22
Excellent Everything A+ Company</t>
  </si>
  <si>
    <t>Rick V.</t>
  </si>
  <si>
    <t>I am so happy you carry Fromm. Echo loves it and she gobbles it down. I also love that you deliver to my home.
Thanks again,
Joni</t>
  </si>
  <si>
    <t>JOAN MCDANIEL</t>
  </si>
  <si>
    <t>pet food</t>
  </si>
  <si>
    <t>Please don’t say you have something in stock if you really do not. I was misled then was not even informed that there was a delay until I reached out myself. Terrible customer service.</t>
  </si>
  <si>
    <t>Megan</t>
  </si>
  <si>
    <t>Please don’t say you have something in…</t>
  </si>
  <si>
    <t>My order was shipped immediately, and reasonably. Got what I ordered, and the pooch is thrilled.</t>
  </si>
  <si>
    <t>Peter</t>
  </si>
  <si>
    <t>shipped immediately. Dog loves it!</t>
  </si>
  <si>
    <t>Everywhere was out of my pets food, ordering from your site was easy and I received my shipment a few days later thanks!</t>
  </si>
  <si>
    <t>JANE PIMENTEL</t>
  </si>
  <si>
    <t>The best service and prices</t>
  </si>
  <si>
    <t>Amazing prices, quick shipping</t>
  </si>
  <si>
    <t>Shea</t>
  </si>
  <si>
    <t>Just got a new puppy that has to have toy breed puppy ProPlan. It’s been almost impossible to find it, but happily, PetFlow has it, &amp; it shipped FAST! Love auto ship so we don’t run out. Price is also good.</t>
  </si>
  <si>
    <t>BRANT STANDRIDGE</t>
  </si>
  <si>
    <t>Amazing prices</t>
  </si>
  <si>
    <t>We were notified that our dogs’ prescription food was out of stock with our usual retailer so I did an Internet search and PetFlow was the only retailer that popped up as having the item in stock. I waited for shipping confirmation and never received it so I contacted PetFlow who told me it wasn’t coming from their warehouse but directly from the manufacturer and that’s when I got suspicious something wasn’t right. I contacted the manufacturer of the food who confirmed there was no inventory. I contacted PetFlow to cancel the order since I knew there was no way it was going to be fulfilled and they said they could not.
When I finally got the shipping confirmation, I realized there had been a bait and switch and it was a different variety of the food (one we’d tried and hadn’t agreed w our dogs). I ended up with two bags of very expensive prescription dog food that I can’t feed our dogs. PetFlow will not allow a return since it was prescription. Not sure if the switch was on PetFlow or the internet browser, but pretty sure it’s the former.</t>
  </si>
  <si>
    <t>S. DALTON</t>
  </si>
  <si>
    <t>Fast Shipping &amp; Price is Good</t>
  </si>
  <si>
    <t>I appreciate finding products at an affordable price at PetFlow. I usually find those products at a better price than other sites. Shipping was fast and flawless!</t>
  </si>
  <si>
    <t>Julie L</t>
  </si>
  <si>
    <t>Triple check your cart</t>
  </si>
  <si>
    <t>I have have ordered the freeze dried beef treats for a while....the last two orders have been at least 1/2 to 1/3 crumbs. This is very disappointing and an expensive bag of unusable. If this is not corrected, I will have to find another source. Usually I am very pleased with PetFlow and recommend them to other pet owners, so I hate to give a bad review!</t>
  </si>
  <si>
    <t>Peggy R</t>
  </si>
  <si>
    <t>Good choices, good prices, fast shipping</t>
  </si>
  <si>
    <t>Great products and very good customer service!</t>
  </si>
  <si>
    <t>Code</t>
  </si>
  <si>
    <t>Crushed Treats</t>
  </si>
  <si>
    <t>Fast shipping, all items accounted for and in perfect condition.</t>
  </si>
  <si>
    <t>Great products and very good customer…</t>
  </si>
  <si>
    <t>PetFlow has the best prices, great communication with me regarding the status of my order &amp; shipping is quick.</t>
  </si>
  <si>
    <t>THERESA MOSSBERG</t>
  </si>
  <si>
    <t>Lynne Wilson</t>
  </si>
  <si>
    <t>PetFlow has the best prices</t>
  </si>
  <si>
    <t>LYNN SURDOW</t>
  </si>
  <si>
    <t>My 1st package was received missing…</t>
  </si>
  <si>
    <t>My 1st package was received missing items. After just one phone call, everything was handled professionally and a few days later I received my missing items. Would order again</t>
  </si>
  <si>
    <t>ELKE</t>
  </si>
  <si>
    <t>Pet flow has great Customer service!</t>
  </si>
  <si>
    <t>Petflow came through for me when I couldn't find my cat's food anywhere else. I'm extremely grateful.</t>
  </si>
  <si>
    <t>Lucy's Mom</t>
  </si>
  <si>
    <t>Petflow came through for me when I…</t>
  </si>
  <si>
    <t>Twice now I have ordered preacription food from petflow that was listed as in stock and twice my orders jave been cancelled because the food was not in fact in stock. Both times I spoke with customer support that was clearly copy pasting replies off of a PDF since they assured me the food was in stock up until they cancelled my order. The only reason I was even on here was because the food was out of stock at chewy as well. Just don't bother. Chewyhas everuthing you need.</t>
  </si>
  <si>
    <t>TAMMIE DAZEY</t>
  </si>
  <si>
    <t>Awesome product and fast shipping!</t>
  </si>
  <si>
    <t>Excellent service.</t>
  </si>
  <si>
    <t>Ben</t>
  </si>
  <si>
    <t>Twice now I have ordered preacription…</t>
  </si>
  <si>
    <t>Generally I’ve been very pleased. But the last shipment (2 cases of canned hog food) had two damaged and open cans in it. Not a great response when I raised the issue since I hadn’t discovered it until I got to the 9th of 12 cans. Otherwise, no complaints</t>
  </si>
  <si>
    <t>DUWAYNE WENGER</t>
  </si>
  <si>
    <t>My cat's food was listed as in stock on the site, but my order was cancelled a week later because it was never actually in stock</t>
  </si>
  <si>
    <t>Kenneth I Hamilton</t>
  </si>
  <si>
    <t>Excellent Service!</t>
  </si>
  <si>
    <t>Delivery was delayed, and this was not acceptable. I will utilize another company, that can deliver in 2 dayd</t>
  </si>
  <si>
    <t>Good company!</t>
  </si>
  <si>
    <t>As ordered. Fast shipping. I was so happy to be able to get my canned cat food order when Chewy and Amazon failed me. PetFlow has gained a loyal customer!</t>
  </si>
  <si>
    <t>Kevin Charles</t>
  </si>
  <si>
    <t>Generally I’ve been very pleased</t>
  </si>
  <si>
    <t>Outstanding price for what I ordered. I shopped around: Amazon, Wal-Mart, and numerous websites. None even came close to your price! Package showed up on time. Excellent experience. My cats thank you</t>
  </si>
  <si>
    <t>AMANDA HATFIELD</t>
  </si>
  <si>
    <t>My cat's food was listed as in stock on…</t>
  </si>
  <si>
    <t>Fast shipping and excellent price.
Thank you</t>
  </si>
  <si>
    <t>KAREN RILEY</t>
  </si>
  <si>
    <t>Delivery was delayed</t>
  </si>
  <si>
    <t>I normally don’t write reviews but I hope employees are retrained after seeing this. I hadn’t ever been on your website or heard of the company. But my 4 year old fell in love with a puppy from a girl I know in Utah. After adopting the puppy we asked what food she was already on so we didn’t feed her something different and upset her tummy, she was only 5 lbs at 9 weeks, she was the runt. After searching all my local stores in Florida I couldn’t find the brand, so when I googled it, your website popped up. Before ordering my husband called the customer service number because we didn’t know if the food would get here in time and if not, we would order from another website that had cheaper pricing and free faster shipping. The representative assured us that the Florida warehouse had it in stock so it would actually come earlier than needed. I ordered a bag of the food and a chew toy. 2 days later I received an email that the toy was not coming, out of stock. After 3 days passed I called the number and I was told it was coming from New Jersey and hadn’t even shipped from that warehouse yet. So I was in a panic because I didn’t want to make this puppy sick and give her new food. The girl I spoke with didn’t even apologize for the misinformation or offer to speed up the shipping or anything. Luckily I was able to pay the breeder money to overnight me some food from her bag up in Utah. If I didn’t need to keep her on this food until we see the vet Friday to ask if I can switch her I would have sent this back. I will not be ordering from your site again. Very disappointed with the lack of customer service.</t>
  </si>
  <si>
    <t>Happy Customer!</t>
  </si>
  <si>
    <t>The dog food we need is hard to find. PetFlow always has it at a very good price. It usually arrives in a day or two. Great service.</t>
  </si>
  <si>
    <t>Patrick</t>
  </si>
  <si>
    <t>Outstanding price for what I ordered</t>
  </si>
  <si>
    <t>I’m a little disappointed with Petflow. I ordered dog food on June 3rd, maiming because you said it was in stock. Then a few days later I get an email saying that your local location was out of stock and you had to get it from another location and it was now going to be delayed an additional 4-5 days. It is now June 14th and I still don’t have the dog food. It’s supposed to be delivered today but, we’ll see.</t>
  </si>
  <si>
    <t>Siskin</t>
  </si>
  <si>
    <t>Fast shipping and excellent price.</t>
  </si>
  <si>
    <t>Fast, easy to order prescription products, fast shipping, fantastic customer service - knowledgeable, sympathetic, responds quickly. Range of items to purchase is awesome. PetFlow outdoes all other online pet companies on so many levels. They were my saving grace during COVID.</t>
  </si>
  <si>
    <t>Florida Pet Owner</t>
  </si>
  <si>
    <t>Lacking Customer Service and Knowledge of stock</t>
  </si>
  <si>
    <t>My order was processed very slowly and then canceled. I was initially told that the only thing holding up my order of Hill prescription diet for my cat was vet approval, which I had submitted with my order. Close to a week elapsed and then I was told that the supplier could not provide my product. The delay may have been longer had I not contacted customer service. Supply information should have been provided more expeditiously.</t>
  </si>
  <si>
    <t>frank giuliano</t>
  </si>
  <si>
    <t>The dog food we need is hard to find</t>
  </si>
  <si>
    <t>Ken</t>
  </si>
  <si>
    <t>I’m a little disappointed with Petflow</t>
  </si>
  <si>
    <t>GLORIA NAVARRO</t>
  </si>
  <si>
    <t>HR</t>
  </si>
  <si>
    <t>Fantastic!</t>
  </si>
  <si>
    <t>Frank Marmolejo</t>
  </si>
  <si>
    <t>My order was processed very slowly…</t>
  </si>
  <si>
    <t>mmaynard119</t>
  </si>
  <si>
    <t>Very reliable. When I place an order with Petflow, I know I'll be getting what I ordered on time.</t>
  </si>
  <si>
    <t>Nancy</t>
  </si>
  <si>
    <t>Great customer service, had the prescription food my dog needed. All the other's were "out of stock". Glad I found this site.</t>
  </si>
  <si>
    <t>Terrible experience.</t>
  </si>
  <si>
    <t>naturvet yellow to green lawn spray. 4 containers/contents were defective.
product was diluted to colored water, my guess is they froze and thawed somewhere before shipping.</t>
  </si>
  <si>
    <t>DAVID CROYLE</t>
  </si>
  <si>
    <t>naturvet yellow to green lawn spray</t>
  </si>
  <si>
    <t>Petflow ran out of dog food in my area so found it in Las Vegas. I got the last 3 bags.</t>
  </si>
  <si>
    <t>DEBORAH CAUDILL</t>
  </si>
  <si>
    <t>Petflow ran out of dog food in my area…</t>
  </si>
  <si>
    <t>I got the food the quickest out of any company including Amazon and their customer service gets back to you right away with any questions fabulous job</t>
  </si>
  <si>
    <t>I got the food the quickest out of any…</t>
  </si>
  <si>
    <t>Food bags are always intact. Delivery always on time. Customer service is excellent.</t>
  </si>
  <si>
    <t>ERIC GREENE</t>
  </si>
  <si>
    <t>Items not in stock as advertised</t>
  </si>
  <si>
    <t>Great customer service! Great prices and fast shipping! ⭐️⭐️⭐️⭐️⭐️</t>
  </si>
  <si>
    <t>SHERRY BISHOP</t>
  </si>
  <si>
    <t>Food bags are always intact</t>
  </si>
  <si>
    <t>I always order my dog Fromm food and treats from you. Shipping is excellent.</t>
  </si>
  <si>
    <t>So far so good.</t>
  </si>
  <si>
    <t>Great price, smooth transaction and quick shipping. What's not to love?</t>
  </si>
  <si>
    <t>PAUL ROCHA</t>
  </si>
  <si>
    <t>Great customer service and fast shipping.</t>
  </si>
  <si>
    <t>Waited over 2 weeks for food to arrive for my new puppy to refill his stock we received from the breeder. Petflow had a great price and great reviews, BUT when I inquired where my order was I was just told that it didn’t ship due to “fraud protection” and they refused to “discuss further”. Yes, I am serious people, I asked how I could re place my order, if I needed to use another payment method, etc…AND THEY COULDN’T DISCUSS IT WITH ME. What a joke, take it from me and just take your business elsewhere if you want reliable service!</t>
  </si>
  <si>
    <t>Great variety</t>
  </si>
  <si>
    <t>I've used PetFlow for my boy's food since the very beginning (since I adopted him) and they always deliver it on time each month. They have an excellent selection of pet food available on their website and not to mention, they give away 1 food to 1 dog in need for each food purchase we make which is amazing. I honestly have nothing to say but good things about PetFlow and will continue to use them in the future.</t>
  </si>
  <si>
    <t>Pat in Rochester, NY</t>
  </si>
  <si>
    <t>Five Stars</t>
  </si>
  <si>
    <t>Inventory shortage. Put order in and next day they don't have my babies brand. So it's not their fault Purina discontinued the Small Bites.
Now we are playing find the food they care for. Sorry couldn't give 5 stars.</t>
  </si>
  <si>
    <t>Sarah Gabbard</t>
  </si>
  <si>
    <t>Waste of Time</t>
  </si>
  <si>
    <t>I have been very happy with PetFlow. I am disabled and it is so nice to just have my dog's food show up at my door. So far the items I need have been in stock which is pretty incredible in these times.</t>
  </si>
  <si>
    <t>EIRENE A.</t>
  </si>
  <si>
    <t>I've used PetFlow for my boy's food…</t>
  </si>
  <si>
    <t>I started an auto ship program with this company because cat food was running scarce in the grocery store. Unfortunately, even this company can't keep it in stock, either.</t>
  </si>
  <si>
    <t>TERRY CLARK</t>
  </si>
  <si>
    <t>Inventory shortage</t>
  </si>
  <si>
    <t>The pups love the new food we found on PetFlow. It was easy to order and arrived in no time. Being that it's large breed formula, I just wish it came in bigger chunks so they didn't inhale it at dinner time!</t>
  </si>
  <si>
    <t>Cindy L Stanbery</t>
  </si>
  <si>
    <t>I have been very happy with PetFlow</t>
  </si>
  <si>
    <t>Great service, good customer service. The only hiccup I can see is, shipping 30" sticks folded over in a 15" box.</t>
  </si>
  <si>
    <t>ROBERT CLARK</t>
  </si>
  <si>
    <t>They were great to work with!</t>
  </si>
  <si>
    <t>DJ</t>
  </si>
  <si>
    <t>The pups love the new food we found on…</t>
  </si>
  <si>
    <t>Shawn</t>
  </si>
  <si>
    <t>Noel Truty</t>
  </si>
  <si>
    <t>They had everything in stock and was…</t>
  </si>
  <si>
    <t>They had everything in stock and was delivered in a timely manner</t>
  </si>
  <si>
    <t>BILL LOH</t>
  </si>
  <si>
    <t>Great place to buy our pet supplies</t>
  </si>
  <si>
    <t>Great place to buy our pet supplies! Fast service, pet flow is the best!</t>
  </si>
  <si>
    <t>pdo</t>
  </si>
  <si>
    <t>Always great to do business with</t>
  </si>
  <si>
    <t>Always great to do business with. ease of ordering and easy to return....</t>
  </si>
  <si>
    <t>JO</t>
  </si>
  <si>
    <t>I waited over a week for your pharma…</t>
  </si>
  <si>
    <t>I waited over a week for your pharma dept to reach out to my vet to get scrip for order. I finally had to make the call myself, with your rep on the line, and I got right through. Your pharma folk really dropped the ball.
All the while, my cat was waiting for her special food.</t>
  </si>
  <si>
    <t>Candice Boggs</t>
  </si>
  <si>
    <t>I was really pleased that u had the…</t>
  </si>
  <si>
    <t>I was really pleased that u had the food my cat loves. He is diabetic and could not find his food anywhere. He refused to eat anything else. Got so thin. I found his food through ur company and now he is gaining weight, very happy kitty.</t>
  </si>
  <si>
    <t>Stewart Smith</t>
  </si>
  <si>
    <t>in need of food for my cat with diabetes</t>
  </si>
  <si>
    <t>I was in need of food for my cat with diabetes. My vet was backordered and even Chewy was out of stock, but I’m so glad I happened upon this company and they had the food I needed available. I appreciate it so much. They were easy and pleasant to work with. Thanks PetFlow!</t>
  </si>
  <si>
    <t>JODI</t>
  </si>
  <si>
    <t>Worst Experience with Pet flow</t>
  </si>
  <si>
    <t>Worst Experience with Pet flow, I place order and my shipping and billing address is not same you will add my account to fraud activity and don't proceed order. Such a unprofessional supports team. Can't buy in future its last time</t>
  </si>
  <si>
    <t>MARY ANNE BRUESEWITZ</t>
  </si>
  <si>
    <t>I never received my purchase</t>
  </si>
  <si>
    <t>I never received my purchase. You were out of stock of my cat’s prescription diet, even though your website said it was in stock. You should keep your website up to date with what is in stock and what is out of stock. Because I would have never wasted my time ordering it, if I realized you did not have it in stock. It was the first time I ever ordered anything through pet flow, and it will be the last time I ever do !!’</t>
  </si>
  <si>
    <t>Christina</t>
  </si>
  <si>
    <t>Fast shipping, Easy to order and understand web site. Best prices around.
No Hassles</t>
  </si>
  <si>
    <t>RICHARD LUCAS</t>
  </si>
  <si>
    <t>Ordered prescription dog food you said…</t>
  </si>
  <si>
    <t>Ordered prescription dog food you said you had in stock but it very clearly was not in stock and almost two weeks later I'm still waiting for it. Not cool.</t>
  </si>
  <si>
    <t>melissa wilhelm</t>
  </si>
  <si>
    <t>The shipping box isn’t strong</t>
  </si>
  <si>
    <t>The shipping box isn’t strong. And they package my dry dog food with the cans and the cans cut the dry food bag and it spills.</t>
  </si>
  <si>
    <t>PATRICK ST JOHN</t>
  </si>
  <si>
    <t>I placed an order for Hills…</t>
  </si>
  <si>
    <t>I placed an order for Hills Glucosupport for my diabetic cat. It was the weekend and I was unable to get all of the vet information directly from the vet hospital itself, to place the order, so I Googled it. I placed the order and paid for the order. The order was cancelled by your company, as something in the information was incorrect. The worst part was, that I'm aware of, no one contacted me about it, and reversed the order. I only found out by looking at my bank statement, then calling your company and the rep on the phone confirmed it was reversed. I'll never ever shop with your company again. This ordeal was beyond ridiculous</t>
  </si>
  <si>
    <t>MARTHA</t>
  </si>
  <si>
    <t>My order keeps getting cancelled</t>
  </si>
  <si>
    <t>This is the second time the cat food that I need said it was available and the second time my order was cancelled because they didn’t have it. If you don’t have it, don’t say that you do! I could have looked for it someplace else instead.</t>
  </si>
  <si>
    <t>JustAnswer Customer</t>
  </si>
  <si>
    <t>your phone reps have always been very…</t>
  </si>
  <si>
    <t>your phone reps have always been very helpful, answered my questions and given me some good advice about purchases. we're sold!</t>
  </si>
  <si>
    <t>Mary</t>
  </si>
  <si>
    <t>Great customer service. They answered my inquiries so fast and they were super friendly!</t>
  </si>
  <si>
    <t>Robert</t>
  </si>
  <si>
    <t>Working hard for you and your pet!</t>
  </si>
  <si>
    <t>PetFlow works hard to earn your business and trust. Had an initial snafu but now orders are working smoothly.</t>
  </si>
  <si>
    <t>D. W.</t>
  </si>
  <si>
    <t>Request for refund was denied</t>
  </si>
  <si>
    <t>I requested a $51 refund after being told by Petflow that I needed to renew my vet’s prescription. I wanted to just buy the prescription dog food from my vet. Petflow said they could give me a credit for $51 but not a refund. This is a classic case of Petflow winning the battle and losing the war. I am being forced to use the credit, but I will never 👎 purchase from Petflow after I’ve used up the credit. Coercion never wins over customers. They should have just refunded me on the purchase and I probably would have remained a customer.</t>
  </si>
  <si>
    <t>Never order from here</t>
  </si>
  <si>
    <t>I have ordered from Petflow twice and both experiences were the same, complete trash. My cat eats prescription food and it is out of stock everywhere. So I am ecstatic to find it on Petflow. I order and it took two days for my vet approval. I get an email that now the food is sold out and my order is cancelled. So I order again once it’s in stock and after a week my order still says shipping. I call and am told my order is cancelled because they didn’t receive their shipment. I ask why it said it was in stock and I’m told they go by what they think they are going to get. What sense does that make?</t>
  </si>
  <si>
    <t>MICHELLE B.</t>
  </si>
  <si>
    <t>Petflow has what I need and delivery is on time</t>
  </si>
  <si>
    <t>Petflow has great prices on Fromm products and delivery is great</t>
  </si>
  <si>
    <t>Need Food at Least within a We</t>
  </si>
  <si>
    <t>Improve Order Fulfillment Times</t>
  </si>
  <si>
    <t>PetFlow's order fulfillment needs to be improved. It took 9 days for the food that I ordered to arrive, and that was *after* I called to see where it was and got the order prioritized for shipping. If you are truthful on your website whether the food is being shipped from the NJ or NV warehouses, then I can plan accordingly. I will not again wait several days only to find out that the NV warehouse has not yet even processed my MD order.</t>
  </si>
  <si>
    <t>BOBBI MCRAE</t>
  </si>
  <si>
    <t>Your orders have all been fast and with…</t>
  </si>
  <si>
    <t>Your orders have all been fast and with no warning it took a week.. I will not be using you anymore as you are not dependable</t>
  </si>
  <si>
    <t>KK</t>
  </si>
  <si>
    <t>Great price / fast shipping / great…</t>
  </si>
  <si>
    <t>Great price / fast shipping / great communication</t>
  </si>
  <si>
    <t>LSW</t>
  </si>
  <si>
    <t>Better prices than elsewhere</t>
  </si>
  <si>
    <t>Better prices than elsewhere. Called customer service for some assistance and the woman was very helpful. Will use again.</t>
  </si>
  <si>
    <t>STEVEN/DINA LEWIS</t>
  </si>
  <si>
    <t>Wanted to try another pet food home…</t>
  </si>
  <si>
    <t>Wanted to try another pet food home delivery service for a change and decided to give Petflow a go. They were a great find and i’m glad I did. Prices were comparable, and delivery was even faster. Packaged very well with no dented cans.</t>
  </si>
  <si>
    <t>DONALD RALPH</t>
  </si>
  <si>
    <t>Prices fair but shipping times have…</t>
  </si>
  <si>
    <t>Prices fair but shipping times have increased.</t>
  </si>
  <si>
    <t>Great and quick shipping</t>
  </si>
  <si>
    <t>I love the variety of high quality products and brands that Pet Flow offers. I also love how quickly they ship! My order always arrives within a couple days.</t>
  </si>
  <si>
    <t>I love the variety of high quality…</t>
  </si>
  <si>
    <t>Don’t even bother. If you order anything they will message you a week later saying it’s out of stock then the very next day it’s back in stock again</t>
  </si>
  <si>
    <t>Ol</t>
  </si>
  <si>
    <t>Don’t even bother</t>
  </si>
  <si>
    <t>I was excited to see that a particular prescription wet food was back in stock on the website as it has been out of stock for over a month. I placed the order online and then followed up 3 days later as I didn't hear any thing about shipping. I was told that they just received the approval from my vet and shipping should happen within a day or two. Another 3 days i called again because i still hadn't received an update. I called again and the gentleman I spoke with said that they hadn't received the approval from the vet yet...I explained that they had so he then checked his notes and said "oh we are waiting word from the distributor, it should be another day or so." I asked why would they advertise the item being back in stock when it wasn't... He didn't have an answer and actually was a bit rude about my frustration. He said they would get back to me... It's been almost a week and still no word. This is so frustrating, because it's a prescription product and then to get attitude when I inquire about the about the lag time is just unprofessional. Best to just stick to Chewy, I have never had and issue or attitude there.....</t>
  </si>
  <si>
    <t>Sharlene Manore</t>
  </si>
  <si>
    <t>Misleading and Rude</t>
  </si>
  <si>
    <t>cancelled my orders
without telling me</t>
  </si>
  <si>
    <t>sngfever</t>
  </si>
  <si>
    <t>cancelled my orders</t>
  </si>
  <si>
    <t>Very happy with the customer service only issue I had is how long it took to process my order And ship it. Would pay extra for faster processing and shipping.</t>
  </si>
  <si>
    <t>BeePaloma</t>
  </si>
  <si>
    <t>Great customer service, slow shipping and handling</t>
  </si>
  <si>
    <t>Fast , easy and correct !</t>
  </si>
  <si>
    <t>MIKE STONE</t>
  </si>
  <si>
    <t>It's ok. It was shipped on June 1st and an email Tuesday said it'd arrive today Wed. After arriving here in Portland today at 5am, FedEx tracking said at 2pm that it's being delayed a day until tomorrow Thursday "because of weather". It doesn't affect me &amp; I wouldn't care otherwise ... except that the weather has been GREAT the last few days. It hit 75 today with mostly sunny blue skies</t>
  </si>
  <si>
    <t>MIKE WARDER</t>
  </si>
  <si>
    <t>It's ok</t>
  </si>
  <si>
    <t>I ordered prescription pet food for my cat. It took them about five days to tell me the order was cancelled because they couldn’t get the food. They shouldn’t have taken the order in the first place.</t>
  </si>
  <si>
    <t>I ordered prescription pet food for my…</t>
  </si>
  <si>
    <t>This is my third order. They have products others don't and at a great price.</t>
  </si>
  <si>
    <t>Richard Scalzo</t>
  </si>
  <si>
    <t>This is my third order</t>
  </si>
  <si>
    <t>Always holds the inventory and deliver in a timely manner.</t>
  </si>
  <si>
    <t>HARUMI JOHNSON</t>
  </si>
  <si>
    <t>Always holds the inventory and deliver…</t>
  </si>
  <si>
    <t>Worst customer service. I tried doing an order twice and they couldn’t send it out. I will never use this company or recommend it</t>
  </si>
  <si>
    <t>ASHLEY YOUNGER</t>
  </si>
  <si>
    <t>Worst customer service</t>
  </si>
  <si>
    <t>Wonderful service. I recommend.</t>
  </si>
  <si>
    <t>CatLover</t>
  </si>
  <si>
    <t>Excellent service and the only delay we had was from our Veterinarian sending them the prescription</t>
  </si>
  <si>
    <t>BRUCE CORCORAN</t>
  </si>
  <si>
    <t>Excellent Service and Timely…</t>
  </si>
  <si>
    <t>I am so impressed with not only how easy ordering was but how quickly it was delivered. I would never use anyone else. Thank you very much</t>
  </si>
  <si>
    <t>Karen Denike</t>
  </si>
  <si>
    <t>I am so impressed with not only how…</t>
  </si>
  <si>
    <t>I am new to Petflow</t>
  </si>
  <si>
    <t>I am new to Petflow. This was my first order. Website was easy to use and my item arrived promptly.</t>
  </si>
  <si>
    <t>adrienne bates</t>
  </si>
  <si>
    <t>Disappointed that an item was there to select as available only to find out it was not. P</t>
  </si>
  <si>
    <t>Carla Reed</t>
  </si>
  <si>
    <t>I like using PetFlow and other sites…</t>
  </si>
  <si>
    <t>I like using PetFlow and other sites which are similar. They are super convenient and reliable, however the cost of shipping stops me from only using their service.</t>
  </si>
  <si>
    <t>Charlene</t>
  </si>
  <si>
    <t>In stock, but not really…</t>
  </si>
  <si>
    <t>Your website said you had the prescription cat food I needed. I bothered my vet for the prescription order. Your company said the order was being filled. Then I’m told that it is out of stock.
How does this happen?</t>
  </si>
  <si>
    <t>M Miller</t>
  </si>
  <si>
    <t>Always the highest quality products &amp;…</t>
  </si>
  <si>
    <t>Always the highest quality products &amp; superior customer service. A+++</t>
  </si>
  <si>
    <t>DOROTHY ZEIGLER</t>
  </si>
  <si>
    <t>Petflow had what I needed in special…</t>
  </si>
  <si>
    <t>Petflow had what I needed in special food for my cat I couldn't find it anywhere thank you so much the service was awesome</t>
  </si>
  <si>
    <t>Good service and a fair price</t>
  </si>
  <si>
    <t>Good service and a fair price. Thank you. Plan to order again.</t>
  </si>
  <si>
    <t>DEBBY OYLER</t>
  </si>
  <si>
    <t>Wonderful experience</t>
  </si>
  <si>
    <t>Wonderful experience. PetFlow was the only place that had the prescription food i needed for my cat. They expedited my order when I expressed my needs. Sadly my cat passed away Saturday, but he loved this particular brand of food so I am very grateful that he had a couple days of enjoying it at mealtime. I would recommend PetFlow.</t>
  </si>
  <si>
    <t>I have been ordering from Petflow for…</t>
  </si>
  <si>
    <t>I have been ordering from Petflow for some time now. I always have a good experience with fast shipping and easy ordering. I have a dog and two cats so I order often. Great company to do business with.
Rob.</t>
  </si>
  <si>
    <t>Petflow is great</t>
  </si>
  <si>
    <t>Petflow is great! They processed my kittie’s prescription quickly and shipped my order promptly!</t>
  </si>
  <si>
    <t>LISA WIESENAUER</t>
  </si>
  <si>
    <t>Shipping is so slow compared to Chewy</t>
  </si>
  <si>
    <t>Shipping is so slow compared to Chewy. I use Chewy whenever possible for that reason,</t>
  </si>
  <si>
    <t>JAM</t>
  </si>
  <si>
    <t>I have had nothing but positive…</t>
  </si>
  <si>
    <t>I have had nothing but positive experiences with PetFlow.</t>
  </si>
  <si>
    <t>ALBERT FRANZONE</t>
  </si>
  <si>
    <t>Very prompt service and fair pricing.</t>
  </si>
  <si>
    <t>PetFlow was the only source for prescription food for my cat. All local stores and vets all said they were out and it was on back order. So PetFlow was a “kitty” saver!</t>
  </si>
  <si>
    <t>PetFlow was the only source for…</t>
  </si>
  <si>
    <t>Fedex took more than a week to deliver.
Usps is better, even the fedex tracking is not accurate and very slow or sometimes not even up to date</t>
  </si>
  <si>
    <t>RONALD VERHAGEN</t>
  </si>
  <si>
    <t>Fedex took more than a week to deliver.</t>
  </si>
  <si>
    <t>Customer service was not friendly! They charged and shipped me two bags of my dogs food when I only purchased one. When I called back to dispute the charge they were not very helpful and kept insisting that I bring the super heavy bag to FedEx for return.</t>
  </si>
  <si>
    <t>Rk</t>
  </si>
  <si>
    <t>Customer service was not friendly</t>
  </si>
  <si>
    <t>When FED X lost my order, I called customer service and the order was replaced without hesitation. That is excellent service.</t>
  </si>
  <si>
    <t>Anthony</t>
  </si>
  <si>
    <t>Lost FED X Order</t>
  </si>
  <si>
    <t>Slow shipping, went to order another bag and couldn't find it.</t>
  </si>
  <si>
    <t>Brian Ensign</t>
  </si>
  <si>
    <t>Petflow is a good company to buy cat food from. I especially like having it she directly to my door. I have to order a prescription type of food for my pet and cannot find it anywhere else. Petflow has exactly what I need.</t>
  </si>
  <si>
    <t>SHARON COKER</t>
  </si>
  <si>
    <t>Petflow is a good company to buy cat…</t>
  </si>
  <si>
    <t>I was able to find what I needed that others didn't have. Turnaround was quick and order was correct.</t>
  </si>
  <si>
    <t>Found what I needed</t>
  </si>
  <si>
    <t>Products in stock</t>
  </si>
  <si>
    <t>Products in stock. Delivered in timely fashion. Positive experience!</t>
  </si>
  <si>
    <t>Dave Teague</t>
  </si>
  <si>
    <t>Excellent alternative to Chewy.</t>
  </si>
  <si>
    <t>Great selection (had things others were out of), great price, shipped next day.</t>
  </si>
  <si>
    <t>Barbara Hughes Sell</t>
  </si>
  <si>
    <t>Updated Jun 19, 2022</t>
  </si>
  <si>
    <t>After reading many reviews I cancelled…</t>
  </si>
  <si>
    <t>After reading many reviews I cancelled my order before it was shipped. Many people stated they could not cancel their auto ship and were't happy with the delivery. Since I don't know this company and didn't know their reputation, I cancelled and ordered from Chewy. Now I can't get off their email list. Message after message. DON'T SHOP HERE!</t>
  </si>
  <si>
    <t>Georgia A.</t>
  </si>
  <si>
    <t>Great price and shipped well and…</t>
  </si>
  <si>
    <t>Great price and shipped well and arrived quickly</t>
  </si>
  <si>
    <t>DINA SHACKELFORD</t>
  </si>
  <si>
    <t>Only cools for 15 minutes at best</t>
  </si>
  <si>
    <t>Only cools for 15 minutes at best - not worth it, I should have invested more money and got a better product</t>
  </si>
  <si>
    <t>AMY TALBERT</t>
  </si>
  <si>
    <t>The pharmacy said my dogs food wasn’t…</t>
  </si>
  <si>
    <t>The pharmacy said my dogs food wasn’t approved while my vet said it was always approved. Customer service was awful in fixing the situation. Didn’t get my dogs food for a week. Discontinued auto ship and won’t buy another thing from Pet Flow. Horrible customer service.</t>
  </si>
  <si>
    <t>ROBERT BOWSER</t>
  </si>
  <si>
    <t>Updated Jun 17, 2022</t>
  </si>
  <si>
    <t>Badly Dented Dog Cans Again</t>
  </si>
  <si>
    <t>I love the fact they carry Fromms dog food, their web ordering works fine, and they deliver in a reasonable amount of time (Chewy is faster where I live).
However, every time I have ordered dog food in cans, they come 25% badly dented. I don’t mean a little dent here and there that I would gladly ignore, but really look like they have been through a washing machine ride. You could never sell them in a store. In each order one can was dented so badly it popped open with dog food inside the case.
Pet flow has been good to provide a credit for the popped open cans but seem to ignore the overall issue.</t>
  </si>
  <si>
    <t>John Mikash</t>
  </si>
  <si>
    <t>Great service and good prices.</t>
  </si>
  <si>
    <t>I had the opportunity to subscribe, and my pet food came in a timely manner. I am very happy!</t>
  </si>
  <si>
    <t>Valeria</t>
  </si>
  <si>
    <t>I had the opportunity to subscribe</t>
  </si>
  <si>
    <t>Shipped quick, reasonably priced</t>
  </si>
  <si>
    <t>Joseph Layne</t>
  </si>
  <si>
    <t>Shipped quick</t>
  </si>
  <si>
    <t>Great variety, fast shipping!</t>
  </si>
  <si>
    <t>DIANA DECKER</t>
  </si>
  <si>
    <t>Petflow auto-ship is convenient, efficient, and economical. We've been happy customers for years; highly recommend. :)</t>
  </si>
  <si>
    <t>Petflow auto-ship is awesome!</t>
  </si>
  <si>
    <t>works well but no instructions on how to adjust float</t>
  </si>
  <si>
    <t>STEVE WERDA</t>
  </si>
  <si>
    <t>works well but no instructions on how…</t>
  </si>
  <si>
    <t>Great price and quick shipping of the pigeon grains I use</t>
  </si>
  <si>
    <t>THOMAS BECK</t>
  </si>
  <si>
    <t>Great price and quick shipping of the…</t>
  </si>
  <si>
    <t>DANIEL</t>
  </si>
  <si>
    <t>Easy easy easy. The same quality, same shipping speed, cheapest place.</t>
  </si>
  <si>
    <t>SCOTT GELLMAN</t>
  </si>
  <si>
    <t>Easy easy easy</t>
  </si>
  <si>
    <t>Great Service for the buck and Great for your pet Fish</t>
  </si>
  <si>
    <t>Great Service for the buck and Great…</t>
  </si>
  <si>
    <t>The Most Wonderful Customer Service! And the Most Wonderful Products that Keep my Dog HAPPY!</t>
  </si>
  <si>
    <t>Shelley Khoury</t>
  </si>
  <si>
    <t>The Most Wonderful Customer Service</t>
  </si>
  <si>
    <t>I love the company and the fact that they don't support brands that support animal testing. It's a 4 start due to shipping always being late and they don't have an app yet, but I'm not leaving them because of that.</t>
  </si>
  <si>
    <t>SIERRA CAGLE</t>
  </si>
  <si>
    <t>I love the company and the fact that…</t>
  </si>
  <si>
    <t>Good selection of products but took a long time to receive.</t>
  </si>
  <si>
    <t>LeeAnn Harmening</t>
  </si>
  <si>
    <t>Good selection of products</t>
  </si>
  <si>
    <t>maggie</t>
  </si>
  <si>
    <t>had the product in stock</t>
  </si>
  <si>
    <t>had the product in stock. And they called the vet</t>
  </si>
  <si>
    <t>Items not as advertised even after…</t>
  </si>
  <si>
    <t>Items not as advertised even after calling customer service described the wrong item. Picture not correct either that was sent.
Took way longer than expected. Not likely to recommend or order again.</t>
  </si>
  <si>
    <t>Hyun Whyte</t>
  </si>
  <si>
    <t>Had an issue with my order</t>
  </si>
  <si>
    <t>Had an issue with my order. Customer service was rude and terrible. Will never spend my money with this company again.</t>
  </si>
  <si>
    <t>William Ludewig, Cave Creek, AZ</t>
  </si>
  <si>
    <t>Excellent! Always the best.</t>
  </si>
  <si>
    <t>Pet flow always has the dog food in…</t>
  </si>
  <si>
    <t>Pet flow always has the dog food in stock for my pet. All through pandemic they were reliable and supplies on hand and timely delivery.</t>
  </si>
  <si>
    <t>Rosalie</t>
  </si>
  <si>
    <t>Best pet food store ever!</t>
  </si>
  <si>
    <t>customer service was awesome! the shipping was very fast and I was very pleased with the variety of food. I will definitely order again!!</t>
  </si>
  <si>
    <t>Patricia Hawks</t>
  </si>
  <si>
    <t>Fromm dog food is so awesome</t>
  </si>
  <si>
    <t>Fromm dog food is so awesome! My elderly dogs were on wet dog food and they liked it till I took them to my friends house. She had the beef Fromm out for her dogs. My dogs decided they like that food better than theirs. It was a month of trying to get them to eat their food, I asked my vet what he thought of Fromm and he said he thought it was a good food. One of the reasons I went to wet food is 2 of them only has 4 teeth in the back and 4 in the front figuring they could not eat hard dog food again but they can and love it. Small bites.</t>
  </si>
  <si>
    <t>TAMMY BROWN</t>
  </si>
  <si>
    <t>Love there products and service.</t>
  </si>
  <si>
    <t>Poorly packaged for shipment, but arrived quickly.</t>
  </si>
  <si>
    <t>ivaluem</t>
  </si>
  <si>
    <t>Poorly packaged for shipment</t>
  </si>
  <si>
    <t>Great customer service. I needed my cats prescription cat food asap and they pushed the process faster for me.</t>
  </si>
  <si>
    <t>MONICA SNAPE</t>
  </si>
  <si>
    <t>Fast deliveries and one of the few places I found farmina dog food. Now I'm on auto delivery.</t>
  </si>
  <si>
    <t>Michelle</t>
  </si>
  <si>
    <t>Fast deliveries and one of the few…</t>
  </si>
  <si>
    <t>I ordered cat food on 5-18 and FedEx has yet to deliver it, stating that the address is incorrect when it is not. After hours on the phone trying to get this package I am left with no other choice but to request a refund. I still don’t have the cat food and am tired of wasting hours talking to low level customer support that do not fix the issue. And your phone number is disconnected…….</t>
  </si>
  <si>
    <t>KIM HILAND</t>
  </si>
  <si>
    <t>I ordered cat food on 5-18 and FedEx…</t>
  </si>
  <si>
    <t>We love using PetFlow for our pets needs. The prices are competitive and it's so easy to change/delay/cancel our order.</t>
  </si>
  <si>
    <t>JOYCE SHIPMAN</t>
  </si>
  <si>
    <t>We love using PetFlow for our pets…</t>
  </si>
  <si>
    <t>Shipping was Fast! My only concern is my dog food best by date is Sept. 22 just concerned not fresh maybe older stock.</t>
  </si>
  <si>
    <t>Wendy Call</t>
  </si>
  <si>
    <t>Shipping was Fast</t>
  </si>
  <si>
    <t>Petflow is THE best. Hands down! Great customer service and prices.</t>
  </si>
  <si>
    <t>Allison Baird</t>
  </si>
  <si>
    <t>Petflow is THE best</t>
  </si>
  <si>
    <t>They had the food I had been searching for in stock. Quick shipping.</t>
  </si>
  <si>
    <t>Thomas Popp</t>
  </si>
  <si>
    <t>They had the food I had been searching…</t>
  </si>
  <si>
    <t>Super great company with fast service and great shipping.</t>
  </si>
  <si>
    <t>Super great company with fast service…</t>
  </si>
  <si>
    <t>Great company with very quick shipping!! I will be using them from now on!</t>
  </si>
  <si>
    <t>Eilene B</t>
  </si>
  <si>
    <t>Awesome company!</t>
  </si>
  <si>
    <t>Excellent products and outstanding service. Fast delivery.</t>
  </si>
  <si>
    <t>GreenFlyingDragon</t>
  </si>
  <si>
    <t>Excellent products and outstanding…</t>
  </si>
  <si>
    <t>Good price. Fast delivery!</t>
  </si>
  <si>
    <t>JENNIFER</t>
  </si>
  <si>
    <t>Excellent value and service</t>
  </si>
  <si>
    <t>We have been using Petflow for many years, and always have great service and value.</t>
  </si>
  <si>
    <t>VIVIAN M</t>
  </si>
  <si>
    <t>Petflow has the products I need and…</t>
  </si>
  <si>
    <t>Petflow has the products I need and gets them to me quickly. I’ve used auto ship and when I’ve had to switch my schedule they were happy to accommodate and adjust. And their customer service is so responsive. I have been a loyal client for years and plan to remain one.</t>
  </si>
  <si>
    <t>MERYL DATTOLICO</t>
  </si>
  <si>
    <t>Every one at Pet Flow was extremely…</t>
  </si>
  <si>
    <t>Every one at Pet Flow was extremely helpful. They spent as much time as needed on the phone with me to pick the puppy food I needed. When it turned out that my pup did not need the prescription I was told, they were unable to take it back but they refunded half the cost.</t>
  </si>
  <si>
    <t>NANCY ALVEY</t>
  </si>
  <si>
    <t>When I ordered they knew they were out…</t>
  </si>
  <si>
    <t>When I ordered they knew they were out of stock. I called, asked questions and didn’t get a direct answer.</t>
  </si>
  <si>
    <t>SUSAN B MUELLER</t>
  </si>
  <si>
    <t>I was so happy to find my pet food in…</t>
  </si>
  <si>
    <t>I was so happy to find my pet food in stock here. Actually, the maker of the pet food let me know that PetFlow had the product in stock. There was no shipping fee on the 25 LB bag and it arrived promptly all the way from across the country.</t>
  </si>
  <si>
    <t>Patti</t>
  </si>
  <si>
    <t>Ordered dog food</t>
  </si>
  <si>
    <t>Ordered canned dog food. Found the price to be competitive and shipping was timely.</t>
  </si>
  <si>
    <t>Reviewer</t>
  </si>
  <si>
    <t>Contact the State AG in Nevada</t>
  </si>
  <si>
    <t>I would advise anyone that has had a poor experience with this website - which appears to be just a website where they drop ship orders but don't actually have a warehouse, to contact the Attorney General in Nevada, where this guy or "company" is located.
If they are pretending items are in stock, but they really are out - that is misleading. Also, I keep reading of multiple people saying they are charged and sent the wrong items because the items they actually ordered are out of stock. It sounds like the state AG needs to look into this sham business.</t>
  </si>
  <si>
    <t>REBECCA EIMERMAN</t>
  </si>
  <si>
    <t>Ordered cat food</t>
  </si>
  <si>
    <t>Ordered cat food. When I ordered it was in stock. Now saying they have none and that the online allows them to sell bags so long as they at least have 1. Sad.</t>
  </si>
  <si>
    <t>Sarita Miller</t>
  </si>
  <si>
    <t>Fast delivery and quality product</t>
  </si>
  <si>
    <t>I ordered dry cat food that you said you had and waited for you to tell me when it shipped. You never told me you were out of it. I had to get in touch with you to find out. Stupidly I checked for that same product a week or so later and same thing. Your on line app said you had it in stock but you didn’t. I’m back buying from Chewy.</t>
  </si>
  <si>
    <t>I ordered dry cat food that you said…</t>
  </si>
  <si>
    <t>Ordered M/D dry cat food and you waited so long to let me know you were
out of it. Other companies let you know on the site where you are ordering
that they are out. Wasted time.</t>
  </si>
  <si>
    <t>KELLI DOUGLASS</t>
  </si>
  <si>
    <t>Very easy ordering and quick delivery!</t>
  </si>
  <si>
    <t>Great product, FAST shipping</t>
  </si>
  <si>
    <t>RG THOMAS</t>
  </si>
  <si>
    <t>Good service good pet supplies</t>
  </si>
  <si>
    <t>Having to contact support to cancel an auto ship is ridiculous. Straight from the Comcast book of customer service.</t>
  </si>
  <si>
    <t>BETTY SHAFFER</t>
  </si>
  <si>
    <t>Ordered M/D dry cat food and you…</t>
  </si>
  <si>
    <t>This is the first time using PetFlow, and I loved the experience. They have great prices and fast shipping. I love the selection of food also.</t>
  </si>
  <si>
    <t>ANGELA</t>
  </si>
  <si>
    <t>Scam site. They lie and say they have stock of things they know they have no stock for just to get your information.</t>
  </si>
  <si>
    <t>Tammy A. Bayes</t>
  </si>
  <si>
    <t>I like Pet Flow and the convenience of buy Fromm cat food from them.</t>
  </si>
  <si>
    <t>Gm</t>
  </si>
  <si>
    <t>Having to contact support to cancel an…</t>
  </si>
  <si>
    <t>I placed an order for prescription pet food. The website stated food prescriptions could be emailed or mailed so I emailed the food prescription using the email address they listed on their website for this purpose. This resulted in back and forth with a representative who conveyed I needed to mail it in, despite contrary information on PetFlow's website. She did her best to try to help. However, ultimately even after PetFlow finally accepted the emailed prescription (I also mailed the prescription for good measure), I received an email notification from PetFlow that the food was no longer available. Was a complete waste of time and my pet still does not have their needed prescription pet food.</t>
  </si>
  <si>
    <t>This is the first time using PetFlowfast</t>
  </si>
  <si>
    <t>TODD TWEDT</t>
  </si>
  <si>
    <t>Scam site</t>
  </si>
  <si>
    <t>LYNNEA DALE</t>
  </si>
  <si>
    <t>I like Pet Flow and the convenience of…</t>
  </si>
  <si>
    <t>SH</t>
  </si>
  <si>
    <t>Placed an order for prescription pet food</t>
  </si>
  <si>
    <t>MARIANNE GURAN</t>
  </si>
  <si>
    <t>I was trying to order prescription cat…</t>
  </si>
  <si>
    <t>I was trying to order prescription cat food that is in short supply. Your company let me order it, sign up for your account, contacted my vet for the prescription, and went through the whole process and then told me you are out of stock. Why didn't you tell me up front you were out of stock. You wasted my time!</t>
  </si>
  <si>
    <t>Mcintyre, Linda</t>
  </si>
  <si>
    <t>I have plenty (too much) food right…</t>
  </si>
  <si>
    <t>I have plenty (too much) food right now. How can I cancel automatic service??</t>
  </si>
  <si>
    <t>Lorraine Castelain</t>
  </si>
  <si>
    <t>I trust them</t>
  </si>
  <si>
    <t>I trust them, they usually have the product that I want and if not they will let me know.</t>
  </si>
  <si>
    <t>Amanda B.</t>
  </si>
  <si>
    <t>So glad I found PetFlow!</t>
  </si>
  <si>
    <t>This place is amazing! Prices really cannot be beat -- and we shop around every time we stock up. PetFlow doesn't carry all of the foods we buy but the ones they do are consistently cheaper than elsewhere, including delivery!
I hope PetFlow will carry more of the vegetarian canned dog foods soon. These lower protein foods are so much better for dogs, especially those with kidney or other issues.</t>
  </si>
  <si>
    <t>MARK BROWN</t>
  </si>
  <si>
    <t>My total order was to receive 15%…</t>
  </si>
  <si>
    <t>My total order was to receive 15% off...however, my order was split and I only received 15% off on the lesser item and was taxed on both. I may inform my credit card company of this transaction based on your response.</t>
  </si>
  <si>
    <t>RONNIE</t>
  </si>
  <si>
    <t>Have always had good service from…</t>
  </si>
  <si>
    <t>Have always had good service from PetFlow</t>
  </si>
  <si>
    <t>SHIRLEY MOSES</t>
  </si>
  <si>
    <t>Keep posting that they have Hill…</t>
  </si>
  <si>
    <t>Keep posting that they have Hill Science Diet M/D when they don’t.</t>
  </si>
  <si>
    <t>Stacey Bauman</t>
  </si>
  <si>
    <t>I have only received part of my order…</t>
  </si>
  <si>
    <t>I have only received part of my order that I made on May 10th, it is now the 22nd and I have still not received the dog food I ordered.</t>
  </si>
  <si>
    <t>ANN KNAUER</t>
  </si>
  <si>
    <t>Great prices, fast shipping!</t>
  </si>
  <si>
    <t>Our Saint Bernard was recently diagnosed with Gastroparesis and needed limited ingredient treats. Hills makes a line of them that Petflow has a great variety of at great prices. Shipping is super fast.</t>
  </si>
  <si>
    <t>Georgann</t>
  </si>
  <si>
    <t>Excellent service!!
Thank you!</t>
  </si>
  <si>
    <t>KATE KENNER</t>
  </si>
  <si>
    <t>I have ordered only once from Flowpet…</t>
  </si>
  <si>
    <t>I have ordered only once from Flowpet but so far so good and on that note I will give them 5 stars. There was a good variety with good prices and the order came more quickly than I expected. i expect I will be shopping there more.</t>
  </si>
  <si>
    <t>SAMANTHA POUSSON</t>
  </si>
  <si>
    <t>Fast shipping! Easy to get in contact with them if you have questions</t>
  </si>
  <si>
    <t>Jeff Thomas</t>
  </si>
  <si>
    <t>Ordered special diet 10 days and…</t>
  </si>
  <si>
    <t>Ordered special diet 10 days and nothing had to order chewy . Got it in 3 days</t>
  </si>
  <si>
    <t>MICHELLE DAOUST</t>
  </si>
  <si>
    <t>Very friendly and knowledgeable people…</t>
  </si>
  <si>
    <t>Very friendly and knowledgeable people at Petflow. Willing to go the extra mile to help.</t>
  </si>
  <si>
    <t>Colleen Wagoner</t>
  </si>
  <si>
    <t>It is easy to change my order</t>
  </si>
  <si>
    <t>It is easy to change my order, the staff is always Easy to communicate with. They are Alice there to help me when I run out of food. My Goldens sometimes have friends over for the week.</t>
  </si>
  <si>
    <t>MARCELLINE FREDETTE</t>
  </si>
  <si>
    <t>I buy again and again</t>
  </si>
  <si>
    <t>So happy you carry Fromm. My dog thrive on this food. I love the convenience of delivery to my door. The best part is shipping is included.</t>
  </si>
  <si>
    <t>I placed my order from Canada and dealt…</t>
  </si>
  <si>
    <t>I placed my order from Canada and dealt with a customer service rep. She was very friendly, helpful and efficient. My order was delivered very quickly to a parcel receiver in Bellingham, Wa. I am very satisfied with Petflow.</t>
  </si>
  <si>
    <t>Betsy</t>
  </si>
  <si>
    <t>Great service at PetFlow</t>
  </si>
  <si>
    <t>Ms. Jessie at PetFlow was extremely helpful in fulfilling my order. She was knowledgeable, pleasant and very efficient. I am very satisfied with the service I got.</t>
  </si>
  <si>
    <t>K CARPENTER</t>
  </si>
  <si>
    <t>Always ships quickly and arrives…</t>
  </si>
  <si>
    <t>Always ships quickly and arrives promptly. You can trust PetFlow to handle your order right</t>
  </si>
  <si>
    <t>Linda Nichols</t>
  </si>
  <si>
    <t>Took way to long to get here</t>
  </si>
  <si>
    <t>Took way to long to get here. This was a cat food order and I'm use to getting it at least in a couple days when I order from Amazon or Chewy. Not sure I'll order from them again.</t>
  </si>
  <si>
    <t>LINDA HENSLEY</t>
  </si>
  <si>
    <t>This is a great company</t>
  </si>
  <si>
    <t>This is a great company. Good selection of products and at fair and reasonable prices, including shipping costs. Delivery is very timely. While so many firms are still using the Pandemic as an excuse to price-gouge, it is so refreshing and a pleasure to deal with Petflow. This is the only company I purchase my pet's products from.</t>
  </si>
  <si>
    <t>JULIE TRUETT</t>
  </si>
  <si>
    <t>Have been waiting in my prescription…</t>
  </si>
  <si>
    <t>Have been waiting in my prescription for a month and still haven’t received. Sent in digital and paper copy that still had problem with them verifying and actually sending the prescription. So frustrating. Would not recommend VetSource for pet prescriptions. Hoping to get my order one day…</t>
  </si>
  <si>
    <t>Michelle Day</t>
  </si>
  <si>
    <t>My dog is on RX dog food Hills Science…</t>
  </si>
  <si>
    <t>My dog is on RX dog food Hills Science Diet D/D. I decided to start getting it from you. I order it ( changing flavors/protein because the one I wanted said out or stock) a few days later I haven’t heard anything so I call/text and I’m told that it is waiting Vet authorization. I called my vet and they said they had not received anything. And then call you guys back to let you know please send the authorization again because they have not received it. A week goes by and still nothing. By text and call, I am told they are unsure of what the problem is ( you have the RX and show the product in stock) and assure me that our dog food will be shipped out very shortly. This happens again so I cancel the order. I receive a voicemail another week later telling me they have found the problem, apologizing and offering me a 20% off. I called and ask many questions, like is the product in stock, do you already have my prescription, all of which the answer was yes. So I decide to re-order. Once again I am assured that my item will ship within two days and I Would get a email confirmation with shipping info. When three days go by and I have not gotten an email, I check on the order. I see that it says waiting on that approval… I of course call to find out why since I was told you have already received the prescription. And once again the person was not sure. You see the problem here is that the vet charges every time they send a prescription. So at this time I have paid for my vets approval three times for a product that I have never received! Not to mention that my dog/baby needs to eat!</t>
  </si>
  <si>
    <t>I have purchased many Milk Bone pill…</t>
  </si>
  <si>
    <t>I have purchased many Milk Bone pill pocket packets. They usually come in 5 pouches per box which helps to keep them from being crushed in shipment. I usually purchase 4-5 boxes at a time. Shipping is slower then other suppliers.</t>
  </si>
  <si>
    <t>GIDGET</t>
  </si>
  <si>
    <t>Cancelled my order</t>
  </si>
  <si>
    <t>Cancelled my order saying supply of product from manufacturer was unavailable. So I went to another vendor who had no problem filling my order.</t>
  </si>
  <si>
    <t>Grams</t>
  </si>
  <si>
    <t>Always delivered promptly</t>
  </si>
  <si>
    <t>Received my product of prescription kitty snacks quickly.
Thank you</t>
  </si>
  <si>
    <t>GAEL DIDLOFF</t>
  </si>
  <si>
    <t>Excellent Service</t>
  </si>
  <si>
    <t>Pet flow has been very reliable. My dog’s food arrives as ordered, the food is fresh and arrives quickly
I have had a few problems with the website where I could not change an amount on the “review your order” page, which was frustrating. However, calling customer service resolved the problem immediately and when you call, you get a real person!</t>
  </si>
  <si>
    <t>MICHAEL S.</t>
  </si>
  <si>
    <t>Received my product of prescription…</t>
  </si>
  <si>
    <t>Very good service and fast delivery,I have no complaints.</t>
  </si>
  <si>
    <t>JHR</t>
  </si>
  <si>
    <t>Pet flow has been very reliable</t>
  </si>
  <si>
    <t>Items arrived quickly, before I was notified that they were shipped. One item was missing from the order, it took a few days before I received an email that the item was out of stock. Credit for the item came quickly. Very pleased with my purchase.</t>
  </si>
  <si>
    <t>KEVIN WALSH</t>
  </si>
  <si>
    <t>Very good service and fast delivery,I…</t>
  </si>
  <si>
    <t>Excellent Customer Service
PetFlow inadvertently sent me an extra case of cat food. I alternate the types of food so I was fine with keeping the extra food but needed to pay for that one and add another of the alternate kind. The gentleman with whom I spoke straighten everything out so I didn’t have to pay shipping. He was knowledgeable and pleasant to deal with.</t>
  </si>
  <si>
    <t>Items arrived quickly</t>
  </si>
  <si>
    <t>Friendly when I had questions, FAST DELIVERY, easy to order quickly online😍</t>
  </si>
  <si>
    <t>Bonnie Sparmblack</t>
  </si>
  <si>
    <t>Excellent Customer Service</t>
  </si>
  <si>
    <t>Efficient fast shipping and great customer service!
Good selection of animal products</t>
  </si>
  <si>
    <t>BETH ANDERSON</t>
  </si>
  <si>
    <t>Friendly</t>
  </si>
  <si>
    <t>Very happy with products. Wish food was a bit cheaper.</t>
  </si>
  <si>
    <t>Debra</t>
  </si>
  <si>
    <t>Efficient fast shipping and great…</t>
  </si>
  <si>
    <t>I had been looking for the puppy kibble our breeder has been using for their litter of puppies. PetFlow was the only site that carried it. Very easy to work with and on time delivery. Thank you.</t>
  </si>
  <si>
    <t>VINCIE SOYARS</t>
  </si>
  <si>
    <t>Very happy with products</t>
  </si>
  <si>
    <t>Staff is very friendly and helpful. There was a prompt response to my question. They have a vast selection and great prices. They came through when I had trouble finding my finicky cat’s food. They are my go to store.</t>
  </si>
  <si>
    <t>CHRIS</t>
  </si>
  <si>
    <t>Puppy Food Found</t>
  </si>
  <si>
    <t>The constant urging to use "auto-ship" I can understand, what I can't understand is the meaningless one-time pittance of a discount as an incentive, coupled with an almost "forced" compliance by changing my selections to include it for me. It is the most obnoxious, pushy waste of my time and I may go back to Chewy as a result. I really do think PetFlow is an awesome place to get a decent value on pet food but I don't like the forced atmosphere for checkout. I came to PetFlow when I learned PetSmart did live animal testing and bought Chewy, this was my protest move but I really don't appreciate the almost underhanded methods used to encourage auto-ship. I took off one star specifically for this reason and would have gone 5-Star were the checkout process more about "MY Choice" and felt like my opinion was most important. Thank you.</t>
  </si>
  <si>
    <t>magdala cruz</t>
  </si>
  <si>
    <t>Staff is very friendly and helpful</t>
  </si>
  <si>
    <t>I tried to purchase prescription cat food for my cat on 5/6. The vet did not receive communication through you so I emailed and texted in a prescription on 5/9. Both of which replied and said it was sent to the correct team and should be processed ASAP. Then I received an email on 5/16 stating you were canceling my order because it was no longer in stock. I understand it is now in back order however it was in stock when I placed the order and the delay with your team caused me to miss out.</t>
  </si>
  <si>
    <t>The Phone Guy</t>
  </si>
  <si>
    <t>The constant urging to use "auto-ship"…</t>
  </si>
  <si>
    <t>I needed to order a variety of cat food that had been sold out at local shops &amp; online retailers for some time. I discovered PetFlow through a link on the manufacturer’s website. I was skeptical that they could even deliver, but ended up being pleasantly surprised. I’ve since become a regular customer of PetFlow &amp; wish they sold my dogs’ food too so I could get rid of Chewy altogether.</t>
  </si>
  <si>
    <t>JESSICA CHILDERS</t>
  </si>
  <si>
    <t>I tried to purchase prescription cat…</t>
  </si>
  <si>
    <t>Impressed!</t>
  </si>
  <si>
    <t>Easy to navigate site</t>
  </si>
  <si>
    <t>Easy to navigate site. prompt delivery.</t>
  </si>
  <si>
    <t>Denise M.</t>
  </si>
  <si>
    <t>My second order experience was just as…</t>
  </si>
  <si>
    <t>My second order experience was just as great as the first one. Great business!</t>
  </si>
  <si>
    <t>Rhea</t>
  </si>
  <si>
    <t>I like the people and the products</t>
  </si>
  <si>
    <t>My order is always delivered in a timely manner. If there is ever a question I get answers quickly in a professional and friendly way.</t>
  </si>
  <si>
    <t>Awesome service, selection, pricing and shipping!!</t>
  </si>
  <si>
    <t>Petflow has been my go-to for years now for a reason.</t>
  </si>
  <si>
    <t>CAROL BERDAR</t>
  </si>
  <si>
    <t>Excellent availability of products</t>
  </si>
  <si>
    <t>Excellent availability of products, customer service, shipping, and communication!</t>
  </si>
  <si>
    <t>Crystelyn Guererri</t>
  </si>
  <si>
    <t>So easy to order my pet's prescription…</t>
  </si>
  <si>
    <t>So easy to order my pet's prescription meds on PetFlow. They contact your vet directly for approval which takes all the work out of my hands. Shipping is quick and its very easy to amend the shipment schedule if needed.
Thank you PetFlow for such awesome service!</t>
  </si>
  <si>
    <t>SKIP WOODRUFF</t>
  </si>
  <si>
    <t>I was searching for a specific food for…</t>
  </si>
  <si>
    <t>I was searching for a specific food for my new puppy that was not available in many places. Found it here, ordered and had it so fast it’d make your head spin ! Thank you .</t>
  </si>
  <si>
    <t>Not a happy customer</t>
  </si>
  <si>
    <t>I received my product before the…</t>
  </si>
  <si>
    <t>I received my product before the original date. I was very impressed since I never heard of them but I will continue to use them. I highly recommend them.</t>
  </si>
  <si>
    <t>Sandra Sturgeon</t>
  </si>
  <si>
    <t>Excellent service and product!!!!</t>
  </si>
  <si>
    <t>Excellent service and product!!!!! Our fur baby loves the Butcher Block Champ bones!!!!!</t>
  </si>
  <si>
    <t>Updated May 17, 2022</t>
  </si>
  <si>
    <t>When the package came everything was so…</t>
  </si>
  <si>
    <t>When the package came everything was so jammed in there that the Stella and Chewy patties were crushed. I purchased 3 bags of the Stella and each bag had broken pieces in there.</t>
  </si>
  <si>
    <t>JENNIFER NELSON</t>
  </si>
  <si>
    <t>Petflow had the dog food that I needed…</t>
  </si>
  <si>
    <t>Petflow had the dog food that I needed that everyone else was out of. It came quickly and without any issues. Their website was easy to navigate also.</t>
  </si>
  <si>
    <t>ks</t>
  </si>
  <si>
    <t>PetFlow came through</t>
  </si>
  <si>
    <t>When other sites were out of the prescription food my dog needs, PetFlow was the only place I could find it and at a good price too. Delivery was fast also</t>
  </si>
  <si>
    <t>NANCY CARRINGTON</t>
  </si>
  <si>
    <t>Great service, competitive pricing</t>
  </si>
  <si>
    <t>DEBORAH MAY DUNN</t>
  </si>
  <si>
    <t>Coupons, discounts and lots of food/treat options!</t>
  </si>
  <si>
    <t>Petflow had a rocky start with me because it was difficult to get customer service, but they have improved so much in that department that a 5 star is appropriate. They are the only pet delivery that has my dog's dry food and they give a years worth of coupons to offset the expense of it. They also carry specialty treats that my dog finds mouth watering by Butcher's block. My cat treats container always comes cracked and broken with food everywhere when shipped by the other pet food delivery service, but not with Petflow. On occasion, they offer incentive discounts to ship early for auto delivery and I almost always take advantage of that. My Great Dane is worth every penny I spend, but its nice to be offered discounts. I highly recommend.</t>
  </si>
  <si>
    <t>TOM HYNES</t>
  </si>
  <si>
    <t>Delivery was okay</t>
  </si>
  <si>
    <t>Delivery was okay, no issues with package or product, price okay too</t>
  </si>
  <si>
    <t>HEATHER HUNT</t>
  </si>
  <si>
    <t>Great company, fast delivery!</t>
  </si>
  <si>
    <t>Wooly</t>
  </si>
  <si>
    <t>Items not really in stock</t>
  </si>
  <si>
    <t>I order 2 eight pound bags of prescription cat food. Kept getting emails about it being backordered. On the website at Tim’s of purchase it stated they were in stock. Placed an additional order for two 4 pounds of same food and that was cancelled by petflow for not being in stock either. Website said both were in stock. Just checked my first order tonight and it states cancelled. I was not notified of that. Very poor!</t>
  </si>
  <si>
    <t>SR</t>
  </si>
  <si>
    <t>Always helpful and answer my questions…</t>
  </si>
  <si>
    <t>Always helpful and answer my questions and concerns</t>
  </si>
  <si>
    <t>CB</t>
  </si>
  <si>
    <t>Easy to use</t>
  </si>
  <si>
    <t>Easy to use website and fast shipping.</t>
  </si>
  <si>
    <t>Veronica</t>
  </si>
  <si>
    <t>my order is always on time and very…</t>
  </si>
  <si>
    <t>my order is always on time and very easy to order,</t>
  </si>
  <si>
    <t>ELISETE AMARAL</t>
  </si>
  <si>
    <t>I made a large order</t>
  </si>
  <si>
    <t>I made a large order, and you guys cancelled my order saying that it was a “fraud.” There was never a time where i got an email or any contact to see if it was a “fraud.” My dogs are now with no food due to this lack of responsibility. I was informed that every time i make any new purchase, it will be cancelled. If you guys can fix this in any way, please let me know.</t>
  </si>
  <si>
    <t>ESTEFANIA CANTERO</t>
  </si>
  <si>
    <t>I love the service petflow provides</t>
  </si>
  <si>
    <t>I love the service petflow provides. They have a huge variety of products. Plus they also offer great deals. Finally, I must say customer service is extremely friendly to use through texting. They'll help you right away. Thank you so much.</t>
  </si>
  <si>
    <t>Suzanne Mattiello</t>
  </si>
  <si>
    <t>It took a week to find out the product I ordered wasn’t ieven in stock.</t>
  </si>
  <si>
    <t>I ordered prescription food for my cat. A week went by with no shipping information. I contacted Pet Flow and was advised that the food wasn’t even in stock, even though they got the approval from my Vet. Waste of time that I could’ve been searching for this prescription food elsewhere. She has no prescription food.</t>
  </si>
  <si>
    <t>ASHLEY E</t>
  </si>
  <si>
    <t>No notifications</t>
  </si>
  <si>
    <t>Ordered prescription food and insulin syringes for my diabetic cat. Syringes came a few days later the 3 bags of prescription food did not. After 10 days with no update I called customer service just to find out the food was out of stock. I was never notified that it was out of stock and that part of my order would be canceled and refunded. At this point, 10 days later, my cat was completely out of food. Luckily my vet had a bag so I could feed my diabetic cat. I have not yet recieved any money back to the credit card I used to purchase the food.</t>
  </si>
  <si>
    <t>Eugene ORourke</t>
  </si>
  <si>
    <t>Great customer service and I really appreciate it!</t>
  </si>
  <si>
    <t>SUSANNA BJORNSSON</t>
  </si>
  <si>
    <t>Great customer service and I really…</t>
  </si>
  <si>
    <t>Great site for dog supplies. Will continue to use if prices are good</t>
  </si>
  <si>
    <t>JACK A.</t>
  </si>
  <si>
    <t>Great site for dog supplies</t>
  </si>
  <si>
    <t>I moved over to PetFlow, kicking and screaming, from Chewy. Chewy stopped carrying VeRus and PetFlow is now my merchant for all my canine needs. I could not be happier with the customer service. I like getting advance notice that my auto-ship is 'preparing to ship'. I like the updates when there is a stocking problem. Thank you, PetFlow, for always being professional and being dedicated to your customers. fc Ventnor NJ</t>
  </si>
  <si>
    <t>frani C., New Jersey</t>
  </si>
  <si>
    <t>Tops in customer service</t>
  </si>
  <si>
    <t>With the price of dog food getting more expensive, I was looking for the best price for Chicken Soup for the Soul canned dog food. Pet Flow had the best price when compared to other on-line retailers. This was my first time ordering from Pet Flow. The delivery was fast and the items were received in perfect condition. I will be ordering again in the future!</t>
  </si>
  <si>
    <t>Sharon Hubert</t>
  </si>
  <si>
    <t>With the price of dog food getting more…</t>
  </si>
  <si>
    <t>Always arriving promptly and the correct products in the order!</t>
  </si>
  <si>
    <t>AMY BURRIS</t>
  </si>
  <si>
    <t>Always arriving promptly and the…</t>
  </si>
  <si>
    <t>THE BEST PLACE TO PURCHASE ALL OF MY DOGS NEED. EXCELLENT SERVICE AND ALWAYS FAST . LOVE LOVE LOVESTELLA LOVES IT TOO</t>
  </si>
  <si>
    <t>Lakelady</t>
  </si>
  <si>
    <t>THE BEST PLACE TO PURCHASE ALL OF MY…</t>
  </si>
  <si>
    <t>This was my first time using the site usually use a competitors site but this website showed up and I clicked to see what it was.
The prices are similar to the site I usually use. Some of the items were slightly cheaper some more expensive.
One huge con was that I spent an hour filling my basket got a phone call and when I came back the cart was empty. I called which took a bit of a wait to speak to someone to be told I had to start again. Bit frustrating.
The shipping was bit slower than what I was expecting too the other site is within 24-48 hours here it took close to a week and when it did arrive some of the order was missing. I called and the item was replaced and shipped within 3-4 days.
Overall the prices are good. customer service is slow to answer but good once you get them on the line, shipping is slow but if you are not in a rush its ok. The overall selection of items for what I usually buy was also low. Only half of what I wanted was actually listed.
I probably will shop here again but not if I need the items quickly.</t>
  </si>
  <si>
    <t>Claire A</t>
  </si>
  <si>
    <t>This was my first time using the site…</t>
  </si>
  <si>
    <t>My ordered was submitted then cancelled days later. I would have just bought it somewhere else. Should have just said out of stock.. now I have to scramble to find food</t>
  </si>
  <si>
    <t>BARRON BASZTO</t>
  </si>
  <si>
    <t>My ordered was submitted then cancelled…</t>
  </si>
  <si>
    <t>Ordered hard to find diabetic cat food the the 8 lb. bags are out of stock at all 4 companies that carry it. Petflow shows on the site that the 4 lb. bags ARE in stock. Order on may 9th and vet approved, was told that on the 10th its send to the warehouse for shipping. Called on the 12th to see why I've not got a tracking number. Was told alls good its in the shipping dept. Text on the 13ths and got the same BULL . If you don't have it just say WE DON'T HAVE IT.</t>
  </si>
  <si>
    <t>Kim Surber Hacker</t>
  </si>
  <si>
    <t>Ordered hard to find diabetic cat food…</t>
  </si>
  <si>
    <t>Products are good but the ones I wanted were out of stock or very low.</t>
  </si>
  <si>
    <t>Products are good but the ones I wanted…</t>
  </si>
  <si>
    <t>Great product, price, communication and transaction.</t>
  </si>
  <si>
    <t>Mellie</t>
  </si>
  <si>
    <t>Great product and Transaction</t>
  </si>
  <si>
    <t>I was very disappointed. I ordered my RX can cat food. The payment was made. The payment was returned. This is the first email from PetFlow. I have not received an email why my payment was returned or why I did not receive my order.</t>
  </si>
  <si>
    <t>CINDY</t>
  </si>
  <si>
    <t>I was very disappointed</t>
  </si>
  <si>
    <t>Quick and easy - I just entered the order and the vet details and my order was on its way the next day!</t>
  </si>
  <si>
    <t>EP</t>
  </si>
  <si>
    <t>My cat likes the Friskies sensation cat food.I wish Petflow has a larger selection of cat and dog food that weigh 16 lbs or less. as I grow older I find it difficult to lift bags over 16 lbs.</t>
  </si>
  <si>
    <t>Amy</t>
  </si>
  <si>
    <t>Grateful for better prices</t>
  </si>
  <si>
    <t>Albert Buys</t>
  </si>
  <si>
    <t>My cat likes the Friskies sensation cat…</t>
  </si>
  <si>
    <t>DEB</t>
  </si>
  <si>
    <t>Orders are accurate and delivered on…</t>
  </si>
  <si>
    <t>Orders are accurate and delivered on time. Price is a little high at this time, but no higher than other sites are charging for same pet food.</t>
  </si>
  <si>
    <t>JAKE ONEILL</t>
  </si>
  <si>
    <t>Gast delivery and good price!</t>
  </si>
  <si>
    <t>I've only used PetFlow once, first time, but everything was great. Easy to navigate the site, received order quickly, packaged safely. I had a general question, and customer service was very nice and knowledgeable. I'll be a repeat customer, and very glad to have found PetFlow.</t>
  </si>
  <si>
    <t>Michele Heile</t>
  </si>
  <si>
    <t>I've only used PetFlow once, but now, a happy and returning customer!</t>
  </si>
  <si>
    <t>Frustrated with the lack of customer service regarding my cat food order. Our Vet's office personally called to O.K. a prescription diet for our cat as we could not find it anywhere and we were running out. We did not get any official notification that you ended up being out of this product until 8 days later. We should have been notified immediately. I Will not use you in the future. Communication is key.</t>
  </si>
  <si>
    <t>TERI LISPI</t>
  </si>
  <si>
    <t>Frustrated with the lack of customer…</t>
  </si>
  <si>
    <t>My items from Petflow always arrive quickly and accurately. I enjoy using Petflow for my dogs needs! I highly recommend!!!</t>
  </si>
  <si>
    <t>DEBORAH J-B</t>
  </si>
  <si>
    <t>Great Items and Fast Delivery</t>
  </si>
  <si>
    <t>Trustworthy, accommodating, and much variety.</t>
  </si>
  <si>
    <t>PJ</t>
  </si>
  <si>
    <t>Products ordered came quickly and accurately. The website makes reordering easy</t>
  </si>
  <si>
    <t>JEB</t>
  </si>
  <si>
    <t>Products ordered came quickly and…</t>
  </si>
  <si>
    <t>We have shopped with Pet Flow for about 10 years and they always provide excellent service and products!</t>
  </si>
  <si>
    <t>We have shopped with Pet Flow for about…</t>
  </si>
  <si>
    <t>Ready for some Captain's Plate, Sardines &amp; Mackeral now! Look forward to this Against the Grain next, when they are available for purchase again.
Thank you for getting this delivery to us as you were the only pet food company that could provide us with Shrimp Daddy. Our cats thank you very much.</t>
  </si>
  <si>
    <t>JUDY BARRICK</t>
  </si>
  <si>
    <t>Ready for some Captain's Plate</t>
  </si>
  <si>
    <t>Every order I have placed has been canceled. I call to verify everything is ok daily. I am told that it’s being packed to ship. I call again the next day and am told it’s shipping that day. Both orders have done this. Usually 2 hours later the order is canceled by you. I have never received any order I have placed.</t>
  </si>
  <si>
    <t>RENEE NEACE</t>
  </si>
  <si>
    <t>Always have what I need.</t>
  </si>
  <si>
    <t>I’m very disappointed as the item u always order was not in stock and currently remains out of stock</t>
  </si>
  <si>
    <t>Good selection of quality products!</t>
  </si>
  <si>
    <t>Fast delivery and they carry what I need.</t>
  </si>
  <si>
    <t>Karrie</t>
  </si>
  <si>
    <t>Every order I have placed has been…</t>
  </si>
  <si>
    <t>Petflow was very easy to order from and was shipped out almost immediately. The dog food arrived very quickly. I would definitely recommend them to pet owners.</t>
  </si>
  <si>
    <t>Kate Shearer</t>
  </si>
  <si>
    <t>I’m very disappointed as the item u…</t>
  </si>
  <si>
    <t>I've used PetFlow on and for 17+ years. The delivery has always been spot on but occasionally a food change required a different vendor. Glad I've returned.</t>
  </si>
  <si>
    <t>A.M.</t>
  </si>
  <si>
    <t>Fast delivery and they carry what I…</t>
  </si>
  <si>
    <t>I am always skeptical when ordering from an online store for the first time. No need to worry about Petflow. My 3 bags of Dog food came in a timely manner and the packaging was neat there was no crushed bags. Very happy customer!!</t>
  </si>
  <si>
    <t>Petflow was very easy to order from and…</t>
  </si>
  <si>
    <t>I successfully ordered Prescription Hills M/D through you and later you told me you were out of stock. You should have known you were out of stock before allowing me to order.</t>
  </si>
  <si>
    <t>IRENE</t>
  </si>
  <si>
    <t>I've used PetFlow on and for 17+ years</t>
  </si>
  <si>
    <t>I had not used PetFlow before, but they were one of the few retailers that had the pet food I needed in stock. Their turnaround time from order placement to shipping was incredibly quick, as was the shipping time. They were also very communicative each step of the way.
I will be using PetFlow again. Highly recommend.</t>
  </si>
  <si>
    <t>for your order</t>
  </si>
  <si>
    <t>I am always skeptical when ordering…</t>
  </si>
  <si>
    <t>I've always been able to change my scheduled auto shipment when every I need to. They are quick to response and send out packages very quickly. Been using this company for about 4 years and love their services.</t>
  </si>
  <si>
    <t>Sacajawea</t>
  </si>
  <si>
    <t>I successfully ordered Prescription…</t>
  </si>
  <si>
    <t>Rosa</t>
  </si>
  <si>
    <t>PetFlow order experience</t>
  </si>
  <si>
    <t>Cheryl Appel</t>
  </si>
  <si>
    <t>Love their service.</t>
  </si>
  <si>
    <t>DIANE GAIDRY</t>
  </si>
  <si>
    <t>Efficient and easy to use</t>
  </si>
  <si>
    <t>I’ve never dealt with an online pet store that was so easy to work with. They confirm my dog’s food prescriptions and still get the food to me in just a few days. I’m looking forward to buying treats and other supplies from them as well.</t>
  </si>
  <si>
    <t>Qismat Sherani</t>
  </si>
  <si>
    <t>Canceling orders again and again.</t>
  </si>
  <si>
    <t>Customer service was fine, but I could not purchase what I wanted to for my cat. I ordered veterinary products and I chose the vet I went to from the search. I knew Pet Flow (or Vetsource) would need to contact the vet but did not know how they would. Then I got an email that Pet Flow could not contact the vet. This was the first trouble.
I called my vet and told them the situation. The vet was so nice that they called the number in the email, but she was told THERE WASN'T MY ORDER UNDER MY ORDER NUMBER. She tried twice, but the same result. Second trouble.
I talked to the customer service twice, and explained what was happening, and she said she would get back to us on that day. I didn't get an email on that day but I got it on the next day. The email said, Pet Flow could not find the paient/vet relationship with the vet even though my vet tried to talk and authorize TWICE. Then my order was canceled in the end.
I never had these many torubles purchasing pet food, whether or not it is veterinary food. Please review the list of vets you have ASAP and fix these problems. Otherwise no hope to use Pet Flow again for me.</t>
  </si>
  <si>
    <t>TOKIO KUNIYOSHI</t>
  </si>
  <si>
    <t>Could not purchase in the end</t>
  </si>
  <si>
    <t>I love the service I receive when I place my order. If I have any issues I call and the customer service is the best.</t>
  </si>
  <si>
    <t>THERESA ESPEY</t>
  </si>
  <si>
    <t>Great product and packaging.</t>
  </si>
  <si>
    <t>Ordered cat food then received email that the order was cancelled because it was out-of-stock.</t>
  </si>
  <si>
    <t>AIXA BRINER</t>
  </si>
  <si>
    <t>I love the service I receive when I…</t>
  </si>
  <si>
    <t>PetFlow was a great shopping experience, but the shipping information was not accurate on the website. I did have to reach out to Customer Service to get the correct information. Other than that, no complaints. Will definitely shop with them again.</t>
  </si>
  <si>
    <t>R.P.</t>
  </si>
  <si>
    <t>Order cancelled</t>
  </si>
  <si>
    <t>Good communication and reasonable prices.
Slow delivery time knocked this review down to four stars.</t>
  </si>
  <si>
    <t>ED BERTARELLI</t>
  </si>
  <si>
    <t>PetFlow was a great shopping…</t>
  </si>
  <si>
    <t>It was nice that PetFlow actually carried the brand of dog food I get. I was excited to sign up for autoship so I could stop making my husband pick up the dog food, 23 miles away from me, on his way home from work. My order took over a week to arrive, didn't come when it said it would, and I ran out of food before it came so I still had to send my husband to pick up my other order. I had ordered pill pockets with dog food as well and when I opened the box, the 30 lb bag of food was on top of the pill pocket bags, smashing nearly all of them inside. I was not pleased. Between the careless packaging and the super slow shipping, I cancelled my autoship and will not be shopping here ever again.</t>
  </si>
  <si>
    <t>Hills Prescription Diet</t>
  </si>
  <si>
    <t>Great quality of products and super fast shipping.</t>
  </si>
  <si>
    <t>Natalie J</t>
  </si>
  <si>
    <t>My experience wasn't what I'd hoped</t>
  </si>
  <si>
    <t>Perfect
Fast
Efficient as always</t>
  </si>
  <si>
    <t>BRENDA FERNANDEZ</t>
  </si>
  <si>
    <t>Great quality of products and super…</t>
  </si>
  <si>
    <t>When I was given a prescription for my cat that had just gotten a procedure to clear a urinary tract blockage, I tried having the prescription filled by my regular vet. They were out of stock of what was needed, so I turned to Petflow. All my experience with Petflow has been positive. I intend to continue doing business with Petflow. The service and prices are good. Petflow is nice to do business with!</t>
  </si>
  <si>
    <t>Wynn Wasinger</t>
  </si>
  <si>
    <t>Perfect</t>
  </si>
  <si>
    <t>Orders are shipped quickly. Prices are comparable to other companies.</t>
  </si>
  <si>
    <t>DAN SPIVEY</t>
  </si>
  <si>
    <t>When I was given a prescription for my…</t>
  </si>
  <si>
    <t>Timely delivery, no glitches and great product!</t>
  </si>
  <si>
    <t>Sharon Viellenave</t>
  </si>
  <si>
    <t>Orders are shipped quickly</t>
  </si>
  <si>
    <t>The products that I ordered were as described, at a fair price, and arrived on time!
- very happy customer</t>
  </si>
  <si>
    <t>CAROL GREENFIELD</t>
  </si>
  <si>
    <t>I had never ordered from Pet flow before. Their website was easy and the cat food arrived promptly.</t>
  </si>
  <si>
    <t>MARK KUTSCHINSKI</t>
  </si>
  <si>
    <t>The products that I ordered were as…</t>
  </si>
  <si>
    <t>I enjoyed finally finding a website that still has my cotton de tulear food that she has been on her whole life and seems to be selling out everywhere. I sure hope this website keeps it in stock for the next time I need to order it.</t>
  </si>
  <si>
    <t>CINDY ALOI</t>
  </si>
  <si>
    <t>I had never ordered from Pet flow…</t>
  </si>
  <si>
    <t>I ordered a large pet carrier and was sent a small. I did contact customer service and they are suppose to send a large. That was a week ago so I am still waiting</t>
  </si>
  <si>
    <t>NATALIE GREEN</t>
  </si>
  <si>
    <t>I enjoyed finally finding a website…</t>
  </si>
  <si>
    <t>Fast, easy, great price and I stick of my pups fave food!</t>
  </si>
  <si>
    <t>Brenda Grimmett</t>
  </si>
  <si>
    <t>I ordered a large pet carrier and was…</t>
  </si>
  <si>
    <t>MIMI CREVELLO</t>
  </si>
  <si>
    <t>Received puppy food as ordered</t>
  </si>
  <si>
    <t>ANITA LEAKEY</t>
  </si>
  <si>
    <t>Horrible Experience</t>
  </si>
  <si>
    <t>Ordered for the first and last time when PetFlow was the ONLY place that had any of my cat’s specialty prescription food in stock. They said they called the vet office to confirm and approve the prescription but did not call the office I gave them and then canceled the order. I tried to reorder (within 24 hours of the original order date) and suddenly the food was out of stock. I would’ve understood that they canceled because it was out of stock without making up a fake story.
If you have prescription needs for your pet Id avoid PetFlow.</t>
  </si>
  <si>
    <t>Ralph Burton</t>
  </si>
  <si>
    <t>Fast efficient service at a good price!</t>
  </si>
  <si>
    <t>I use this site to order "tracheas" for my 2 dogs..they are a natural treat and my dogs love them. This company has been very good about getting my orders to me in a timely manner so my dogs never have to miss their Saturday special treat. I know their prices are great because I have actually compared them and they beat the competition every time. I will continue to use this company and keep watching to see if they carry any other things I need.</t>
  </si>
  <si>
    <t>DALE NEWBY</t>
  </si>
  <si>
    <t>dog treats</t>
  </si>
  <si>
    <t>I'm SO Thankful that I found PetFlow!!
It's nice to know there are online options for my fur baby...the prices are Great and the fact that PetFlow gives back to pups in need makes me feel good.
Thank you PetFlow!!</t>
  </si>
  <si>
    <t>A KING</t>
  </si>
  <si>
    <t>I'm SO Thankful that I found PetFlow!!</t>
  </si>
  <si>
    <t>PetFlow usually has products other sites are out of! What relief. But stock up as things are getting harder to find. PetFlow delivers quickly and in good shape!</t>
  </si>
  <si>
    <t>Judie</t>
  </si>
  <si>
    <t>PetFlow usually has products other…</t>
  </si>
  <si>
    <t>Said an item was in stock, when it wasn’t. I waited a week before being notified that it was even in the warehouse to be shipped. In the meantime I was counting on the shipment for my diabetic cat. I will never recommend or give the company another try.</t>
  </si>
  <si>
    <t>DAna</t>
  </si>
  <si>
    <t>Inaccurate Advertising</t>
  </si>
  <si>
    <t>Great transaction, good price, free delivery.</t>
  </si>
  <si>
    <t>Jerry Marshall</t>
  </si>
  <si>
    <t>Great transaction</t>
  </si>
  <si>
    <t>Quality, communication and price!</t>
  </si>
  <si>
    <t>STEPHEN ADDO JR.</t>
  </si>
  <si>
    <t>Quality</t>
  </si>
  <si>
    <t>I have 5 cats. Two of them are eating special food for health issues. It has been hard to find canned food, especially ProPlan, since the pandemic. I have to search for cat food EVERY WEEK at the 3 pet stores in our area, which is very stressful. I was so glad that I found PetFlow on line! So far they have had the flavors that I need, and if they are out of stock I am notified when they are available. Shipping is pretty quick, and I always know when I'm getting my delivery. Recently we found out that one of our cats has liver cancer, with cancer in his lungs, so that has been an added expense. Any way that we can save money on pet products right now really helps. PetFlow is a little cheaper, which helps tremendously. I have emailed and called customer service at PetFlow. They were very friendly and helpful both times. PetFlow gets a 5-star rating from me.</t>
  </si>
  <si>
    <t>Stow Cat Mom</t>
  </si>
  <si>
    <t>Highly Recommend</t>
  </si>
  <si>
    <t>When i had a problem you fixed it fast, ty</t>
  </si>
  <si>
    <t>azkas</t>
  </si>
  <si>
    <t>When i had a problem you fixed it fast</t>
  </si>
  <si>
    <t>I buy birdseed in 50 lb. quantities. Theseed quality is excellent; the mixes are well balanced, and the seed is fresh and viable so I am able to germinate some to use as soft food to my birds. The price was reasonable when so many others are using inflation as an excuse for profiteering. It was shipped quickly. It would be helpful if it could be shipped by another method than Fedex because of their horrible work ethics where they shove the packages out in the mud, but because I knew when to expect delivery I was able to lie in wait for the truck and prevent this. I would look here the next time I need to buy seed.</t>
  </si>
  <si>
    <t>Coop</t>
  </si>
  <si>
    <t>High quality clean and viable bird seed for a reasonable price.</t>
  </si>
  <si>
    <t>I’ve always had a great experience w Petflow. I even found a better deal at another site and wanted to cancel my auto ship. The customer service rep gave me a discount instead and I kept my auto ship active and it’s still active today! Excellent customer retention and greatly appreciated. I didn’t want to cancel bc I love the convenience and service.</t>
  </si>
  <si>
    <t>JILL EAGLES</t>
  </si>
  <si>
    <t>I’ve always had a great experience w…</t>
  </si>
  <si>
    <t>Only place I could get this Hill's formula dry food for my cat. My cat is fussy and won't eat other dry foods.</t>
  </si>
  <si>
    <t>CECELIA ROMAN</t>
  </si>
  <si>
    <t>Only place I could get this Hill's…</t>
  </si>
  <si>
    <t>Petflow customer service agents are efficient yet courteous. The company clearly embraces the concept of the customer is always right. I've been using this service for five years and have always been pleased.</t>
  </si>
  <si>
    <t>BRADLEY SMITH</t>
  </si>
  <si>
    <t>Petflow customer service agents are…</t>
  </si>
  <si>
    <t>Service and customer service is excellent!</t>
  </si>
  <si>
    <t>LP</t>
  </si>
  <si>
    <t>Service and customer service is…</t>
  </si>
  <si>
    <t>This was my first time purchasing from this company. I attempted to purchase 6 items. Of the 6 items that I ordered, I only received 2. Those 4 items that I did not receive, 3 were charged to my credit card and then I was notified after the fact that these items were out of stock and that my credit card would be refunded. This is not the way to treat a customer. Pull the product(s) first, then bill the credit card. Not the other way around.</t>
  </si>
  <si>
    <t>WENDY RAPOSA</t>
  </si>
  <si>
    <t>This was my first time purchasing from…</t>
  </si>
  <si>
    <t>Easy to order online &amp; customer service is quick to respond &amp; resolve any issues. Will order again!</t>
  </si>
  <si>
    <t>KARI GORZNY</t>
  </si>
  <si>
    <t>Easy to order online &amp; customer service…</t>
  </si>
  <si>
    <t>I love PetFlow! Much better than Chewy!</t>
  </si>
  <si>
    <t>K. Hechinger</t>
  </si>
  <si>
    <t>The ease of changing or adding to existing orders could be just a little easier. It's much-improved from what it used to be, for sure, but it still takes far too long to setup an order for auto-ship. Make it easy and more efficient, PLEASE!</t>
  </si>
  <si>
    <t>MAGGIE C</t>
  </si>
  <si>
    <t>Overall excellent products and service</t>
  </si>
  <si>
    <t>Every order is fulfilled quickly and accurately and then shipped really fast. I love PetFlow!</t>
  </si>
  <si>
    <t>In love with Pet Flow</t>
  </si>
  <si>
    <t>DIANA TSCHANTRE</t>
  </si>
  <si>
    <t>Was very disappointed with shipping…</t>
  </si>
  <si>
    <t>Was very disappointed with shipping time for this order. And delivery information was delayed twice</t>
  </si>
  <si>
    <t>Kc Dee</t>
  </si>
  <si>
    <t>While I wish Petflow did not use FedEx…</t>
  </si>
  <si>
    <t>While I wish Petflow did not use FedEx (I did not get my package, or replacement package), Petflow was wonderful through an annoying process.</t>
  </si>
  <si>
    <t>JOANNA S</t>
  </si>
  <si>
    <t>Quick delivery on the dog food I ordered. I’m thankful for Petflow because they carry Canine Caviar which is a hard-to-find dog food. My French Bulldog does great on this food (no allergies).</t>
  </si>
  <si>
    <t>PAUL LALENA</t>
  </si>
  <si>
    <t>great service</t>
  </si>
  <si>
    <t>PetFlow has great pricing and fast delivery. They also have great customer service who do a fabulous job of following up on your order! I will definitely be ordering from them again.</t>
  </si>
  <si>
    <t>Njdeb</t>
  </si>
  <si>
    <t>PetFlow has great pricing and fast…</t>
  </si>
  <si>
    <t>Super easy to order from and they shipped our food and treats quickly!</t>
  </si>
  <si>
    <t>ANNA HOMER</t>
  </si>
  <si>
    <t>Super easy to order from and they…</t>
  </si>
  <si>
    <t>Quick ordering process and they obtained the prescription from my vet just as quick where other sites never completed the process. It was smooth and I will order again.</t>
  </si>
  <si>
    <t>KPabst</t>
  </si>
  <si>
    <t>Quick Order and Script Process</t>
  </si>
  <si>
    <t>The Petflow site was easy to navigate. I found the size of the dog food bag I wanted for the right price. The communication was superb, including delivery information . I would order from them anytime</t>
  </si>
  <si>
    <t>laurie</t>
  </si>
  <si>
    <t>The Petflow site was easy to navigate &amp; the price was right</t>
  </si>
  <si>
    <t>happy with my order, pup got a really cute stuffed LLama that I had my eye on, for quite a while, price was excellent, also, bella pate, not always easy to find in a retail outlet.............</t>
  </si>
  <si>
    <t>Delilah Vohnoutka</t>
  </si>
  <si>
    <t>happy with my order</t>
  </si>
  <si>
    <t>The case of Hill ID Digestive care was delivered damaged. When I opened the case three cans were blown and the rest had visual damage to each can. I called Pet Flow to advise and wanted to send the complete case back to them. They said prescription dog food cannot be returned. He representative for Pet Flow told me he would give me a credit for $10.00! I did not contact them back again when I noticed to seams on two cans were starting to separate Not very happy as this is not an inexpensive dog food..</t>
  </si>
  <si>
    <t>ALVIN</t>
  </si>
  <si>
    <t>The case of Hill ID Digestive care arrived damaged…</t>
  </si>
  <si>
    <t>I placed an order for a second time with petflow.. first time was great, however this second order never shipped and upon inquiring about the status, I was informed that “our fraud department suggested we not fill this order, take care.”… what?</t>
  </si>
  <si>
    <t>IGOR MITROVIC</t>
  </si>
  <si>
    <t>I placed an order for a second time…</t>
  </si>
  <si>
    <t>Quick cat food shipping, fair price and easy ordering. All good.</t>
  </si>
  <si>
    <t>FlipTide</t>
  </si>
  <si>
    <t>Quick Iams cat food shipping</t>
  </si>
  <si>
    <t>I ordered two packages of dry cat food : Hill's Prescription Diet Gastrointestinal Biome Digestive &amp; Fiber Care Chicken Dry Cat .
I used to order it on Chewy.com or Amazon.com. For medical reasons my cat needs this food. Unfortunately and for an unknown reason , this cat food is temporary unavailable. PetFlow website pretended to have it available. So I ordered two packages and immediately they charged my credit card !!! I was happy and I waited for a few days. But then, I received an email saying : "We do not have this cat food AND WE APOLOGIZE ABOUT THE INCONVENIENCE !!! Of course they returned my money.
Here is my opinion about them :
THIS THIRD CLASS ONLINE VENDOR IS NOT TRUSTWORTHY, RELIABLE AND HONEST.
If I could remove the one star, I would have done it.</t>
  </si>
  <si>
    <t>Katty</t>
  </si>
  <si>
    <t>Very fast service.</t>
  </si>
  <si>
    <t>took longer than we thought, but it was ok but everything was good</t>
  </si>
  <si>
    <t>A consumer</t>
  </si>
  <si>
    <t>NOT A TRUSTWORTHY, RELIABLE AND HONEST VENDOR.</t>
  </si>
  <si>
    <t>This was a remarkable experience! I received the wrong order. I meant to purchase 2 bags of lamb and peas large breed. I received lamb and rice. I called and the same day they shipped the correct 2 bags I wanted!
This is a model example of perfect customer service!</t>
  </si>
  <si>
    <t>NEIL ROWAN</t>
  </si>
  <si>
    <t>took longer than we thought</t>
  </si>
  <si>
    <t>Ordered my pets food that needs a prescription. You said it was in stock! I looked for a way to email the prescription to you but couldn’t find one on your site.
I gave you all the information you need to verify and order to food from my vet. A week later you canceled the order. A WEEK….. I know my vet approved this…
I will not be ordering in the future</t>
  </si>
  <si>
    <t>RALPH PASTOR</t>
  </si>
  <si>
    <t>This was a remarkable experience</t>
  </si>
  <si>
    <t>Product packed well. Great communication.</t>
  </si>
  <si>
    <t>TRACY SPLAIN</t>
  </si>
  <si>
    <t>Your service is terrible</t>
  </si>
  <si>
    <t>Easy to order through my vet and super fast shipping! No complaints!</t>
  </si>
  <si>
    <t>Lish</t>
  </si>
  <si>
    <t>Product packed well</t>
  </si>
  <si>
    <t>The product came on time and as described. Can't wait to order from them again.</t>
  </si>
  <si>
    <t>HANNAH CURRIE</t>
  </si>
  <si>
    <t>Easy to order through my vet and super…</t>
  </si>
  <si>
    <t>RAYDIAS BOX HILDRETH</t>
  </si>
  <si>
    <t>The product came on time and as…</t>
  </si>
  <si>
    <t>Bob</t>
  </si>
  <si>
    <t>We are now 7 days beyond the promised…</t>
  </si>
  <si>
    <t>We are now 7 days beyond the promised delivery date. when I contacted the company they said I should have planned better. I'm wondering if the company even has this product!</t>
  </si>
  <si>
    <t>Dolores Davis</t>
  </si>
  <si>
    <t>First time I ordered from Pet Flow</t>
  </si>
  <si>
    <t>First time I ordered from Pet Flow, my order was cancelled by PetFlow because my items were not in stock after I ordered them. However, I had been charged via Pay Pal and then had to wait for a refund. Needless to say I cancelled my auto shipment and will not order from PetFlow again. When I called to cancel the PetFlow autoship the rep gave me a hard time about cancelled my order. I will not order from PetFLow again, nor will I recommend them to anybody.</t>
  </si>
  <si>
    <t>Website lies about stock</t>
  </si>
  <si>
    <t>My pets prescription food has been out of stock everywhere for weeks. I was recommended a replacement to help my cat while I tried to find something in stock, but then I found his diet in stock on pet flow so I chose to purchase that. Almost a week later I got an email from petflow telling me my order was not in stock so it wouldn’t be coming, delaying my cat from having anything appropriate to eat that much longer. I will never trust this company again.</t>
  </si>
  <si>
    <t>arnold gerber</t>
  </si>
  <si>
    <t>I was told to mail in the prescription…for a product they did not have</t>
  </si>
  <si>
    <t>I was told to mail in the prescription for the product.Than I got an email that they did not have the product and now I don't have the prescription.
It would have been a lot easier if I was told they did not have it.</t>
  </si>
  <si>
    <t>LISA GONZALEZ</t>
  </si>
  <si>
    <t>PetFlow has always delivered when…</t>
  </si>
  <si>
    <t>PetFlow has always delivered when expected. There have been a very few rare occasions when something happened due to the courier service, but PetFlow made it right immediately. Also, the food I buy is hard to find in local stores, but is available through PetFlow. I love the convenience of having the large bags of dogfood delivered to my front door! I wish there was an easier way to use the coupons I receive from the food manufacturer. That is my only regret using PetFlow.</t>
  </si>
  <si>
    <t>JBaj</t>
  </si>
  <si>
    <t>Very happy with the experience!</t>
  </si>
  <si>
    <t>Very happy with the experience, customer
Service very pleasant, and speed of order. Sorry the food is out of stock still, but would order here again once it comes back in. Thank you!</t>
  </si>
  <si>
    <t>Jerome Loewenstein</t>
  </si>
  <si>
    <t>Wrong address but quickly resolved</t>
  </si>
  <si>
    <t>Though my order was sent to the wrong address the company made it right by resending the product to the correct address quickly and without a hastle</t>
  </si>
  <si>
    <t>Ginger</t>
  </si>
  <si>
    <t>Easy to order, delivery was great.</t>
  </si>
  <si>
    <t>Quick shipping and responsive staff to…</t>
  </si>
  <si>
    <t>Quick shipping and responsive staff to customer inquiries</t>
  </si>
  <si>
    <t>Marcie Garn</t>
  </si>
  <si>
    <t>Seemed to take a long time from order…</t>
  </si>
  <si>
    <t>Seemed to take a long time from order to delivery but mist disappointing was a couple of the cans were dented and leaked all the liquid throughout the box.</t>
  </si>
  <si>
    <t>Claire Goodwin</t>
  </si>
  <si>
    <t>Excellent service, prompt delivery. Able to purchase an item I couldn’t find anywhere else.</t>
  </si>
  <si>
    <t>Patricia Nissenbaum/Don Childs</t>
  </si>
  <si>
    <t>Needed to return a bag of cat food that…</t>
  </si>
  <si>
    <t>Needed to return a bag of cat food that my cats did not do well on. Wanted to exchange for two bags of a different food. Was a simple process involving one phone call. Received a return label to send back unopened bag of cat food and received my replacement food within, I believe, four days. Customer service has alway been amazing. Love the variety of food available.</t>
  </si>
  <si>
    <t>MIKE</t>
  </si>
  <si>
    <t>Cat food arrived promptly.</t>
  </si>
  <si>
    <t>Fantastic service! Quick delivery and the food was unspoiled and not damaged. Will be coming back for more! Kitty thanks you too 🥰🤗</t>
  </si>
  <si>
    <t>beans</t>
  </si>
  <si>
    <t>Fantastic service</t>
  </si>
  <si>
    <t>PetFlow does an outstanding job when it comes to providing timely deliveries. They also have a wide variety of products from which to choose. Thank yu PetFlow!</t>
  </si>
  <si>
    <t>dgi</t>
  </si>
  <si>
    <t>Outstanding service! Competitive pricing!</t>
  </si>
  <si>
    <t>I have discovered petflow to be a resource to depend on.
The last shipment of the blue wilderness (Turkey) of which
I usually order the 2 pack of 24 5.5 oz cans @ $60. free
shipping included was received minus 1 carton. A quick call
to Petflow with no hassel resolution was what I expected
and remarkably, that's what I got.
I look for dependability and honesty when it comes to doing
business and that is what Perflow is all about.
Thanks for being there.</t>
  </si>
  <si>
    <t>RICHARD BUCKWALTER</t>
  </si>
  <si>
    <t>I have discovered petflow to be a…blessing</t>
  </si>
  <si>
    <t>They had great products to choose from. That arrive on time and fast for all things I have ever bought.</t>
  </si>
  <si>
    <t>FRAN DAVIS</t>
  </si>
  <si>
    <t>REALLY GOOD PRODUCTS</t>
  </si>
  <si>
    <t>There was some confusion about what and when my order was to be shipped. After a few messages my order was delivered and all was well.</t>
  </si>
  <si>
    <t>Ktrekker</t>
  </si>
  <si>
    <t>Confused but satisfied</t>
  </si>
  <si>
    <t>I went with PetFlow for our dog's food because they had the cheapest shipping rate. My surprise was although it was the cheapest it was also the fastest.</t>
  </si>
  <si>
    <t>Charlene R. Glover</t>
  </si>
  <si>
    <t>I went with PetFlow for our dog's food…</t>
  </si>
  <si>
    <t>Ordering was very easy and they had a much quicker processing time than other places. Customer service was very friendly.</t>
  </si>
  <si>
    <t>C B</t>
  </si>
  <si>
    <t>Ordering was very easy and they had a…</t>
  </si>
  <si>
    <t>VICKIE BYRNE</t>
  </si>
  <si>
    <t>My latest order of two 15 pound bags of…</t>
  </si>
  <si>
    <t>My latest order of two 15 pound bags of Fromm dog food arrived in a box that had been badly damaged and the top bag of food had a four inch slash in it. Dog food had leaked out all over my porch and entryway and, no doubt, in the FedEx truck!
Pet Flow immediately sent me another bag of food which arrived in good condition.</t>
  </si>
  <si>
    <t>MARISA BERNAL</t>
  </si>
  <si>
    <t>Unfortunate</t>
  </si>
  <si>
    <t>Prescription product was supposedly in stock until I found out days later</t>
  </si>
  <si>
    <t>GLO WILLIAMS</t>
  </si>
  <si>
    <t>My dog food order always arrives exactly when promised and that assurance is why I have been a PetFlow customer for such a long time.</t>
  </si>
  <si>
    <t>KATHERINE SAMPSON</t>
  </si>
  <si>
    <t>Very pleased for many years</t>
  </si>
  <si>
    <t>Have been getting my dog food auto shipped for many years! I am very pleased with the delivery. Always on time and always in perfect condition. I have not ever experienced a problem!</t>
  </si>
  <si>
    <t>SB</t>
  </si>
  <si>
    <t>Items out of stock again</t>
  </si>
  <si>
    <t>Twice in the past week I have ordered cat food that was shown to be "in stock", only to get an email a few days later telling me that it wasn't available. That is very frustrating and quite annoying and doesn't make me want to order from them again.</t>
  </si>
  <si>
    <t>JANE</t>
  </si>
  <si>
    <t>Excellent Customer Service and Customer-Friendly policies.
I had ordered Ver Diet food for my cat. I used 1 can out of the case and it turned out that my cat was allergic to the food.
OI called Petflow Customer service to see if there was someplace local I could return the remaining cans in the case and they said not to worry...they credited my account with the purchase price (minus the 1 can I used).
Excellent!
So I immediately purchased more food, one that I know would be ok for my cat.
I'm very happy.
JT</t>
  </si>
  <si>
    <t>Trace W</t>
  </si>
  <si>
    <t>Happy to find PetFlow</t>
  </si>
  <si>
    <t>I had never heard of PetFlow before, but after another company I use for pet supplies didn't have a brand I was looking for, I did an online search to find where to buy my product. PetFlow came up as being one of the companies that carried it. After researching the company and reading reviews, I decided to purchase my product from them. Their prices were fair and delivery was fast. I was so impressed with my experience, I set up an autoship. They have many brands and competitive prices. I'm glad to find PetFlow and will continue to use their services.</t>
  </si>
  <si>
    <t>Krissy</t>
  </si>
  <si>
    <t>Fast service and delivery. I had emailed customer service and they responded quickly.</t>
  </si>
  <si>
    <t>Noella</t>
  </si>
  <si>
    <t>They got my cat food and the order and delivery went thru smoothly and on time.</t>
  </si>
  <si>
    <t>Everyone was out of a particular flavor of the food my kitties really like. I added my name to be notified when it was back in stock and they did that promptly. My order experience was wonderful ... everything I ordered came thru promptly and in good order. Can't ask for better service.</t>
  </si>
  <si>
    <t>FRANCES DOLMAGE</t>
  </si>
  <si>
    <t>Got the wrong product</t>
  </si>
  <si>
    <t>Got the wrong product, they did reach out but still waiting to see how we go about sending it back and get our refund.
Fran Dolmage</t>
  </si>
  <si>
    <t>John Plato</t>
  </si>
  <si>
    <t>I place a large order for dog and cat…</t>
  </si>
  <si>
    <t>I place a large order for dog and cat supplies on Wednesday. It received an order confirmation with tracking number. The following Monday I recieved an email saying my order would be delivered tomorrow (Tuesday) by end of day.
When my order did not arrive Tuesday evening I checked the tracking number and it said the order was still at the warehouse in New Jersey and I am in California.
I called customer service and sat on hold for at least 20 mins then was disconnected. I called back the following day and was told my order would be delivered tomorrow (Thursday) end of day. Thursday, 2 items of 11 item are delivered and order is marked complete. I am now almost out of food for my pets so I call customer service again and an told there was a mis pick and a new order will be placed for next week sometime. I love in a rural area so I expressed the inconvenience of now have to go buy pet food. I was offered a $20 credit for future purchase which I declined. I will not be using Pet Flow in the future as I need a more reliable source for my pet supplies.</t>
  </si>
  <si>
    <t>Johanna Jimenez</t>
  </si>
  <si>
    <t>Website description should change</t>
  </si>
  <si>
    <t>Website was easy to use, but unfortunately it said that one of the items I purchased was in stock, but days later I received an email that said that they actually did not have it in stock since it's backordered. They said I wouldn't be charged until they actually ship it out, which unfortunately they had no date predicted for when it would actually be available. I emailed them and they were able to cancel the order so I wouldn't be waiting not knowing when I would be charged for something I can try looking elsewhere. I would really wish that they would have changed the website to say that it was not in stock but it is back ordered or something. When I tried going back to the original website it said that it was still in stock. They were very friendly when I emailed them to cancel the order.</t>
  </si>
  <si>
    <t>PRISCILLA BASHINSKI</t>
  </si>
  <si>
    <t>Perfect Kitten Feeding Bowls</t>
  </si>
  <si>
    <t>Was so happy to find and buy these bowls!
Needed small ones - ✔
Needed stainless steel - ✔
Needed weighted bottoms - ✔
Pretty fast shipping - ✔
Thank you so much PetFlow.</t>
  </si>
  <si>
    <t>Prices are reasonable. Shipping is fast. Happy with the ordering!</t>
  </si>
  <si>
    <t>Mass Cat Mom</t>
  </si>
  <si>
    <t>My order was cancelled because my vet…</t>
  </si>
  <si>
    <t>My order was cancelled because my vet for some reason wouldn’t approve the prescription food request from Petflow and said I had to give Petflow the written prescription I have. I could not find a way in Petflow systems to upload the prescription form on their site. Frustrating because it’s a hard to find food In stock. Please make it easy to upload a prescription to your site so orders can be fulfilled promptly.</t>
  </si>
  <si>
    <t>Sam</t>
  </si>
  <si>
    <t>Please don’t show products as available if they’re not..</t>
  </si>
  <si>
    <t>You guys really should say that you have products available for purchase if you literally don’t have any in stock…..</t>
  </si>
  <si>
    <t>NICOLE</t>
  </si>
  <si>
    <t>Website doesn't update for Out of Stock</t>
  </si>
  <si>
    <t>1st order - Most cans dented, 7 unusable. Customer Service ordered replacement. The replacement got cancelled as they were out of stock. I had to call again to get the refund, the system didn't know it was a replacement.
A week later their site says In Stock, so I try ordering more vet prescription cat food. A week later, the order is canceled due to out of stock, but their website still says In Stock.
Two weeks later the site still says In Stock. Since I can't find this critical food anywhere, I desperately try again, but get the same results.
I called Customer Service to let them know the issue. Every Customer Service person I've spoken with has been lovely, hence the 3 stars. The CS rep said they know about the website but since another company sends out vet food they don't always know when they are out of stock. However, every other online pet store are able to update their site with this key information. It's stressful enough trying to find my sick cat's food, but to put in orders based on them saying "in stock" only to have them rejected in a week is infuriating. Please fix it.</t>
  </si>
  <si>
    <t>BRIAN SANTISTEFAN</t>
  </si>
  <si>
    <t>Get my name right</t>
  </si>
  <si>
    <t>Get my name right, I did happen to type it out on my information portion of my account. Not hard figure out.</t>
  </si>
  <si>
    <t>RICHARD FINE</t>
  </si>
  <si>
    <t>Best price, service and product!</t>
  </si>
  <si>
    <t>L GRAY</t>
  </si>
  <si>
    <t>Great Price and Reliable Shipping</t>
  </si>
  <si>
    <t>Great price! The shipping was good and everything arrived as expected. I will order from PetFlow again!!</t>
  </si>
  <si>
    <t>AG</t>
  </si>
  <si>
    <t>Absolutely terrible</t>
  </si>
  <si>
    <t>Absolutely terrible. They list food in stock that they don’t actually have. They then hold funds for two weeks to then cancel the order.
Get organized and be honest about what you really have in stock.</t>
  </si>
  <si>
    <t>KERRI SIVITS</t>
  </si>
  <si>
    <t>Always get what I order in a timely…</t>
  </si>
  <si>
    <t>Always get what I order in a timely fashion.</t>
  </si>
  <si>
    <t>Christopher Newman</t>
  </si>
  <si>
    <t>They executed the order beautifully</t>
  </si>
  <si>
    <t>They executed the order beautifully. The box arrived as expected. I ordered sealed dog treats so I have not opened fully yet.
This is my second order and they have not done well on both.</t>
  </si>
  <si>
    <t>Walter Baile</t>
  </si>
  <si>
    <t>One of the few places that has grain…</t>
  </si>
  <si>
    <t>One of the few places that has grain free greenies and can ship them expeditiously.</t>
  </si>
  <si>
    <t>DAVID BROWN</t>
  </si>
  <si>
    <t>The product I ordered was shipped and…</t>
  </si>
  <si>
    <t>The product I ordered was shipped and delivered within 3 days! That’s amazing!</t>
  </si>
  <si>
    <t>Charles Dodge</t>
  </si>
  <si>
    <t>I was lied to from customer service</t>
  </si>
  <si>
    <t>I was lied to from customer service. They also implied that i was stupid. We live out in the sticks and they tried to convince me that fedex was going to deliver to me on Easter Sunday. I do not appreciate being lied to.</t>
  </si>
  <si>
    <t>JINE GLEASON</t>
  </si>
  <si>
    <t>Your delivery is exceptional</t>
  </si>
  <si>
    <t>Your delivery is exceptional! I am also pleased that you carry fromme!
There aren’t a lot of pet stores that do!</t>
  </si>
  <si>
    <t>Timothy John</t>
  </si>
  <si>
    <t>Easy, Great, Fast</t>
  </si>
  <si>
    <t>Easy to order, Great prices, Fast shipping.
Thank you, PetFlow.</t>
  </si>
  <si>
    <t>DIANE MCNAMANON</t>
  </si>
  <si>
    <t>Always have what I need and receive it…</t>
  </si>
  <si>
    <t>Always have what I need and receive it in 2 dsys.</t>
  </si>
  <si>
    <t>Mario Barros</t>
  </si>
  <si>
    <t>You take orders for items you dont have, why?</t>
  </si>
  <si>
    <t>You take orders for items you don’t have available</t>
  </si>
  <si>
    <t>Order filled promptly and delivered…</t>
  </si>
  <si>
    <t>Order filled promptly and delivered very timely. Great service.</t>
  </si>
  <si>
    <t>Sonja .Norberg-Sanchez</t>
  </si>
  <si>
    <t>Communication issues</t>
  </si>
  <si>
    <t>There was a bit of confusion between PetFlow and the vet. I received an email 4 days after I placed my order saying the vet had yet to respond to the prescription. The vet said they had no record of being contacted. But after I gave the phone number to the vet to call PetFlow they were told that the order had been processed already.
The next week I received part of my order. Today, two weeks after I made the order, I texted to see when the other half of my order would be arriving. I was told that it had been canceled and would be refunded.
I have a cat suffering from sores and scabs over his body so I would have liked to be notified that the food wasn’t coming. Now everything is out of stock and I have to wait for my vet to be in the office to prescribe another food if there is one.
The only reason I didn’t give this fewer stars is because the person texting me got back to me quickly each time I texted with questions regarding the status of my order so that is a good feature.</t>
  </si>
  <si>
    <t>Shipping quick and correct</t>
  </si>
  <si>
    <t>Shipping quick and correct. Products excellent and as described.</t>
  </si>
  <si>
    <t>Stacey Dorenfeld</t>
  </si>
  <si>
    <t>You are sending me the wrong food.</t>
  </si>
  <si>
    <t>Easy, convenient to use. One of the items I ordered was no longer in stock. I was notified and refunded immediately. There is a wide range of products available to chose from at very competitive prices. Great service!</t>
  </si>
  <si>
    <t>Best Buddies Dog Training LLC</t>
  </si>
  <si>
    <t>Easy, Convenient Service</t>
  </si>
  <si>
    <t>My dog now needs kidney support food. I ordered her kibble and Pet Flow contacted my vet for authorization. We had her new food in 5 days. Thank you, Pet Flow, for being so prompt in responding to my request!</t>
  </si>
  <si>
    <t>MARGARET PIERSON</t>
  </si>
  <si>
    <t>My dog now needs kidney support food</t>
  </si>
  <si>
    <t>Advertised dog food they didn't have. Felt i was suckered in to get personal information. Ordered food twice. Website said in stock. They canceled both orders saying didn't have yet didn't change status on the website. Had also enrolled in autoship. Website wouldn't let me cancel. AVOID THIS WEBSITE.</t>
  </si>
  <si>
    <t>GERALD GILMORE</t>
  </si>
  <si>
    <t>Very quick service</t>
  </si>
  <si>
    <t>I ordered food and have been waiting for a response. Let you with my vets numbers and even left a text (per instructions) and nothing. I’m still waiting for any sort of reply</t>
  </si>
  <si>
    <t>Advertised dog food they didn't have</t>
  </si>
  <si>
    <t>I ordered a type of prescription dry cat food made by Hill's. Hill's said you had i in stock, and so did your website. I placed my order, with veterinary information for prescription approval. This probably took one day, not more than two. But as time went on, I received no notification that my order had shipped. I followed up with emails to your customer service and got I think three or four replies. All but the last of these indicated that the food was in stock, that the order was "being processed", and that I would get notification when it shipped. Then the last message, one week later, said you were awaiting another shipment of the food and that my order had been cancelled. In short, I was misled repeatedly about the food being in stock and my order being filled. This is a prescription food and very important to the health of my cat, who suffers a difficult condition that the food helps very much to alleviate. Your stalling and misleading messages for a prescription item to me are inexcusable. I will not be dealing with you again.</t>
  </si>
  <si>
    <t>JOE LOZANO</t>
  </si>
  <si>
    <t>I ordered food and have been waiting…</t>
  </si>
  <si>
    <t>I ordered a type of prescription dry…</t>
  </si>
  <si>
    <t>CHIPIS</t>
  </si>
  <si>
    <t>Awesome company</t>
  </si>
  <si>
    <t>Awesome company. Will definitely be using them moving forward to order my dogs food :)</t>
  </si>
  <si>
    <t>Kellie</t>
  </si>
  <si>
    <t>Item showed in stock</t>
  </si>
  <si>
    <t>Item showed in stock. Took almost a week for them to state it wasn't available and to check back for when it's in stock. Yet when I looked at their website they didn't change the item's availability. So just keep taking people's information even though it's not available. This is a poor business practice.</t>
  </si>
  <si>
    <t>SHARON BIONE</t>
  </si>
  <si>
    <t>When I order it says you have product</t>
  </si>
  <si>
    <t>When I order it says you have product. A week later you say you don’t have it and cancel order. You need to change this. No for sure what is in stock. This has happened to me before. Non way to run a business. You don’t care about the customer. Doubt I will order with you sgain</t>
  </si>
  <si>
    <t>Jean McAdams</t>
  </si>
  <si>
    <t>We have ordered dog &amp; puppy food from…</t>
  </si>
  <si>
    <t>We have ordered dog &amp; puppy food from PetFlow for many years and always received excellent service. On our last order of 7 bags one of the bags was out of the box. It had been torn open and taped shut with clear shipping tape. There was a Fed Ex label on it reading “re-packaged”.
We were not home when they were delivered. I called PetFlow customer service to let them know about the torn bag. They immediately apologized for the problem and let me know they would replace the damaged bag. Two days later it arrived.
I sincerely appreciated their great service and quick response.</t>
  </si>
  <si>
    <t>CHRISTINE G.</t>
  </si>
  <si>
    <t>Easy ordering and perfect delivery.</t>
  </si>
  <si>
    <t>Product bought as advertised</t>
  </si>
  <si>
    <t>Product bought as advertised. Online sales works perfectly. Shipping was fast. This is my second transaction with this company and am very pleased.</t>
  </si>
  <si>
    <t>Poor communication.</t>
  </si>
  <si>
    <t>Ordered veterinarian prescribed food for diabetic cat and was advised through email it will ship within 1-2 days. Was then emailed 6 days later with a full order cancellation. Not being aware of how to fulfill orders due to inventory issues is one thing and understandable. Not being able to make me aware until a full week later is not good service.</t>
  </si>
  <si>
    <t>David Y</t>
  </si>
  <si>
    <t>Service</t>
  </si>
  <si>
    <t>Ordered but had to update my credit card. Thought the order was canceled after several attempts. After updating the card, all orders went through and were processed. Now I have three bags of food and spent more than that I intended to.</t>
  </si>
  <si>
    <t>KATHERINE HUH</t>
  </si>
  <si>
    <t>Ordered but had to update my credit…</t>
  </si>
  <si>
    <t>Placed order based on website saying product was in stock. Vet approved prescription dog food in one day. Contacted customer service twice over 8 days to determine order status, finally on day 9 we received an email saying the product was not in stock and refunded order. I immediately went back to website, product showed “in stock”.
Terrible experience, staff incompetent. Created a big problem for us.</t>
  </si>
  <si>
    <t>MAXINE STANLEY</t>
  </si>
  <si>
    <t>5 stars excellent service</t>
  </si>
  <si>
    <t>The PetFlow website listed for sale prescription cat food that, it turns out, was not in stock. When I ordered that food apparently no one checked whether it was in stock, and my order was processed. I then had to jump through a number of hoops to get to them a prescription from the vet. Only at that point--a number of days after my original order--did they realize that the food was not in stock. That's no way to do business, and shows little regard for the customer. Needless to say, I will never order anything else from them.</t>
  </si>
  <si>
    <t>One of the kitty litter bags had small tears in it so about a third of a cup was spilled in the box.</t>
  </si>
  <si>
    <t>An owner of an elderly cat</t>
  </si>
  <si>
    <t>Updated Apr 23, 2022</t>
  </si>
  <si>
    <t>Listing for sale out-of-stock merchandise</t>
  </si>
  <si>
    <t>This was a good experience overall. Products we wanted were available and reasonably priced. We even tried a new product that is now a hit in our household .... thank you!</t>
  </si>
  <si>
    <t>BARBARA HOLTZ</t>
  </si>
  <si>
    <t>One of the kitty litter bags had small…</t>
  </si>
  <si>
    <t>PetFlow has everything I was looking for. The items I ordered were delivered promptly without any damage to bags of kibble or cans. I’ll definitely keep ordering from PetFlow.</t>
  </si>
  <si>
    <t>Shirley</t>
  </si>
  <si>
    <t>This was a good experience overall</t>
  </si>
  <si>
    <t>Never received the product, After a couple weeks the order was cancelled since the product was never available to begin with. Apparently, PetFlow has no idea what their inventory actually is. I was never actually charged for the product.</t>
  </si>
  <si>
    <t>ROBERTO FRADERA</t>
  </si>
  <si>
    <t>PetFlow has everything I need!</t>
  </si>
  <si>
    <t>I love Petflow.com because they are not the big guy. They are all pet passionate people like me. They carry products I trust.</t>
  </si>
  <si>
    <t>JOE</t>
  </si>
  <si>
    <t>Never received the product</t>
  </si>
  <si>
    <t>Simple to order and came amazingly fast.</t>
  </si>
  <si>
    <t>Jessica</t>
  </si>
  <si>
    <t>I love Petflow.com because they are not…</t>
  </si>
  <si>
    <t>Your customer service was, as usual, excellent, But the delivery service was not up to par because they changed the delivery date a few times, ‘tho that may have been due to weather problems which understandably is out of anyone’s control,</t>
  </si>
  <si>
    <t>Denica Luger</t>
  </si>
  <si>
    <t>Efficient</t>
  </si>
  <si>
    <t>Great competitive pricing. The only complaint is they make it difficult to cancel existing programs. You have to place a phone call in order to do this. They do not make it possible online through your account.</t>
  </si>
  <si>
    <t>Barb Skaer</t>
  </si>
  <si>
    <t>Your customer service was super!</t>
  </si>
  <si>
    <t>Rudi</t>
  </si>
  <si>
    <t>Great competitive pricing</t>
  </si>
  <si>
    <t>EVAN J</t>
  </si>
  <si>
    <t>Customer service was easy to get in…</t>
  </si>
  <si>
    <t>Customer service was easy to get in touch with and very courteous.</t>
  </si>
  <si>
    <t>DORIS S.</t>
  </si>
  <si>
    <t>A pleasure to do business with!!</t>
  </si>
  <si>
    <t>Customer service responds quickly; very helpful &amp; courteous!- a pleasure to do business with!!</t>
  </si>
  <si>
    <t>Lotsokats</t>
  </si>
  <si>
    <t>The item I ordered was ( and still is )…</t>
  </si>
  <si>
    <t>The item I ordered was ( and still is ) shown as stock on the website. It is NOT in stock. Had it been out of stock I would not have placed the order. When I called PetFlow to see if they had inventory they told me they could not check because the prescription diet was inventoried in another location. This is BAD business practice. I tried to cancel my automatic delivery online and it will not allow me to do so. I guess I will have to call to cancel. Done with PetFlow.</t>
  </si>
  <si>
    <t>MICHELLE RAMDEHOLL</t>
  </si>
  <si>
    <t>Updated Apr 21, 2022</t>
  </si>
  <si>
    <t>Damaged Goods</t>
  </si>
  <si>
    <t>Mostly all my goods are damaged. Cans are bent and creased and half the treats are in the bottom of the bag for my rabbit treat sticks.</t>
  </si>
  <si>
    <t>PETER O'NEIL</t>
  </si>
  <si>
    <t>Late delay of order</t>
  </si>
  <si>
    <t>I am aware no one can predict the weather. But this particular order was important. On two separate occasions I was informed my order would arrive , as it is I am still waiting. Below is the time frame, which honestly is ridiculous.
YOUR PACKAGE IS
On Its Way
SHIPPING HISTORYHide Shipping History
TUESDAY, APRIL 19
10:02 AM
Weather delay
SUNDAY, APRIL 17
9:08 AM | SEATTLE, WA
In transit
SATURDAY, APRIL 16
11:25 AM | ODESSA, WA
In transit
12:22 AM | BROWNING, MT
In transit
FRIDAY, APRIL 15
1:14 PM | STANLEY, ND
In transit
1:06 AM | ST PAUL, MN
In transit
THURSDAY, APRIL 14
1:04 PM | CICERO, IL
In transit
WEDNESDAY, APRIL 13
9:33 PM | EAST CHICAGO, IN
In transit
10:26 AM | ALLIANCE, OH
In transit
TUESDAY, APRIL 12
10:17 PM | SUSQUEHANNA TWP, PA
In transit
10:27 AM | KEASBEY, NJ
Shipment arriving early
10:12 AM | KEASBEY, NJ
Departed FedEx location
MONDAY, APRIL 11
10:09 PM | KEASBEY, NJ
Shipment arriving early
9:58 PM | KEASBEY, NJ
Arrived at FedEx location
4:22 PM
Shipment information sent to FedEx
10:45 AM | DAYTON, NJ
Picked up
For starters there are now weather delays in Seattle, I live an hour from Seattle, Wa So yes I am disappointed, with this delivery. If I would have know this I would have bought locally, Sorry PetFlow, someone has messed up, and it was not mu puppy!
Peter O.</t>
  </si>
  <si>
    <t>LAURA COMO</t>
  </si>
  <si>
    <t>I am very satisfied with Petflo and the…</t>
  </si>
  <si>
    <t>I am very satisfied with Petflo and the customer service. I had to call to make a change with special instructions before my delivery and the representative was able to take care of that for me promptly, without any hesitation or any issues. I would definitely order from them again.</t>
  </si>
  <si>
    <t>HAYLEY S</t>
  </si>
  <si>
    <t>I will start by saying they ALWAYS have…</t>
  </si>
  <si>
    <t>I will start by saying they ALWAYS have what I need in stock which is a huge plus. My two main issues are longer shipping times and the last time I ordered I accidentally ordered the wrong size can of food because the picture was of a smaller can. It was my fault but the picture was very misleading. :(</t>
  </si>
  <si>
    <t>Susan D</t>
  </si>
  <si>
    <t>Fast delivery and great prices!</t>
  </si>
  <si>
    <t>High quality difficult to find dog food at reasonable prices. Fast delivery with free shipping with minimum purchase of $50 I believe is the current threshold. Been ordering Fromms Gold dry dog food from them for years, and it is always fresh and genuine. It’s the only food I feed my 120 lb dog. He loves it and has absolutely thrived on it since we rescued him as a skinny unwanted 3-year-old over 5 years ago.</t>
  </si>
  <si>
    <t>DEBBY</t>
  </si>
  <si>
    <t>High quality difficult to find dog food…</t>
  </si>
  <si>
    <t>I love PetFlow! The site is very user-friendly and customizable.
I don't like shopping and their home delivery makes getting my pet's food a breeze.
And they carry my preferred brands.</t>
  </si>
  <si>
    <t>Jen</t>
  </si>
  <si>
    <t>I looked Everywhere for this particular Hill's Science Diet Adult Tender Chicken Dinner Canned Cat Food 1 to 6 yrs.and you Folks were the Only Online Business that carried this Product for my Cat. It arrived safely at my Front~Gate... I live in a very Rural area of Southern California's Upper Desert Chaparrals of Llano, CA. Most times, Online places will not Deliver to Us because we are not Registered with the Postal Service with a MailBox . We have never had a home MailBox, due to transits stealing our mail &amp; destroying the MailBoxes . Plus other Online places won't Deliver to our Mailing Address at a PO Box at all &amp; I do not understand why... It is much Safer for Me and my Hubby. So I Thank You for having my Cat Food &amp; for descent Delivery Service. Sincerely, Leola Adcock</t>
  </si>
  <si>
    <t>LEOLA ADCOCK</t>
  </si>
  <si>
    <t>I looked Everywhere for this particular Cat Food....</t>
  </si>
  <si>
    <t>I have used Pet Flow foe about 12 years. They have any thing you want
relative to dogs and deliver it quickly. They can put you on a program for delivery so you don't have to call them. They also can deliver to other addresses if you happen to be out of town for a period. They accurately charge
your credit card and keep it secret.</t>
  </si>
  <si>
    <t>I have used Pet Flow foe about 12…</t>
  </si>
  <si>
    <t>They kept messing my order up double charged
and one of the phone operators was very aggravating</t>
  </si>
  <si>
    <t>JOHN DEAN</t>
  </si>
  <si>
    <t>Always easy ordering with fast delivery!</t>
  </si>
  <si>
    <t>On my first order, I ordered one small bag of dog food, my dog has a few food allergies and this was a new flavor, so a 4 pound bag would do. Upon arrival, I always check the expiration date on all food I order and noticed this bag was about to expire. I wasn't comfortable feeding it to my boy and I sent a note off to Pet Flow that this food was soon to expire. They were very sorry about this and stated that were now out of stock on this item and they refunded my credit card. I was impressed and will definitely order again soon.</t>
  </si>
  <si>
    <t>Bonnie Brock</t>
  </si>
  <si>
    <t>They kept messing my order up double…</t>
  </si>
  <si>
    <t>Shipping was not as quick as it said, but once I called them they looked into it they made sure it went out that day</t>
  </si>
  <si>
    <t>LEYLA KOCAOGLU</t>
  </si>
  <si>
    <t>On my first order</t>
  </si>
  <si>
    <t>Shipping is fast and dog food is fresh!</t>
  </si>
  <si>
    <t>TAMMI BERTO</t>
  </si>
  <si>
    <t>Shipping was not as quick as it said</t>
  </si>
  <si>
    <t>Quite frankly, my disappointment is because I really didn’t order this time. My order was processed without me hitting the accept” button. It was sent any way.</t>
  </si>
  <si>
    <t>LAURIE DOUTHIT</t>
  </si>
  <si>
    <t>Shipping is fast and dog food is fresh!happy customer</t>
  </si>
  <si>
    <t>I chatted with a rep to see if Petflow carried Taste of the Wild wet food. It was out of stock, and rep asked if I’d like and email when the product came in. They emailed me it was in stock, I ordered it and it was delivered. My dog is a very happy pup now.
Thank you for your prompt service.</t>
  </si>
  <si>
    <t>Quite frankly</t>
  </si>
  <si>
    <t>Had a difficult time find the dog food and found it here! Quick delivery.</t>
  </si>
  <si>
    <t>DENISE SIERPUTOWSKI</t>
  </si>
  <si>
    <t>I chatted with a rep to see if Petflow…</t>
  </si>
  <si>
    <t>S McG</t>
  </si>
  <si>
    <t>Had a difficult time find the dog food…</t>
  </si>
  <si>
    <t>LORI WILLIAMS</t>
  </si>
  <si>
    <t>You charged me for prescription cat…</t>
  </si>
  <si>
    <t>You charged me for prescription cat food and for non prescription cat food, but only delivered the non-prescription cat food.</t>
  </si>
  <si>
    <t>SHark</t>
  </si>
  <si>
    <t>One of the few sites that has Fromm dog…</t>
  </si>
  <si>
    <t>One of the few sites that has Fromm dog food! Quick free delivery. I also like your give back to the pet community policy.</t>
  </si>
  <si>
    <t>Tom H.</t>
  </si>
  <si>
    <t>Fair prices and very fast free…</t>
  </si>
  <si>
    <t>Fair prices and very fast free shipping. I will shop here again.</t>
  </si>
  <si>
    <t>LYNN FLETCHER</t>
  </si>
  <si>
    <t>Fair prices</t>
  </si>
  <si>
    <t>Fair prices, fast shipping, large assortment of products.</t>
  </si>
  <si>
    <t>CAROL TSCHIDA</t>
  </si>
  <si>
    <t>prescription dog food - nonavailability</t>
  </si>
  <si>
    <t>I ordered a prescription dog food that was listed as available, then wasted time and attention coordinating with our busy Veterinarian. Was never advised the item was on back order and had to reach out to the company to find out the dog food hadn’t been sent!</t>
  </si>
  <si>
    <t>DAVID SCHMITZ</t>
  </si>
  <si>
    <t>Easy online ordering. Usually has what I need. But doesn’t ship as fast as other companies</t>
  </si>
  <si>
    <t>Dobermom</t>
  </si>
  <si>
    <t>Large breed dog food</t>
  </si>
  <si>
    <t>It has been almost two weeks and I have not received my order. I called to inquire where it might be,I was told to call Fed Ex. The folks at Fed Ex told me they couldn't deliver my package because the road was to muddy,although the mail has been delivered every day,the school bus has run every week day and there have been UPS trucks occasionally.
You might want to try a different delivery service.</t>
  </si>
  <si>
    <t>Bob Sordyl</t>
  </si>
  <si>
    <t>Fed Ex poor service. Very unhappy</t>
  </si>
  <si>
    <t>Ordered two items but only one was available. Real time inventory to indicate whether stock is available for purchase would help the customer.</t>
  </si>
  <si>
    <t>Michael Novak</t>
  </si>
  <si>
    <t>Ordered two items but only one was…</t>
  </si>
  <si>
    <t>Great selection, great prices great service....</t>
  </si>
  <si>
    <t>CHARLES MACDONALD</t>
  </si>
  <si>
    <t>I am unable to cancel my automatic shipment. Why is it so difficult.</t>
  </si>
  <si>
    <t>Karen Riveros</t>
  </si>
  <si>
    <t>I am unable to cancel my automatic…</t>
  </si>
  <si>
    <t>I was able to purchase cat food here that I couldn't find anywhere else. Delivery was quick.</t>
  </si>
  <si>
    <t>SUSAN BARTON</t>
  </si>
  <si>
    <t>Found hard to find food here</t>
  </si>
  <si>
    <t>My order did not arrive on time and my puppy was getting low on food but their customer service was friendly and willing to do whatever to make it right. I appreciate the customer service and how easy it was to connect with someone through text to explain the issue.</t>
  </si>
  <si>
    <t>A customer</t>
  </si>
  <si>
    <t>My order did not arrive on time and my…</t>
  </si>
  <si>
    <t>The canned cat food I ordered from PetFlow was out of stock at other major online pet supply retailers for extended periods of time. This special food was less expensive at PetFlow and arrived quick. My order was packed in a sturdy box with adequate packing material and the cat food was not short dated. The best by dates were 2.5 years in the future. Thank you PetFlow for making your order process easy as well as providing package tracking during the shipping process.</t>
  </si>
  <si>
    <t>Yvonne</t>
  </si>
  <si>
    <t>Hard to Find Cat Food in Stock</t>
  </si>
  <si>
    <t>I have been trusting my pets needs to Petflow for several years now. My food is on auto delivery, and can be changed as needed, with no problems. The Customer service has been excellent. I have had a small issue here and there, and they take care of it right away. I also use Petflow to send gifts to other dog owners. I highly recommend this company. Great prices too!!!</t>
  </si>
  <si>
    <t>Barbara Granger</t>
  </si>
  <si>
    <t>Petflow for me</t>
  </si>
  <si>
    <t>Right in time delivery. Fresh food! My GSP thanks y’all!</t>
  </si>
  <si>
    <t>Right in time delivery</t>
  </si>
  <si>
    <t>Good company to deal with</t>
  </si>
  <si>
    <t>VICTORIA</t>
  </si>
  <si>
    <t>Great user friendly site; delivery has been fairly quick too. I appreciate the auto order program.</t>
  </si>
  <si>
    <t>Great user friendly site</t>
  </si>
  <si>
    <t>I placed my order for my dogs kibble. It arrived in 2 days. Amazing so happy with petflow!!</t>
  </si>
  <si>
    <t>TAMYIE WILSON</t>
  </si>
  <si>
    <t>I placed my order for my dogs kibble</t>
  </si>
  <si>
    <t>PetFlow makes it easy to use their Autoship, easily change the dates(They let you know when it's getting ready, so you can speed it up or slow it down), and the dog food prices are very competitive, plus it's delivered to my door!</t>
  </si>
  <si>
    <t>PetFlow makes it easy</t>
  </si>
  <si>
    <t>IAN SEALEY</t>
  </si>
  <si>
    <t>Excellent service. Quick delivery</t>
  </si>
  <si>
    <t>NANCY MCDONALD</t>
  </si>
  <si>
    <t>I received the wrong size canned dog…</t>
  </si>
  <si>
    <t>I received the wrong size canned dog food. They could not help.</t>
  </si>
  <si>
    <t>DEBORAH NUTTING</t>
  </si>
  <si>
    <t>Do not buy!!</t>
  </si>
  <si>
    <t>Do not buy!!! First order wrong canned food, then didn’t have inventory to send correct food with no time line then requested refund after I returned wrong food next day to them and still one week later no refund.</t>
  </si>
  <si>
    <t>Nuni</t>
  </si>
  <si>
    <t>Able to get hard to find prescription dog food</t>
  </si>
  <si>
    <t>Quick and efficient delivery of prescription dog food that was out of stock at other online retailers. Petflow contacted my veterinarian right away for approval after I placed my order. Very happy with the customer service.</t>
  </si>
  <si>
    <t>AMY JAMES</t>
  </si>
  <si>
    <t>Excellent customer service and…</t>
  </si>
  <si>
    <t>Excellent customer service and lightning fast shipping. The Fromm's Crunchy O's are my dogs favorite treats and I couldn't locate them while traveling on our RV. I found Petflow and stocked up!</t>
  </si>
  <si>
    <t>Karen Heroy</t>
  </si>
  <si>
    <t>Excellent customer service and amazing shipping! THANKS FOR MAKING IT SO EASY TO ORDER!</t>
  </si>
  <si>
    <t>JEANETTE BARTRAM</t>
  </si>
  <si>
    <t>Great shipping</t>
  </si>
  <si>
    <t>THOMAS MAURO</t>
  </si>
  <si>
    <t>Excellent Service, Fast and Friendly.</t>
  </si>
  <si>
    <t>Betty</t>
  </si>
  <si>
    <t>The order was shipped quickly</t>
  </si>
  <si>
    <t>The order was shipped quickly and with no problems! An easy smooth transaction!</t>
  </si>
  <si>
    <t>Jyen</t>
  </si>
  <si>
    <t>Hands down the best choice for suppling your Pets!</t>
  </si>
  <si>
    <t>Made the switch from the other options out there about 8 months ago and could not be more impressed. From the selection, freshness of product, speed of shipping (that puts the others to shame - not to mention arriving very securely packed without the dented cans that have become the norm at am@z0n) the prices are the same or lower, a fantastic and easy recurring shipment program, coupon codes and deals offered often and to top it off, they give a portion of sales to help shelters and the animals they are working to save. Never going back to any of the other online choices and you won’t either of you give PetFlow a try</t>
  </si>
  <si>
    <t>Wendy</t>
  </si>
  <si>
    <t>I needed an addition to my regular…</t>
  </si>
  <si>
    <t>I needed an addition to my regular order and it was taken care of efficiently and expeditiously.</t>
  </si>
  <si>
    <t>SARAH WILLIAMS</t>
  </si>
  <si>
    <t>I've been a customer of Petflow for 5…</t>
  </si>
  <si>
    <t>I've been a customer of Petflow for 5 years and they are an excellent, reliable company. I rarely have an issue and when I have it's usually not on their end, but more so on the shipping and delivery end. Nevertheless, Petflow customer service always makes it right.</t>
  </si>
  <si>
    <t>STEPHANIE BARNARD</t>
  </si>
  <si>
    <t>Best company to deal with</t>
  </si>
  <si>
    <t>Best company to deal with. Unbelievable customer service!</t>
  </si>
  <si>
    <t>KATHLEEN RAPP</t>
  </si>
  <si>
    <t>Love buying from PetFlow</t>
  </si>
  <si>
    <t>Love buying from PetFlow. Prices are great and shipping is super fast. Am a repeat customer.</t>
  </si>
  <si>
    <t>LNZ BUSINESS COMPANY LLC</t>
  </si>
  <si>
    <t>Great online store.</t>
  </si>
  <si>
    <t>Great online store.
Lots of products. Good prices.
And excellent customer service support team!</t>
  </si>
  <si>
    <t>Elizabeth Alvarez-Chan</t>
  </si>
  <si>
    <t>False advertisement</t>
  </si>
  <si>
    <t>I give one star because I never actually received the dog food I ordered. I placed an order for prescription dog food, received notice there was an issue with the prescription so I called the vet but was told the issue was not on their end. Then, petflow cancelled my order. So I placed another order and made sure the vet info was correct and also contacted my vet to make sure all was fine. It took petflow a week to once again cancel my order stating issues with the prescription. A day later I received an email that the order was canceled because the item was actually not in stock. The problem is, why am I allowed to put an item in my cart and check out if you don’t even have the item in stock to begin with.</t>
  </si>
  <si>
    <t>Susan Carson</t>
  </si>
  <si>
    <t>My cat Willie</t>
  </si>
  <si>
    <t>I have a 3-legged cat that was shot before I adopted him. Willie is a special guy on a special diet. I was running low. Several pet food outlets said they had none and weren't expecting to get any. Maybe it was discontinued.
I should look for a replacement.
I found Pet Flow online and they took the food order without hesitation. I expected to hear that they couldn't get it either. But I got the food just as promised. Willie knows I would do anything for him.</t>
  </si>
  <si>
    <t>Wanda Casey-Dicks</t>
  </si>
  <si>
    <t>Fairly Happy Customer</t>
  </si>
  <si>
    <t>Products have always been delivered on time. Website for updating/canceling orders has had glitches on several occasions.</t>
  </si>
  <si>
    <t>NANCY STEINBACH</t>
  </si>
  <si>
    <t>I thought it took to long to receive my…</t>
  </si>
  <si>
    <t>I thought it took to long to receive my order.</t>
  </si>
  <si>
    <t>Hands down the best price in bulk cow…</t>
  </si>
  <si>
    <t>Hands down the best price in bulk cow ears for my dog! A local shop wanted twice as much for the exact same product. Customer for life here!</t>
  </si>
  <si>
    <t>MARY ANN LEIBOWITZ</t>
  </si>
  <si>
    <t>No shipment yet</t>
  </si>
  <si>
    <t>I was looking for a place that sold the food I need for my dogs at a good price, and I have found it!</t>
  </si>
  <si>
    <t>Brandee</t>
  </si>
  <si>
    <t>I was looking for a place that sold the…</t>
  </si>
  <si>
    <t>I have been trying to find a prescription food for my cat and was delighted when PetFlow’s website said they had it in stock. Unfortunately it turns out that it’s probably not in stock. The website should be updated appropriately. Responses to my emails were quick but were “canned” responses.</t>
  </si>
  <si>
    <t>LRS</t>
  </si>
  <si>
    <t>I have been trying to find a…</t>
  </si>
  <si>
    <t>Easy to navigate web site, fast and efficient online ordering and delivery.</t>
  </si>
  <si>
    <t>DONNA OSTLER</t>
  </si>
  <si>
    <t>Easy to navigate web site</t>
  </si>
  <si>
    <t>The shelves were bare for the cat food that I have been feeding my cat and I couldn’t find her food anywhere. I called the company that makes her food they were out too, but I was told of a place to call, low and behold they had her food so I bought a case and it would be shipped ASAP. We are starting on the second case that we just got a few days ago.</t>
  </si>
  <si>
    <t>KAREN DIEHL</t>
  </si>
  <si>
    <t>The shelves were bare for the cat food…</t>
  </si>
  <si>
    <t>Treats almost expired. In a very recent order, I purchased multiple bags of Merrick dog treats . I just realized they all expired already.</t>
  </si>
  <si>
    <t>Margaret</t>
  </si>
  <si>
    <t>Treats expired</t>
  </si>
  <si>
    <t>No other supplier had this cat food, and my cat really needed it! Fast delivery and service I'll buy again!</t>
  </si>
  <si>
    <t>Lisamarie bernardo</t>
  </si>
  <si>
    <t>No other supplier had this cat food</t>
  </si>
  <si>
    <t>I am a returning customer, Pet Flows prices and their customers service are exceptional. I will not shop anywhere else for my doggie food.</t>
  </si>
  <si>
    <t>NANCY BELLIA</t>
  </si>
  <si>
    <t>I am a returning customer</t>
  </si>
  <si>
    <t>I couldn’t find my Yellow Lab her food anywhere ! I’m used to it being delivered on a regular basis. My vet found you online and let me know. Thanks to you she has her regular diet !!!</t>
  </si>
  <si>
    <t>Pam Whitehead</t>
  </si>
  <si>
    <t>I couldn’t find my Yellow Lab her food…</t>
  </si>
  <si>
    <t>PetFlow provides and delivers product as expected. The four-star rating is because of their return policy which is stricter than the other online pet sites.</t>
  </si>
  <si>
    <t>Wayne Reux</t>
  </si>
  <si>
    <t>PetFlow provides and delivers product…</t>
  </si>
  <si>
    <t>Great customer service and very fast delivery! Thanks!</t>
  </si>
  <si>
    <t>nek</t>
  </si>
  <si>
    <t>Great customer service and very fast…</t>
  </si>
  <si>
    <t>Petflow has always come through on my orders. Delivery is prompt. Only issue is every so often Delivery service is a little rough with the package 📦. But that's on them not Petflow Only once damage was excessive called Petflow and they took care of it.</t>
  </si>
  <si>
    <t>CAROL LEVIN</t>
  </si>
  <si>
    <t>Great and fast service</t>
  </si>
  <si>
    <t>Our cats require a prescription food. Petflow has always had it in stock when others have been out of stock. A real life saver! We've never had any issues with PetFlow.</t>
  </si>
  <si>
    <t>JOHN SHAW</t>
  </si>
  <si>
    <t>Petflow has always come through on my…</t>
  </si>
  <si>
    <t>Our order shipped so fast! Very happy with you!!!</t>
  </si>
  <si>
    <t>A life saver</t>
  </si>
  <si>
    <t>I ordered 3 cases of canned dog food. One case turned out to be something different, so I called Petflow and they gave me a credit for the wrong food.
I donated the case to a local Animal Shelter and I was happy with their service.</t>
  </si>
  <si>
    <t>LENORE NEWSOM</t>
  </si>
  <si>
    <t>Our order shipped so fast</t>
  </si>
  <si>
    <t>Great price on the right product. When I needed help with the order, telephone help was easy and effective with no wait time.</t>
  </si>
  <si>
    <t>R. Neil Wolford Jr.</t>
  </si>
  <si>
    <t>Good Service!</t>
  </si>
  <si>
    <t>PetFlow has the products I want at a reasonable price. Delivery is great.</t>
  </si>
  <si>
    <t>bob N</t>
  </si>
  <si>
    <t>Great price on the right product</t>
  </si>
  <si>
    <t>Very hard to find my dog's prescription food, but you had it. And sent it to me quickly. Thanks so much.</t>
  </si>
  <si>
    <t>I truly love all the products, my dog Ginger loves them too. You are an excellent company, I really love doing business with you. You are fast and I have never
had a problem with you. Thanks, Connie Sower</t>
  </si>
  <si>
    <t>ALVIN BOYD</t>
  </si>
  <si>
    <t>Very hard to find my dog's prescription…</t>
  </si>
  <si>
    <t>Connie</t>
  </si>
  <si>
    <t>I truly love all the products</t>
  </si>
  <si>
    <t>Kimberly Senackerib</t>
  </si>
  <si>
    <t>Great company to work with</t>
  </si>
  <si>
    <t>Great company to work with. Provides excellent customer service.</t>
  </si>
  <si>
    <t>LINDA WILLEY</t>
  </si>
  <si>
    <t>Pleased with prices and selections</t>
  </si>
  <si>
    <t>Been very happy with the price I pay for my dog food. Good selection of other items for my dog. Fast delivery.</t>
  </si>
  <si>
    <t>Marcia Randazzo</t>
  </si>
  <si>
    <t>Best customer service</t>
  </si>
  <si>
    <t>Best customer service. Calls are actually answered quickly by humans that are always helpful and resolve issues.</t>
  </si>
  <si>
    <t>CHRISTINE B</t>
  </si>
  <si>
    <t>Fast shipping and great prices</t>
  </si>
  <si>
    <t>My last order was supposed to be 100 canine caviar buffalo toothpick dog treats - I was sent one in a box, so I was 99 short. Not the first time that has happened either. The most frustrating part about this time was that when I called customer service they said they were going to send me a box out immediately and I then got an email notification saying they had run out so I would be given a refund. The first time this happened I chalked it up as a processing mistake, second time plus other shipping issues I’ve had made me realize there are definitely some order processing problems at the warehouses? It’s very frustrating because I like the prices in the speed in which orders are handled, but seems to be a lot of mistakes made with orders that shouldn’t happen. I doubt there are a lot of people that would pay $90 for one buffalo toothpick treat, but you would think that might catch someone’s eye when they’re filling the order? On the positive side, every time I call customer service they are excellent to deal with.</t>
  </si>
  <si>
    <t>sara</t>
  </si>
  <si>
    <t>My last order was supposed to be 100…</t>
  </si>
  <si>
    <t>Vet approved! And I'm a vet ;)</t>
  </si>
  <si>
    <t>LAURA CLARK</t>
  </si>
  <si>
    <t>Vet approved</t>
  </si>
  <si>
    <t>I never received my order. Told my credit card was not valid. IT WAS A GOOD CREDIT CARD. There was nothing I could do to correct any info. So as a result, I will not be using your website. Sorry, I like convenience of shopping on line.</t>
  </si>
  <si>
    <t>jana dickey</t>
  </si>
  <si>
    <t>I never received my order</t>
  </si>
  <si>
    <t>The entire process of getting my dog's prescription liver support dog food was quick and easy.</t>
  </si>
  <si>
    <t>PATRICIA BOWMAN</t>
  </si>
  <si>
    <t>The entire process of getting my dog's…</t>
  </si>
  <si>
    <t>Great prices, fast shipping, and easy to use website. What's not to love? My new go-to place for everything my Maltipoo puppy needs.</t>
  </si>
  <si>
    <t>David Lease</t>
  </si>
  <si>
    <t>Everything My Maltipoo needs</t>
  </si>
  <si>
    <t>Your customer service team is fast, efficient and respectful. Thank you for hiring outstanding people.</t>
  </si>
  <si>
    <t>EILEEN K.</t>
  </si>
  <si>
    <t>Your customer service team is fast</t>
  </si>
  <si>
    <t>Whenever I've contacted customer service, they have always been very helpful and so nice! Their pricing is great and shipping is fast!</t>
  </si>
  <si>
    <t>TONE THORSTENSON</t>
  </si>
  <si>
    <t>good pricing</t>
  </si>
  <si>
    <t>I am very satisfied with PetFlow feed products. I find this company dependable, while trying to keep costs within reason for the consumer. I like the convenience of many products available for dogs as well as cats. Free shipping is appreciated with prompt and reliable service. I find the Web site easy to navigate. Thank you PetFlow and associates for your appreciated service.</t>
  </si>
  <si>
    <t>Love PetFlow!</t>
  </si>
  <si>
    <t>My order was accurate, prompt, and a good, competitive price. So thankful we found you! We will be reordering for our sweet pups and kitties!!</t>
  </si>
  <si>
    <t>LINDA STIMSON</t>
  </si>
  <si>
    <t>First shipment of dog food was good. Second shipment had the wrong food shipped.</t>
  </si>
  <si>
    <t>JACQUELINE HUNTER</t>
  </si>
  <si>
    <t>I am very satisfied with PetFlow feed…</t>
  </si>
  <si>
    <t>They had what I was looking for , Delivery was quick and easy</t>
  </si>
  <si>
    <t>Becky Sparks</t>
  </si>
  <si>
    <t>A great find!!</t>
  </si>
  <si>
    <t>Love the selection and the speedy delivery!</t>
  </si>
  <si>
    <t>James D</t>
  </si>
  <si>
    <t>First shipment of dog food was good</t>
  </si>
  <si>
    <t>I used Amazon subscribe &amp; save for years but in the last couple of years it either is not in stock or shipping takes 7-10 days. PetFlow has no supply issues, ships immediately and is cheaper. Needless to say, I have switched both subscriptions to PetFlow!</t>
  </si>
  <si>
    <t>RHINA PEREA</t>
  </si>
  <si>
    <t>They had what I was looking for</t>
  </si>
  <si>
    <t>My dog needed her prescription dog food.. My normal supplier had been out for sometime. I was in a panic, reached out to Petflow, explained the situation how most pet supplier's were out of stock of the Hill's i/d small bites food. Petflow reassured me that they has the product in stock and all they needed was a prescription from my vet, since I was a new customer. My vet supplied a prescription right away. 2 days later I received a email from Petflow saying they are temporary OUT OF STOCK, very unhappy with PETFLOW</t>
  </si>
  <si>
    <t>ARDATH ALBIZO</t>
  </si>
  <si>
    <t>Love the selection and the speedy…</t>
  </si>
  <si>
    <t>Cathy Thomas</t>
  </si>
  <si>
    <t>HOPE PAYAN</t>
  </si>
  <si>
    <t>DISAPPOINTED - I needed my prescription dog food.</t>
  </si>
  <si>
    <t>DEBRA PATTERSON</t>
  </si>
  <si>
    <t>Petflow never fails to provide quick…</t>
  </si>
  <si>
    <t>Petflow never fails to provide quick turnaround times and has the food that's best for my dog. Their Customer Service folks are the best.</t>
  </si>
  <si>
    <t>DENISE RUSSELL</t>
  </si>
  <si>
    <t>Customer service is the best!</t>
  </si>
  <si>
    <t>They have the dog food I want at a price I like!</t>
  </si>
  <si>
    <t>They have the dog food I want at a…</t>
  </si>
  <si>
    <t>Ordered Little Stinker pads. Received in record time. Good price.</t>
  </si>
  <si>
    <t>Carol Stewart</t>
  </si>
  <si>
    <t>Ordered Little Stinker pads</t>
  </si>
  <si>
    <t>Fast ship
Great product line</t>
  </si>
  <si>
    <t>JW</t>
  </si>
  <si>
    <t>Fast ship</t>
  </si>
  <si>
    <t>I was excited to find PetFlow. I ordered my cat food on March 24,2022. It is now April 5, 2022. I have yet to receive my order. I am waiting and hoping it will come soon.</t>
  </si>
  <si>
    <t>SARAH LITCHFIELD</t>
  </si>
  <si>
    <t>So far I have received nothing from PetFlow.</t>
  </si>
  <si>
    <t>PetFlow had my hard to find dog food in stock. Ordering was easy and shipping was very fast (2-3 days). Second time I've used them and will continue to do so in the future.</t>
  </si>
  <si>
    <t>Dave</t>
  </si>
  <si>
    <t>Easy ordering, quick delivery. Great customer service!</t>
  </si>
  <si>
    <t>MARY JO MOOR</t>
  </si>
  <si>
    <t>I am pleased with the ease of ordering. I’ve found quick delivery on canned food but the large bags of dry food usually take a lot longer to receive.</t>
  </si>
  <si>
    <t>Dolores</t>
  </si>
  <si>
    <t>I am pleased with the ease of ordering</t>
  </si>
  <si>
    <t>Everything went very well!!
Thanks for thst!!</t>
  </si>
  <si>
    <t>PAMF</t>
  </si>
  <si>
    <t>Everything went very well!</t>
  </si>
  <si>
    <t>Although their losing me as a customer is out of their control I’m unable to give them a better review
Perhaps if their leadership would utilize a more reliable carrier than Fedex they’d get my business back
They do have excellent customer service and I like the fact they donate food to animal shelters, but I still had to go to a brick and mortar store because fedex is unreliable</t>
  </si>
  <si>
    <t>Beth Mirsky</t>
  </si>
  <si>
    <t>Updated Apr 5, 2022</t>
  </si>
  <si>
    <t>Unreliable Transport</t>
  </si>
  <si>
    <t>Ordered Hills Rx dog food. Item was shown as in stock, with anticipated shipping date. Order was accepted. Days later I received an email stating food was out of stock…I thought good was on its way and it wasn’t even in stock. Not a good experience..first and last time I will deal with PetFlow</t>
  </si>
  <si>
    <t>SUSAN MONDIE</t>
  </si>
  <si>
    <t>Ordered Hills Rx dog food</t>
  </si>
  <si>
    <t>Excellent website that makes ordering pet products a snap especially repeat orders. Really appreciate the fair prices and reasonable shipping rates.</t>
  </si>
  <si>
    <t>ANDREW</t>
  </si>
  <si>
    <t>Excellent website that makes ordering…</t>
  </si>
  <si>
    <t>Web site shows product (prescription pet food) in stock. We ordered it and were charged. Called to check on order and told it will ship next Monday. Several days later, I get an e-mail saying the product is out of stock and my order is being cancelled. So now I'm a week closer to running out of the food, foolishly relying on PetFlow. Web site STILL shows product in stock, altough call to PetFlow now tells us they are out with no idea when it will be back in stock. So some other poor dupe will get stung too by ordering the product and getting a long-delayed out-of-stock e-mail.</t>
  </si>
  <si>
    <t>MICKEY</t>
  </si>
  <si>
    <t>Company Lies about availability</t>
  </si>
  <si>
    <t>Purchased a cat harness. Sizing was accurate and quick delivery!</t>
  </si>
  <si>
    <t>DONNA</t>
  </si>
  <si>
    <t>cat harness</t>
  </si>
  <si>
    <t>I like the great service with Petflow alot. Time and time again they have what I need for my pup!</t>
  </si>
  <si>
    <t>JAMES SMITH</t>
  </si>
  <si>
    <t>Petflow is a solid choice!</t>
  </si>
  <si>
    <t>All went well. Thank you.</t>
  </si>
  <si>
    <t>LANI NOLAN</t>
  </si>
  <si>
    <t>All went well</t>
  </si>
  <si>
    <t>These ppl are so dumb, don’t bother with a third party place. Was with chewy for five years never had a problem had to switch to these *^%** for prescription food, been with them for 3 months and had to call 4 times in one wk b/c they couldn’t get anything right. It’s not like I can get a prescription diet from a store. They didn’t have the large bag that was in my auto ship in stock for four weeks and didn’t even bother to send me a smaller size bag of the same food. Or even inform me they had one! That’s not even the start of it! They proceeded to charge my card without sending the food 4 times! Chewy is soo much better!! Bye bye</t>
  </si>
  <si>
    <t>Tracy West</t>
  </si>
  <si>
    <t>Go to chewy!!</t>
  </si>
  <si>
    <t>Quick service, company had product not available at other sites.</t>
  </si>
  <si>
    <t>Sugar</t>
  </si>
  <si>
    <t>Petflow was the only store I could find that had the cat food I needed in stock. Their price was competitive and they had free shipping. The case of food arrived right on time.</t>
  </si>
  <si>
    <t>E THOMAS</t>
  </si>
  <si>
    <t>Good Price and Quick, Free Shipping</t>
  </si>
  <si>
    <t>CINDA DAVIS</t>
  </si>
  <si>
    <t>Fast shipping, good communication 👏</t>
  </si>
  <si>
    <t>Joe</t>
  </si>
  <si>
    <t>Great quick service</t>
  </si>
  <si>
    <t>Great quick service. Always reliable.</t>
  </si>
  <si>
    <t>Cilia Lopez</t>
  </si>
  <si>
    <t>Excellent customer service.</t>
  </si>
  <si>
    <t>Excellent customer service. I had a problem with one of the items in my order, but the issue was quickly resolved. I highly recommend Pet Flow.</t>
  </si>
  <si>
    <t>BARBARA TRAPASSO</t>
  </si>
  <si>
    <t>You showed 5.5 oz cans in the photo and…</t>
  </si>
  <si>
    <t>You showed 5.5 oz cans in the photo and sent me 13 oz cans
Very misleading</t>
  </si>
  <si>
    <t>Edmund Dibenedetto</t>
  </si>
  <si>
    <t>This company took my order for prescription dog food and sat on it over a week before canceling my order because it wasn’t in stock. By then my sick dog had run out of food and I had to order from somewhere else.</t>
  </si>
  <si>
    <t>Susanne</t>
  </si>
  <si>
    <t>This company took my order for…</t>
  </si>
  <si>
    <t>Not much to add to the 5 stars. I had to call them about my billing address and they were great to work with - friendly, attentive, and very helpful.</t>
  </si>
  <si>
    <t>Carolyn</t>
  </si>
  <si>
    <t>Not much to add to the 5 stars</t>
  </si>
  <si>
    <t>I have only done 1 set of purchases so far, but am very pleased. PetFlow had cat food that pretty much all other sites and stores do not. And, delivered as quickly as Chewy.com would have.</t>
  </si>
  <si>
    <t>mary wachenheim</t>
  </si>
  <si>
    <t>So far, I like it!</t>
  </si>
  <si>
    <t>Petflow had our Hills prescription food in stock and shipped it to us in j just a few days.Chewy stopped stocking our food a while ago.Thank you Petflow</t>
  </si>
  <si>
    <t>RONALD IZZO</t>
  </si>
  <si>
    <t>Petflow had our Hills prescription food…</t>
  </si>
  <si>
    <t>Product in stock as needed and always shipped promptly</t>
  </si>
  <si>
    <t>JEAN HIRSCH</t>
  </si>
  <si>
    <t>Product in stock as needed and always…</t>
  </si>
  <si>
    <t>We are elderly. Wonderful that the heavy dog food bags are delivered to our front door.</t>
  </si>
  <si>
    <t>S Lucas</t>
  </si>
  <si>
    <t>Love the delivery subscription service</t>
  </si>
  <si>
    <t>You keep on accepting my order and then you later say it is out of stock. Why not refuse to accept the order that you do not have in stock.</t>
  </si>
  <si>
    <t>Antony Mercer</t>
  </si>
  <si>
    <t>You keep on accepting my order and then…</t>
  </si>
  <si>
    <t>You asked so even though I know it is horrid times to expect our shipments to to be filled 100%, because it was my dog’s only source of food and not to be notified, until shipment day you didn’t have it, wasn’t what I would have expected. Notification so I could find it elsewhere ahead of time is what I except. You still didn’t have it the next 2 auto shipments so I have discontinued your services for his food.</t>
  </si>
  <si>
    <t>LAR</t>
  </si>
  <si>
    <t>Expected earlier notification</t>
  </si>
  <si>
    <t>Service was awesome! Wrote an email asking about my order and it was not even an hour and I heard a response. I am a customer for good now!</t>
  </si>
  <si>
    <t>Otis’s Mom</t>
  </si>
  <si>
    <t>Service was awesome!</t>
  </si>
  <si>
    <t>I have a cat who has no teeth.
Finding “squeeze” treats he likes has been a challenge.
My cat loves these treats!
Plus they are healthy treats.</t>
  </si>
  <si>
    <t>Karen.Frongello, San Diego, CA</t>
  </si>
  <si>
    <t>My fussy cat loves these treats!</t>
  </si>
  <si>
    <t>Good, fast service. Good prices.</t>
  </si>
  <si>
    <t>GLENDA LEDFORD</t>
  </si>
  <si>
    <t>I’m very satisfied with my order from PetFlow. Due to the product I ordered, PetFlow had to notify my pets veterinarian &amp; they did this quickly.
Therefore, I received my order within days!
I will Definitely be ordering from them again!</t>
  </si>
  <si>
    <t>Nancy+Green</t>
  </si>
  <si>
    <t>Hills Dog Treats</t>
  </si>
  <si>
    <t>You had what we were searching everywhere for. Unfortunately, 2 days afterwards, the quantity was cut in half. 5 stars for a full order, but only 4 for taking away a bag of rabbit cookies.</t>
  </si>
  <si>
    <t>NANCY BALDWIN</t>
  </si>
  <si>
    <t>Only 1 bag of rabbit cookies</t>
  </si>
  <si>
    <t>Horrible! The lack of communication with the company and warehouse. I called and was told I would receive a call back and never did. They had me counting on a shipment for over a week and canceled it 8 days later due to “no product “ and for me to find out…I called them.</t>
  </si>
  <si>
    <t>Jenn Alling</t>
  </si>
  <si>
    <t>Horrible customer service</t>
  </si>
  <si>
    <t>Excellent service of our favorite dog food! Fromm is the best food!</t>
  </si>
  <si>
    <t>Peggy</t>
  </si>
  <si>
    <t>DUSTEE COPENHAVER</t>
  </si>
  <si>
    <t>Website is easy to navigate</t>
  </si>
  <si>
    <t>Website is easy to navigate, great pricing and orders ship out quickly...autoship makes it simple to ensure Ms Hunter always has her favorite food in her bowl!</t>
  </si>
  <si>
    <t>AW</t>
  </si>
  <si>
    <t>Glad I found you</t>
  </si>
  <si>
    <t>Glad I found you. Shipped order right away, you made my dog very happy!</t>
  </si>
  <si>
    <t>Patricia Netzer</t>
  </si>
  <si>
    <t>Hard to find cat food</t>
  </si>
  <si>
    <t>My 11 year old diabetic cat was out on a diet of Royal Canin PV diet. Absolutely, NO ONE had this food. I found PetFlow while surfing the web one night and saw that they had the food I needed. I ordered the food. There was a bit of a delay with my prescription and it’s readability but I eventually got the food my cat needed. I contacted customer service several times and they were always polite and professional.</t>
  </si>
  <si>
    <t>HALEY METZLER</t>
  </si>
  <si>
    <t>Petflow is awesome</t>
  </si>
  <si>
    <t>Petflow is awesome! Great customer service!</t>
  </si>
  <si>
    <t>Rob Galanakis</t>
  </si>
  <si>
    <t>Fantastic customer service</t>
  </si>
  <si>
    <t>Fantastic customer service, great prices, fast shipping. I am trying to purchase less from large retails (like you know who) and haven't had to for any pet food or most pet supplies since finding PetFlow.</t>
  </si>
  <si>
    <t>dog won't eat</t>
  </si>
  <si>
    <t>Dog won't eat the food is so stiff if won't come out of can</t>
  </si>
  <si>
    <t>Lorene Perotti</t>
  </si>
  <si>
    <t>My second time buying my pet food at…</t>
  </si>
  <si>
    <t>My second time buying my pet food at petflow , what I like the most is the possibilito buy two packs with a better price. The delivery is free and is ok , not to fast but ok , is good to know that it took 5?to 7 days to delivery than you need to buy in advance.</t>
  </si>
  <si>
    <t>Horrible experience.</t>
  </si>
  <si>
    <t>The process to order a prescription food is ridiculous. The instructions on how to handle the prescription are incredibly unclear and the expected timeline of when your order will be delivered even more confusing. I placed my order, immediately emailed the prescription, and almost a week late they still had not even sent me an email with any updates. I reached out to them twice, and while their chat reps are very nice, they provided no help. I tried to cancel the order, again after NO notification that the order had been processed, the rep told me she would send the request to cancel but that the foods were processed by another company. THREE days later they shipped the order. You can’t tell me they can’t cancel an order 3 days before it’s processed.
I only used Petflow because there was a nationwide shortage of my pet’s food… but in the time they took to process my order, my primary provider of the food was able to get it back in stock, and I was able to place and receive the order before Petflow even processed the order.
Horrible experience all around.</t>
  </si>
  <si>
    <t>Meaghan V</t>
  </si>
  <si>
    <t>Great service. You had the cat food I needed when every other place was out of stock. Prompt delivery. Thanks so much!</t>
  </si>
  <si>
    <t>Availability of special diet and fast, friendly customer service.</t>
  </si>
  <si>
    <t>Thomas Oswald</t>
  </si>
  <si>
    <t>No problems. Quick and efficient</t>
  </si>
  <si>
    <t>Petflow is great!</t>
  </si>
  <si>
    <t>Great customer service. Always have the products that I need when I need them. Thank you PetFlow.</t>
  </si>
  <si>
    <t>LYNN ERICKSON</t>
  </si>
  <si>
    <t>I have been ordering from Petflow for sometime now, and I truly love it. ❤️ It's hard to find certain brands, like Fromm from your local pet stores, so I airways shop here. Did I mention shipping is pretty fast. I am happy customer:)</t>
  </si>
  <si>
    <t>My pets place!!</t>
  </si>
  <si>
    <t>I was able to find the food for my cat here.He has IBD and can only eat certain foods. These kind people give great service answered all my questions. I’m very pleased with Pet Flows service.</t>
  </si>
  <si>
    <t>Updated Mar 29, 2022</t>
  </si>
  <si>
    <t>I was able to find the food I needed for my cat…</t>
  </si>
  <si>
    <t>I buy crickets very often. I got 50, and 15 were dead, usually always there are some dead but this time the number was higher, not good!</t>
  </si>
  <si>
    <t>ESTHER FREEMAN</t>
  </si>
  <si>
    <t>I buy crickets very often</t>
  </si>
  <si>
    <t>Very satisfied with my order! I was notified when the treats my dog eats we’re available. They contacted her vets for the prescription information &amp; sent out immediately.</t>
  </si>
  <si>
    <t>Very satisfied with my order</t>
  </si>
  <si>
    <t>Ordered prescription food on a time crunch, confided 3x with customer service it was ordered, confirmed and waiting to ship and then finally cancelled after a week. Horrible service</t>
  </si>
  <si>
    <t>JAY HANKIN</t>
  </si>
  <si>
    <t>Ordered prescription food on a time…</t>
  </si>
  <si>
    <t>My dogs love the Buffalo treats! Great value and service.</t>
  </si>
  <si>
    <t>PAM BELTZ</t>
  </si>
  <si>
    <t>My dogs love the Buffalo treats</t>
  </si>
  <si>
    <t>They always have what my parrots need and everything is fairly priced.</t>
  </si>
  <si>
    <t>CARRIE MCLAUGHLIN</t>
  </si>
  <si>
    <t>They always have what my parrots need…</t>
  </si>
  <si>
    <t>JENNIFER SMITH-LUM</t>
  </si>
  <si>
    <t>I was able to connect with customer…</t>
  </si>
  <si>
    <t>I was able to connect with customer service about issues with my prescription and they took care of it and I received my cat food thank you</t>
  </si>
  <si>
    <t>BRUCE WHITE</t>
  </si>
  <si>
    <t>Very user friendly process</t>
  </si>
  <si>
    <t>Very user friendly process, good variety of product, reasonable prices. Love the free shipping with orders over $50! Keep up the great work!</t>
  </si>
  <si>
    <t>MARIA ANAYA</t>
  </si>
  <si>
    <t>Great customer service and prices!</t>
  </si>
  <si>
    <t>Good products and good service and delivery</t>
  </si>
  <si>
    <t>David Guldenstern</t>
  </si>
  <si>
    <t>Good products and good service and…</t>
  </si>
  <si>
    <t>My dogs' food was not available where I usually purchase it, so I tried PetFlow. They had the food and I received it the next day. I was so pleased to find a company that stocks the dog food I use and sends it quickly and efficiently. I have since used PetFlow for treats, and other doggie goodies and have come to see they must be my "go-to" for all my dogs' needs. I have 4 pups and knowing PetFlow has their food and can get it to me quickly is exactly where I need to buy their food. Thank you, PetFlow.</t>
  </si>
  <si>
    <t>Renee</t>
  </si>
  <si>
    <t>After being informed in the 11th hour from another site that my auto ship dog food was not in stock and the order could not be filled, I went to the Pet Flow site. They had the food I needed and it arrived as promised. I was very impressed and grateful.</t>
  </si>
  <si>
    <t>Love Pet Flow!</t>
  </si>
  <si>
    <t>First shipment was short, contacted customer service via e-mail and a replacement item was shipped immediately. Great customer service.</t>
  </si>
  <si>
    <t>WILLIAM PHEE</t>
  </si>
  <si>
    <t>First shipment was short</t>
  </si>
  <si>
    <t>Very happy you carry Verus- delivery is quick!
Thank you</t>
  </si>
  <si>
    <t>KATHERINE DECKER</t>
  </si>
  <si>
    <t>Very happy you carry Verus- delivery is…</t>
  </si>
  <si>
    <t>PetFlow was fantastic. Food was in stock at a great price - even though bigger companies did not have it claiming supply chain problems. Delivery was super speedy. Customer service prompt and friendly. Highly recommend.</t>
  </si>
  <si>
    <t>HC</t>
  </si>
  <si>
    <t>PetFlow was fantastic</t>
  </si>
  <si>
    <t>I was relieved that PetFlow had the urinary diet food for my cat when other big name pet suppliers were sold out. Ordering ease and timely shipping were other plus factors.</t>
  </si>
  <si>
    <t>Brian Drinkwine</t>
  </si>
  <si>
    <t>A fast and well packed delivery.</t>
  </si>
  <si>
    <t>My vet recommended this website for my prescription cat food. I enjoy the fact that you can add promo codes when they arise for online auto ship orders. I am also able to get my cat litter.
The only issue I have is that PetFlow does not sell MultiCat TidyCat Breeze Pee Pads, which SUCKS because I would love to just have everything all in one order at the same time every month.
The original pee pads don't work for me because I have two cats and 1 litter box so I would end up going through 1 a day.</t>
  </si>
  <si>
    <t>PetFlow Saved the Day</t>
  </si>
  <si>
    <t>Have been a satisfied customer for a while with Pet Flow.
More importantly our dog gets excited when his box with his favorite treats arrive.
Pet Flow has acceptable prices and prompt service on their high quality products.</t>
  </si>
  <si>
    <t>Destiny W.</t>
  </si>
  <si>
    <t>My vet recommended this website for my…</t>
  </si>
  <si>
    <t>They were fast with the shipping and awesome prices</t>
  </si>
  <si>
    <t>Doggie</t>
  </si>
  <si>
    <t>Have been a satisfied customer for a…</t>
  </si>
  <si>
    <t>I have never had to wait so long for an order from pet flow. My poor cat has run out of his special diet food and we have been waiting for! I order both canned and dry food for him and his canned food is in back order. I’m disappointed on how long I’ve had to wait for my cats food.</t>
  </si>
  <si>
    <t>Angie</t>
  </si>
  <si>
    <t>They were fast with the shipping and…</t>
  </si>
  <si>
    <t>I do like Pet Flow as my go to food delivery system. Sometimes the products are a day or two late. One of my deliveries actually contained two 37.5 lb bags in one box, which I was not happy with. Also I would appreciate some packing like paper or something to cover the dog food bag, because when I have to cut the box open at the taped area, I accidently slice the bag, but if it were protected, that would've been helpful. All in all a great company and the individuals on the other end of the phone are always very pleasant and helpful.</t>
  </si>
  <si>
    <t>MARYANN LEWIS</t>
  </si>
  <si>
    <t>I have never had to wait so long for an…</t>
  </si>
  <si>
    <t>Fast shipping, great price, and the dog food we needed! We couldn't be happier with the transaction. Thanks PetFlow!</t>
  </si>
  <si>
    <t>SHARON MACDERMOTT</t>
  </si>
  <si>
    <t>I do like Pet Flow as my go to food…</t>
  </si>
  <si>
    <t>I have purchased the Oxbow organic hay before and Oxbow is a great company. the products were fine and the time it took to get the order out was fast, however Fedex lost the first order, not unusual. The customer service rep at your company was kind enough to replace the order. I like your company but I can't deal with Fedex and thats the only shipper you use so I'll be sad to go back to Amazon.</t>
  </si>
  <si>
    <t>Oscar</t>
  </si>
  <si>
    <t>There is obviously a shortage on royal Canin cat food and I called Royal Canaan and they recommended this site so I ordered a case and when they were filling my order they didn’t have any so that was that and and I still don’t have any food ordered for her I don’t know what’s going on but you don’t say on your website that you have it and then order it and then be told that you don’t have any it was a huge disappointment I don’t know if I’ll try them again sometime but they should make sure they have the stock and when they don’t immediately change the website that’s a bad way of doing business not keeping up with your website and saying you have something when you don’t thank you. Mr. Morgan</t>
  </si>
  <si>
    <t>DEBI</t>
  </si>
  <si>
    <t>I have purchased the Oxbow organic hay…</t>
  </si>
  <si>
    <t>I have used Pet Flow for years and they’ve always done a good job and provided what I needed. This time they didn’t have what I needed and they were a little late in letting me know but other than that I have no complaints.</t>
  </si>
  <si>
    <t>Keith Morgan</t>
  </si>
  <si>
    <t>There is obviously a shortage on royal…</t>
  </si>
  <si>
    <t>I have used Pet Flow for years and…</t>
  </si>
  <si>
    <t>CAMILLE BARTCZAK</t>
  </si>
  <si>
    <t>I placed my $250 order for prescription dog food on a Sunday night. Received someone else’s order on Thursday. Called customer service and advised of issue. Asked that they ship correct order at no charge with overnight delivery. Was told they won’t ship overnight. On Friday I did receive a poop shovel I ordered. It was in a huge box with a hole cut in it for the handle to stick out. With cardboard wrapped around it. I then looked at what else had shipped from the replacement order. Found the dry food was shipping. Received it the following Saturday. So it took 2 weeks to receive part of my order. When I called and asked about the canned food I was told it was out of stock. Why was I not told this when the order was placed or by email a day later. I needed to request a credit be issued. I will never order from this company again.</t>
  </si>
  <si>
    <t>ahmad abudiab</t>
  </si>
  <si>
    <t>excellent service</t>
  </si>
  <si>
    <t>excellent service. Fast delivery</t>
  </si>
  <si>
    <t>Happy Shopper</t>
  </si>
  <si>
    <t>Impressed</t>
  </si>
  <si>
    <t>Impressed! The dog food arrived in perfect condition ....in a box that fit the bag... something that doesn't happen with other companies!</t>
  </si>
  <si>
    <t>Szeleziatko</t>
  </si>
  <si>
    <t>I love PetFlow for great customer…</t>
  </si>
  <si>
    <t>I love PetFlow for great customer service, fast and reliable service, great dog food for my babies in great price.
I'm PetFlow customer since I became doggy mommy almost 5 years ago, my 2 Golden Retrievers are doing amazing on Farmina food.</t>
  </si>
  <si>
    <t>Nichole</t>
  </si>
  <si>
    <t>Updated Mar 26, 2022</t>
  </si>
  <si>
    <t>Petflow is a wonderful site for pet parents</t>
  </si>
  <si>
    <t>I adore petflow. I love what the company is and stands for and the donations they make. Unfortunately, they just don't have everything I buy for my pets so I find myself going through other companies to get them. I would love to see them grow, though, and offer more! What I can find, or even find a replacement for, I go here first. Never had an issue and my orders get here within a day or two.</t>
  </si>
  <si>
    <t>MOLLY ANDERSON</t>
  </si>
  <si>
    <t>Good service although a bit slower than…</t>
  </si>
  <si>
    <t>Good service although a bit slower than our other service (which may have been due to the vet not responding promptly).</t>
  </si>
  <si>
    <t>CHRISTINE CINAGLIA</t>
  </si>
  <si>
    <t>This was my first time ordering with…</t>
  </si>
  <si>
    <t>This was my first time ordering with petflow and I must say it was great! It was a prescription food. It was faster than ordering with Chewy. Would highly recommend!</t>
  </si>
  <si>
    <t>Madelaine Sutphin</t>
  </si>
  <si>
    <t>Had the product my babies needed</t>
  </si>
  <si>
    <t>Had the product my babies needed when everyone else was out. Fast and easy checkout and fast shipping.</t>
  </si>
  <si>
    <t>Quickly received. I'll be back! :)</t>
  </si>
  <si>
    <t>NISHAT HOSSAIN</t>
  </si>
  <si>
    <t>Great service! Had the items I needed and I love the giving back to needy animals!</t>
  </si>
  <si>
    <t>TRUDY BAUER</t>
  </si>
  <si>
    <t>I get the same dog food every time</t>
  </si>
  <si>
    <t>I get the same dog food every time. Last time I ordered, it took longer than expected to receive it. But this time, it was tracked and arrived earlier than expected. Totally satisfied.</t>
  </si>
  <si>
    <t>Rene</t>
  </si>
  <si>
    <t>Great service. Good prices</t>
  </si>
  <si>
    <t>Normally I am very happy with PetFlow…</t>
  </si>
  <si>
    <t>Normally I am very happy with PetFlow with the exception of some packaging missteps. This time it just took too long to get here but everything else was good. Not sure if that was due to the shipping issues the country is having now or if it was internal by shipping out later than usual. Otherwise good!</t>
  </si>
  <si>
    <t>LYNN AGOSTI</t>
  </si>
  <si>
    <t>Fixed it</t>
  </si>
  <si>
    <t>I received a substitute product that would not work in my household of pets. I called and immediately the product I had ordered was sent to me from a different warehouse.</t>
  </si>
  <si>
    <t>SHARMAN CASEY</t>
  </si>
  <si>
    <t>Great to deal with! Fast shipping! Highly recommend!!</t>
  </si>
  <si>
    <t>Ronald B Reid</t>
  </si>
  <si>
    <t>Fast shipping Not a big selection of…</t>
  </si>
  <si>
    <t>Fast shipping Not a big selection of fish products, but what they do carry have very good prices.</t>
  </si>
  <si>
    <t>HEATHER SPRUILL</t>
  </si>
  <si>
    <t>All of my normal vendors were out of my…</t>
  </si>
  <si>
    <t>All of my normal vendors were out of my baby's food, but I was able to order via PetFlow and it arrived within 5 days! Thank you!</t>
  </si>
  <si>
    <t>TAMARA EISELE</t>
  </si>
  <si>
    <t>I am very happy to have found…</t>
  </si>
  <si>
    <t>I am very happy to have found 'Petflow'. I run a 'Neonatal Kitten Rescue' and it is vital I am able to find the same products/food I use on a daily basis. Not being able to find and purchase certain foods is critical for some kittens. I only leave one star off because of the amount of time it takes to ship/receive my order.</t>
  </si>
  <si>
    <t>EDGAR MCKENNEY</t>
  </si>
  <si>
    <t>Overall pleased with this purchase.</t>
  </si>
  <si>
    <t>PetFlow was the only location I could find the Prescription food I needed for my cat, everybody else was out of stock. It took 8 business days to get the vet. approval and to receive the order. Longer than other vendors, but at least they had what I needed. Overall pleased with this purchase.</t>
  </si>
  <si>
    <t>JANET RESSEGUIE-SAHL</t>
  </si>
  <si>
    <t>After I gave my credit card info and…</t>
  </si>
  <si>
    <t>After I gave my credit card info and counted on receiving the shipment, I was then told later on that it was out of stock.</t>
  </si>
  <si>
    <t>PRESTON ADAMS</t>
  </si>
  <si>
    <t>The order process was great</t>
  </si>
  <si>
    <t>The order process was great. As well-as the returns. My dog food that I ordered came in a package all tore up. Delivery by FedEx which I have issues with with other shipments. From now on I will not be buying anything on line from company's that use FedEx.</t>
  </si>
  <si>
    <t>Representative did not follow through</t>
  </si>
  <si>
    <t>Waited 2 months for my cats favorite wet canned food to come in. Finally got a notification that it was in and would be shipped to me. I noticed the address was incorrect ( old address) so I corrected it. After another week I got a notification that it would be delivered tomorrow and saw that it was still the incorrect address. I called Pet flow and was told it would be corrected. Waited another week only to get another notification that it was still going to the old address. I called and was told that this time it would be taken care of correctly. 14 days later I have still not received my product.</t>
  </si>
  <si>
    <t>MARGRET C</t>
  </si>
  <si>
    <t>Excellent First-Time Experience</t>
  </si>
  <si>
    <t>I just ordered from PetFlow for the first time and had a great experience. The food I needed was in stock and I was able to get a discount as a first-timer. The package arrived promptly. I have no complaints!</t>
  </si>
  <si>
    <t>ED CILUMBRELLO</t>
  </si>
  <si>
    <t>Good selection</t>
  </si>
  <si>
    <t>Good selection, prices and delivery.</t>
  </si>
  <si>
    <t>WENDY B</t>
  </si>
  <si>
    <t>Love love PetFlow</t>
  </si>
  <si>
    <t>Love, love PetFlow. They had my cats food in stock when NO another vendors have it and shipping is fast. Thanks again PetFlow for keeping my cat happy!</t>
  </si>
  <si>
    <t>Sheila Sherok Dandurand-Williams</t>
  </si>
  <si>
    <t>I was grateful to find Petflow because…</t>
  </si>
  <si>
    <t>I was grateful to find Petflow because they were the only company online or in store that had stock of my furboy's prescription food. As a pet parent, I was panicking. They handled contacting our vet for the prescription &amp; had the food to us within a week. Thank you, Petflow!!</t>
  </si>
  <si>
    <t>CASSIDY</t>
  </si>
  <si>
    <t>Only got partial order</t>
  </si>
  <si>
    <t>Well considering i only got part of my order and nobody knew where the rest of it went and they had to reissue it. As well as it being prescription food... AND first time ordering with company.. Id say.. It didn't go well.</t>
  </si>
  <si>
    <t>DOLORES LEWIS-WELLMAN</t>
  </si>
  <si>
    <t>Good service, competitive prices</t>
  </si>
  <si>
    <t>Had competitive prices with other on-line retailers. Customer service prompt and pleasant when I called with a question. Fast shipping, all as expected. Had products when other on-line retailers were out of stock.</t>
  </si>
  <si>
    <t>Baxter</t>
  </si>
  <si>
    <t>Easy ordering...love getting the…</t>
  </si>
  <si>
    <t>Easy ordering...love getting the discount - really helps in this day and time.. Please continue offering more higher discounts and customers will choose you every time. Shipping was quick.. Great packaging... Thanks</t>
  </si>
  <si>
    <t>HOWARD WARDEN</t>
  </si>
  <si>
    <t>Great prices on Fromm dog food</t>
  </si>
  <si>
    <t>Great prices on Fromm dog food! Fast delivery!! On a great product!!</t>
  </si>
  <si>
    <t>I have shopped PetFlow for years and…</t>
  </si>
  <si>
    <t>I have shopped PetFlow for years and have always gotten accurate orders, fast shipping, and very good prices...especially with autoship.</t>
  </si>
  <si>
    <t>SAFFRON'S CAT-MOM</t>
  </si>
  <si>
    <t>Wrong flavor food received</t>
  </si>
  <si>
    <t>I didn't get the flavor cat food I ordered - it's my cat's favorite, and the reason I ordered from you.</t>
  </si>
  <si>
    <t>I have ordered from them only a couple…</t>
  </si>
  <si>
    <t>I have ordered from them only a couple of times but I received good service and a timely delivery</t>
  </si>
  <si>
    <t>Lucila Cedron</t>
  </si>
  <si>
    <t>Great new experience</t>
  </si>
  <si>
    <t>Great service, fast delivery :)</t>
  </si>
  <si>
    <t>COLLEEN MARTIN</t>
  </si>
  <si>
    <t>Petflow shipments are ALWAYS late</t>
  </si>
  <si>
    <t>Petflow shipments are ALWAYS late. will not be ordering from Petflow anymore.</t>
  </si>
  <si>
    <t>JAMES ADEN</t>
  </si>
  <si>
    <t>Always helpful customer service</t>
  </si>
  <si>
    <t>Always helpful customer service, I've been with them for more than ten years. Much easier than schlepping to the store every month to buy their food, I have five doggies.</t>
  </si>
  <si>
    <t>Steve K.</t>
  </si>
  <si>
    <t>Price is reasonable. Slow delivery.</t>
  </si>
  <si>
    <t>Price is reasonable. Slow on shipping and several of the cans were dented and caved in so will check careful for leaks before I feed my dogs.</t>
  </si>
  <si>
    <t>DONNA PAGE</t>
  </si>
  <si>
    <t>I love the service</t>
  </si>
  <si>
    <t>I love the service. It’s so quick and every order is always correct👏</t>
  </si>
  <si>
    <t>Keith</t>
  </si>
  <si>
    <t>Pet-flow since they came online has…</t>
  </si>
  <si>
    <t>Pet-flow since they came online has been an important part of my supply chain.
Reliable - good prices - helping animals
Thank you</t>
  </si>
  <si>
    <t>Excellent service. Thank you.</t>
  </si>
  <si>
    <t>RONALD COHEN</t>
  </si>
  <si>
    <t>PetFlow took care of my request and…</t>
  </si>
  <si>
    <t>PetFlow took care of my request and shipped my order rapidly. This was much apppreciated.</t>
  </si>
  <si>
    <t>MOLLY GORMAN</t>
  </si>
  <si>
    <t>Great product Fail on FedEx ground…</t>
  </si>
  <si>
    <t>Great product Fail on FedEx ground delivery
Driver didn’t delivery on first attempt drove past my house… need to address this</t>
  </si>
  <si>
    <t>Excellent Customer Service!</t>
  </si>
  <si>
    <t>I was truly in a bind trying to get prescription cat food fast for my cat with a newly diagnosed urinary tract disease. The gentleman I spoke with over the phone was compassionate toward my situation and genuinely helpful in quickly getting my prescription verified by the vet and my order on its way. THANK YOU!</t>
  </si>
  <si>
    <t>JENNIFER HOWE</t>
  </si>
  <si>
    <t>PetFlow has been excellent with every…</t>
  </si>
  <si>
    <t>PetFlow has been excellent with every order I have placed. I will continue to use this company and products.</t>
  </si>
  <si>
    <t>Usually a 5 Dented</t>
  </si>
  <si>
    <t>Usually a 5. This was only a 4 as one of the cans was dented.</t>
  </si>
  <si>
    <t>P S.</t>
  </si>
  <si>
    <t>Right brands &amp; right help when needed</t>
  </si>
  <si>
    <t>Petflow carries the brands of foods I use for our cat &amp; guide puppy in training. Our Guide Dog School likes us to use Fromm Family foods. Fromm is made in the USA . Fromm brand is not carried by many stores or on-line shops, Auto ship helps me be sure not to run out.
Only negative is I find it difficult sometimes to navigate my account, my orders &amp; to change my orders
But after I had messed up my order, an on-line chat representative got it all straightened out in no time! Thank You Petflow!</t>
  </si>
  <si>
    <t>Pixie</t>
  </si>
  <si>
    <t>Fast Shipping! New customer very happy, Auto-Ship prices are very good!</t>
  </si>
  <si>
    <t>Loyal Petflow Customer</t>
  </si>
  <si>
    <t>Competitive pricing</t>
  </si>
  <si>
    <t>Competitive pricing, dependable shipping, and carries prescription food at better prices than the vet's office offers.</t>
  </si>
  <si>
    <t>Bonnie</t>
  </si>
  <si>
    <t>Positive experience</t>
  </si>
  <si>
    <t>First time using this business and it was a very positive one. I ordered a large bag of Victor dog food and it was delivered very quickly. Will use them again!</t>
  </si>
  <si>
    <t>R. Baker</t>
  </si>
  <si>
    <t>Very helpful and extremely friendly.</t>
  </si>
  <si>
    <t>Lisa Henderson</t>
  </si>
  <si>
    <t>The only place I can consistently find…</t>
  </si>
  <si>
    <t>The only place I can consistently find my dogs brand of food. Easy to ordrr and fast shipping. Prices are reasonable as well. With auto-ship the prices are even better!</t>
  </si>
  <si>
    <t>Sherry M</t>
  </si>
  <si>
    <t>I purchased Science Diet Wet Puppy Food for my new puppy and he refused to eat it. I contacted customer service by email and explained my situation. That same day I received notification that I was being refunded my purchase price.
That is excellent customer service that stands by the product guarantee.
Thank you PetFlow ❤️</t>
  </si>
  <si>
    <t>K. B.</t>
  </si>
  <si>
    <t>I purchased an item online</t>
  </si>
  <si>
    <t>I purchased an item online, said only two left, I ordered two. Got an email the next day they were our. What’s the point of having an inventory notice online if it’s not accurate and other orders are allowed the product you just paid gir. Disappointing!</t>
  </si>
  <si>
    <t>RENZO CASAFRANCA</t>
  </si>
  <si>
    <t>Horrible buying experience</t>
  </si>
  <si>
    <t>Horrible buying experience. I will never buy it from you guys again</t>
  </si>
  <si>
    <t>Wow Customer Service Fast and Genuine</t>
  </si>
  <si>
    <t>Wow Customer Service Fast and Genuine - but this is also a rare company that gives back in amazing ways. Sure they are smaller but thats where usually the care, happens. Thank you PetFlow!</t>
  </si>
  <si>
    <t>Vila in Frisco, TX</t>
  </si>
  <si>
    <t>Since there is a shortage of my dog's…</t>
  </si>
  <si>
    <t>Since there is a shortage of my dog's prescription diet, I called several times to get information on delivery.Every time, I had a helpful and friendly employee on the phone.They understood my concerns and did everything possible to help.My pup got his food, thanks to PetFlow, directly from the manufacturer. I'm so thankful</t>
  </si>
  <si>
    <t>Theresa</t>
  </si>
  <si>
    <t>I would give it 5 stars</t>
  </si>
  <si>
    <t>I would give it 5 stars, except that the flap doesn't quite close. Otherwise it is a good door for the price that allows my 9-year old Great Dane not to have to stoop as much as he goes through.</t>
  </si>
  <si>
    <t>NORMAN</t>
  </si>
  <si>
    <t>Easy to order and at a great price</t>
  </si>
  <si>
    <t>Easy to order and at a great price. So impressed that I chose to have a standing order for our beautiful Breezy.</t>
  </si>
  <si>
    <t>JACQUELINE DIAZ</t>
  </si>
  <si>
    <t>Quick response time and friendly…</t>
  </si>
  <si>
    <t>Quick response time and friendly customer service.</t>
  </si>
  <si>
    <t>LYNN-JO CANTOR</t>
  </si>
  <si>
    <t>I like that Pet Flow is accurate with…my orders.</t>
  </si>
  <si>
    <t>I like that Pet Flow is accurate with the information they share with me and the options I have with my orders. That's really important to me. I'd also like to ask that the DM food I get from now on be the "savory select" cat food instead of the "pate" which my cat won't eat. Thank you.</t>
  </si>
  <si>
    <t>CARA FREEMAN</t>
  </si>
  <si>
    <t>Happy with the product however when I…</t>
  </si>
  <si>
    <t>Happy with the product however when I ordered it said it would ship immediately and 2 days later it finally shipped. I needed the dog food and with that 2 day delay it made me go purchase a smaller bag to get me through.</t>
  </si>
  <si>
    <t>MARI ESCHENBAUM</t>
  </si>
  <si>
    <t>Very easy online ordering and pretty…</t>
  </si>
  <si>
    <t>Very easy online ordering and pretty fast delivery. I’m not able to purchase Fromm Dog food where I live. I actually found PetFlow on Fromm’s website.</t>
  </si>
  <si>
    <t>SUSAN LEVINSOHN</t>
  </si>
  <si>
    <t>Very fast delivery</t>
  </si>
  <si>
    <t>I ordered the dog food on March 5th</t>
  </si>
  <si>
    <t>I ordered the dog food on March 5th. Still waiting delivery. It's been almost two weeks. My orders from Pet Flow in the past have been delivered quickly.</t>
  </si>
  <si>
    <t>LEO VIDES</t>
  </si>
  <si>
    <t>MISLEADING advertisement</t>
  </si>
  <si>
    <t>Shipping takes too long. But I can deal with that. What is unacceptable is when you have items listed “in stock” when you really don’t. Specially when it comes to items that need a veterinarian prescription. I DON’T CARE how big of a company you are. That’s why they have computers and programs that can take care of those logistics. If an item sells out. Which happens. It shouldn’t take more than a week to hear back. And only took a week because I WAS the one who called. NO ONE reached out me. I’m NEVER ordering from you guy’s again. I’ll stick to Chewy..</t>
  </si>
  <si>
    <t>Susan peters</t>
  </si>
  <si>
    <t>Great first experience</t>
  </si>
  <si>
    <t>Very easy to order. Prompt delivery of product ordered.</t>
  </si>
  <si>
    <t>Hanne's Mama</t>
  </si>
  <si>
    <t>My order arrived in a timely manner</t>
  </si>
  <si>
    <t>My order arrived in a timely manner, beautifully packed with recyclable materials. I received discounts that compare favorably to other on-line pet suppliers. I wanted to order Fromm products, and Fromm's family-owned company will only sell through certain companies. That seems a good endorsement of PetFlow.</t>
  </si>
  <si>
    <t>Jory</t>
  </si>
  <si>
    <t>Excellent price and service.</t>
  </si>
  <si>
    <t>Pet flow was willing to sell me a product they did not have in stock. Pet Flow said that the manufacturer, Hills Science Diet, had the pet food in their warehouse. I telephoned Hills Science Diet and they also report not having the purchased cat food in stock.</t>
  </si>
  <si>
    <t>Prefer to remain anonymous</t>
  </si>
  <si>
    <t>Pet flow is guilty of false advertising</t>
  </si>
  <si>
    <t>In my last order for dog food to PetFlow the order was first just later than expected. When I called up customer service, I was told that orders were piling up at PetFlow, but that the order would be given an "expedited" designation by the customer service person. The day after that conversation, I discovered that my PayPal charge for the food was refunded. When I again talked with the same customer rep, I was told that a mistake had occurred and that I would still be getting the food in spite of the refund,
That all happened about two weeks ago (today is 3/16/2022). No food has been delivered to me from PetFlow.
So this was, from my perspective, a completely botched order. I subsequently ordered the food from a different supplier and got the bag of kibble two days after I placed that new order.
Even though I had ordered food successfully from PetFlow in the past I will never, ever deal with PetFlow again. I depend on a supplier for sending me the dog food my pet needs in a timely fashion. My experience with PetFlow indicates that they are, at best, unreliable.</t>
  </si>
  <si>
    <t>Botched dog food order</t>
  </si>
  <si>
    <t>Best company ever! I've used them for years. They're dependable, and refund your money if your dog reacts badly to a new food or treat, etc., or if a treat they sold has been recalled by its company, (which is not PetFlow's fault). Their prices are even lower than Chewy--I tell people about them all the time!</t>
  </si>
  <si>
    <t>Ceil</t>
  </si>
  <si>
    <t>Best Company Ever!</t>
  </si>
  <si>
    <t>Great service. Arrived quickly and got exactly what I ordered.</t>
  </si>
  <si>
    <t>JULIE BYRNES</t>
  </si>
  <si>
    <t>My dog loves this dog food and it was very quick getting to us. Thankyou</t>
  </si>
  <si>
    <t>PATRICIA CHRISTENSON</t>
  </si>
  <si>
    <t>Dog delicious</t>
  </si>
  <si>
    <t>Product almost always in stock, good variety of the brands my dogs use. Quick delivery but the packaging always arrives damaged. Likely because it’s just too heavy.</t>
  </si>
  <si>
    <t>INGRID STECKER</t>
  </si>
  <si>
    <t>Good product selection</t>
  </si>
  <si>
    <t>I ordered two bags of dog food and it was delivered in a beat up box and dropped 10 feet from my covered porch in the rain. Sure, the seller didn't leave it in the rain but, are responsible for the safe arrival of the package. My star rating is because I contacted customer "no" service with photos of the destroyed, soaked package and have gotten no response. At the very least provide some acknowledgement.</t>
  </si>
  <si>
    <t>JASON</t>
  </si>
  <si>
    <t>Package left out in the rain.</t>
  </si>
  <si>
    <t>I've been buying from PetFlow for years and I'm very happy with their products and prices. The only issues I ever have is with the delivery companies CONSTANTLY changing the delivery date. Otherwise I LOVE PetFlow!!!!</t>
  </si>
  <si>
    <t>MICHELLE DEPIETRO</t>
  </si>
  <si>
    <t>I've been buying from PetFlow for years…</t>
  </si>
  <si>
    <t>Service was good and efficient, price seems a bit high...44 pound bag of dog food was twice the price I would have paid for a 50 pound bag at Walmart, but with transportation down would order again</t>
  </si>
  <si>
    <t>WILLIAM ALEXANDER</t>
  </si>
  <si>
    <t>Service was good and efficient</t>
  </si>
  <si>
    <t>PetFlow always comes through for me! No complaints!</t>
  </si>
  <si>
    <t>JENNIFER PEOPLES</t>
  </si>
  <si>
    <t>PetFlow always comes through for me</t>
  </si>
  <si>
    <t>Perfect timing to get my prescription food for my kitty</t>
  </si>
  <si>
    <t>JOSHUA SHELTON</t>
  </si>
  <si>
    <t>Perfect timing to get my prescription…</t>
  </si>
  <si>
    <t>Until now, I have had no issues with PetFlow - order food for dog - dog food delivered promptly.
This time, I ordered the dog food as usual, and have waited, waited waited for it to be delivered. Three days after getting this request for a review, I have FINALLY gotten an e-mail stating that my food has been shipped. Apparently, it was shipped on the 11th, no indication when I should expect delivery.
This is not good, it has literally been WEEKS since placing my order, at the time there was no indication that it was out of stock, or back ordered, etc. Luckily, I do not wait until the last minute to reorder food, but today my husband stated that that we only had about a weeks supply left and when was the next bag due to arrive.
Not happy......</t>
  </si>
  <si>
    <t>GINNY P.</t>
  </si>
  <si>
    <t>Not happy with delivery time -</t>
  </si>
  <si>
    <t>Kimberly A Meyers</t>
  </si>
  <si>
    <t>This is the only place that has my dogs…</t>
  </si>
  <si>
    <t>This is the only place that has my dogs treats. Customer service has been great with changing a delivery date due to weather and checking on expiration dates.</t>
  </si>
  <si>
    <t>JEANETH RINCON</t>
  </si>
  <si>
    <t>You got always what I need for my pets…</t>
  </si>
  <si>
    <t>You got always what I need for my pets and more. And the shipping is always on time!!🤗</t>
  </si>
  <si>
    <t>HEATHER BISHOP</t>
  </si>
  <si>
    <t>Fantastic Shipping and pricing</t>
  </si>
  <si>
    <t>Super slow at shipping. That makes me not use them often</t>
  </si>
  <si>
    <t>LEL</t>
  </si>
  <si>
    <t>Super slow at shipping</t>
  </si>
  <si>
    <t>Excellent service delivery etc! I love PetFlow!!</t>
  </si>
  <si>
    <t>SANDY MASON</t>
  </si>
  <si>
    <t>Excellent service delivery etc</t>
  </si>
  <si>
    <t>Im so happy to have found you! You will have a customer for life</t>
  </si>
  <si>
    <t>Rachel Sheedy</t>
  </si>
  <si>
    <t>Im so happy to have found you</t>
  </si>
  <si>
    <t>My box was damaged along with the contents inside. I emailed explaining what happened and was not satisfied with the customer service. Will never be ordering from PetFlow again and will tell everyone I know not to. Horrific.</t>
  </si>
  <si>
    <t>DANNY WAGNER</t>
  </si>
  <si>
    <t>Damaged box and bad customer service</t>
  </si>
  <si>
    <t>fast excellent service</t>
  </si>
  <si>
    <t>jeanie johnson</t>
  </si>
  <si>
    <t>always reliable</t>
  </si>
  <si>
    <t>Good prices and fast delivery! I will continue to order from you all and recommend your site!</t>
  </si>
  <si>
    <t>Good prices and fast delivery!</t>
  </si>
  <si>
    <t>I placed my order and then called toMAKE SURE that the product was in stock. I was told the product I wanted (24-5.5 oz can) was not available but they would change it to the 12-12 oz. cans. I told the gentleman that it wasn’t my first choice but if he promises thatthe product was available then I would purchase it this time only. I was adamant... was it in stock?? I asked several times and was assured, yes, it would be shipped THAT day (last Friday). Okay, said I. On Saturday I got a message from your company saying this product is not available! That’s it! I’m done and will not bother working with your company again!</t>
  </si>
  <si>
    <t>Won’t order from you again!</t>
  </si>
  <si>
    <t>I love Petflow. Shipping is fast, customer service is great and i especially love the fact that they feed shelter animals every time you make a purchase!</t>
  </si>
  <si>
    <t>JESSICA</t>
  </si>
  <si>
    <t>I love Petflow</t>
  </si>
  <si>
    <t>Excellent service, dependable</t>
  </si>
  <si>
    <t>Mary Ellen Graves</t>
  </si>
  <si>
    <t>Always got good service from PetFlow.</t>
  </si>
  <si>
    <t>We are very happy with PetFlow. They always have exactly what we need and we receive all products in a timely manner.</t>
  </si>
  <si>
    <t>Irene</t>
  </si>
  <si>
    <t>With Petflow I have been able to find good, quality pet supplies at exceptional prices and I usually receive my order the next day. I have no complaints.</t>
  </si>
  <si>
    <t>JEAN COSTANZI</t>
  </si>
  <si>
    <t>PetFlow is great!</t>
  </si>
  <si>
    <t>I contacted PetFlow about getting food for my dog. The representative had the information already on file and was extremely helpful. She notified me of the automatic refills and I received the food after three days. Very efficient and I would recommend this company to all my friends' dog owners.</t>
  </si>
  <si>
    <t>TRINI V</t>
  </si>
  <si>
    <t>Quality products at great prices and speedy delivery. What more could one want?</t>
  </si>
  <si>
    <t>Product was great but delivery took 4 days. To long for the premium price</t>
  </si>
  <si>
    <t>ANTHONY DELUCA</t>
  </si>
  <si>
    <t>You usually deliver quite quickly but this took a week. In addition, there was just one sheet of brown paper and many of the cans were dented.</t>
  </si>
  <si>
    <t>CARL ACKERMANN</t>
  </si>
  <si>
    <t>Product was great but delivery took 4…</t>
  </si>
  <si>
    <t>Real quick in shipment and correct item,resonable price.</t>
  </si>
  <si>
    <t>Lynne Rudwick</t>
  </si>
  <si>
    <t>You usually deliver quite quickly but…</t>
  </si>
  <si>
    <t>I've always had good experiences with Pet Flow. But the last order had some issues. A bag of dry dog food had a hole in it, and some of the cans were dented pretty badly. Well, I contacted their customer service and they sent out a completely new order for free. So they really made it up to me. And, like I said, in the past I've had great experiences with no need to contact customer service. So it may have just been a one-off thing.</t>
  </si>
  <si>
    <t>William Vonderohe</t>
  </si>
  <si>
    <t>Real quick in shipment and correct…</t>
  </si>
  <si>
    <t>BARBARA WEGNER</t>
  </si>
  <si>
    <t>I've always had good experiences with…</t>
  </si>
  <si>
    <t>Lori Antz Doyle</t>
  </si>
  <si>
    <t>3 times I have ordered from your…</t>
  </si>
  <si>
    <t>3 times I have ordered from your company, and each time the shipping has not been what was stated. It has each time shipped later than the stated ship date. When I would inquire, there would be "excuses". Your prices are the same as competitors, but their shipping is much more reliable.</t>
  </si>
  <si>
    <t>MADELiNE</t>
  </si>
  <si>
    <t>The PetFlow folks are always helpful</t>
  </si>
  <si>
    <t>The PetFlow folks are always helpful! Great products for my animal kids! :) Thank you!</t>
  </si>
  <si>
    <t>GB</t>
  </si>
  <si>
    <t>Would not accept a copy of the…</t>
  </si>
  <si>
    <t>Would not accept a copy of the prescription for medications. Wanted it MAILED! Caused further delays. Other online firms don't require this.</t>
  </si>
  <si>
    <t>AnnaHope</t>
  </si>
  <si>
    <t>I am very pleased with PetFlow ..</t>
  </si>
  <si>
    <t>I am very pleased with PetFlow ... the pet food I was needing was not in stock at a local big box store that normally has the best price. PetFlow had it in stock, smaller poundage, however with their $10 off first 5 auto-ship orders, I was able to get more pounds at a cheaper cost than the big box store. The food came quickly, too. Thanks PetFlow!</t>
  </si>
  <si>
    <t>MURIEL SAARI</t>
  </si>
  <si>
    <t>Had the products I wanted and received…</t>
  </si>
  <si>
    <t>Had the products I wanted and received items quickly.</t>
  </si>
  <si>
    <t>tjm</t>
  </si>
  <si>
    <t>Timely delivery and had my cat’s…</t>
  </si>
  <si>
    <t>Timely delivery and had my cat’s prescription food when other vendors did not.</t>
  </si>
  <si>
    <t>Suzin</t>
  </si>
  <si>
    <t>I did not hear from Pet Flow quickly…Oh well</t>
  </si>
  <si>
    <t>I did not hear from Pet Flow quickly that they could not fill my order of specific dietary cat food, but they cancelled my order and I believe will not show on my credit card. I understand there is shortage of pet food right now, but their website said in stock.
Good luck to all and thanks for trying</t>
  </si>
  <si>
    <t>BRITTANY S</t>
  </si>
  <si>
    <t>I ordered a food which my pets really…</t>
  </si>
  <si>
    <t>I ordered a food which my pets really need since it is prescribed. It was out of stock, but I wasn’t told promptly. I had to contact support to learn they were out and planned to cancel my order days later .</t>
  </si>
  <si>
    <t>Great store</t>
  </si>
  <si>
    <t>Great products, fast shipping.</t>
  </si>
  <si>
    <t>FELIX BENITEZ</t>
  </si>
  <si>
    <t>Excellent product quality</t>
  </si>
  <si>
    <t>Excellent product quality; very professional customer service; prompt delivery</t>
  </si>
  <si>
    <t>Julie O.</t>
  </si>
  <si>
    <t>I love PetFlow. They feature my dog's brand of food, which he has eaten since birth (Fromm), as well as a good selection of treats and toys. Ordering is a breeze online, and the deliveries are prompt (even with all the delays in the supply chain and delivery services) and thoughtfully packed. This is a quality company with an excellent track record.</t>
  </si>
  <si>
    <t>CHARLENE ALEXANDER</t>
  </si>
  <si>
    <t>My dog was given dry dog food</t>
  </si>
  <si>
    <t>My dog was given dry dog food, canned dog food and Pet Flow dog food, all at the same time. He rooted around until he found the Pet Flow; That is always his first choice. He loves it</t>
  </si>
  <si>
    <t>Phatdog</t>
  </si>
  <si>
    <t>The Best</t>
  </si>
  <si>
    <t>Outstanding company with great service, prices and fast shipping.</t>
  </si>
  <si>
    <t>JORGE SANCHEZ</t>
  </si>
  <si>
    <t>They always seem to have our dogs food</t>
  </si>
  <si>
    <t>They always seem to have our dogs food, whereas as certain stores rarely do, and I’m continuously told that it’s all due to COVID. which I’m sick of hearing. Yet, PetFlow always comes through, which is why I’ll continue to purchase our dogs food through them. Dependable and punctual with their deliveries. It’s always a pleasure doing business with them. Awesome business!!!</t>
  </si>
  <si>
    <t>I feel that if you sent the…</t>
  </si>
  <si>
    <t>I feel that if you sent the prescription authorization for all 10 bags of food to my vet they would of be authorized. By sending over a script for 2 bags then another for the remainder bags caused a problem and 2 script was denied for being a duplicate.</t>
  </si>
  <si>
    <t>RUTH CHAPMAN</t>
  </si>
  <si>
    <t>My products were delivered in a timely…</t>
  </si>
  <si>
    <t>My products were delivered in a timely fashion and no damage to any of the cans.</t>
  </si>
  <si>
    <t>Glenn Henry</t>
  </si>
  <si>
    <t>Great deal</t>
  </si>
  <si>
    <t>Great deal, kept me apprised of the status, and arrived as promised.</t>
  </si>
  <si>
    <t>DARR</t>
  </si>
  <si>
    <t>Updated Mar 8, 2022</t>
  </si>
  <si>
    <t>I have been a customer of PerFlow for…</t>
  </si>
  <si>
    <t>I have been a customer of PerFlow for years. Always happy with the products they carry and their Customer Service department.</t>
  </si>
  <si>
    <t>FELIPE LOPEZ</t>
  </si>
  <si>
    <t>I was waiting for my order on 3/02/22</t>
  </si>
  <si>
    <t>I was waiting for my order on 3/02/22, shipped on 2/24/22, delay in Arizona, delay in San Diego 3/05/22, delivered on 3/06/22, I don't know the delay problem.
Felipe Lopez</t>
  </si>
  <si>
    <t>RUTH HAMILTON</t>
  </si>
  <si>
    <t>Website is ease to use</t>
  </si>
  <si>
    <t>Website is ease to use, service has been good, prices reasonable.</t>
  </si>
  <si>
    <t>ct</t>
  </si>
  <si>
    <t>excellent prices</t>
  </si>
  <si>
    <t>excellent prices, fast shipping. Thank You!</t>
  </si>
  <si>
    <t>KELSI PENA</t>
  </si>
  <si>
    <t>Received fast shipping on product and…</t>
  </si>
  <si>
    <t>Received fast shipping on product and prompt and courteous customer service from Petflow reps.</t>
  </si>
  <si>
    <t>JB</t>
  </si>
  <si>
    <t>PetFlow had the food that I needed</t>
  </si>
  <si>
    <t>PetFlow had the food that I needed for my dog in stock and less than 24 hrs of placing the order, my vet sent in the script and the food arrived within 2 days. Int was great ti be able to find the food that was hard to find on other sites.</t>
  </si>
  <si>
    <t>JODY LANCASTER</t>
  </si>
  <si>
    <t>Excellent customer service. Great and fast shipping. Very pleased.</t>
  </si>
  <si>
    <t>Randy Lieberg</t>
  </si>
  <si>
    <t>Great shipping, very poor website interface</t>
  </si>
  <si>
    <t>We have used PetFlow for dog food purchases for about a year. Everything about the service was great. However, my low rating is based on the Customer Service interface on their website. I discovered I can buy the product cheaper locally, and tried to cancel my auto-ship order. When clicking on the "Cancel Order", I was not actually given a choice to cancel my order, only to pause for up to 11 months. When searching further for assistance, the website has several locations that mention a Live Chat, but no Live Chat seems to actually exist. I then called the 888 number and the Service Rep I spoke to confirmed there is no way to cancel an Auto-Ship on the website. This is not acceptable in today's world of E-commerce in my opinion.</t>
  </si>
  <si>
    <t>VALERIE LEVULETT</t>
  </si>
  <si>
    <t>Very responsive and good products.</t>
  </si>
  <si>
    <t>The Beef Pizzle Steer Bully Sticks Dog Treats gave both of my shih tzu's terrible diarrhea and I only gave them a small piece.</t>
  </si>
  <si>
    <t>DAWN BEATTY</t>
  </si>
  <si>
    <t>The Beef Pizzle Steer Bully Sticks Dog…</t>
  </si>
  <si>
    <t>I have ordered online for the convenience, but your delivery company has made it inconvenient. I am sorry, but trying to carry a large heavy box from my condo mailboxes to my unit so it is not stolen is too difficult. My daughter will pickup the food at her local pet store and bring it to me going forward. If you use FedEx I would cut ties. I have had them leave deliveries by my car along with other misdeliveries. Sorry to leave you.</t>
  </si>
  <si>
    <t>DONNA FRANCHIMON</t>
  </si>
  <si>
    <t>Sorry to say goodbye</t>
  </si>
  <si>
    <t>Easy to order and find items on your web site. Fast delivery and friendly help.</t>
  </si>
  <si>
    <t>FRANCINE BUTLER</t>
  </si>
  <si>
    <t>Easy to order and find items on your…</t>
  </si>
  <si>
    <t>Great prices, dependable, free shipping!</t>
  </si>
  <si>
    <t>PATRICIA JOHNSTON</t>
  </si>
  <si>
    <t>My dog food arrived quickly and was just what I ordered. will use pedflow again. Thanks</t>
  </si>
  <si>
    <t>JULES</t>
  </si>
  <si>
    <t>My dog food arrived quickly and was…</t>
  </si>
  <si>
    <t>I ordered an "in-stock" item which took two weeks to receive and then it was the wrong item!! First and last time ordering from this company</t>
  </si>
  <si>
    <t>Dale DiNardo</t>
  </si>
  <si>
    <t>Prompt delivery every time!</t>
  </si>
  <si>
    <t>They had the food when no one else did and shipped it quickly. Happy Customer</t>
  </si>
  <si>
    <t>Kelli Farmer</t>
  </si>
  <si>
    <t>First and last time ordering</t>
  </si>
  <si>
    <t>Fast delivery of the perfect puppy food for my little baby! Going to order some more puppy treats so glad to offend you all</t>
  </si>
  <si>
    <t>VICKI</t>
  </si>
  <si>
    <t>Delivery is a little slow. I sent coupons to you but they were never applied to my account. They should have been sent back to me. That’s bad business!</t>
  </si>
  <si>
    <t>SHERRY MORRIS</t>
  </si>
  <si>
    <t>Fast delivery of the perfect puppy food…</t>
  </si>
  <si>
    <t>The prices are comparable to other sites but PetFlow offers coupons and deals that keep bringing me back to shop here. Shipping is fast too!</t>
  </si>
  <si>
    <t>SHARON GABRIELSON</t>
  </si>
  <si>
    <t>Bad business practice.</t>
  </si>
  <si>
    <t>The lid on my automatic dog feeder and water combo was broke when I got it</t>
  </si>
  <si>
    <t>PATRICIA HUNT</t>
  </si>
  <si>
    <t>Good fast reliable service.</t>
  </si>
  <si>
    <t>It was easy to place my order, and delivery was in a timely manner. I will order again from PetFlow!</t>
  </si>
  <si>
    <t>KS</t>
  </si>
  <si>
    <t>Better deals!</t>
  </si>
  <si>
    <t>CHAD HAVERSTICK</t>
  </si>
  <si>
    <t>The lid on my automatic dog feeder and…</t>
  </si>
  <si>
    <t>BRENDA RIDGE</t>
  </si>
  <si>
    <t>A very happy customer!</t>
  </si>
  <si>
    <t>L Holmberg</t>
  </si>
  <si>
    <t>With shortage of pet food currently…</t>
  </si>
  <si>
    <t>With shortage of pet food currently challenging all pet owners, I appreciate your quick shipping policies. I realize that it is hard to keep stock on hand and you certainly helped us secure supplies for our 2 cats. Thanks for the prompt service and we look forward future purchases. Thank you.</t>
  </si>
  <si>
    <t>LARA ZINTSMASTER</t>
  </si>
  <si>
    <t>Prompt when shipping items in stock</t>
  </si>
  <si>
    <t>Prompt when shipping items in stock. Not so prompt in communicating when items are back ordered. And the website shows them still in stock. I placed an order my vet approved February 15. I checked on it February 22 and was advised the WET food was cancelled because my vet turned it down, but that the dry food would be shipping soon. My vet had approved the whole order as I had called them before checking my order so that was incorrect information off the bat.
I then received a notice that my WET food was shipping but the DRY food was cancelled off my order on 3/1 because it was out of stock. 3/3, nearly 2 weeks after the order was approved my in stock wet food is only now shipping from New Jersey. Why didn’t it ship back on the 15th, or even the 22nd when I inquired and why was I provided incorrect info?
Nearly two weeks when you advise to allow 1-3 days from approval to ship is not acceptable. Over a week to advise me an item is out of stock is also unacceptable and your website still indicates it’s in stock, which is even more frustrating because I will now pay shipping on each item individually when I had actually ordered together to save on shipping. And I don’t have confidence you even have it in stock. Also why cancel an order as opposed to let it sit in backorder if it will replenish this fast? So… usually a happy customer hence the 3 stars instead of lower.</t>
  </si>
  <si>
    <t>GEORGE TINKLIN</t>
  </si>
  <si>
    <t>Packaging was poorly done on feed bags</t>
  </si>
  <si>
    <t>Packaging was poorly done on feed bags, needs to send in stronger boxes</t>
  </si>
  <si>
    <t>Margaret Birns</t>
  </si>
  <si>
    <t>Happy with my purchase</t>
  </si>
  <si>
    <t>Everything arrived in good shape, happy with my purchase.</t>
  </si>
  <si>
    <t>Lakeya</t>
  </si>
  <si>
    <t>Great products and fast delivery</t>
  </si>
  <si>
    <t>Great products and fast delivery. Recipe for success</t>
  </si>
  <si>
    <t>Laurena Gatlin</t>
  </si>
  <si>
    <t>It is helpful to have pet food…</t>
  </si>
  <si>
    <t>It is helpful to have pet food delivered. Pet flow gets my order correct and it comes on time. Thanks.</t>
  </si>
  <si>
    <t>JENA HARRIS</t>
  </si>
  <si>
    <t>Thanks for having the food I wanted…</t>
  </si>
  <si>
    <t>Thanks for having the food I wanted when no one else did. Quick delivery too!</t>
  </si>
  <si>
    <t>ALISON G</t>
  </si>
  <si>
    <t>Always reliable for stock and fast…</t>
  </si>
  <si>
    <t>Always reliable for stock and fast shipping</t>
  </si>
  <si>
    <t>HARVEY HAUN</t>
  </si>
  <si>
    <t>My order was shipped fast</t>
  </si>
  <si>
    <t>My order was shipped fast, well packed
It was here in a timely manner. Very pleased with transaction. Will buy from again. H.</t>
  </si>
  <si>
    <t>Elliot Garcia</t>
  </si>
  <si>
    <t>Shipping is too long and items aren't…</t>
  </si>
  <si>
    <t>Shipping is too long and items aren't shipped together</t>
  </si>
  <si>
    <t>Madison K</t>
  </si>
  <si>
    <t>Great first time buyer experience</t>
  </si>
  <si>
    <t>Great first time buyer experience, delivered in a timely manner and in good condition.</t>
  </si>
  <si>
    <t>DONNA C</t>
  </si>
  <si>
    <t>Great customer service, easy online ordering, prompt action and delivery. Thanks PetFlow</t>
  </si>
  <si>
    <t>Amanda O</t>
  </si>
  <si>
    <t>For years I have been happy with…</t>
  </si>
  <si>
    <t>For years I have been happy with Petflow.</t>
  </si>
  <si>
    <t>Barb V.</t>
  </si>
  <si>
    <t>PetFlow prices are very competitive and their shipping speed is excellent. I had a question once and received a reply within MINUTES, not hours or days, like some other companies. Very pleased with PetFlow!</t>
  </si>
  <si>
    <t>ELAINE PASCOAL</t>
  </si>
  <si>
    <t>What a GREAT Company</t>
  </si>
  <si>
    <t>What a GREAT Company! Fast shipping, great products! When I searched MANY sites for my cats favorite brand (with no luck), I found PetFLOW, very happy I did. Would highly recommend.</t>
  </si>
  <si>
    <t>PEPPA</t>
  </si>
  <si>
    <t>Some cans were damaged and dented</t>
  </si>
  <si>
    <t>Some cans were damaged and dented. It would be good if the products are in good shape prior to shipping.</t>
  </si>
  <si>
    <t>Milagros</t>
  </si>
  <si>
    <t>I was so impressed, the package was delivered within just a couple of days. Impeccable execution!</t>
  </si>
  <si>
    <t>CINDY HALLEN</t>
  </si>
  <si>
    <t>Not happy back order food</t>
  </si>
  <si>
    <t>Not happy back order food, reordered and delivered without the discount. Thinking about switching to Chewy.</t>
  </si>
  <si>
    <t>VICTORIA BLEVINS</t>
  </si>
  <si>
    <t>Hard to give a review when I haven't…</t>
  </si>
  <si>
    <t>Hard to give a review when I haven't received my order yet, because it has been delayed 3 times. I know that times are hard for a lot of companies so I'm going to keep my fingers crossed and hope the cat food gets here before our cats eat us ...</t>
  </si>
  <si>
    <t>CJ</t>
  </si>
  <si>
    <t>Quality Dog Food</t>
  </si>
  <si>
    <t>Quality Dog Food, Good Prices, Fast Delivery</t>
  </si>
  <si>
    <t>CHEYENNE</t>
  </si>
  <si>
    <t>They always have what I need in stock…</t>
  </si>
  <si>
    <t>They always have what I need in stock at reasonable prices and I usually receive my order within a week. Great customer service too.</t>
  </si>
  <si>
    <t>SAMANTHA SKINNER</t>
  </si>
  <si>
    <t>Love it</t>
  </si>
  <si>
    <t>Love it. Great place to shop</t>
  </si>
  <si>
    <t>Gary Dexter</t>
  </si>
  <si>
    <t>can't deliver</t>
  </si>
  <si>
    <t>Every time I reach out to PetFlow, they resolve an issue almost instantaneously. My cat food cans came completely dented and partially opened, they replaced all of them quickly; my $10 off coupon didn't go through, they credited it immediately. Their customer service is the best!</t>
  </si>
  <si>
    <t>MEGAN M</t>
  </si>
  <si>
    <t>Every time I reach out to PetFlow</t>
  </si>
  <si>
    <t>The cat food I bought to help my cat lose weight is inferior to Purina products in every measurable metric. These varieties contain ingredients that should never be fed to a cat.</t>
  </si>
  <si>
    <t>ALAN ZELLER</t>
  </si>
  <si>
    <t>The cat food I bought to help my cat…</t>
  </si>
  <si>
    <t>Great service, great quality, great prices</t>
  </si>
  <si>
    <t>Charles Herold</t>
  </si>
  <si>
    <t>The Instinct dog food is great. Howeer the Fedex shipping sucks. The package sat on the truck for 2 days being listed as out for delivery, as common occurrence. I would order from Petflow more if they did not use Fedex.</t>
  </si>
  <si>
    <t>SUSAN WHITAKERHILL</t>
  </si>
  <si>
    <t>The Instinct dog food is great</t>
  </si>
  <si>
    <t>When I order my food is always delivered very quickly without any delay or problem. We have been getting our two dogs food from Petflow for years now and are very happy with the service we have received.</t>
  </si>
  <si>
    <t>GAIL MITCHELL</t>
  </si>
  <si>
    <t>When I order my food is always…</t>
  </si>
  <si>
    <t>I really enjoy PetFlow! You have all the dog food products I need, &amp; it’s delivered in a very timely fashion.</t>
  </si>
  <si>
    <t>CARMEN RUBY BECK</t>
  </si>
  <si>
    <t>I really enjoy PetFlow</t>
  </si>
  <si>
    <t>I wish you could get expiration dates on products before they ship especially on auto ships?</t>
  </si>
  <si>
    <t>Expiration dates would be helpful</t>
  </si>
  <si>
    <t>As a new customer with 4 cats and a feral family of cats I've been pleased with the product selection and the timely shipping. Thanks!</t>
  </si>
  <si>
    <t>Terry Frum</t>
  </si>
  <si>
    <t>A Pleased New Customer</t>
  </si>
  <si>
    <t>My first order and it was easy and arrived quickly.</t>
  </si>
  <si>
    <t>Izzy</t>
  </si>
  <si>
    <t>My first order and it was easy and…</t>
  </si>
  <si>
    <t>Great customer service over the phone as I was concerned About being out of food and they were receptive and put the order as a STAT order.</t>
  </si>
  <si>
    <t>TRISHA ROBINSON</t>
  </si>
  <si>
    <t>Great customer service over the phone…</t>
  </si>
  <si>
    <t>Very happy with the delivery process and how fast it arrived.</t>
  </si>
  <si>
    <t>SUSAN QUIRK</t>
  </si>
  <si>
    <t>Very happy with the delivery process…</t>
  </si>
  <si>
    <t>A year ago I would have given you five stars, but in the last two months, or maybe three, you have not been able to deliver the kind of pet food my dog eats (Honest Kitchen turkey or chicken), and the last time I ordered Stella's beef, you sent only a very small package.
I haven't received any understandable reasons for these mistakes.</t>
  </si>
  <si>
    <t>dog owner</t>
  </si>
  <si>
    <t>they didn't work with me</t>
  </si>
  <si>
    <t>I am very satisfied, fast delivery, discounts ...</t>
  </si>
  <si>
    <t>Carol Kner</t>
  </si>
  <si>
    <t>A year ago I would have given you five…</t>
  </si>
  <si>
    <t>Great prices, communication, and follow up. Always a pleasure to do business with.</t>
  </si>
  <si>
    <t>LUBOS ANDEL</t>
  </si>
  <si>
    <t>I am very satisfied</t>
  </si>
  <si>
    <t>Thank you so much for getting Charles his food so quickly. He's had Pancreatitis for almost a year which means he is on a very strict diet of prescription foods only. I order on Monday and you have Charles his food by Thursday, Friday at the latest. Thank you Once again!</t>
  </si>
  <si>
    <t>Ernie</t>
  </si>
  <si>
    <t>Pleasure to do business with</t>
  </si>
  <si>
    <t>Easy to place an order and quick and timely delivery.</t>
  </si>
  <si>
    <t>LAURA COLDREN</t>
  </si>
  <si>
    <t>Thank you so much for getting Charles…</t>
  </si>
  <si>
    <t>TAVMEET</t>
  </si>
  <si>
    <t>Easy to place an order and quick and…</t>
  </si>
  <si>
    <t>PH</t>
  </si>
  <si>
    <t>Fast and easy!! Helpful customer service and great products</t>
  </si>
  <si>
    <t>RACHEL SEALE</t>
  </si>
  <si>
    <t>Fast delivery and quality product. Damage that required disposal of some product but unclear if result of shipper or not.</t>
  </si>
  <si>
    <t>Carroll Griesedieck</t>
  </si>
  <si>
    <t>Appreciated the quick turnover and…</t>
  </si>
  <si>
    <t>Appreciated the quick turnover and delivery of y prescription dog food and the good communication about timing</t>
  </si>
  <si>
    <t>Cheryl Roberts</t>
  </si>
  <si>
    <t>Good price - fast shipping.</t>
  </si>
  <si>
    <t>BRIAN BROWN</t>
  </si>
  <si>
    <t>Food packages always damaged</t>
  </si>
  <si>
    <t>I like the decent prices and fast delivery. However every package arrives damaged everytime. The contents are often damaged too. They would get a higher rating if that is remedied.</t>
  </si>
  <si>
    <t>Joey lee</t>
  </si>
  <si>
    <t>continual delayed deliveries</t>
  </si>
  <si>
    <t>For the last three shipments, it ran into several issues.
For various reasons, my shipments were delayed.
I no longer can rely on the fact that my dog's food will be delivered in a timely manner.
I am looking into over options</t>
  </si>
  <si>
    <t>JULIE KUNITADA</t>
  </si>
  <si>
    <t>Great selection, Received everything quickly, on time and as ordered.</t>
  </si>
  <si>
    <t>Karla Clippinger</t>
  </si>
  <si>
    <t>Updated Feb 27, 2022</t>
  </si>
  <si>
    <t>Not happy-go-lucky</t>
  </si>
  <si>
    <t>Two month's in a row they messed my orders up so bad I had too buy dog food to get them through until delivery. It caused my dogs upset tummies. Loose poo and itching doesn't make them, or me very happy.
I have had issues before but this is the last time. I do not recommend petflow. They also are not any cheaper and their shipping time is the worst. And their proplan sensitive stomach and skin is full of crumbs. I mean it's so bad it was in every bowl I fed my 7 dogs. From now on I will be buying locally.
I will give them two stars for their customer service. It is very good, and they always answer my emails immediately. I think they are a decent company, but I think maybe they have some quality control issues.</t>
  </si>
  <si>
    <t>Got the prescription promptly after…</t>
  </si>
  <si>
    <t>Got the prescription promptly after poor start. Now all is well! Good service fixing the early problem.</t>
  </si>
  <si>
    <t>First Time Purchase</t>
  </si>
  <si>
    <t>I cannot give a review as yet because my product has been back ordered for some time. I am a first time purchaser at Pet Flow and found the website to be easy to navigate. I browsed through the site and found so many good products ... products I will definitely use. My Husky is on a prescription diet and it was very easy to order and submit the prescription. I don't know how quick shipping will be nor customer service should I need it.
I will review again when I receive the product I ordered.</t>
  </si>
  <si>
    <t>MELODY BARRETT</t>
  </si>
  <si>
    <t>Great Service ! Fast Shipping !</t>
  </si>
  <si>
    <t>RITA CARON</t>
  </si>
  <si>
    <t>I was pleasantly surprised at how quick…</t>
  </si>
  <si>
    <t>I was pleasantly surprised at how quick I received it.</t>
  </si>
  <si>
    <t>Laurie</t>
  </si>
  <si>
    <t>I love ordering from petflow for all my…</t>
  </si>
  <si>
    <t>I love ordering from petflow for all my pets needs! Dog food, cat food, treats and anything else that my pets need... I love that they are a small business and they have great customer service and always keep everything I order fresh!! I have been buying from Petflow for so many years I will not buy from anyone else!! Thank you Petflow! 🐾🐾🐾❤️ My pets thank you to🐾🐾😊</t>
  </si>
  <si>
    <t>Snowman</t>
  </si>
  <si>
    <t>Petflow had what I was looking for and…</t>
  </si>
  <si>
    <t>Petflow had what I was looking for and at a good price and the shipping was fast.</t>
  </si>
  <si>
    <t>DENISE DAVIS</t>
  </si>
  <si>
    <t>It took way too long to receive my…</t>
  </si>
  <si>
    <t>It took way too long to receive my order. Chewy does a much better job.</t>
  </si>
  <si>
    <t>Kristy</t>
  </si>
  <si>
    <t>We received our order on time and free…</t>
  </si>
  <si>
    <t>We received our order on time and free delivery was convenient.</t>
  </si>
  <si>
    <t>BERNADETTE BRUNO</t>
  </si>
  <si>
    <t>I LOVE PetFlow</t>
  </si>
  <si>
    <t>I LOVE PetFlow! Easy ordering and QUICK delivery! Never any issues at all! So glad I found this company!</t>
  </si>
  <si>
    <t>Lindsey and Pip</t>
  </si>
  <si>
    <t>Love petflow!!</t>
  </si>
  <si>
    <t>Love pet flow! Have used them for over a decade. Highly recommend. Any customer service calls are quickly resolved but I have only had 3 the whole time!</t>
  </si>
  <si>
    <t>ELIZABETH ALI</t>
  </si>
  <si>
    <t>Customer for years!</t>
  </si>
  <si>
    <t>Customer for years. Pet flow is our favorite dog food center!</t>
  </si>
  <si>
    <t>ELSA ABILEZ</t>
  </si>
  <si>
    <t>The price is fair</t>
  </si>
  <si>
    <t>The price is fair, and delivery was quick.</t>
  </si>
  <si>
    <t>Ellen J.</t>
  </si>
  <si>
    <t>Definitely Would Recommend Petflow!</t>
  </si>
  <si>
    <t>The prices are good, shipping was quick, and I was kept up to date from the order confirmation through the delivery notification.</t>
  </si>
  <si>
    <t>Trina</t>
  </si>
  <si>
    <t>We and our cats loved all the toys we…</t>
  </si>
  <si>
    <t>We and our cats loved all the toys we selected and they arrived safely and
in a good amount of shipping time. Will order more in the future!</t>
  </si>
  <si>
    <t>MARIANNE BURDICK</t>
  </si>
  <si>
    <t>I’ve ordered twice in the last couple of weeks. Prescription cat food and Nexguard and both times they reached out to my Vet in a timely manner and I received my orders within a few days.
Will definitely use them again.</t>
  </si>
  <si>
    <t>PAUL NOONE</t>
  </si>
  <si>
    <t>Good prices, fast shipping.</t>
  </si>
  <si>
    <t>SANDRA STEPHON</t>
  </si>
  <si>
    <t>PetFlow maintains a huge assortment of…</t>
  </si>
  <si>
    <t>PetFlow maintains a huge assortment of animal foods and provides prompt shipment.</t>
  </si>
  <si>
    <t>CHARLES RHODES</t>
  </si>
  <si>
    <t>Wrong shipping info. Dog food.</t>
  </si>
  <si>
    <t>Was told shipment would arrive in 3-4 days. Was told on fifth day being delivered between 10 am and 9 or 10 Pm. Didn’t arrive until 3 days later and no one worked over weekend to assist me.
Good prices, bad info. Order well in advance of day needed.</t>
  </si>
  <si>
    <t>Cheryl Zalenski</t>
  </si>
  <si>
    <t>great customer support</t>
  </si>
  <si>
    <t>I changed my address 2 weeks before moving in November, placed an order for 2 weeks after the move, and my food was still delivered to the wrong address. Customer service never fixed it. Placed another order in Feb and it was also delivered to the wrong address. Customer Svc finally gave me a credit for both orders, but I won't use them anymore. All other delivery svcs have sent pkgs to the correct address.</t>
  </si>
  <si>
    <t>SHELLER WILLETT</t>
  </si>
  <si>
    <t>I changed my address 2 weeks before…</t>
  </si>
  <si>
    <t>Pet flow did everything correctly. Fedex lies and claims they deliver packages when they do not.</t>
  </si>
  <si>
    <t>Pet flow did everything correctly</t>
  </si>
  <si>
    <t>I feed a very good, high quality dog food. I live in a small town and unfortunately the little store where I purchased my dog's food stopped selling all pet products. I was going to have to drive 45+ minutes each way to another city to get dog food. A friend in the dog rescue world told me about PetFlow. I am SO HAPPY with them! It is super easy to sign up and its delivered to your doorstep. I'll be adding more dog stuff to my orders.</t>
  </si>
  <si>
    <t>Anita and Diva</t>
  </si>
  <si>
    <t>Simply the BEST!</t>
  </si>
  <si>
    <t>Good selection and prices during a difficult time but I was disappointed that two items I ordered turned out to be out of stock but that was not indicated at the time I placed the order. I only found out later when the in-stock items were shipped and as a result I missed out on the chance to order the other items elsewhere, where they were in stock but now are out. Other than that it was a positive experience,</t>
  </si>
  <si>
    <t>Overall a positive experience with one glitch</t>
  </si>
  <si>
    <t>Petflow is great. They consistently have my pups dog food in stock as well as some cool toys .</t>
  </si>
  <si>
    <t>ANNE</t>
  </si>
  <si>
    <t>Everything is wonderful except for the fact that it’s difficult to cancel reoccurring orders. This shouldn't be made into such a hassle that I have to call for that to be done.</t>
  </si>
  <si>
    <t>Everything is wonderful except for the…</t>
  </si>
  <si>
    <t>Happy I made the switch!
I recently switch from a competitor to PetFlow for all my daily pet needs. I made this switch because their prices were simply better (lower) than the leading competitor for same or similar products. Delivery service is as good, if not better, that my previous vendor. No products have arrived damaged, which is great!
I have subsequently found that their customer service is exceptional! A situation arose that caused me to contact customer service, the issue was resolved immediately, painlessly and was actually a pretty pleasant experience.</t>
  </si>
  <si>
    <t>Happy I made the switch!</t>
  </si>
  <si>
    <t>No problem with company but will only ship with FEDEX and Fed-Ex lost my package. SO never received my order from PetFlow and what I ordered has been on backorder ever since.</t>
  </si>
  <si>
    <t>THOMAS MCNEIL</t>
  </si>
  <si>
    <t>shipping company used is awful</t>
  </si>
  <si>
    <t>Bought a case of cat food from PetFlow, as Chewy was out of stock at the time, and product did not ship for over a week. At the end of the week, I cancelled the order and emailed customer support, which confirmed order would be cancelled. Two weeks later, my account is charged for the ordered that was cancelled. Now, they refuse to refund the order, I have to go through my bank to get the charge reversed.</t>
  </si>
  <si>
    <t>Zac</t>
  </si>
  <si>
    <t>Charged for cancelled order</t>
  </si>
  <si>
    <t>My order arrived on time in great condition and my pup loves her new food.</t>
  </si>
  <si>
    <t>Sonia S.</t>
  </si>
  <si>
    <t>My order arrived on time in great…</t>
  </si>
  <si>
    <t>Super easy shipping and processing experience. They contact the vet directly and deliver incredibly quickly.</t>
  </si>
  <si>
    <t>Priscilla Cerdas</t>
  </si>
  <si>
    <t>Super easy shipping and processing…</t>
  </si>
  <si>
    <t>Treats were shipped really fast and was a better price and service compared to Amazon.</t>
  </si>
  <si>
    <t>quincy</t>
  </si>
  <si>
    <t>Treats were shipped really fast and was…</t>
  </si>
  <si>
    <t>Fast delivery, especially good for heavy stuff. I just wish there was a wider variety of cat treats and toys. The dental treat that I wanted to get was sold out, it's been sold out for a while. Hope, it's restocked soon.</t>
  </si>
  <si>
    <t>HELEN KWOK</t>
  </si>
  <si>
    <t>DEANA M MARKET</t>
  </si>
  <si>
    <t>The ease of ordering and how fast my…</t>
  </si>
  <si>
    <t>The ease of ordering and how fast my order arrived was awesome!</t>
  </si>
  <si>
    <t>I had the best girl with customer…</t>
  </si>
  <si>
    <t>I had the best girl with customer service who was able to secure a nice discount for our auto ship order! Thank you!</t>
  </si>
  <si>
    <t>The system has twice now changed my…</t>
  </si>
  <si>
    <t>The system has twice now changed my auto delivery date to a year in the future, making it impossible for me to correct it online and schedule an immediate delivery because I am only allowed to select a delivery date AFTER the last delivery, which according to their system, was 6-3-2023, 16 months from now. No one answers the phone and the "Chat Icon" mentioned in their help section doesn't exist.</t>
  </si>
  <si>
    <t>Carl Desmond</t>
  </si>
  <si>
    <t>Placed my first order with Petflow and…</t>
  </si>
  <si>
    <t>Placed my first order with Petflow and had a issue locating my order details. I contacted Petflow customer service and received a a response within 24 hours that resolved my issue. Very impressed with their response to my questions and received my order on time. Would purchase here again.</t>
  </si>
  <si>
    <t>JESS OLSON</t>
  </si>
  <si>
    <t>Shipping communication</t>
  </si>
  <si>
    <t>I love Petflow's selection and mission. Please try to have your shipping times better reflect how long it will take. With the supply chain issues, it would be better to say a package will arrive later and be happily surprised if it arrives early vs. saying it will arrive early and it is always late.</t>
  </si>
  <si>
    <t>Persefini A. Redden</t>
  </si>
  <si>
    <t>Quick shipping, timely delivery, and helping pets.</t>
  </si>
  <si>
    <t>PetFlow’s shipping was quick and efficient. I love that my order is helping others in need. I’m glad that my pets’ food and supplements are available through Pet Flow. The only thing I ask is to add Merrick Canned Dog food with healthy grains.</t>
  </si>
  <si>
    <t>TAMARA DACKEN</t>
  </si>
  <si>
    <t>I had a problem and their customer…</t>
  </si>
  <si>
    <t>I had a problem and their customer service rectified the problem.
Very pleased with how it was handled</t>
  </si>
  <si>
    <t>LEEANN</t>
  </si>
  <si>
    <t>Fast shipping, product arrives in great shape no holes or banged up boxes. Auto ship is flexible and ways to edit. Great notifications for shipping and arrival. Always fresh food with good dates.</t>
  </si>
  <si>
    <t>Trish M</t>
  </si>
  <si>
    <t>Most of the representatives I…</t>
  </si>
  <si>
    <t>Most of the representatives I spoke/texted with, were wonderful. I was disappointed because while waiting for prescription dog food to ship, I was given a few different responses depending on who answered Petflow customer service line.
But now I received what was needed - thank you for that</t>
  </si>
  <si>
    <t>NICOLE HALE</t>
  </si>
  <si>
    <t>Glad I found them!!</t>
  </si>
  <si>
    <t>Took a little longer than estimated for it to ship, but that's probably the manufacturer... availability being what it is right now for pet food. I am extremely happy to have found another resource for prescription kibble. Fast handling &amp; shipping when ready.</t>
  </si>
  <si>
    <t>GAYLE ANDRIANI</t>
  </si>
  <si>
    <t>Pet Flow order came even faster than expected.</t>
  </si>
  <si>
    <t>David Elfin</t>
  </si>
  <si>
    <t>Pet Flow order came even faster than…</t>
  </si>
  <si>
    <t>I ordered Prescription Science Diet CD canned food. It arrived on time. This is the first time I ordered from PetFlow. I hope to order from them later intime.</t>
  </si>
  <si>
    <t>MARY ANGELIA COYLE</t>
  </si>
  <si>
    <t>Science Diet Prescription CD</t>
  </si>
  <si>
    <t>My cat Winnie loves Nutro wet cat food and I was able to find the wet food Winnie loves. PetFlow sent it right out to us quickly. I am Happy I found PetFlow.</t>
  </si>
  <si>
    <t>JrsNonna</t>
  </si>
  <si>
    <t>My cat Winnie loves Nutro wet cat food…</t>
  </si>
  <si>
    <t>Food is shipped quickly every time and communication is excellent. Wish they'd get rid of the one button in checkout that makes you check "just ship once" every time.</t>
  </si>
  <si>
    <t>choc dog</t>
  </si>
  <si>
    <t>Easy to use and fast shipping</t>
  </si>
  <si>
    <t>I have relied upon PetFlow for hard to find foods even from online sources. Their product delivery is fast and reliable. Their website is efficient and easy to maneuver. No problems have cropped up, as happens sometimes on amazon. I have always been pleased with my experiences with PetFlow.</t>
  </si>
  <si>
    <t>Sherman Shart</t>
  </si>
  <si>
    <t>Food is shipped quickly every time and…</t>
  </si>
  <si>
    <t>Pet Flow was the only place that had the prescription food I needed.
They were very helpful by making my order a critical ship so that I would have the food in time for my pet to be boarded.</t>
  </si>
  <si>
    <t>UNITED STATES</t>
  </si>
  <si>
    <t>Easy, reliable, fast service for hard to find products</t>
  </si>
  <si>
    <t>I have been shopping at PetFlow and am very pleased with their products, price &amp; service. They are prompt on shipping and keep you informed if there are any issues with your order. My dogs love the bones &amp; beef tendons.</t>
  </si>
  <si>
    <t>LISA HAYES</t>
  </si>
  <si>
    <t>Pet Flow was the only place that had…</t>
  </si>
  <si>
    <t>Never received what I ordered. 4 days later they told me it was ever in stock. I will never order again from this loser company.</t>
  </si>
  <si>
    <t>CAROL S</t>
  </si>
  <si>
    <t>Gail Sheffer</t>
  </si>
  <si>
    <t>I appreciated being informed that you…</t>
  </si>
  <si>
    <t>I appreciated being informed that you were out of an item. I was refunded promptly. I had ordered 2 to take advantage of free shipping. I inquired if I was going to be charged shipping on the one item. It took some time to verify that I wouldn't be charged (thank you) but I was never informed when you will have the 2nd item in stock.</t>
  </si>
  <si>
    <t>JM</t>
  </si>
  <si>
    <t>No complaints</t>
  </si>
  <si>
    <t>No complaints. :-)
I got what I wanted, and it came soon.</t>
  </si>
  <si>
    <t>Cecelia Duvall</t>
  </si>
  <si>
    <t>Charged me shipping because they did not have the product after I ordered it.</t>
  </si>
  <si>
    <t>This company stinks. I ordered enough to get free shipping. Then they email me and say they do not have the dog feeder that was the entire reason for the purchase. So I ask them to cancel it. It was already shipped, so I ask can I return it , they said yes and sent me the shipping label. Then said I would get a refund minus the shipping. There would not have been a shipping fee at all if they had the product that I ordered, so I should not be charged a shipping fee at all since none of this was my fault. Now, I am having to waste my time writing this review so that other know how they treat their customers!!!!!!!</t>
  </si>
  <si>
    <t>I ordered prescription cat food</t>
  </si>
  <si>
    <t>I ordered prescription cat food said it was in stock but it wasn't after waiting for shipping confirmation that never ca.e. After several emails I was informed that you canceled my order .</t>
  </si>
  <si>
    <t>PATRICK WILLER</t>
  </si>
  <si>
    <t>PetFlow needs some serious work on its…</t>
  </si>
  <si>
    <t>PetFlow needs some serious work on its auto-ship program. I am supposed to get a shipment of dog food every three weeks. My auto-ship records show my last Shipped: 08/28/2022 and my next Ship Date: 09/19/2022. Considering this is only February, your auto-ship program needs some serious work.</t>
  </si>
  <si>
    <t>JANET STARD</t>
  </si>
  <si>
    <t>Will Definitely Order Again</t>
  </si>
  <si>
    <t>You provided excellent service. My order was shipped when I was told and it was complete. I will definitely be reordering. Thank you!</t>
  </si>
  <si>
    <t>cheryl dettmers</t>
  </si>
  <si>
    <t>Fast easy ordering and my dog loves the…</t>
  </si>
  <si>
    <t>Fast easy ordering and my dog loves the food.</t>
  </si>
  <si>
    <t>WYNNE GUGLIELMO</t>
  </si>
  <si>
    <t>PetFlow is a wonderful place to get…</t>
  </si>
  <si>
    <t>PetFlow is a wonderful place to get everything for your furbaby. Their prices and stock are superb and they ship immediately. I’m so glad I found them.</t>
  </si>
  <si>
    <t>JAN WILLIAMS</t>
  </si>
  <si>
    <t>We’ve ordered from this company many…</t>
  </si>
  <si>
    <t>We’ve ordered from this company many times and have only had one issue which was out of their control. Canned food arrived badly dented but Pet Flow immediately issued us a replacement. Other than that, their delivery service is fast and good. I would recommend this company to everyone.</t>
  </si>
  <si>
    <t>C. Kegley</t>
  </si>
  <si>
    <t>I reached out to customer support</t>
  </si>
  <si>
    <t>I reached out to customer support. They responded very quickly and were very helpful and easy to work with.</t>
  </si>
  <si>
    <t>SUSAN WICKES</t>
  </si>
  <si>
    <t>No package</t>
  </si>
  <si>
    <t>I have not received my order and have not heard back from Petflow.</t>
  </si>
  <si>
    <t>You had the prescription food I needed…</t>
  </si>
  <si>
    <t>You had the prescription food I needed when no one else did - thank you!!</t>
  </si>
  <si>
    <t>MARY-LOU ROBERTS</t>
  </si>
  <si>
    <t>Requested Help With Account</t>
  </si>
  <si>
    <t>I texted Petflow with an issue I was having with my account. They contacted me shortly afterwards, asked for my email address associated with my account, and fixed the issue within minutes. The associate who helped me was polite, informative, and a pleasure to communicate with about my concern. I will gladly continue to use Petflow for both my puppies needs! Thank you for great customer service!!!</t>
  </si>
  <si>
    <t>JEANINE EDLER</t>
  </si>
  <si>
    <t>Open Farm Dog food</t>
  </si>
  <si>
    <t>Shipment Was MUCH FASTER than Chewy within my own State whose ship center is Only maybe an hour away from where I live!!! THANK YOU as I had ran out of food for my dogs, and this shipment was well packaged And Super Fast!!</t>
  </si>
  <si>
    <t>ElleJay</t>
  </si>
  <si>
    <t>I adopted a special needs cat</t>
  </si>
  <si>
    <t>I adopted a special needs cat, and we rely on Hill's Prescription Diet Digestive Care canned food. He came to me with a 48 can supply, and it works really well for him to maintain his weight and keep his tummy happy. It's the only food he can eat without it coming back up, if you know what I mean. My usual supplier (they advertise on TV a LOT) emailed me 24 hours before my scheduled shipment of the food telling me it was out of stock and my order was canceled! Like, tough luck for you and your kitty. The other pet suppliers who advertise on cable were out of stock as well. I searched online to find another source, and happily found PetFlow. Once they confirmed the prescription with my vet, the order was shipped, and I had it in 2 days -- well-packed and exactly what I ordered.
My cat and I are looking forward to a long relationship with PetFlow.</t>
  </si>
  <si>
    <t>VINCENT DIPIETRO</t>
  </si>
  <si>
    <t>On time when product is available</t>
  </si>
  <si>
    <t>Sherrie</t>
  </si>
  <si>
    <t>Great product but expensive</t>
  </si>
  <si>
    <t>Great product but I knew that glad I could get it delivered.seemed almost twice as expensive as my local source</t>
  </si>
  <si>
    <t>DZIANIS SAZANCHUK</t>
  </si>
  <si>
    <t>Great shop</t>
  </si>
  <si>
    <t>Great shop,low price,fast delivery.</t>
  </si>
  <si>
    <t>JEAN SMITH</t>
  </si>
  <si>
    <t>No issues</t>
  </si>
  <si>
    <t>No issues, order was received quickly except for the Bengals shirt, wasn't in time for the game but understand it.</t>
  </si>
  <si>
    <t>PAUL BROUILLETTE</t>
  </si>
  <si>
    <t>Great deals on dog food with quick…</t>
  </si>
  <si>
    <t>Great deals on dog food with quick delivery.</t>
  </si>
  <si>
    <t>SHERRY</t>
  </si>
  <si>
    <t>This was my first order and was pleased…</t>
  </si>
  <si>
    <t>This was my first order and was pleased with the entire experience!
Looking forward to ordering when I need food again!!</t>
  </si>
  <si>
    <t>JODY HUNT</t>
  </si>
  <si>
    <t>I ordered the Van Ness medium crock…</t>
  </si>
  <si>
    <t>I ordered the Van Ness medium crock heavyweight dishes. The dishes were delivered in a timely manor and in excellent condition. The price was outstanding, we are very happy with PetFlow and will order again.</t>
  </si>
  <si>
    <t>LORI LAMEY</t>
  </si>
  <si>
    <t>was disappointed in how long it took my…</t>
  </si>
  <si>
    <t>was disappointed in how long it took my order to get here.</t>
  </si>
  <si>
    <t>Alice Cheren</t>
  </si>
  <si>
    <t>Petflow was efficient with excellent…</t>
  </si>
  <si>
    <t>Petflow was efficient with excellent customer service! Will continue to order from this fabulous pet source!!!!</t>
  </si>
  <si>
    <t>SUSAN MORTENSEN</t>
  </si>
  <si>
    <t>My order never arrived</t>
  </si>
  <si>
    <t>My order never arrived. Fed Ex said it did but there is no 30 pound box of dog food anywhere.</t>
  </si>
  <si>
    <t>ROBIN ABBOTT</t>
  </si>
  <si>
    <t>Great service and products!</t>
  </si>
  <si>
    <t>By requiring our vet to set up an account with your company, you made it impossible to purchase our cat’s prescription diet. So we went with another company that easily connected with our vet and got the job done. Your customer service was friendly and easy to communicate with.</t>
  </si>
  <si>
    <t>BRENDAN</t>
  </si>
  <si>
    <t>Forget About Prescription Diets</t>
  </si>
  <si>
    <t>I have had my dog food delivered by PetFlow for several years. All was good until the last 3-4 mo. of 2021. My orders were delayed to the point of having to go to a retail store and purchase dog food on 4 occasions. One order was 20 days late. Thankfully as of 2/2022, things are looking up...knock on wood... happy days are here again!</t>
  </si>
  <si>
    <t>Mike Gehring</t>
  </si>
  <si>
    <t>It has been a tough few months for dog food deliveries.</t>
  </si>
  <si>
    <t>Very angry with you, because I could not buy the food for my puppy, since you asked the veterinary clinic for a code in the mail that you sent, and they did not know what the code was, I hope that in the future you will cause fewer problems and help more</t>
  </si>
  <si>
    <t>ARTURO SANTAELLA</t>
  </si>
  <si>
    <t>Very angry with you</t>
  </si>
  <si>
    <t>Pet Flow never disappoints me or my fur babies! My orders are sent quickly and always correct. Rarely do I have to call customer service and only if I need to make a change to my auto orders. I am a very loyal customer and don't plan on changing! ❤</t>
  </si>
  <si>
    <t>JAN UNDERWOOD</t>
  </si>
  <si>
    <t>Pet Flow never disappoints me or my fur…</t>
  </si>
  <si>
    <t>Easy ordering quick delivery. Makes it so easy thank you</t>
  </si>
  <si>
    <t>FELICIA WOOD</t>
  </si>
  <si>
    <t>Easy ordering quick delivery</t>
  </si>
  <si>
    <t>I ordered a product
There was some type of glitch in my credit card process
Waited and waited for the delivery
Finally called and then was told of the issue.
No email
No notifications
Just left in the dark
I ran out of dog food for my dog while at my home in New Hampshire.
Had to drive three hours to get dog food because the order never arrived
Poor customer service!!
I’ll remain with Chewy
Never again</t>
  </si>
  <si>
    <t>C. L</t>
  </si>
  <si>
    <t>Poor company management</t>
  </si>
  <si>
    <t>This was my first order with PetFlow. They had product in stock that I couldn’t find elsewhere. And they shipped fast. Very pleased.</t>
  </si>
  <si>
    <t>M</t>
  </si>
  <si>
    <t>In stock and fast.</t>
  </si>
  <si>
    <t>With the problems today about getting pet food it is reassuring to me that when I order food for my cat or dog it is never out of stock. Well done and thank you!</t>
  </si>
  <si>
    <t>LORRAINE FERGUSON</t>
  </si>
  <si>
    <t>Updated Feb 15, 2022</t>
  </si>
  <si>
    <t>The site shows in stock when in fact it is not.
When you call customer service they tell you it was just purchased &amp; it’s now unavailable
Yet a few days &amp; now weeks later it still shows it is in stock
This place cannot be trusted</t>
  </si>
  <si>
    <t>Raymond</t>
  </si>
  <si>
    <t>Great product and fast shipping</t>
  </si>
  <si>
    <t>I’ll have an opinion when I confirm the “new” bag my dogs food came in. And more often than not, the bags are sliced/ripped open slipping in the box they’re delivered in resulting in having to get a new bag which costs your company more money. Your staff needs to get with the program. It’s been going on for years.</t>
  </si>
  <si>
    <t>KEN</t>
  </si>
  <si>
    <t>The site shows in stock when in fact it…</t>
  </si>
  <si>
    <t>Use a different shipping company. Took 7 days to get to me !</t>
  </si>
  <si>
    <t>KC</t>
  </si>
  <si>
    <t>In stock items and great pricing!</t>
  </si>
  <si>
    <t>JACLYN F</t>
  </si>
  <si>
    <t>I’ll have an opinion when I confirm the…</t>
  </si>
  <si>
    <t>DAN MANCHESTER</t>
  </si>
  <si>
    <t>Excellent product and service</t>
  </si>
  <si>
    <t>RON HAUSER</t>
  </si>
  <si>
    <t>Use a different shipping company</t>
  </si>
  <si>
    <t>EA</t>
  </si>
  <si>
    <t>Updated Mar 9, 2023</t>
  </si>
  <si>
    <t>My cat had emergency surgery</t>
  </si>
  <si>
    <t>My cat had emergency surgery for bladder stones. I had to immediately switch his food and everything was prescription level. I couldn't find it anywhere locally. This happened over the weekend. The price from pet flow was among the lowest I could find if not the exact same as competitors. The ordering process was easy and smooth. They had to contact the vet before fulfilling the order. I believe it was shipped out within 3-4 days of me placing the order. If I'm remembering correctly I received the food within 7 days of ordering. Not sure but it seemed very reasonable. Everything went well and I will continue to order from Pet Flow in the future.
UPDATE: I was triple charged for a prescription food order. Suppose to be $50 was charged for 3 orders so $150. Also they don't allow you to take your card off and stop autoship without a customer service agent doing it. They take the order then when its time to ship they say its out of stock. So no time to prepare ahead and get it somewhere else. I had to switch to chewy.</t>
  </si>
  <si>
    <t>Bradley Grubbs</t>
  </si>
  <si>
    <t>Shipment</t>
  </si>
  <si>
    <t>The shipment was packed the best that I have seen. No bent cans. Package was far better than other vendors that I have bought from.</t>
  </si>
  <si>
    <t>MICHAEL G</t>
  </si>
  <si>
    <t>I have been using auto ship with this…</t>
  </si>
  <si>
    <t>I have been using auto ship with this company for quite sometime and have liked the product for my dogs. Recently tho the food we choose has been out of stock and this disappointing. Hopefully this will be in stock again soon!</t>
  </si>
  <si>
    <t>customer Sally</t>
  </si>
  <si>
    <t>Fromm Duck &amp; Veg.</t>
  </si>
  <si>
    <t>My Papillons love Fromm Duck &amp; Veg. I mixed it with their old dry food &amp; they would sit &amp; pick out the Fromm Duck.</t>
  </si>
  <si>
    <t>LEE RUNDALL</t>
  </si>
  <si>
    <t>The order was filled as promised!</t>
  </si>
  <si>
    <t>The order was filled as promised. I ordered aquarium supplies (Gravel and lighting) and arrived as ordered. Shipping was a little slow, but there were delays due to weather from FedEx. The New Jersey warehouse was out of one of the items I ordered, but quickly filled the order via the Las Vegas warehouse. Thank you PetFlow. Good Job!</t>
  </si>
  <si>
    <t>ELIZABETH CARUSO</t>
  </si>
  <si>
    <t>PetFlow provides everything I need for my senior dog, Nora. Prices are competitive, items are in stock, quick delivery and outstanding customer service. We are happy and loyal customers.</t>
  </si>
  <si>
    <t>MsNora</t>
  </si>
  <si>
    <t>Very happy customer</t>
  </si>
  <si>
    <t>I ordered cat food.
The order didnt go through - PetFlow said that the vet didnt think they were a reputable vendor.
Never heard that before...</t>
  </si>
  <si>
    <t>Avi</t>
  </si>
  <si>
    <t>I ordered cat food.</t>
  </si>
  <si>
    <t>Have been using PetFlow for years.
Love the price and free delivery. Phone staff are always friendly. Products are what I want for my furrbabbies.... Usually get them a toy. Great selection.</t>
  </si>
  <si>
    <t>Sharon Eagle</t>
  </si>
  <si>
    <t>Have been using PetFlow for years</t>
  </si>
  <si>
    <t>Website listed my cat's prescription cat food as available, so I ordered it. Several days later, I receive notice that it is out of stock. So now my cat has to go a few days without her prescription cat food. This was my first time using your company, and it will most likely, be the last.</t>
  </si>
  <si>
    <t>Anne H. San Antonio TX</t>
  </si>
  <si>
    <t>Website listed my cat's prescription…</t>
  </si>
  <si>
    <t>Very nice company to work with. :)</t>
  </si>
  <si>
    <t>SUSAN SMITH</t>
  </si>
  <si>
    <t>Very nice company to work with</t>
  </si>
  <si>
    <t>I was very pleased with the order that I received and how promptly it was delivered and I certainly recommend this company for your pets food. Ordering online was very simple and I'd say I received my shipment within maybe less than a week after I placed the order and they're a pleasure to deal with</t>
  </si>
  <si>
    <t>SHARI COSTANEY</t>
  </si>
  <si>
    <t>I was very pleased with the order that…</t>
  </si>
  <si>
    <t>Available inventory and good pricing made this the go to choice to feed my pets.</t>
  </si>
  <si>
    <t>LYDIO DEMA-ALA</t>
  </si>
  <si>
    <t>Good product. Bad customer service!!!</t>
  </si>
  <si>
    <t>I like shopping at Petflow, have been doing it for over 4 years and like ordering Nutrisource dog food since they are probably the only ones that carry it online. Lately I've been taking advantage of their 20% discount on Nutrisource but on the negative side my last bag came with about an inch slit on the bag. This is about the 3rd time it happens in 4 years.</t>
  </si>
  <si>
    <t>MG - NY</t>
  </si>
  <si>
    <t>Good service and pricing</t>
  </si>
  <si>
    <t>You had my hard to find food
I like your tracking method
Arrived timely</t>
  </si>
  <si>
    <t>Luis De Los Santos</t>
  </si>
  <si>
    <t>I like shopping at Petflow</t>
  </si>
  <si>
    <t>Lady who took my order was very professional, knowledgeable, helpful and caring. She placed my order fast and without any trouble. Great experience.</t>
  </si>
  <si>
    <t>Suzette Mahneke</t>
  </si>
  <si>
    <t>You had my hard to find food</t>
  </si>
  <si>
    <t>The one thing about PetFlow is they just get it done. You order your product you get instant verification and confirmation to your email and then when shipped you get the tracking number along with any updates from the carrier that might come up. This is the main reason I use them above anyone else especially Amazon. They not only give you the product you want/need but they keep you informed until it is delivered. Sounds simple but these days even the big boys like Amazon are dropping the ball. I appreciate that me and my pets can depend on the products and level of service PetFlow offers.</t>
  </si>
  <si>
    <t>Great Experience</t>
  </si>
  <si>
    <t>I shopped online for Royal Canin Digest Sensitive Cat Food and your website showed you had it in stock. I placed 2 orders each for 24 cans within 5 minutes of your website updating that it had stock. Your email confirmation stated that the first order would ship out the same day. The second order was cancelled by PetFlow the following day, citing lack of stock. Following that, I was notified that you had no stock remaining to fulfill my first order and it was backordered. When I called PetFlow, the representative told me that if stock wasn't received within 2 weeks, my first order would be cancelled. This is not the customer service I expected on my first experience with PetFlow. In the past years I have been using Chewy, Petco and PetSmart and never had a negative experience. Thanks for the opportunity to explain the situation in a straight forward and honest way. Now its up to you to actually take some action after this feedback. If my first order gets cancelled, you have lost me as a customer.</t>
  </si>
  <si>
    <t>JOHN WYNN</t>
  </si>
  <si>
    <t>PetFlow just gets it done each and every time.</t>
  </si>
  <si>
    <t>Great company. Product arrived quickly and not damaged. I am a very happy customer.</t>
  </si>
  <si>
    <t>FRED S</t>
  </si>
  <si>
    <t>I shopped online for Royal Canin Digest…</t>
  </si>
  <si>
    <t>SHEREE TURNBULL</t>
  </si>
  <si>
    <t>Very Satisfied</t>
  </si>
  <si>
    <t>KATIE JOHNSON</t>
  </si>
  <si>
    <t>Very fast and accurate delivery.</t>
  </si>
  <si>
    <t>Very fast and accurate delivery.
Thank you,</t>
  </si>
  <si>
    <t>Good price, quick delivery, good product</t>
  </si>
  <si>
    <t>RENA</t>
  </si>
  <si>
    <t>They have the food I want for my dogs…excellent</t>
  </si>
  <si>
    <t>They have the food I want for my dogs and it arrives quickly.</t>
  </si>
  <si>
    <t>DENISE BURAN</t>
  </si>
  <si>
    <t>I just want to share a WOW from…</t>
  </si>
  <si>
    <t>I just want to share a WOW from PetFlow. I received the collar I purchased but the release button was so difficult to open that I called to ask if easier to just buy a new one or replace it first. The guy was sooo nice he said "no that’s fine we will ship you a new one". Just throw out the old one. It cost $21.99 and they immediately said we will replace it without any issues. Never had a better experience.</t>
  </si>
  <si>
    <t>Susan Dolstra</t>
  </si>
  <si>
    <t>Everything is always prefect</t>
  </si>
  <si>
    <t>Everything is always prefect. Packaging and shipping is great.</t>
  </si>
  <si>
    <t>APRIL RITCHOTTE</t>
  </si>
  <si>
    <t>Have my brand!</t>
  </si>
  <si>
    <t>Love Petflow. They have the Fromm brand I want which is hard to find for delivery.
I sometimes wish packages would come quicker but last delivery was faster than previous.
Good prices. Easy checkout process. Like that they save previous orders. I don’t do automated because i have not yet figured out my dogs’ rhythm of when they run out but nice that they offer a discount if you do that</t>
  </si>
  <si>
    <t>MICKEY MITTONG</t>
  </si>
  <si>
    <t>My first time using g Pet Flow</t>
  </si>
  <si>
    <t>My first time using g Pet Flow. Very pleasant experience.</t>
  </si>
  <si>
    <t>Linda Borders</t>
  </si>
  <si>
    <t>Have a good product selection....prompt…</t>
  </si>
  <si>
    <t>Have a good product selection....prompt delivery and give discounts for long time customers. Thanks.</t>
  </si>
  <si>
    <t>CAROL SUTTON</t>
  </si>
  <si>
    <t>Transaction was perfect</t>
  </si>
  <si>
    <t>Transaction was perfect. Ordering was easy. Shipping and handling was completed in a timely manor. Order was received as ordered. Henry was thrilled with a new ball. Pleasant surprise.</t>
  </si>
  <si>
    <t>Patty Heineck</t>
  </si>
  <si>
    <t>Excellent service. Arrived quickly and very healthy dog food.</t>
  </si>
  <si>
    <t>Janice DeMadona</t>
  </si>
  <si>
    <t>Great company!</t>
  </si>
  <si>
    <t>Excellent shipping. Excellent packaging. Competitive prices. Easy ordering.</t>
  </si>
  <si>
    <t>KENDEL M</t>
  </si>
  <si>
    <t>great selection of foods</t>
  </si>
  <si>
    <t>They have a great selection of foods, I love that they help pets in need and they offer rewards for referrals.</t>
  </si>
  <si>
    <t>Order came on time.</t>
  </si>
  <si>
    <t>Excellent source for my sweet frenchie’s needs. Wonderful customer service! They very quickly replaced 2 cases of canned Fromm's that were damaged in shipping. And I enjoy looking thru the site to find special treats and maybe ANOTHER toy 🤣🤣🤣</t>
  </si>
  <si>
    <t>CHERYL BROCKINGTON</t>
  </si>
  <si>
    <t>Excellent source for my sweet…</t>
  </si>
  <si>
    <t>PetFlow had the brand of dog food I needed and it arrived in 2 days! Your online ordering was quick and efficient. Keep up the great service!</t>
  </si>
  <si>
    <t>JENNY PERKINS</t>
  </si>
  <si>
    <t>Great and quick service!</t>
  </si>
  <si>
    <t>Wonderful company. The shipping time was super fast and the customer service team was very helpful. I had an issue with my order and when I called customer service they were quick to help solve the issue. I have never used petflow before but I will stick with them going forward</t>
  </si>
  <si>
    <t>ELISABETH</t>
  </si>
  <si>
    <t>Excellent Transaction!</t>
  </si>
  <si>
    <t>Candice</t>
  </si>
  <si>
    <t>Excellent price and very fast shipping!</t>
  </si>
  <si>
    <t>Your company sucks I'm never buying any thing from you again .</t>
  </si>
  <si>
    <t>DEAN KOPP</t>
  </si>
  <si>
    <t>Your company sucks I'm never buying any…</t>
  </si>
  <si>
    <t>Cat food in stock! Quick shipping, everything in good shape.</t>
  </si>
  <si>
    <t>LISA PEET</t>
  </si>
  <si>
    <t>Cat food in stock!</t>
  </si>
  <si>
    <t>I am very happy with my order from Petflow. I found cat food on their site that I was unable to find any where else. It was shipped quickly. Great place to shop for pets.</t>
  </si>
  <si>
    <t>I am very happy with my order from…Petflow</t>
  </si>
  <si>
    <t>JASON DRAKE</t>
  </si>
  <si>
    <t>Super fast shipping and easy to deal…</t>
  </si>
  <si>
    <t>Super fast shipping and easy to deal with. Processed my dogs prescription food fast with a straightforward process. Switched from Chewy who were awful to deal with.</t>
  </si>
  <si>
    <t>Mallory</t>
  </si>
  <si>
    <t>Easy site to use and had what I needed.</t>
  </si>
  <si>
    <t>I have had a very hard time finding taste of the wild wet dog food anywhere for my dog and pet flow had it. I ordered it and they sent it right out. Their site was easy to use and the ordering process was easy as well. I will be using pet flow again</t>
  </si>
  <si>
    <t>Erik Foubert</t>
  </si>
  <si>
    <t>Petflow has been charging me for dog…</t>
  </si>
  <si>
    <t>Petflow has been charging me for dog food they couldn't source. They charged my credit card for two bags of dog food but only delivered one. I had to call monthly to get the refund after showing them the shipping weight did not equate to the 2 bags, but one. I missed a few calls and now they've overcharged my by $325 and got a sorry but can't help you as you didn't call us within 30 days. I provided the documentation to show they were in error but still nothing was done. This overcharge has negated any discounts they provided. If you use Petflow, make sure you check your shipments and credit card charges.</t>
  </si>
  <si>
    <t>JOAN ABRAHAMSON</t>
  </si>
  <si>
    <t>Good service &amp; communications</t>
  </si>
  <si>
    <t>Pet Flow is doing an excellent job of coping with the shipping issues generated by the pandemic. I appreciate that you keep me informed about my orders and shipments as you deal with events that compact my order. It enables me to plan for our pet needs. Thanks so much.
Gunny's Grandma</t>
  </si>
  <si>
    <t>FAINA LEKAKH</t>
  </si>
  <si>
    <t>all are OK.</t>
  </si>
  <si>
    <t>all are OK, thank you.</t>
  </si>
  <si>
    <t>RYAN STACKHOUSE</t>
  </si>
  <si>
    <t>I am so thrilled with the fast delivery…</t>
  </si>
  <si>
    <t>I am so thrilled with the fast delivery and awesome service. Thank you for the great job</t>
  </si>
  <si>
    <t>Kourosh Massarat</t>
  </si>
  <si>
    <t>New customer Impression</t>
  </si>
  <si>
    <t>As a new customer to Petflow, it is worth nothing that their website, prices, and delivery was outstanding and exceeded my expectation. Thank you.</t>
  </si>
  <si>
    <t>Dott</t>
  </si>
  <si>
    <t>Excellent service. The price was right and the delivery was super fast.</t>
  </si>
  <si>
    <t>ISABELLA</t>
  </si>
  <si>
    <t>Hello</t>
  </si>
  <si>
    <t>Hello
What a difficult experience... Ordered Rx food for a very sick kitten on January 25 th, then reached to customer service on the 28th to enquire about the timelines, for a local store was out of stock, and was running out of food for the kitten, then was reassured that the purchase would be shipped as soon as the Rx verified. Called again on the 30th, was told that the Rx was verified, so package would be shipped and I would get it by February 2nd. When there still was neither package or a tracking number, called the customer service again for the 3d time, was told that no shipping info was available, so I asked to talk to the supervisor and was told that he'd call me within 24-48 hrs. Needless to say, no one called me or reached out to me via email.
I had no choice but cancel my purchase on February 4th and order the food on a more reliable site. Just hope the money would be promptly returned.
Thanks</t>
  </si>
  <si>
    <t>PAM COYNE</t>
  </si>
  <si>
    <t>Proper handling of freeze dried dog food.</t>
  </si>
  <si>
    <t>Freeze dried dog food if handled wrong will arrive as powder. Order arrived next day in excellent condition. Thank you!</t>
  </si>
  <si>
    <t>Big Fan of PetFlow!</t>
  </si>
  <si>
    <t>I've used PetFlow for a number of years now and have not been disappointed once - even during the crazy shipping times of covid. Their site is easy to shop and they provide me with lots of flexibility when I need to adjust my standing dog food shipment. If you're looking for a friendly alternative to a 'big box' partner, PetFlow is just that alternative! Thanks for helping me keep my pets happy &amp; healthy!</t>
  </si>
  <si>
    <t>Elisabeth Ellis</t>
  </si>
  <si>
    <t>Easily found the dog food I wanted</t>
  </si>
  <si>
    <t>Easily found the dog food I wanted! Many other sites and All local stores were out of the Royal Canin Yorkshire Terrier Loaf in Sauce that both my daughter and I feed our Yorkies! Not only did you have it but the delivery was exceptionally quick! Even ahead of your predicted date! I set Upanishad account for renewal and look forward to dealing with you for a long time to come.
Thanks for the exceptional service!</t>
  </si>
  <si>
    <t>CAROLE HUMENCHUK</t>
  </si>
  <si>
    <t>Finally found a store that has my…</t>
  </si>
  <si>
    <t>Finally found a store that has my preferred dog food in stock! Thanks for your prompt service!</t>
  </si>
  <si>
    <t>LYNNE</t>
  </si>
  <si>
    <t>Improvements need to be made</t>
  </si>
  <si>
    <t>1. Wish you had a place where buyers could communicate with shippers upon purchase on where to place packages. Shipper left package out on stairs in full view of potential thieves. Packages need to be placed inside of my 3 ft. gate at front door.
2. Several cans are damaged and not packaged properly to prevent this. They don't stack well for storage when they're damaged.</t>
  </si>
  <si>
    <t>Irene Hagen</t>
  </si>
  <si>
    <t>Petflow online lets my pets eat well</t>
  </si>
  <si>
    <t>Petflow online shopping is a great way to shop. We live in a rural area not a lot of places to shop. At Petflow I can get Fromme pet food for my pets to eat healthy. I also can get healthy treats for my pets, if not for pet flow online I would be driving 90 miles one way to shop in stores.</t>
  </si>
  <si>
    <t>SHARON DICKSON</t>
  </si>
  <si>
    <t>THESE TAIL WAGERS ( beef rib bones ) …</t>
  </si>
  <si>
    <t>THESE TAIL WAGERS ( beef rib bones ) ARE SO LOVED BY MY DOGS BUT I AM ONLY ALLOWED TO BUY 6 AT A TIME WHICH I DON'T LIKE BUT THEY ARE WAY CHEAPER THAN PUBLIX WHICH IS WHERE I WAS BUYING THEM. I WILL CONTINUE TO PURCHASE BECAUSE THE DOGS LOVE THEM BUT I MAY HAVE FOUND A REPLACEMENT FOR THEM SOMEWHERE ELSE.</t>
  </si>
  <si>
    <t>Dr. Bodly</t>
  </si>
  <si>
    <t>Price was good</t>
  </si>
  <si>
    <t>Price was good, shipping was good, but one bag of rabbit food (out of about 6 identical bags in the order) was not rabbit food but Hampster food. To their credit I did not pursue this or notify them of the problem. Just wasn't worth my time. I need things to be correct the first time i place an order which is why i probably wont use this company again unless they have a really great deal going on.. also, they sent me an unsolicited annoying email asking for this rating. I strongly prefer ZERO EMAILS EVERRRRR seriously NO EMAILS EVER unless they're directly related to processing/shipping.</t>
  </si>
  <si>
    <t>Jeanice</t>
  </si>
  <si>
    <t>Speedy delivery!</t>
  </si>
  <si>
    <t>Repeat customer - love them</t>
  </si>
  <si>
    <t>Repeat customer</t>
  </si>
  <si>
    <t>It is so nice to have a reliable way to get what I need for my cat!</t>
  </si>
  <si>
    <t>JULIE</t>
  </si>
  <si>
    <t>sll</t>
  </si>
  <si>
    <t>first order and didn't have any…</t>
  </si>
  <si>
    <t>first order and didn't have any difficulties or problems.</t>
  </si>
  <si>
    <t>Excellent service &amp; merchandise.</t>
  </si>
  <si>
    <t>I ordered treats for my fur babies. I got a great price on them. This was the first time I had ordered. Got the treats in a few days.. Best service. Thank you</t>
  </si>
  <si>
    <t>CINDY ORIN</t>
  </si>
  <si>
    <t>I ordered treats for my fur babies</t>
  </si>
  <si>
    <t>Product was on time buy packaging was smashed. You need to strengthen you packaging.</t>
  </si>
  <si>
    <t>Product was on time buy packaging was…</t>
  </si>
  <si>
    <t>Enjoyed the prompt service. Will use them in the future.</t>
  </si>
  <si>
    <t>MARY TAYLOR</t>
  </si>
  <si>
    <t>Enjoyed the prompt service</t>
  </si>
  <si>
    <t>I’m happy they had the product I need, and that they’re willing to do the AutoShip. The only thing is that I requested for it to be delivered by the 4th and now it’s going to be five days late so I had to go somewhere else and pay full price in the interim because they didn’t ship at all in the time period that I requested on the original order. I placed it over a week ahead of time and somehow it’s still going to be almost a week late because of a delay on their end with no notification to me…it just made things really inconvenient.</t>
  </si>
  <si>
    <t>MEGHAN PARKER</t>
  </si>
  <si>
    <t>I’m happy they had the product I need</t>
  </si>
  <si>
    <t>Delivery is always super fast and much appreciated.</t>
  </si>
  <si>
    <t>Delivery is always super fast and much…</t>
  </si>
  <si>
    <t>prompt service and competively priced.</t>
  </si>
  <si>
    <t>Gerard</t>
  </si>
  <si>
    <t>Paid for order to only be refunded days later as it was not in stock. Though it is not the fault that dog food companies cannot get the ingredients to make the food; it is Petflows fault that the food appears on the website as being in stock when it is not. Don’t sell things you don’t actually have. I’m not thrilled that you had you hands in my account unnecessarily.</t>
  </si>
  <si>
    <t>DANIELLE CORNING</t>
  </si>
  <si>
    <t>Paid for order to only be refunded days…</t>
  </si>
  <si>
    <t>Ordered 3 products. Two were out of stock. I contacted Petfllow multiple times to cancel the two out of stock products. One cancelled correctly, but the other already shipped so I received a $20 off inconvenience discount on it. Then after all that, two of the same product was shipped and I was charged for the second of that same product. Appreciated the inconvenience discount, but then to receive two of the same product and charged I was very annoyed. The product was a case of wet canned dog food, which I purchased elsewhere because they originally told me it would be cancelled. On top of that ai now gave 3 cases for my dog that may pass before one case is used up. I told them I only wanted the one case after they had said it shipped because my dog is old and may not live. Overall disappointed with the service and communication.</t>
  </si>
  <si>
    <t>Ordered 3 products…</t>
  </si>
  <si>
    <t>I ordered prescription dog food and it was listed in stock. Placed the order and sent in the prescription to the email listed. Two days later got an email saying they were having difficulty getting the prescription. I sent it again and they confirmed receiving it. Five days later, no dog food, no tracking number. Checked my order on line and said it had shipped. Called Petflow and they said it was out of stock and didn't know when it would be in! Poor communication and I'm stuck without prescription dog food. I cancelled the order.</t>
  </si>
  <si>
    <t>Kathy Goddard</t>
  </si>
  <si>
    <t>I ordered prescription dog food and it…</t>
  </si>
  <si>
    <t>Local vets out of prescribed cat food . Could not find any anywhere on line either even with a popular and well known pet supplier. Accidentally found Pet Flow and they had the food out cat needs. They got the prescription right away and processed I sent it and it arrived when we were on the last can! The customer service is excellent letting me know each step of the way where the order was. Too bad government leaders don’t consider pet supplies as crucial for some. Backlog of undelivered products and delayed shipping is avoidable and flat wrong. It becomes the Hunger Games for our pets. Thank you Pet Flow!</t>
  </si>
  <si>
    <t>Joan Paris</t>
  </si>
  <si>
    <t>Local vets out of prescribed cat food</t>
  </si>
  <si>
    <t>Items shipped wrong twice! Customer Service promised to let me know if the items were discontinued or if they were going to replace them (yet again), and never emailed or called back. Terrible Customer Support. Still haven't been credited back for my items.</t>
  </si>
  <si>
    <t>JACKIE BERMAN</t>
  </si>
  <si>
    <t>Items shipped wrong twice</t>
  </si>
  <si>
    <t>Quick service n delivery..</t>
  </si>
  <si>
    <t>SANDRA REED</t>
  </si>
  <si>
    <t>Quick service n delivery.. Dogs live the product its fresh and prescription diet as vet ordered.</t>
  </si>
  <si>
    <t>Items arrived promptly. I'm very pleased they offer bones made in the USA which my dogs love.</t>
  </si>
  <si>
    <t>Items arrived promptly</t>
  </si>
  <si>
    <t>I would have preferred to get my items a bit sooner as I have from other pet vendors. I also wish I could get the grain version of Honest Kitchen's base mix. I had to go elsewhere to do so.</t>
  </si>
  <si>
    <t>SHARYL AMOVITZ</t>
  </si>
  <si>
    <t>I would have preferred to get my items…</t>
  </si>
  <si>
    <t>We started using pet flow a year ago to order pet treats.Our regular place was out of stock, so I searched around &amp; found Pet Flow.They are better priced and price doesn't go up and down constantly.Super easy to order but if you need to call,customer service is great.They also have an auto-ship program you can save money using for your first 5 orders.So after a year I'm giving them a definite 5 star rating.
🌟 🌟 🌟 🌟 🌟 👍</t>
  </si>
  <si>
    <t>Retail shopper</t>
  </si>
  <si>
    <t>Great Company! Great prices! Great service!</t>
  </si>
  <si>
    <t>I have 4 macaw parrots so the A&amp;E toys I ordered are the same quality I have ordered for 2 years now from other companies. Price was reasonable and shipping time very reasonable. Plus I paid no shipping costs. Will definitely order again in a couple months.</t>
  </si>
  <si>
    <t>MAUREEN HUDSON</t>
  </si>
  <si>
    <t>Quality affordable bird toys</t>
  </si>
  <si>
    <t>Very easy to use and very fast shipping! Thank you, I will use you again for my future orders.</t>
  </si>
  <si>
    <t>Very easy to use and very fast…</t>
  </si>
  <si>
    <t>From start to finish, my order was handled with professional ease. I will continue to purchase from PetFlow!</t>
  </si>
  <si>
    <t>Colette</t>
  </si>
  <si>
    <t>From start to finish</t>
  </si>
  <si>
    <t>Danille Weaver</t>
  </si>
  <si>
    <t>I ordered puppy food through petflow…</t>
  </si>
  <si>
    <t>I ordered puppy food through petflow because it was the only place beside Amazon that I could get it. I was getting a new puppy on Tuesday and I chose petflow because it said one-day shipping. I didn't choose Amazon because there's was two-day and I needed it faster than that. Even then the first notice I received said I would receive the delivery one the 26th. I received the puppy on the 25th. The breeder was kind enough to send some food to get the puppy through for a couple of days. I ran out of food Saturday morning, long after I should have received the food. I ended up buying a bag of dog food. Not the kinds the breeder had been using. I didn't not receive the food from petflow until January 31st. Because of this my new little puppy has had stomach issues for several days now. I will never purchase from petflow again.</t>
  </si>
  <si>
    <t>Olivia Larsson</t>
  </si>
  <si>
    <t>I recently ordered 15 pounds of kibble, it was delivered quickly, and the next day I found out my puppy had some dietary restrictions. I contacted PetFlow and they were very helpful. I was able to return the unopened bag and receive a full refund! I am so impressed with this kind of customer service and I immediately ordered the new food through them. Thank you!</t>
  </si>
  <si>
    <t>LAURA HUNT</t>
  </si>
  <si>
    <t>Orders arrived promptly.</t>
  </si>
  <si>
    <t>I have ordered from Petflow almost 10 years! The service and prices are wonderful!! Your staff is so responsive and knowledgeable!! Best quality of products! Would never use anyone else!! I’m a true fan!!</t>
  </si>
  <si>
    <t>SUSAN L FREDERICKSON</t>
  </si>
  <si>
    <t>I have ordered from Petflow almost 10…</t>
  </si>
  <si>
    <t>The right products, delivered on a timely basis, and in good shape!</t>
  </si>
  <si>
    <t>TOM BATCHELLER</t>
  </si>
  <si>
    <t>The right products</t>
  </si>
  <si>
    <t>The reason why I did not give 5 stars because it’s not vacuum sealed I guess for easy stocking of the product but it won’t be fresh anymore! Who ever is I charged of the stocking the product put a pin hole in each bag. Tell me if I’m wrong.</t>
  </si>
  <si>
    <t>LUCIA LONGENBACH</t>
  </si>
  <si>
    <t>Farmina Ancestral Grains Chicken Pomegranate Medium/Maxi Light</t>
  </si>
  <si>
    <t>Very happy that what I need for my dog is in stock, and it ships in a timely manner.
Thank You
Jean Havens</t>
  </si>
  <si>
    <t>JEAN HAVENS</t>
  </si>
  <si>
    <t>Very happy that what I need for my dog…</t>
  </si>
  <si>
    <t>I signed up for the automatic order, to find this dog food my dog would eat, that according to reviews was healthy (Friday, January 21, 2022, 10:27:02 AM EST, Pet Flow wrote: Order received order 9788976 ) . My order did not get a tracking order at first, so I confirmed via email. The email was apologetic and offered me another $10 off (next order) Splinter's Dad, Ryan (Pet Flow Customer Support) he sent a very nice email, the next day i got a confirm email "Great news, your order 9788976 has shipped!", a follow up email the day after "Order #: 9788976
Your package will arrive tomorrow!" (Thursday jan 27) and "
Order #: 9788976
Your package has arrived" (Friday Jan 28). I have to say WOW that was quick and excellent updates with emails. It alleviated my concern and kept me informed. Thank you to Ryan for the help and emails for the info.
Your tracking number is 289160238648
Your tracking number is 289160238648
Jan 25, 2022, 10:52 AM PST</t>
  </si>
  <si>
    <t>James Moore</t>
  </si>
  <si>
    <t>I signed up for the automatic order</t>
  </si>
  <si>
    <t>I placed my order 11 days ago, I still have not been advised when it will be shipped.</t>
  </si>
  <si>
    <t>Where is my prescription order, after 11 days.</t>
  </si>
  <si>
    <t>My order was canceled and no one bothered to tell me.... first time trying to order ... not happy with this</t>
  </si>
  <si>
    <t>SANDRA W</t>
  </si>
  <si>
    <t>My order was canceled and no one…</t>
  </si>
  <si>
    <t>I found Petflow after searching high and low for the Royal Canin PV wet cat food when the company I usually buy from was out of stock. Due to the nature of the situation with our cat, it was very important we located this food, and thanks to Petflow and their customer service they exceeded my expectations.</t>
  </si>
  <si>
    <t>New Order</t>
  </si>
  <si>
    <t>Sent me the wrong product twice in a row. Customer service was great in apologizing and refunding my payment after two wrong shipments, but I shouldn't have to go through calling them twice for a simple order. I think they need to educate their warehouse people, won't be ordering from them again.</t>
  </si>
  <si>
    <t>Sent me the wrong product twice in a…</t>
  </si>
  <si>
    <t>They carry the Fromm food our jack russell terriers love. Great website, easy to find what we want. Reorder function makes shopping easy. Orders ship quickly. Been using this site for several years and we are very happy using.</t>
  </si>
  <si>
    <t>They carry Fromm that our dogs love</t>
  </si>
  <si>
    <t>Absolute scam of a company. Twice now they have sent an auto-ship that I had paused and charged me. Then when you call they want you do go and ship it back to them, for their mistake instead of sending someone to pick it up.
Also, you can't cancel auto-ships on the website, you have to physically talk to a customer service person for some reason, and that reason is so you forget to do it and they can keep charging you. Shop anywhere else for pet supplies.</t>
  </si>
  <si>
    <t>Tucker Wilson</t>
  </si>
  <si>
    <t>Absolute scam of a company</t>
  </si>
  <si>
    <t>I was running really low on my dog Pete's dry food.
I could not find Royal Canin Adult Bulldog food anywhere over the last month. Even my automatic delivery sevice was out of stock.
I looked online and Petflow had it in stock!! Yippee!
I ordered it, with a discount, and it arrived a few days later.
Thank you!</t>
  </si>
  <si>
    <t>Yippee!</t>
  </si>
  <si>
    <t>Ordered from Pet Flow for the first time; my dogs food arrived quickly and I got a great price on the food. Wil be ordering again</t>
  </si>
  <si>
    <t>Alvin</t>
  </si>
  <si>
    <t>Great service and prices</t>
  </si>
  <si>
    <t>I still haven’t received my product. It was estimated 2-3 days for delivery and we are almost 2 weeks out. No updates whatsoever.</t>
  </si>
  <si>
    <t>Waiting</t>
  </si>
  <si>
    <t>I still haven’t received my product</t>
  </si>
  <si>
    <t>This was my first order with Petflow. One item arrived in days but the other item is still pending with zero communication. If it’s out of stock as it is in so many places, just communicate that.</t>
  </si>
  <si>
    <t>BETH</t>
  </si>
  <si>
    <t>This was my first order with Petflow</t>
  </si>
  <si>
    <t>I went online to order my dog’s prescription food &amp; it showed that it was in stock. When I ordered It said that I would receive in about 5 days. When this date past I emailed the response made no mention that it was out of stock. 2 days later I called &amp; was informed that it was indefinitely out. This is a prescription mind you that my dog relies on.</t>
  </si>
  <si>
    <t>JAN KISSKO</t>
  </si>
  <si>
    <t>Perfection!</t>
  </si>
  <si>
    <t>MARGUERITE KAZALAS</t>
  </si>
  <si>
    <t>Poor communication &amp; follow up</t>
  </si>
  <si>
    <t>Sagarika Devarakonda</t>
  </si>
  <si>
    <t>Order as expected &amp; on time</t>
  </si>
  <si>
    <t>Order as expected and on time, prices great value</t>
  </si>
  <si>
    <t>MICHELLE BOLES</t>
  </si>
  <si>
    <t>Wish there were sales on Fromm dog food.</t>
  </si>
  <si>
    <t>PetFlow was literally the only source for my dog's Hill's HypoTreats which are on back order. Customer service was really helpful and product was delivered on a timely basis with adequate follow-up.</t>
  </si>
  <si>
    <t>EM</t>
  </si>
  <si>
    <t>Quick and reliable.</t>
  </si>
  <si>
    <t>always get my order fast and accurate!</t>
  </si>
  <si>
    <t>DEBRA WILLIAMS</t>
  </si>
  <si>
    <t>PetFlow had a product in stock when no one else did!</t>
  </si>
  <si>
    <t>My experience overall has been very positive during the past two years. My order is processed and shipped within a reasonable timeframe. It has been very convenient to have heavy bags of dog food delivered to my door. Petflow also helps me to keep from having to stop at the pet store at the last minute to buy food and treats when I use the auto delivery. I have also had to ship food to multiple addresses. It's convenient to have one account and ship anywhere. What a relief.</t>
  </si>
  <si>
    <t>DIANE MELLOTT</t>
  </si>
  <si>
    <t>love this place</t>
  </si>
  <si>
    <t>Fast shipping. Great prices…..Amazing customer service!</t>
  </si>
  <si>
    <t>My experience overall has been very…</t>
  </si>
  <si>
    <t>Website showed the prescription food I needed as available for quite some time since I placed my order. I received my shipment of toys and no food was delivered. I called on the status of the prescription dog food and was told I would get a response back and did not. I was told by the representative who was going to call me back that it was in another warehouse. I called back a few days later and was told it was out of stock and that they would keep the order for a couple of weeks and cancel it if the food did not come in. I canceled the order because I felt the communication and customer service was extremely poor.</t>
  </si>
  <si>
    <t>Ken Williams</t>
  </si>
  <si>
    <t>Best Customer Service</t>
  </si>
  <si>
    <t>I had a problem with a shipment not being delivered. PetFlow solved the problem quickly and kept me informed.</t>
  </si>
  <si>
    <t>Out of stock food</t>
  </si>
  <si>
    <t>I am so impressed with every stage in purchasing the cat food I needed. I set up auto purchase that gave me a discount but when I went to check out they did not have enough to send so I thought i would lose it. No same deal. They notified me every step of the way and made sure it arrived. I am a loyal customer to thoughful companies and especially family businesses whether they are blood relatives or not. I will let them know if they disappoint me but I am quite sure they will mot.</t>
  </si>
  <si>
    <t>Sandra</t>
  </si>
  <si>
    <t>PetFlow Solves My Problem Quickly</t>
  </si>
  <si>
    <t>Always pleased with PetFlow. Been with them for years.</t>
  </si>
  <si>
    <t>SANDE KING</t>
  </si>
  <si>
    <t>I am so impressed with every stage in…</t>
  </si>
  <si>
    <t>Very fast shipping which is really important. All the products I need are on this website</t>
  </si>
  <si>
    <t>RAECHELLE FREEMAN</t>
  </si>
  <si>
    <t>Always pleased with PetFlow</t>
  </si>
  <si>
    <t>Good Food, good $ and delivered to the front door!!!
Great Service too!</t>
  </si>
  <si>
    <t>SUSAN LUE</t>
  </si>
  <si>
    <t>Very fast shipping which is really…</t>
  </si>
  <si>
    <t>This was the first time I ordered from Pet Flow. They were really great. I got my Order within a few days. Will definitely order from them again</t>
  </si>
  <si>
    <t>Greg Hyde</t>
  </si>
  <si>
    <t>Good Food</t>
  </si>
  <si>
    <t>Your service has been very good. I will continue to use your products.</t>
  </si>
  <si>
    <t>ANDREA AMOROSI</t>
  </si>
  <si>
    <t>This was the first time I ordered from…</t>
  </si>
  <si>
    <t>Have been ordering from PetFlow for more than 15 years and have never been disappointed with their service and prices. They keep you informed on the progress of your order and items arrive in a timely manor. Auto ship is the best service they offer.</t>
  </si>
  <si>
    <t>VIRGINIA LOCKNER</t>
  </si>
  <si>
    <t>Your service has been very good</t>
  </si>
  <si>
    <t>Always very helpful/professional/understanding if you have a question or concern. Or if you need guidance on something. Willing to match pricing and more than likely do better than competition. Only down side is they use FED EX who leaves the package somewhere in the vicinity of my address and never picks up a package when left out for them with a return label on it.</t>
  </si>
  <si>
    <t>vtlabladi</t>
  </si>
  <si>
    <t>Order from PetFlow</t>
  </si>
  <si>
    <t>I love this company. I have always got what I need from them. You should give them a try.</t>
  </si>
  <si>
    <t>C PALKIMAS</t>
  </si>
  <si>
    <t>Always very…</t>
  </si>
  <si>
    <t>I like that some of my auto ship order wasn’t ready for shipment and you shipped each individual packages automatically without charging me a shipping fee even though the contents of either package didn’t meet the cost requirement for free shipping. I’m so appreciative I didn’t have to cal and complain about that. Every time I do call customer service the call is handled quickly and efficiently. Thanks for that too</t>
  </si>
  <si>
    <t>DINAH STEVENS</t>
  </si>
  <si>
    <t>I love this company</t>
  </si>
  <si>
    <t>I have been ordering from PetFlow for years now even have auto ship it works out great and have recommended it to friends.</t>
  </si>
  <si>
    <t>TAMMY FRONTERA</t>
  </si>
  <si>
    <t>I like that some of my auto ship order…</t>
  </si>
  <si>
    <t>My Review</t>
  </si>
  <si>
    <t>JJG Florida &amp; Connecticut</t>
  </si>
  <si>
    <t>Just Perfect!</t>
  </si>
  <si>
    <t>Fast, convenient delivery, never a problem! So much easier than shopping at the pet or grocery store! Love Petflow!</t>
  </si>
  <si>
    <t>pernilleH</t>
  </si>
  <si>
    <t>Highly Recommend PetFlow</t>
  </si>
  <si>
    <t>Always reliable with super fast shipping and a lot of choices.
Highly recommend!</t>
  </si>
  <si>
    <t>PHILIP H</t>
  </si>
  <si>
    <t>My experience with petflow has been all…</t>
  </si>
  <si>
    <t>My experience with petflow has been all positive they care about there customers.😎👍</t>
  </si>
  <si>
    <t>GORDON SLOAN</t>
  </si>
  <si>
    <t>This was my first order</t>
  </si>
  <si>
    <t>This was my first order, it arrived promptly, PetFlow was the only vendor that had the item in stock, I would and will order from this vendor again, very satisfied with them.</t>
  </si>
  <si>
    <t>MARGIE SWARTZ</t>
  </si>
  <si>
    <t>Xxxxcc</t>
  </si>
  <si>
    <t>Food came in a timely manner</t>
  </si>
  <si>
    <t>Chance’s Grammy</t>
  </si>
  <si>
    <t>Excellent Service!!</t>
  </si>
  <si>
    <t>Ordered dog food and the food was received in a timely manner. Never had a problem with PetFlow!!</t>
  </si>
  <si>
    <t>Gary S</t>
  </si>
  <si>
    <t>Updated Jan 28, 2022</t>
  </si>
  <si>
    <t>Ordered a veterinarian prescription…</t>
  </si>
  <si>
    <t>Ordered a veterinarian prescription diet for my dog. The food was delivered promptly in 2 to 3 days. This was at a time when the food was back ordered and couldn't get it at many other places. Will now be using Petflow as my main supplier. Been very happy with them!</t>
  </si>
  <si>
    <t>VICKYE MIKE AND COWBOY GALLOWA</t>
  </si>
  <si>
    <t>Perfect !</t>
  </si>
  <si>
    <t>Perfect !! Every order</t>
  </si>
  <si>
    <t>GAIL BLATTLER</t>
  </si>
  <si>
    <t>Wonderful Customer Service!!</t>
  </si>
  <si>
    <t>Although there are supply issues, the customer service team is excellent and so helpful!!!! I also receive e-mail letting me know they are still on top of my backorder when it comes in.</t>
  </si>
  <si>
    <t>AMANDA DEPIERRO</t>
  </si>
  <si>
    <t>I love pet flow! The shipping is fast and their prices can’t be beat! Super cute products and a great variety of dog treats</t>
  </si>
  <si>
    <t>MARY PERKINS</t>
  </si>
  <si>
    <t>PetFlow not only had what I needed but…</t>
  </si>
  <si>
    <t>PetFlow not only had what I needed but also at a price that was lower than where I purchase locally. My order came in a timely manner and I received free shipping which I was very happy about</t>
  </si>
  <si>
    <t>FRANCES BROWNE</t>
  </si>
  <si>
    <t>Petflow has always been there w/full…</t>
  </si>
  <si>
    <t>Petflow has always been there w/full answers. Great delivery. No B.S. about anything...</t>
  </si>
  <si>
    <t>BRITTNEY G</t>
  </si>
  <si>
    <t>PetFlow makes it easy for me to get a…</t>
  </si>
  <si>
    <t>PetFlow makes it easy for me to get a specialty dog food that I am unable to get locally as I live in a rural area. So far no damages to any of my shipments and delivery has been fast. I also like how they have a variety of toys at reasonable prices.</t>
  </si>
  <si>
    <t>CHRISTY OWNBEY</t>
  </si>
  <si>
    <t>I've only used your company once so I can't give an honest opinion of Pet Flow.
What I can see is that you should look at switching which company you ship with or at least give options of other shipping companies. FedEx is horrible. I used u use them at the clinic I work and because they're not reliable, switched to UPS. I won't be ordering from Pet Flow again until I know a different shipping company can be used. I do appreciate being sent a new shipment since the initial one was given to someone else at a different address.</t>
  </si>
  <si>
    <t>Elaine Donohue</t>
  </si>
  <si>
    <t>This is the second ordered I placed…</t>
  </si>
  <si>
    <t>This is the second ordered I placed with you. I had hoped it was going to be a lasting relationship. Sadly, it is not. In the first case, I placed my order, only part of the order was shipped when it arrived I was notified that the other item was out of stock. This happened again recently. This time it was after a few days later that the item was not in stock. You need to tell customers when the order is placed of availability.
Very disappointed.</t>
  </si>
  <si>
    <t>TARA SMITH</t>
  </si>
  <si>
    <t>Great website! Glad I found it as an alternative to my usual. My usual store was out of a specific food and I was able to find it here for a good price.</t>
  </si>
  <si>
    <t>MOLLY WERNER</t>
  </si>
  <si>
    <t>Website and order process were both…</t>
  </si>
  <si>
    <t>Website and order process were both easy. Shipping was efficient</t>
  </si>
  <si>
    <t>DEREK</t>
  </si>
  <si>
    <t>Better prices than Chewy, fast shipping! Thank you!</t>
  </si>
  <si>
    <t>M. Davis</t>
  </si>
  <si>
    <t>First time buyer. Impressed by variety and choices of products. Wonderful service.</t>
  </si>
  <si>
    <t>STAN FREED</t>
  </si>
  <si>
    <t>A unhappy customer</t>
  </si>
  <si>
    <t>Hi, For over a week, told me food item was in stock and would be shipped shortly. Called several times and was told the same story. Yesterday I was emailed a message that it was out of stock and they would let me know when they had it in inventory. That doesn’t work when it is the food for your pet.</t>
  </si>
  <si>
    <t>mika2belove</t>
  </si>
  <si>
    <t>Thank you! Kitty’s love theirs items</t>
  </si>
  <si>
    <t>BART</t>
  </si>
  <si>
    <t>I phoned prior to placing an order...</t>
  </si>
  <si>
    <t>I phoned prior to placing an order to verify that my finicky cat's food was in stock and informed that it was. Three days later, it still hadn't shipped. When I phoned again to ask when it would ship, I was informed that it was out of stock.
I should have been notified of this situation within 24 hours, and not had to waste three days only to have to initiate the inquiry of why it had not shipped.</t>
  </si>
  <si>
    <t>CAROLINE KINSEY</t>
  </si>
  <si>
    <t>So glad I found PetFlow</t>
  </si>
  <si>
    <t>So glad I found PetFlow, recently I moved to another city and State and I was having a hard time finding the food that my Standard Poodle had been eating, I ordered from another company when I was getting low, however 3 weeks after my order I still had not received it. :( I ordered from PetFlow a few times, and each time, I have received my order within a week. Now no more looking or wondering if and when I will get my order. Thanks again PetFlow for being on the ball.</t>
  </si>
  <si>
    <t>KAT G.</t>
  </si>
  <si>
    <t>Fast delivery!</t>
  </si>
  <si>
    <t>I order a bag of Fromm dog food and the process could not have been any smoother. The order came very quickly. I would definitely order from PetFlow again.</t>
  </si>
  <si>
    <t>Had What I Needed and Received Order On-time</t>
  </si>
  <si>
    <t>I couldn’t find the pet food I have been using in stock at all of my regular vendors so I tried PetFlow because they had it and I have no complaints! Shipped and arrived on time and I was sent updates along the way which I really appreciate.</t>
  </si>
  <si>
    <t>HEIDI w</t>
  </si>
  <si>
    <t>Items came on time.</t>
  </si>
  <si>
    <t>I ordered purina pro plan veterinary diet HA on 1/14/22. It showed that it was in stock and my prescription was verified, but as of 1/25/22 still has not shipped.</t>
  </si>
  <si>
    <t>MARY EVANS</t>
  </si>
  <si>
    <t>Order still not shipped</t>
  </si>
  <si>
    <t>Placed order by phone on the 14th. Was told the order would ship either that evening or Monday. Never received a shipping notice so I finally called on Wednesday to check on status. Was told by recording to leave a message and a rep would get back to me. No call, just received an e-mail informing me that my order was shipped that evening. Upon review of shipping number found out that the information was sent to Fed-ex at around midnight. Bottom line is I did not receive my order until the 23rd. As this was coming from the East coast I acknowledge part of the delay was the storm that occurred.</t>
  </si>
  <si>
    <t>First order</t>
  </si>
  <si>
    <t>The company Carries great products and is quick to respond with customer service. If you wish to cancel your auto ship, it is cumbersome, but it does get done.
The biggest drawback is that they use FedEx as their shipper and no other option. FedEx is absolutely terrible and their customer service is non existent. Unfortunately for companies like this one that rely on their shipping company, they lose customers like me.</t>
  </si>
  <si>
    <t>Randy Harden</t>
  </si>
  <si>
    <t>Good products BUT</t>
  </si>
  <si>
    <t>Your website and customer reps have no idea if products you have are in stock
I place and order thinking you have food for my pets then I get an email stating food is on back order
I need a more reliable company that has food in stock to buy</t>
  </si>
  <si>
    <t>DAVID GORDON</t>
  </si>
  <si>
    <t>Your website and customer reps have no…</t>
  </si>
  <si>
    <t>When I order a prescription diet cat food it should not take 4 phone calls to get it shipped. This is NOT optional food that can be replaced with something else temporarily. It is something my cat NEEDS to live. On my first phone call I was told the authorization from my vet had gone through. I believed this because my vet is very organized and always approves appropriate prescriptions in less than 24 hours. On the fourth phone call I was told the authorization had NOT come through. What gives? Get your act together. This order was shipped a full week after it was placed.</t>
  </si>
  <si>
    <t>DONNA LARGENT</t>
  </si>
  <si>
    <t>Prescription Diet K/D food is important</t>
  </si>
  <si>
    <t>This was my first time using Pet Flow. I found the site very east to use, and the package came earlier than expected, with no problem in packaging. They deserve a 5 star!</t>
  </si>
  <si>
    <t>Jackie Rubino</t>
  </si>
  <si>
    <t>This was my first time using Pet Flow</t>
  </si>
  <si>
    <t>I got my exact order very quickly. I was impressed because I buy online often and it usually is not what I ordered, poor quality, shipped in separate boxes and/or late as all get out.
Not PetFlow! All nice quality, good condition, quick delivery in same box. Five stars!!</t>
  </si>
  <si>
    <t>I got my exact order very quickly</t>
  </si>
  <si>
    <t>Web site ordering and auto-ship process is terrible -very clunky and has caused problems with orders twice now Most recently resulted in receiving double order of 44 lbs of dog food and charged 2 different prices. Texted customer about this almost a week ago and have not heard a word.</t>
  </si>
  <si>
    <t>SCOTT STEINER</t>
  </si>
  <si>
    <t>Web site ordering and auto-ship process…</t>
  </si>
  <si>
    <t>My last order had 2 items that were out of stock and therefore didn't make my monthly order. I received communication regarding one item being shipped upon it being restocked but the 2nd item was never acknowledged, restocked nor substituted for.</t>
  </si>
  <si>
    <t>TERRI ELLIOTT</t>
  </si>
  <si>
    <t>My last order had 2 items that were out…</t>
  </si>
  <si>
    <t>Easy to order, prices are comparable and shipping right to my door, great. I've had one order that was messed up. I called customer service and the lady was very helpful, professional and quickly fixed my issue. Petflow is fantastic. The only issue I'm having now is back-ordered products but that's everywhere now so certainly not upset with Petflow for that. Keep up the good work.</t>
  </si>
  <si>
    <t>CHRIS REAGAN</t>
  </si>
  <si>
    <t>Every aspect of Petflow is superb!</t>
  </si>
  <si>
    <t>In a world where cat food is an item on the hard to find list, I googled “Where can I find….” And discovered your website. I am thankful you were able to supply, and continue to supply, the food my kitties love. Thank you</t>
  </si>
  <si>
    <t>MICHELLE</t>
  </si>
  <si>
    <t>In a world where cat food is an item on…</t>
  </si>
  <si>
    <t>Good selection, easy to shop, and a good price, The only thing I could ask for is a way to check order status. If it's there, I couldn't find it. Otherwise a very good first experience, and I'll be back.</t>
  </si>
  <si>
    <t>Louis</t>
  </si>
  <si>
    <t>So happy to find y’all and be able to order and receive the product. A lot of places are out. Thank you!</t>
  </si>
  <si>
    <t>Jacque Jenkins</t>
  </si>
  <si>
    <t>Updated Jan 25, 2022</t>
  </si>
  <si>
    <t>Will shop again</t>
  </si>
  <si>
    <t>the worst, don't buy from them. they screw everything up from the spelling of my name, my phone number and not telling me they were out of something i paid for and it was an urgent order.</t>
  </si>
  <si>
    <t>lulu</t>
  </si>
  <si>
    <t>the worst</t>
  </si>
  <si>
    <t>Mike Kellers</t>
  </si>
  <si>
    <t>Slow on delivery and communication</t>
  </si>
  <si>
    <t>The pet service I usually use was out of the cat food I needed. You had it. Your service is as good or better than what I usually use. You were fast and you kept me aware of its status. You have a new customer, I’m very pleased! Thank you!</t>
  </si>
  <si>
    <t>DEBORAH SPEARS</t>
  </si>
  <si>
    <t>Very pleased!</t>
  </si>
  <si>
    <t>Unfortunately my last 2 ordered have taken over a week to arrive. The last order apparently got "stuck" in the system and sat for a week in "order shipping" status, promoting a phone call to resolve.</t>
  </si>
  <si>
    <t>MYRNA STURGILL</t>
  </si>
  <si>
    <t>Unfortunately my last 2 ordered have…</t>
  </si>
  <si>
    <t>The plus with Petflow is that they carry Fromm and they don't price the product more than anyone else. Maybe the company controls that. Either way, that is the plus....however........shipping takes way too long. That is where Chewey excels. We are all in a hurry these days, including me, and I look to receive product with a day or two....not one week. If Petflow improves the shipping and can match what Chewey does, Petflow would be the preferred company. We have been buying from Chewey for 10 years...religiously. The order was placed with Petflow because of Fromm. Unfortunately, shipping took so long and having stock issues, I ended up replenishing direct with Fromm.</t>
  </si>
  <si>
    <t>ROXANNA RODRIGUEZ-JENKINS</t>
  </si>
  <si>
    <t>The plus with Petflow is that they…</t>
  </si>
  <si>
    <t>Very accommodating. Whenever I have to change my auto order they have no problem changing the date.</t>
  </si>
  <si>
    <t>PEGGY ALLEN</t>
  </si>
  <si>
    <t>Very accommodating</t>
  </si>
  <si>
    <t>Horrible customer service, repetitive delays in the purchases and buy with PetFlow made my life harder, it lost the good convenience that I previously had.</t>
  </si>
  <si>
    <t>PAUL MONTEIRO MORTENSEN</t>
  </si>
  <si>
    <t>Delays, Delays and more delays</t>
  </si>
  <si>
    <t>Petflow has most of the items that I need for my fur babies. Fast delivery and good communication if something in my auto ship program isn't available. Their customer service is the best!!!</t>
  </si>
  <si>
    <t>ANNETTE LIPPMAN</t>
  </si>
  <si>
    <t>Petflow has most of the items that I…</t>
  </si>
  <si>
    <t>Received text stating it was being shipped that day(12th) Six days later received another text stating was being shipped that day(18th)</t>
  </si>
  <si>
    <t>JAMES MACARI</t>
  </si>
  <si>
    <t>Disappointment</t>
  </si>
  <si>
    <t>I thought I was ordering small (5.5 oz) cans of dog food based on my item search and photo results. However, unknown to me, the 5.5 oz cans were out-of-stock so the order defaulted to the larger 13 oz cans, which is what was shipped to me. These larger cans spoil before I can finish them as I have a small dog. I contacted the company, requesting an exchange but was told I could return the larger cans for an account credit, however, they could not tell me when the smaller cans would be back in stock. I believe I should have been offered a refund rather than a credit. I also believe that it is misleading to not change the photo on the order page if the item is out of stock and a different item is being substituted.</t>
  </si>
  <si>
    <t>STEVE</t>
  </si>
  <si>
    <t>Picture did not match item sent</t>
  </si>
  <si>
    <t>arrived quickly and in good condition. Just what we needed, especially when these are so hard to find.</t>
  </si>
  <si>
    <t>me</t>
  </si>
  <si>
    <t>arrived quickly and in good condition</t>
  </si>
  <si>
    <t>6 out of my 10 items were cracked. The packing was horrible . And even though I heard from someone finally today . Now your out of stock for my items . You did put the money back on my card I really needed those items</t>
  </si>
  <si>
    <t>Dale Paciotti</t>
  </si>
  <si>
    <t>6 out of my 10 items were cracked</t>
  </si>
  <si>
    <t>Love PetFlow! Been using them for years!!!</t>
  </si>
  <si>
    <t>Kelly HECHINGER</t>
  </si>
  <si>
    <t>Part of my order was defective and I wrote to tell them so. I received a form letter of acknowledgement back, but it took 3 days for an actual response. The item is being replaced, but has not yet shipped and I think their customer service is pretty poor.</t>
  </si>
  <si>
    <t>B TAYLOR</t>
  </si>
  <si>
    <t>Defective Item</t>
  </si>
  <si>
    <t>As soon as I gave him his first taste he wouldn’t leave me alone after he ate lol what a great come back</t>
  </si>
  <si>
    <t>D.J. WEBBER</t>
  </si>
  <si>
    <t>As soon as I gave him his first taste…</t>
  </si>
  <si>
    <t>Great. I initially got only two of the four items I ordered . But the rest of the items I ordered came the next day.</t>
  </si>
  <si>
    <t>SARA GONZALES</t>
  </si>
  <si>
    <t>This was my first order from PetFlow, but it won't be my last. The dog food that I needed was available, the website was easy to navigate, and the order arrived on time. I'm a happy customer.</t>
  </si>
  <si>
    <t>SANDRA S</t>
  </si>
  <si>
    <t>This was my first order from PetFlow</t>
  </si>
  <si>
    <t>This would be five stars. Customers service was fast friendly and helpful. I deducted 2 stars because my order took so long to arrive...this was i m sure due to unforseen circumstances like our recent weather,covid and such however I was told at the time I placed my order that it would arrive in 3 to 4 days. Because of the delay i had to go locally and find a small bag of food to tide me over. It was just a hassle but things happen and I 'll live! Lol</t>
  </si>
  <si>
    <t>Brack</t>
  </si>
  <si>
    <t>This would be five stars</t>
  </si>
  <si>
    <t>Ordering dog food and treats online works out great!</t>
  </si>
  <si>
    <t>Dog owner</t>
  </si>
  <si>
    <t>Dog food and treats online worked out great!</t>
  </si>
  <si>
    <t>Packaging has improved, the 30lb bags I order are FINALLY coming in the proper sized boxes &amp; my last very large order (8 bags) were packed well and the tape held…a first. Your Customer Service on the phone was awesome luckily for me because I find the website very cumbersome when good savings sales are offered &amp; I must change my auto ship quantities for a one time sale.
Keep it up, you’re almost there!</t>
  </si>
  <si>
    <t>Petflow improves but still got a ways to go</t>
  </si>
  <si>
    <t>Good selection of pet food. Easy to order and shipping fast.</t>
  </si>
  <si>
    <t>Kathleen</t>
  </si>
  <si>
    <t>Good selection of pet food</t>
  </si>
  <si>
    <t>JOSEPH RUDDY</t>
  </si>
  <si>
    <t>Great service, quick shipping. I've been ordering Fromm dog dog food for over 4 years from PetFlow and have always been very satisfied with their service.</t>
  </si>
  <si>
    <t>ERIC SOMMER</t>
  </si>
  <si>
    <t>My dog is on a prescription dog food and I couldn’t find any. I called PetFlow and talked to the sweetest lady who helped me set up my order for recurring so I don’t have to worry about it. I’m sorry I cannot remember that lady’s name but a big shout out to her for all her advice and patience with me placing my order. I was so frustrated that I couldn’t find it but she calmed me down and got it taken care of.
I’m really impressed with PetFlow and have been recommending them to a lot of people. 👍👍</t>
  </si>
  <si>
    <t>GWYN GUILD</t>
  </si>
  <si>
    <t>Extremely Pleased!!! My dog is on a prescription dog food…</t>
  </si>
  <si>
    <t>I ordered a 25lb bag of dog food along with a 3.5lb of dog food. When the delivery day came, I only received the small bag. So, I called Pet Flow To find out what happened. Seemed they ran out of my dog's food at the nearest Wearhouse and had to send it to me from Las Vegas. They had sent me an email, but our power had gone out so by the time I called I hadn't revived it yet. We did get the dog food a couple of days late but that was because of a major snowstorm moving up the East Coast. I love Pet Flow as there send time is normally 2 or 3 days at most. I can't get upset with them over running out at one warehouse and a snowstorm. It seems like they do more than humanely possible as fast as they get there items out. I tell everyone I know where I get my dogs food. But it's up to them where they want to buy it. All I can say is Thank you Pet Flow, you are the best.</t>
  </si>
  <si>
    <t>PAMELA GOTTHART</t>
  </si>
  <si>
    <t>I ordered a 25lb bag of dog food along…</t>
  </si>
  <si>
    <t>Great on time delivery. Box and contents in good condition</t>
  </si>
  <si>
    <t>PAULA GOLDBERG</t>
  </si>
  <si>
    <t>Great on time delivery</t>
  </si>
  <si>
    <t>Petflow tries very hard to do what is right. I had a code for $10 off. On-line it took the discount &amp; then on the receipt, it was gone. I left a message and someone called me back. He didn't question the perc and immediately took the $10 off. Congrats for returning the call and giving no arguments. It was refreshing.</t>
  </si>
  <si>
    <t>RI dog owner</t>
  </si>
  <si>
    <t>Petflow does what's right by their customers</t>
  </si>
  <si>
    <t>30% of my deliveries have had slashes in the bag so I haven't been able to use the food. I've complained and most times they sent me a new bag but very inconvenient.</t>
  </si>
  <si>
    <t>MH</t>
  </si>
  <si>
    <t>Fast Delivery/Product Availability</t>
  </si>
  <si>
    <t>Ordered nearly two weeks ago Rx dog food. Status was always “shipping”, had to hound (no pun) them for status. Finally just gave up and cancelled the order. Look elsewhere.</t>
  </si>
  <si>
    <t>CHRISTINE HOWSE</t>
  </si>
  <si>
    <t>30% of my deliveries have had slashes…</t>
  </si>
  <si>
    <t>great service, prompt delivery</t>
  </si>
  <si>
    <t>RCS Nunya</t>
  </si>
  <si>
    <t>Ordered nearly two weeks ago Rx dog…</t>
  </si>
  <si>
    <t>Good selection and reasonable shipping times. Always have trouble ordering</t>
  </si>
  <si>
    <t>i was very happy with service from customer service.......</t>
  </si>
  <si>
    <t>Andrew</t>
  </si>
  <si>
    <t>Good selection and reasonable shipping…</t>
  </si>
  <si>
    <t>The one reason I placed an order with this Company was for a specific item they listed on their web site. I had to order another very small item to qualify for free shipping so I did. I was later informed the main item was no longer in stock and never had an option to cancel the other small item I didn't even want to begin with.</t>
  </si>
  <si>
    <t>BRENDA FLUHARTY</t>
  </si>
  <si>
    <t>Easy to order and always fast delivery.</t>
  </si>
  <si>
    <t>Was disappointed on my order, the item I ordered was out of stock and replacement with something else without informing.</t>
  </si>
  <si>
    <t>jim curtis</t>
  </si>
  <si>
    <t>i was very happy with service from…</t>
  </si>
  <si>
    <t>I give one star only because 0 wasn't an option. I placed my order, then get an email stating that the product I ordered was unavailable, in fact discontinued. Then I start getting emails saying my payment through PayPal wouldn't authorize...worked fine for everyone else but why are you even trying to charge it when merchandise was unavailable? I email to ask that question,get an email that someone would respond, in the meantime I get another email saying my payment method was again declined.</t>
  </si>
  <si>
    <t>JODI FRIEDMAN</t>
  </si>
  <si>
    <t>The box was falling apart- I can't imagine how the delivery driver managed to carry it to the porch. Fortunately the bags of food are intact and not
damaged.</t>
  </si>
  <si>
    <t>PHYLLIS ENMAN</t>
  </si>
  <si>
    <t>Good service and the dogs love the food.</t>
  </si>
  <si>
    <t>Excellent. Order on time. I will order something soon. Thank you</t>
  </si>
  <si>
    <t>ILONA GOMEZ</t>
  </si>
  <si>
    <t>Fast shipping and great service</t>
  </si>
  <si>
    <t>ROBERT TAYLOR</t>
  </si>
  <si>
    <t>Was disappointed on my order</t>
  </si>
  <si>
    <t>I give one star only because 0 wasn't…</t>
  </si>
  <si>
    <t>The box was falling apart- I can't…</t>
  </si>
  <si>
    <t>AMAR KAUR</t>
  </si>
  <si>
    <t>JACQUELINE CARDOZA</t>
  </si>
  <si>
    <t>I really loved my experience with PetFlow</t>
  </si>
  <si>
    <t>I really loved my experience with PetFlow. The items I ordered were well packaged and arrived in a timely manner.
I plan on continuing to do business with them.</t>
  </si>
  <si>
    <t>AUDRA CHMIEL</t>
  </si>
  <si>
    <t>Fabulous website &amp; excellent customer…</t>
  </si>
  <si>
    <t>Fabulous website &amp; excellent customer support &amp; service 👍</t>
  </si>
  <si>
    <t>Alex G.</t>
  </si>
  <si>
    <t>I placed my order on 09-January and did not receive my package until 17-January. I was expecting shipping to be sooner and I almost ran out of food for my 9 working dogs. Although I appreciate that PetFlow carries Open Farm, I will not be ordering the Dr. Tim’s from PetFlow any longer - will be going back to Chewy.</t>
  </si>
  <si>
    <t>LESLIE GOODMAN</t>
  </si>
  <si>
    <t>Excellent company</t>
  </si>
  <si>
    <t>Excellent company. I made a mistake and had to cancel an order and it was “ no problem”. Fast, great service … highly recommend.</t>
  </si>
  <si>
    <t>Joyceturney</t>
  </si>
  <si>
    <t>Great Company to order products wanted…</t>
  </si>
  <si>
    <t>Great Company to order products wanted since Pet Store where I normally gets them have quit handling these wonderful treats. Great service also.</t>
  </si>
  <si>
    <t>ROY A.</t>
  </si>
  <si>
    <t>First Order - All Good</t>
  </si>
  <si>
    <t>First order for new puppy food that wasn’t available locally. Process was easy, delivery was on time and packaged well. Will order again.</t>
  </si>
  <si>
    <t>ARIELA</t>
  </si>
  <si>
    <t>Horrible customer service. I order food for my dog. They charged but didn’t send it. I called them a week later and they said they didn’t have it in stock meanwhile they charged it already. They sent it later on without a hurry. 10 days later I haven’t received it yet. I don’t have the food I feed my dog. They didn’t even apologize or sent it in a faster delivery mode</t>
  </si>
  <si>
    <t>Renee Jones</t>
  </si>
  <si>
    <t>Quick and easy to receive pet food</t>
  </si>
  <si>
    <t>I spent a lot of time with my review. So I will submit but beware you have to accept certain terms and conditions to submit a review.
Everything went fine for a year and a half. Our dog needs a prescription diet. Then for the last shipment, they said the order was submitted. Then a few days later, I got a email saying they were out of the product. They had a pending charge on my credit card for more than a week for over $100.00.
I called and the girl basically said oh well sorry, that's the way it goes.
At this point we were close to being out of food. Our vet didn't have any. So I got some OTC food to mix with what we had left.
Finally, I went to Chewy and they sent some within a few days.
I can understand that in this day and age, that they ran out of the food, but their service was very mundane.
Try Chewy first.</t>
  </si>
  <si>
    <t>DAVID MUROFF</t>
  </si>
  <si>
    <t>accurate and timely delivery
thanks</t>
  </si>
  <si>
    <t>SUSAN HARRIS</t>
  </si>
  <si>
    <t>Try Chewy/This review site requires you to accept certain terms and conditions so don't bother filling this out if you want privacy.</t>
  </si>
  <si>
    <t>Ordered prescription cat food. My Vet approved the prescription in one day. Waited a week with no delivery. Called customer service and was told as soon as the pharmacy warehouse sends it out, I’ll get an email. After waiting 10 days with no email or food, I canceled the order and bought the food cheaper from my Vet Hospital. I would not use this company ever again.</t>
  </si>
  <si>
    <t>JANE BLACKMON</t>
  </si>
  <si>
    <t>Good service.</t>
  </si>
  <si>
    <t>It has taken too long to receive my order. Finally got one of the items, but can't even download the shipping information for the other item. I ordered prescription food for my dog-- something I needed in a timely manner.</t>
  </si>
  <si>
    <t>HL</t>
  </si>
  <si>
    <t>accurate and timely delivery</t>
  </si>
  <si>
    <t>Always there to answer questions and to help out!</t>
  </si>
  <si>
    <t>THOMAS ROGERS</t>
  </si>
  <si>
    <t>Being told it was delivered and it wasn't. I di nt receive the shipment until several days later, This is not acceptable!</t>
  </si>
  <si>
    <t>CAROLYN KENNEDY</t>
  </si>
  <si>
    <t>Very good customer service.</t>
  </si>
  <si>
    <t>Only received 1/2 of RX cat food order placed in December 2021.
No way to check on line.
Calls to customer service have not resulted in any feedback as to status.</t>
  </si>
  <si>
    <t>PATSY STAIR</t>
  </si>
  <si>
    <t>It has taken too long to receive my…</t>
  </si>
  <si>
    <t>SANDY HAYS</t>
  </si>
  <si>
    <t>LINDA VALENTE</t>
  </si>
  <si>
    <t>Products received on time</t>
  </si>
  <si>
    <t>PATRICIA SMITH</t>
  </si>
  <si>
    <t>Being told it was delivered and it…</t>
  </si>
  <si>
    <t>KIM R</t>
  </si>
  <si>
    <t>Easy to order and quick shipment.</t>
  </si>
  <si>
    <t>GREGORY SCOTT</t>
  </si>
  <si>
    <t>Only received 1/2 of RX cat food order…</t>
  </si>
  <si>
    <t>Placed order 1/3/22</t>
  </si>
  <si>
    <t>Placed order 1/3/22, being advised shipment would be made within 2-4 days. Never received shipment; called every few days - continuously received same story ... to be shipped within 2-4 days. Now 14 days later, still have received nothing ... including an acknowledgement that cannot ship. What a terrific waste of time.</t>
  </si>
  <si>
    <t>Excellent customer service. Patiently worked with me to solve problem with order.</t>
  </si>
  <si>
    <t>Pete Rector</t>
  </si>
  <si>
    <t>Updated Jan 31, 2022</t>
  </si>
  <si>
    <t>Generally timely and professional…except for the use of FedEx</t>
  </si>
  <si>
    <t>Generally timely and professional service. My major reason for not buying everything through Petflow is your use of FedEx Ground to deliver packages. In this area (North Georgia) FedEx is terrible. Most delivery packages in this area go through their Austell, GA facility. Austell is the place in Georgia where packages go to die. It has been unacceptable for the last 3 to 4 years…..packages will orbit in that facility for weeks. Damages, thefts, delays are routine. It is absolutely the worst.</t>
  </si>
  <si>
    <t>My order was fulfilled in two days…</t>
  </si>
  <si>
    <t>My order was fulfilled in two days without hiccups. Great prices, products and shipping!</t>
  </si>
  <si>
    <t>EVERETT HOBBS</t>
  </si>
  <si>
    <t>PETFLOW is the only supplier I can get…</t>
  </si>
  <si>
    <t>PETFLOW is the only supplier I can get the cat food my cat likes from. I can get the food he likes in bulk. And it is at a good price. He eats a can every day of one kind. And he is very picky. Thanks for being there.</t>
  </si>
  <si>
    <t>mary comer</t>
  </si>
  <si>
    <t>Check your bank balances people</t>
  </si>
  <si>
    <t>Check your bank balances people! If you’re on AutoShip even if you’re not. Check your bank balances. The food is great. My dog loves the food. No problems there. I bought 2 44 lb bags of this dog food for the first time on November 8 for $148.40. So then a week later on December 1 they had a 25% off sale. So I bought another two bags and ask them to put it on my AutoShip to be sent out January 10. So I’m going over my bank balances this morning and I noticed that they charged me the original $148.40 for 2 44 lb bags on November 8. Then I was charged $127.73 on December 1. My guess is that the bag I bought on sale on December 1.( The one I told them to put on the AutoShip.) Then again on December 3 I was charged another $127.73. Then on January 6 I was charged another $148.80. Then January 13 I was charged $159.66. I only received the original two that I bought on November 8 and I just received another two bags that I bought on sale that was in the auto ship. So they charged me an extra $450 for I have no idea what. So I called them to see why there charging me for dog food that I never authorized them to. I got a recording that said somebody will be with you immediately. I waited 20 minutes listening to stupid clown music. Then I got a recording saying please leave a message. I only made two legitimate purchases from them. So I’m just saying beware and check your bank accounts. Looks like they are looking for people who don’t check your bank balances and charging them extra hoping they won’t notice.</t>
  </si>
  <si>
    <t>KATHY DWYER</t>
  </si>
  <si>
    <t>No problems with the product but...</t>
  </si>
  <si>
    <t>No problems with the product, but shipping was VERY slow. Allow 10 or more days to get your food from them.</t>
  </si>
  <si>
    <t>al</t>
  </si>
  <si>
    <t>Overall I love PetFlow</t>
  </si>
  <si>
    <t>Overall I love PetFlow, but in this particular case where my auto-ship was delayed due to out-of-stock conditions I feel I was not notified sufficiently quickly enough to react. As a result, the Hills Prescription cat food I had ran out and I needed to switch my girls temporarily to another food--not something I wanted to do.
Further, once I contact PetFlow to discuss this (and explaining this prescription food is somewhat important to their well being) I felt it still took a bit longer than it should have to receive the work-around order (two smaller bags of the same food). Oh, and perhaps when the original auto-ship encountered the out-of-stock condition it would have been better for PetFlow to offer the alternative bag size so I could receive the food on time?
All that said, I might be expecting too much from PetFlow as the bar has been set really high. You guys are really great, so take the above more as a suggestion rather than a criticism.
Thanks.</t>
  </si>
  <si>
    <t>BRYAN</t>
  </si>
  <si>
    <t>They make it easy</t>
  </si>
  <si>
    <t>They make it easy; love how they call your vet for prescription food. Fast deliveries</t>
  </si>
  <si>
    <t>LINDA CISSEL</t>
  </si>
  <si>
    <t>Called PetFlow to see if I could get…</t>
  </si>
  <si>
    <t>Called PetFlow to see if I could get Meow Mix They were very helpful and
I ordered a Multi Pack Box. I received it right away. Everybody was very
police and nice. Will definitely use again.</t>
  </si>
  <si>
    <t>vincent</t>
  </si>
  <si>
    <t>Extremely good service</t>
  </si>
  <si>
    <t>Have ordered from PetFlow many have always had fast efficient service</t>
  </si>
  <si>
    <t>VICTORIA ORTIZ</t>
  </si>
  <si>
    <t>My package was stolen and they reached…</t>
  </si>
  <si>
    <t>My package was stolen and they reached out and provided me with a new bag at no cost.</t>
  </si>
  <si>
    <t>LEANNA</t>
  </si>
  <si>
    <t>Petflow helped me out in a pinch when…</t>
  </si>
  <si>
    <t>Petflow helped me out in a pinch when other companies were out of my cat’s prescription food, Petflow came through for me. I really appreciate that as she is older and needs her special food.</t>
  </si>
  <si>
    <t>DWAYNE B.</t>
  </si>
  <si>
    <t>Reasonable prices</t>
  </si>
  <si>
    <t>Reasonable prices, quick fulfilment and delivery. It's always like this. Thanks</t>
  </si>
  <si>
    <t>SARAH LEWIS</t>
  </si>
  <si>
    <t>Downhill service from Pet Flow</t>
  </si>
  <si>
    <t>My order arrived incomplete, and it was downhill from there on. I don't have time to detail my problems trying to get things straightened out. I had been satisfied with my experiences with Pet Flow in the past, but this was a total mess.</t>
  </si>
  <si>
    <t>They could not deliver</t>
  </si>
  <si>
    <t>They could not deliver. I called and called and received excuse after excuse.Ended up cancelling my order and order through Amazon!</t>
  </si>
  <si>
    <t>MARY DREXLER</t>
  </si>
  <si>
    <t>My auto ship from Petflow is so easy to…</t>
  </si>
  <si>
    <t>My auto ship from Petflow is so easy to use. It's easy to add or remove products depending on what my animals need that month. And if I end up needing something extra I can order and receive it quickly. On the rare occasions that something is backordered I get excellent communication from Petflow</t>
  </si>
  <si>
    <t>DAVID ROSENSTEIN</t>
  </si>
  <si>
    <t>Have ordered my furkids prescription…</t>
  </si>
  <si>
    <t>Have ordered my furkids prescription food several times. Your customer service has always been great.</t>
  </si>
  <si>
    <t>Marnie</t>
  </si>
  <si>
    <t>Variety!</t>
  </si>
  <si>
    <t>Pet flow still carries the brands I feed my dogs and at fair prices. Some outlets don't have the variety and choices I find on pet flow.</t>
  </si>
  <si>
    <t>Casey Adams</t>
  </si>
  <si>
    <t>Dog gates are sturdy</t>
  </si>
  <si>
    <t>Dog gates are sturdy, shipped quickly. Great service!</t>
  </si>
  <si>
    <t>The app is difficult</t>
  </si>
  <si>
    <t>The app is difficult, I tried to cancel the order and it didn’t work. I am going to stop the pet flow auto matic orders. They are difficult. I had a double order the time before. Too much trouble to change! M Upotn</t>
  </si>
  <si>
    <t>KATHRYN ROBERTS</t>
  </si>
  <si>
    <t>Fedex has not yet delivered the package</t>
  </si>
  <si>
    <t>Pet Flow shipments are always ontime and there is sometimes a discount.</t>
  </si>
  <si>
    <t>bmmmm</t>
  </si>
  <si>
    <t>Pet Flow shipments are always ontime…</t>
  </si>
  <si>
    <t>Great selection, ordering was easy, and my order arrived quickly and in good order. My experience was very positive.</t>
  </si>
  <si>
    <t>Anne Medley</t>
  </si>
  <si>
    <t>Great Selection and Service</t>
  </si>
  <si>
    <t>Products have been great. With all the limited choices, due to allergies, I have been great full to find what I need</t>
  </si>
  <si>
    <t>BO BENNETT</t>
  </si>
  <si>
    <t>Products have been great</t>
  </si>
  <si>
    <t>I ordered dog treats from the company my order was delivered within 3 to 5 days through the Christmas holiday two bags came cracked I called and they re-delivered two more bags and didn’t charge the customer service was really good it took no time to get the other two bags also I will definitely use them again</t>
  </si>
  <si>
    <t>I ordered dog treats from the company my…</t>
  </si>
  <si>
    <t>Product delivered on time as promised. Quality is excellent.</t>
  </si>
  <si>
    <t>RICHARD KOCH</t>
  </si>
  <si>
    <t>Product delivered on time as promised</t>
  </si>
  <si>
    <t>Not good service, a lot of back and forth and useless waiting</t>
  </si>
  <si>
    <t>Na</t>
  </si>
  <si>
    <t>Not good service</t>
  </si>
  <si>
    <t>I would usually leave 5 stars, but my pups dog food on several occasions has arrived late - So in result - I’ve had to go to stores to buy the same kibble.</t>
  </si>
  <si>
    <t>Seb</t>
  </si>
  <si>
    <t>Shipping has been off for autoship</t>
  </si>
  <si>
    <t>Shipping dates are really slow, which can be annoying for thing you cannot get locally. They always run 2-4 days later than expected it seems. When you have 5 hungry parrots, that can be an issue! They also have a limited selection of foods for dogs and birds, but what they do have, is decently priced and a bit lower than other sites. As they get going, I'm sure their products will expand, but for now it is limited. I'm more annoyed with shipping dates than anything else honestly.</t>
  </si>
  <si>
    <t>Shipping dates are really slow</t>
  </si>
  <si>
    <t>I placed my order Thursday the 6th. Asked by chat if Saturday is a business day...it isn't because the warehouses that have the supplies don't work weekends. Fine. Was told it would ship Friday and maybe FedEx would deliver Saturday, but I would have it Monday. It's shipping from NJ to KY...not too far so this seemed likely.
Guess what???....my order STILL isnt here and my dogs are out of food because I couldn't rely on this company. PetFlow advertises order will typically be received in 2 business days. Not even close, so I've had to buy dogfood they've never eaten before from Walmart to get them by. Not happy about this because this disrupts their diet. My order wasn't even picked up by FedEx until Monday night because the label wasn't even created until Monday! Tracking says it won't get here until Thursday the 13th. That's a week later! This horribly slow system doesn't cut it.</t>
  </si>
  <si>
    <t>Randy H</t>
  </si>
  <si>
    <t>Terrible!! Won't use this company again.</t>
  </si>
  <si>
    <t>First Time customer
Easy online ordering
Great Price
Delivery prompt
I’ll be sharing this company info without a doubt</t>
  </si>
  <si>
    <t>GSD Owner</t>
  </si>
  <si>
    <t>First Time customer</t>
  </si>
  <si>
    <t>My two kittens were recently prescribed a hydrolyzed protein diet. Because of the Pandemic, the food was next to impossible to find. Petflow had the products that I needed and quickly processed and delivered my order. I’m so grateful to have found this site. They’re amazing!</t>
  </si>
  <si>
    <t>ANNE KILLMAN</t>
  </si>
  <si>
    <t>Great service-always on time</t>
  </si>
  <si>
    <t>Still haven’t received my order! This is an awful experience! Will be my last</t>
  </si>
  <si>
    <t>HOLLY G</t>
  </si>
  <si>
    <t>Excellent variety and quick delivery</t>
  </si>
  <si>
    <t>Reliable and excellent.</t>
  </si>
  <si>
    <t>MICHELE URBAN</t>
  </si>
  <si>
    <t>Still haven’t received my order</t>
  </si>
  <si>
    <t>order place has stalled on Colorado from vegas on its way to Indiana. tracking is not being updated and the response time to email is a day or more behind.</t>
  </si>
  <si>
    <t>Heidi Kins</t>
  </si>
  <si>
    <t>Customer service is top notch! I love that I can message about my order in an email or text and get a reply quickly. Great discount for new customers and a constant supply of my pets food. Thank you pet flow!</t>
  </si>
  <si>
    <t>Glenn Hazelwood II</t>
  </si>
  <si>
    <t>pet flow order stuck in Colorado....not delivered</t>
  </si>
  <si>
    <t>I really like your products, the frequency of communication about a shipment and my pets are happy too! ☺️</t>
  </si>
  <si>
    <t>REBECCA LEONGUERRERO</t>
  </si>
  <si>
    <t>Customer service is top notch</t>
  </si>
  <si>
    <t>Pricing good. I was kept informed of delayed shipment due to weather. Will buy again!</t>
  </si>
  <si>
    <t>Suzanne TRAPANI</t>
  </si>
  <si>
    <t>I really like your products</t>
  </si>
  <si>
    <t>VICKIE BELT</t>
  </si>
  <si>
    <t>Pricing good</t>
  </si>
  <si>
    <t>LESLIE ADDIEGO</t>
  </si>
  <si>
    <t>I was luckily to find what I needed at…</t>
  </si>
  <si>
    <t>I was luckily to find what I needed at a great orice! Shipping was fast and because I met the minimum I got free shipping. Will shop again!</t>
  </si>
  <si>
    <t>DENICE FRENCH</t>
  </si>
  <si>
    <t>Been with Petflow going on 5 years now</t>
  </si>
  <si>
    <t>Been with Petflow going on 5 years now. They always help me if I need specialty food or just basic pet food. So many choices and the treats too! Thank you for meeting my expectations in each box I receive. Fan for life!
Denice</t>
  </si>
  <si>
    <t>JENNIFER HUGHES</t>
  </si>
  <si>
    <t>Delivery was quick and I'm very happy…</t>
  </si>
  <si>
    <t>Delivery was quick and I'm very happy with the RED gravel. RED gravel is hard to find.</t>
  </si>
  <si>
    <t>CHARLES APLIGIAN</t>
  </si>
  <si>
    <t>25% discount on quality dog food</t>
  </si>
  <si>
    <t>25% discount on quality dog food
is perfect</t>
  </si>
  <si>
    <t>DANIELLE W.</t>
  </si>
  <si>
    <t>PetFlow: not to be trusted / disaster</t>
  </si>
  <si>
    <t>PetFlow falsely advertised a food as in stock then withheld the funds they took from my account. I was diligent thankfully but despite my best efforts it still took 3 calls to customer service to get my money back. Each CS rep provided conflicting info with the previous rep. Never again.</t>
  </si>
  <si>
    <t>Vicki Wilson</t>
  </si>
  <si>
    <t>Very Fast service</t>
  </si>
  <si>
    <t>Very Fast service. Great deals on the food I purchase</t>
  </si>
  <si>
    <t>EDWARD GALE</t>
  </si>
  <si>
    <t>Food took 11 days to get here</t>
  </si>
  <si>
    <t>Placed an order for a prescription dog food on 12/27/2021 which your web site said was in stock, which was a surprise because all other pet stores were out of stock. Received a confirmation with an order number, pending charge on our credit card. Pending charge dropped off the credit card and when I checked the order status on the web site, there was no record of the order. Called customer service 3 times and was basically told the same thing…we received your order, the product is in stock, have received the prescription from the vet, the order is being processed and it will be expedited shipping. Never did receive a shipping confirmation or product. Guess you were out of stock too and didn’t want to let me know.</t>
  </si>
  <si>
    <t>JEWEL ARMSTRONG</t>
  </si>
  <si>
    <t>Still Waiting</t>
  </si>
  <si>
    <t>Would really like invoice included with shipment. Would alleviate one step in filing claims</t>
  </si>
  <si>
    <t>JOANN K CRAFT</t>
  </si>
  <si>
    <t>Would really like invoice included with…</t>
  </si>
  <si>
    <t>Great customer service. An order was placed and an item was missing. I sent an email to report it and they sent the item out immediately, no questions asked. Will continue to be a customer</t>
  </si>
  <si>
    <t>CRAIG EDNEY</t>
  </si>
  <si>
    <t>Easy to order, great price and fast shipping.</t>
  </si>
  <si>
    <t>SHAWN SKUNCA</t>
  </si>
  <si>
    <t>Perfect all around!</t>
  </si>
  <si>
    <t>PetFlow came through when other trusted online pet food providers dropped the ball. Even with the order itself and managing FedEx - they kept engaged until the entire was completely fulfilled and delivered... Service is tough to put a price tag on. THX PetFlow!!!</t>
  </si>
  <si>
    <t>Paul in South Jersey</t>
  </si>
  <si>
    <t>PetFlow came through when other trusted…</t>
  </si>
  <si>
    <t>Horrible communication, useless customer service, promised e-mails never received, “in stock” item still not received after 11 days. New tracking number refers to item already delivered, not item still waiting for. This was my first and last order.</t>
  </si>
  <si>
    <t>GAIL JOMAOAS</t>
  </si>
  <si>
    <t>Love your service.</t>
  </si>
  <si>
    <t>They have the dog food I use; but, not the cat food. They are slower to deliver than other sites.</t>
  </si>
  <si>
    <t>VIVIAN BAYLOR</t>
  </si>
  <si>
    <t>First and Last Order, Never Again</t>
  </si>
  <si>
    <t>Good, fast service.</t>
  </si>
  <si>
    <t>TINA R</t>
  </si>
  <si>
    <t>Pet flow staff have been knowledgeable, polite and able to meet my needs every time I have called. The products carried are high. Quality and competitively priced.</t>
  </si>
  <si>
    <t>Good site; but…</t>
  </si>
  <si>
    <t>Great to do business with. Very fast delivery. Will use again</t>
  </si>
  <si>
    <t>STEPHANIE</t>
  </si>
  <si>
    <t>Each order comes as anticipated and very timely.</t>
  </si>
  <si>
    <t>CAROLANN AUGER</t>
  </si>
  <si>
    <t>Pet flow staff have been knowledgeable</t>
  </si>
  <si>
    <t>SHIRLEY MARCH</t>
  </si>
  <si>
    <t>CCools</t>
  </si>
  <si>
    <t>Each order comes as anticipated and…</t>
  </si>
  <si>
    <t>Myra Cromer</t>
  </si>
  <si>
    <t>Good product and fast delivery.</t>
  </si>
  <si>
    <t>First time ordering from PetFlow. The online ordering process was quick and easy, and we received the order very promptly. Highly recommend Pet Flow!</t>
  </si>
  <si>
    <t>RITA SWINFORD</t>
  </si>
  <si>
    <t>Still waiting for an order…..</t>
  </si>
  <si>
    <t>PetFlow has a great selection and affordable prices on a variety of dog and cat foods. They ship quickly and always send notifications on the status of your order.</t>
  </si>
  <si>
    <t>William Wehrle</t>
  </si>
  <si>
    <t>First time ordering from PetFlow</t>
  </si>
  <si>
    <t>Ordered three bags of dog food, one was delivered promptly the other almost two weeks to arrive and when it did one of the bags had opened and spilled kibble all over the box.</t>
  </si>
  <si>
    <t>PetFlow has a great selection and…</t>
  </si>
  <si>
    <t>I’ve ordered from Petflow for over 5 years.
Ordered always delivered on time. Prices are righteous. Highly recommend</t>
  </si>
  <si>
    <t>JOSEPH T</t>
  </si>
  <si>
    <t>Ordered three bags of dog food</t>
  </si>
  <si>
    <t>Never did get my order and it took 3 days for you to let me know it was out of stock</t>
  </si>
  <si>
    <t>MARCIA ROTH</t>
  </si>
  <si>
    <t>I’ve ordered from Petflow for over 5…</t>
  </si>
  <si>
    <t>My dog, Hannah, absolutely LOVES this new pet food, She smells it from the other end of my house and comes running, waiting impatiently only to devour it in no time! Plus, the delivery was prompt. Thank you so much!</t>
  </si>
  <si>
    <t>CONNIE KANE</t>
  </si>
  <si>
    <t>Never did get my order and it took 3…</t>
  </si>
  <si>
    <t>Very fast delivery. Great discount 20%.
Thanks</t>
  </si>
  <si>
    <t>DIANE DUGGER</t>
  </si>
  <si>
    <t>Excellent service and value !</t>
  </si>
  <si>
    <t>My order arrived on time and complete. One product I wanted to order was out of stock, but there’s an option to get an email notification when it’s available which is extremely helpful.</t>
  </si>
  <si>
    <t>SUSAN MURPHY</t>
  </si>
  <si>
    <t>My dog LOVES this new pet food!</t>
  </si>
  <si>
    <t>I’m very happy with Petflow. They were great with me and my vet to get the vet to prescribe Canine TD’s. (My vet was not so nice!)</t>
  </si>
  <si>
    <t>KATHY HART</t>
  </si>
  <si>
    <t>Great food...our 5 dogs love it.</t>
  </si>
  <si>
    <t>Been a customer for several years now. Reliable shipping and excellent email notice to help me adjust my autoship if needed. Excellent customer service by phone when needed.</t>
  </si>
  <si>
    <t>LISA BELAJAC</t>
  </si>
  <si>
    <t>Great service fast delivery</t>
  </si>
  <si>
    <t>Out of the last ten orders, three were messed up and did not deliver on time. One of which required our cat sitter to go to a specialty pet shop to get food while we were on vacation.</t>
  </si>
  <si>
    <t>MILES KUDO</t>
  </si>
  <si>
    <t>My recent order was delayed due to weather and the shipping company. When I spoke with the Petflow customer service they were helpful tracking the package and keeping me posted on when it would be received. I appreciate this help.</t>
  </si>
  <si>
    <t>AH</t>
  </si>
  <si>
    <t>My order arrived on time and complete</t>
  </si>
  <si>
    <t>I didn't get my delivery but when I talked to the customer service man, we discovered I hadn't changed my address at Petflow since I moved in May. It got sent to the old house. But he went ahead and sent a replacement to my new address. He was very kind, even when it was my fault.</t>
  </si>
  <si>
    <t>Deborah Pines</t>
  </si>
  <si>
    <t>I’m very happy with Petflow</t>
  </si>
  <si>
    <t>I have received numerous orders from this company, and they are always accurate and timely. That's why I will continue to order from them.</t>
  </si>
  <si>
    <t>CHARLENE STEWART</t>
  </si>
  <si>
    <t>Quick response to my order with…</t>
  </si>
  <si>
    <t>Quick response to my order with delivery time, kept me updated.</t>
  </si>
  <si>
    <t>jazan</t>
  </si>
  <si>
    <t>Food and toy came quicker than expected.</t>
  </si>
  <si>
    <t>My order came in good time. I have been unable to locate Hill Science Diet food through my usual sources, however, PetFlow came through with flying colors. Not only was I able to obtain some of the wet food I normally feed my cats but I was able to obtain comparable choices from other suppliers. Kudos to PetFlow.</t>
  </si>
  <si>
    <t>Leila</t>
  </si>
  <si>
    <t>My order came in good time</t>
  </si>
  <si>
    <t>Very good company with a wide selection of products. Timely delivery and easy to order. I like this site very much!</t>
  </si>
  <si>
    <t>Very good company with a wide selection…</t>
  </si>
  <si>
    <t>Great selection of product. I have always found my selections in stock. Deliver is unbelievably fast.</t>
  </si>
  <si>
    <t>Debb</t>
  </si>
  <si>
    <t>Great selection of product</t>
  </si>
  <si>
    <t>Coupons never are useable for purchase of Fromm dog food.
Delivery is by FedEx. In a word FedEx is lousy. I realize this is another company but they are making PetFlow look bad and they chose them.</t>
  </si>
  <si>
    <t>Gordon</t>
  </si>
  <si>
    <t>Coupons and FedEx</t>
  </si>
  <si>
    <t>My Buddy LOVES the treats from PetFlow!! On my last order one item he dearly loves was left off because it was out of stock. To my surprise, when PetFlow's new shipment arrived they sent the item!! SOPLEASED!! Never has that happen with any company (that is strictly for pets) before</t>
  </si>
  <si>
    <t>Buddy's mom</t>
  </si>
  <si>
    <t>Buddy &amp; his treats!</t>
  </si>
  <si>
    <t>Competitive prices, great delivery, honest and trustworthy.</t>
  </si>
  <si>
    <t>Selena G Matelich</t>
  </si>
  <si>
    <t>Exactly what I would expect - in a very good way.</t>
  </si>
  <si>
    <t>Overflow consistently delivers high quality cat food to my house. What could be better?</t>
  </si>
  <si>
    <t>DAN CHRISINGER</t>
  </si>
  <si>
    <t>Overflow consistently delivers high…</t>
  </si>
  <si>
    <t>My cat passed away unexpectedly a couple days after Ordering her prescription food online. I contacted customer service via text - very convenient option. They were not able to return the food because it had already shipped, but when I shared my situation they refunded my money and told me to donate the food to a local animal shelter. Which I did. The kindness and sympathy that the person on the other end of my texts really meant a lot to me. Customer for life. Thank you again. I am very grateful.</t>
  </si>
  <si>
    <t>Laura Bartlett</t>
  </si>
  <si>
    <t>Incredible kindness from customer service</t>
  </si>
  <si>
    <t>I love the convenience, but PetFlow’s online ordering set-up is SOOOOO difficult to use. Result? I’ve had multiple, unwanted shipments, no matter what I do.
For months, I’ve tried to get rid of an extra auto-ship program. I cancelled. Chat reps cancelled. Finally a phone call SEEMED to have worked … until I got a double shipment last week. AGAIN.
Stay on them like white on rice, because you will have a very hard time dealing with your auto-ship.</t>
  </si>
  <si>
    <t>Westie Mom</t>
  </si>
  <si>
    <t>Convenient but get multiple shipments I don’t want</t>
  </si>
  <si>
    <t>Love the extensive variety of pet foods especially the better brands. Prices are comparable to or better than others. Delivery is quick. Only one constructive feedback is the shopping cart view. I would prefer it could be full screen.</t>
  </si>
  <si>
    <t>PAMELA BACON</t>
  </si>
  <si>
    <t>Love this company!</t>
  </si>
  <si>
    <t>I still haven’t received my order.
I ordered some dog food, and a $2 chinchilla chew to get free shipping.
The chinchilla toy came quickly, and it was in a HUGE box that could have fit the bag of dog food that I ordered as well.
The dog food still has not come, and yes it might be a supply chain issue, but there’s been no communication at all and still no update.</t>
  </si>
  <si>
    <t>MALLORY EVRON</t>
  </si>
  <si>
    <t>I still haven’t received my order.</t>
  </si>
  <si>
    <t>I've been buying quality pet food from petflow for about three years. They carry quality brands, they have excellent customer service, and their website is easy to navigate. I like the autoship option which is also easy to edit, so I have only great things to say about this company. Thanks to petflow, I know I can count on timely delivery of quality food for my two cats.</t>
  </si>
  <si>
    <t>LESLIE</t>
  </si>
  <si>
    <t>Top quality and customer service</t>
  </si>
  <si>
    <t>On time and best price. Good by Amazon!</t>
  </si>
  <si>
    <t>I had trouble finding my cat’s prescription food. Customer service was marvelous and ultimately I was able to secure a bag for her.</t>
  </si>
  <si>
    <t>Sofie Dogie</t>
  </si>
  <si>
    <t>Place the order 11 days ago and still no shipment yet. Call them a few days ago and was informed that it was ready to ship but still no info whatsoever.</t>
  </si>
  <si>
    <t>BR</t>
  </si>
  <si>
    <t>On time and best price</t>
  </si>
  <si>
    <t>Leila A</t>
  </si>
  <si>
    <t>Great site, great service</t>
  </si>
  <si>
    <t>NS</t>
  </si>
  <si>
    <t>Do not order from this site</t>
  </si>
  <si>
    <t>Monica R Harris</t>
  </si>
  <si>
    <t>MARTHA WALLACE</t>
  </si>
  <si>
    <t>Very timely service</t>
  </si>
  <si>
    <t>Very timely service. Thanks!</t>
  </si>
  <si>
    <t>Cyndy Raeshke</t>
  </si>
  <si>
    <t>Always fast delivery and good prices.</t>
  </si>
  <si>
    <t>Great + quick delivery! Thanks</t>
  </si>
  <si>
    <t>ERIC PERKINS</t>
  </si>
  <si>
    <t>Great + quick delivery</t>
  </si>
  <si>
    <t>One of the few places I could find what I needed, at a great price was the cherry on top. It shipped quickly and got here fast, i now have some happy cory catfish.</t>
  </si>
  <si>
    <t>GM</t>
  </si>
  <si>
    <t>One of the few places I could find what…</t>
  </si>
  <si>
    <t>always get my order quickly and good prices too</t>
  </si>
  <si>
    <t>JANE HENDERSON</t>
  </si>
  <si>
    <t>always get my order quickly and good…</t>
  </si>
  <si>
    <t>I was pleasantly surprised that PetFlow had the special canned cat food that I was looking for and couldn't find locally. Additionally, the shipment was very well packed and arrived quickly. This was my first time to order from PetFlow, and I was impressed. Will definitely order again!</t>
  </si>
  <si>
    <t>Tcrc</t>
  </si>
  <si>
    <t>I was pleasantly surprised that PetFlow…</t>
  </si>
  <si>
    <t>Everything came to my home in time before I ran out of dog food. The one toy was slow but it all still made it to my home so the dog could enjoy it.</t>
  </si>
  <si>
    <t>Shane Oksanen</t>
  </si>
  <si>
    <t>Everything came to my home in time…</t>
  </si>
  <si>
    <t>Love this company always have what I order
Shipment comes really fast
Never had a problem with PetFlow</t>
  </si>
  <si>
    <t>Mary Lou</t>
  </si>
  <si>
    <t>Love this company always have what I…</t>
  </si>
  <si>
    <t>Great products!
Great prices!
Fast shipping!
Employees on phone are so courteous,helpful and knowledgeable!
Exceptional place to shop!</t>
  </si>
  <si>
    <t>DORIS SHEINFELD</t>
  </si>
  <si>
    <t>Great products!</t>
  </si>
  <si>
    <t>Easy website layout and good selection of pet food! I love the Fromm dry cat food selection and my cat loves his treats too! My cat approves Petflow!</t>
  </si>
  <si>
    <t>TENZIN YONTEN</t>
  </si>
  <si>
    <t>Easy website layout and good selection…</t>
  </si>
  <si>
    <t>Excellent quick delivery with best pricing - will definitely be a returning customer</t>
  </si>
  <si>
    <t>DEBRA G</t>
  </si>
  <si>
    <t>Excellent quick delivery with best…</t>
  </si>
  <si>
    <t>My initial shipment was damaged, but the CSR was extremely helpful and sent me a replacement promptly.</t>
  </si>
  <si>
    <t>JOHN DANIELS</t>
  </si>
  <si>
    <t>My initial shipment was damaged but PetFlow made it right</t>
  </si>
  <si>
    <t>It's been over two weeks and I have yet to receive a shipping confirmation. Will likely dispute order.</t>
  </si>
  <si>
    <t>Theresa H</t>
  </si>
  <si>
    <t>Fast shipping.</t>
  </si>
  <si>
    <t>Received exactly what I ordered and in excellent condition. Thank you!</t>
  </si>
  <si>
    <t>GREG REED</t>
  </si>
  <si>
    <t>It's been over two weeks and I have yet…</t>
  </si>
  <si>
    <t>I love using petflow! They have wonderful options for my dog and good communication on orders. Highly recommend.</t>
  </si>
  <si>
    <t>VLA</t>
  </si>
  <si>
    <t>Received exactly what I ordered and in…</t>
  </si>
  <si>
    <t>Very nice. Better than expected. We purchased it for Ferrell cats to stay warm. We set it up in our house and our cat thinks it's his new house. He loves it.</t>
  </si>
  <si>
    <t>Kirsten</t>
  </si>
  <si>
    <t>PetFlow's customer service is exceptional. The website is easy to navigate and check out. Super fast shipping.</t>
  </si>
  <si>
    <t>Gary Trevillyan</t>
  </si>
  <si>
    <t>Very nice</t>
  </si>
  <si>
    <t>Pet Flow continues to carry the special dog food that I require for my pet at a good price and they ship it super fast. Very satisfied with their service.</t>
  </si>
  <si>
    <t>Jean Anne</t>
  </si>
  <si>
    <t>PetFlow is my go to....</t>
  </si>
  <si>
    <t>PetFlow offers a wide variety of limited ingredient snacks for my dogs, and the prices are very reasonable.</t>
  </si>
  <si>
    <t>TomD</t>
  </si>
  <si>
    <t>Pet Flow stocks the dog food I need</t>
  </si>
  <si>
    <t>NEITA BUSCHER</t>
  </si>
  <si>
    <t>PetFlow offers a wide variety of…</t>
  </si>
  <si>
    <t>RITA MILLER</t>
  </si>
  <si>
    <t>It take too long to arrive to my area.</t>
  </si>
  <si>
    <t>I was sucked in by the promise of a discount in exchange for my email address. Then I couldn't use the discount because it had a previously undisclosed minimum order requirement which was extremely high. I felt tricked. I would normally order 1 bag of dog food at a time but I ordered 2 in order to get over the amount required for free shipping. I would have had to have ordered 3 bags to get the discount.</t>
  </si>
  <si>
    <t>DEBORAH B.</t>
  </si>
  <si>
    <t>I was sucked in by the promise of a discount</t>
  </si>
  <si>
    <t>Service extremely quick and they seem to have a supply over and above what other entities have on hand. First time with PetFlow, but will certainly look to them as an option in the future!</t>
  </si>
  <si>
    <t>Sandee</t>
  </si>
  <si>
    <t>Service extremely quick and they seem…</t>
  </si>
  <si>
    <t>I’ve used Petflow for years and have always received top notch service. I love the enormous variety of products available for my 2 dogs and I’ve easily found the best products for each (1 is 5 and the other is 14). They also include the sources for the products which I find very important. Deliveries have always been on time and my dogs are so excited to have their own deliveries. Additionally I always receive notification of upcoming deliveries well before the shipping date and I can easily adjust my order. Getting the best for my boys could not be easier. I would highly recommend Petflow and hope you enjoy them as much we do!</t>
  </si>
  <si>
    <t>Mona Berrier</t>
  </si>
  <si>
    <t>I’m a happy camper</t>
  </si>
  <si>
    <t>Pet Flow is wonderful but the delivery leaves much to be desired. Fed Ex refuses to bring my packages to my front door. Instead they are left in the street.</t>
  </si>
  <si>
    <t>CYNTHIA GREENE</t>
  </si>
  <si>
    <t>Pet Flow great, delivery awful.</t>
  </si>
  <si>
    <t>Petflow has been fine, not stellar, with occasional hiccoughs on prescription food authorization. Lately, they've been completely unreliable as a retailer, causing us to cancel our subscriptions and move to Chewy.</t>
  </si>
  <si>
    <t>Petflow has been fine</t>
  </si>
  <si>
    <t>Wide variety of products and fast service on orders, even if they are specialty items.</t>
  </si>
  <si>
    <t>RJ Koser</t>
  </si>
  <si>
    <t>A Company Dedicated to Service</t>
  </si>
  <si>
    <t>The product was good and well packaged, but it was a week late and required me to go all over the local area multiple times to supplement the food until me order got here. I'd be perfectly happy and would definitely order things again if Pet Flow would stop using FedEx for their shipper.</t>
  </si>
  <si>
    <t>ALISHA R</t>
  </si>
  <si>
    <t>Good product, well packaged</t>
  </si>
  <si>
    <t>My dog food took 1 week and 1/2 to arrive to me.</t>
  </si>
  <si>
    <t>LINDA M</t>
  </si>
  <si>
    <t>My dog food took 1 week and 1/2 to…</t>
  </si>
  <si>
    <t>Petflow is great! You call and always get a live person right away. I've been with them for years. Can't beat their customer service!!!</t>
  </si>
  <si>
    <t>JOE BOLINO</t>
  </si>
  <si>
    <t>I thought I had cancelled one order to order a different food. It turned out I got both orders. I was told it would be fine to keep them both and use them and just set a later date for my auto shipping.</t>
  </si>
  <si>
    <t>SKYE RABEL</t>
  </si>
  <si>
    <t>I thought I had cancelled one order to…</t>
  </si>
  <si>
    <t>PetFlow delivers quickly. They have an autoship program; You can change your auto ship as many times as you want and they have the best prices for the quality of products</t>
  </si>
  <si>
    <t>Debra L.</t>
  </si>
  <si>
    <t>PetFlow delivers quickly</t>
  </si>
  <si>
    <t>My order of dog food was shipped on a Monday. Said Friday delivery and did not come till the next Monday. With that delay I had to go get dog food I didn’t want to in order to get by until my order came. Chewy takes 2 days. I guess I’ll go back there.</t>
  </si>
  <si>
    <t>SUSAN S</t>
  </si>
  <si>
    <t>I purchased some hard to find puppy food because no stores in my area carry it. I found it in stock with PetFlow. I ordered it and they use FedEx as their shipping carrier. I have had numerous problems with getting my packages late via FedEx. I emailed PetFlow to give them some feedback about FedEx. I have not heard back from them. I am not faulting them for FedEx’s slowness, I only reached out to them so they would be aware that some customers experience slow shipping times with FedEx. Unfortunately I will not continue to order from websites that ship via FedEx. I will transition my dog to a food I can readily purchase in stores.</t>
  </si>
  <si>
    <t>Food fine;shipping not; PetFlow customer service - no response</t>
  </si>
  <si>
    <t>Great selection and easy to check out. Shipment came in a timely manner.</t>
  </si>
  <si>
    <t>LISA C.</t>
  </si>
  <si>
    <t>Great selection and easy to check out</t>
  </si>
  <si>
    <t>Petflow is efficient and speedy. I never worry that my product will arrive on time</t>
  </si>
  <si>
    <t>PAULETTE HAWKINS</t>
  </si>
  <si>
    <t>Petflow is efficient and speedy</t>
  </si>
  <si>
    <t>PetFlow is fast and accurate. They beat Amazon on delivery time. The prices are on target and no complaints about the product from Stanley or Bruski. Very glad we found them!!! Thank you!</t>
  </si>
  <si>
    <t>BRIGITTE LEEMAN</t>
  </si>
  <si>
    <t>PetFlow is fast and accurate</t>
  </si>
  <si>
    <t>Love the quick shipping. Love the cost of foods (i.e Royal Canin). Love that items are in stock and Love the customer service.
What else is there?</t>
  </si>
  <si>
    <t>freneticminde</t>
  </si>
  <si>
    <t>I made an order from Petflow awhile back. Never received the order. When I checked the order, it had been canceled due to an error by the Veterinarian. Unfortunately, no one told me it was cancelled. I called the Veterinarian and their internal communications got confused and that is why they cancelled. So I called Petflow back, with the Veterinarians office on the other phone. They assured me they could get the order/reordered. And the Veterinarians office was signing the original Rx while all 3 of us were on the line. I let Petflow know that I needed this food ASAP, and I would pay whatever I needed to pay to get the order expedited. They assured me this would be done. The order was done on 12/17/2021. And as I said, with the Petflow employee and the Veterinarian that could hear each other. Here is is almost 5 days later and this order has not been filled and sent. I was not notified of the first cancellation, and not sure if this order was ever set up for an expedited delivery. I am hoping that someone will get back to me on this, as I am currently having to purchase a can at a time from the Veterinarian.
Thank you for your time with this matter.
Isabel Campbell 253-691-3821</t>
  </si>
  <si>
    <t>ISABEL CAMPBELL</t>
  </si>
  <si>
    <t>I made an order from Petflow awhile…</t>
  </si>
  <si>
    <t>I received my complete order. It was a few days later than usual but that was to be expected at Christmas time. The problem was that a bottle of white dog. shampoo had opened up inside the box and covered a 15 pound bag of dog food and a raincoat with a whole bottle of blue shampoo. It was everywhere, slippery sticky and blue. I managed to get it off the bag and finally the raincoat. The shampoo bottle was essentially empty and the inside of the box was a big blue mess. I realize that these things happen. Perhaps having a plastic bag that zip locks closed instead of just an open plastic bag that the product can fall out of would be a good idea . Still out of shampoo.</t>
  </si>
  <si>
    <t>CHRISTINE DEMERS</t>
  </si>
  <si>
    <t>On time, order complete but a boxed soapy mess.</t>
  </si>
  <si>
    <t>Foster mom</t>
  </si>
  <si>
    <t>As always 5 stars</t>
  </si>
  <si>
    <t>My one complaint is that you cannot cancel an order on your online account, had to call numerous times to get a customer service agent to fix a mistake on ordering. Very frustrating, hope they make changes with online ordering.</t>
  </si>
  <si>
    <t>Helen pero</t>
  </si>
  <si>
    <t>My one complaint is that you cannot…</t>
  </si>
  <si>
    <t>So much care was placed into packing my order, it was wonderful! There was a lot of cushion in the box so the cans didn't arrive all bent. I will definitely place another order soon!</t>
  </si>
  <si>
    <t>dw</t>
  </si>
  <si>
    <t>Very happy!</t>
  </si>
  <si>
    <t>They shipped my wet catfood over a week after I placed the order, scheduling it to be delivered the 22nd of december and could do nothing to delay or cancel the order even before ups had it. So my food is going to freeze over and over again while we are gone for christmas, if i dont pay a big fee to get ups to hold it.</t>
  </si>
  <si>
    <t>S. Cat</t>
  </si>
  <si>
    <t>They shipped my wet catfood over a week…</t>
  </si>
  <si>
    <t>Prompt shipping. I ordered Dr Marty for my fussy dog, and he likes it so I will order again.</t>
  </si>
  <si>
    <t>Candy Horn</t>
  </si>
  <si>
    <t>Prompt shipping</t>
  </si>
  <si>
    <t>Petflow is a class act
Always have my product in stock and fast free shipping
A+++++++</t>
  </si>
  <si>
    <t>ROBERT DEVICARIIS TORREY</t>
  </si>
  <si>
    <t>Petflow is a class act</t>
  </si>
  <si>
    <t>I have been buying my dog food from Petflow for years now. It has always arrived quickly and fresh and my dog is happy.</t>
  </si>
  <si>
    <t>J Jarvis</t>
  </si>
  <si>
    <t>Very reliable auto ship and quick with off cycle purchases.</t>
  </si>
  <si>
    <t>prices r good shipping fast</t>
  </si>
  <si>
    <t>Excellent service with competitive pricing</t>
  </si>
  <si>
    <t>SARAH K</t>
  </si>
  <si>
    <t>Dented dog food cans at times. Sent concern about this five days ago and have yet to receive a response.</t>
  </si>
  <si>
    <t>CHArles</t>
  </si>
  <si>
    <t>Good product and fast shipping</t>
  </si>
  <si>
    <t>There was a mistake in the order and they didn't hesitate to make it right. Great customer service. Great product</t>
  </si>
  <si>
    <t>Dave Fishman</t>
  </si>
  <si>
    <t>Excellent service with competitive…</t>
  </si>
  <si>
    <t>Great products offered with fast delivery, thank you!</t>
  </si>
  <si>
    <t>Lisa G</t>
  </si>
  <si>
    <t>Updated Dec 20, 2021</t>
  </si>
  <si>
    <t>The price was right and the quality was great. That, along with fast shipping gives PetFlow 5 stars.</t>
  </si>
  <si>
    <t>BO SMITH</t>
  </si>
  <si>
    <t>There was a mistake in the order and…</t>
  </si>
  <si>
    <t>Great site! I discovered it by accident after chewy was out of my cat’s food. I gave it a try and was pleasantly surprised how wonderful petflow was. The delivery was very fast ,the product fresh and well packaged. They saved the day. Now I ordered again and this time the price was great and once again they did not disappoint . I will continue being a repeat customer. Thank you.</t>
  </si>
  <si>
    <t>CHRISTINE</t>
  </si>
  <si>
    <t>I discovered Petflow when another major retailer had no inventory of my cat’s preferred flavor of prescription food. I enjoyed the experience and fresh inventory so much that I’ve been buying from Petflow ever since!</t>
  </si>
  <si>
    <t>Mike Allis</t>
  </si>
  <si>
    <t>The price was right and the quality was…</t>
  </si>
  <si>
    <t>I searched at least six different retailers to find this special canned pâté food specially formulated for my small breed Senior picky eater (with only 3 remaining teeth) to no avail. I was desperate, as my little 17-yr. old girl turns away from nearly all other similar products. This food is an “appetite stimulating” product which has seemed to do the trick to get her eating again. I ordered an entire case and was glad I did! It was sold out or unavailable everywhere else. PetFlow came through for me with easy ordering and quick delivery. Thank you!</t>
  </si>
  <si>
    <t>VN</t>
  </si>
  <si>
    <t>Great site</t>
  </si>
  <si>
    <t>Never had a problem. Have recommended</t>
  </si>
  <si>
    <t>BRANDON R</t>
  </si>
  <si>
    <t>Friendly staff, great selection of cat food, and quick shipping!</t>
  </si>
  <si>
    <t>Order was easy to place and delivery was prompt. Thank you!</t>
  </si>
  <si>
    <t>Ordering made easy!</t>
  </si>
  <si>
    <t>RUTH PETRUCCI</t>
  </si>
  <si>
    <t>Never had a problem</t>
  </si>
  <si>
    <t>Constance</t>
  </si>
  <si>
    <t>JULIANA GALSON</t>
  </si>
  <si>
    <t>Very Happy with Order &amp; Delivery</t>
  </si>
  <si>
    <t>Thank you for the ease of ordering &amp; the speed of getting my order delivered. Also, I am very impressed with your website.</t>
  </si>
  <si>
    <t>Kona and Big D’S mom</t>
  </si>
  <si>
    <t>Get place for special dog food delivery</t>
  </si>
  <si>
    <t>I have been ordering my dogs food from Petflow for a few years. They always have a quick turn around from order being placed to delivery. My dogs eat Fromms large breed dog food which can only be purchased in specialty stores. Petflow has been wonderful to order the food. I just place the order and a few days later the food arrives on my front door step. Awesome service.</t>
  </si>
  <si>
    <t>PATTI ELLIS</t>
  </si>
  <si>
    <t>I have had great experience with PetFlow.</t>
  </si>
  <si>
    <t>I have had a great experience with PetFlow. Only once I had a package/delivery that was stuck somewhere unknown. Customer Service immediately sent it to me again without question. I was grateful and impressed.
Also, when you place an order with PetFlow you need to stand by the door because PetFlow has fast delivery :-)</t>
  </si>
  <si>
    <t>Catherine Rust</t>
  </si>
  <si>
    <t>Always quality items from Pet Flow</t>
  </si>
  <si>
    <t>Always quality items from Pet Flow. And they are recieved in a timely manner!</t>
  </si>
  <si>
    <t>HEATHER MCCARTY</t>
  </si>
  <si>
    <t>I like this company</t>
  </si>
  <si>
    <t>I like this company. They have a great selection of dog foods that are difficult to find other places. Their prices are comparable to other sites, although they may be a few dollars higher, I like that they say they do note food to animal shelters.</t>
  </si>
  <si>
    <t>NEWT PEARSON</t>
  </si>
  <si>
    <t>Do not buy from Pet Flow False info on delivery date</t>
  </si>
  <si>
    <t>False info on delivery date . No follow up . Product seems to be stuck in transit in a black hole in neighboring state. Product is over a week delayed from promised date with no follow up status update . Will never deal with pet flow again . Not a well run business .</t>
  </si>
  <si>
    <t>Marguerite</t>
  </si>
  <si>
    <t>Great communication and speedy service…</t>
  </si>
  <si>
    <t>Great communication, speedy service and delivery even when supplies are low. Thank you!</t>
  </si>
  <si>
    <t>tanu</t>
  </si>
  <si>
    <t>good customer service</t>
  </si>
  <si>
    <t>very pleasant experience. good customer service.
fast delivery. Prices are ok.</t>
  </si>
  <si>
    <t>SANDRA K</t>
  </si>
  <si>
    <t>Placed order and received item earlier…</t>
  </si>
  <si>
    <t>Placed order and received item earlier than anticipated, will definitely us this vendor again considering we have four Bernese Mountain Dogs, they do eat.</t>
  </si>
  <si>
    <t>Joann Starks</t>
  </si>
  <si>
    <t>I’m still waiting for my dog food…</t>
  </si>
  <si>
    <t>I’m still waiting for my dog food delivery, or even an update. No news since it reached my local distribution center 3 days ago. ??</t>
  </si>
  <si>
    <t>MONICA DANFORTH</t>
  </si>
  <si>
    <t>Things came well packaged and timely</t>
  </si>
  <si>
    <t>Things came well packaged and timely! No complaints</t>
  </si>
  <si>
    <t>GLW</t>
  </si>
  <si>
    <t>Took 6 days in transit</t>
  </si>
  <si>
    <t>Took 6 days in transit, the packaging was taped and retaped. The treats were on each side of the package front and back. No doubt they will be dust when I open them. This company needs to step up there game in the shipping department.</t>
  </si>
  <si>
    <t>Jay</t>
  </si>
  <si>
    <t>Prices were good</t>
  </si>
  <si>
    <t>Prices were good, product availability was good, shipping was good and free. I'm happy with them.</t>
  </si>
  <si>
    <t>Z Guzman</t>
  </si>
  <si>
    <t>PetFlow is responsive to clients</t>
  </si>
  <si>
    <t>PetFlow is responsive to clients, with good prices and discounts. Fast shipping</t>
  </si>
  <si>
    <t>James Hayden</t>
  </si>
  <si>
    <t>All's well</t>
  </si>
  <si>
    <t>Except for a blip on the refund, all is well. Will continue to get my fog food here.</t>
  </si>
  <si>
    <t>what i wanted quickly received with…</t>
  </si>
  <si>
    <t>what i wanted quickly received with terrific phone support</t>
  </si>
  <si>
    <t>Holly Robinson</t>
  </si>
  <si>
    <t>huge variety of pet supplies and fast…</t>
  </si>
  <si>
    <t>huge variety of pet supplies and fast shipping.</t>
  </si>
  <si>
    <t>BARBARA TUMMINELLI</t>
  </si>
  <si>
    <t>I couldn’t</t>
  </si>
  <si>
    <t>I couldn’t, find my cats favorite food in any of major stores or any of the major online store but petflow had it and was able to get fast and easy</t>
  </si>
  <si>
    <t>Jess Rodriguez</t>
  </si>
  <si>
    <t>Great service, shipped my order out quickly, they had a cat food I have been searching for but was out of stock everywhere, luckily they had it in abundance, thank you so much ❤</t>
  </si>
  <si>
    <t>GAYE STACH</t>
  </si>
  <si>
    <t>Very prompt</t>
  </si>
  <si>
    <t>Very prompt and courteous and take care to answer emails.</t>
  </si>
  <si>
    <t>Had product and delivered in a timely…</t>
  </si>
  <si>
    <t>Had product and delivered in a timely manner</t>
  </si>
  <si>
    <t>Janine M</t>
  </si>
  <si>
    <t>Quick and easy.</t>
  </si>
  <si>
    <t>RUDOLPH GONZALEZ</t>
  </si>
  <si>
    <t>I changed my delivery date and the…</t>
  </si>
  <si>
    <t>I changed my delivery date and the shipment still came.</t>
  </si>
  <si>
    <t>AMY NELSON</t>
  </si>
  <si>
    <t>Received the wrong items</t>
  </si>
  <si>
    <t>Received the wrong items, messaged 24 hrs ago and no response.</t>
  </si>
  <si>
    <t>Amelia Delmonico</t>
  </si>
  <si>
    <t>Fast delivery and great product as…</t>
  </si>
  <si>
    <t>Fast delivery and great product as usual. Package came undamaged,</t>
  </si>
  <si>
    <t>DICK CUNNINGHAM</t>
  </si>
  <si>
    <t>Best offer</t>
  </si>
  <si>
    <t>Best offer, I could find for the price. delivered promptly and just when needed. I will be using PetFlow in the future!</t>
  </si>
  <si>
    <t>RHONDA ANDERSON</t>
  </si>
  <si>
    <t>Super service for shipping my Fromm…</t>
  </si>
  <si>
    <t>Super service for shipping my Fromm Gold Dog Food. Highly recommend.</t>
  </si>
  <si>
    <t>JACKLYN DURK</t>
  </si>
  <si>
    <t>The store itself has great prices and selection.</t>
  </si>
  <si>
    <t>The store itself has great prices and selection. However, the shipping of those products has been a nightmare. Placed an order on the morning of 12-1-21, spoke to someone on the phone inquiring as to the location from which the products were coming from. I was told that my order was being packaged and would ship out the same day coming from New Jersey and would arrive to my home in three days. It’s now 12-13-21 and I still have not received my order.</t>
  </si>
  <si>
    <t>MARK B</t>
  </si>
  <si>
    <t>Shipped fast and had the items in stock…</t>
  </si>
  <si>
    <t>Shipped fast and had the items in stock that others didnt. What more can you ask for?</t>
  </si>
  <si>
    <t>Excellent service and the best pricing</t>
  </si>
  <si>
    <t>Excellent service and the best pricing! So glad I found you! Thanks! 😃</t>
  </si>
  <si>
    <t>GEORGE LIGHT</t>
  </si>
  <si>
    <t>Very pleased with Pet Flow's service…</t>
  </si>
  <si>
    <t>Very pleased with Pet Flow's service and products.</t>
  </si>
  <si>
    <t>K D</t>
  </si>
  <si>
    <t>Great prices and selections of high…</t>
  </si>
  <si>
    <t>Great prices and selections of high rated dog foods. Shipping free over $50 and fast!</t>
  </si>
  <si>
    <t>JEHANGIR PIRZADA</t>
  </si>
  <si>
    <t>PetFlow has the best prices for pet…</t>
  </si>
  <si>
    <t>PetFlow has the best prices for pet food and deliveries are reliable. Sometimes my cat's wet food is not in stock, but when that happens, it is not in stock anywhere.</t>
  </si>
  <si>
    <t>CAROLYN GIBBS</t>
  </si>
  <si>
    <t>Good and fresh</t>
  </si>
  <si>
    <t>Every time I order from here.. they always double my order. I ordered one big bag of dog food.. and I received two and charged for two instead of one. This is the second time they did this. I will not order from them again.</t>
  </si>
  <si>
    <t>MERCY</t>
  </si>
  <si>
    <t>Every time I order from here.</t>
  </si>
  <si>
    <t>Great dog food; my Maltese acts like a pup and she is 12. She has been eating salmon a la veg for 10 yrs</t>
  </si>
  <si>
    <t>MARGARET MCALLISTER</t>
  </si>
  <si>
    <t>Great dog food</t>
  </si>
  <si>
    <t>Excellent service. Best dog food ever would not feed my dog anything else then Natural Balance</t>
  </si>
  <si>
    <t>sissssy</t>
  </si>
  <si>
    <t>Staff were very good at listening and finding a solution that would help me.</t>
  </si>
  <si>
    <t>ROBIN HALE</t>
  </si>
  <si>
    <t>Great customer service &amp; products.</t>
  </si>
  <si>
    <t>Excellent customer service and fast shipping</t>
  </si>
  <si>
    <t>TERRY LAGUNA WOODS</t>
  </si>
  <si>
    <t>Staff were very good at listening and…</t>
  </si>
  <si>
    <t>My delivery isn’t not coming,very very slowly.</t>
  </si>
  <si>
    <t>NORA LORENZO</t>
  </si>
  <si>
    <t>Excellent customer service and fast…</t>
  </si>
  <si>
    <t>I was very pleased with my order. I found an item for my birds that I couldn’t find anywhere else for a cheaper price and it arrived very quickly.</t>
  </si>
  <si>
    <t>Marcel</t>
  </si>
  <si>
    <t>My delivery isn’t not coming,very very…</t>
  </si>
  <si>
    <t>Petflow apparently doesn't put in packing so I got ALL of cans dented up. Petflow needs to protect the cans.</t>
  </si>
  <si>
    <t>JENNA G</t>
  </si>
  <si>
    <t>I was very pleased with my order!</t>
  </si>
  <si>
    <t>Been ordering from Petflow for along time...quick shipping,,competitive prices,,,has the brand of dogfood we want....wish they offered prescription medications</t>
  </si>
  <si>
    <t>Linda Hulsey</t>
  </si>
  <si>
    <t>Petflow apparently doesn't put in…</t>
  </si>
  <si>
    <t>I was with this company for many years but repeated mix ups with my food, delays and supply issues took a toll, moved my business to Chewy, didn’t want to buy my fur babies have to eat!</t>
  </si>
  <si>
    <t>Jennifer S Bondegard</t>
  </si>
  <si>
    <t>👍Petflow</t>
  </si>
  <si>
    <t>We ordered pet food on Nov 26 and received it today Dec 7. Way to long, I have three emails telling me earlier dates. Probably our last order from Pet Flow!</t>
  </si>
  <si>
    <t>LANDERSON</t>
  </si>
  <si>
    <t>Supply issues and mix ups plagued my service</t>
  </si>
  <si>
    <t>You need to improve on your customer service on the phone. You also need to improve on your deliveries services meaning when customers ordered products from your website,
it needs to be more accurate in the amount of products you have online website store. The amount of products you have in your warehouse should be the same on your website, as it is in your Warehouse store the New Jersey or wherever your warehouse store is. The products inventory needs to be in your warehouse store,when it says on your website that you have your products available such as your two litter boxes,that I ordered early in the morning on Thanksgiving Day. I shouldn't have to be an angry and frustrated customer that I can't get my two litter boxes delivered to my home on time. Your website should be more accurate as to how many products you have available inside your warehouse meaning of the number count of the products you have at your store there a Petflow. I've waited almost over two weeks. I still haven't got my two litter boxes delivered to my home address here where I live.
I'm very and frustrated,that I haven't received my two litter boxes that I paid for through your website with my prepaid Bluebird American Express debit card . If you're a professional company you need to deliver the products that I ordered from your website here at my home address on time. I really need the products for my animals because that's not fair to me or them,!!!!!!!!!! If you can't do what you're supposed to do and delivering the products that I paid for on your website that I might as well do business with somebody else. I can't understand the fact that I haven't received my to litter boxes in the mail,yet, so therefore I am very upset about the whole situation. Do you have any questions about, about my common here you can feel free to call me at my home phone number that's listed on my account through petflow.com. Warmest Of Wishes,On This Holiday,Julie J.</t>
  </si>
  <si>
    <t>raymond</t>
  </si>
  <si>
    <t>we love pet flow</t>
  </si>
  <si>
    <t>I am very happy with my purchase of cat food from PetFlow. The only issue I had was trying to find out, on the web site, how I could check out. Otherwise great.</t>
  </si>
  <si>
    <t>Richard Kritsky</t>
  </si>
  <si>
    <t>We ordered pet food on Nov 26 and…</t>
  </si>
  <si>
    <t>They have great customer service and they try very hard to please their customers. They also have a wide variety of pet foods.</t>
  </si>
  <si>
    <t>JULIE J.</t>
  </si>
  <si>
    <t>Updated Dec 8, 2021</t>
  </si>
  <si>
    <t>Needs to improve on your customer…</t>
  </si>
  <si>
    <t>Love this company! Great to work with and carry alot of different foods.</t>
  </si>
  <si>
    <t>CATHERINE LYNESS</t>
  </si>
  <si>
    <t>I am very happy with my purchase of cat…</t>
  </si>
  <si>
    <t>Very few notices of what was going on. I finally sent 2 emails. And made a phone call. Joseph was very kind. It took 9 days to get here. Wonder if it would come. I had to buy dog food in the meantime. Not happy. Product was good. And why did it come from new jersy. Nevada is closer.</t>
  </si>
  <si>
    <t>Dora</t>
  </si>
  <si>
    <t>They have great customer service</t>
  </si>
  <si>
    <t>I would’ve given a 5 star review however, with my last order, it would’ve been nice if I was informed that my order for dog food was not available from where it is usually shipped. I usually get it within a week, but since it was coming from much farther away, it took 14 days. I also got an email saying my order was shipped on the 24th (ordered on the 23rd), then I received another email saying it was shipped on the 26th with no explanation. It just would have been nice if I was sent an email to let me know about this.</t>
  </si>
  <si>
    <t>Love this company</t>
  </si>
  <si>
    <t>JANE WARGO</t>
  </si>
  <si>
    <t>Very few notices of what was going on</t>
  </si>
  <si>
    <t>Grace</t>
  </si>
  <si>
    <t>I would’ve given a 5 star review…I should’ve gotten an explanation.</t>
  </si>
  <si>
    <t>JENNIFER BRUESER</t>
  </si>
  <si>
    <t>Only half my order arrived so far</t>
  </si>
  <si>
    <t>Only half my order arrived so far. FedEx dropped the busted box in the middle of the front yard and left. I wonder if the second half will show up or if FedEx will make it disappear like last order.</t>
  </si>
  <si>
    <t>MATT HOUGH</t>
  </si>
  <si>
    <t>Great service as usual even over the…</t>
  </si>
  <si>
    <t>Great service as usual even over the holiday weekend! Order was accurate and delivered on time!</t>
  </si>
  <si>
    <t>SARAH STEBER</t>
  </si>
  <si>
    <t>Website easy</t>
  </si>
  <si>
    <t>Website easy, appreciate the discount.
Other places were sold out of the dog food I need so thankful it was in stock and delivered in a decent timeframe</t>
  </si>
  <si>
    <t>AZ</t>
  </si>
  <si>
    <t>Updated Dec 6, 2021</t>
  </si>
  <si>
    <t>Thanks for having the food in stock</t>
  </si>
  <si>
    <t>Thanks for having the food in stock. Now it’s get to him to actually eat the food</t>
  </si>
  <si>
    <t>FRANCOISE DUFFY</t>
  </si>
  <si>
    <t>received the delivery on time</t>
  </si>
  <si>
    <t>Great experience!
Fast shipping and great communication with seller.</t>
  </si>
  <si>
    <t>Timothy Moyer</t>
  </si>
  <si>
    <t>Great experience!</t>
  </si>
  <si>
    <t>Shipping not according to what was indicated at the time the order was placed</t>
  </si>
  <si>
    <t>Luz</t>
  </si>
  <si>
    <t>Shipping not according to what was…</t>
  </si>
  <si>
    <t>Excellent transaction :) Will shop again!</t>
  </si>
  <si>
    <t>ASHLY WHITWORTH</t>
  </si>
  <si>
    <t>Excellent transaction :) Will shop…</t>
  </si>
  <si>
    <t>PetSmart stopped carrying the AvoDerm brand, then PetSmart followed.
I'm very frustrated with them since they still advertise the products yet "Not In Stock" or "Not available".
I contacted AvoDerm and they recommend PetFlow.
My initial purchase took longer that expected however, Customer Service was very helpful and re-assuring.
My 2nd purchase arrived faster than expected. 3rd times a charm!?.</t>
  </si>
  <si>
    <t>Maria Lemmon</t>
  </si>
  <si>
    <t>Just as expected no disappointment here!</t>
  </si>
  <si>
    <t>My Hund loves the chow we ordered from PetFlow.</t>
  </si>
  <si>
    <t>JAMES OBERT</t>
  </si>
  <si>
    <t>PetFlow / Petco / PetSmart</t>
  </si>
  <si>
    <t>I always get what I need in a quick turnaround for my 14 year old Hound!</t>
  </si>
  <si>
    <t>My Hund loves the chow we ordered from…</t>
  </si>
  <si>
    <t>Great product. Great price</t>
  </si>
  <si>
    <t>Great Company!</t>
  </si>
  <si>
    <t>The folks at PetFlow were kind enough to give me a $10 credit for FedEx's deplorable delivery service. They held my shipment hostage in their distribution center for 2 1/2 days!
My shipment was correct &amp; sent out as quickly as they received the approval from my vet.</t>
  </si>
  <si>
    <t>Great and prompt service and delivery. The bag charge was a bit of a surprise though. Might be wise to hide that under one of the other headings?</t>
  </si>
  <si>
    <t>CHRIS MCGATHA</t>
  </si>
  <si>
    <t>The folks at PetFlow were kind enough…</t>
  </si>
  <si>
    <t>I placed orders during weekends. The return email said my order would be placed the following Monday and email would be sent of when to expect delivery. I have had to call customer service a couple times and order was finally put thru. My dogs do better when their food isn't changed. This has happened several times. When we started using your service it would only take a day with next day delivery.</t>
  </si>
  <si>
    <t>JONATHAN STAMPLEY</t>
  </si>
  <si>
    <t>I thought that the price was high compared to the vets office other than that the experience was good</t>
  </si>
  <si>
    <t>Ray Cunningham</t>
  </si>
  <si>
    <t>Great and prompt service and delivery</t>
  </si>
  <si>
    <t>I had a very frustrating experience with PetFlow. My original order was scheduled for next-day delivery. However, it took close to a week from getting the cat food I ordered. PetFlow misled me on my delivery date. This is the only food my cat can digest - so it became an emergency situation. I can do without such excitement.</t>
  </si>
  <si>
    <t>PATRICIA SHEPPARD</t>
  </si>
  <si>
    <t>I placed orders during weekends</t>
  </si>
  <si>
    <t>Very happy with my purchase experience, excellent help. Thank you</t>
  </si>
  <si>
    <t>KRISTINE ANDERSON</t>
  </si>
  <si>
    <t>I thought that the price was high…</t>
  </si>
  <si>
    <t>Jillian</t>
  </si>
  <si>
    <t>Madelin</t>
  </si>
  <si>
    <t>Very happy with my purchase experience</t>
  </si>
  <si>
    <t>SILVIA CAMPILLO GINER</t>
  </si>
  <si>
    <t>I paid for a package of food for my…</t>
  </si>
  <si>
    <t>I paid for a package of food for my chihuahua that needed a recipe from the vet, but we could not get it, so I would like to have my money back.</t>
  </si>
  <si>
    <t>CHERIE MAMULA</t>
  </si>
  <si>
    <t>I wrote to the company regarding a customer service issue, where their backorder the employee said I didn't have funding!</t>
  </si>
  <si>
    <t>I wrote to the company regarding a complaint about customer service claiming that I didn't have funds to pay for an order that was an auto ship and said backordered, and after ordering something else, I got billed for it. Not knowing what this charge was, I called in to find out. The customer service gal looked up my file and came on the line and humiliated me, saying the order hadn't shipped because of a PAYMENT ISSUE, when in fact it hadn't shipped because PETFLOW didn't have the stock!! I have been ignored, ZERO response from PETFLOW. Apparently my business is not valued after so many YEARS!</t>
  </si>
  <si>
    <t>Sheila</t>
  </si>
  <si>
    <t>Pleased with Auto Order</t>
  </si>
  <si>
    <t>Petflow carries our dogs preferred high quality food &amp; treats, we auto order and receive our shipments quickly.</t>
  </si>
  <si>
    <t>RANDY LEACH</t>
  </si>
  <si>
    <t>Slow delivery</t>
  </si>
  <si>
    <t>I like Petflow. I have ordered from them before. This time it took way too long to get my order. And the only reason I got it when I did is because I called and complained. Then they showed it being shipped right away but it still took 5 days after complaining. I needed the dog food. If this is the normal ship time, I will definitely not be using Petflow again.</t>
  </si>
  <si>
    <t>Cassidy k</t>
  </si>
  <si>
    <t>The whole reason why I ordered from…</t>
  </si>
  <si>
    <t>The whole reason why I ordered from petflow is because of their quick shipping in 2-3 days. It took over a week for my food to arrive. I had tobuy another brand of food that upset all of my dogs stomachs. Never again.</t>
  </si>
  <si>
    <t>BETH C.</t>
  </si>
  <si>
    <t>I was very happy to be able to find a…</t>
  </si>
  <si>
    <t>I was very happy to be able to find a food item that I needed that was sold out on Chewy, Amazon and all of my local pet supply stores. The only reason for the 4 stars instead of 5 was the delivery notifications. I understand delivery delays especially right now but I received 4 different notifications regarding when my items would ship/arrive that I began to think I might have possibly been scammed especially since you were able to get me what I wanted when no one else could. Happily I was wrong!</t>
  </si>
  <si>
    <t>JENNIFER ADAMS</t>
  </si>
  <si>
    <t>Very impressed with being able to get…</t>
  </si>
  <si>
    <t>Very impressed with being able to get what I need for my fur-babies special food. So far it's always been in stock, unlike the competitor sites and various pet stores. Prices are a smidgen lower than everywhere I've normally gone. Delivery is 50/50 at this point. My first order came within a couple of days, my second took a bit longer.</t>
  </si>
  <si>
    <t>KURT SAXSMA</t>
  </si>
  <si>
    <t>Easy website to navigate</t>
  </si>
  <si>
    <t>Easy website to navigate, fair prices, and fast shipping!</t>
  </si>
  <si>
    <t>PATRICIA PALENIK</t>
  </si>
  <si>
    <t>Customer service has</t>
  </si>
  <si>
    <t>Customer service has. Definitely declined. Website keeps changing making it difficult to order when you want. Iused to order 3 different products at 3 different times of the month and still get the auto ship discount now i get nothing.been a member since 2017.
Looking around for a better deal.</t>
  </si>
  <si>
    <t>RICK LUDLOW</t>
  </si>
  <si>
    <t>Prompt delivery and good price.</t>
  </si>
  <si>
    <t>Third time they have got the order wrong !!!!!!!!!!!!!!!!!!!!!!!!!!!!!!!!!!!!!!!!!!!!</t>
  </si>
  <si>
    <t>Pete of S T S</t>
  </si>
  <si>
    <t>Third time they have got the order wrong !!!!!!!!!!!!!!!!!!!!!!!!!!!!!!!!!!!!!!!!!!!!!</t>
  </si>
  <si>
    <t>I have been pleased in the past with available dog foods, treats, toys, etc. and delivery. I have experienced a lot of "out of stock" items that I have on "auto-ship". I have had to buy these items on my own else where.</t>
  </si>
  <si>
    <t>JEFF NICHOLSON</t>
  </si>
  <si>
    <t>Amber Cole</t>
  </si>
  <si>
    <t>"Out of Stock"</t>
  </si>
  <si>
    <t>Great discount on Hill Science canned food for my dopey cat. It's becoming difficult to find the "Chicken n Rice" flavor so it was a relief that you had it.</t>
  </si>
  <si>
    <t>KELLY BRAUN</t>
  </si>
  <si>
    <t>Food purchase</t>
  </si>
  <si>
    <t>You carry the dog food that my puppy needs for his first year. The prices are reasonable and affordable.</t>
  </si>
  <si>
    <t>SUSAN Y</t>
  </si>
  <si>
    <t>I tried to switch my monthly orders for food, treats, meds, and flea collars to PetFlow. It was a disaster. I get how the economy is currently but your communication is terrible. I can’t work with a company that takes days to acknowledge a request. And I see all the BBB complaints. Your concept is great on paper, but you fall short when it comes to execution. Not a good fit for us at this time, unfortunately.</t>
  </si>
  <si>
    <t>Tomo'Gotcha</t>
  </si>
  <si>
    <t>I'd order again.</t>
  </si>
  <si>
    <t>Can someone contact me?
281-222-0505</t>
  </si>
  <si>
    <t>LORILEI DUNSTON</t>
  </si>
  <si>
    <t>You carry the dog food that my puppy…</t>
  </si>
  <si>
    <t>Excellent product, delivered quickly, competitive pricing.</t>
  </si>
  <si>
    <t>Christine B</t>
  </si>
  <si>
    <t>Awful Communication</t>
  </si>
  <si>
    <t>Mahzad Mohajer</t>
  </si>
  <si>
    <t>Can someone contact me?</t>
  </si>
  <si>
    <t>Excellent product</t>
  </si>
  <si>
    <t>TODD VANDEBERG</t>
  </si>
  <si>
    <t>Need better shipping info sent by email</t>
  </si>
  <si>
    <t>Need a better way to let people know that their order was shipped with a tracking number. Had to text you to find out when my order was to be shipped, when I received an email telling my that it was shipped and there was no tracking info available. Need to let people know the actual day it was shipped, not the day the label was made.</t>
  </si>
  <si>
    <t>CAROL BLOHM</t>
  </si>
  <si>
    <t>Hills Metabolic canned Food</t>
  </si>
  <si>
    <t>I was able to get my dog’s food from you when no other retailer had it. Thank you</t>
  </si>
  <si>
    <t>GAIL OSBORNE</t>
  </si>
  <si>
    <t>Excellent prices and delivery.</t>
  </si>
  <si>
    <t>Product was as advertised,works great. Arrival was fast,price was good. Service was friendly and professional. Great company.</t>
  </si>
  <si>
    <t>JOAN KANOWITZ</t>
  </si>
  <si>
    <t>Product was as advertised,works great</t>
  </si>
  <si>
    <t>5 days after I should have recieved my order, I called because I did not know why or where it was,well was told by a very rude lady she would send an e mail to hurry up my order at another warehouse because they had none. I asked why they didnot notify me, it was scheduled for delivery on the 24th today is the 29th I was going to order another but she was so rude I will order my dog supplies thru another company.It should be automatic to let your customer know that you are not sending their dog food I will no longer want your company to send auto ship.And the woman I spoke to should be fired for her rudeness to your customers.And she could not tell me when the dog supplies will be shipped.</t>
  </si>
  <si>
    <t>Ronald</t>
  </si>
  <si>
    <t>5 days after I should have recieved my…</t>
  </si>
  <si>
    <t>Fast service, good prices, arrived in great condition. Has follow up emails.</t>
  </si>
  <si>
    <t>Jeannie</t>
  </si>
  <si>
    <t>Fast service</t>
  </si>
  <si>
    <t>Chewys orders always arrived within 2 days. I decided to give Petflow a try. After close to a week, I had to call Petflow to ask where the dog food order was???. They said they delayed getting the order through - waited until the next day to initiate the order and then they were short staffed. Then mailing delay, etc. I was leaving for Thanksgiving and I was almost placed in a situation where I had to go to pick up a brand at the local store that my dog wasn’t used to in order for him to have food over the Thanksgiving week. It would have upset his stomach abruptly changing his diet. It was my first experience with Petflow, and it was not a good one.</t>
  </si>
  <si>
    <t>MARIA MAROPAKIS</t>
  </si>
  <si>
    <t>Great service thank you</t>
  </si>
  <si>
    <t>I love that my choice of dog food is always ready to deliver to our door when we need it. Auto ship is great, and not having to lug the big bags home from the store is even better.</t>
  </si>
  <si>
    <t>Diana &amp; Dane</t>
  </si>
  <si>
    <t>Delayed getting my dog food</t>
  </si>
  <si>
    <t>The products I ordered arrived quickly and website was easy to navigate.</t>
  </si>
  <si>
    <t>KN</t>
  </si>
  <si>
    <t>Convenience plus</t>
  </si>
  <si>
    <t>Disappointed. I created my first order on 11/17 and order still hasn’t even shipped (11/28). No communication updates either. Uggh!</t>
  </si>
  <si>
    <t>PATRICIA RAGONE</t>
  </si>
  <si>
    <t>Quick Delivety</t>
  </si>
  <si>
    <t>Very happy with my purchase. Shipping is fast and communication is excellent!</t>
  </si>
  <si>
    <t>MICHAEL Z</t>
  </si>
  <si>
    <t>It was supper easy to place my order, shipping was quick</t>
  </si>
  <si>
    <t>Sue Durante</t>
  </si>
  <si>
    <t>Very happy with my purchase, Excellent Customer Service</t>
  </si>
  <si>
    <t>Good job sending package on timely basis. Thank You.</t>
  </si>
  <si>
    <t>Debra|Smith</t>
  </si>
  <si>
    <t>It was supper easy to place my order</t>
  </si>
  <si>
    <t>Always super fast shipping, and great packaging!</t>
  </si>
  <si>
    <t>Dennis</t>
  </si>
  <si>
    <t>Good job sending package on timely…</t>
  </si>
  <si>
    <t>Always good condition of cat bagged food. Arrived in great shape and the order was correct.Timely order.</t>
  </si>
  <si>
    <t>JAMES POLITIS</t>
  </si>
  <si>
    <t>Had products I couldn't find any other…</t>
  </si>
  <si>
    <t>Had products I couldn't find any other site!</t>
  </si>
  <si>
    <t>TODD STRICKLAND</t>
  </si>
  <si>
    <t>Dog food was listed in stock at time of…</t>
  </si>
  <si>
    <t>Dog food was listed in stock at time of placing order. After a few days of showing shipped, ends up order wasn't shipped. I called and was informed that it was out of stock in the warehouse.</t>
  </si>
  <si>
    <t>EVELYN DIMICELI</t>
  </si>
  <si>
    <t>NEVER RECEIVED MY ORDER IN OVER A MONTH…</t>
  </si>
  <si>
    <t>NEVER RECEIVED MY ORDER IN OVER A MONTH AND SPOKE TO OVER 10 CUSTOMER SERVICE PEOPLE. DON'T BUY FROM THIS COMPANY !!!!!!!!!!</t>
  </si>
  <si>
    <t>MICAHEL BENNETT</t>
  </si>
  <si>
    <t>Order placing was easy</t>
  </si>
  <si>
    <t>Order placing was easy. Great site set up. Like the autoship offer too. Already referred them to my neighbor.</t>
  </si>
  <si>
    <t>IRENE RODRIGUEZ</t>
  </si>
  <si>
    <t>Very satisfied with everything.</t>
  </si>
  <si>
    <t>Ordering was easy and my purchases arrived quickly, which is wonderful during these times.
I give this site a 3 instead of 5 because I was unable to read reviews on the products I bought. My cats are not eating one of them, and would like to know what other buyers said, or if they added something to the product.</t>
  </si>
  <si>
    <t>Penelope McMillan</t>
  </si>
  <si>
    <t>Organized &amp; Professional, but....…</t>
  </si>
  <si>
    <t>Saved from having my kitten upset. I have been unable to find the food my kitten eats. After several trips to pet store with no luck. Went online to Royal Canin site and Pet Flow was a recommended store to order from. Fortunately for my kitten y'all had plenty of cans for me to order. Very satisfied with the service received. Will definitely use again and refer friends to this site.</t>
  </si>
  <si>
    <t>LINDA MOON</t>
  </si>
  <si>
    <t>Saved from having my kitten upset</t>
  </si>
  <si>
    <t>I liked the prices and the toys and treats available but, several of the items that I ordered "sold out" and were removed from my order AFTER I'd checked out and PAID for them??! However, I will be giving them another chance when the supply chain problems are better.</t>
  </si>
  <si>
    <t>SANDY B</t>
  </si>
  <si>
    <t>Didn't get half of what I ordered?</t>
  </si>
  <si>
    <t>Deanna Nole</t>
  </si>
  <si>
    <t>Fast shipping and great inventory of…</t>
  </si>
  <si>
    <t>Fast shipping and great inventory of cheap toys</t>
  </si>
  <si>
    <t>JAN MURPHY</t>
  </si>
  <si>
    <t>We use auto ship for most of the…Auto Ship is extremely difficult to edit and use.</t>
  </si>
  <si>
    <t>We use auto ship for most of the products we buy online. I found Pet Flow's auto-ship program to be extremely difficult to manage and no longer use it. As a result, I often buy pet products from other suppliers. We have 12 pets and buy a lot of pet products!</t>
  </si>
  <si>
    <t>Ximena Salomon</t>
  </si>
  <si>
    <t>Speedy delivery</t>
  </si>
  <si>
    <t>Speedy delivery, stuff usually comes within 3 or 4 days, Good customer service, I called to ask a question about my product and they answered quickly and with good telephone manner. I just signed up for auto-ship we'll see how that goes. I just wished they carried Fancy Feast Grilled Chicken and Cheddar :(</t>
  </si>
  <si>
    <t>Vicky</t>
  </si>
  <si>
    <t>Convenience for the win!</t>
  </si>
  <si>
    <t>We love the convenience of auto shipping. We were surprised at how easy it is to add or delete items for a specific auto ship or for future orders. The prices are fantastic and I like that I can still find Fromm products here.</t>
  </si>
  <si>
    <t>joe</t>
  </si>
  <si>
    <t>good products great prices</t>
  </si>
  <si>
    <t>Very smooth experience. Good price and reasonable and quick shipping.</t>
  </si>
  <si>
    <t>NARC HALL</t>
  </si>
  <si>
    <t>Great First Experience!</t>
  </si>
  <si>
    <t>Order and paid for dry dog food and 12 cans of wet dog food. The day they shipped it, I got an email saying they will refund me cause they are all of sudden out of that particular wet dog food!! I then had to run everywhere to find it…. At the last minute!!
When the 40 lb Victor dry dog food arrived, it was thrown on my porch, half hanging out of the box!
Needless to say, that was my first and LAST order work them!! I’ll stick to chewy!</t>
  </si>
  <si>
    <t>kathleen otero</t>
  </si>
  <si>
    <t>POOR BUSINESS PRACTICES</t>
  </si>
  <si>
    <t>Everything went very smoothly from ordering all the way to delivery. I was very happy and will use them again.</t>
  </si>
  <si>
    <t>DONNA ALLEN</t>
  </si>
  <si>
    <t>Everything went smoothly from ordering all the way to delivery. Very happy and will use them again.</t>
  </si>
  <si>
    <t>Delivery was delayed 3 times. Said 2 day delivery. I got it in7 days. Not satisfied with delivery.</t>
  </si>
  <si>
    <t>DOG AND CAT DEPOT SIZEMORE</t>
  </si>
  <si>
    <t>Delivery was delayed 3 times</t>
  </si>
  <si>
    <t>Ordered prescription dog food, but got nothing but excuses. For over a week, their reps made one excuse after another as to why my dogs food was not shipped.</t>
  </si>
  <si>
    <t>C.J. Demello</t>
  </si>
  <si>
    <t>Ordered prescription dog food</t>
  </si>
  <si>
    <t>Excellent service. I'm a happy customer!!!</t>
  </si>
  <si>
    <t>GAIL E BUELER</t>
  </si>
  <si>
    <t>I am totally impressed with petflow, they deliver product quickly and have the pet food in stock and if they are out of stock they will send email to let you know that it is back in stock. They are now the only one that carries my dogs food and I hope they always will. Thank you petflow</t>
  </si>
  <si>
    <t>Diana</t>
  </si>
  <si>
    <t>I am totally impressed with petflow</t>
  </si>
  <si>
    <t>I have been
using petflow for several years because they carry the type of dog food I want my dogs to have and no stores anywhere near me have it. In fact trying to get high quality dog food I'd have to travel an hour one way so it is very convenient to have it shipped directly to my home. Also I recently had an issue with a toy I ordered and they immediately did a full credit for the cost of the toy. It is also very easy do a chat with them.whenever I have questions</t>
  </si>
  <si>
    <t>Updated Nov 16, 2021</t>
  </si>
  <si>
    <t>I have been using petflow for several…</t>
  </si>
  <si>
    <t>Very fast shipping! They sell good quality items.</t>
  </si>
  <si>
    <t>SARA</t>
  </si>
  <si>
    <t>very good customer service. contacted my vet for prescription diet food and shipped out immediately. highly recommend!</t>
  </si>
  <si>
    <t>DENISE LANNING</t>
  </si>
  <si>
    <t>Great products and service that excels. More than satisfied consumer from Maryland .</t>
  </si>
  <si>
    <t>MARK M</t>
  </si>
  <si>
    <t>very good customer service</t>
  </si>
  <si>
    <t>I spoke with a very helpful woman who checked with supply &amp; found a case of Hills Savory Cat food. Our local PetSmart had been out of it for a while. My 16 year old cat loves that particular food and takes her meds with it-she has hyperthyroidism. The food arrived as promised. I am grateful for the excellent service. Thank you.</t>
  </si>
  <si>
    <t>Susan Robertson</t>
  </si>
  <si>
    <t>Great products and service that excels</t>
  </si>
  <si>
    <t>I placed an order on 11/2. Received an email saying I would get a shipping confirmation when it shipped. When not received by 11/12, I reached out to customer service and was told it was delivered on 11/11. As of 11/14 I still have no food &amp; was forced to order elsewhere. Your customer service did respond, but were not helpful.</t>
  </si>
  <si>
    <t>HARRIETT HOFFMAN</t>
  </si>
  <si>
    <t>I spoke with a very helpful woman who…</t>
  </si>
  <si>
    <t>My husband shopped here last Christmas and gave it 5 stars. I like the site because they have unusual things and make great gift items.</t>
  </si>
  <si>
    <t>Diesel’s Mom</t>
  </si>
  <si>
    <t>I placed an order on 11/2</t>
  </si>
  <si>
    <t>My husband shopped here last Christmas…</t>
  </si>
  <si>
    <t>MELISSA SHAFFER</t>
  </si>
  <si>
    <t>Location of drop off</t>
  </si>
  <si>
    <t>I requested the heavy package be left at the garage door under the overhang. But it was left at the front door instead. Otherwise very easy convenient efficient order and delivery.</t>
  </si>
  <si>
    <t>CAROL Miller</t>
  </si>
  <si>
    <t>EXCELLENT service and everything packed…</t>
  </si>
  <si>
    <t>EXCELLENT service and everything packed with care.</t>
  </si>
  <si>
    <t>DANA CONNOLLY</t>
  </si>
  <si>
    <t>Currently waiting to receive order</t>
  </si>
  <si>
    <t>Currently waiting to receive order. Know distribution system is messed up. I will try to explain to my hungry miniature doxie. Would have been helpful if at the point of order for Petflow to made a statement that delivery could take up to X weeks or more. And if that is unacceptable to cancel order simply . . . . . .
That way I would have had power in deciding what was best for my dog.</t>
  </si>
  <si>
    <t>SANDY</t>
  </si>
  <si>
    <t>I love the quick delivery when we order…</t>
  </si>
  <si>
    <t>I love the quick delivery when we order our dog's food! So convenient!!</t>
  </si>
  <si>
    <t>ROBERT BERMAN</t>
  </si>
  <si>
    <t>goog</t>
  </si>
  <si>
    <t>good cat loved it</t>
  </si>
  <si>
    <t>Paul Hanigan</t>
  </si>
  <si>
    <t>Ordered dog food for the first from…</t>
  </si>
  <si>
    <t>Ordered dog food for the first from PetFlow. The ordering was simple, easy website navigation and the product arrived in a timely manner.</t>
  </si>
  <si>
    <t>PEGGY MAZUR</t>
  </si>
  <si>
    <t>Fast shipping....</t>
  </si>
  <si>
    <t>They let me order food and charged me and called my vet to confirm the prescription, and they didn't even have the food in stock. In these times of cat food shortages, wasting my entire week thinking I had found food for my cat was detrimental to my finding more in a timely fashion. Shame on you, PetFlow.</t>
  </si>
  <si>
    <t>SHARON ZINNS</t>
  </si>
  <si>
    <t>They let me order food and charged me…</t>
  </si>
  <si>
    <t>Very good customer service.
They work with you to get you just what you want.</t>
  </si>
  <si>
    <t>DAVID SPIEGEL</t>
  </si>
  <si>
    <t>I’ve used PetFlow for a year now, and love it. The orders are easy to complete and quick to deliver.
I had to call customer service to change my order and quickly received the credit on my card. I switched dog food brand and mistakenly forgot to cancel my automatic refill order. Great customer service!</t>
  </si>
  <si>
    <t>SUE CERVANTES</t>
  </si>
  <si>
    <t>I’ve used PetFlow for a year now</t>
  </si>
  <si>
    <t>Package was a week late but I believe that was FedEx fault. When I contacted petflow about the delay the response came relatively quickly and they let me know they contacted FedEx to figure out the issue. I received the package the next day. The customer service was friendly and helpful.</t>
  </si>
  <si>
    <t>BRITTANY THOMPSON</t>
  </si>
  <si>
    <t>Late package great customer service</t>
  </si>
  <si>
    <t>Great pricing however I Wasn't able to use my 10% on my second order as promised. I did rate the company a 4 star however after reading the other 1 star ratings I feel I'm just another customer that was mislead.</t>
  </si>
  <si>
    <t>Sanja</t>
  </si>
  <si>
    <t>Updated Nov 13, 2021</t>
  </si>
  <si>
    <t>Great pricing however I Wasn't able to…</t>
  </si>
  <si>
    <t>Very slow to ship resulted in poor arrival time. I thought 10 days was enough time, but was wrong.</t>
  </si>
  <si>
    <t>SCOTT PETERSEN</t>
  </si>
  <si>
    <t>Very slow to ship resulted in poor…</t>
  </si>
  <si>
    <t>I spoke with somebody in chat and I canceled this order I was told that my order was canceled I asked for confirmation that my order was canceled to an email they told me we don't do that two days later I had two of my 50 lids show up at my door after it was canceled I don't know what kind of operation you run but it sucks definitely one star and if my card is charged for the other screen lids that are on back stock after I canceled I will sue your company</t>
  </si>
  <si>
    <t>AJ'S REPTARIUM</t>
  </si>
  <si>
    <t>I spoke with somebody in chat and I…</t>
  </si>
  <si>
    <t>Although I have had great success with using PetFlow in the past, currently their service is quite poor. I had a older cat is needs Vet prescribed food. After ordering food recently, PetFlow informed me the Vet indicated I have "no relationship" with them. Ok, I called the Vet and they indicated they received no communication from PetFlow. This I tried again and the Vet indicated they would be waiting for PetFlow's communication. On that day, again I received a email notice from PetFlow saying the Vet and I had no relationship. Since the Vet was expecting a call or fax, one can only assume PetFlow was communicating with the wrong Vet or is lying. Take your pick. Either way, my poor cat did has not receive the food she needs. Shame on PetFlow.
Regards</t>
  </si>
  <si>
    <t>KENNETH HENKE</t>
  </si>
  <si>
    <t>Although I have had great success with…</t>
  </si>
  <si>
    <t>Petflow has cat food that I can't find elsewhere, which is nice. I like their automatic programs except for not being able to edit them. I've been sent products that I can't use and have to contribute to the Humane Society. Delivery is always fast and well packaged.</t>
  </si>
  <si>
    <t>ELIZABETH SCALZO</t>
  </si>
  <si>
    <t>Petflow is a good source of hard to find foods.</t>
  </si>
  <si>
    <t>My dog food always arrives on time. They always correct if a mistake happens. We are happy with the service.</t>
  </si>
  <si>
    <t>CORRINE SAVAGE</t>
  </si>
  <si>
    <t>Love Petflow products</t>
  </si>
  <si>
    <t>This gate is working very well at our house. The two-way open door is terrific. We are very happy.</t>
  </si>
  <si>
    <t>My dog food always arrives on time</t>
  </si>
  <si>
    <t>Great prices, selection! Fast shipping, love PetFlow!</t>
  </si>
  <si>
    <t>Linda Antonioli</t>
  </si>
  <si>
    <t>This gate is working very well at our…</t>
  </si>
  <si>
    <t>Kristen</t>
  </si>
  <si>
    <t>Kaia 1971</t>
  </si>
  <si>
    <t>Excellent alternative to Chewy</t>
  </si>
  <si>
    <t>Excellent selection of items and their delivery was spot on and timely. I tried them when Chewy did not have the brand of food that I was looking for. I learned that since chewy was purchased by Petsmart they no longer carry Fromm‘s dog food.</t>
  </si>
  <si>
    <t>Gemma</t>
  </si>
  <si>
    <t>Thank you so much Petflow</t>
  </si>
  <si>
    <t>Thank you so much Petflow, you have the prescription wetfood available for my Halo!</t>
  </si>
  <si>
    <t>SUSAN G</t>
  </si>
  <si>
    <t>The delivery of our canned dog food was quick. We had a problem with one of the cases due to the shipper and PetFlow customer service was excellent!</t>
  </si>
  <si>
    <t>ANNA</t>
  </si>
  <si>
    <t>Never received the dog food I ordered…</t>
  </si>
  <si>
    <t>Never received the dog food I ordered nor did anyone follow up after I called them inquiring about the missing order. Super disappointing, untrustworthy, and poor customer service</t>
  </si>
  <si>
    <t>Driver's License Wizard User</t>
  </si>
  <si>
    <t>Petflow is a great company to do my on…</t>
  </si>
  <si>
    <t>Petflow is a great company to do my on line buying from. the customer service persons are the best!</t>
  </si>
  <si>
    <t>VON SNOW</t>
  </si>
  <si>
    <t>like the quick service and available…</t>
  </si>
  <si>
    <t>like the quick service and available products. i have only had one problem since using PetFlow. Ordered pill pouches and they arrived smashed. good company that I have recommended.</t>
  </si>
  <si>
    <t>ANTOINETTE DARROW</t>
  </si>
  <si>
    <t>Always get my pups treats and food from…</t>
  </si>
  <si>
    <t>Always get my pups treats and food from Petflow! Great service and super quick delivery with updates.</t>
  </si>
  <si>
    <t>WK</t>
  </si>
  <si>
    <t>Bait and Disappoint</t>
  </si>
  <si>
    <t>On Oct 29th after not being able to obtain the prescription canned dog food needed through normal online pet care provider for over 60 days, I found the PetFlow website which showed the food was "in stock". To be sure I called the same day &amp; spoke to an Agent who confirmed their database did indicate the food was In stock. Consequently I placed an order that day and sent the Agent I'd spoken to the original (in-force) prescription. She confirmed via email she'd forward it to the appropriate area to expedite the order as we were running out of food. Received order confirmation that day; along with email form Agent saying she'd forwarded the prescription to complete the order.
After receiving no further information I contacted PetFlow via the text message system and was informed " Hi there! It looks like we are still awaiting approval on this order. I've sent your prescription to our pharmacy team again and asked that they approve this order today. Once shipped, you'll be notified via email!" And, that " I just followed up with our pharmacy team". Still having received no information I called the Customer Service Number on Nov 4th. Rep advised she'd look into it and give me a call back. The call never came.
Then, on Nov. 9th at 11:38AM I received an email which stated " As you know, we've been monitoring the status of your order and anticipating a new shipment from the manufacturer. Regrettably, we still have not received raw product(s)." "As a result, we've had to cancel your order".
Consequently one can only assume after showing the item "in-stock" on the PetFlow website and after calling to confirm that before placing the order and then having received nothing prior to the Nov. 9th notice that PetFlow "Never" had the item in-stock. The old Bait and Switch.
Therefore, after this experience I can not and will not recommend PetFlow to anyone.</t>
  </si>
  <si>
    <t>Martha</t>
  </si>
  <si>
    <t>my new found GEM!!!</t>
  </si>
  <si>
    <t>Customer Service is excellent! What they say...happens and quickly. Delivery is fast, packaged very well. Notifications of shipment, delays, when to expect delivery are outstanding!
LOVE THIS COMPANY!....they genuinely understand how important our fur babies are to us. BRAVO PET FLOW!!!</t>
  </si>
  <si>
    <t>Tammy Counts</t>
  </si>
  <si>
    <t>PetFlow has what you’re looking for</t>
  </si>
  <si>
    <t>I had a hard time finding what I wanted, and PetFlow had it! Fair price, fair shipping cost, and timely. I will be a repeat customer.</t>
  </si>
  <si>
    <t>CAROLINE</t>
  </si>
  <si>
    <t>slow with shipping and handling</t>
  </si>
  <si>
    <t>Always what they promised. Great deals</t>
  </si>
  <si>
    <t>GWEN SIDDIQU</t>
  </si>
  <si>
    <t>I ordered a few items using an account credit. When one of the items was “out of stock” at one warehouse and had to be shipped from a different warehouse, they charged my PayPal account without my consent for this item that was already paid for using the account credit. I will never buy another thing from PetFlow ever again. What an awful company.</t>
  </si>
  <si>
    <t>LJ</t>
  </si>
  <si>
    <t>I ordered a few items using an account…</t>
  </si>
  <si>
    <t>Great prices, easy to order, and prompt delivery. I'm a convert.</t>
  </si>
  <si>
    <t>WILDA WHITE</t>
  </si>
  <si>
    <t>You've Earned My Business</t>
  </si>
  <si>
    <t>I have ordered the 100 pack of bully sticks from Petflow several times. They are an expensive item anywhere and the cost keeps going up as with everything these days. Their prices are fair and their shipping is fast. One thing I have noticed is that the total amount that my receipt says and the amount taken out of my bank account are always 1 penny different. I know, it's just a penny. If Petflow does that to every customer it would amount to felony theft.</t>
  </si>
  <si>
    <t>RUSSELL HOLSTER</t>
  </si>
  <si>
    <t>Something about that penny</t>
  </si>
  <si>
    <t>Ordered online instead of my local store who is almost always out of stock. I just order when the old bag is halfway empty - food comes within a couple of days usually. No issues.</t>
  </si>
  <si>
    <t>Jim Lucas</t>
  </si>
  <si>
    <t>Ordered online instead of my local…</t>
  </si>
  <si>
    <t>My order was filled shortly after it was placed, but 5 days after it was due to be delivered, only 1of 3 boxes has been. The other two boxes are sitting at a Fed Ex center, waiting to be loaded onto the delivery truck. The Petflow customer service people were very kind, pleasant to work with and thorough. They were able to accommodate the changes in delivery that needed to be made due to Fed Ex delays and did their best to improve an unfortunate situation. I would certainly order again but would try to allow at least three times as much time for shipping than pre-pandemic.</t>
  </si>
  <si>
    <t>C. WELLNITZ</t>
  </si>
  <si>
    <t>Quickly filled order, delayed delivery</t>
  </si>
  <si>
    <t>I ordered my dog’s food and had it within a couple days. And free delivery to boot!</t>
  </si>
  <si>
    <t>Marie Vardaman</t>
  </si>
  <si>
    <t>Fast Service</t>
  </si>
  <si>
    <t>Our order was delivered very fast . The price was reasonable. The website is easy to use.</t>
  </si>
  <si>
    <t>JOE KRAUT</t>
  </si>
  <si>
    <t>Our order was delivered very fast</t>
  </si>
  <si>
    <t>Came on time and exactly what I needed. Couldn’t find it anywhere else Thanks!</t>
  </si>
  <si>
    <t>DARLENE REDCLIFT</t>
  </si>
  <si>
    <t>Absolutely perfect</t>
  </si>
  <si>
    <t>DIXIE EICHELBERGER</t>
  </si>
  <si>
    <t>Placed order and received it in less than one week!</t>
  </si>
  <si>
    <t>LUIS OROZCO</t>
  </si>
  <si>
    <t>Shipped promptly and great prices</t>
  </si>
  <si>
    <t>What a MESS this company is! I thought Chewy was annoying.
I will NEVER use Petflow again!</t>
  </si>
  <si>
    <t>BigOakFarmSocal an animal resc</t>
  </si>
  <si>
    <t>Over promised and Under delivered.</t>
  </si>
  <si>
    <t>When I received my order the box and the bag of dog food had been ripped open. I called customer service and they had a new bag out the same day. Awesome customer service. Thank you very much!</t>
  </si>
  <si>
    <t>Tanya Scarantine</t>
  </si>
  <si>
    <t>Damaged order</t>
  </si>
  <si>
    <t>Outstanding, well trained, smart, friendly &amp; knowledgable customer service. And I depend heavily on the auto-ship program,</t>
  </si>
  <si>
    <t>Tracy Moore</t>
  </si>
  <si>
    <t>Dog likes food it’s too expensive</t>
  </si>
  <si>
    <t>Ordered everything. I have a “chew everything puppy” I placed my order then received an email for a couple items not in the warehouse. That was fine, but never received either an email or receipt for my items or what my final cost was. They did state I wouldn’t be charged for the items that were unavailable but I sure would love a receipt!</t>
  </si>
  <si>
    <t>ELIZABETH CIPRICH</t>
  </si>
  <si>
    <t>Always correct and quick</t>
  </si>
  <si>
    <t>I Love Petflow. They always have what I need for my dog , and ship it out fast. A+ service every order.</t>
  </si>
  <si>
    <t>FAITH FREEWOMAN</t>
  </si>
  <si>
    <t>Outstanding customer service</t>
  </si>
  <si>
    <t>Everyone at Petflow seems to be familiar with their inventory &amp; very helpful. Great place to shop for your pets needs!</t>
  </si>
  <si>
    <t>KARMEN</t>
  </si>
  <si>
    <t>Ordered everything</t>
  </si>
  <si>
    <t>THE TREATS WERE PERFECT AND FAST SHIPPING THANK YOU</t>
  </si>
  <si>
    <t>STACEY</t>
  </si>
  <si>
    <t>I Love Petflow</t>
  </si>
  <si>
    <t>Petflow was recommended by my girlfriend and I switched dog food and my dog loves it and I have no complaints 10/10 Recommend! And I can set up times of delivery between bags.</t>
  </si>
  <si>
    <t>Darlene Cooper</t>
  </si>
  <si>
    <t>Updated Nov 7, 2021</t>
  </si>
  <si>
    <t>Focus on your</t>
  </si>
  <si>
    <t>Just started auto ship of a cat food for skin allergies made by Hill's and once I know how much I will need of Blue Buffalo's I will make it auto ship. The Hill's I am running into availability of just ordering when I need it or at the vet's. It was even a problem before the pandemic. Their supply chain has a problem, but everyone is having this problem now, so being on a scheduled shipment I am hoping helps. My one cat cannot eat anything but these special foods. So will see, so this is why only 4 stars, this is only the second shipment.</t>
  </si>
  <si>
    <t>JOANNA PROCTOR</t>
  </si>
  <si>
    <t>THE TREATS WERE PERFECT AND FAST…</t>
  </si>
  <si>
    <t>Love pet flow! Very kind and friendly customer service. They Always have my cat bff weruva in and the 10% off is always a plus!</t>
  </si>
  <si>
    <t>Keeron Hogan</t>
  </si>
  <si>
    <t>Amazing</t>
  </si>
  <si>
    <t>i have been pleased with Petflow. Customer service has been great, products are good. The only problem I have had is using your website to cancel autoship. i have only been able to pause it. i don't know if this is intentional or an oversight. i know I can call to cancel, but it is more convenient to do it online.</t>
  </si>
  <si>
    <t>Kathy Davis</t>
  </si>
  <si>
    <t>Just started auto ship of a cat food</t>
  </si>
  <si>
    <t>My doggies food comes so quickly after I order. It’s always in perfect condition.</t>
  </si>
  <si>
    <t>SHANNON</t>
  </si>
  <si>
    <t>Love pet flow</t>
  </si>
  <si>
    <t>Always an easy transaction, we order our dog food from here regularly.</t>
  </si>
  <si>
    <t>Autoship</t>
  </si>
  <si>
    <t>Didn’t have my order in stock and canceled my shipment. With a puppy it is hard to just up and switch food when an order doesn’t arrive as expected, so had to go to extra lengths to find the specific food.</t>
  </si>
  <si>
    <t>DIANE P</t>
  </si>
  <si>
    <t>Awesome as usual --- always. on time, great customer service and fantastic product!</t>
  </si>
  <si>
    <t>Jenny Martins-Tadena</t>
  </si>
  <si>
    <t>Always an easy transaction</t>
  </si>
  <si>
    <t>Our toy poodle has been permanently put on Hill's canned stew due to health issues, but we found it was not available due to a supply shortage. Then we turned to PetFlow and found her entire supply with fast delivery. PetFlow looks out for our furry kids and for that we are very grateful!
Penny Di - Sebring, FL</t>
  </si>
  <si>
    <t>Erika</t>
  </si>
  <si>
    <t>Didn’t have my order in stock and…</t>
  </si>
  <si>
    <t>KELLY KRAUSS</t>
  </si>
  <si>
    <t>The. best place to auto order treats and food for your dogs!</t>
  </si>
  <si>
    <t>Paula &amp; Nelson DiGennaro - Sebring, FL</t>
  </si>
  <si>
    <t>While most others were out; we found the canned food our pet needed a PetFlow</t>
  </si>
  <si>
    <t>WEBCLIENT Laura P</t>
  </si>
  <si>
    <t>I love the autoship option for my cat…</t>
  </si>
  <si>
    <t>I love the autoship option for my cat items purchases. In particular I order large containers/boxes of cat litter....PetFlow does an excellent job of packing it and it always arrives undamaged. They also keep me informed of any shipment delays ,etc.</t>
  </si>
  <si>
    <t>KAREN MCFARLANE</t>
  </si>
  <si>
    <t>Updated Nov 3, 2021</t>
  </si>
  <si>
    <t>Petflow is my most trusted vendor</t>
  </si>
  <si>
    <t>I began using Petflow several years ago. I love them because:
1. I can speak to a real American born person who always helps me.
2. They carry brands from small companies such as Fromm.
3. Somehow, they get FedEx to deliver to my house on time. FedEx usually does not deliver to me until I complain to my vendor, but they do it for Petflow on time everyone.</t>
  </si>
  <si>
    <t>TERRY GORMAN</t>
  </si>
  <si>
    <t>Product was delivered quickly</t>
  </si>
  <si>
    <t>Product was delivered quickly, on time, with no damage.</t>
  </si>
  <si>
    <t>Excellent communication and outstanding customer service</t>
  </si>
  <si>
    <t>Excellent communication and reliable, timely deliveries. Customer service is the best I've ever worked with. My go-to supplier for quality pet food.</t>
  </si>
  <si>
    <t>Jean O.</t>
  </si>
  <si>
    <t>Excellent customer service and easy…</t>
  </si>
  <si>
    <t>Excellent customer service and easy auto ship options.</t>
  </si>
  <si>
    <t>Charlotte Greenbarg</t>
  </si>
  <si>
    <t>Good service, selection, prices</t>
  </si>
  <si>
    <t>MICHELLE STANEK</t>
  </si>
  <si>
    <t>Customer Service is good to work</t>
  </si>
  <si>
    <t>Customer Service has always been polite and helpful but unfortunately I have needed to use them frequently with my autoship orders. I had 2 pets getting prescription diets but they kept sending the requests for refill to the incorrect veterinarian, then somehow the changed the pet names. They also send nondescript emails if one of the prescription diets are on backorder and won't be shipped so we never quite know if our monthly order will come until we are almost out of food. The other issue is they don't automatically ship when the backorder diet is back in stock, they wait till the next scheduled autoship order date unless you call to find out when the food will be shipped.
Customer Service has always handled my concerns very well and they do what they can to correct the issues.</t>
  </si>
  <si>
    <t>Carmelle Latour</t>
  </si>
  <si>
    <t>Selling empty air</t>
  </si>
  <si>
    <t>The item I ordered turned out to be unavailable. I received an email a few days after ordering which informed me of that fact. I don't know why you can't update your website so someone doesn't end up ordering something you don't actually have. Thankfully, I was able to find the item on another website for less money.</t>
  </si>
  <si>
    <t>Thao B.</t>
  </si>
  <si>
    <t>I placed an order and had to cancel</t>
  </si>
  <si>
    <t>I placed an order and had to cancel. I was shocked how quickly my text message was received and taken care of. Not entirely trusting the text system, I called customer service and the lady was courteous and confirmed order was already canceled. Customer service is a lost art these days but not with your company! I’ve always received great service for years now. Keep up the good work!</t>
  </si>
  <si>
    <t>Cat Lady</t>
  </si>
  <si>
    <t>PetFlow is wonderful</t>
  </si>
  <si>
    <t>PetFlow is wonderful! The lady I spoke with taking my order was terrific! My pet food all arrived quickly and in good condition, delivered right to my front door! 😄 Thank you PetFlow! 👍</t>
  </si>
  <si>
    <t>I wish I had known about you sooner</t>
  </si>
  <si>
    <t>I wish I had known about you sooner. I order my pups dog food &amp; it arrives the next day! Thank you for such great service.</t>
  </si>
  <si>
    <t>KEN PEARSON</t>
  </si>
  <si>
    <t>Products are great</t>
  </si>
  <si>
    <t>Products are great. Good selection. Could have been better communication on the order status and shipping times. Compared to other companier i order from, taking 3 or 4 days to prepare an order to ship is too slow. Especially with little to no communication from you as to when the order will be or has been shipped. Don't know the size of you company, but speed is very important in today's market.</t>
  </si>
  <si>
    <t>Cheryl Jasper</t>
  </si>
  <si>
    <t>I was pleasantly surprised that PetFlow had products that Chewy had out of stock, and they shipped it free and fast. Good work, PetFlow! I will definitely buy from you again!</t>
  </si>
  <si>
    <t>Wil</t>
  </si>
  <si>
    <t>Always great service and excellent…</t>
  </si>
  <si>
    <t>Always great service and excellent selection.</t>
  </si>
  <si>
    <t>TOM ALLEN</t>
  </si>
  <si>
    <t>have been waiting for almost 2 weeks…</t>
  </si>
  <si>
    <t>have been waiting for almost 2 weeks for the dog food i ordered?? they said it got lost??</t>
  </si>
  <si>
    <t>Slick</t>
  </si>
  <si>
    <t>shipping and delivery could be quicker</t>
  </si>
  <si>
    <t>I really like Pet Flow and would order from them more but it seems like they are frequently out of stock of the products I want. So I am then forced to go elsewhere and shop.</t>
  </si>
  <si>
    <t>CHERYL FARRELL</t>
  </si>
  <si>
    <t>I really like Pet Flow and would order…</t>
  </si>
  <si>
    <t>Great price and item was shipped out in timely fashion.</t>
  </si>
  <si>
    <t>KATIE WERNER</t>
  </si>
  <si>
    <t>Thumbs up</t>
  </si>
  <si>
    <t>PetFlow has excellent customer service. I ordered a case of canned dog food and it once again came with almost all the cans dented. I called to let them know and they sent me a new case of cans without dents. Would have liked the original shipment to have come not damaged.</t>
  </si>
  <si>
    <t>Tina P.</t>
  </si>
  <si>
    <t>PetFlow has excellent customer service, but...</t>
  </si>
  <si>
    <t>When it comes to the phone reps, I have always had friendly and competent service from PetFlow. However, the inadequacies of the website have me at the point of switching companies. I have set up AutoShip for Rx cat food. When I log in, there is just no way for me to add extra items to my order to take advantage of free shipping. I should not have to make a phone call every time.</t>
  </si>
  <si>
    <t>NearMiss</t>
  </si>
  <si>
    <t>Website needs to be more functional</t>
  </si>
  <si>
    <t>TAMI</t>
  </si>
  <si>
    <t>Customer service was great, but</t>
  </si>
  <si>
    <t>Customer service was great, but I was disappointed in the bully sticks. They were the right length but very small around. Not what I expected.</t>
  </si>
  <si>
    <t>Updated Nov 1, 2021</t>
  </si>
  <si>
    <t>Happy Mom, happy dogs!</t>
  </si>
  <si>
    <t>I liked the idea that at PetFlow I can get Fromm dog food and treats delivered right to my door with free shipping.</t>
  </si>
  <si>
    <t>DANA DRAKE</t>
  </si>
  <si>
    <t>Can you wait til I receive my order</t>
  </si>
  <si>
    <t>Can you wait til I receive my order? So far your premature review begging is a turn off</t>
  </si>
  <si>
    <t>Robin Gedge</t>
  </si>
  <si>
    <t>Might beat Chewy eventually</t>
  </si>
  <si>
    <t>Great site, lots of items I couldn't find elsewhere, especially limited ingredient feline canned. Shipping was fast. Will buy again for sure</t>
  </si>
  <si>
    <t>Lynne Levy</t>
  </si>
  <si>
    <t>I love being a Pet Flow customer!</t>
  </si>
  <si>
    <t>I am so very pleased with PetFlow. Every shipment arrives on time, prices are fair, customer service is outstanding, and shipments arrive properly packed. Have never had anything broken.</t>
  </si>
  <si>
    <t>THOMAS HOOPER</t>
  </si>
  <si>
    <t>I have 5 cats for whom the…</t>
  </si>
  <si>
    <t>I have 5 cats for whom the ChickennNreast is a regular morning treat. They all look forward to it every day.</t>
  </si>
  <si>
    <t>CHERYL</t>
  </si>
  <si>
    <t>Delivery of my product arrived timely… BUT</t>
  </si>
  <si>
    <t>Delivery of my product arrived timely but I needed to cancel my auto-ship. When you select to cancel there is NO option to cancel, only "pause". I had to wait until the next day to call and and speak with someone to cancel and when asked "why", I had to share with a complete stranger that my furbaby is no longer here and has crossed over to the rainbow bridge. You need to fix this!</t>
  </si>
  <si>
    <t>IRENE SIMMONS</t>
  </si>
  <si>
    <t>My experience with PetFlow was…</t>
  </si>
  <si>
    <t>My experience with PetFlow was excellent. Their pricing and availability of products is very good. The kept me informed of my order status from start to finish. They were the only company that had what I needed and I received my order promptly. I will continue buying the prescription food for my cats from them and will likely order much more from PetFlow.</t>
  </si>
  <si>
    <t>Bad experience. Took forever to acknowledge receipt of pet Rx, all the while losing time to secure the limited supply of product I ordered. By the time they confirmed receipt of the script and acknowledged the order, the supply dwindled and I lost the product. Mind you, that took days and days and yet my debit card was charged when I placed the order a week before and it was another bunch of days before the charge was reversed.</t>
  </si>
  <si>
    <t>Always fast shipping and great products…</t>
  </si>
  <si>
    <t>Always fast shipping and great products !!</t>
  </si>
  <si>
    <t>Barbara McNeil</t>
  </si>
  <si>
    <t>Fast delivery.</t>
  </si>
  <si>
    <t>Products are fine. Website is fine but I have a problem with auto ship set up. It is impossible to cancel auto ship program. I can delay and change the date of shipment but cannot cancel without calling the office and because of this have received duplicate shipments.</t>
  </si>
  <si>
    <t>James Miller</t>
  </si>
  <si>
    <t>Products are fine</t>
  </si>
  <si>
    <t>My puppy and cat love it.
I love how big the bowl and reserve "tank" are and how quite the motor is as well as the way the water circulates in the bowl, no splashing. I had the large original drinkwell pet fountain and so far I prefer this one a lot over the drinkwell.</t>
  </si>
  <si>
    <t>SHELL</t>
  </si>
  <si>
    <t>My puppy and cat love it.</t>
  </si>
  <si>
    <t>This was the very first time I ever purchased from the site and I was a little nervous in the beginning but that was all changed when I found out that they shipped on the day they said they were going to and I received it when I needed it I am very happy with the service and will use it again</t>
  </si>
  <si>
    <t>Michele Casolco</t>
  </si>
  <si>
    <t>This was the very first time I ever…</t>
  </si>
  <si>
    <t>It’s been weeks and I haven’t received the good yet! I can’t believe they are asking my opinion of an item that hasn’t arrived yet!?</t>
  </si>
  <si>
    <t>Kim D</t>
  </si>
  <si>
    <t>It’s been weeks and I haven’t received…</t>
  </si>
  <si>
    <t>the orders are always late. the customer service rep was rude and unhelpful. I had to speak to the manager to get some resolve.</t>
  </si>
  <si>
    <t>VICTOR ALBANESE</t>
  </si>
  <si>
    <t>the orders are always late</t>
  </si>
  <si>
    <t>Because as a customer PetFlow mislead me . PetFlow sold me merchandise and the sold it to another customer then sent me a message that they were now out of stock . And PetFlow still has not refunded my money . We will never shop with PetFlow again . TA</t>
  </si>
  <si>
    <t>Customtom arnolder</t>
  </si>
  <si>
    <t>Because as a customer PetFlow mislead me</t>
  </si>
  <si>
    <t>First time ordering with this company, placed the order on 10/17, by 10/28 still hadn’t received it. I called and apparently the shipment got lost. Employee offered to send out another order but declined to give any type of promo code or discount even though I told her I had to go out an purchase food elsewhere on a day by day basis until the order arrived. She said I only had 2 options, new order or a refund and that I had to pick one.</t>
  </si>
  <si>
    <t>EKS</t>
  </si>
  <si>
    <t>Unfortunately when I placed my order my items were in stock. Then I got an email saying they were out of stock and I was refunded. Haven’t order again.</t>
  </si>
  <si>
    <t>JENNIFER HORNUNG</t>
  </si>
  <si>
    <t>Unfortunately when I placed my order my…</t>
  </si>
  <si>
    <t>Very punctual and nice. But the FedEx delivery person did not do his job. Left the box near the mail box and not at the door. I am senior and cannot pick up this heave box.</t>
  </si>
  <si>
    <t>Very punctual and nice.</t>
  </si>
  <si>
    <t>Allyson</t>
  </si>
  <si>
    <t>PetFlow came through for me with a…</t>
  </si>
  <si>
    <t>PetFlow came through for me with a prescription order when Chewy could not! Hours on the phone with Chewy and multiple customer service agents and Chewy failed - they have problems over there. I contacted PetFlow and they took my prescription and had my cat food shipped to me, arriving within a few days. Chewy has now lost all of my business and I will be forever loyal to PetFlow! Thank you PetFlow for handling a simple transaction in a simple way! Thank you, thank you!!!</t>
  </si>
  <si>
    <t>Loren Osborne</t>
  </si>
  <si>
    <t>Love the convenience of not having to…</t>
  </si>
  <si>
    <t>Love the convenience of not having to shop and hoist large bags of food.</t>
  </si>
  <si>
    <t>SHEILA HODGES</t>
  </si>
  <si>
    <t>I ordered treats that showed in stock. They never came so I emailed they said they were now out of stock and would notify me when in stock? They ended up cancelling my order . Not a good experience for first time customer.</t>
  </si>
  <si>
    <t>CURT SHAKE</t>
  </si>
  <si>
    <t>Great fast service</t>
  </si>
  <si>
    <t>Great fast service, great intro prices for new customers when you do autoship!</t>
  </si>
  <si>
    <t>LISA BARNES</t>
  </si>
  <si>
    <t>Horrible customer service keeps lying…</t>
  </si>
  <si>
    <t>Horrible customer service keeps lying to me about when my order is going to come in every time I looked it up it was supposed to be delivered today at at 10:30 in the morning now too and it never showed up and I can't seem to find the damn email to tell me where the hell my order is then I call at 9:43 and your clothes when you're supposed to be closed at 10 I know you're located and Las Vegas we're on the same time zone what the hell's going on</t>
  </si>
  <si>
    <t>Deborah Noack</t>
  </si>
  <si>
    <t>Has most any product you could want</t>
  </si>
  <si>
    <t>Most anything I was looking for I was available on PetFlow and at a good price.</t>
  </si>
  <si>
    <t>Janet F.</t>
  </si>
  <si>
    <t>Received mats exceptionally quickly for a very good price.</t>
  </si>
  <si>
    <t>KENNY KAZAROSIAN</t>
  </si>
  <si>
    <t>Updated Oct 28, 2021</t>
  </si>
  <si>
    <t>Fast order great packaging great price</t>
  </si>
  <si>
    <t>Fast order, great packaging ,great price!</t>
  </si>
  <si>
    <t>WANDA SEGARS</t>
  </si>
  <si>
    <t>I love the service however 2 bags of…</t>
  </si>
  <si>
    <t>I love the service however 2 bags of dog food I have received had busted bags and dog food all in the boxes.</t>
  </si>
  <si>
    <t>MARY BETH ALDER</t>
  </si>
  <si>
    <t>I used to use other well-known online…</t>
  </si>
  <si>
    <t>I used to use other well-known online mail pet services but they stopped carrying the brand of dog food I have given my beloved English Singer Spaniel for 15 years. I then discovered Petflow carried this brand. They are courteous, professional and most importantly quick to deliver. Great service and helpful staff. I now look to them first for my pet care needs</t>
  </si>
  <si>
    <t>ROSE BROWN</t>
  </si>
  <si>
    <t>Misleading information</t>
  </si>
  <si>
    <t>I ordered a product that said it was in stock only to be told 5 days later it was out of stock. The website is misleading.</t>
  </si>
  <si>
    <t>SUE ASH</t>
  </si>
  <si>
    <t>great prices</t>
  </si>
  <si>
    <t>great prices, products and customer service</t>
  </si>
  <si>
    <t>PHILIP JOW</t>
  </si>
  <si>
    <t>The service and delivery was great.</t>
  </si>
  <si>
    <t>The kitty litter box split and was all over the box.</t>
  </si>
  <si>
    <t>MaryAnne Kramer</t>
  </si>
  <si>
    <t>Great customer service!!</t>
  </si>
  <si>
    <t>Fast, carefully packed service</t>
  </si>
  <si>
    <t>The kitty litter box split and was all…</t>
  </si>
  <si>
    <t>This is a fantastic gate. It looks divine and was easy to assemble. Perfect for my Maltese! Thank you.</t>
  </si>
  <si>
    <t>SUSAN FOSTER</t>
  </si>
  <si>
    <t>You take orders knowing products not available. No trust ever again.</t>
  </si>
  <si>
    <t>JULIE KASSIS</t>
  </si>
  <si>
    <t>This is a fantastic gate!</t>
  </si>
  <si>
    <t>Petflow has a good selection of products. They are almost always in stock. The have competitive pricing and they deliver quickly, usually 2-3 days.</t>
  </si>
  <si>
    <t>Steven Goldstein</t>
  </si>
  <si>
    <t>You take orders knowing products not…</t>
  </si>
  <si>
    <t>JULIE ROBERTS</t>
  </si>
  <si>
    <t>DEBORAH PRINZ</t>
  </si>
  <si>
    <t>Petflow has a good selection of…</t>
  </si>
  <si>
    <t>Hassle-Free</t>
  </si>
  <si>
    <t>Reliable product. Easy ordering process. Dependable delivery. Thanks, PetFlow!</t>
  </si>
  <si>
    <t>noisyhouse</t>
  </si>
  <si>
    <t>Need to change auto ship program set up.</t>
  </si>
  <si>
    <t>Astoria</t>
  </si>
  <si>
    <t>I have place 2 orders with Petflow</t>
  </si>
  <si>
    <t>I have place 2 orders with Petflow. Both orders shipped out on the same day. Packages arrived quickly. Excellent company. Highly recommend</t>
  </si>
  <si>
    <t>Great selection of products &amp; emphasis…</t>
  </si>
  <si>
    <t>Great selection of products &amp; emphasis on very healthy items. Good price points &amp; delivery is always on time &amp; in good condition.</t>
  </si>
  <si>
    <t>PetFlow had Hill’s Metabolic Rx dog food when others did not!</t>
  </si>
  <si>
    <t>Thank you for carrying my dog’s prescription dog food, Hill’s Metabolic. Your website was the only trustworthy site in stock! My dog, Beau, says thanks for his food too.</t>
  </si>
  <si>
    <t>Dale</t>
  </si>
  <si>
    <t>Order with PetFlow</t>
  </si>
  <si>
    <t>I ordered food for my dog on the PetFlow website. My first order took a little while because they needed to verify with my vet since it was a prescription food. My second order was shipped the next day and arrived a day later at my house. Excellent service. Thank you.</t>
  </si>
  <si>
    <t>Great customer service. Quick &amp; courteous</t>
  </si>
  <si>
    <t>TERA MARSH</t>
  </si>
  <si>
    <t>Best pet food subscription platform</t>
  </si>
  <si>
    <t>I’ve been using PetFlow for years for my dogs food subcritical platform. The customer service is outstanding, the product diversity is unbeatable!</t>
  </si>
  <si>
    <t>Nv</t>
  </si>
  <si>
    <t>Placed order for dog food that I needed…</t>
  </si>
  <si>
    <t>Placed order for dog food that I needed ASAP. Then days later Petflow cancelled order and won't refund my payment for 3 to 5 days. I had to then find a physical store that sold my brand of food. So aggravated. Didn't they know my order wouldn't be fulfilled when they took payment?</t>
  </si>
  <si>
    <t>S. HARDY</t>
  </si>
  <si>
    <t>All item sent</t>
  </si>
  <si>
    <t>All item sent even if it took more than one box for same free shipping</t>
  </si>
  <si>
    <t>Kristi Ehlers</t>
  </si>
  <si>
    <t>Happy but could have been happier</t>
  </si>
  <si>
    <t>Products ordered 5 stars. Ease of ordering 5 stars. Speed of shipping (which may or may not be PetFlows issue) 4 stars. My order included dog food. I was only given 1 tracking number and unfortunately that tracking number was for the items shipped separately from the dog food. I never knew there were 2 packages in transit. The non food package arrived a day earlier than the dog food even though they were shipped and picked up at the same time. And unfortunately I needed the dog food sooner than it arrived so I had to go to the store and purchase a bag. Now I have 2 bags. Overall still a happy shopper.</t>
  </si>
  <si>
    <t>MICHAEL FAZEKAS</t>
  </si>
  <si>
    <t>Ordered Butcher Block Bones and a box…</t>
  </si>
  <si>
    <t>Ordered Butcher Block Bones and a box of dog biscuits. At checkout there was no information that the bones were out of stock. You shipped only the dog biscuits, I cancelled order. You said it already shipped and we could just go ahead and keep the biscuits or donate them, that was nice of you. Website or at check out should tell you if something is in stock or not.</t>
  </si>
  <si>
    <t>Rosepetals</t>
  </si>
  <si>
    <t>I was impressed with how quickly my…</t>
  </si>
  <si>
    <t>I was impressed with how quickly my order arrived. It was protected in a strong box. Very professional. Thank you.</t>
  </si>
  <si>
    <t>Bill Skinner</t>
  </si>
  <si>
    <t>Ordered a Flexi leash for my dog.</t>
  </si>
  <si>
    <t>I ordered a new Flexi leash for my canine, having carefully researched various sites and noting PetFlow for my first time. Decided to have a go and was pleasantly surprised at the pricing, service and delivery. They run out of the leash but notified me immediately they would get it back in stock (it only took 24 hours). It was then shipped and arrived the next day. Great job PetFlow! I'll be back.</t>
  </si>
  <si>
    <t>CAROL SMITH</t>
  </si>
  <si>
    <t>Product that is not available elsewhere…</t>
  </si>
  <si>
    <t>Product that is not available elsewhere is available on PetFlow, which I appreciate. With supply issues from the manufacturer, PetFlow provides another option to find the pet food I'm looking for.
Shipping time is slower that other online sites, so I need to plan further ahead to receive product before I run out and have starving kitties!!</t>
  </si>
  <si>
    <t>JAMES NEYHOUSE</t>
  </si>
  <si>
    <t>First time using</t>
  </si>
  <si>
    <t>First time using. Will use again.</t>
  </si>
  <si>
    <t>Your selection and prices are good</t>
  </si>
  <si>
    <t>Your selection and prices are good. I also appreciate the discounts available. Only thing I have a problem with is FedEx delivery. But since I eventually get my order I'll be okay with it.</t>
  </si>
  <si>
    <t>MARLIES RUBEN</t>
  </si>
  <si>
    <t>Excellent service, however now I can not find the product anymore.
Vital Essentials Relief Hemp Dog Chews relieves inflammation.</t>
  </si>
  <si>
    <t>SANDRA FRANCOIS</t>
  </si>
  <si>
    <t>I have been trying to find the special…</t>
  </si>
  <si>
    <t>I have been trying to find the special urinary diet treats for my fur baby for months. I finally found them on your site only to be told weeks later whoops you don't have them!! Well, put it on your website then that they are unavailable!</t>
  </si>
  <si>
    <t>S.J.</t>
  </si>
  <si>
    <t>Always Happy with my Purchases and Services</t>
  </si>
  <si>
    <t>Great selection and services.
Happy dogs!</t>
  </si>
  <si>
    <t>JEFF KRAMER</t>
  </si>
  <si>
    <t>Everything from locating products on…</t>
  </si>
  <si>
    <t>Everything from locating products on the website to check out was very easy. I wish that some kind of summary or packing slip was included with the delivery but other than that, everything went as smoothly as it could. Thank you!!</t>
  </si>
  <si>
    <t>JAN STERN</t>
  </si>
  <si>
    <t>PetFlow has the products I need and if…</t>
  </si>
  <si>
    <t>PetFlow has the products I need and if they don't they can explain to me why they don't and why I can't find the product anywhere else. Something might be happening at the manufatcurers end or with the distributer, etc. They are always very helpful if I have to call them on the phone too for help placing my order.</t>
  </si>
  <si>
    <t>SANDRA SCHAFER</t>
  </si>
  <si>
    <t>it seems a bit difficult to delete an…</t>
  </si>
  <si>
    <t>it seems a bit difficult to delete an autoship... maybe its me?</t>
  </si>
  <si>
    <t>GRACE CARR</t>
  </si>
  <si>
    <t>Not very long shipping from the date of…</t>
  </si>
  <si>
    <t>Not very long shipping from the date of the order, prices same as Vet</t>
  </si>
  <si>
    <t>Frank F.</t>
  </si>
  <si>
    <t>Ordered on 10/6</t>
  </si>
  <si>
    <t>Ordered on 10/6. Prescription approved the same day. Item was in stock. Estimated delivery Oct 25. 19 days for a prescription assuming it arrives on the 25th and no update at all? Unacceptable and the same thing happened the last time I ordered. Terrible service. They also promised to update me twice when I called and I received ZERO updates. Never again.</t>
  </si>
  <si>
    <t>I get all my dog food and treats from…</t>
  </si>
  <si>
    <t>I get all my dog food and treats from you. Usually all is good and no problems..however last order #9445812..the 30 lb. bag of their NutriSource Weight Management bag was torn and kibble leaked out into delivery box. I do not like giving my pups any food or treats where the container has been opened.It should be replaced!</t>
  </si>
  <si>
    <t>Marion Konvalina</t>
  </si>
  <si>
    <t>Petflow always has the prescription…</t>
  </si>
  <si>
    <t>Petflow always has the prescription diet dog food in stock my dog requires. I don't have to wait for them to ship. Thank you for your service.</t>
  </si>
  <si>
    <t>Wilson</t>
  </si>
  <si>
    <t>Great place to shop!</t>
  </si>
  <si>
    <t>I've used this company twice and both calls were speedy and user friendly. I've also used Chewy and those calls tend to be cumbersome. (Nice people at both companies.) Ex, Chewy asks lots of questions before I can place my order. I believe PetFlow just needed my phone number. Fast! PetFlow is now my first choice for my future service dogs needs. Good job!</t>
  </si>
  <si>
    <t>PATRICIA CAMPBELL</t>
  </si>
  <si>
    <t>Good job, PetFlow!</t>
  </si>
  <si>
    <t>Love the products and ease of ordering. My problem is with the actual shipping/packaging of items being sent to my house. Often EVERYTHING (no matter what size or weight) is thrown into the same weakly sealed (one strip of packing tape), thin cardboard box. By the time it arrives at my house, the box is falling apart or in pieces. Further, the products inside are smashed or in some cases have holes in the bags. I have received many bags (over the years) of 28lb cat litter with rips or holes I've had to patch. My last order of 2 (28lb) bags of cat litter and 2 (5lb) bags of cat food were all in ONE weakly sealed, cheap cardboard box. The box was falling apart, so I couldn't even move it (not to mention it weighed 66 lbs!). I tried to wrestle it, but nothing would stay inside. Finally, I had to remove each product one by one and carry them from my front porch to my basement. One bag of litter had a rip in it, so I had to tape it shut (Again!! This is like the 3rd or 4th time this has happened.). I now know I cannot bring your delivered boxes into my house, as it more than likely has litter spilling out inside. The other smaller, miscellaneous products (cat treats, pumpkin puree, etc.) were smashed from the weight of the heavier items and/or in the case of the pumpkin, its box was falling apart, too. I wish more care was taken with the actual shipment of the products. I'm tired of repairing rips, removing loose cat litter from all the other products (and my house) and dealing with ripped shipping boxes. Maybe shipping the heavier items in their own, individual box would be a good idea. I keep ordering from you because I do like the products and they are basically usable. It would just be nice to not have to wrestle with the shipping packages every time.</t>
  </si>
  <si>
    <t>R. Lahrman</t>
  </si>
  <si>
    <t>Updated Oct 21, 2021</t>
  </si>
  <si>
    <t>Products Great / Shipping NOT so Much!</t>
  </si>
  <si>
    <t>My purchase was delivered in a timely manner.
Prices are FABULOUS!! JUST 1 AT ANY OTHER RETAIL STORE IS $4.99 ish.
Once I'm finally moved into my new house I will start automatic shipping .</t>
  </si>
  <si>
    <t>Satisfied</t>
  </si>
  <si>
    <t>Always correct &amp; timely. A bit of delay due to getting items further than NV to AZ end point. But that is expected in the shipping issues across all businesses.</t>
  </si>
  <si>
    <t>Owl lover</t>
  </si>
  <si>
    <t>Always correct &amp; timely</t>
  </si>
  <si>
    <t>So far, so good.
Petsmart has let me down with late shipping, not in stock and 25lb bags of dog food with WAY too much powder! They refuse to ship in boxes that match the large bags and simple will NOT use any kind of packing!
F-that, we be dun wit does MF'ers!
\Petflow met our needs for in-stock ready to ship and a few bucks less!!!
Way to go my F-LOWERS!!!
or something.
Rock on</t>
  </si>
  <si>
    <t>BIGFISHGAMESSUCKS</t>
  </si>
  <si>
    <t>Petsmart not smart just huge corp.</t>
  </si>
  <si>
    <t>First time ordering autoship for dog food. So far, so good.</t>
  </si>
  <si>
    <t>First time ordering autoship</t>
  </si>
  <si>
    <t>Quick delivery and always coupons to be found</t>
  </si>
  <si>
    <t>MICHELLE MURRAY</t>
  </si>
  <si>
    <t>Quick, dependable service with diverse item selection. Most companies now offer free shipping on all orders which should be a consideration here.</t>
  </si>
  <si>
    <t>PATTY</t>
  </si>
  <si>
    <t>Great product. The company you use for shipping is horrible. Boxes opened when delivered. Bags of food broke open from throwing it down on the ground. Poor shipping</t>
  </si>
  <si>
    <t>CHRIS PORCARO</t>
  </si>
  <si>
    <t>Great prices and products in stock, ready to ship. I will definitely order again.</t>
  </si>
  <si>
    <t>Happy with Order</t>
  </si>
  <si>
    <t>Great service and fast delivery excellent 👍</t>
  </si>
  <si>
    <t>PASQUALE CRUDO</t>
  </si>
  <si>
    <t>Great service and fast delivery…</t>
  </si>
  <si>
    <t>Always a pleasure shopping with Pet Flow!</t>
  </si>
  <si>
    <t>MARY MAHANEY</t>
  </si>
  <si>
    <t>Always a pleasure shopping with Pet…</t>
  </si>
  <si>
    <t>Candy</t>
  </si>
  <si>
    <t>Great company. Quick shipping. I order dog food from them all the time but was disappointed on the last dog toy I bought this time. My little dog that doesn’t really destroy toys had this stuffed pizza toy destroyed after 20 minutes. I probably won’t order any more stuffed dog toys from them but will continue to buy other things.</t>
  </si>
  <si>
    <t>STEVEN BROCK</t>
  </si>
  <si>
    <t>Always got what my cats want and always delivered on time. Petflow gives me one less thing I have to worry about with there auto ship.</t>
  </si>
  <si>
    <t>PETER</t>
  </si>
  <si>
    <t>Always got what my cats want and always…</t>
  </si>
  <si>
    <t>Great company with excellent customer service.</t>
  </si>
  <si>
    <t>Linda Sabuda</t>
  </si>
  <si>
    <t>Great company with excellent customer…</t>
  </si>
  <si>
    <t>Great prices, excellent shipping time! Thank you!</t>
  </si>
  <si>
    <t>Andrea P</t>
  </si>
  <si>
    <t>2nd time ordering from Petflow and I am a very happy customer. I read a lot of bad reviews online about this company and was a bit concerned, but honestly, I've had an excellent experience with them so far. The order was accurate and I received the products in 2 days! That's amazing, especially considering that my dog food is with prescription.</t>
  </si>
  <si>
    <t>GINNETTE ALVAREZ</t>
  </si>
  <si>
    <t>Excellent customer service. Very professional and accommodating.
Thank you.</t>
  </si>
  <si>
    <t>IDA L.</t>
  </si>
  <si>
    <t>Petflow’s prices are good and the delivery is super fast.</t>
  </si>
  <si>
    <t>MICHELLE CILURSO</t>
  </si>
  <si>
    <t>Petflow’s prices are good and the…</t>
  </si>
  <si>
    <t>I ordered prescription food from them, which needed my vet’s approval. Spent over $100. At first, the food order was put on hold until January 2022 (???). I contacted the customer service and they were able to get rid of the pause, but they still had to contact my vet before shipping the order to me. I had to wait for 10 days for it to happen. Now I need to wait for over a week for the food to be delivered. Considering that I spent over 100 dollars and ordered it on Oct 5 and will get it on Oct 22, it’s an unreasonable amount of time.</t>
  </si>
  <si>
    <t>MK</t>
  </si>
  <si>
    <t>prescription food</t>
  </si>
  <si>
    <t>Competitive pricing. Product availability and FAST shipping. Thank you, Petflow!</t>
  </si>
  <si>
    <t>PENNY</t>
  </si>
  <si>
    <t>Fast shipping &amp; careful packaging!</t>
  </si>
  <si>
    <t>Gave petflow a chance because chewy was out of stock on one of the items I needed and petflow showed it in stock. After placing and paying for the order I got an email stating one of my items was out of stock. Turns out it was the same one chewy was out of stock on. If I can't trust your site to be truthful with inventory, I won't ever use your site again.</t>
  </si>
  <si>
    <t>KAREN WELCH</t>
  </si>
  <si>
    <t>Great job!</t>
  </si>
  <si>
    <t>I think I'm going to like this sifting litter box that I just bought. It's different from anything I ever used before but it's simple enough to figure out.</t>
  </si>
  <si>
    <t>GINO LANZI</t>
  </si>
  <si>
    <t>Gave petflow a chance because chewy was…</t>
  </si>
  <si>
    <t>I loved the selection and ease of checkout on PetFlow. The one time I dealt with customer service was completely painless and I would recommend this company to any pet owner. The only improvement that I can think of would be to have a way to save items for future purchase.</t>
  </si>
  <si>
    <t>Gloria Moore</t>
  </si>
  <si>
    <t>Sifting Litter Box</t>
  </si>
  <si>
    <t>Competitive price
Fast delivery</t>
  </si>
  <si>
    <t>Good pricing, great variety, quick service! Need I say more!?</t>
  </si>
  <si>
    <t>Marc Marsceill</t>
  </si>
  <si>
    <t>Competitive price</t>
  </si>
  <si>
    <t>The first time I ordered my dog’s canned food, the experience was pretty negative as none of my requests were taken care of. It was if they just ignored me. The second time was a better experience.</t>
  </si>
  <si>
    <t>John Wright</t>
  </si>
  <si>
    <t>Need I say more!?</t>
  </si>
  <si>
    <t>Ordered item 2 weeks ago, web site said in stock . called twice did not receive any real answers or satisfaction, said it was problem at he supplier's warehouse UPDATE Just received email that product just shipped All is good</t>
  </si>
  <si>
    <t>Coffee</t>
  </si>
  <si>
    <t>The first time I ordered my dog’s…PCB</t>
  </si>
  <si>
    <t>First I was told my food order was on its way and shipped then told it was on back ordered and can’t be delivered . I want to cancel my order but have no where to call or know how to do it
But company sends constant emails .
Also I ordered toys based on my dogs weight but they were way too small
Disappointed all around</t>
  </si>
  <si>
    <t>Phyllis</t>
  </si>
  <si>
    <t>Updated Oct 16, 2021</t>
  </si>
  <si>
    <t>Ordered item 2 weeks ago</t>
  </si>
  <si>
    <t>They have products of dog food I can’t find anywhere else</t>
  </si>
  <si>
    <t>First I was told my food order was on…</t>
  </si>
  <si>
    <t>Valerie D</t>
  </si>
  <si>
    <t>They have products of dog food I can’t…</t>
  </si>
  <si>
    <t>MELODY FENSEL</t>
  </si>
  <si>
    <t>Products are great, service was great. The packaging for shipment was terrible. Both boxes were broken open, due to poor, lack of packing material. it was amazing items ordered were still in the boxes.</t>
  </si>
  <si>
    <t>JOANNE HALL</t>
  </si>
  <si>
    <t>MY DOGS ARE HAPPY AND SO AM I WITH THE…</t>
  </si>
  <si>
    <t>MY DOGS ARE HAPPY AND SO AM I WITH THE SERVICES ON DELIVERY OF THEIR FOODS,AND MY CATS ARE HAPPY TOO.</t>
  </si>
  <si>
    <t>Mary Y</t>
  </si>
  <si>
    <t>There no price gauging</t>
  </si>
  <si>
    <t>There no price gauging. My order was received quickly and packaged perfectly. I will order through them again.</t>
  </si>
  <si>
    <t>Charles McDowell</t>
  </si>
  <si>
    <t>Respond to emails very quickly</t>
  </si>
  <si>
    <t>Respond to emails very quickly. Take care of a problem pronto.</t>
  </si>
  <si>
    <t>Graduation</t>
  </si>
  <si>
    <t>It is difficult at times to get dog…</t>
  </si>
  <si>
    <t>It is difficult at times to get dog food during this pandemic. Petflow is dependable. Thank you!</t>
  </si>
  <si>
    <t>Jimmy</t>
  </si>
  <si>
    <t>Excellent service and delivery</t>
  </si>
  <si>
    <t>Excellent service and delivery. Selection of products is probably the best that I've yet to find. Shipping has been on time. Pricing is very competitive. Thank you for a positive experience!</t>
  </si>
  <si>
    <t>KAY Johnson</t>
  </si>
  <si>
    <t>Replacement squeakers</t>
  </si>
  <si>
    <t>The replacement squeakers I purchased were supposed to be large unfortunately they were medium sized merely passed off as large. They were barely bigger than the small squeakers I also purchased.</t>
  </si>
  <si>
    <t>GAZLENE HATFELD</t>
  </si>
  <si>
    <t>Late, poor communication</t>
  </si>
  <si>
    <t>It was supposed to be here Thursday. It is now Wednesday, almost a week late, and no estimated delivery date. I was hoping this would be convenient. However, now its way worse than just driving 20 minutes to the pet store!</t>
  </si>
  <si>
    <t>JAMES</t>
  </si>
  <si>
    <t>Timing of shipping is a problem.</t>
  </si>
  <si>
    <t>Overall the service is good, but: I have a routine shipping monthly on the 11th. Unfortunately my order of prescription dog food was not picked up by FedEx until the 12th and not shipped until the 13th. Now it looks like I will run out of food a day early. Not good.</t>
  </si>
  <si>
    <t>Love my dog</t>
  </si>
  <si>
    <t>Prices are good, however shipping time not so good. My items took about 6-7 days to arrive. When using other company 2-3 days tops. This probably why I will not shop with pet flow again</t>
  </si>
  <si>
    <t>MICHELE DECRESCENZO</t>
  </si>
  <si>
    <t>Very good service and fast shipment.</t>
  </si>
  <si>
    <t>Love the delivery. It’s heavy for me to carry to the trunk and then into my house. Plus the food is great and so are the treats! Thanks</t>
  </si>
  <si>
    <t>JOAN DAM</t>
  </si>
  <si>
    <t>Love the delivery</t>
  </si>
  <si>
    <t>Ordered several teddy bear toys - enough to get free shipping. Arrived so quick. My dog loves these toys - they are quite durable and she’s quite a chewer. I’ve got enough to last for a while. Got a good price too (not dependent upon quantity) - better than PetSmart! Highly recommend.</t>
  </si>
  <si>
    <t>LONNIE SCUTELLA</t>
  </si>
  <si>
    <t>Ordered several teddy bear toys</t>
  </si>
  <si>
    <t>Ordered Fromms pate canned food for my dog’s upcoming surgery. Promptly shipped but delivery was held up with no updates. Contacted Pet Flow to see if they could get any information. Aimee quickly responded that she would contact the shipper and would get a free replacement order in time for next weeks surgery. Luckily the shipment finally arrived today but I really appreciated how attentive and caring Aimee was. Thanks Aimee!!</t>
  </si>
  <si>
    <t>KOREN SLONE</t>
  </si>
  <si>
    <t>Delayed delivery…Pet Flow Handled Perfectly</t>
  </si>
  <si>
    <t>Great service, reasonable prices, good quality. Will definitely buy again</t>
  </si>
  <si>
    <t>SFsanibel</t>
  </si>
  <si>
    <t>Usually we have a great experience with PetFlow. This time however was a real struggle. I was told over and over by PetFlow that they reached out to our vet for food approval, but my vet told me they never received any contact from them. I even went to my vet twice to get them to help. My dog didn't have food for three days and we had to figure something else for her special diet.</t>
  </si>
  <si>
    <t>MICHELLE HINES</t>
  </si>
  <si>
    <t>Usually we have a great experience with…</t>
  </si>
  <si>
    <t>I contacted customer service because I received the wrong dog food and they immediately resolved the situation and sent me a return shipping label. This company has some of the best and quickest customer service agents I’ve ever dealt with.</t>
  </si>
  <si>
    <t>Nikki Tucek</t>
  </si>
  <si>
    <t>I contacted customer service because I…needed to return the wrong dog food</t>
  </si>
  <si>
    <t>Excellent, fast service.</t>
  </si>
  <si>
    <t>Very easy ordering. Only site that had the wet food I needed. Took a little longer to ship but was received in an acceptable period of time.</t>
  </si>
  <si>
    <t>Mary K</t>
  </si>
  <si>
    <t>Very easy ordering</t>
  </si>
  <si>
    <t>I have been a returning customer for a while now. PetFlow has always had excellent service. It is most appreciated. Thank you!</t>
  </si>
  <si>
    <t>I have been a returning customer for a…</t>
  </si>
  <si>
    <t>Greg Morris</t>
  </si>
  <si>
    <t>PetFlow had the prescription dog food my Vet couldn't get</t>
  </si>
  <si>
    <t>PetFlow had the specialty prescription dog food my Vet could not get. They made the buying process easy and shipped quickly. I will keep shopping with PetFlow.</t>
  </si>
  <si>
    <t>PAIGE MARTIN</t>
  </si>
  <si>
    <t>Great customer service! Their text option is awesome!</t>
  </si>
  <si>
    <t>Frederick Raymond</t>
  </si>
  <si>
    <t>My order was well wrapped and delivered…</t>
  </si>
  <si>
    <t>My order was well wrapped and delivered in a timely fashion. I will continue to use Pet Flow and highly recommend them.</t>
  </si>
  <si>
    <t>Lauri Maynard</t>
  </si>
  <si>
    <t>Love this company, so easy to work with.</t>
  </si>
  <si>
    <t>Halo</t>
  </si>
  <si>
    <t>Excellent service. I would recommend.</t>
  </si>
  <si>
    <t>JERRY FARRIS</t>
  </si>
  <si>
    <t>Amazing service</t>
  </si>
  <si>
    <t>Amazing service. The prescription dog food I needed was back ordered by the manufacturer. I explained to the PetFlow customer service that that was the only food my dog could eat. They did an online search and found it and had it shipped to me. This was not the service I was expecting due to the lack of service from other suppliers.
PetFlow is now my new source for dog supplies and food.</t>
  </si>
  <si>
    <t>BETSY</t>
  </si>
  <si>
    <t>Fast Delivery</t>
  </si>
  <si>
    <t>I appreciate how fast my orders are delivered and that they have exactly what I am looking for.</t>
  </si>
  <si>
    <t>TIMOTHY PANICHI</t>
  </si>
  <si>
    <t>Horrible fulfillment system</t>
  </si>
  <si>
    <t>See CSR file.</t>
  </si>
  <si>
    <t>JENNIFER JEDYNAK</t>
  </si>
  <si>
    <t>Easy to order form the site</t>
  </si>
  <si>
    <t>Easy to order form the site. Order shipped and arrived quickly.</t>
  </si>
  <si>
    <t>Ross</t>
  </si>
  <si>
    <t>Order processed immediately and delivery was quick</t>
  </si>
  <si>
    <t>Ordered 30lb bag of dog food and order was processed immediately and delivery was quick</t>
  </si>
  <si>
    <t>Paul Moore</t>
  </si>
  <si>
    <t>Found this vendor “on line”…great service</t>
  </si>
  <si>
    <t>Found this vendor “on line” . They were one of the only sites that had the prescription dog food I needed. None of the local pet stores had this food in stock. I ordered the food from them at a reasonable price and received the shipment in a timely manner. We’ll done.</t>
  </si>
  <si>
    <t>LEE HOFFMAN</t>
  </si>
  <si>
    <t>I have no idea what I bought from your…</t>
  </si>
  <si>
    <t>I have no idea what I bought from your site, but all my online cat food orders have been prompt and the requested product was the one I received. But if this was the Royal Canin cat food order -- my God! the price! (Not you, the manufacturer.) Lee Hoffman</t>
  </si>
  <si>
    <t>MeWithMe</t>
  </si>
  <si>
    <t>Found My New Online Cat Food Store</t>
  </si>
  <si>
    <t>My cats eat a pretty particular food that can be hard to find. Found it on PetFlow and for an affordable price. Everything arrived safely and quickly. You can contact them directly by text and email. I did to check on shipment status and a real person got back to me quickly. I'll definitely be using them to order food and snacks in the future.</t>
  </si>
  <si>
    <t>Chris Benson</t>
  </si>
  <si>
    <t>Ordered dog food which they said was in…</t>
  </si>
  <si>
    <t>Ordered dog food which they said was in stock . Prescription food for my dog. After paying for it the next day they tell me " oh we are out of that". This is the only food he can eat( prescribed) .</t>
  </si>
  <si>
    <t>Great service. Great value.</t>
  </si>
  <si>
    <t>DIANNE MULLENHOUR</t>
  </si>
  <si>
    <t>Great selection of in stock items and…</t>
  </si>
  <si>
    <t>Great selection of in stock items and shipping is quick and dependable.</t>
  </si>
  <si>
    <t>Martin</t>
  </si>
  <si>
    <t>Petflow had what I needed in cat food…</t>
  </si>
  <si>
    <t>Petflow had what I needed in cat food that I couldn't find anywhere else. However, it took nearly a week to ship although they were several days ahead of their shipping estimate. The long shipping may be mostly due to supply chain problems--hard to tell now.</t>
  </si>
  <si>
    <t>Laura Beckendorf</t>
  </si>
  <si>
    <t>When our Vet said he wanted our Aussie's food changed, I had to cancel our standing order &amp; order the new food. I contacted PetFlow by email &amp; received an immediate reply. I am so impressed by the ease &amp; speed with which my "problem" was handled. Thanks for the great customer service.</t>
  </si>
  <si>
    <t>Donna Rickford</t>
  </si>
  <si>
    <t>Vet advised a change of food</t>
  </si>
  <si>
    <t>You need to allow electronic upload of prescriptions for pet food. I had to mail the hard copy, and then wait for you to get approval from my vet after you received it. This took about 8 days. And why would you even need approval when I mailed you the actual original script anyway? The whole process of ordering much-needed prescription food was ridiculously long. I probably won't buy from your company again.</t>
  </si>
  <si>
    <t>R. Geibel</t>
  </si>
  <si>
    <t>Prescription orders are terrible.</t>
  </si>
  <si>
    <t>M J</t>
  </si>
  <si>
    <t>This place is da bomb</t>
  </si>
  <si>
    <t>This place is da bomb! They have very fast very nice customer service and that is far and few between these days!!! DO NOT hesitate do it do it! U will not regret. I was using chewy and pet smart and I’m out with those. As long as they keep my dogs in stock I’m a life long petflow customer!</t>
  </si>
  <si>
    <t>PATRICIA</t>
  </si>
  <si>
    <t>Great experience. Will use them again.</t>
  </si>
  <si>
    <t>STACIE MCCLAIN</t>
  </si>
  <si>
    <t>Easy to find exactly what I was looking…</t>
  </si>
  <si>
    <t>Easy to find exactly what I was looking for- quick delivery!</t>
  </si>
  <si>
    <t>MELANIE</t>
  </si>
  <si>
    <t>I was very happy with my experience</t>
  </si>
  <si>
    <t>I was very happy with my experience. I placed an order for my cat’s food it shipped quickly and I got it within two days of being shipped. The cans were excellently packed and the price for food was great! I was and am satisfied with my experience and will continue to shop here.</t>
  </si>
  <si>
    <t>SAYA</t>
  </si>
  <si>
    <t>Friendly staff</t>
  </si>
  <si>
    <t>Friendly staff. Good selection of dog food.</t>
  </si>
  <si>
    <t>Wrong food sent now I have to return it…</t>
  </si>
  <si>
    <t>Wrong food sent now I have to return it
Redbox it drive to Fedx haul in in</t>
  </si>
  <si>
    <t>Louise</t>
  </si>
  <si>
    <t>We and our 3 German Shorthair pups</t>
  </si>
  <si>
    <t>We and our 3 German Shorthair pups, think your quick service and price are excellent.</t>
  </si>
  <si>
    <t>SORORU KARAMI</t>
  </si>
  <si>
    <t>I ordered I/d chicken stew</t>
  </si>
  <si>
    <t>I ordered I/d chicken stew. After two weeks I called you and you said your order is out of stock. But still shows available.</t>
  </si>
  <si>
    <t>F. W.</t>
  </si>
  <si>
    <t>I always feel as though</t>
  </si>
  <si>
    <t>I always feel as though, they truly want to make their customers feel satisfied. I appreciate that very much.</t>
  </si>
  <si>
    <t>Deana Madsen</t>
  </si>
  <si>
    <t>rder email confirmation was delayed and…</t>
  </si>
  <si>
    <t>rder email confirmation was delayed and the email notification that shipment will be delayed was also late. Customer service needs improvement.</t>
  </si>
  <si>
    <t>Mermaid</t>
  </si>
  <si>
    <t>Super convenient</t>
  </si>
  <si>
    <t>Super convenient, great selection of grain free options, prompt delivery.</t>
  </si>
  <si>
    <t>DEBRA NEIL</t>
  </si>
  <si>
    <t>Couldn't locate my brand of food in New…</t>
  </si>
  <si>
    <t>Couldn't locate my brand of food in New state n city where I now reside. Found your website and luckily I now have my dogs favorite brands of food. Best part same price as it was in Minnesota at chuck n dons store. Better it was delivered to my door I will be ordering again.</t>
  </si>
  <si>
    <t>JAMES S</t>
  </si>
  <si>
    <t>I was forced to buy two items to get to…</t>
  </si>
  <si>
    <t>I was forced to buy two items to get to the minimal amount, only one was shipped, not the one I wanted.</t>
  </si>
  <si>
    <t>Lauren</t>
  </si>
  <si>
    <t>Couldn’t find our dog’s food anywhere</t>
  </si>
  <si>
    <t>Couldn’t find our dog’s food anywhere. You were the only place we found and you got it to us so fast and even contacted our vet for approval</t>
  </si>
  <si>
    <t>R. ELLIOTT</t>
  </si>
  <si>
    <t>Great products and excellent customer service</t>
  </si>
  <si>
    <t>I have been ordering from PetFlow for several years now and have always been satisfied with the products and the delivery. Recently they went above and beyond on an order that was delivered damaged. The customer service was excellent and I was totally satisfied with how quickly and completely the order was replaced.</t>
  </si>
  <si>
    <t>JAMES GILBERT</t>
  </si>
  <si>
    <t>Great phone help on getting Oscar’s Rx…</t>
  </si>
  <si>
    <t>Great phone help on getting Oscar’s Rx for Science Diet in and the food shipped quickly!</t>
  </si>
  <si>
    <t>Helpful coupons, hard-to-find food, friendly and fast service</t>
  </si>
  <si>
    <t>PetFlow had a prescription food in stock for my pet that other sites did not. They also had a great promotion for new autoship customers and a separate promotion that saved me money on my prescription food. When I had trouble applying the coupon code at checkout due to a system glitch, I was able to text their customer support, who applied the code for me so I was able to get the discount. They were also super fast at verifying my pet food prescription with my vet so there was no delay in shipping my order. PetFlow may not be as well known as other online pet food and supply providers, but I would recommend them to anyone. Their service is exceptional.</t>
  </si>
  <si>
    <t>Dawn Long</t>
  </si>
  <si>
    <t>Petflow has excellent prices and a…</t>
  </si>
  <si>
    <t>Petflow has excellent prices and a great variety of items. Their customer service is exellent also. However it does take a bit longer than competitors to receive the ordered items and they shipped us the wrong item twice. They did pay for the returned shipping and made arrangements for the items to be picked up by FEDEX from our home. It was a warehouse mistake of restocking shelves and the listing of a discontinued item on their website. The did rectify both. We will definitely purchase from them again and we recommend them for your pet needs.</t>
  </si>
  <si>
    <t>Alan Fertel</t>
  </si>
  <si>
    <t>Petflow was a great find</t>
  </si>
  <si>
    <t>Petflow was a great find. With all the shortages and difficulties getting our cats Hill’s Science Diet, and with the price gouging at competitor sites, it was certainly gratifying to find what I was looking for at Petflow. Our cats are finicky and spoiled and they love their Hills. The pandemic has been hard on them too! Finding the food we were looking for at Petflow made our household very happy!</t>
  </si>
  <si>
    <t>SHERI</t>
  </si>
  <si>
    <t>Each time I placed an order of what was…</t>
  </si>
  <si>
    <t>Each time I placed an order of what was supposed to be in stock, the company took my order and my credit card information and then days later told me the product was no longer available. It really felt like a bait and switch after it happened 3 times. Really bad business practices.</t>
  </si>
  <si>
    <t>MARY ANNE</t>
  </si>
  <si>
    <t>Fail</t>
  </si>
  <si>
    <t>Specialty food said available on website, called to be sure available, too. Emailed a week later on backorder. Very poor customer service.</t>
  </si>
  <si>
    <t>TAMMY H</t>
  </si>
  <si>
    <t>I still haven’t received my dog food</t>
  </si>
  <si>
    <t>I still haven’t received my dog food. FedEx keeps saying exception and attempted delivery that never occurred</t>
  </si>
  <si>
    <t>Christy Jones</t>
  </si>
  <si>
    <t>I couldn’t find this prescription treat…</t>
  </si>
  <si>
    <t>I couldn’t find this prescription treat for my dog anywhere but Petflow had it in stock!! My dog is happy she can have a couple of treats a day now thanks to Petflow!!</t>
  </si>
  <si>
    <t>Fast delivery &amp; easy to use website.</t>
  </si>
  <si>
    <t>Fast delivery &amp; easy to use website.
Thank you,
Laura</t>
  </si>
  <si>
    <t>Morris</t>
  </si>
  <si>
    <t>Fast service as usual</t>
  </si>
  <si>
    <t>Fast service as usual. Product in good condition, well packaged.</t>
  </si>
  <si>
    <t>Ms Dehn</t>
  </si>
  <si>
    <t>Hills prescription ID low fat diet canned dog food</t>
  </si>
  <si>
    <t>Wonderful product. Arrived as promised. Good company to do business with.</t>
  </si>
  <si>
    <t>D. PROF.</t>
  </si>
  <si>
    <t>Ordered Rx cat/case cans/Blue W+U on…</t>
  </si>
  <si>
    <t>Ordered Rx cat/case cans/Blue W+U on 9/21/21. Vet contacted on 9/22, responded same day. ON 9/30 still no confirmation that order had shipped.
9/22 - Had made calls early-on to check to see if everything had been approved, processed and had specifically asked WHEN PLACING the order "having any issues with inventory or getting the diets?" their answer was "no, not at all."
9/24 - You can not be connected to any type of Supervisor; "we don't have the ability to transfer a call, we can email them and they will call you."
When might that be? "Sometimes the same day most likely the next day, would you like me to send that request?" Yes - spoke with a Supervisor on the 30th, cancelled my order.
In between those times I had spoken with CSR's , they were nice and tried to be helpful but, gave conflicting information. I was told on 2 occasions everything was fine and (the Customer Service Rep(s)) didn't know why things weren't moving along but assured me 'it should be any time', another said he would 'look into it' and call or email me back - nope - On another call I was told there was (now) difficulty from the manufacturer's with their ability to make and ship the product.
Sadly, the first (taught) rule of thumb is to shift or pass the responsibility/blame of an issue onto something or someone else, especially if you don't have an adequate answer or explanation and it is or was (most likely), your mistake.
I'm pretty sure Blue didn't call PetFlow just that very day and say 'oop's no shipments'. Also, no capabilities for transfer to a Supervisor? These days...com'on
On the 30th I did have Amy pick up my call, she recognized my # (or name) and identified herself as the Supervisor that was supposed to have called me. She explained she tried to call and "my phone number would not let her go through". Okay...I'm not really sure what that means, but...:o}
I asked her about the production issues with Blue, she told me there weren't any, I gave her the information I was given and she said "no, no problems that she'd been informed of or aware of", that's when I decided it'd be easier to just cancel the order.
After I hung-up I called a company on the West coast. A family owned business and excellent communicators. Their annex that their Rx food orders go to are also closed on Sat. &amp; Sun., JUST LIKE PetFlows.
I ordered on 9/30, approved 10/1, shipped today 10/4 - now that's how to do it! Will receive by 10/6 - 7. BEA - U - TI - FUL!</t>
  </si>
  <si>
    <t>As usual</t>
  </si>
  <si>
    <t>As usual, everything arrived timely and accurately.</t>
  </si>
  <si>
    <t>I ordered the prescription dogfood I…</t>
  </si>
  <si>
    <t>I ordered the prescription dogfood I needed. Nothing happened. I called customer service and they told me they would expedite getting it shipped.
A day later I got an email saying it was out of stock. This should not have happened. Now I am hunting for the food my dog needs.</t>
  </si>
  <si>
    <t>Discount was removed by site after…</t>
  </si>
  <si>
    <t>Discount was removed by site after checkout. Ordered from different supplier. Will not buy from petflow again.</t>
  </si>
  <si>
    <t>I have been satisfied with all orders…</t>
  </si>
  <si>
    <t>I have been satisfied with all orders placed.</t>
  </si>
  <si>
    <t>JANE FUNK</t>
  </si>
  <si>
    <t>Items in stock and were delivered early!</t>
  </si>
  <si>
    <t>Received my delivery on the day it was promised.</t>
  </si>
  <si>
    <t>JUDITH HATFEILD</t>
  </si>
  <si>
    <t>Received my delivery on the day it was…</t>
  </si>
  <si>
    <t>The quality if your products is what keeps me coming back. Also, you have a few things I have never seen anywhere else. I would purchase a lot more from Petflow if you had discounts or rewards for loyal customers. I spend A ton of money on my dogs. Most of it is spent at Chewy or Amazon</t>
  </si>
  <si>
    <t>TrooperMama</t>
  </si>
  <si>
    <t>Great quality items that my dogs love.</t>
  </si>
  <si>
    <t>Love the service they try to make sure my order is filled every month</t>
  </si>
  <si>
    <t>GERLYN</t>
  </si>
  <si>
    <t>Love the service they try to make sure…</t>
  </si>
  <si>
    <t>I ordered online a specialty food product that generally has been in short supply but the order was canceled soon after I placed it. When I called customer service to clarify, the rep did a search of warehouse inventory and at first found the product was out of stock and it was unknown when it would be available. Ten minutes later, he called back to tell me he had found half of the amount I needed and had it shipped right away. Great service!</t>
  </si>
  <si>
    <t>Bryan Kortis</t>
  </si>
  <si>
    <t>Products are good. Just shipping a heavy bag of aquarium gravel with a plastic container of cat food in the same package is asking for disaster. I understand it saves on shipping costs but it’s inconvenient to pickup hundreds of food pebbles.</t>
  </si>
  <si>
    <t>BRYAN SCHWARTZWALDER</t>
  </si>
  <si>
    <t>Products are good</t>
  </si>
  <si>
    <t>They advertised a product that they never had.
I paid for it and waited along time for responses.</t>
  </si>
  <si>
    <t>NEVER HAD A PRODUCT THEY ADVERTISED!</t>
  </si>
  <si>
    <t>I ordered food for my dog almost 2 weeks ago and have never received it. I called 2 today’s after placing the order and was told it would be shipped out the next day that was two weeks ago Friday, I called back again and was told they were looking into it and would receive and email or a call, I’m still waiting for both</t>
  </si>
  <si>
    <t>KAREN CUSICK</t>
  </si>
  <si>
    <t>My order has still not arrived</t>
  </si>
  <si>
    <t>HEATHER FUHRMAN</t>
  </si>
  <si>
    <t>I ordered food for my dog almost 2…</t>
  </si>
  <si>
    <t>Wayne Silverman</t>
  </si>
  <si>
    <t>Pet Flow misleads their customers.</t>
  </si>
  <si>
    <t>I was told by Hills Prescriptions Dog food that you had ID Chicken Stew 12.5 ounces on your website for delivery. I ordered 2 cases and had my Vet send a prescription to your company. After not receiving my food after 10 days I called your customer service dept. who told be you do not stock this food and it gets shipped from the manufacturer. The manufacturer has not had the food in stock since July. Why would you advertise the product knowing very well you could not supply it. I feel your company can't be trusted and advertises a product that is out of stock.</t>
  </si>
  <si>
    <t>Murphy</t>
  </si>
  <si>
    <t>Total disappointment</t>
  </si>
  <si>
    <t>positive</t>
  </si>
  <si>
    <t>negative</t>
  </si>
  <si>
    <t>able</t>
  </si>
  <si>
    <t>rancid</t>
  </si>
  <si>
    <t>available</t>
  </si>
  <si>
    <t>expired</t>
  </si>
  <si>
    <t>found</t>
  </si>
  <si>
    <t>spoiled</t>
  </si>
  <si>
    <t>works</t>
  </si>
  <si>
    <t>moldy</t>
  </si>
  <si>
    <t>worked</t>
  </si>
  <si>
    <t>unsafe</t>
  </si>
  <si>
    <t>working</t>
  </si>
  <si>
    <t>wrong</t>
  </si>
  <si>
    <t>reliable</t>
  </si>
  <si>
    <t>missing</t>
  </si>
  <si>
    <t>clean</t>
  </si>
  <si>
    <t>incorrect</t>
  </si>
  <si>
    <t>easy</t>
  </si>
  <si>
    <t>ignored</t>
  </si>
  <si>
    <t>convenient</t>
  </si>
  <si>
    <t>ignoring</t>
  </si>
  <si>
    <t>helpful</t>
  </si>
  <si>
    <t>unanswered</t>
  </si>
  <si>
    <t>delivered</t>
  </si>
  <si>
    <t>unresponsive</t>
  </si>
  <si>
    <t>cheaper</t>
  </si>
  <si>
    <t>frustrating</t>
  </si>
  <si>
    <t>affordable</t>
  </si>
  <si>
    <t>problem</t>
  </si>
  <si>
    <t>value</t>
  </si>
  <si>
    <t>issue</t>
  </si>
  <si>
    <t>worth</t>
  </si>
  <si>
    <t>delay</t>
  </si>
  <si>
    <t>satisfied</t>
  </si>
  <si>
    <t>delayed</t>
  </si>
  <si>
    <t>dust free</t>
  </si>
  <si>
    <t>refund</t>
  </si>
  <si>
    <t>no smell</t>
  </si>
  <si>
    <t>returned</t>
  </si>
  <si>
    <t>odor free</t>
  </si>
  <si>
    <t>cancelled</t>
  </si>
  <si>
    <t>easy to use</t>
  </si>
  <si>
    <t>wrong item</t>
  </si>
  <si>
    <t>on time</t>
  </si>
  <si>
    <t>missing item</t>
  </si>
  <si>
    <t>second time</t>
  </si>
  <si>
    <t>quick delivery</t>
  </si>
  <si>
    <t>again problem</t>
  </si>
  <si>
    <t>auto ship</t>
  </si>
  <si>
    <t>no response</t>
  </si>
  <si>
    <t>exactly needed</t>
  </si>
  <si>
    <t>did not respond</t>
  </si>
  <si>
    <t>no issues</t>
  </si>
  <si>
    <t>never responded</t>
  </si>
  <si>
    <t>no problems</t>
  </si>
  <si>
    <t>not handled</t>
  </si>
  <si>
    <t>impressed</t>
  </si>
  <si>
    <t>poor service</t>
  </si>
  <si>
    <t>apology</t>
  </si>
  <si>
    <t>customer service</t>
  </si>
  <si>
    <t>solution</t>
  </si>
  <si>
    <t>out of stock</t>
  </si>
  <si>
    <t>resolved</t>
  </si>
  <si>
    <t>unavailable</t>
  </si>
  <si>
    <t>contacted me</t>
  </si>
  <si>
    <t>bad food</t>
  </si>
  <si>
    <t>followed up</t>
  </si>
  <si>
    <t>expired food</t>
  </si>
  <si>
    <t>great customer service</t>
  </si>
  <si>
    <t>fake</t>
  </si>
  <si>
    <t>handled quickly</t>
  </si>
  <si>
    <t>no contact</t>
  </si>
  <si>
    <t>shipped quickly</t>
  </si>
  <si>
    <t>no shipment</t>
  </si>
  <si>
    <t>received on time</t>
  </si>
  <si>
    <t>terrible</t>
  </si>
  <si>
    <t>wonderful</t>
  </si>
  <si>
    <t>badly</t>
  </si>
  <si>
    <t>immediately</t>
  </si>
  <si>
    <t>prefer</t>
  </si>
  <si>
    <t>happy</t>
  </si>
  <si>
    <t>fast</t>
  </si>
  <si>
    <t>beyond</t>
  </si>
  <si>
    <t>prompt</t>
  </si>
  <si>
    <t>courteous</t>
  </si>
  <si>
    <t>efficient</t>
  </si>
  <si>
    <t>great</t>
  </si>
  <si>
    <t>love</t>
  </si>
  <si>
    <t>good</t>
  </si>
  <si>
    <t>thankfully</t>
  </si>
  <si>
    <t>COUNTA of sentiment_theme</t>
  </si>
  <si>
    <t>Account &amp; Website</t>
  </si>
  <si>
    <t>Customer Support</t>
  </si>
  <si>
    <t>Food Safety</t>
  </si>
  <si>
    <t>Fulfillment &amp; Shipping</t>
  </si>
  <si>
    <t>Other</t>
  </si>
  <si>
    <t>Trust &amp; Experience</t>
  </si>
  <si>
    <t>Grand Total</t>
  </si>
  <si>
    <t>COUNTA of sentiment</t>
  </si>
  <si>
    <t>Negative</t>
  </si>
  <si>
    <t>Neutral</t>
  </si>
  <si>
    <t>Positive</t>
  </si>
  <si>
    <t>No</t>
  </si>
  <si>
    <t>Yes</t>
  </si>
  <si>
    <t>COUNTA of reviewer_cleaned</t>
  </si>
  <si>
    <t>1 Total</t>
  </si>
  <si>
    <t>2 Total</t>
  </si>
  <si>
    <t>3 Total</t>
  </si>
  <si>
    <t>4 Total</t>
  </si>
  <si>
    <t>5 Total</t>
  </si>
  <si>
    <t>7 Total</t>
  </si>
  <si>
    <t>8 Total</t>
  </si>
  <si>
    <t>9 Total</t>
  </si>
  <si>
    <t>54 Total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</si>
</sst>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d, yyyy"/>
    <numFmt numFmtId="165" formatCode="mmmm dd, yyyy"/>
    <numFmt numFmtId="166" formatCode="mmm d, yyyy"/>
    <numFmt numFmtId="167" formatCode="m/d/yy"/>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xf>
    <xf borderId="0" fillId="2" fontId="2"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shrinkToFit="0" wrapText="1"/>
    </xf>
    <xf borderId="0" fillId="0" fontId="2" numFmtId="0" xfId="0" applyAlignment="1" applyFont="1">
      <alignment shrinkToFit="0" wrapText="1"/>
    </xf>
    <xf borderId="0" fillId="0" fontId="2" numFmtId="0" xfId="0" applyFont="1"/>
    <xf borderId="0" fillId="0" fontId="2" numFmtId="0" xfId="0" applyAlignment="1" applyFont="1">
      <alignment readingOrder="0"/>
    </xf>
    <xf borderId="0" fillId="0" fontId="2" numFmtId="165" xfId="0" applyAlignment="1" applyFont="1" applyNumberFormat="1">
      <alignment readingOrder="0" shrinkToFit="0" wrapText="1"/>
    </xf>
    <xf borderId="0" fillId="0" fontId="2" numFmtId="166" xfId="0" applyAlignment="1" applyFont="1" applyNumberFormat="1">
      <alignment readingOrder="0" shrinkToFit="0" wrapText="1"/>
    </xf>
    <xf borderId="0" fillId="0" fontId="2" numFmtId="167" xfId="0" applyAlignment="1" applyFont="1" applyNumberFormat="1">
      <alignment readingOrder="0" shrinkToFit="0" wrapText="1"/>
    </xf>
    <xf borderId="0" fillId="2" fontId="1" numFmtId="0" xfId="0" applyFont="1"/>
    <xf borderId="0" fillId="0" fontId="2"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2" Type="http://schemas.openxmlformats.org/officeDocument/2006/relationships/pivotCacheDefinition" Target="pivotCache/pivotCacheDefinition3.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A64D79"/>
                </a:solidFill>
                <a:latin typeface="+mn-lt"/>
              </a:defRPr>
            </a:pPr>
            <a:r>
              <a:rPr b="0">
                <a:solidFill>
                  <a:srgbClr val="A64D79"/>
                </a:solidFill>
                <a:latin typeface="+mn-lt"/>
              </a:rPr>
              <a:t>Top Complaint Themes from Negative Reviews
</a:t>
            </a:r>
          </a:p>
        </c:rich>
      </c:tx>
      <c:overlay val="0"/>
    </c:title>
    <c:plotArea>
      <c:layout/>
      <c:barChart>
        <c:barDir val="col"/>
        <c:ser>
          <c:idx val="0"/>
          <c:order val="0"/>
          <c:spPr>
            <a:solidFill>
              <a:srgbClr val="E06666"/>
            </a:solidFill>
            <a:ln cmpd="sng">
              <a:solidFill>
                <a:srgbClr val="000000"/>
              </a:solidFill>
            </a:ln>
          </c:spPr>
          <c:cat>
            <c:strRef>
              <c:f>'top complaint from negative'!$A$2:$A$8</c:f>
            </c:strRef>
          </c:cat>
          <c:val>
            <c:numRef>
              <c:f>'top complaint from negative'!$B$2:$B$8</c:f>
              <c:numCache/>
            </c:numRef>
          </c:val>
        </c:ser>
        <c:axId val="200983508"/>
        <c:axId val="1291599141"/>
      </c:barChart>
      <c:catAx>
        <c:axId val="2009835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Topic of complaints</a:t>
                </a:r>
              </a:p>
            </c:rich>
          </c:tx>
          <c:overlay val="0"/>
        </c:title>
        <c:numFmt formatCode="General" sourceLinked="1"/>
        <c:majorTickMark val="none"/>
        <c:minorTickMark val="none"/>
        <c:spPr/>
        <c:txPr>
          <a:bodyPr/>
          <a:lstStyle/>
          <a:p>
            <a:pPr lvl="0">
              <a:defRPr b="0">
                <a:solidFill>
                  <a:srgbClr val="A61C00"/>
                </a:solidFill>
                <a:latin typeface="+mn-lt"/>
              </a:defRPr>
            </a:pPr>
          </a:p>
        </c:txPr>
        <c:crossAx val="1291599141"/>
      </c:catAx>
      <c:valAx>
        <c:axId val="12915991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98350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155CC"/>
                </a:solidFill>
                <a:latin typeface="+mn-lt"/>
              </a:defRPr>
            </a:pPr>
            <a:r>
              <a:rPr b="0">
                <a:solidFill>
                  <a:srgbClr val="1155CC"/>
                </a:solidFill>
                <a:latin typeface="+mn-lt"/>
              </a:rPr>
              <a:t>Sentiment by Reviewer Type (Repeat vs One-Time)</a:t>
            </a:r>
          </a:p>
        </c:rich>
      </c:tx>
      <c:overlay val="0"/>
    </c:title>
    <c:plotArea>
      <c:layout/>
      <c:barChart>
        <c:barDir val="col"/>
        <c:ser>
          <c:idx val="0"/>
          <c:order val="0"/>
          <c:tx>
            <c:strRef>
              <c:f>'repeat vs one-time'!$B$2</c:f>
            </c:strRef>
          </c:tx>
          <c:spPr>
            <a:solidFill>
              <a:srgbClr val="FF0000"/>
            </a:solidFill>
            <a:ln cmpd="sng">
              <a:solidFill>
                <a:srgbClr val="000000"/>
              </a:solidFill>
            </a:ln>
          </c:spPr>
          <c:dPt>
            <c:idx val="1"/>
          </c:dPt>
          <c:cat>
            <c:strRef>
              <c:f>'repeat vs one-time'!$A$3:$A$4</c:f>
            </c:strRef>
          </c:cat>
          <c:val>
            <c:numRef>
              <c:f>'repeat vs one-time'!$B$3:$B$4</c:f>
              <c:numCache/>
            </c:numRef>
          </c:val>
        </c:ser>
        <c:ser>
          <c:idx val="1"/>
          <c:order val="1"/>
          <c:tx>
            <c:strRef>
              <c:f>'repeat vs one-time'!$C$2</c:f>
            </c:strRef>
          </c:tx>
          <c:spPr>
            <a:solidFill>
              <a:srgbClr val="B7B7B7"/>
            </a:solidFill>
            <a:ln cmpd="sng">
              <a:solidFill>
                <a:srgbClr val="000000"/>
              </a:solidFill>
            </a:ln>
          </c:spPr>
          <c:dPt>
            <c:idx val="0"/>
            <c:spPr>
              <a:solidFill>
                <a:srgbClr val="FFE599"/>
              </a:solidFill>
              <a:ln cmpd="sng">
                <a:solidFill>
                  <a:srgbClr val="FCE5CD">
                    <a:alpha val="100000"/>
                  </a:srgbClr>
                </a:solidFill>
              </a:ln>
            </c:spPr>
          </c:dPt>
          <c:dPt>
            <c:idx val="1"/>
            <c:spPr>
              <a:solidFill>
                <a:srgbClr val="FFE599"/>
              </a:solidFill>
              <a:ln cmpd="sng">
                <a:solidFill>
                  <a:srgbClr val="000000"/>
                </a:solidFill>
              </a:ln>
            </c:spPr>
          </c:dPt>
          <c:cat>
            <c:strRef>
              <c:f>'repeat vs one-time'!$A$3:$A$4</c:f>
            </c:strRef>
          </c:cat>
          <c:val>
            <c:numRef>
              <c:f>'repeat vs one-time'!$C$3:$C$4</c:f>
              <c:numCache/>
            </c:numRef>
          </c:val>
        </c:ser>
        <c:ser>
          <c:idx val="2"/>
          <c:order val="2"/>
          <c:tx>
            <c:strRef>
              <c:f>'repeat vs one-time'!$D$2</c:f>
            </c:strRef>
          </c:tx>
          <c:spPr>
            <a:solidFill>
              <a:schemeClr val="accent4"/>
            </a:solidFill>
            <a:ln cmpd="sng">
              <a:solidFill>
                <a:srgbClr val="000000"/>
              </a:solidFill>
            </a:ln>
          </c:spPr>
          <c:cat>
            <c:strRef>
              <c:f>'repeat vs one-time'!$A$3:$A$4</c:f>
            </c:strRef>
          </c:cat>
          <c:val>
            <c:numRef>
              <c:f>'repeat vs one-time'!$D$3:$D$4</c:f>
              <c:numCache/>
            </c:numRef>
          </c:val>
        </c:ser>
        <c:axId val="966132334"/>
        <c:axId val="1052812952"/>
      </c:barChart>
      <c:catAx>
        <c:axId val="9661323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repeat_reviewer</a:t>
                </a:r>
              </a:p>
            </c:rich>
          </c:tx>
          <c:overlay val="0"/>
        </c:title>
        <c:numFmt formatCode="General" sourceLinked="1"/>
        <c:majorTickMark val="none"/>
        <c:minorTickMark val="none"/>
        <c:spPr/>
        <c:txPr>
          <a:bodyPr/>
          <a:lstStyle/>
          <a:p>
            <a:pPr lvl="0">
              <a:defRPr b="0">
                <a:solidFill>
                  <a:srgbClr val="000000"/>
                </a:solidFill>
                <a:latin typeface="+mn-lt"/>
              </a:defRPr>
            </a:pPr>
          </a:p>
        </c:txPr>
        <c:crossAx val="1052812952"/>
      </c:catAx>
      <c:valAx>
        <c:axId val="10528129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613233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3C78D8"/>
                </a:solidFill>
                <a:latin typeface="+mn-lt"/>
              </a:defRPr>
            </a:pPr>
            <a:r>
              <a:rPr b="0">
                <a:solidFill>
                  <a:srgbClr val="3C78D8"/>
                </a:solidFill>
                <a:latin typeface="+mn-lt"/>
              </a:rPr>
              <a:t>Repeating users on negative comments</a:t>
            </a:r>
          </a:p>
        </c:rich>
      </c:tx>
      <c:overlay val="0"/>
    </c:title>
    <c:plotArea>
      <c:layout/>
      <c:pieChart>
        <c:varyColors val="1"/>
        <c:ser>
          <c:idx val="0"/>
          <c:order val="0"/>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'repeating users over negative'!$A$2:$A$3</c:f>
            </c:strRef>
          </c:cat>
          <c:val>
            <c:numRef>
              <c:f>'repeating users over negative'!$B$2:$B$3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6</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142875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3728" sheet="Trustpilot_Full Review"/>
  </cacheSource>
  <cacheFields>
    <cacheField name="org name" numFmtId="0">
      <sharedItems>
        <s v="PetFlow"/>
      </sharedItems>
    </cacheField>
    <cacheField name="reviewer">
      <sharedItems containsMixedTypes="1" containsNumber="1" containsInteger="1">
        <s v="George Romer"/>
        <s v="DEBORAH HELFER"/>
        <s v="Sam Walker"/>
        <s v="Janie"/>
        <s v="VANESSA HOWARD"/>
        <s v="Judith l Williams"/>
        <s v="Nan R."/>
        <s v="dave minnich"/>
        <s v="Cynde S R"/>
        <s v="CATHERINE NOCELLA"/>
        <s v="customer"/>
        <s v="M. K. MULLENBACH"/>
        <s v="Julie B."/>
        <s v="Anne"/>
        <s v="Joe P Chavez"/>
        <s v="Josh"/>
        <s v="Gary"/>
        <s v="Ann"/>
        <s v="KEN L."/>
        <s v="Theresa Patzke Guiver"/>
        <s v="Linda Lee"/>
        <s v="Barbara Tierney"/>
        <s v="Daniel Faflik"/>
        <s v="Eduardo"/>
        <s v="Packoffour"/>
        <s v="Mel"/>
        <s v="NANCY MADIGAN"/>
        <s v="DAVID J"/>
        <s v="Kimberly"/>
        <s v="MELINDA JEWART"/>
        <s v="Gracie Wierbinski"/>
        <s v="Vicki"/>
        <s v="LINDA W. Oviedo, FL"/>
        <s v="RENEE FRANK"/>
        <s v="PATRICIA CONNORS"/>
        <s v="MARIA M"/>
        <s v="Jack Hammer - The Electric Radio Show"/>
        <s v="CAROL GANSER"/>
        <s v="K JOHNSON"/>
        <s v="CAROL COLE"/>
        <s v="KAREN CLARK"/>
        <s v="Tammmy Mackai"/>
        <s v="PATRICK LITTERER"/>
        <s v="Tactical Ant"/>
        <s v="CeCe Moore"/>
        <s v="DIANE L"/>
        <s v="DEBRA ZBOROWSKI"/>
        <s v="Ana Arellano"/>
        <s v="NANCY VALETT"/>
        <s v="B Stroup"/>
        <s v="VIRGINIA DUNK"/>
        <s v="STEVEN SELTZER"/>
        <s v="Natalie"/>
        <s v="JOYCE"/>
        <s v="JK"/>
        <s v="Donna Beckner"/>
        <s v="DAWN DOWLING"/>
        <s v="WB"/>
        <s v="WILLIAM CARDONA"/>
        <s v="DIANNE WILEY"/>
        <s v="Laura Shigemitsu"/>
        <s v="CARA MOORE"/>
        <s v="Linda"/>
        <s v="Monti"/>
        <s v="CHARLENE GIORADNO"/>
        <s v="MARIA PERRONE"/>
        <s v="Sue"/>
        <s v="LARRY HOGUE"/>
        <s v="rired"/>
        <s v="KC Jenkins"/>
        <s v="SUSAN ANDERSON"/>
        <s v="Deanna F"/>
        <s v="ALLISON CRYER"/>
        <s v="Lisa"/>
        <s v="Barb' Bichons"/>
        <s v="NIKKI PARSON"/>
        <s v="Alex G"/>
        <s v="LINDA CROSTIC"/>
        <s v="CHRISTINE FLOWERS"/>
        <s v="BAILLEE"/>
        <s v="Paul"/>
        <s v="LINDA CONVERSA"/>
        <s v="DONNA QUANTE"/>
        <s v="Deb."/>
        <s v="AMANDA GARNER"/>
        <s v="RUTH"/>
        <s v="DEBBIE TRIGG"/>
        <s v="OLshopper"/>
        <s v="Nicole Tabbert"/>
        <s v="ANIA LOVELESS"/>
        <s v="LARRY THOMPSON"/>
        <s v="TOM KULPINSKI"/>
        <s v="KAREN SALAY"/>
        <s v="Yadi govea"/>
        <s v="AUDREY SCRUGGS"/>
        <s v="COLLEEN THOMPSON"/>
        <s v="DONNA LA ROCCO"/>
        <s v="Aussie Lover"/>
        <s v="Elyse"/>
        <s v="ARMANDO LOPEZ"/>
        <s v="Julio Rodriguez"/>
        <s v="HELAINE DIETZ"/>
        <s v="Lex"/>
        <s v="Bessie"/>
        <s v="Vickie"/>
        <s v="Kelly"/>
        <s v="Dave B"/>
        <s v="Lana"/>
        <s v="THEODORE FRANK"/>
        <s v="Mom of 8 fur babies"/>
        <s v="Vivian Parker"/>
        <s v="JEANNINE THEAKOS"/>
        <s v="GAIL MACGILLIVRAY"/>
        <s v="EULISES R ANTON"/>
        <s v="CATHERINE CLARK"/>
        <s v="Ken B."/>
        <s v="JEFFREY BREWSTER"/>
        <s v="DONALD BRUMFIELD"/>
        <s v="PENELOPE SMITH"/>
        <s v="ELLEN HURWITCH"/>
        <s v="KAREN LANZ"/>
        <s v="Llemmon"/>
        <s v="Richard Vernon"/>
        <s v="Terria Bryant"/>
        <s v="Kidsarek9"/>
        <s v="CHERYL MCCOY"/>
        <s v="MARIA KLEIN"/>
        <s v="MM"/>
        <s v="MICHAEL GIBSON"/>
        <s v="ANDREA ULLON"/>
        <s v="Jennifer Carver"/>
        <s v="JANET GREY"/>
        <s v="Happy Customer"/>
        <s v="ALYSON MCDONALD"/>
        <s v="BENJAMIN KIING"/>
        <s v="JEAN"/>
        <s v="NextAdvisor Reader"/>
        <s v="JULIE L"/>
        <s v="ANN MCCOY"/>
        <s v="David"/>
        <s v="Anonymous"/>
        <s v="WALTER WININGER"/>
        <s v="Siham Ayoub"/>
        <s v="Joe Pick"/>
        <s v="TOM S"/>
        <s v="LAURA M"/>
        <s v="Barbara Anderson"/>
        <s v="Rick East"/>
        <s v="JENNIFER TAYLOR"/>
        <s v="DANIEL GRACE"/>
        <s v="Dennis Felicio"/>
        <s v="MARK JACKSON"/>
        <s v="MARGARET PALMER"/>
        <s v="SUSAN BORLAND"/>
        <s v="TMOT"/>
        <s v="ROBERT"/>
        <s v="ANDREA SCHULTHEIS"/>
        <s v="JANET"/>
        <s v="N LUFFEY"/>
        <s v="OTMANE HATTANI"/>
        <s v="Kenneth"/>
        <s v="JOHN KIMBER"/>
        <s v="JACKIE FRASCATORE"/>
        <s v="JOHN WU"/>
        <s v="Richard Nuzman"/>
        <s v="WANDA HARRIS"/>
        <s v="HAROLD TALBOT"/>
        <s v="DIANNE"/>
        <s v="Donna Peterson"/>
        <s v="DrGSD"/>
        <s v="MINA SEYMOUR"/>
        <s v="ELLEN ENNIS"/>
        <s v="RONDA DAUS"/>
        <s v="Baron Eike Von Lincoln"/>
        <s v="Betty Jo Lesonsky"/>
        <s v="DONNA BIONDI"/>
        <s v="TUYEN NGUYEN"/>
        <s v="ANDRANEA ALEXANDER"/>
        <s v="ERIC RIDGEWAY"/>
        <s v="Julia B"/>
        <s v="Katherine Sidon"/>
        <s v="NordVPN Customer"/>
        <s v="DONA JOERGER"/>
        <s v="SHIRLEY HARRIS"/>
        <s v="Al DiSante"/>
        <s v="ELWOOD SMITH"/>
        <s v="LINDA KLEMKA-WALDEN"/>
        <s v="Anthony Cuccaro"/>
        <s v="Carrie"/>
        <s v="ROSI WALSH"/>
        <s v="Anthony Williams"/>
        <s v="DEWAYNE LOVELL"/>
        <s v="Ahmmed Patwary"/>
        <s v="Andrea"/>
        <s v="Terry Anderson"/>
        <s v="sylvia bl"/>
        <s v="VALERIE FOX"/>
        <s v="ROCH MALZAC"/>
        <s v="ERIC BELL"/>
        <s v="PHILLIP MANLEY"/>
        <s v="LINDA SFORZA"/>
        <s v="LISA ROSSELLI"/>
        <s v="Karen Ivers"/>
        <s v="Crystal Brown"/>
        <s v="Greg"/>
        <s v="Renee P."/>
        <s v="MARY"/>
        <s v="Dacatsparky"/>
        <s v="Troy Arenz"/>
        <s v="Amy C"/>
        <s v="Ariana"/>
        <s v="Gail B."/>
        <s v="LAURA ROMANO"/>
        <s v="Jack"/>
        <s v="Furrykid mom"/>
        <s v="JOHN DEFEO"/>
        <s v="Bobbi helms"/>
        <s v="KB"/>
        <s v="Maria"/>
        <s v="NANCY POPE"/>
        <s v="LARYSA MUZHANOVA"/>
        <s v="Marian"/>
        <s v="MARIE HUTCHINGS"/>
        <s v="SHERYL BILUS"/>
        <s v="philip"/>
        <s v="SVETLANA LITVINSKI"/>
        <s v="GRACE"/>
        <s v="Nora"/>
        <s v="MEW"/>
        <s v="BARBARA BOWEN BAER"/>
        <s v="Dr. C"/>
        <s v="DEBBIE GOOD"/>
        <s v="Moe"/>
        <s v="NANCY FONT"/>
        <s v="EDGARDO GONZALEZ"/>
        <s v="Eugene Woodard"/>
        <s v="WRESTLING MAMA"/>
        <s v="LF"/>
        <s v="Dr. Brenda Luther"/>
        <s v="ANN WEINRICH"/>
        <s v="RONALD MROFCZA"/>
        <s v="Terri"/>
        <s v="PETER J CAPPELLO"/>
        <s v="KEVIN BENEDICT"/>
        <s v="MARY BUSBY"/>
        <s v="CRYSTAL ORTIZ"/>
        <s v="jack paul"/>
        <s v="Barbara Coleman"/>
        <s v="MARY BALLOGG"/>
        <s v="ARNOLD GRAD"/>
        <s v="AMANDA"/>
        <s v="RANJANA BHATTACHARYA"/>
        <s v="Susan Thomas"/>
        <s v="Andy"/>
        <s v="CRAIG"/>
        <s v="Jim"/>
        <s v="Rhonda Peyton"/>
        <s v="TROY HARIMON"/>
        <s v="LAURA KOTLAR"/>
        <s v="MAUREEN MEIL"/>
        <s v="JOSEPH J PUIIA JR"/>
        <s v="MONICA COLVILLE"/>
        <s v="Donna Sullivan"/>
        <s v="OD"/>
        <s v="Michelle Currey"/>
        <s v="Cynthia E Day"/>
        <s v="ROSE MOORE"/>
        <s v="Alicia Patterson"/>
        <s v="KEVIN KOCHENOUR"/>
        <s v="JOSEPH CAMPE"/>
        <s v="LORI"/>
        <s v="MARIA MIRELES"/>
        <s v="Mary Lopez"/>
        <s v="Sheba"/>
        <s v="GINNY STENOIEN"/>
        <s v="Kei"/>
        <s v="MICHELE ALLEN"/>
        <s v="Karen Doman"/>
        <s v="KSzymo"/>
        <s v="nismoman"/>
        <s v="Michael Lord"/>
        <s v="SARA LENTZ"/>
        <s v="PM"/>
        <s v="WALTER WILLIAMS"/>
        <s v="Caldwell"/>
        <s v="JEANNETT WASICEK"/>
        <s v="MARY AYALA"/>
        <s v="JOEYC"/>
        <s v="Helen"/>
        <s v="Carmello"/>
        <s v="THERESE KASCHULUK"/>
        <s v="Veronica Villanueva"/>
        <s v="Ron C."/>
        <s v="CHRISTINE SMITH"/>
        <s v="Rachel"/>
        <s v="GINA"/>
        <s v="Mayra"/>
        <s v="LISA Hall"/>
        <s v="DONNA S."/>
        <s v="Peter Di"/>
        <s v="FRANK KENDRICK"/>
        <s v="Christina Clark"/>
        <s v="Vickie Hancock"/>
        <s v="MIKE SEISS"/>
        <s v="DEANA WOODRUFF"/>
        <s v="Marktrimarc"/>
        <s v="CHRIS W"/>
        <s v="Karen Armer"/>
        <s v="STEVEN S"/>
        <s v="MACHACA"/>
        <s v="ROBIN LAWSON"/>
        <s v="LYNDA CLAVER"/>
        <s v="TED WIATEROWSKI"/>
        <s v="TAMMY WIGGINS"/>
        <s v="Jheri"/>
        <s v="HANNAH SUSAN SELZNICK"/>
        <s v="JAMES HEIDEBRECHT"/>
        <s v="Tammy Cox"/>
        <s v="JB Walter"/>
        <s v="Bill D"/>
        <s v="WR"/>
        <s v="CHERYL HARPER"/>
        <s v="MARILYN SMITH"/>
        <s v="Stacia Travis"/>
        <s v="DebNVA"/>
        <s v="ASHLEY"/>
        <s v="SORAYA F."/>
        <s v="BOBBIE MCGEE"/>
        <s v="MEG WHIPPLE"/>
        <s v="ARIELLA"/>
        <s v="Ann marie Peskowski"/>
        <s v="colleen annes"/>
        <s v="TONYA DEITRICK"/>
        <s v="Lois Schwechtje"/>
        <s v="Doug"/>
        <s v="Canine Mom"/>
        <s v="BERNIE HAMBLIN"/>
        <s v="Cheryl Robinson"/>
        <s v="MARILYN KEMPINSKI"/>
        <s v="KATHERINE GISMONDI"/>
        <s v="PAULETTE VOCU"/>
        <s v="Harold"/>
        <s v="GORDON BRYANT"/>
        <s v="MARION MOHR"/>
        <s v="WA"/>
        <s v="RAY VITALE"/>
        <s v="BARBARA SWANSON"/>
        <s v="EL ROAKE"/>
        <s v="MCKEONE, ALONNA"/>
        <s v="ALEXANDRA MENDIZABAL"/>
        <s v="Barb W.customer"/>
        <s v="Pamela M"/>
        <s v="VH"/>
        <s v="ALLEN KAROL"/>
        <s v="shellie hall"/>
        <s v="MARYANN KURTZ"/>
        <s v="LISA PEAK"/>
        <s v="Donald Coffman"/>
        <s v="DRU hofmann"/>
        <s v="LEYLA DAVIS"/>
        <s v="LESLIE SEELEY"/>
        <s v="Scammed User"/>
        <s v="Jane Collier"/>
        <s v="SporeSharon R. Goltz"/>
        <s v="ANTONIO POPJORDANOV"/>
        <s v="Linda Croll Howell"/>
        <s v="SUSAN LANGMAN"/>
        <s v="Mike Miller"/>
        <s v="JennaK"/>
        <s v="Linda Rucker"/>
        <s v="BRENDA PEREZ-GOODRUM"/>
        <s v="Daniel Hollingsworth"/>
        <s v="PG"/>
        <s v="JEFF"/>
        <s v="Karen"/>
        <s v="MARY BETH DIDION"/>
        <s v="Joannie Maheux"/>
        <s v="NANCY ADDESSO"/>
        <s v="HAILEY SUMPTER"/>
        <s v="MICHAEL MOORE"/>
        <s v="Jerry Divijak"/>
        <s v="ANDRE HENDERSON"/>
        <s v="DONNA PEREZ"/>
        <s v="MURRAY RITLAND"/>
        <s v="KRISTINA DUROCHER"/>
        <s v="Diane Stewart"/>
        <s v="DELAINE ENDL"/>
        <s v="SHEILA ROBBINS"/>
        <s v="GARY ROLD"/>
        <s v="Dian"/>
        <s v="KIMBERLY COLEMAN"/>
        <s v="VERA WILSON"/>
        <s v="Mully"/>
        <s v="TARA OLSON"/>
        <s v="GA Dog Lover"/>
        <s v="B E Gunbye"/>
        <s v="Daniel Gotten"/>
        <s v="XS"/>
        <s v="kathleen armstrong"/>
        <s v="MARTHA KROGSTAD"/>
        <s v="Leisure world"/>
        <s v="TERRY RICHARDSON"/>
        <s v="MOLLY B"/>
        <s v="Keith Dugas"/>
        <s v="DARREN MAGUIRE"/>
        <s v="VICKIE NELSON"/>
        <s v="Matt C"/>
        <s v="Sheryl S"/>
        <s v="Jeffrey B"/>
        <s v="Taylor Smith"/>
        <s v="STEFANIE ROSENTHAL"/>
        <s v="Brenda M"/>
        <s v="Tim"/>
        <s v="FRANK W"/>
        <s v="DANA FEHSAL"/>
        <s v="Stella"/>
        <s v="Mary Schings"/>
        <s v="Smileyone"/>
        <s v="Catgirl"/>
        <s v="Edmond Kachurak"/>
        <s v="NANCY HARVEY"/>
        <s v="Huckabee's Place"/>
        <s v="ALBERTA WALKER"/>
        <s v="Lisa Mitchell"/>
        <s v="SANDY SPENCER"/>
        <s v="ROBERT THRUSH"/>
        <s v="HEATHER"/>
        <s v="PATRICK KELLEY"/>
        <s v="BRENT NEW"/>
        <s v="Cat Mom"/>
        <s v="Sho En Kan Nei"/>
        <s v="DANIEL MERRILL"/>
        <s v="Nina"/>
        <s v="Carol Lloyd"/>
        <s v="DAVID GROVES"/>
        <s v="Bob Johnson"/>
        <s v="PETER NGUYEN"/>
        <s v="ALYSSA HARA"/>
        <s v="BRANDON PHILLIPS"/>
        <s v="ANNE JENNINGS"/>
        <s v="Kyle"/>
        <s v="Andrew Stevenson"/>
        <s v="Victoria"/>
        <s v="Consumer"/>
        <s v="Alessandra Caltabiano"/>
        <s v="JESSE WITT"/>
        <s v="ALICIA"/>
        <s v="MONICA CLONINGER"/>
        <s v="Eddie Hales"/>
        <s v="KP"/>
        <s v="WildSpaniels"/>
        <s v="KYRIAKA EHRENSBERGER"/>
        <s v="VIRHA PATE"/>
        <s v="S BLAKE"/>
        <s v="Mark A."/>
        <s v="KAREN ARNOLD"/>
        <s v="Karen Gregory"/>
        <s v="mxf"/>
        <s v="Judith Lustgarten"/>
        <s v="Ellen Eaton"/>
        <s v="Julieggeno"/>
        <s v="CLAUDIA KLECZKOWSKI"/>
        <s v="Marcy"/>
        <s v="SARAH SAPPINGTON"/>
        <s v="RICHARD SYKES"/>
        <s v="Cris E"/>
        <s v="SHAY LEE"/>
        <s v="Joel Rappaport"/>
        <s v="CHERYL PASZKIEWICZ"/>
        <s v="JENNIE DUNLAP"/>
        <s v="CAROLE PAULSEN"/>
        <s v="Gene W."/>
        <s v="KIM GIFFORD"/>
        <s v="ANDREW G"/>
        <s v="MIKE KOECK"/>
        <s v="DONNA BELDERRAIN"/>
        <s v="Rose O’Neil"/>
        <s v="JOANN FRY"/>
        <s v="MICHAEL BACA"/>
        <s v="SAMANTHA ROLDAN"/>
        <s v="PAMELA GENOVESI MACDONALD"/>
        <s v="SARAH SAALFIELD"/>
        <s v="RPF"/>
        <s v="Kathy"/>
        <s v="DARREN PARKER"/>
        <s v="STEVEN MILLER SR."/>
        <s v="Alice Burke"/>
        <s v="JOHN"/>
        <s v="RACHELLE MARPLE"/>
        <s v="TERI VAILLANCOURT"/>
        <s v="maria guillermo"/>
        <s v="MICHELE"/>
        <s v="Debbie"/>
        <s v="GORDON CELLIERS"/>
        <s v="Lisa Kelly"/>
        <s v="Deborah Ann"/>
        <s v="SandyN"/>
        <s v="ANITA HUDNALL"/>
        <s v="Darlene Scheuermann"/>
        <s v="Daniel Jarovisky"/>
        <s v="SHEILA G"/>
        <s v="ABINA COHEN"/>
        <s v="THERESE"/>
        <s v="michael"/>
        <s v="DONNA HILLIARD"/>
        <s v="DEBRA"/>
        <s v="Jayme K"/>
        <s v="Darlene Dali-jon"/>
        <s v="ANTHONY KELLY"/>
        <s v="John Rodriguez"/>
        <s v="Steven RIchardson"/>
        <s v="ANTHONY REID"/>
        <s v="BROOKE MARSH"/>
        <s v="CHARLOTTA"/>
        <s v="JG"/>
        <s v="JEAN GERMANO"/>
        <s v="LYNN"/>
        <s v="WILLIAM COBERLY"/>
        <s v="RUBY KILGORE"/>
        <s v="MARIA DETOMMASO"/>
        <s v="DONNA HEASTON"/>
        <s v="Gena Berkebile"/>
        <s v="Jeffrey Brenner"/>
        <s v="LARRY GRUETZMACHER"/>
        <s v="BONNIE VOHDEN"/>
        <s v="Vicki K Boyles"/>
        <s v="KAREN W"/>
        <s v="DONALD MORAVICK"/>
        <s v="Nate"/>
        <s v="Barbara Smith"/>
        <s v="Rod Ferrand"/>
        <s v="Mike"/>
        <s v="Edward"/>
        <s v="JANE ROBERTS"/>
        <s v="SIMONE"/>
        <s v="Rickie Rabourn"/>
        <s v="MARY-JANE CARLISLE"/>
        <s v="Rebecca"/>
        <s v="ANNE DEMSKY"/>
        <s v="Clare Longo"/>
        <s v="skwa"/>
        <s v="Lorraine Swanson"/>
        <s v="Caucus"/>
        <s v="Deborah"/>
        <s v="Andy Johnson"/>
        <s v="REBECCA BERGWALL"/>
        <s v="SMB"/>
        <s v="Brooke"/>
        <s v="Rita"/>
        <s v="KIM AMOIA-POST"/>
        <s v="KRISTIN HETLAND"/>
        <s v="ART CONTRESTANO"/>
        <s v="Julie McManus"/>
        <s v="Carol Zingler"/>
        <s v="Jennifer"/>
        <s v="HELEN LAMAGNA"/>
        <s v="Pete"/>
        <s v="LAWRENCE OTIS"/>
        <s v="Jb"/>
        <s v="JS"/>
        <s v="SANDRA WAGONER"/>
        <s v="Bergen County NJ home buyer"/>
        <s v="Rick Cianflone"/>
        <s v="SHIRLEY DUFRANE"/>
        <s v="IMRAN KHAN"/>
        <s v="WILLIAM"/>
        <s v="EVAN DEMARR"/>
        <s v="ROBERTA WORKMAN"/>
        <s v="Desert Skies Kennel"/>
        <s v="JMR"/>
        <s v="Richard Rippon"/>
        <s v="NATHANIEL DEARINGER"/>
        <s v="CAROL KARVOSKY"/>
        <s v="ROBERT COOK"/>
        <s v="JUDITH PATTERSON"/>
        <s v="NORA BAGA"/>
        <s v="Cathy Karabetsos"/>
        <s v="Doodlebug"/>
        <s v="RONALD STRAUB"/>
        <s v="A WORTHAM"/>
        <s v="JERRI CARROLL"/>
        <s v="(c/o sierra glass distributors)"/>
        <s v="SONYA ROBINSON"/>
        <s v="ERICA"/>
        <s v="LAURIE S"/>
        <s v="THERESA"/>
        <s v="LIBBY ALLEN"/>
        <s v="JANET TENNISON"/>
        <s v="Patricia"/>
        <s v="Jay Eldredge"/>
        <s v="MARY MADECO-SMTIH"/>
        <s v="ROBERTO RIOS RUIZ"/>
        <s v="Jenny Drastura"/>
        <s v="ROBERT SHORT"/>
        <s v="Sherry Hardwick Thomas"/>
        <s v="LC"/>
        <s v="A Krutsch"/>
        <s v="LORI KIESOW"/>
        <s v="PEGGY HITCHINGS"/>
        <s v="JOSEPH SOBREMONTE"/>
        <s v="sandra halpin"/>
        <s v="KATHARYN S"/>
        <s v="RICHARD WEISS"/>
        <s v="jaqueline cormier"/>
        <s v="James"/>
        <s v="CATHERINE WARNER"/>
        <s v="Shasta Sowards"/>
        <s v="Jonathan"/>
        <s v="Festive"/>
        <s v="Patty"/>
        <s v="CHRISTIAN LEWIS"/>
        <s v="SUSAN WISZ"/>
        <s v="Amy K"/>
        <s v="Anon"/>
        <s v="C Santana"/>
        <s v="SUSAN MANNING"/>
        <s v="KIM BULKOWSKI"/>
        <s v="Ginny Bee"/>
        <s v="MICHELE SAGE"/>
        <s v="Brenda (Brendy Pugs)"/>
        <s v="Samantha"/>
        <s v="Virginia Welsh"/>
        <s v="SHELLEY"/>
        <s v="Christine Whittinghill"/>
        <s v="LYNN HUIZINGA"/>
        <s v="DENISE KOCHICK"/>
        <s v="DANIEL NEUMANN"/>
        <s v="Pamela"/>
        <s v="BRADLEY SERLIS"/>
        <s v="Skeeter"/>
        <s v="MINDY REED"/>
        <s v="FABIOLA V."/>
        <s v="KIMBERLY GUIDI"/>
        <s v="Valentine"/>
        <s v="RON KNIGHT"/>
        <s v="HELEN CORYELL"/>
        <s v="BRIAN WARD"/>
        <s v="WILLARD D MEYER"/>
        <s v="JUAN AZCONA"/>
        <s v="Diane"/>
        <s v="crystalballing"/>
        <s v="TERRESA HOLMES"/>
        <s v="tmh"/>
        <s v="TRACY WIGHT"/>
        <s v="Steven"/>
        <s v="GAIL MORRISON"/>
        <s v="ANGIE HUTCHINS"/>
        <s v="BRIAN OHEARN"/>
        <s v="JOHN OROKE"/>
        <s v="JJ"/>
        <s v="Spike Cover"/>
        <s v="Richard qQ"/>
        <s v="DAVID HANSEN"/>
        <s v="CAMBREA HENDRICKS"/>
        <s v="LAUREL LONG"/>
        <s v="MHan"/>
        <s v="customer ellen"/>
        <s v="Shelly G"/>
        <s v="mohammad abdi"/>
        <s v="PATRICK VALENTINE"/>
        <s v="J Howe"/>
        <s v="ADRIANA CULMONE"/>
        <s v="OLGA INTSKIRVELI"/>
        <s v="PAMELA COOPER"/>
        <s v="Renea Justice"/>
        <s v="JANE GETSLA"/>
        <s v="ERIN MURPHY"/>
        <s v="Katherine Forbes"/>
        <s v="CARL SIMONIAN"/>
        <s v="ROSCOE WHITE"/>
        <s v="Linda Hatcher"/>
        <s v="HERB LOWRANCE"/>
        <s v="NANCY HOUGH"/>
        <s v="rajan girdhar"/>
        <s v="Name withheld"/>
        <s v="rossermond"/>
        <s v="Risa"/>
        <s v="Mauricio"/>
        <s v="SONJA ALLEN"/>
        <s v="Frances Drake"/>
        <s v="AJ Bon"/>
        <s v="AP"/>
        <s v="TERESA BRACE"/>
        <s v="CHRISTINA KAELIN"/>
        <s v="CLIFFORD HEATER"/>
        <s v="PAMELA DOHERTY"/>
        <s v="GEORGE CRAFTS"/>
        <s v="JEAN QUIGLEY"/>
        <s v="CONSTANCE ANTONELLI"/>
        <s v="CNM"/>
        <s v="Kristin"/>
        <s v="Diane Langlois"/>
        <s v="ED COAN"/>
        <s v="SUSAN TASHIRO"/>
        <s v="Robert Adams"/>
        <s v="Botti"/>
        <s v="Sharon Hazelrigg"/>
        <s v="JODY WARDER302 NEWPORT DR 1506NAPLES, FL 34114"/>
        <s v="MARY JANE"/>
        <s v="Denise Fergusson"/>
        <s v="Stephen"/>
        <s v="Portland customer"/>
        <s v="Yulia B"/>
        <s v="JAMES SHEARER"/>
        <s v="ARDEN LARSEN"/>
        <s v="Rob"/>
        <s v="KAREN COSTELLO"/>
        <s v="AMY"/>
        <s v="APRIL WOODRUFF"/>
        <s v="Marcelino"/>
        <s v="GARY FULLER"/>
        <s v="KG"/>
        <s v="Kevin"/>
        <s v="Linda Lou"/>
        <s v="Cynthia Greene"/>
        <s v="MARYANNE"/>
        <s v="DENNITTA HILL"/>
        <s v="JILL JOHNSON"/>
        <s v="GREG BISI"/>
        <s v="SONG LEE"/>
        <s v="PAULINE HAMASAKI"/>
        <s v="LAST NAME Ranney"/>
        <s v="Anita"/>
        <s v="STEPHEN BECKETT"/>
        <s v="SARA &amp; CHRISTY HANSHEW"/>
        <s v="Olga Abella"/>
        <s v="SHALENE H."/>
        <s v="Georgia"/>
        <s v="Heidi McCain"/>
        <s v="Joy"/>
        <s v="cb"/>
        <s v="CustomerMsMarianne"/>
        <s v="JULIA JOHNSON"/>
        <s v="Gregory Gigantiello"/>
        <s v="CHRISTINE ROBINSON"/>
        <s v="Marylou"/>
        <s v="pam l"/>
        <s v="Jim Damm"/>
        <s v="ODALYS CRUZ"/>
        <s v="JESSICA FRIEDMAN"/>
        <s v="Tammy Borell"/>
        <s v="NK"/>
        <s v="DEBBIE LATTIN"/>
        <s v="Matthew"/>
        <s v="Et"/>
        <s v="STEVE W."/>
        <s v="SCOTT BILOT"/>
        <s v="STEVEN HARRINGTON"/>
        <s v="ROXANNE M KITZMAN"/>
        <s v="Diana L"/>
        <s v="Unhappy member"/>
        <s v="Stephanie P"/>
        <s v="JEAN SILVER"/>
        <s v="Frank viola"/>
        <s v="JULIE WAYMIRE"/>
        <s v="Chanel Silva"/>
        <s v="ROBERT NAYLIS"/>
        <s v="Kriss M."/>
        <s v="GRANDMA RINK"/>
        <s v="DON PETERS"/>
        <s v="LESLIE FEARING"/>
        <s v="deirdre santoscoy"/>
        <s v="MELONIE ESO"/>
        <s v="Donna Ross"/>
        <s v="Paul Auger"/>
        <s v="Steve Sell"/>
        <s v="michael ri"/>
        <s v="Julie"/>
        <s v="Customer Timothy"/>
        <s v="Bruce"/>
        <s v="DEBBIE REYES"/>
        <s v="KathyN"/>
        <s v="BubblesLaTour47"/>
        <s v="CHERYL RENSHAW"/>
        <s v="Marilyn Cole"/>
        <s v="DEBORA MCNAMARA"/>
        <s v="NORA WADE-SCHULTZ"/>
        <s v="A. Iannotta"/>
        <s v="Mary Hommel"/>
        <s v="ROSS HARRISON"/>
        <s v="richard wilson"/>
        <s v="Sue Evans"/>
        <s v="SUZANNE"/>
        <s v="Pa Jo"/>
        <s v="Arizona Customer"/>
        <s v="BETTY GIBBS"/>
        <s v="Susan Ostby"/>
        <s v="K8VL"/>
        <s v="JODY HUTH"/>
        <s v="DIANE CAMPOCHIARO"/>
        <s v="THOMAS SMITH"/>
        <s v="Abbey’s parents"/>
        <s v="DON URBIELEWICZ"/>
        <s v="KIMBERLY JENSEN"/>
        <s v="Rhonda Williams"/>
        <s v="Mamichellr"/>
        <s v="DONNA GREENE"/>
        <s v="TXCJG"/>
        <s v="ELIZABETH CARTER"/>
        <s v="SCOTT L"/>
        <s v="Travis"/>
        <s v="ALAN PETERS"/>
        <s v="DELORES BECKETT-PASTIRCHAK"/>
        <s v="MARY RUSSELL"/>
        <s v="JANE BREYER"/>
        <s v="Sheri Gittinger"/>
        <s v="Kayan Eplett"/>
        <s v="Kathy K-"/>
        <s v="WANDA KLING"/>
        <s v="CAROL GREENBERG"/>
        <s v="Christopher Weaver"/>
        <s v="PAULA GODINA"/>
        <s v="DEE"/>
        <s v="Suzanne HILL-TRIPP"/>
        <s v="MRJ"/>
        <s v="Suzann"/>
        <s v="MARILYN SHARP"/>
        <s v="Ziva"/>
        <s v="PETER TEDONE"/>
        <s v="Angela"/>
        <s v="KRISTEN MULLIN"/>
        <s v="Donna"/>
        <s v="Ted’s Mom"/>
        <s v="MONICA MOORE"/>
        <s v="STEVEN KIMPTON"/>
        <s v="TERENCE SHUBECK"/>
        <s v="Mark Kelley"/>
        <s v="EVE STANGOR"/>
        <s v="Ana Ramos"/>
        <s v="safr"/>
        <s v="ANDREA PAQUETTE"/>
        <s v="Kathleen Smith"/>
        <s v="Mattman."/>
        <s v="SARAH"/>
        <s v="OWLEN SCAGGS"/>
        <s v="Eileen Portelli"/>
        <s v="HF"/>
        <s v="DONNA KENNY"/>
        <s v="DUSTIN MURDOCK"/>
        <s v="MP"/>
        <s v="meshelle eicher"/>
        <s v="DIANE AMONO"/>
        <s v="ARTHUR BUCKLEY"/>
        <s v="MommaWinks"/>
        <s v="KAREN SHARKEY"/>
        <s v="TOM WIECK"/>
        <s v="kathleen holmes"/>
        <s v="CustomerNancy Ullrich"/>
        <s v="NANCY LEWIS"/>
        <s v="TINA SPRING"/>
        <s v="MARGARET"/>
        <s v="SUSAN LATCHAM"/>
        <s v="Renee Breeden"/>
        <s v="RONALD STOUT"/>
        <s v="Linda Wutz"/>
        <s v="Kim"/>
        <s v="Guest"/>
        <s v="Maureen Doran Kocka"/>
        <s v="Em"/>
        <s v="scouter63"/>
        <s v="Tom Lindemann"/>
        <s v="LOIS FERGUSON SMITH"/>
        <s v="DEBBIE THOMPSON"/>
        <s v="LOURDES."/>
        <s v="Susan"/>
        <s v="ROBERT NELSON"/>
        <s v="Tina"/>
        <s v="Kim Phillips"/>
        <s v="ELLENP"/>
        <s v="Chuck"/>
        <s v="Barry H"/>
        <s v="TYSON STEIGERS"/>
        <s v="CHRISTINA L"/>
        <s v="MUNROE CHAPIN"/>
        <s v="Rebecca Smith"/>
        <s v="CAROLYN W SHAFFER"/>
        <s v="ROIX"/>
        <s v="JEANETTE G."/>
        <s v="AL LARSON"/>
        <s v="April"/>
        <s v="JUDY SMITH"/>
        <s v="SUSAN LOVE"/>
        <s v="Crystal Riley"/>
        <s v="NICK"/>
        <s v="HILARY BURNS"/>
        <s v="BKO"/>
        <s v="GIL G"/>
        <s v="TIM FREYTAG"/>
        <s v="Gail"/>
        <s v="CASEY FLETCHER"/>
        <s v="JONATHAN LUECKE"/>
        <s v="DDBrown"/>
        <s v="J. HAMU"/>
        <s v="Alexa"/>
        <s v="DAVID EICHORN"/>
        <s v="KM"/>
        <s v="MiuMiu's Mom"/>
        <s v="Barbara"/>
        <s v="Cheri Collins"/>
        <s v="Frank Lucero"/>
        <s v="Debi"/>
        <s v="ALLEN M FELDMAN"/>
        <s v="Richard"/>
        <s v="S I-P"/>
        <s v="DAVE DUFOUR"/>
        <s v="Julia"/>
        <s v="Kenneth Tuffern"/>
        <s v="Bethann Baer"/>
        <s v="Shelley Lloyd"/>
        <s v="KIRT KOON"/>
        <s v="Geoff"/>
        <s v="FELIX GAN"/>
        <s v="Raine Tyler"/>
        <s v="Rebecca D Cintron"/>
        <s v="Melvin Check"/>
        <s v="Ann Sabin"/>
        <s v="Linda Schmidt"/>
        <s v="LORI LAVINE"/>
        <s v="MINDY SAETERN"/>
        <s v="John Toner"/>
        <s v="BRENDA"/>
        <s v="LINDA SOKOLOWSKI"/>
        <s v="MARTHA VASI"/>
        <s v="RICHARD RINER"/>
        <s v="LINDA RUFFING"/>
        <s v="Mary Hawks"/>
        <s v="LAURIE GREEAR"/>
        <s v="Jill M"/>
        <s v="Mandisa Henry"/>
        <s v="Lesli Kelsey"/>
        <s v="Melissa"/>
        <s v="FREDERICK PISANI"/>
        <s v="AMcc"/>
        <s v="BEN LEVER"/>
        <s v="rmc"/>
        <s v="D P"/>
        <s v="SHEILA W"/>
        <s v="DAVE LAWSON"/>
        <s v="KATHY DURGIN-LEIGHTON"/>
        <s v="Christine"/>
        <s v="CIndyNC"/>
        <s v="CLAIRE TURNBULL"/>
        <s v="HOPE-CAROLYN QUENTZEL"/>
        <s v="Eva"/>
        <s v="GLENDA LAUBHAN"/>
        <s v="ELIZABETH DEKARSKE"/>
        <s v="C Machleit"/>
        <s v="SANDRA"/>
        <s v="James Lallman"/>
        <s v="Joe Smith"/>
        <s v="PHIL THOMAS"/>
        <s v="MARY BATES"/>
        <s v="Vanessa"/>
        <s v="MICHAEL DEL MASTO"/>
        <s v="Yury K"/>
        <s v="MICHAEL MOREHEAD"/>
        <s v="T Ward"/>
        <s v="ALBERT EGAN"/>
        <s v="MICHELLE RUE"/>
        <s v="BOB and ANNE BLAICHER"/>
        <s v="Helene"/>
        <s v="JENNIFER K"/>
        <s v="Tammy"/>
        <s v="STEVEN NEVADA"/>
        <s v="JOHN ANDERSON"/>
        <s v="Barbara Rice"/>
        <s v="Wheels"/>
        <s v="JENNY O'BRIEN"/>
        <s v="Peter Utrata"/>
        <s v="Jenna"/>
        <s v="Michael G"/>
        <s v="NLB"/>
        <s v="PAUL VERZOSA"/>
        <s v="Kathryn Johnson"/>
        <s v="Lh"/>
        <s v="PAUL GUEVARA"/>
        <s v="KIM M"/>
        <s v="VIVIANA K."/>
        <s v="Brad Galusha"/>
        <s v="THERESA VAN VELS"/>
        <s v="TIFFANY"/>
        <s v="LAURA CYPHERS"/>
        <s v="JANA ANDERSON"/>
        <s v="LINDA B"/>
        <s v="josephine vollkommer"/>
        <s v="John Toto"/>
        <s v="STEPHANIE CARPENTER"/>
        <s v="Melinda"/>
        <s v="Tracy"/>
        <s v="Chris S"/>
        <s v="SUZANNE CAMPBELL"/>
        <s v="MARK L"/>
        <s v="TagandLink"/>
        <s v="Monica Loeffler"/>
        <s v="Earl Mullett Jr"/>
        <s v="Gretchen"/>
        <s v="Justin"/>
        <s v="JUDY MITCHELL"/>
        <s v="Kelli S."/>
        <s v="Kathryn"/>
        <s v="XIMENA RAMOS"/>
        <s v="Linda S"/>
        <s v="PHYLLIS YAEGER"/>
        <s v="Linda Clark"/>
        <s v="ROGER RAY"/>
        <s v="DAWN"/>
        <s v="LKM"/>
        <s v="CAROLYNN GALAVIZ"/>
        <s v="KELLY LAFRANCE"/>
        <s v="Bennett"/>
        <s v="JEFF WARMOUTH"/>
        <s v="customer Robert Elgin"/>
        <s v="SHAGGY PHIPPS"/>
        <s v="TERRY SCHNITTER"/>
        <s v="GLENYCE ROSS"/>
        <s v="Denali"/>
        <s v="ROBIN CROCE"/>
        <s v="FRED HARRAH"/>
        <s v="Mary Ann"/>
        <s v="DORY RODRIGUEZ"/>
        <s v="Robert Danforth"/>
        <s v="KERRY OHAGEN"/>
        <s v="Rick Cantu"/>
        <s v="loretta vacek"/>
        <s v="Wilma McCoy"/>
        <s v="Mm Nava"/>
        <s v="KAREN FORSEE"/>
        <s v="Jeff Burke"/>
        <s v="JOAN GINARD"/>
        <s v="SANDRA HERNANDEZ"/>
        <s v="RustyBritt"/>
        <s v="CRISTINA MEDNICK"/>
        <s v="Janice"/>
        <s v="CMS"/>
        <s v="NANCY GIBBS"/>
        <s v="TRAVIS SHERMAN"/>
        <s v="Mel M."/>
        <s v="KYLE POLLOCK"/>
        <s v="HOLLY HENRY WEST"/>
        <s v="KAREN HARPER"/>
        <s v="KATHY HARVEY-JONES"/>
        <s v="BRUCE MALICKI"/>
        <s v="JEFF BOAK"/>
        <s v="Suzanne L Fraccaroli"/>
        <s v="Spencer"/>
        <s v="CHRIS MARMO"/>
        <s v="Amber S"/>
        <s v="PB"/>
        <s v="TY STRAWHECKER"/>
        <s v="Anna"/>
        <s v="DS"/>
        <s v="Thomas"/>
        <s v="Doggiemistress"/>
        <s v="LYNN KALUHIOKALANI"/>
        <s v="Molly McMurray"/>
        <s v="alicia savino"/>
        <s v="Rebecca O"/>
        <s v="Victoria Schulze"/>
        <s v="LINA COLELLA"/>
        <s v="Laurel Cole"/>
        <s v="ALEX MARTINEZ"/>
        <s v="SHARON ELLIS"/>
        <s v="KAREN KUNS"/>
        <s v="MARY SUGGS"/>
        <s v="Richard W"/>
        <s v="STANLEY"/>
        <s v="DAVID ADAMS"/>
        <s v="Robin"/>
        <s v="Sdo"/>
        <s v="Larry"/>
        <s v="This company SUCKS"/>
        <s v="MALENA PORTER"/>
        <s v="Carole"/>
        <s v="Raven 654"/>
        <s v="CRISTINA CONKLIN"/>
        <s v="THOMAS WILLIAMS"/>
        <s v="marky"/>
        <s v="Debra H"/>
        <s v="susan bjurstrom"/>
        <s v="Danny Tang"/>
        <s v="MES"/>
        <s v="SHIRLEY"/>
        <s v="LUKE ROSE"/>
        <s v="Susanna S."/>
        <s v="LISA CHAPPELL"/>
        <s v="LACEY"/>
        <s v="Teresa Mads"/>
        <s v="Hien"/>
        <s v="GLEN CASSELLS"/>
        <s v="JOBYNA"/>
        <s v="Sue H."/>
        <s v="Brian"/>
        <s v="SANDRA O'DELL"/>
        <s v="Darlene"/>
        <s v="MELINDA THEIDE"/>
        <s v="JORDAN"/>
        <s v="TAMI COMETTE"/>
        <s v="Shelley Malin"/>
        <s v="DENISE"/>
        <s v="JACK KRAUT"/>
        <s v="Mary Forsythe"/>
        <s v="TAMMY ROSS"/>
        <s v="HENRY CHANDLER"/>
        <s v="Rescue an Animal Save your Sou"/>
        <s v="casey bradshaw"/>
        <s v="NJLuvs2Shop!"/>
        <s v="JAMES BARNETT"/>
        <s v="MIKE BERTRAND"/>
        <s v="Stevens Rosemary"/>
        <s v="CHRISTINE P"/>
        <s v="Cathy in New York"/>
        <s v="Stop spamming me!!!"/>
        <s v="PAMELA KELLY"/>
        <s v="JERI POWELL"/>
        <s v="Sasciee"/>
        <s v="Elizabeth Dahl"/>
        <s v="Sally"/>
        <s v="JULIE ALMS"/>
        <s v="C Junior"/>
        <s v="Annoyed"/>
        <s v="KELLY VIGIL"/>
        <s v="TEIMURAZ BANDZAVA"/>
        <s v="Kathryn Riddle"/>
        <s v="K."/>
        <s v="Ann R"/>
        <s v="VICKI BUTLER"/>
        <s v="Eric Fisher"/>
        <s v="Peter Jurich"/>
        <s v="Mary L Smith"/>
        <s v="JERI BOSWELL"/>
        <s v="K. Neely"/>
        <s v="Catlover"/>
        <s v="Beth Miranda"/>
        <s v="SAL ITALIANO"/>
        <s v="Raymond Butts"/>
        <s v="GEORGE HACKNEY"/>
        <s v="MARK MARZINO"/>
        <s v="Joye Thomas"/>
        <s v="Kristie"/>
        <s v="Erin Leigh"/>
        <s v="LAURA GARVIN"/>
        <s v="KAREN WAXMAN"/>
        <s v="SUSAN MCCLAIN"/>
        <s v="PAOLA BELLI"/>
        <s v="Ohiodoglover"/>
        <s v="ANGELA PLUMLEY"/>
        <s v="George T"/>
        <s v="CECILy"/>
        <s v="PENNY GOODIN"/>
        <s v="S STAVRO"/>
        <s v="SHARON"/>
        <s v="JEFF HALE"/>
        <s v="MARILYN ROTH"/>
        <s v="THOMAS CARRAN"/>
        <s v="ETHEL HOUMAN"/>
        <s v="Pat"/>
        <s v="Alla Ruchkina"/>
        <s v="CHRISTINA M."/>
        <s v="MICHAEL BIRCHALL"/>
        <s v="DANIEL SAMARDZICH"/>
        <s v="FELICIA SISK"/>
        <s v="JT"/>
        <s v="MARIAN M"/>
        <s v="Disappointing"/>
        <s v="Bergie"/>
        <s v="Ga B"/>
        <s v="JUDY BUTTON"/>
        <s v="MAKAYLA BRAIN"/>
        <s v="DENISE ANGELO"/>
        <s v="Starr Herscovitch"/>
        <s v="Cassidy Craig"/>
        <s v="SUSAN VAZ"/>
        <s v="LINDA CRANE"/>
        <s v="Karen Reed"/>
        <s v="A.Q."/>
        <s v="ANDREW RAMSEYER"/>
        <s v="Nicole"/>
        <s v="Gail Pray"/>
        <s v="DOUGLAS ALLAN"/>
        <s v="REBECCA BROGAN"/>
        <s v="MML"/>
        <s v="ART HILER"/>
        <s v="CHARLENE"/>
        <s v="REBECCA ALDERMAN"/>
        <s v="Cary Brenchley"/>
        <s v="LANAY SAMUELSON"/>
        <s v="CAROL BRONSON"/>
        <s v="AMBUR M"/>
        <s v="DAN MARCH"/>
        <s v="WENDY STELMACK"/>
        <s v="ROBIN MUNSON"/>
        <s v="LilNLu’s ma"/>
        <s v="Frederick Irwin"/>
        <s v="Gourmet Gal"/>
        <s v="MICHAEL PRINCIPE"/>
        <s v="Monica Feagan"/>
        <s v="LaDonna Swaim"/>
        <s v="MICHAEL JAMES"/>
        <s v="Jordan Rogers"/>
        <s v="Shelly"/>
        <s v="ASHLEY P."/>
        <s v="bobbi"/>
        <s v="SOPHIE BROOKS"/>
        <s v="ROMAN BOWSSER"/>
        <s v="REYVONNA WHITE"/>
        <s v="MO"/>
        <s v="RH"/>
        <s v="Yvette"/>
        <s v="PERLA BUCHSBAUM"/>
        <s v="Paula Brock"/>
        <s v="STEVEN C."/>
        <s v="Donna Grubbs"/>
        <s v="HappyCamper"/>
        <s v="NAJA AYERS"/>
        <s v="Randi K"/>
        <s v="CHRISTINE SWISZCZ"/>
        <s v="Anja Metz"/>
        <s v="REBECCA SOTO"/>
        <s v="JULIE HAGEN-CHURCHMAN"/>
        <s v="JEANNE MARIE THALLMAYER"/>
        <s v="ROBIN SCHMINCKE"/>
        <s v="Candy and Brian"/>
        <s v="Valerie"/>
        <s v="JOYCE BARBER"/>
        <s v="JENNIFER H"/>
        <s v="ron henderson"/>
        <s v="sal quintero"/>
        <s v="brent mccaig"/>
        <s v="Richard Beard"/>
        <s v="Christopher Munns"/>
        <s v="JULIE R."/>
        <s v="MARY LEADER"/>
        <s v="Jasmine Williams"/>
        <s v="DobetterBIleave"/>
        <s v="KHAIRUL ALAM"/>
        <s v="KATHRYN MARSHBURN"/>
        <s v="Anatoly Tokar"/>
        <s v="Mia’s Mommy Nunez"/>
        <s v="IRAIDA TRUSOVA"/>
        <s v="Lily"/>
        <s v="Phyllis Beasley"/>
        <s v="CAROL CLARKE"/>
        <s v="M. Savage"/>
        <s v="ANGELA WHITE"/>
        <s v="P. Rick"/>
        <s v="WILLIAM BAUMGARTNER"/>
        <s v="TraM"/>
        <s v="MIKE L."/>
        <s v="CHRISTINE J"/>
        <s v="SANDRA BOYAS"/>
        <s v="DIANE R"/>
        <s v="GINA ANDREWS"/>
        <s v="JOHN AMBROSE"/>
        <s v="MJ"/>
        <s v="N. Lucci"/>
        <s v="MELISSA RICHARD"/>
        <s v="CARRIE ROBERTS"/>
        <s v="DENISE ANDERSON"/>
        <s v="Jane"/>
        <s v="HEATHER THACKER"/>
        <s v="TOM W"/>
        <s v="Miss Christine"/>
        <s v="Jim Russo"/>
        <s v="NELSON TIBURCIO"/>
        <s v="LINDA RANKIN"/>
        <s v="PHIL DAHLQUIST"/>
        <s v="Russ"/>
        <s v="NOEL HIRSCH"/>
        <s v="Gene Smith"/>
        <s v="A.H.(Chico)Tose"/>
        <s v="Maitri Libellule"/>
        <s v="Pauly"/>
        <s v="HR Teel"/>
        <s v="Happy Camper"/>
        <s v="Marcela Reilly"/>
        <s v="Vickie Mullins"/>
        <s v="KIMBERLY MCBRIDE"/>
        <s v="Tam"/>
        <s v="MAHMOUD ALNAJAR"/>
        <s v="RITA DEFRANCO"/>
        <s v="JAQUELINE BUGALLO PASCUCCI"/>
        <s v="Janesa Calone"/>
        <s v="D. C."/>
        <s v="ROSE H., Arkansas"/>
        <s v="LEROY FHLUG"/>
        <s v="CHARLENE GALLARDO"/>
        <s v="WALT HUNT"/>
        <s v="Daniel Glunt"/>
        <s v="SUE MOGLE"/>
        <s v="ADA FRASCA"/>
        <s v="MARSHA MUELLER"/>
        <s v="Jill"/>
        <s v="RIA"/>
        <s v="RONALD GARLICK"/>
        <s v="Rick"/>
        <s v="Jennifer Abbott-Walker"/>
        <s v="CANDEE ZENKLUSEN"/>
        <s v="TIMMY BJORKQUIST"/>
        <s v="WILLIAM G"/>
        <s v="Captain Stumpy"/>
        <s v="ALEXANDRA PARRA"/>
        <s v="Frederic Steinhardt"/>
        <s v="Jacqui"/>
        <s v="hofty"/>
        <s v="Kimberley Lightcap"/>
        <s v="BRENDA MITCHELL"/>
        <s v="HMa"/>
        <s v="Siameez"/>
        <s v="STEVEN GANUNG"/>
        <s v="JENNIFER SCHILLING"/>
        <s v="Donna M."/>
        <s v="Jborine"/>
        <s v="DEBBIE FLORES"/>
        <s v="PATTI MARTINEZ"/>
        <s v="DREW NELSON"/>
        <s v="Geraldine Hagan"/>
        <s v="ELIZABETH CUNNINGHAM"/>
        <s v="Carlos G"/>
        <s v="Lara M"/>
        <s v="Elizabeth Jackson"/>
        <s v="BARBARA JONES"/>
        <s v="KATHY WESOLOWSKI"/>
        <s v="Dan"/>
        <s v="Jaclyn Koester"/>
        <s v="Phillip Lavery"/>
        <s v="Z C W"/>
        <s v="DAVID BLAKE"/>
        <s v="Kathie Potega"/>
        <s v="Barb"/>
        <s v="SheliaJ"/>
        <s v="EightBlueEyes"/>
        <s v="Ellen Solis-Cohen"/>
        <s v="Katarina"/>
        <s v="M.clem"/>
        <s v="MICHELE BOWERS"/>
        <s v="James B."/>
        <s v="Ed"/>
        <s v="Marmy"/>
        <s v="KIM FRAZIER"/>
        <s v="DONNA AUGUSTINE"/>
        <s v="Mary Chalaire"/>
        <s v="GINNY B"/>
        <s v="Buddha / Opalina"/>
        <s v="RHONDA"/>
        <s v="stanleychavez"/>
        <s v="Honey Flavorz"/>
        <s v="Stephanie Lucas"/>
        <s v="Smw"/>
        <s v="Annie LaVigne"/>
        <s v="AUDREY EICHWALD"/>
        <s v="JOYCE BERRY"/>
        <s v="BRIANNA SCHUMAKER NGUYEN"/>
        <s v="REBECCA LOPEZ"/>
        <s v="LAK"/>
        <s v="GERA WILLIAMS"/>
        <s v="FRANK WESSINGER"/>
        <s v="MAYME WILHEM"/>
        <s v="LANIER WATSON"/>
        <s v="Rebecca Wickstrom"/>
        <s v="Susan Jay"/>
        <s v="DIANE ESCOBAR"/>
        <s v="DEBBIE ROBERTS"/>
        <s v="MARGARET S WARNER"/>
        <s v="Max’s mom"/>
        <s v="MYRON"/>
        <s v="TANJINA"/>
        <s v="STEVE KARMAN"/>
        <s v="LINDA KELLER"/>
        <s v="ALISE SAUNDERS"/>
        <s v="ANITA SAINT CLAIR"/>
        <s v="Andrina DaCar"/>
        <s v="Ronnie Hoffman"/>
        <s v="berkshires"/>
        <s v="Christopher"/>
        <s v="VERLA E ORDING"/>
        <s v="Angela Bowen"/>
        <s v="DAN W"/>
        <s v="ADRIENNE B"/>
        <s v="Wendy Morrey"/>
        <s v="STEPHEN HELD"/>
        <s v="B Bradford"/>
        <s v="MARILYN BADGER"/>
        <s v="RodB"/>
        <s v="Melissa Susino-Nussbaum"/>
        <s v="William Matthews"/>
        <s v="ELIZABETH CUMBERBATCH"/>
        <s v="JESSE CLARK"/>
        <s v="MICHELLE UNGER"/>
        <s v="L.RIVERA"/>
        <s v="EBONY PARKER WAUGH"/>
        <s v="SCD"/>
        <s v="DOGMOM"/>
        <s v="William Gallop"/>
        <s v="Zar's Mom"/>
        <s v="FREDERICK BROUGH III"/>
        <s v="Carla Trujillo"/>
        <s v="CAROL K"/>
        <s v="Joseph"/>
        <s v="MarkO"/>
        <s v="PAMELA YEH"/>
        <s v="JILL CLARKE"/>
        <s v="Don Walters"/>
        <s v="Kathi"/>
        <s v="INDIANA DILAN"/>
        <s v="ROBERT ANDERSON"/>
        <s v="No happy"/>
        <s v="STACEY M."/>
        <s v="YOLANDA GRIFFITHS"/>
        <s v="michelle berentz"/>
        <s v="Renee &amp; Bee"/>
        <s v="Judith Lewis"/>
        <s v="NANCY CLASEN"/>
        <s v="Laura"/>
        <s v="WENDY MANN"/>
        <s v="S Tate"/>
        <s v="TAMMIE Y"/>
        <s v="Beckley Van Cleave"/>
        <s v="DENISE ARCHER"/>
        <s v="LARRY BENTLEY"/>
        <s v="M. Quick"/>
        <s v="Ted"/>
        <s v="VIKKI FLAHERTY"/>
        <s v="DAWN SCHAFFER"/>
        <s v="SHEFFIELD LARRY"/>
        <s v="DENNIS HOFFBUHR"/>
        <s v="ELYSE D."/>
        <s v="KAY"/>
        <s v="Bob Kobashigawa"/>
        <s v="LOUI MARRA"/>
        <s v="Chris Cassner"/>
        <s v="BELINDA HARLOW"/>
        <s v="MIA LAVERGNE"/>
        <s v="Agnes"/>
        <s v="NANCY"/>
        <s v="Judy Kathleen Thompson"/>
        <s v="Cynthia Gould"/>
        <s v="LINDA MEEHAN"/>
        <s v="LISA SHAFFER"/>
        <s v="Barrie"/>
        <s v="Yas"/>
        <s v="T M BUCKMAN"/>
        <s v="Duane Neuerburg"/>
        <s v="Eva Fresquez"/>
        <s v="ROLLIN BAIRD"/>
        <s v="TRACY WESTMORELAND"/>
        <s v="Penny"/>
        <s v="JUDITH TAYLOR"/>
        <s v="Joel Goldin"/>
        <s v="DB"/>
        <s v="PAUL WEILER"/>
        <s v="Charlie"/>
        <s v="JOHN HEITZMAN"/>
        <s v="KALLIE DAVISCOURT"/>
        <s v="Eric"/>
        <s v="NANCY CAMACHO"/>
        <s v="SANDRA HERSOM"/>
        <s v="MARTHA GARLICK"/>
        <s v="JENNIFER FRAIN"/>
        <s v="Steven Poster"/>
        <s v="Tom P"/>
        <s v="Deberoh Gruver"/>
        <s v="Cathy K"/>
        <s v="Biscuit"/>
        <s v="JOSE ARAUJO"/>
        <s v="bomarkat"/>
        <s v="Carole Springer"/>
        <s v="Daniel"/>
        <s v="LON CARNEY"/>
        <s v="KADY TETZLAFF"/>
        <s v="Peggy Jo Gustis"/>
        <s v="MAUREEN WATSON"/>
        <s v="CORINNE BROWN"/>
        <s v="LAURA BISHOP"/>
        <s v="Feniix"/>
        <s v="Beth V"/>
        <s v="SYNDEE F."/>
        <s v="KSJ"/>
        <s v="Don Land"/>
        <s v="DAWN MORDICA"/>
        <s v="Linda J Larson"/>
        <s v="All seeing Isaac"/>
        <s v="CAROLINE HALDER"/>
        <s v="THAD S"/>
        <s v="BEVERLY DELAET"/>
        <s v="DALE T"/>
        <s v="JOSEPH G."/>
        <s v="DHK"/>
        <s v="Joy to the world"/>
        <s v="GAIL HUGHES"/>
        <s v="Eessam Ammouri"/>
        <s v="SUSAN ABEEL"/>
        <s v="Maureen"/>
        <s v="ROZ DORF"/>
        <s v="JEANETTE ZGLOBICKI"/>
        <s v="PAULETTE TARDIO"/>
        <s v="MICHAEL PAGLIANTI"/>
        <s v="ROBERT EARHART"/>
        <s v="AMY NASH"/>
        <s v="MARIE"/>
        <s v="Anya Spielberg"/>
        <s v="KLaurie"/>
        <s v="MEGAN R"/>
        <s v="Sharen"/>
        <s v="ELLEN CHILDS"/>
        <s v="JENNIFER HOFFMAN"/>
        <s v="DAVID COHEN"/>
        <s v="LOIS SUSSMAN"/>
        <s v="JUDITH ENDEAN"/>
        <s v="WHITNEY CHIRDON"/>
        <s v="Sami's mom"/>
        <s v="Pet Lover"/>
        <s v="Lck"/>
        <s v="LISA DENNY"/>
        <s v="VW"/>
        <s v="vicki thornborough"/>
        <s v="CRAIG LETRICH"/>
        <s v="NILDA BERRIOS"/>
        <s v="PATRICIA MULQUEEN"/>
        <s v="Cathy"/>
        <s v="ANNETTE"/>
        <s v="KAYE OWENS"/>
        <s v="JOSE DIAZ"/>
        <s v="ANTOINETTE PELKEY"/>
        <s v="Jennifer Daly"/>
        <s v="TnE"/>
        <s v="MAUREEN R."/>
        <s v="MARC EISEN"/>
        <s v="Jackie"/>
        <s v="BRENDA HACH"/>
        <s v="Denise Moll"/>
        <s v="rk"/>
        <s v="SHELIA"/>
        <s v="SHARON WAINWRIGHT"/>
        <s v="Nura Cue"/>
        <s v="JOHN HAWTHORNE"/>
        <s v="Marietta Pup Mom"/>
        <s v="Andrew Cohen"/>
        <s v="Cynthia"/>
        <s v="JOANNE BEIGER"/>
        <s v="Carol"/>
        <s v="MATTHEW ATHERLEY"/>
        <s v="AMY SENSTAD"/>
        <s v="SHERYL MCLEAN"/>
        <s v="Ronda Raye"/>
        <s v="LESLIE ZELKOWITZ"/>
        <s v="WENDY GANSER"/>
        <s v="AL T."/>
        <s v="MONICA"/>
        <s v="Ian"/>
        <s v="KATHY KLEIST"/>
        <s v="Suzanne Fleischmann"/>
        <s v="ANDRES"/>
        <s v="B Sillwell"/>
        <s v="KENNETH KANTOR"/>
        <s v="MS"/>
        <s v="LEE BARTHEL"/>
        <s v="PHILIP M"/>
        <s v="Disappointed"/>
        <s v="Violet Ahrenholtz"/>
        <s v="Virginia Buxton"/>
        <s v="Johaen B Nunez"/>
        <s v="ROBERT HERNANDEZ"/>
        <s v="JANET PATACCA"/>
        <s v="EVELYN WHITE"/>
        <s v="DEANNA MEYER"/>
        <s v="JEANNIE"/>
        <s v="JEAN WINANS"/>
        <s v="RHONA HAMMOCK"/>
        <s v="Irina"/>
        <s v="Ginger’s mom"/>
        <s v="LINDA SHINNEMAN"/>
        <s v="Rexford Nichols"/>
        <s v="Joann Shepherd"/>
        <s v="KATIE"/>
        <s v="CHARLOTTE COOPER"/>
        <s v="Jean Kandel"/>
        <s v="LETA WELLS"/>
        <s v="SHANNON MOLLOY"/>
        <s v="Leo"/>
        <s v="RICHARD K FALKE"/>
        <s v="Mary Boyle"/>
        <s v="ANGELA SEVERE"/>
        <s v="HEATHER PARCHMAN"/>
        <s v="patrick"/>
        <s v="ROBERT VANMETER"/>
        <s v="Herb"/>
        <s v="Nick V."/>
        <s v="MONICA ABEYTA"/>
        <s v="MARK STEVENS"/>
        <s v="TIMOTHY COOPER"/>
        <s v="DENNIS"/>
        <s v="STEPHANIE WALKER"/>
        <s v="cam"/>
        <s v="ANGELA ROMBACH"/>
        <s v="DESIREE ZAMBRANA"/>
        <s v="LLB52"/>
        <s v="JOSEPH GONZALES"/>
        <s v="RON"/>
        <s v="BRENDA KEISTER"/>
        <s v="LINDA MURPHY"/>
        <s v="HAt"/>
        <s v="MARGARET FINNEGAN"/>
        <s v="RICHARD DAVILA"/>
        <s v="Susan Ross"/>
        <s v="TERRYN"/>
        <s v="PATRICIA SOSA"/>
        <s v="LORRIE CANDLER"/>
        <s v="Linda Ryburn"/>
        <s v="Klossau"/>
        <s v="FEO"/>
        <s v="SABLE JAK"/>
        <s v="Naioma Emanuel"/>
        <s v="Hilary"/>
        <s v="Kim B."/>
        <s v="Victoria K"/>
        <s v="KIMBERLY REED"/>
        <s v="ROSE G"/>
        <s v="ANDREA MENZER-FEEBECK"/>
        <s v="TRACIE OSBORNE"/>
        <s v="RLL"/>
        <s v="BOB HERBERT HSU"/>
        <s v="delphiguy"/>
        <s v="FYNN MORELAND"/>
        <s v="Terry Wolverton"/>
        <s v="Ljudice"/>
        <s v="Mary Griswold"/>
        <s v="Kathy J."/>
        <s v="ALEXIS ROEBER"/>
        <s v="Purrfectly Contented Pat"/>
        <s v="TARA NOSICH"/>
        <s v="Kitty Mama"/>
        <s v="GLENN DONOFRI"/>
        <s v="Jim D"/>
        <s v="NATALIYA KUTYEPOVA"/>
        <s v="CHRISTY"/>
        <s v="Ruth Butler"/>
        <s v="JANET ALLI"/>
        <s v="ken123"/>
        <s v="Gator"/>
        <s v="Ben Szilagy"/>
        <s v="Deborah h"/>
        <s v="BETSY RAYLE"/>
        <s v="Tyrone Morgan"/>
        <s v="LBrotkin"/>
        <s v="STACY BOVE-FULGENZI"/>
        <s v="CAROL ANNE OLSEN"/>
        <s v="Deb"/>
        <s v="Robert William"/>
        <s v="Kaybar"/>
        <s v="LB"/>
        <s v="Elissa Rogovin"/>
        <s v="KATHLEEN HALE"/>
        <s v="PATRICK WOOD"/>
        <s v="SUZIE MCLEOD"/>
        <s v="MEGAN J"/>
        <s v="KAREN GOOD"/>
        <s v="Kim Bartley"/>
        <s v="NANCY ROBERTS"/>
        <s v="carl mcHenry"/>
        <s v="RICHARD ARVONIO"/>
        <s v="Valued Customer"/>
        <s v="martha"/>
        <s v="Faye Robinson"/>
        <s v="Judy Sander"/>
        <s v="LISA GREEN"/>
        <s v="Francesca"/>
        <s v="JOHN FEZIO"/>
        <s v="DIANE Tempe Az"/>
        <s v="RICHARD BOTT"/>
        <s v="CORNELIS BOUDEWIJN"/>
        <s v="SCOTT HOLDER"/>
        <s v="HOWARD LOW"/>
        <s v="Scott"/>
        <s v="K Rom"/>
        <s v="JOYCE CURTIS"/>
        <s v="RICHARD K."/>
        <s v="Denise Kramer"/>
        <s v="JOHN B"/>
        <s v="COURTNEY FRALEY"/>
        <s v="MEGAN"/>
        <s v="CAP"/>
        <s v="Ellen"/>
        <s v="JAILALL RAMLAGAN"/>
        <s v="LYANNE LOPEZ"/>
        <s v="RUTH ROTHMAN"/>
        <s v="CCole"/>
        <s v="Kathy Huber"/>
        <s v="Barb S"/>
        <s v="ZooFmly"/>
        <s v="JOHN DOWN"/>
        <s v="MARK ELIASOFF"/>
        <s v="AUDREY EPSTEIN"/>
        <s v="ROBERT EWING"/>
        <s v="DIANE ALDRETE"/>
        <s v="LORI DIGIOVANNI"/>
        <s v="charles"/>
        <s v="Sandra F"/>
        <s v="Pet friend"/>
        <s v="LANCE YOUNG"/>
        <s v="PATRICIA LLOYD"/>
        <s v="Robert Stoff"/>
        <s v="WILSON"/>
        <s v="PATRICIA WALLEY"/>
        <s v="STEPHENY TAYS"/>
        <s v="Banteaux"/>
        <s v="Angie Tracy"/>
        <s v="Mrs. Bill"/>
        <s v="Sheila Brooks"/>
        <s v="Crystal Shackleford"/>
        <s v="Elizabeth Moody"/>
        <s v="DOREEN BARNAS"/>
        <s v="jsmom"/>
        <s v="CANTWELL, JOANNE"/>
        <s v="RILEY MCINTIRE"/>
        <s v="Gloria"/>
        <s v="DEBORAH TREADWAY"/>
        <s v="LISA HERNDON"/>
        <s v="Dl"/>
        <s v="RIKI ORELLANA"/>
        <s v="Linda Schulz"/>
        <s v="KEITH SCHWARTZ SCHWARTZ"/>
        <s v="ERIN ANSELM"/>
        <s v="TRINIDAD MAGNO"/>
        <s v="Kam"/>
        <s v="KARA MILLER"/>
        <s v="Lydia Theys"/>
        <s v="BARBARA GROSSI"/>
        <s v="RICHARD BAUMGARTNER"/>
        <s v="Aaron Schott"/>
        <s v="PATTY JABLONOWSKI"/>
        <s v="RICHARD RITCHEY"/>
        <s v="RICHARD CECCACCI JR"/>
        <s v="ROBIN ELDER"/>
        <s v="LAURA ANNE WELCH"/>
        <s v="dorecia wilde"/>
        <s v="CHRISTINE BONHAM"/>
        <s v="DOUGLAS VERGARA"/>
        <s v="bwheeler"/>
        <s v="Roy Chen"/>
        <s v="SUSAN WINTER"/>
        <s v="John Dustin"/>
        <s v="LAZARO PEREZ"/>
        <s v="JEN PETSU"/>
        <s v="Mildred Crawford"/>
        <s v="Erica A"/>
        <s v="VICKI HARTSBURG"/>
        <s v="Stan"/>
        <s v="VIRGINIA SUNDIN"/>
        <s v="Steven Kellerman"/>
        <s v="nelfudge"/>
        <s v="JENN"/>
        <s v="DEIDRA ECKERD"/>
        <s v="Gems Mom"/>
        <s v="Alicia P"/>
        <s v="Txbear"/>
        <s v="JOAN"/>
        <s v="CYNTHIA MCMAHAN"/>
        <s v="CARTER FARMER"/>
        <s v="Marilyn Thorson"/>
        <s v="Jane Smiley"/>
        <s v="JC"/>
        <s v="MJ."/>
        <s v="JERRY SCOTT"/>
        <s v="Dave G."/>
        <s v="Breewynd Labradors"/>
        <s v="JOHN BOSTER"/>
        <s v="MNTX"/>
        <s v="LINDA MIVILLE"/>
        <s v="Janet Moore"/>
        <s v="SARAH MCANALLY"/>
        <s v="CFrick"/>
        <s v="CLEMENTINE MAUREEN L PARADISE"/>
        <s v="customer Brenda"/>
        <s v="Kika"/>
        <s v="Cheryl"/>
        <s v="MORGAN BRIGGS"/>
        <s v="Suzy Osum"/>
        <s v="DUB CROFFORD"/>
        <s v="Randi Buslik"/>
        <s v="SANDRA N"/>
        <s v="Maureen Whyte"/>
        <s v="RUTH MONZEL"/>
        <s v="KERIN ANTHONY"/>
        <s v="Lisa Kleiner"/>
        <s v="S SHAY"/>
        <s v="Virginia"/>
        <s v="Galina Moliboga"/>
        <s v="Maria Plochocki"/>
        <s v="DAMIEN HORST"/>
        <s v="DuWi"/>
        <s v="ADO ZOHOROVIC"/>
        <s v="DAVE REIK"/>
        <s v="JILL GREER"/>
        <s v="Kitty Queen"/>
        <s v="SHERI GARRISON"/>
        <s v="DEBRA LOPER"/>
        <s v="Mary Henry"/>
        <s v="TIFFANY DRISCOLL"/>
        <s v="DAVE PINNER"/>
        <s v="TAMMY KRAUSS"/>
        <s v="JUDITH JONES"/>
        <s v="Cat Appreciator from SE NY"/>
        <s v="G.O."/>
        <s v="CHUCK HOWARD"/>
        <s v="MR"/>
        <s v="OSCAR RINGNESS"/>
        <s v="William Hroch"/>
        <s v="Ubaldo Morales"/>
        <s v="Sandi Lynn Dupuy"/>
        <s v="Hayley"/>
        <s v="Caitlin R."/>
        <s v="RENATO FABBRO"/>
        <s v="Rick Doctor"/>
        <s v="JAMES BADACZEWSKI"/>
        <s v="Jennotjenn"/>
        <s v="LISA THOMPSON"/>
        <s v="ANNE RAINEY"/>
        <s v="C. Thomas"/>
        <s v="NORMA MURPHY"/>
        <s v="JASON DIEHL"/>
        <s v="BARBARA CHIAPETTA"/>
        <s v="JL"/>
        <s v="CR SIMMONS"/>
        <s v="Pam Schiller"/>
        <s v="Eileen"/>
        <s v="CATHY ALIRE"/>
        <s v="Glenn Singer"/>
        <s v="LINDA SCHUHMACHER"/>
        <s v="CAROLYNF"/>
        <s v="Ana"/>
        <s v="SHIRLEY ALEXANDER"/>
        <s v="CHERYL CORBEAN"/>
        <s v="PATRICK RYAN"/>
        <s v="SARA ANN STOCKER"/>
        <s v="LAN ZHAO"/>
        <s v="LISA WOTTRICH"/>
        <s v="Loren"/>
        <s v="DOLORES LIBERTI"/>
        <s v="Daniel Culbert"/>
        <s v="Carol Staten Clark"/>
        <s v="LYNN CATHEY"/>
        <s v="DANE"/>
        <s v="CAROLA"/>
        <s v="Dusty"/>
        <s v="LEE HARVIE"/>
        <s v="quokka"/>
        <s v="Paula G."/>
        <s v="MICHAEL NEYHART"/>
        <s v="SK SOURCE"/>
        <s v="Molly"/>
        <s v="JOE BUFFA"/>
        <s v="AN"/>
        <s v="LISA INGRAM"/>
        <s v="JUDITH HARRIS"/>
        <s v="chris"/>
        <s v="VICKY BROWN"/>
        <s v="customerJeannie"/>
        <s v="Alyssa Jolley"/>
        <s v="Lidia &amp; Antoni Ljubic"/>
        <s v="Chelsey Hutchings"/>
        <s v="R MEYER"/>
        <s v="MARIBEL PADILLA"/>
        <s v="Susan Gibson"/>
        <s v="aqualiz"/>
        <s v="SAM B"/>
        <s v="BARBARA MOOSE"/>
        <s v="DEBORAH STUMM"/>
        <s v="Lilly"/>
        <s v="TG"/>
        <s v="MORGAN BAILEY"/>
        <s v="DIANE WENDTE"/>
        <s v="PHYLLIS SNOOK"/>
        <s v="MARILYNN ESTES"/>
        <s v="SHIRLEY NEWMONT"/>
        <s v="Mary Ann Salomone"/>
        <s v="TIMOTHY EISCHENS"/>
        <s v="Joan L"/>
        <s v="Mel Givison"/>
        <s v="JOANNE LARSEN"/>
        <s v="CONNIE BOREE"/>
        <s v="Frenchie Mom"/>
        <s v="JEFFREY DREISIN"/>
        <s v="Laketa"/>
        <s v="John Hofker"/>
        <s v="Montana Hayes"/>
        <s v="ZAHRA TAPPOUNI"/>
        <s v="Sara"/>
        <s v="HEIDI RIPKE-CURCIO"/>
        <s v="sad cat"/>
        <s v="Denise A Hobson"/>
        <s v="JENNY LADD"/>
        <s v="LISA TIMM"/>
        <s v="annie marie"/>
        <s v="customerDebra"/>
        <s v="Rollie Bennett"/>
        <s v="DEVON LEWIS"/>
        <s v="ANNA SUTOCKY"/>
        <s v="Walter L Zych"/>
        <s v="RICHARD in SC"/>
        <s v="RANDY SHELBY"/>
        <s v="CATHERINE BURNS"/>
        <s v="Taira Naiomy"/>
        <s v="DANI"/>
        <s v="HELEN HEGARTY"/>
        <s v="Rita Krause"/>
        <s v="RENEE GUTIERREZ-KINZ"/>
        <s v="Mrs Wicked Dragonfly"/>
        <s v="Roger Martinez"/>
        <s v="KYLE L"/>
        <s v="GWEN"/>
        <s v="LAUREN S"/>
        <s v="Mary Dalton"/>
        <s v="DEBORAH PERRY"/>
        <s v="Jay S"/>
        <s v="Alejandro"/>
        <s v="DESIREE RACQER"/>
        <s v="Marcus TwoTime"/>
        <s v="SANDRA MAYES"/>
        <s v="CINDY FLATT"/>
        <s v="Brian Aderer"/>
        <s v="JAN BERTI"/>
        <s v="LISA MEYERS"/>
        <s v="Rafe H Schindler"/>
        <s v="RANDY HOLLOWAY"/>
        <s v="LANETTE WILKE"/>
        <s v="JOSEPH STEELE"/>
        <s v="WES TANAKA"/>
        <s v="Rick V."/>
        <s v="JOAN MCDANIEL"/>
        <s v="Peter"/>
        <s v="JANE PIMENTEL"/>
        <s v="Shea"/>
        <s v="BRANT STANDRIDGE"/>
        <s v="S. DALTON"/>
        <s v="Peggy R"/>
        <s v="Code"/>
        <s v="THERESA MOSSBERG"/>
        <s v="Lynne Wilson"/>
        <s v="LYNN SURDOW"/>
        <s v="ELKE"/>
        <s v="Lucy's Mom"/>
        <s v="TAMMIE DAZEY"/>
        <s v="Ben"/>
        <s v="DUWAYNE WENGER"/>
        <s v="Kenneth I Hamilton"/>
        <s v="Kevin Charles"/>
        <s v="AMANDA HATFIELD"/>
        <s v="KAREN RILEY"/>
        <s v="Siskin"/>
        <s v="Florida Pet Owner"/>
        <s v="frank giuliano"/>
        <s v="Ken"/>
        <s v="GLORIA NAVARRO"/>
        <s v="HR"/>
        <s v="Frank Marmolejo"/>
        <s v="mmaynard119"/>
        <s v="DAVID CROYLE"/>
        <s v="DEBORAH CAUDILL"/>
        <s v="ERIC GREENE"/>
        <s v="SHERRY BISHOP"/>
        <s v="PAUL ROCHA"/>
        <s v="Pat in Rochester, NY"/>
        <s v="Sarah Gabbard"/>
        <s v="EIRENE A."/>
        <s v="TERRY CLARK"/>
        <s v="Cindy L Stanbery"/>
        <s v="ROBERT CLARK"/>
        <s v="DJ"/>
        <s v="Shawn"/>
        <s v="Noel Truty"/>
        <s v="BILL LOH"/>
        <s v="pdo"/>
        <s v="JO"/>
        <s v="Candice Boggs"/>
        <s v="Stewart Smith"/>
        <s v="JODI"/>
        <s v="MARY ANNE BRUESEWITZ"/>
        <s v="Christina"/>
        <s v="RICHARD LUCAS"/>
        <s v="melissa wilhelm"/>
        <s v="PATRICK ST JOHN"/>
        <s v="JustAnswer Customer"/>
        <s v="D. W."/>
        <s v="MICHELLE B."/>
        <s v="Need Food at Least within a We"/>
        <s v="BOBBI MCRAE"/>
        <s v="KK"/>
        <s v="LSW"/>
        <s v="STEVEN/DINA LEWIS"/>
        <s v="DONALD RALPH"/>
        <s v="Ol"/>
        <s v="Sharlene Manore"/>
        <s v="sngfever"/>
        <s v="BeePaloma"/>
        <s v="MIKE STONE"/>
        <s v="MIKE WARDER"/>
        <s v="Richard Scalzo"/>
        <s v="HARUMI JOHNSON"/>
        <s v="ASHLEY YOUNGER"/>
        <s v="BRUCE CORCORAN"/>
        <s v="Karen Denike"/>
        <s v="adrienne bates"/>
        <s v="Carla Reed"/>
        <s v="M Miller"/>
        <s v="DOROTHY ZEIGLER"/>
        <s v="DEBBY OYLER"/>
        <s v="LISA WIESENAUER"/>
        <s v="JAM"/>
        <s v="ALBERT FRANZONE"/>
        <s v="RONALD VERHAGEN"/>
        <s v="Anthony"/>
        <s v="Brian Ensign"/>
        <s v="SHARON COKER"/>
        <s v="Dave Teague"/>
        <s v="Barbara Hughes Sell"/>
        <s v="Georgia A."/>
        <s v="DINA SHACKELFORD"/>
        <s v="AMY TALBERT"/>
        <s v="ROBERT BOWSER"/>
        <s v="John Mikash"/>
        <s v="Valeria"/>
        <s v="Joseph Layne"/>
        <s v="DIANA DECKER"/>
        <s v="STEVE WERDA"/>
        <s v="THOMAS BECK"/>
        <s v="SCOTT GELLMAN"/>
        <s v="Shelley Khoury"/>
        <s v="SIERRA CAGLE"/>
        <s v="LeeAnn Harmening"/>
        <s v="maggie"/>
        <s v="Hyun Whyte"/>
        <s v="William Ludewig, Cave Creek, AZ"/>
        <s v="Rosalie"/>
        <s v="Patricia Hawks"/>
        <s v="TAMMY BROWN"/>
        <s v="ivaluem"/>
        <s v="MONICA SNAPE"/>
        <s v="Michelle"/>
        <s v="KIM HILAND"/>
        <s v="JOYCE SHIPMAN"/>
        <s v="Wendy Call"/>
        <s v="Allison Baird"/>
        <s v="Thomas Popp"/>
        <s v="Eilene B"/>
        <s v="GreenFlyingDragon"/>
        <s v="VIVIAN M"/>
        <s v="MERYL DATTOLICO"/>
        <s v="NANCY ALVEY"/>
        <s v="SUSAN B MUELLER"/>
        <s v="Patti"/>
        <s v="Reviewer"/>
        <s v="REBECCA EIMERMAN"/>
        <s v="Sarita Miller"/>
        <s v="KELLI DOUGLASS"/>
        <s v="RG THOMAS"/>
        <s v="BETTY SHAFFER"/>
        <s v="Tammy A. Bayes"/>
        <s v="Gm"/>
        <s v="TODD TWEDT"/>
        <s v="LYNNEA DALE"/>
        <s v="SH"/>
        <s v="MARIANNE GURAN"/>
        <s v="Mcintyre, Linda"/>
        <s v="Lorraine Castelain"/>
        <s v="Amanda B."/>
        <s v="MARK BROWN"/>
        <s v="RONNIE"/>
        <s v="SHIRLEY MOSES"/>
        <s v="Stacey Bauman"/>
        <s v="ANN KNAUER"/>
        <s v="Georgann"/>
        <s v="KATE KENNER"/>
        <s v="SAMANTHA POUSSON"/>
        <s v="Jeff Thomas"/>
        <s v="MICHELLE DAOUST"/>
        <s v="Colleen Wagoner"/>
        <s v="MARCELLINE FREDETTE"/>
        <s v="Betsy"/>
        <s v="K CARPENTER"/>
        <s v="Linda Nichols"/>
        <s v="LINDA HENSLEY"/>
        <s v="JULIE TRUETT"/>
        <s v="Michelle Day"/>
        <s v="GIDGET"/>
        <s v="Grams"/>
        <s v="GAEL DIDLOFF"/>
        <s v="MICHAEL S."/>
        <s v="JHR"/>
        <s v="KEVIN WALSH"/>
        <s v="Bonnie Sparmblack"/>
        <s v="BETH ANDERSON"/>
        <s v="VINCIE SOYARS"/>
        <s v="magdala cruz"/>
        <s v="The Phone Guy"/>
        <s v="JESSICA CHILDERS"/>
        <s v="Denise M."/>
        <s v="Rhea"/>
        <s v="CAROL BERDAR"/>
        <s v="Crystelyn Guererri"/>
        <s v="SKIP WOODRUFF"/>
        <s v="Not a happy customer"/>
        <s v="Sandra Sturgeon"/>
        <s v="JENNIFER NELSON"/>
        <s v="ks"/>
        <s v="NANCY CARRINGTON"/>
        <s v="DEBORAH MAY DUNN"/>
        <s v="TOM HYNES"/>
        <s v="HEATHER HUNT"/>
        <s v="Wooly"/>
        <s v="SR"/>
        <s v="Veronica"/>
        <s v="ELISETE AMARAL"/>
        <s v="ESTEFANIA CANTERO"/>
        <s v="Suzanne Mattiello"/>
        <s v="ASHLEY E"/>
        <s v="Eugene ORourke"/>
        <s v="SUSANNA BJORNSSON"/>
        <s v="JACK A."/>
        <s v="frani C., New Jersey"/>
        <s v="Sharon Hubert"/>
        <s v="AMY BURRIS"/>
        <s v="Lakelady"/>
        <s v="Claire A"/>
        <s v="BARRON BASZTO"/>
        <s v="Kim Surber Hacker"/>
        <s v="Mellie"/>
        <s v="CINDY"/>
        <s v="EP"/>
        <s v="Albert Buys"/>
        <s v="JAKE ONEILL"/>
        <s v="Michele Heile"/>
        <s v="TERI LISPI"/>
        <s v="DEBORAH J-B"/>
        <s v="PJ"/>
        <s v="JEB"/>
        <s v="JUDY BARRICK"/>
        <s v="RENEE NEACE"/>
        <s v="Karrie"/>
        <s v="Kate Shearer"/>
        <s v="A.M."/>
        <s v="IRENE"/>
        <s v="for your order"/>
        <s v="Sacajawea"/>
        <s v="Rosa"/>
        <s v="Cheryl Appel"/>
        <s v="DIANE GAIDRY"/>
        <s v="Qismat Sherani"/>
        <s v="TOKIO KUNIYOSHI"/>
        <s v="THERESA ESPEY"/>
        <s v="AIXA BRINER"/>
        <s v="R.P."/>
        <s v="ED BERTARELLI"/>
        <s v="Natalie J"/>
        <s v="BRENDA FERNANDEZ"/>
        <s v="Wynn Wasinger"/>
        <s v="DAN SPIVEY"/>
        <s v="Sharon Viellenave"/>
        <s v="CAROL GREENFIELD"/>
        <s v="MARK KUTSCHINSKI"/>
        <s v="CINDY ALOI"/>
        <s v="NATALIE GREEN"/>
        <s v="Brenda Grimmett"/>
        <s v="MIMI CREVELLO"/>
        <s v="ANITA LEAKEY"/>
        <s v="Ralph Burton"/>
        <s v="DALE NEWBY"/>
        <s v="A KING"/>
        <s v="Judie"/>
        <s v="DAna"/>
        <s v="Jerry Marshall"/>
        <s v="STEPHEN ADDO JR."/>
        <s v="Stow Cat Mom"/>
        <s v="azkas"/>
        <s v="Coop"/>
        <s v="JILL EAGLES"/>
        <s v="CECELIA ROMAN"/>
        <s v="BRADLEY SMITH"/>
        <s v="LP"/>
        <s v="WENDY RAPOSA"/>
        <s v="KARI GORZNY"/>
        <s v="K. Hechinger"/>
        <s v="MAGGIE C"/>
        <s v="DIANA TSCHANTRE"/>
        <s v="Kc Dee"/>
        <s v="JOANNA S"/>
        <s v="PAUL LALENA"/>
        <s v="Njdeb"/>
        <s v="ANNA HOMER"/>
        <s v="KPabst"/>
        <s v="laurie"/>
        <s v="Delilah Vohnoutka"/>
        <s v="ALVIN"/>
        <s v="IGOR MITROVIC"/>
        <s v="FlipTide"/>
        <s v="Katty"/>
        <s v="A consumer"/>
        <s v="NEIL ROWAN"/>
        <s v="RALPH PASTOR"/>
        <s v="TRACY SPLAIN"/>
        <s v="Lish"/>
        <s v="HANNAH CURRIE"/>
        <s v="RAYDIAS BOX HILDRETH"/>
        <s v="Bob"/>
        <s v="Dolores Davis"/>
        <s v="arnold gerber"/>
        <s v="LISA GONZALEZ"/>
        <s v="JBaj"/>
        <s v="Jerome Loewenstein"/>
        <s v="Ginger"/>
        <s v="Marcie Garn"/>
        <s v="Claire Goodwin"/>
        <s v="Patricia Nissenbaum/Don Childs"/>
        <s v="beans"/>
        <s v="dgi"/>
        <s v="RICHARD BUCKWALTER"/>
        <s v="FRAN DAVIS"/>
        <s v="Ktrekker"/>
        <s v="Charlene R. Glover"/>
        <s v="C B"/>
        <s v="VICKIE BYRNE"/>
        <s v="MARISA BERNAL"/>
        <s v="GLO WILLIAMS"/>
        <s v="KATHERINE SAMPSON"/>
        <s v="SB"/>
        <s v="Trace W"/>
        <s v="Krissy"/>
        <s v="Noella"/>
        <s v="FRANCES DOLMAGE"/>
        <s v="John Plato"/>
        <s v="Johanna Jimenez"/>
        <s v="PRISCILLA BASHINSKI"/>
        <s v="Mass Cat Mom"/>
        <s v="Sam"/>
        <s v="BRIAN SANTISTEFAN"/>
        <s v="RICHARD FINE"/>
        <s v="L GRAY"/>
        <s v="AG"/>
        <s v="KERRI SIVITS"/>
        <s v="Christopher Newman"/>
        <s v="Walter Baile"/>
        <s v="DAVID BROWN"/>
        <s v="Charles Dodge"/>
        <s v="JINE GLEASON"/>
        <s v="Timothy John"/>
        <s v="DIANE MCNAMANON"/>
        <s v="Mario Barros"/>
        <s v="Sonja .Norberg-Sanchez"/>
        <s v="Stacey Dorenfeld"/>
        <s v="Best Buddies Dog Training LLC"/>
        <s v="MARGARET PIERSON"/>
        <s v="GERALD GILMORE"/>
        <s v="JOE LOZANO"/>
        <s v="CHIPIS"/>
        <s v="Kellie"/>
        <s v="SHARON BIONE"/>
        <s v="Jean McAdams"/>
        <s v="CHRISTINE G."/>
        <s v="David Y"/>
        <s v="KATHERINE HUH"/>
        <s v="MAXINE STANLEY"/>
        <s v="An owner of an elderly cat"/>
        <s v="BARBARA HOLTZ"/>
        <s v="ROBERTO FRADERA"/>
        <s v="JOE"/>
        <s v="Jessica"/>
        <s v="Denica Luger"/>
        <s v="Barb Skaer"/>
        <s v="Rudi"/>
        <s v="EVAN J"/>
        <s v="DORIS S."/>
        <s v="Lotsokats"/>
        <s v="MICHELLE RAMDEHOLL"/>
        <s v="PETER O'NEIL"/>
        <s v="LAURA COMO"/>
        <s v="HAYLEY S"/>
        <s v="Susan D"/>
        <s v="DEBBY"/>
        <s v="Jen"/>
        <s v="LEOLA ADCOCK"/>
        <s v="JOHN DEAN"/>
        <s v="Bonnie Brock"/>
        <s v="LEYLA KOCAOGLU"/>
        <s v="TAMMI BERTO"/>
        <s v="LAURIE DOUTHIT"/>
        <n v="988091.0"/>
        <s v="DENISE SIERPUTOWSKI"/>
        <s v="S McG"/>
        <s v="LORI WILLIAMS"/>
        <s v="SHark"/>
        <s v="Tom H."/>
        <s v="LYNN FLETCHER"/>
        <s v="CAROL TSCHIDA"/>
        <s v="DAVID SCHMITZ"/>
        <s v="Dobermom"/>
        <s v="Bob Sordyl"/>
        <s v="Michael Novak"/>
        <s v="CHARLES MACDONALD"/>
        <s v="Karen Riveros"/>
        <s v="SUSAN BARTON"/>
        <s v="A customer"/>
        <s v="Yvonne"/>
        <s v="Barbara Granger"/>
        <s v="TAMYIE WILSON"/>
        <s v="IAN SEALEY"/>
        <s v="NANCY MCDONALD"/>
        <s v="DEBORAH NUTTING"/>
        <s v="Nuni"/>
        <s v="AMY JAMES"/>
        <s v="Karen Heroy"/>
        <s v="JEANETTE BARTRAM"/>
        <s v="THOMAS MAURO"/>
        <s v="Betty"/>
        <s v="Jyen"/>
        <s v="Wendy"/>
        <s v="SARAH WILLIAMS"/>
        <s v="STEPHANIE BARNARD"/>
        <s v="KATHLEEN RAPP"/>
        <s v="LNZ BUSINESS COMPANY LLC"/>
        <s v="Elizabeth Alvarez-Chan"/>
        <s v="Susan Carson"/>
        <s v="Wanda Casey-Dicks"/>
        <s v="NANCY STEINBACH"/>
        <s v="MARY ANN LEIBOWITZ"/>
        <s v="Brandee"/>
        <s v="LRS"/>
        <s v="DONNA OSTLER"/>
        <s v="KAREN DIEHL"/>
        <s v="Lisamarie bernardo"/>
        <s v="NANCY BELLIA"/>
        <s v="Pam Whitehead"/>
        <s v="Wayne Reux"/>
        <s v="nek"/>
        <s v="CAROL LEVIN"/>
        <s v="JOHN SHAW"/>
        <s v="LENORE NEWSOM"/>
        <s v="R. Neil Wolford Jr."/>
        <s v="bob N"/>
        <s v="ALVIN BOYD"/>
        <s v="Connie"/>
        <s v="Kimberly Senackerib"/>
        <s v="LINDA WILLEY"/>
        <s v="Marcia Randazzo"/>
        <s v="CHRISTINE B"/>
        <s v="LAURA CLARK"/>
        <s v="jana dickey"/>
        <s v="PATRICIA BOWMAN"/>
        <s v="David Lease"/>
        <s v="EILEEN K."/>
        <s v="TONE THORSTENSON"/>
        <s v="LINDA STIMSON"/>
        <s v="JACQUELINE HUNTER"/>
        <s v="Becky Sparks"/>
        <s v="James D"/>
        <s v="RHINA PEREA"/>
        <s v="ARDATH ALBIZO"/>
        <s v="Cathy Thomas"/>
        <s v="HOPE PAYAN"/>
        <s v="DEBRA PATTERSON"/>
        <s v="DENISE RUSSELL"/>
        <s v="Carol Stewart"/>
        <s v="JW"/>
        <s v="SARAH LITCHFIELD"/>
        <s v="Dave"/>
        <s v="MARY JO MOOR"/>
        <s v="Dolores"/>
        <s v="PAMF"/>
        <s v="Beth Mirsky"/>
        <s v="SUSAN MONDIE"/>
        <s v="ANDREW"/>
        <s v="MICKEY"/>
        <s v="JAMES SMITH"/>
        <s v="LANI NOLAN"/>
        <s v="Tracy West"/>
        <s v="Sugar"/>
        <s v="E THOMAS"/>
        <s v="CINDA DAVIS"/>
        <s v="Cilia Lopez"/>
        <s v="BARBARA TRAPASSO"/>
        <s v="Edmund Dibenedetto"/>
        <s v="Susanne"/>
        <s v="Carolyn"/>
        <s v="mary wachenheim"/>
        <s v="RONALD IZZO"/>
        <s v="JEAN HIRSCH"/>
        <s v="S Lucas"/>
        <s v="Antony Mercer"/>
        <s v="LAR"/>
        <s v="Otis’s Mom"/>
        <s v="Karen.Frongello, San Diego, CA"/>
        <s v="GLENDA LEDFORD"/>
        <s v="Nancy+Green"/>
        <s v="NANCY BALDWIN"/>
        <s v="Jenn Alling"/>
        <s v="Peggy"/>
        <s v="DUSTEE COPENHAVER"/>
        <s v="AW"/>
        <s v="Patricia Netzer"/>
        <s v="HALEY METZLER"/>
        <s v="Rob Galanakis"/>
        <s v="Lorene Perotti"/>
        <s v="Meaghan V"/>
        <s v="Thomas Oswald"/>
        <s v="LYNN ERICKSON"/>
        <s v="ESTHER FREEMAN"/>
        <s v="JAY HANKIN"/>
        <s v="PAM BELTZ"/>
        <s v="CARRIE MCLAUGHLIN"/>
        <s v="JENNIFER SMITH-LUM"/>
        <s v="BRUCE WHITE"/>
        <s v="MARIA ANAYA"/>
        <s v="David Guldenstern"/>
        <s v="Renee"/>
        <s v="WILLIAM PHEE"/>
        <s v="KATHERINE DECKER"/>
        <s v="HC"/>
        <s v="Brian Drinkwine"/>
        <s v="Destiny W."/>
        <s v="Doggie"/>
        <s v="Angie"/>
        <s v="MARYANN LEWIS"/>
        <s v="SHARON MACDERMOTT"/>
        <s v="Oscar"/>
        <s v="Keith Morgan"/>
        <s v="CAMILLE BARTCZAK"/>
        <s v="ahmad abudiab"/>
        <s v="Happy Shopper"/>
        <s v="Szeleziatko"/>
        <s v="Nichole"/>
        <s v="MOLLY ANDERSON"/>
        <s v="CHRISTINE CINAGLIA"/>
        <s v="Madelaine Sutphin"/>
        <s v="NISHAT HOSSAIN"/>
        <s v="TRUDY BAUER"/>
        <s v="Rene"/>
        <s v="LYNN AGOSTI"/>
        <s v="SHARMAN CASEY"/>
        <s v="Ronald B Reid"/>
        <s v="HEATHER SPRUILL"/>
        <s v="TAMARA EISELE"/>
        <s v="EDGAR MCKENNEY"/>
        <s v="JANET RESSEGUIE-SAHL"/>
        <s v="PRESTON ADAMS"/>
        <s v="MARGRET C"/>
        <s v="ED CILUMBRELLO"/>
        <s v="WENDY B"/>
        <s v="Sheila Sherok Dandurand-Williams"/>
        <s v="CASSIDY"/>
        <s v="DOLORES LEWIS-WELLMAN"/>
        <s v="Baxter"/>
        <s v="HOWARD WARDEN"/>
        <s v="SAFFRON'S CAT-MOM"/>
        <s v="Lucila Cedron"/>
        <s v="COLLEEN MARTIN"/>
        <s v="JAMES ADEN"/>
        <s v="Steve K."/>
        <s v="DONNA PAGE"/>
        <s v="Keith"/>
        <s v="RONALD COHEN"/>
        <s v="MOLLY GORMAN"/>
        <s v="JENNIFER HOWE"/>
        <s v="P S."/>
        <s v="Pixie"/>
        <s v="Loyal Petflow Customer"/>
        <s v="Bonnie"/>
        <s v="R. Baker"/>
        <s v="Lisa Henderson"/>
        <s v="Sherry M"/>
        <s v="K. B."/>
        <s v="RENZO CASAFRANCA"/>
        <s v="Vila in Frisco, TX"/>
        <s v="NORMAN"/>
        <s v="JACQUELINE DIAZ"/>
        <s v="LYNN-JO CANTOR"/>
        <s v="CARA FREEMAN"/>
        <s v="MARI ESCHENBAUM"/>
        <s v="SUSAN LEVINSOHN"/>
        <s v="LEO VIDES"/>
        <s v="Susan peters"/>
        <s v="Hanne's Mama"/>
        <s v="Jory"/>
        <s v="Prefer to remain anonymous"/>
        <s v="Ceil"/>
        <s v="JULIE BYRNES"/>
        <s v="PATRICIA CHRISTENSON"/>
        <s v="INGRID STECKER"/>
        <s v="JASON"/>
        <s v="MICHELLE DEPIETRO"/>
        <s v="WILLIAM ALEXANDER"/>
        <s v="JENNIFER PEOPLES"/>
        <s v="JOSHUA SHELTON"/>
        <s v="GINNY P."/>
        <s v="Kimberly A Meyers"/>
        <s v="JEANETH RINCON"/>
        <s v="HEATHER BISHOP"/>
        <s v="LEL"/>
        <s v="SANDY MASON"/>
        <s v="Rachel Sheedy"/>
        <s v="DANNY WAGNER"/>
        <s v="jeanie johnson"/>
        <s v="Mary Ellen Graves"/>
        <s v="JEAN COSTANZI"/>
        <s v="TRINI V"/>
        <s v="ANTHONY DELUCA"/>
        <s v="CARL ACKERMANN"/>
        <s v="Lynne Rudwick"/>
        <s v="William Vonderohe"/>
        <s v="BARBARA WEGNER"/>
        <s v="Lori Antz Doyle"/>
        <s v="MADELiNE"/>
        <s v="GB"/>
        <s v="AnnaHope"/>
        <s v="MURIEL SAARI"/>
        <s v="tjm"/>
        <s v="Suzin"/>
        <s v="BRITTANY S"/>
        <s v="FELIX BENITEZ"/>
        <s v="Julie O."/>
        <s v="CHARLENE ALEXANDER"/>
        <s v="Phatdog"/>
        <s v="JORGE SANCHEZ"/>
        <s v="RUTH CHAPMAN"/>
        <s v="Glenn Henry"/>
        <s v="DARR"/>
        <s v="FELIPE LOPEZ"/>
        <s v="RUTH HAMILTON"/>
        <s v="ct"/>
        <s v="KELSI PENA"/>
        <s v="JODY LANCASTER"/>
        <s v="Randy Lieberg"/>
        <s v="VALERIE LEVULETT"/>
        <s v="DAWN BEATTY"/>
        <s v="DONNA FRANCHIMON"/>
        <s v="FRANCINE BUTLER"/>
        <s v="PATRICIA JOHNSTON"/>
        <s v="JULES"/>
        <s v="Dale DiNardo"/>
        <s v="Kelli Farmer"/>
        <s v="SHERRY MORRIS"/>
        <s v="SHARON GABRIELSON"/>
        <s v="PATRICIA HUNT"/>
        <s v="CHAD HAVERSTICK"/>
        <s v="BRENDA RIDGE"/>
        <s v="L Holmberg"/>
        <s v="LARA ZINTSMASTER"/>
        <s v="GEORGE TINKLIN"/>
        <s v="Margaret Birns"/>
        <s v="Lakeya"/>
        <s v="Laurena Gatlin"/>
        <s v="JENA HARRIS"/>
        <s v="ALISON G"/>
        <s v="HARVEY HAUN"/>
        <s v="Elliot Garcia"/>
        <s v="Madison K"/>
        <s v="DONNA C"/>
        <s v="Amanda O"/>
        <s v="Barb V."/>
        <s v="ELAINE PASCOAL"/>
        <s v="PEPPA"/>
        <s v="Milagros"/>
        <s v="CINDY HALLEN"/>
        <s v="VICTORIA BLEVINS"/>
        <s v="CJ"/>
        <s v="CHEYENNE"/>
        <s v="SAMANTHA SKINNER"/>
        <s v="Gary Dexter"/>
        <s v="MEGAN M"/>
        <s v="ALAN ZELLER"/>
        <s v="Charles Herold"/>
        <s v="SUSAN WHITAKERHILL"/>
        <s v="GAIL MITCHELL"/>
        <s v="CARMEN RUBY BECK"/>
        <s v="Terry Frum"/>
        <s v="Izzy"/>
        <s v="TRISHA ROBINSON"/>
        <s v="SUSAN QUIRK"/>
        <s v="dog owner"/>
        <s v="Carol Kner"/>
        <s v="LUBOS ANDEL"/>
        <s v="Ernie"/>
        <s v="LAURA COLDREN"/>
        <s v="TAVMEET"/>
        <s v="PH"/>
        <s v="RACHEL SEALE"/>
        <s v="Carroll Griesedieck"/>
        <s v="Cheryl Roberts"/>
        <s v="BRIAN BROWN"/>
        <s v="Joey lee"/>
        <s v="JULIE KUNITADA"/>
        <s v="Karla Clippinger"/>
        <s v="MELODY BARRETT"/>
        <s v="RITA CARON"/>
        <s v="Snowman"/>
        <s v="DENISE DAVIS"/>
        <s v="Kristy"/>
        <s v="BERNADETTE BRUNO"/>
        <s v="Lindsey and Pip"/>
        <s v="ELIZABETH ALI"/>
        <s v="ELSA ABILEZ"/>
        <s v="Ellen J."/>
        <s v="Trina"/>
        <s v="MARIANNE BURDICK"/>
        <s v="PAUL NOONE"/>
        <s v="SANDRA STEPHON"/>
        <s v="CHARLES RHODES"/>
        <s v="Cheryl Zalenski"/>
        <s v="SHELLER WILLETT"/>
        <s v="Anita and Diva"/>
        <s v="THOMAS MCNEIL"/>
        <s v="Zac"/>
        <s v="Sonia S."/>
        <s v="Priscilla Cerdas"/>
        <s v="quincy"/>
        <s v="HELEN KWOK"/>
        <s v="DEANA M MARKET"/>
        <s v="Carl Desmond"/>
        <s v="JESS OLSON"/>
        <s v="Persefini A. Redden"/>
        <s v="TAMARA DACKEN"/>
        <s v="LEEANN"/>
        <s v="Trish M"/>
        <s v="NICOLE HALE"/>
        <s v="GAYLE ANDRIANI"/>
        <s v="David Elfin"/>
        <s v="MARY ANGELIA COYLE"/>
        <s v="JrsNonna"/>
        <s v="choc dog"/>
        <s v="Sherman Shart"/>
        <s v="UNITED STATES"/>
        <s v="LISA HAYES"/>
        <s v="CAROL S"/>
        <s v="Gail Sheffer"/>
        <s v="JM"/>
        <s v="Cecelia Duvall"/>
        <s v="PATRICK WILLER"/>
        <s v="JANET STARD"/>
        <s v="cheryl dettmers"/>
        <s v="WYNNE GUGLIELMO"/>
        <s v="JAN WILLIAMS"/>
        <s v="C. Kegley"/>
        <s v="SUSAN WICKES"/>
        <s v="MARY-LOU ROBERTS"/>
        <s v="JEANINE EDLER"/>
        <s v="ElleJay"/>
        <s v="VINCENT DIPIETRO"/>
        <s v="Sherrie"/>
        <s v="DZIANIS SAZANCHUK"/>
        <s v="JEAN SMITH"/>
        <s v="PAUL BROUILLETTE"/>
        <s v="SHERRY"/>
        <s v="JODY HUNT"/>
        <s v="LORI LAMEY"/>
        <s v="Alice Cheren"/>
        <s v="SUSAN MORTENSEN"/>
        <s v="ROBIN ABBOTT"/>
        <s v="BRENDAN"/>
        <s v="Mike Gehring"/>
        <s v="ARTURO SANTAELLA"/>
        <s v="JAN UNDERWOOD"/>
        <s v="FELICIA WOOD"/>
        <s v="C. L"/>
        <s v="M"/>
        <s v="LORRAINE FERGUSON"/>
        <s v="Raymond"/>
        <s v="KC"/>
        <s v="JACLYN F"/>
        <s v="DAN MANCHESTER"/>
        <s v="RON HAUSER"/>
        <s v="EA"/>
        <s v="Bradley Grubbs"/>
        <s v="customer Sally"/>
        <s v="LEE RUNDALL"/>
        <s v="ELIZABETH CARUSO"/>
        <s v="MsNora"/>
        <s v="Avi"/>
        <s v="Sharon Eagle"/>
        <s v="Anne H. San Antonio TX"/>
        <s v="SUSAN SMITH"/>
        <s v="SHARI COSTANEY"/>
        <s v="LYDIO DEMA-ALA"/>
        <s v="MG - NY"/>
        <s v="Luis De Los Santos"/>
        <s v="Suzette Mahneke"/>
        <s v="JOHN WYNN"/>
        <s v="FRED S"/>
        <s v="SHEREE TURNBULL"/>
        <s v="KATIE JOHNSON"/>
        <s v="RENA"/>
        <s v="DENISE BURAN"/>
        <s v="Susan Dolstra"/>
        <s v="APRIL RITCHOTTE"/>
        <s v="MICKEY MITTONG"/>
        <s v="Linda Borders"/>
        <s v="CAROL SUTTON"/>
        <s v="Patty Heineck"/>
        <s v="Janice DeMadona"/>
        <s v="KENDEL M"/>
        <s v="CHERYL BROCKINGTON"/>
        <s v="JENNY PERKINS"/>
        <s v="ELISABETH"/>
        <s v="Candice"/>
        <s v="DEAN KOPP"/>
        <s v="LISA PEET"/>
        <s v="JASON DRAKE"/>
        <s v="Mallory"/>
        <s v="Erik Foubert"/>
        <s v="JOAN ABRAHAMSON"/>
        <s v="FAINA LEKAKH"/>
        <s v="RYAN STACKHOUSE"/>
        <s v="Kourosh Massarat"/>
        <s v="Dott"/>
        <s v="ISABELLA"/>
        <s v="PAM COYNE"/>
        <s v="Elisabeth Ellis"/>
        <s v="CAROLE HUMENCHUK"/>
        <s v="LYNNE"/>
        <s v="Irene Hagen"/>
        <s v="SHARON DICKSON"/>
        <s v="Dr. Bodly"/>
        <s v="Jeanice"/>
        <s v="sll"/>
        <s v="CINDY ORIN"/>
        <s v="MARY TAYLOR"/>
        <s v="MEGHAN PARKER"/>
        <s v="Gerard"/>
        <s v="DANIELLE CORNING"/>
        <s v="Kathy Goddard"/>
        <s v="Joan Paris"/>
        <s v="JACKIE BERMAN"/>
        <s v="SANDRA REED"/>
        <s v="SHARYL AMOVITZ"/>
        <s v="Retail shopper"/>
        <s v="MAUREEN HUDSON"/>
        <s v="Colette"/>
        <s v="Danille Weaver"/>
        <s v="Olivia Larsson"/>
        <s v="LAURA HUNT"/>
        <s v="SUSAN L FREDERICKSON"/>
        <s v="TOM BATCHELLER"/>
        <s v="LUCIA LONGENBACH"/>
        <s v="JEAN HAVENS"/>
        <s v="James Moore"/>
        <s v="SANDRA W"/>
        <s v="Tucker Wilson"/>
        <s v="Waiting"/>
        <s v="BETH"/>
        <s v="JAN KISSKO"/>
        <s v="MARGUERITE KAZALAS"/>
        <s v="Sagarika Devarakonda"/>
        <s v="MICHELLE BOLES"/>
        <s v="DEBRA WILLIAMS"/>
        <s v="DIANE MELLOTT"/>
        <s v="Ken Williams"/>
        <s v="SANDE KING"/>
        <s v="RAECHELLE FREEMAN"/>
        <s v="SUSAN LUE"/>
        <s v="Greg Hyde"/>
        <s v="ANDREA AMOROSI"/>
        <s v="VIRGINIA LOCKNER"/>
        <s v="vtlabladi"/>
        <s v="C PALKIMAS"/>
        <s v="DINAH STEVENS"/>
        <s v="TAMMY FRONTERA"/>
        <s v="JJG Florida &amp; Connecticut"/>
        <s v="pernilleH"/>
        <s v="PHILIP H"/>
        <s v="GORDON SLOAN"/>
        <s v="MARGIE SWARTZ"/>
        <s v="Chance’s Grammy"/>
        <s v="Gary S"/>
        <s v="VICKYE MIKE AND COWBOY GALLOWA"/>
        <s v="GAIL BLATTLER"/>
        <s v="AMANDA DEPIERRO"/>
        <s v="MARY PERKINS"/>
        <s v="FRANCES BROWNE"/>
        <s v="BRITTNEY G"/>
        <s v="CHRISTY OWNBEY"/>
        <s v="Elaine Donohue"/>
        <s v="TARA SMITH"/>
        <s v="MOLLY WERNER"/>
        <s v="DEREK"/>
        <s v="M. Davis"/>
        <s v="STAN FREED"/>
        <s v="mika2belove"/>
        <s v="BART"/>
        <s v="CAROLINE KINSEY"/>
        <s v="KAT G."/>
        <s v="HEIDI w"/>
        <s v="MARY EVANS"/>
        <s v="Randy Harden"/>
        <s v="DAVID GORDON"/>
        <s v="DONNA LARGENT"/>
        <s v="Jackie Rubino"/>
        <s v="SCOTT STEINER"/>
        <s v="TERRI ELLIOTT"/>
        <s v="CHRIS REAGAN"/>
        <s v="Louis"/>
        <s v="Jacque Jenkins"/>
        <s v="lulu"/>
        <s v="Mike Kellers"/>
        <s v="DEBORAH SPEARS"/>
        <s v="MYRNA STURGILL"/>
        <s v="ROXANNA RODRIGUEZ-JENKINS"/>
        <s v="PEGGY ALLEN"/>
        <s v="PAUL MONTEIRO MORTENSEN"/>
        <s v="ANNETTE LIPPMAN"/>
        <s v="JAMES MACARI"/>
        <s v="STEVE"/>
        <s v="me"/>
        <s v="Dale Paciotti"/>
        <s v="Kelly HECHINGER"/>
        <s v="B TAYLOR"/>
        <s v="D.J. WEBBER"/>
        <s v="SARA GONZALES"/>
        <s v="SANDRA S"/>
        <s v="Brack"/>
        <s v="Kathleen"/>
        <s v="JOSEPH RUDDY"/>
        <s v="ERIC SOMMER"/>
        <s v="GWYN GUILD"/>
        <s v="PAMELA GOTTHART"/>
        <s v="PAULA GOLDBERG"/>
        <s v="RI dog owner"/>
        <s v="MH"/>
        <s v="CHRISTINE HOWSE"/>
        <s v="RCS Nunya"/>
        <s v="BRENDA FLUHARTY"/>
        <s v="jim curtis"/>
        <s v="JODI FRIEDMAN"/>
        <s v="PHYLLIS ENMAN"/>
        <s v="ILONA GOMEZ"/>
        <s v="ROBERT TAYLOR"/>
        <s v="AMAR KAUR"/>
        <s v="JACQUELINE CARDOZA"/>
        <s v="AUDRA CHMIEL"/>
        <s v="Alex G."/>
        <s v="LESLIE GOODMAN"/>
        <s v="Joyceturney"/>
        <s v="ROY A."/>
        <s v="ARIELA"/>
        <s v="Renee Jones"/>
        <s v="DAVID MUROFF"/>
        <s v="SUSAN HARRIS"/>
        <s v="JANE BLACKMON"/>
        <s v="HL"/>
        <s v="THOMAS ROGERS"/>
        <s v="CAROLYN KENNEDY"/>
        <s v="PATSY STAIR"/>
        <s v="SANDY HAYS"/>
        <s v="LINDA VALENTE"/>
        <s v="PATRICIA SMITH"/>
        <s v="KIM R"/>
        <s v="GREGORY SCOTT"/>
        <s v="Pete Rector"/>
        <s v="EVERETT HOBBS"/>
        <s v="mary comer"/>
        <s v="KATHY DWYER"/>
        <s v="al"/>
        <s v="BRYAN"/>
        <s v="LINDA CISSEL"/>
        <s v="vincent"/>
        <s v="VICTORIA ORTIZ"/>
        <s v="LEANNA"/>
        <s v="DWAYNE B."/>
        <s v="SARAH LEWIS"/>
        <s v="MARY DREXLER"/>
        <s v="DAVID ROSENSTEIN"/>
        <s v="Marnie"/>
        <s v="Casey Adams"/>
        <s v="KATHRYN ROBERTS"/>
        <s v="bmmmm"/>
        <s v="Anne Medley"/>
        <s v="BO BENNETT"/>
        <s v="RICHARD KOCH"/>
        <s v="Na"/>
        <s v="Seb"/>
        <s v="Randy H"/>
        <s v="GSD Owner"/>
        <s v="ANNE KILLMAN"/>
        <s v="HOLLY G"/>
        <s v="MICHELE URBAN"/>
        <s v="Heidi Kins"/>
        <s v="Glenn Hazelwood II"/>
        <s v="REBECCA LEONGUERRERO"/>
        <s v="Suzanne TRAPANI"/>
        <s v="VICKIE BELT"/>
        <s v="LESLIE ADDIEGO"/>
        <s v="DENICE FRENCH"/>
        <s v="JENNIFER HUGHES"/>
        <s v="CHARLES APLIGIAN"/>
        <s v="DANIELLE W."/>
        <s v="Vicki Wilson"/>
        <s v="EDWARD GALE"/>
        <s v="JEWEL ARMSTRONG"/>
        <s v="JOANN K CRAFT"/>
        <s v="CRAIG EDNEY"/>
        <s v="SHAWN SKUNCA"/>
        <s v="Paul in South Jersey"/>
        <s v="GAIL JOMAOAS"/>
        <s v="VIVIAN BAYLOR"/>
        <s v="TINA R"/>
        <s v="STEPHANIE"/>
        <s v="CAROLANN AUGER"/>
        <s v="SHIRLEY MARCH"/>
        <s v="CCools"/>
        <s v="Myra Cromer"/>
        <s v="RITA SWINFORD"/>
        <s v="William Wehrle"/>
        <s v="JOSEPH T"/>
        <s v="MARCIA ROTH"/>
        <s v="CONNIE KANE"/>
        <s v="DIANE DUGGER"/>
        <s v="SUSAN MURPHY"/>
        <s v="KATHY HART"/>
        <s v="LISA BELAJAC"/>
        <s v="MILES KUDO"/>
        <s v="AH"/>
        <s v="Deborah Pines"/>
        <s v="CHARLENE STEWART"/>
        <s v="jazan"/>
        <s v="Leila"/>
        <s v="Debb"/>
        <s v="Gordon"/>
        <s v="Buddy's mom"/>
        <s v="Selena G Matelich"/>
        <s v="DAN CHRISINGER"/>
        <s v="Laura Bartlett"/>
        <s v="Westie Mom"/>
        <s v="PAMELA BACON"/>
        <s v="MALLORY EVRON"/>
        <s v="LESLIE"/>
        <s v="Sofie Dogie"/>
        <s v="BR"/>
        <s v="Leila A"/>
        <s v="NS"/>
        <s v="Monica R Harris"/>
        <s v="MARTHA WALLACE"/>
        <s v="Cyndy Raeshke"/>
        <s v="ERIC PERKINS"/>
        <s v="JANE HENDERSON"/>
        <s v="Tcrc"/>
        <s v="Shane Oksanen"/>
        <s v="Mary Lou"/>
        <s v="DORIS SHEINFELD"/>
        <s v="TENZIN YONTEN"/>
        <s v="DEBRA G"/>
        <s v="JOHN DANIELS"/>
        <s v="Theresa H"/>
        <s v="GREG REED"/>
        <s v="VLA"/>
        <s v="Kirsten"/>
        <s v="Gary Trevillyan"/>
        <s v="Jean Anne"/>
        <s v="TomD"/>
        <s v="NEITA BUSCHER"/>
        <s v="RITA MILLER"/>
        <s v="DEBORAH B."/>
        <s v="Sandee"/>
        <s v="Mona Berrier"/>
        <s v="RJ Koser"/>
        <s v="ALISHA R"/>
        <s v="LINDA M"/>
        <s v="JOE BOLINO"/>
        <s v="SKYE RABEL"/>
        <s v="Debra L."/>
        <s v="SUSAN S"/>
        <s v="LISA C."/>
        <s v="PAULETTE HAWKINS"/>
        <s v="BRIGITTE LEEMAN"/>
        <s v="freneticminde"/>
        <s v="ISABEL CAMPBELL"/>
        <s v="CHRISTINE DEMERS"/>
        <s v="Foster mom"/>
        <s v="Helen pero"/>
        <s v="dw"/>
        <s v="S. Cat"/>
        <s v="Candy Horn"/>
        <s v="ROBERT DEVICARIIS TORREY"/>
        <s v="J Jarvis"/>
        <s v="SARAH K"/>
        <s v="Dave Fishman"/>
        <s v="Lisa G"/>
        <s v="BO SMITH"/>
        <s v="Mike Allis"/>
        <s v="VN"/>
        <s v="BRANDON R"/>
        <s v="RUTH PETRUCCI"/>
        <s v="Constance"/>
        <s v="JULIANA GALSON"/>
        <s v="Kona and Big D’S mom"/>
        <s v="PATTI ELLIS"/>
        <s v="Catherine Rust"/>
        <s v="HEATHER MCCARTY"/>
        <s v="NEWT PEARSON"/>
        <s v="Marguerite"/>
        <s v="tanu"/>
        <s v="SANDRA K"/>
        <s v="Joann Starks"/>
        <s v="MONICA DANFORTH"/>
        <s v="GLW"/>
        <s v="Jay"/>
        <s v="Z Guzman"/>
        <s v="James Hayden"/>
        <s v="Holly Robinson"/>
        <s v="BARBARA TUMMINELLI"/>
        <s v="Jess Rodriguez"/>
        <s v="GAYE STACH"/>
        <s v="Janine M"/>
        <s v="RUDOLPH GONZALEZ"/>
        <s v="AMY NELSON"/>
        <s v="Amelia Delmonico"/>
        <s v="DICK CUNNINGHAM"/>
        <s v="RHONDA ANDERSON"/>
        <s v="JACKLYN DURK"/>
        <s v="MARK B"/>
        <s v="GEORGE LIGHT"/>
        <s v="K D"/>
        <s v="JEHANGIR PIRZADA"/>
        <s v="CAROLYN GIBBS"/>
        <s v="MERCY"/>
        <s v="MARGARET MCALLISTER"/>
        <s v="sissssy"/>
        <s v="ROBIN HALE"/>
        <s v="TERRY LAGUNA WOODS"/>
        <s v="NORA LORENZO"/>
        <s v="Marcel"/>
        <s v="JENNA G"/>
        <s v="Linda Hulsey"/>
        <s v="Jennifer S Bondegard"/>
        <s v="LANDERSON"/>
        <s v="Richard Kritsky"/>
        <s v="JULIE J."/>
        <s v="CATHERINE LYNESS"/>
        <s v="Dora"/>
        <s v="JANE WARGO"/>
        <s v="JENNIFER BRUESER"/>
        <s v="MATT HOUGH"/>
        <s v="SARAH STEBER"/>
        <s v="AZ"/>
        <s v="FRANCOISE DUFFY"/>
        <s v="Timothy Moyer"/>
        <s v="Luz"/>
        <s v="ASHLY WHITWORTH"/>
        <s v="Maria Lemmon"/>
        <s v="JAMES OBERT"/>
        <s v="CHRIS MCGATHA"/>
        <s v="JONATHAN STAMPLEY"/>
        <s v="Ray Cunningham"/>
        <s v="PATRICIA SHEPPARD"/>
        <s v="KRISTINE ANDERSON"/>
        <s v="Jillian"/>
        <s v="Madelin"/>
        <s v="SILVIA CAMPILLO GINER"/>
        <s v="CHERIE MAMULA"/>
        <s v="Sheila"/>
        <s v="RANDY LEACH"/>
        <s v="Cassidy k"/>
        <s v="BETH C."/>
        <s v="JENNIFER ADAMS"/>
        <s v="KURT SAXSMA"/>
        <s v="PATRICIA PALENIK"/>
        <s v="RICK LUDLOW"/>
        <s v="Pete of S T S"/>
        <s v="JEFF NICHOLSON"/>
        <s v="Amber Cole"/>
        <s v="KELLY BRAUN"/>
        <s v="SUSAN Y"/>
        <s v="Tomo'Gotcha"/>
        <s v="LORILEI DUNSTON"/>
        <s v="Mahzad Mohajer"/>
        <s v="TODD VANDEBERG"/>
        <s v="CAROL BLOHM"/>
        <s v="GAIL OSBORNE"/>
        <s v="JOAN KANOWITZ"/>
        <s v="Ronald"/>
        <s v="MARIA MAROPAKIS"/>
        <s v="Diana &amp; Dane"/>
        <s v="KN"/>
        <s v="PATRICIA RAGONE"/>
        <s v="MICHAEL Z"/>
        <s v="Sue Durante"/>
        <s v="Debra|Smith"/>
        <s v="JAMES POLITIS"/>
        <s v="TODD STRICKLAND"/>
        <s v="EVELYN DIMICELI"/>
        <s v="MICAHEL BENNETT"/>
        <s v="IRENE RODRIGUEZ"/>
        <s v="Penelope McMillan"/>
        <s v="LINDA MOON"/>
        <s v="SANDY B"/>
        <s v="Deanna Nole"/>
        <s v="JAN MURPHY"/>
        <s v="Ximena Salomon"/>
        <s v="Vicky"/>
        <s v="NARC HALL"/>
        <s v="kathleen otero"/>
        <s v="DONNA ALLEN"/>
        <s v="DOG AND CAT DEPOT SIZEMORE"/>
        <s v="C.J. Demello"/>
        <s v="GAIL E BUELER"/>
        <s v="Diana"/>
        <s v="DENISE LANNING"/>
        <s v="MARK M"/>
        <s v="Susan Robertson"/>
        <s v="HARRIETT HOFFMAN"/>
        <s v="Diesel’s Mom"/>
        <s v="MELISSA SHAFFER"/>
        <s v="CAROL Miller"/>
        <s v="DANA CONNOLLY"/>
        <s v="SANDY"/>
        <s v="ROBERT BERMAN"/>
        <s v="Paul Hanigan"/>
        <s v="PEGGY MAZUR"/>
        <s v="SHARON ZINNS"/>
        <s v="DAVID SPIEGEL"/>
        <s v="SUE CERVANTES"/>
        <s v="BRITTANY THOMPSON"/>
        <s v="Sanja"/>
        <s v="SCOTT PETERSEN"/>
        <s v="AJ'S REPTARIUM"/>
        <s v="KENNETH HENKE"/>
        <s v="ELIZABETH SCALZO"/>
        <s v="CORRINE SAVAGE"/>
        <s v="Linda Antonioli"/>
        <s v="Kristen"/>
        <s v="Kaia 1971"/>
        <s v="Gemma"/>
        <s v="SUSAN G"/>
        <s v="Driver's License Wizard User"/>
        <s v="VON SNOW"/>
        <s v="ANTOINETTE DARROW"/>
        <s v="WK"/>
        <s v="Tammy Counts"/>
        <s v="CAROLINE"/>
        <s v="GWEN SIDDIQU"/>
        <s v="LJ"/>
        <s v="WILDA WHITE"/>
        <s v="RUSSELL HOLSTER"/>
        <s v="Jim Lucas"/>
        <s v="C. WELLNITZ"/>
        <s v="Marie Vardaman"/>
        <s v="JOE KRAUT"/>
        <s v="DARLENE REDCLIFT"/>
        <s v="DIXIE EICHELBERGER"/>
        <s v="LUIS OROZCO"/>
        <s v="BigOakFarmSocal an animal resc"/>
        <s v="Tanya Scarantine"/>
        <s v="Tracy Moore"/>
        <s v="ELIZABETH CIPRICH"/>
        <s v="FAITH FREEWOMAN"/>
        <s v="KARMEN"/>
        <s v="STACEY"/>
        <s v="Darlene Cooper"/>
        <s v="JOANNA PROCTOR"/>
        <s v="Keeron Hogan"/>
        <s v="Kathy Davis"/>
        <s v="SHANNON"/>
        <s v="DIANE P"/>
        <s v="Jenny Martins-Tadena"/>
        <s v="Erika"/>
        <s v="KELLY KRAUSS"/>
        <s v="Paula &amp; Nelson DiGennaro - Sebring, FL"/>
        <s v="WEBCLIENT Laura P"/>
        <s v="KAREN MCFARLANE"/>
        <s v="TERRY GORMAN"/>
        <s v="Jean O."/>
        <s v="Charlotte Greenbarg"/>
        <s v="MICHELLE STANEK"/>
        <s v="Carmelle Latour"/>
        <s v="Thao B."/>
        <s v="Cat Lady"/>
        <s v="KEN PEARSON"/>
        <s v="Cheryl Jasper"/>
        <s v="Wil"/>
        <s v="TOM ALLEN"/>
        <s v="Slick"/>
        <s v="CHERYL FARRELL"/>
        <s v="KATIE WERNER"/>
        <s v="Tina P."/>
        <s v="NearMiss"/>
        <s v="TAMI"/>
        <s v="DANA DRAKE"/>
        <s v="Robin Gedge"/>
        <s v="Lynne Levy"/>
        <s v="THOMAS HOOPER"/>
        <s v="IRENE SIMMONS"/>
        <s v="Barbara McNeil"/>
        <s v="James Miller"/>
        <s v="SHELL"/>
        <s v="Michele Casolco"/>
        <s v="Kim D"/>
        <s v="VICTOR ALBANESE"/>
        <s v="Customtom arnolder"/>
        <s v="EKS"/>
        <s v="JENNIFER HORNUNG"/>
        <s v="Allyson"/>
        <s v="Loren Osborne"/>
        <s v="SHEILA HODGES"/>
        <s v="CURT SHAKE"/>
        <s v="LISA BARNES"/>
        <s v="Deborah Noack"/>
        <s v="Janet F."/>
        <s v="KENNY KAZAROSIAN"/>
        <s v="WANDA SEGARS"/>
        <s v="MARY BETH ALDER"/>
        <s v="ROSE BROWN"/>
        <s v="SUE ASH"/>
        <s v="PHILIP JOW"/>
        <s v="MaryAnne Kramer"/>
        <s v="SUSAN FOSTER"/>
        <s v="JULIE KASSIS"/>
        <s v="Steven Goldstein"/>
        <s v="JULIE ROBERTS"/>
        <s v="DEBORAH PRINZ"/>
        <s v="noisyhouse"/>
        <s v="Astoria"/>
        <s v="Dale"/>
        <s v="TERA MARSH"/>
        <s v="Nv"/>
        <s v="S. HARDY"/>
        <s v="Kristi Ehlers"/>
        <s v="MICHAEL FAZEKAS"/>
        <s v="Rosepetals"/>
        <s v="Bill Skinner"/>
        <s v="CAROL SMITH"/>
        <s v="JAMES NEYHOUSE"/>
        <s v="MARLIES RUBEN"/>
        <s v="SANDRA FRANCOIS"/>
        <s v="S.J."/>
        <s v="JEFF KRAMER"/>
        <s v="JAN STERN"/>
        <s v="SANDRA SCHAFER"/>
        <s v="GRACE CARR"/>
        <s v="Frank F."/>
        <s v="Marion Konvalina"/>
        <s v="PATRICIA CAMPBELL"/>
        <s v="R. Lahrman"/>
        <s v="Owl lover"/>
        <s v="BIGFISHGAMESSUCKS"/>
        <s v="MICHELLE MURRAY"/>
        <s v="CHRIS PORCARO"/>
        <s v="PASQUALE CRUDO"/>
        <s v="MARY MAHANEY"/>
        <s v="Candy"/>
        <s v="STEVEN BROCK"/>
        <s v="Linda Sabuda"/>
        <s v="Andrea P"/>
        <s v="GINNETTE ALVAREZ"/>
        <s v="IDA L."/>
        <s v="MICHELLE CILURSO"/>
        <s v="MK"/>
        <s v="KAREN WELCH"/>
        <s v="GINO LANZI"/>
        <s v="Gloria Moore"/>
        <s v="Marc Marsceill"/>
        <s v="John Wright"/>
        <s v="Coffee"/>
        <s v="Phyllis"/>
        <s v="Valerie D"/>
        <s v="MELODY FENSEL"/>
        <s v="JOANNE HALL"/>
        <s v="Mary Y"/>
        <s v="Charles McDowell"/>
        <s v="Graduation"/>
        <s v="Jimmy"/>
        <s v="KAY Johnson"/>
        <s v="GAZLENE HATFELD"/>
        <s v="Love my dog"/>
        <s v="MICHELE DECRESCENZO"/>
        <s v="JOAN DAM"/>
        <s v="LONNIE SCUTELLA"/>
        <s v="KOREN SLONE"/>
        <s v="SFsanibel"/>
        <s v="MICHELLE HINES"/>
        <s v="Nikki Tucek"/>
        <s v="Mary K"/>
        <s v="Greg Morris"/>
        <s v="PAIGE MARTIN"/>
        <s v="Frederick Raymond"/>
        <s v="Lauri Maynard"/>
        <s v="Halo"/>
        <s v="JERRY FARRIS"/>
        <s v="TIMOTHY PANICHI"/>
        <s v="JENNIFER JEDYNAK"/>
        <s v="Ross"/>
        <s v="Paul Moore"/>
        <s v="LEE HOFFMAN"/>
        <s v="MeWithMe"/>
        <s v="Chris Benson"/>
        <s v="DIANNE MULLENHOUR"/>
        <s v="Martin"/>
        <s v="Laura Beckendorf"/>
        <s v="Donna Rickford"/>
        <s v="R. Geibel"/>
        <s v="M J"/>
        <s v="STACIE MCCLAIN"/>
        <s v="MELANIE"/>
        <s v="SAYA"/>
        <s v="Louise"/>
        <s v="SORORU KARAMI"/>
        <s v="F. W."/>
        <s v="Deana Madsen"/>
        <s v="Mermaid"/>
        <s v="DEBRA NEIL"/>
        <s v="JAMES S"/>
        <s v="Lauren"/>
        <s v="R. ELLIOTT"/>
        <s v="JAMES GILBERT"/>
        <s v="Dawn Long"/>
        <s v="Alan Fertel"/>
        <s v="SHERI"/>
        <s v="MARY ANNE"/>
        <s v="TAMMY H"/>
        <s v="Christy Jones"/>
        <s v="Morris"/>
        <s v="Ms Dehn"/>
        <s v="D. PROF."/>
        <s v="JANE FUNK"/>
        <s v="JUDITH HATFEILD"/>
        <s v="TrooperMama"/>
        <s v="GERLYN"/>
        <s v="Bryan Kortis"/>
        <s v="BRYAN SCHWARTZWALDER"/>
        <s v="KAREN CUSICK"/>
        <s v="HEATHER FUHRMAN"/>
        <s v="Wayne Silverman"/>
        <s v="Murphy"/>
      </sharedItems>
    </cacheField>
    <cacheField name="experience date" numFmtId="164">
      <sharedItems containsSemiMixedTypes="0" containsDate="1" containsString="0">
        <d v="2023-05-13T00:00:00Z"/>
        <d v="2023-05-14T00:00:00Z"/>
        <d v="2023-05-10T00:00:00Z"/>
        <d v="2023-05-11T00:00:00Z"/>
        <d v="2023-05-07T00:00:00Z"/>
        <d v="2023-04-28T00:00:00Z"/>
        <d v="2023-05-04T00:00:00Z"/>
        <d v="2023-04-02T00:00:00Z"/>
        <d v="2023-05-23T00:00:00Z"/>
        <d v="2023-05-06T00:00:00Z"/>
        <d v="2023-05-18T00:00:00Z"/>
        <d v="2023-05-09T00:00:00Z"/>
        <d v="2023-05-03T00:00:00Z"/>
        <d v="2023-05-12T00:00:00Z"/>
        <d v="2023-03-21T00:00:00Z"/>
        <d v="2023-05-01T00:00:00Z"/>
        <d v="2023-04-30T00:00:00Z"/>
        <d v="2023-05-08T00:00:00Z"/>
        <d v="2023-05-05T00:00:00Z"/>
        <d v="2023-05-02T00:00:00Z"/>
        <d v="2023-04-21T00:00:00Z"/>
        <d v="2023-05-15T00:00:00Z"/>
        <d v="2023-04-27T00:00:00Z"/>
        <d v="2023-04-26T00:00:00Z"/>
        <d v="2023-04-22T00:00:00Z"/>
        <d v="2023-04-20T00:00:00Z"/>
        <d v="2023-04-19T00:00:00Z"/>
        <d v="2023-04-24T00:00:00Z"/>
        <d v="2023-04-25T00:00:00Z"/>
        <d v="2023-04-18T00:00:00Z"/>
        <d v="2023-04-23T00:00:00Z"/>
        <d v="2023-04-16T00:00:00Z"/>
        <d v="2023-04-15T00:00:00Z"/>
        <d v="2023-05-24T00:00:00Z"/>
        <d v="2023-04-29T00:00:00Z"/>
        <d v="2023-04-17T00:00:00Z"/>
        <d v="2023-04-10T00:00:00Z"/>
        <d v="2023-03-18T00:00:00Z"/>
        <d v="2023-03-28T00:00:00Z"/>
        <d v="2023-04-11T00:00:00Z"/>
        <d v="2023-04-14T00:00:00Z"/>
        <d v="2023-04-13T00:00:00Z"/>
        <d v="2023-04-12T00:00:00Z"/>
        <d v="2023-04-06T00:00:00Z"/>
        <d v="2023-04-08T00:00:00Z"/>
        <d v="2023-04-07T00:00:00Z"/>
        <d v="2023-04-09T00:00:00Z"/>
        <d v="2023-03-29T00:00:00Z"/>
        <d v="2023-04-04T00:00:00Z"/>
        <d v="2023-04-03T00:00:00Z"/>
        <d v="2023-04-05T00:00:00Z"/>
        <d v="2023-03-17T00:00:00Z"/>
        <d v="2023-03-24T00:00:00Z"/>
        <d v="2023-04-01T00:00:00Z"/>
        <d v="2023-03-31T00:00:00Z"/>
        <d v="2023-03-30T00:00:00Z"/>
        <d v="2023-03-27T00:00:00Z"/>
        <d v="2023-03-25T00:00:00Z"/>
        <d v="2023-03-26T00:00:00Z"/>
        <d v="2023-02-26T00:00:00Z"/>
        <d v="2023-03-23T00:00:00Z"/>
        <d v="2023-03-22T00:00:00Z"/>
        <d v="2023-03-19T00:00:00Z"/>
        <d v="2023-03-20T00:00:00Z"/>
        <d v="2023-03-15T00:00:00Z"/>
        <d v="2023-03-16T00:00:00Z"/>
        <d v="2023-03-14T00:00:00Z"/>
        <d v="2023-03-13T00:00:00Z"/>
        <d v="2023-03-11T00:00:00Z"/>
        <d v="2023-03-12T00:00:00Z"/>
        <d v="2023-03-10T00:00:00Z"/>
        <d v="2023-03-06T00:00:00Z"/>
        <d v="2023-03-01T00:00:00Z"/>
        <d v="2023-03-05T00:00:00Z"/>
        <d v="2023-03-03T00:00:00Z"/>
        <d v="2023-03-09T00:00:00Z"/>
        <d v="2023-03-02T00:00:00Z"/>
        <d v="2023-03-08T00:00:00Z"/>
        <d v="2023-01-15T00:00:00Z"/>
        <d v="2023-01-03T00:00:00Z"/>
        <d v="2023-03-07T00:00:00Z"/>
        <d v="2023-02-02T00:00:00Z"/>
        <d v="2023-03-04T00:00:00Z"/>
        <d v="2023-02-28T00:00:00Z"/>
        <d v="2023-02-27T00:00:00Z"/>
        <d v="2023-02-25T00:00:00Z"/>
        <d v="2023-02-23T00:00:00Z"/>
        <d v="2023-02-24T00:00:00Z"/>
        <d v="2023-02-13T00:00:00Z"/>
        <d v="2023-01-02T00:00:00Z"/>
        <d v="2023-02-22T00:00:00Z"/>
        <d v="2023-02-21T00:00:00Z"/>
        <d v="2023-02-20T00:00:00Z"/>
        <d v="2023-01-04T00:00:00Z"/>
        <d v="2023-02-19T00:00:00Z"/>
        <d v="2023-02-17T00:00:00Z"/>
        <d v="2023-02-18T00:00:00Z"/>
        <d v="2023-02-08T00:00:00Z"/>
        <d v="2023-02-14T00:00:00Z"/>
        <d v="2023-02-16T00:00:00Z"/>
        <d v="2023-02-15T00:00:00Z"/>
        <d v="2023-02-11T00:00:00Z"/>
        <d v="2023-02-12T00:00:00Z"/>
        <d v="2023-02-10T00:00:00Z"/>
        <d v="2023-01-31T00:00:00Z"/>
        <d v="2023-02-07T00:00:00Z"/>
        <d v="2023-02-09T00:00:00Z"/>
        <d v="2023-02-06T00:00:00Z"/>
        <d v="2023-02-04T00:00:00Z"/>
        <d v="2023-01-21T00:00:00Z"/>
        <d v="2023-02-05T00:00:00Z"/>
        <d v="2023-02-03T00:00:00Z"/>
        <d v="2023-01-25T00:00:00Z"/>
        <d v="2023-02-01T00:00:00Z"/>
        <d v="2023-01-23T00:00:00Z"/>
        <d v="2023-01-30T00:00:00Z"/>
        <d v="2023-01-27T00:00:00Z"/>
        <d v="2023-01-29T00:00:00Z"/>
        <d v="2023-01-28T00:00:00Z"/>
        <d v="2023-01-24T00:00:00Z"/>
        <d v="2023-01-13T00:00:00Z"/>
        <d v="2023-01-19T00:00:00Z"/>
        <d v="2023-01-22T00:00:00Z"/>
        <d v="2023-01-26T00:00:00Z"/>
        <d v="2023-01-16T00:00:00Z"/>
        <d v="2023-01-20T00:00:00Z"/>
        <d v="2023-01-17T00:00:00Z"/>
        <d v="2023-01-14T00:00:00Z"/>
        <d v="2023-01-18T00:00:00Z"/>
        <d v="2023-01-10T00:00:00Z"/>
        <d v="2023-01-12T00:00:00Z"/>
        <d v="2022-12-23T00:00:00Z"/>
        <d v="2023-01-11T00:00:00Z"/>
        <d v="2023-01-06T00:00:00Z"/>
        <d v="2023-01-09T00:00:00Z"/>
        <d v="2022-11-30T00:00:00Z"/>
        <d v="2023-01-05T00:00:00Z"/>
        <d v="2022-12-20T00:00:00Z"/>
        <d v="2022-11-15T00:00:00Z"/>
        <d v="2022-11-23T00:00:00Z"/>
        <d v="2023-01-01T00:00:00Z"/>
        <d v="2022-12-31T00:00:00Z"/>
        <d v="2022-12-01T00:00:00Z"/>
        <d v="2023-01-07T00:00:00Z"/>
        <d v="2022-12-21T00:00:00Z"/>
        <d v="2022-12-30T00:00:00Z"/>
        <d v="2022-12-15T00:00:00Z"/>
        <d v="2023-01-08T00:00:00Z"/>
        <d v="2022-12-26T00:00:00Z"/>
        <d v="2022-12-29T00:00:00Z"/>
        <d v="2022-12-22T00:00:00Z"/>
        <d v="2022-12-08T00:00:00Z"/>
        <d v="2022-12-19T00:00:00Z"/>
        <d v="2022-12-18T00:00:00Z"/>
        <d v="2022-12-12T00:00:00Z"/>
        <d v="2022-12-16T00:00:00Z"/>
        <d v="2022-12-24T00:00:00Z"/>
        <d v="2022-12-28T00:00:00Z"/>
        <d v="2022-12-27T00:00:00Z"/>
        <d v="2022-12-14T00:00:00Z"/>
        <d v="2022-12-13T00:00:00Z"/>
        <d v="2022-12-25T00:00:00Z"/>
        <d v="2022-12-06T00:00:00Z"/>
        <d v="2022-12-05T00:00:00Z"/>
        <d v="2022-12-07T00:00:00Z"/>
        <d v="2022-12-10T00:00:00Z"/>
        <d v="2022-12-09T00:00:00Z"/>
        <d v="2022-10-17T00:00:00Z"/>
        <d v="2022-12-17T00:00:00Z"/>
        <d v="2022-12-04T00:00:00Z"/>
        <d v="2022-05-12T00:00:00Z"/>
        <d v="2022-12-02T00:00:00Z"/>
        <d v="2022-11-01T00:00:00Z"/>
        <d v="2022-11-28T00:00:00Z"/>
        <d v="2022-11-29T00:00:00Z"/>
        <d v="2022-12-11T00:00:00Z"/>
        <d v="2022-12-03T00:00:00Z"/>
        <d v="2022-11-24T00:00:00Z"/>
        <d v="2022-10-28T00:00:00Z"/>
        <d v="2022-11-25T00:00:00Z"/>
        <d v="2022-11-17T00:00:00Z"/>
        <d v="2022-11-21T00:00:00Z"/>
        <d v="2022-11-22T00:00:00Z"/>
        <d v="2022-11-14T00:00:00Z"/>
        <d v="2022-11-26T00:00:00Z"/>
        <d v="2022-11-18T00:00:00Z"/>
        <d v="2022-11-16T00:00:00Z"/>
        <d v="2022-11-20T00:00:00Z"/>
        <d v="2022-11-07T00:00:00Z"/>
        <d v="2022-10-04T00:00:00Z"/>
        <d v="2022-11-08T00:00:00Z"/>
        <d v="2022-11-12T00:00:00Z"/>
        <d v="2022-11-19T00:00:00Z"/>
        <d v="2022-11-11T00:00:00Z"/>
        <d v="2022-11-09T00:00:00Z"/>
        <d v="2022-11-10T00:00:00Z"/>
        <d v="2022-11-06T00:00:00Z"/>
        <d v="2022-11-04T00:00:00Z"/>
        <d v="2022-11-02T00:00:00Z"/>
        <d v="2022-11-05T00:00:00Z"/>
        <d v="2022-10-27T00:00:00Z"/>
        <d v="2022-10-30T00:00:00Z"/>
        <d v="2022-10-31T00:00:00Z"/>
        <d v="2022-11-03T00:00:00Z"/>
        <d v="2022-10-10T00:00:00Z"/>
        <d v="2022-10-29T00:00:00Z"/>
        <d v="2022-07-20T00:00:00Z"/>
        <d v="2022-10-25T00:00:00Z"/>
        <d v="2022-10-22T00:00:00Z"/>
        <d v="2022-10-26T00:00:00Z"/>
        <d v="2022-10-13T00:00:00Z"/>
        <d v="2022-10-19T00:00:00Z"/>
        <d v="2022-10-24T00:00:00Z"/>
        <d v="2022-10-20T00:00:00Z"/>
        <d v="2022-10-21T00:00:00Z"/>
        <d v="2022-10-11T00:00:00Z"/>
        <d v="2022-10-01T00:00:00Z"/>
        <d v="2022-09-30T00:00:00Z"/>
        <d v="2022-09-17T00:00:00Z"/>
        <d v="2022-09-29T00:00:00Z"/>
        <d v="2022-09-22T00:00:00Z"/>
        <d v="2022-09-23T00:00:00Z"/>
        <d v="2022-09-02T00:00:00Z"/>
        <d v="2022-09-24T00:00:00Z"/>
        <d v="2022-09-26T00:00:00Z"/>
        <d v="2022-09-20T00:00:00Z"/>
        <d v="2022-09-27T00:00:00Z"/>
        <d v="2022-09-13T00:00:00Z"/>
        <d v="2022-09-19T00:00:00Z"/>
        <d v="2022-09-21T00:00:00Z"/>
        <d v="2022-09-15T00:00:00Z"/>
        <d v="2022-08-28T00:00:00Z"/>
        <d v="2022-09-05T00:00:00Z"/>
        <d v="2022-09-12T00:00:00Z"/>
        <d v="2022-09-16T00:00:00Z"/>
        <d v="2022-09-14T00:00:00Z"/>
        <d v="2022-09-07T00:00:00Z"/>
        <d v="2022-09-09T00:00:00Z"/>
        <d v="2022-09-18T00:00:00Z"/>
        <d v="2022-09-04T00:00:00Z"/>
        <d v="2022-09-10T00:00:00Z"/>
        <d v="2022-08-29T00:00:00Z"/>
        <d v="2022-09-06T00:00:00Z"/>
        <d v="2022-09-01T00:00:00Z"/>
        <d v="2022-09-03T00:00:00Z"/>
        <d v="2022-09-08T00:00:00Z"/>
        <d v="2022-08-30T00:00:00Z"/>
        <d v="2022-09-11T00:00:00Z"/>
        <d v="2022-08-31T00:00:00Z"/>
        <d v="2022-08-15T00:00:00Z"/>
        <d v="2022-08-24T00:00:00Z"/>
        <d v="2022-08-27T00:00:00Z"/>
        <d v="2022-08-25T00:00:00Z"/>
        <d v="2022-08-26T00:00:00Z"/>
        <d v="2022-08-23T00:00:00Z"/>
        <d v="2022-08-22T00:00:00Z"/>
        <d v="2022-08-21T00:00:00Z"/>
        <d v="2022-08-20T00:00:00Z"/>
        <d v="2022-08-19T00:00:00Z"/>
        <d v="2022-08-18T00:00:00Z"/>
        <d v="2022-08-17T00:00:00Z"/>
        <d v="2022-08-16T00:00:00Z"/>
        <d v="2022-08-14T00:00:00Z"/>
        <d v="2022-08-13T00:00:00Z"/>
        <d v="2022-08-12T00:00:00Z"/>
        <d v="2022-08-11T00:00:00Z"/>
        <d v="2022-08-10T00:00:00Z"/>
        <d v="2022-08-09T00:00:00Z"/>
        <d v="2022-08-08T00:00:00Z"/>
        <d v="2022-08-07T00:00:00Z"/>
        <d v="2022-08-06T00:00:00Z"/>
        <d v="2022-08-05T00:00:00Z"/>
        <d v="2022-08-04T00:00:00Z"/>
        <d v="2022-08-02T00:00:00Z"/>
        <d v="2022-08-01T00:00:00Z"/>
        <d v="2022-07-31T00:00:00Z"/>
        <d v="2022-07-30T00:00:00Z"/>
        <d v="2022-07-29T00:00:00Z"/>
        <d v="2022-07-28T00:00:00Z"/>
        <d v="2022-07-27T00:00:00Z"/>
        <d v="2022-07-26T00:00:00Z"/>
        <d v="2022-07-25T00:00:00Z"/>
        <d v="2022-07-24T00:00:00Z"/>
        <d v="2022-07-23T00:00:00Z"/>
        <d v="2022-07-22T00:00:00Z"/>
        <d v="2022-07-21T00:00:00Z"/>
        <d v="2022-07-19T00:00:00Z"/>
        <d v="2022-07-18T00:00:00Z"/>
        <d v="2022-07-17T00:00:00Z"/>
        <d v="2022-07-16T00:00:00Z"/>
        <d v="2022-07-15T00:00:00Z"/>
        <d v="2022-07-14T00:00:00Z"/>
        <d v="2022-07-13T00:00:00Z"/>
        <d v="2022-07-12T00:00:00Z"/>
        <d v="2022-07-11T00:00:00Z"/>
        <d v="2022-07-10T00:00:00Z"/>
        <d v="2022-07-09T00:00:00Z"/>
        <d v="2022-07-08T00:00:00Z"/>
        <d v="2022-07-07T00:00:00Z"/>
        <d v="2022-07-06T00:00:00Z"/>
        <d v="2022-07-05T00:00:00Z"/>
        <d v="2022-07-04T00:00:00Z"/>
        <d v="2022-07-03T00:00:00Z"/>
        <d v="2022-07-02T00:00:00Z"/>
        <d v="2022-07-01T00:00:00Z"/>
        <d v="2022-06-30T00:00:00Z"/>
        <d v="2022-06-29T00:00:00Z"/>
        <d v="2022-06-28T00:00:00Z"/>
        <d v="2022-06-27T00:00:00Z"/>
        <d v="2022-06-26T00:00:00Z"/>
        <d v="2022-06-25T00:00:00Z"/>
        <d v="2022-06-24T00:00:00Z"/>
        <d v="2022-06-23T00:00:00Z"/>
        <d v="2022-06-22T00:00:00Z"/>
        <d v="2022-06-21T00:00:00Z"/>
        <d v="2022-06-20T00:00:00Z"/>
        <d v="2022-06-19T00:00:00Z"/>
        <d v="2022-06-18T00:00:00Z"/>
        <d v="2022-06-17T00:00:00Z"/>
        <d v="2022-06-16T00:00:00Z"/>
        <d v="2022-06-15T00:00:00Z"/>
        <d v="2022-06-14T00:00:00Z"/>
        <d v="2022-06-13T00:00:00Z"/>
        <d v="2022-06-12T00:00:00Z"/>
        <d v="2022-06-11T00:00:00Z"/>
        <d v="2022-06-10T00:00:00Z"/>
        <d v="2022-06-09T00:00:00Z"/>
        <d v="2022-06-08T00:00:00Z"/>
        <d v="2022-06-07T00:00:00Z"/>
        <d v="2022-06-06T00:00:00Z"/>
        <d v="2022-06-05T00:00:00Z"/>
        <d v="2022-06-04T00:00:00Z"/>
        <d v="2022-06-03T00:00:00Z"/>
        <d v="2022-06-02T00:00:00Z"/>
        <d v="2022-06-01T00:00:00Z"/>
        <d v="2022-05-31T00:00:00Z"/>
        <d v="2022-05-30T00:00:00Z"/>
        <d v="2022-05-29T00:00:00Z"/>
        <d v="2022-05-28T00:00:00Z"/>
        <d v="2022-05-27T00:00:00Z"/>
        <d v="2022-05-26T00:00:00Z"/>
        <d v="2022-05-25T00:00:00Z"/>
        <d v="2022-05-24T00:00:00Z"/>
        <d v="2022-05-23T00:00:00Z"/>
        <d v="2022-05-22T00:00:00Z"/>
        <d v="2022-05-21T00:00:00Z"/>
        <d v="2022-05-20T00:00:00Z"/>
        <d v="2022-05-19T00:00:00Z"/>
        <d v="2022-05-18T00:00:00Z"/>
        <d v="2022-05-17T00:00:00Z"/>
        <d v="2022-05-16T00:00:00Z"/>
        <d v="2022-05-15T00:00:00Z"/>
        <d v="2022-05-14T00:00:00Z"/>
        <d v="2022-05-13T00:00:00Z"/>
        <d v="2022-05-11T00:00:00Z"/>
        <d v="2022-05-10T00:00:00Z"/>
        <d v="2022-05-09T00:00:00Z"/>
        <d v="2022-05-08T00:00:00Z"/>
        <d v="2022-05-07T00:00:00Z"/>
        <d v="2022-05-06T00:00:00Z"/>
        <d v="2022-05-05T00:00:00Z"/>
        <d v="2022-05-04T00:00:00Z"/>
        <d v="2022-05-03T00:00:00Z"/>
        <d v="2022-05-02T00:00:00Z"/>
        <d v="2022-05-01T00:00:00Z"/>
        <d v="2022-04-30T00:00:00Z"/>
        <d v="2022-04-29T00:00:00Z"/>
        <d v="2022-04-28T00:00:00Z"/>
        <d v="2022-04-27T00:00:00Z"/>
        <d v="2022-04-26T00:00:00Z"/>
        <d v="2022-04-25T00:00:00Z"/>
        <d v="2022-04-24T00:00:00Z"/>
        <d v="2022-04-23T00:00:00Z"/>
        <d v="2022-04-22T00:00:00Z"/>
        <d v="2022-04-21T00:00:00Z"/>
        <d v="2022-04-20T00:00:00Z"/>
        <d v="2022-04-18T00:00:00Z"/>
        <d v="2022-04-17T00:00:00Z"/>
        <d v="2022-04-16T00:00:00Z"/>
        <d v="2022-04-15T00:00:00Z"/>
        <d v="2022-04-14T00:00:00Z"/>
        <d v="2022-04-13T00:00:00Z"/>
        <d v="2022-04-12T00:00:00Z"/>
        <d v="2022-04-11T00:00:00Z"/>
        <d v="2022-04-10T00:00:00Z"/>
        <d v="2022-04-09T00:00:00Z"/>
        <d v="2022-04-08T00:00:00Z"/>
        <d v="2022-04-07T00:00:00Z"/>
        <d v="2022-04-06T00:00:00Z"/>
        <d v="2022-04-05T00:00:00Z"/>
        <d v="2022-04-04T00:00:00Z"/>
        <d v="2022-04-03T00:00:00Z"/>
        <d v="2022-04-02T00:00:00Z"/>
        <d v="2022-04-01T00:00:00Z"/>
        <d v="2022-03-31T00:00:00Z"/>
        <d v="2022-03-30T00:00:00Z"/>
        <d v="2022-03-29T00:00:00Z"/>
        <d v="2022-03-28T00:00:00Z"/>
        <d v="2022-03-27T00:00:00Z"/>
        <d v="2022-03-26T00:00:00Z"/>
        <d v="2022-03-25T00:00:00Z"/>
        <d v="2022-03-24T00:00:00Z"/>
        <d v="2022-03-23T00:00:00Z"/>
        <d v="2022-03-22T00:00:00Z"/>
        <d v="2022-03-21T00:00:00Z"/>
        <d v="2022-03-20T00:00:00Z"/>
        <d v="2022-03-19T00:00:00Z"/>
        <d v="2022-03-18T00:00:00Z"/>
        <d v="2022-03-17T00:00:00Z"/>
        <d v="2022-03-16T00:00:00Z"/>
        <d v="2022-03-15T00:00:00Z"/>
        <d v="2022-03-14T00:00:00Z"/>
        <d v="2022-03-13T00:00:00Z"/>
        <d v="2022-03-12T00:00:00Z"/>
        <d v="2022-03-11T00:00:00Z"/>
        <d v="2022-03-10T00:00:00Z"/>
        <d v="2022-03-09T00:00:00Z"/>
        <d v="2022-03-08T00:00:00Z"/>
        <d v="2022-03-07T00:00:00Z"/>
        <d v="2022-03-06T00:00:00Z"/>
        <d v="2022-03-05T00:00:00Z"/>
        <d v="2022-03-04T00:00:00Z"/>
        <d v="2022-03-03T00:00:00Z"/>
        <d v="2022-03-02T00:00:00Z"/>
        <d v="2022-03-01T00:00:00Z"/>
        <d v="2022-02-28T00:00:00Z"/>
        <d v="2022-02-27T00:00:00Z"/>
        <d v="2022-02-26T00:00:00Z"/>
        <d v="2022-02-25T00:00:00Z"/>
        <d v="2022-02-24T00:00:00Z"/>
        <d v="2022-02-23T00:00:00Z"/>
        <d v="2022-02-22T00:00:00Z"/>
        <d v="2022-02-21T00:00:00Z"/>
        <d v="2022-02-20T00:00:00Z"/>
        <d v="2022-02-19T00:00:00Z"/>
        <d v="2022-02-18T00:00:00Z"/>
        <d v="2022-02-17T00:00:00Z"/>
        <d v="2022-02-16T00:00:00Z"/>
        <d v="2022-02-15T00:00:00Z"/>
        <d v="2022-02-14T00:00:00Z"/>
        <d v="2022-02-13T00:00:00Z"/>
        <d v="2022-02-12T00:00:00Z"/>
        <d v="2022-02-11T00:00:00Z"/>
        <d v="2022-02-10T00:00:00Z"/>
        <d v="2022-02-09T00:00:00Z"/>
        <d v="2022-02-08T00:00:00Z"/>
        <d v="2022-02-07T00:00:00Z"/>
        <d v="2022-02-06T00:00:00Z"/>
        <d v="2022-02-05T00:00:00Z"/>
        <d v="2022-02-04T00:00:00Z"/>
        <d v="2022-02-03T00:00:00Z"/>
        <d v="2022-02-02T00:00:00Z"/>
        <d v="2022-02-01T00:00:00Z"/>
        <d v="2022-01-31T00:00:00Z"/>
        <d v="2022-01-30T00:00:00Z"/>
        <d v="2022-01-29T00:00:00Z"/>
        <d v="2022-01-28T00:00:00Z"/>
        <d v="2022-01-27T00:00:00Z"/>
        <d v="2022-01-26T00:00:00Z"/>
        <d v="2022-01-25T00:00:00Z"/>
        <d v="2022-01-24T00:00:00Z"/>
        <d v="2022-01-23T00:00:00Z"/>
        <d v="2022-01-22T00:00:00Z"/>
        <d v="2022-01-21T00:00:00Z"/>
        <d v="2022-01-20T00:00:00Z"/>
        <d v="2022-01-19T00:00:00Z"/>
        <d v="2022-01-18T00:00:00Z"/>
        <d v="2022-01-17T00:00:00Z"/>
        <d v="2022-01-16T00:00:00Z"/>
        <d v="2022-01-15T00:00:00Z"/>
        <d v="2022-01-14T00:00:00Z"/>
        <d v="2022-01-13T00:00:00Z"/>
        <d v="2022-01-12T00:00:00Z"/>
        <d v="2022-01-11T00:00:00Z"/>
        <d v="2022-01-10T00:00:00Z"/>
        <d v="2022-01-09T00:00:00Z"/>
        <d v="2022-01-08T00:00:00Z"/>
        <d v="2022-01-07T00:00:00Z"/>
        <d v="2022-01-05T00:00:00Z"/>
        <d v="2022-01-04T00:00:00Z"/>
        <d v="2022-01-03T00:00:00Z"/>
        <d v="2022-01-02T00:00:00Z"/>
        <d v="2022-01-01T00:00:00Z"/>
        <d v="2021-12-31T00:00:00Z"/>
        <d v="2021-12-30T00:00:00Z"/>
        <d v="2021-12-29T00:00:00Z"/>
        <d v="2021-12-28T00:00:00Z"/>
        <d v="2021-12-27T00:00:00Z"/>
        <d v="2021-12-26T00:00:00Z"/>
        <d v="2021-12-25T00:00:00Z"/>
        <d v="2021-12-24T00:00:00Z"/>
        <d v="2021-12-23T00:00:00Z"/>
        <d v="2021-12-22T00:00:00Z"/>
        <d v="2021-12-21T00:00:00Z"/>
        <d v="2021-12-20T00:00:00Z"/>
        <d v="2021-12-19T00:00:00Z"/>
        <d v="2021-12-18T00:00:00Z"/>
        <d v="2021-12-17T00:00:00Z"/>
        <d v="2021-12-16T00:00:00Z"/>
        <d v="2021-12-15T00:00:00Z"/>
        <d v="2021-12-14T00:00:00Z"/>
        <d v="2021-12-13T00:00:00Z"/>
        <d v="2021-12-11T00:00:00Z"/>
        <d v="2021-12-10T00:00:00Z"/>
        <d v="2021-12-09T00:00:00Z"/>
        <d v="2021-12-08T00:00:00Z"/>
        <d v="2021-12-07T00:00:00Z"/>
        <d v="2021-12-06T00:00:00Z"/>
        <d v="2021-12-05T00:00:00Z"/>
        <d v="2021-12-04T00:00:00Z"/>
        <d v="2021-12-03T00:00:00Z"/>
        <d v="2021-12-02T00:00:00Z"/>
        <d v="2021-12-01T00:00:00Z"/>
        <d v="2021-11-30T00:00:00Z"/>
        <d v="2021-11-29T00:00:00Z"/>
        <d v="2021-11-28T00:00:00Z"/>
        <d v="2021-11-26T00:00:00Z"/>
        <d v="2021-11-25T00:00:00Z"/>
        <d v="2021-11-17T00:00:00Z"/>
        <d v="2021-11-16T00:00:00Z"/>
        <d v="2021-11-15T00:00:00Z"/>
        <d v="2021-11-14T00:00:00Z"/>
        <d v="2021-11-13T00:00:00Z"/>
        <d v="2021-11-12T00:00:00Z"/>
        <d v="2021-11-11T00:00:00Z"/>
        <d v="2021-11-10T00:00:00Z"/>
        <d v="2021-11-09T00:00:00Z"/>
        <d v="2021-11-08T00:00:00Z"/>
        <d v="2021-11-07T00:00:00Z"/>
        <d v="2021-11-06T00:00:00Z"/>
        <d v="2021-11-05T00:00:00Z"/>
        <d v="2021-11-04T00:00:00Z"/>
        <d v="2021-11-03T00:00:00Z"/>
        <d v="2021-11-02T00:00:00Z"/>
        <d v="2021-11-01T00:00:00Z"/>
        <d v="2021-10-31T00:00:00Z"/>
        <d v="2021-10-30T00:00:00Z"/>
        <d v="2021-10-29T00:00:00Z"/>
        <d v="2021-10-28T00:00:00Z"/>
        <d v="2021-10-27T00:00:00Z"/>
        <d v="2021-10-26T00:00:00Z"/>
        <d v="2021-10-25T00:00:00Z"/>
        <d v="2021-10-24T00:00:00Z"/>
        <d v="2021-10-23T00:00:00Z"/>
        <d v="2021-10-22T00:00:00Z"/>
        <d v="2021-10-21T00:00:00Z"/>
        <d v="2021-10-20T00:00:00Z"/>
        <d v="2021-10-19T00:00:00Z"/>
        <d v="2021-10-18T00:00:00Z"/>
        <d v="2021-10-17T00:00:00Z"/>
        <d v="2021-10-16T00:00:00Z"/>
        <d v="2021-10-15T00:00:00Z"/>
        <d v="2021-10-14T00:00:00Z"/>
        <d v="2021-10-13T00:00:00Z"/>
        <d v="2021-10-12T00:00:00Z"/>
        <d v="2021-10-11T00:00:00Z"/>
        <d v="2021-10-10T00:00:00Z"/>
        <d v="2021-10-09T00:00:00Z"/>
        <d v="2021-10-08T00:00:00Z"/>
        <d v="2021-10-07T00:00:00Z"/>
        <d v="2021-10-06T00:00:00Z"/>
        <d v="2021-10-05T00:00:00Z"/>
        <d v="2021-10-04T00:00:00Z"/>
        <d v="2021-10-03T00:00:00Z"/>
      </sharedItems>
    </cacheField>
    <cacheField name="review date">
      <sharedItems containsDate="1" containsMixedTypes="1">
        <s v="14 hours ago"/>
        <s v="11 hours ago"/>
        <s v="5 hours ago"/>
        <s v="A day ago"/>
        <s v="6 hours ago"/>
        <s v="12 hours ago"/>
        <s v="3 days ago"/>
        <s v="15 hours ago"/>
        <s v="4 days ago"/>
        <s v="7 days ago"/>
        <s v="1 days ago"/>
        <d v="2023-05-16T00:00:00Z"/>
        <s v="2 days ago"/>
        <d v="2023-05-19T00:00:00Z"/>
        <d v="2023-05-15T00:00:00Z"/>
        <s v="5 days ago"/>
        <d v="2023-05-17T00:00:00Z"/>
        <s v="Updated 16 hours ago"/>
        <s v="4 hours ago"/>
        <d v="2023-05-13T00:00:00Z"/>
        <d v="2023-05-14T00:00:00Z"/>
        <d v="2023-05-10T00:00:00Z"/>
        <s v="6 days ago"/>
        <d v="2023-05-04T00:00:00Z"/>
        <d v="2023-05-09T00:00:00Z"/>
        <d v="2023-05-08T00:00:00Z"/>
        <d v="2023-05-18T00:00:00Z"/>
        <d v="2023-05-02T00:00:00Z"/>
        <d v="2023-05-01T00:00:00Z"/>
        <d v="2023-05-06T00:00:00Z"/>
        <d v="2023-05-07T00:00:00Z"/>
        <d v="2023-05-12T00:00:00Z"/>
        <d v="2023-05-05T00:00:00Z"/>
        <d v="2023-05-03T00:00:00Z"/>
        <d v="2023-05-11T00:00:00Z"/>
        <d v="2023-04-30T00:00:00Z"/>
        <d v="2023-04-29T00:00:00Z"/>
        <d v="2023-04-28T00:00:00Z"/>
        <d v="2023-04-27T00:00:00Z"/>
        <d v="2023-04-26T00:00:00Z"/>
        <d v="2023-04-25T00:00:00Z"/>
        <d v="2023-04-24T00:00:00Z"/>
        <d v="2023-04-23T00:00:00Z"/>
        <d v="2023-04-22T00:00:00Z"/>
        <d v="2023-04-21T00:00:00Z"/>
        <d v="2023-04-20T00:00:00Z"/>
        <d v="2023-04-19T00:00:00Z"/>
        <d v="2023-04-18T00:00:00Z"/>
        <d v="2023-04-17T00:00:00Z"/>
        <d v="2023-04-16T00:00:00Z"/>
        <s v="Updated Apr 16, 2023"/>
        <d v="2023-04-15T00:00:00Z"/>
        <d v="2023-04-14T00:00:00Z"/>
        <d v="2023-04-13T00:00:00Z"/>
        <d v="2023-04-12T00:00:00Z"/>
        <d v="2023-04-11T00:00:00Z"/>
        <d v="2023-04-10T00:00:00Z"/>
        <d v="2023-04-09T00:00:00Z"/>
        <d v="2023-04-08T00:00:00Z"/>
        <d v="2023-04-07T00:00:00Z"/>
        <d v="2023-04-06T00:00:00Z"/>
        <d v="2023-04-05T00:00:00Z"/>
        <d v="2023-04-04T00:00:00Z"/>
        <d v="2023-04-03T00:00:00Z"/>
        <d v="2023-04-02T00:00:00Z"/>
        <d v="2023-04-01T00:00:00Z"/>
        <d v="2023-03-31T00:00:00Z"/>
        <d v="2023-03-30T00:00:00Z"/>
        <d v="2023-03-29T00:00:00Z"/>
        <d v="2023-03-28T00:00:00Z"/>
        <d v="2023-03-27T00:00:00Z"/>
        <d v="2023-03-26T00:00:00Z"/>
        <d v="2023-03-25T00:00:00Z"/>
        <d v="2023-03-24T00:00:00Z"/>
        <d v="2023-03-23T00:00:00Z"/>
        <d v="2023-03-22T00:00:00Z"/>
        <d v="2023-03-21T00:00:00Z"/>
        <d v="2023-03-20T00:00:00Z"/>
        <s v="Updated Mar 20, 2023"/>
        <d v="2023-03-19T00:00:00Z"/>
        <d v="2023-03-18T00:00:00Z"/>
        <d v="2023-03-17T00:00:00Z"/>
        <d v="2023-03-16T00:00:00Z"/>
        <d v="2023-03-15T00:00:00Z"/>
        <d v="2023-03-14T00:00:00Z"/>
        <d v="2023-03-13T00:00:00Z"/>
        <d v="2023-03-12T00:00:00Z"/>
        <d v="2023-03-11T00:00:00Z"/>
        <d v="2023-03-10T00:00:00Z"/>
        <d v="2023-03-09T00:00:00Z"/>
        <d v="2023-03-08T00:00:00Z"/>
        <d v="2023-03-07T00:00:00Z"/>
        <d v="2023-03-06T00:00:00Z"/>
        <d v="2023-03-05T00:00:00Z"/>
        <d v="2023-03-04T00:00:00Z"/>
        <s v="Updated Mar 4, 2023"/>
        <d v="2023-03-03T00:00:00Z"/>
        <d v="2023-03-02T00:00:00Z"/>
        <s v="Updated Mar 2, 2023"/>
        <d v="2023-03-01T00:00:00Z"/>
        <d v="2023-02-28T00:00:00Z"/>
        <d v="2023-02-27T00:00:00Z"/>
        <d v="2023-02-26T00:00:00Z"/>
        <d v="2023-02-25T00:00:00Z"/>
        <d v="2023-02-24T00:00:00Z"/>
        <d v="2023-02-23T00:00:00Z"/>
        <d v="2023-02-22T00:00:00Z"/>
        <d v="2023-02-21T00:00:00Z"/>
        <d v="2023-02-20T00:00:00Z"/>
        <d v="2023-02-19T00:00:00Z"/>
        <d v="2023-02-18T00:00:00Z"/>
        <d v="2023-02-17T00:00:00Z"/>
        <d v="2023-02-16T00:00:00Z"/>
        <d v="2023-02-15T00:00:00Z"/>
        <d v="2023-02-14T00:00:00Z"/>
        <d v="2023-02-13T00:00:00Z"/>
        <d v="2023-02-12T00:00:00Z"/>
        <d v="2023-02-11T00:00:00Z"/>
        <d v="2023-02-10T00:00:00Z"/>
        <d v="2023-02-09T00:00:00Z"/>
        <d v="2023-02-08T00:00:00Z"/>
        <d v="2023-02-07T00:00:00Z"/>
        <d v="2023-02-06T00:00:00Z"/>
        <d v="2023-02-05T00:00:00Z"/>
        <d v="2023-02-04T00:00:00Z"/>
        <d v="2023-02-03T00:00:00Z"/>
        <s v="Updated Feb 2, 2023"/>
        <d v="2023-02-02T00:00:00Z"/>
        <d v="2023-02-01T00:00:00Z"/>
        <d v="2023-01-31T00:00:00Z"/>
        <d v="2023-01-30T00:00:00Z"/>
        <d v="2023-01-29T00:00:00Z"/>
        <d v="2023-01-28T00:00:00Z"/>
        <d v="2023-01-27T00:00:00Z"/>
        <d v="2023-01-26T00:00:00Z"/>
        <s v="Updated Jan 27, 2023"/>
        <d v="2023-01-25T00:00:00Z"/>
        <d v="2023-01-24T00:00:00Z"/>
        <d v="2023-01-23T00:00:00Z"/>
        <d v="2023-01-22T00:00:00Z"/>
        <d v="2023-01-21T00:00:00Z"/>
        <d v="2023-01-20T00:00:00Z"/>
        <d v="2023-01-19T00:00:00Z"/>
        <d v="2023-01-18T00:00:00Z"/>
        <d v="2023-01-17T00:00:00Z"/>
        <d v="2023-01-16T00:00:00Z"/>
        <d v="2023-01-15T00:00:00Z"/>
        <s v="Updated Jan 15, 2023"/>
        <d v="2023-01-14T00:00:00Z"/>
        <d v="2023-01-13T00:00:00Z"/>
        <d v="2023-01-12T00:00:00Z"/>
        <d v="2023-01-11T00:00:00Z"/>
        <d v="2023-01-10T00:00:00Z"/>
        <d v="2023-01-09T00:00:00Z"/>
        <d v="2023-01-08T00:00:00Z"/>
        <d v="2023-01-07T00:00:00Z"/>
        <d v="2023-01-06T00:00:00Z"/>
        <d v="2023-01-05T00:00:00Z"/>
        <d v="2023-01-04T00:00:00Z"/>
        <d v="2023-01-03T00:00:00Z"/>
        <d v="2023-01-02T00:00:00Z"/>
        <d v="2023-01-01T00:00:00Z"/>
        <d v="2022-12-31T00:00:00Z"/>
        <d v="2022-12-30T00:00:00Z"/>
        <d v="2022-12-29T00:00:00Z"/>
        <d v="2022-12-28T00:00:00Z"/>
        <d v="2022-12-27T00:00:00Z"/>
        <d v="2022-12-26T00:00:00Z"/>
        <d v="2022-12-25T00:00:00Z"/>
        <d v="2022-12-24T00:00:00Z"/>
        <d v="2022-12-23T00:00:00Z"/>
        <d v="2022-12-22T00:00:00Z"/>
        <d v="2022-12-21T00:00:00Z"/>
        <d v="2022-12-20T00:00:00Z"/>
        <d v="2022-12-19T00:00:00Z"/>
        <s v="Updated Dec 18, 2022"/>
        <d v="2022-12-18T00:00:00Z"/>
        <d v="2022-12-17T00:00:00Z"/>
        <d v="2022-12-16T00:00:00Z"/>
        <d v="2022-12-15T00:00:00Z"/>
        <d v="2022-12-14T00:00:00Z"/>
        <d v="2022-12-13T00:00:00Z"/>
        <d v="2022-12-12T00:00:00Z"/>
        <d v="2022-12-11T00:00:00Z"/>
        <d v="2022-12-10T00:00:00Z"/>
        <d v="2022-12-09T00:00:00Z"/>
        <d v="2022-12-08T00:00:00Z"/>
        <d v="2022-12-07T00:00:00Z"/>
        <d v="2022-12-06T00:00:00Z"/>
        <d v="2022-12-05T00:00:00Z"/>
        <d v="2022-12-04T00:00:00Z"/>
        <d v="2022-12-03T00:00:00Z"/>
        <d v="2022-12-02T00:00:00Z"/>
        <d v="2022-12-01T00:00:00Z"/>
        <s v="Updated Dec 1, 2022"/>
        <d v="2022-11-30T00:00:00Z"/>
        <d v="2022-11-29T00:00:00Z"/>
        <s v="Updated Dec 13, 2022"/>
        <d v="2022-11-28T00:00:00Z"/>
        <s v="Updated Nov 28, 2022"/>
        <d v="2022-11-27T00:00:00Z"/>
        <d v="2022-11-26T00:00:00Z"/>
        <d v="2022-11-25T00:00:00Z"/>
        <d v="2022-11-24T00:00:00Z"/>
        <d v="2022-11-23T00:00:00Z"/>
        <d v="2022-11-22T00:00:00Z"/>
        <d v="2022-11-21T00:00:00Z"/>
        <d v="2022-11-20T00:00:00Z"/>
        <d v="2022-11-19T00:00:00Z"/>
        <d v="2022-11-18T00:00:00Z"/>
        <d v="2022-11-17T00:00:00Z"/>
        <d v="2022-11-16T00:00:00Z"/>
        <d v="2022-11-15T00:00:00Z"/>
        <d v="2022-11-14T00:00:00Z"/>
        <d v="2022-11-13T00:00:00Z"/>
        <d v="2022-11-12T00:00:00Z"/>
        <d v="2022-11-11T00:00:00Z"/>
        <d v="2022-11-10T00:00:00Z"/>
        <s v="Updated Nov 24, 2022"/>
        <d v="2022-11-09T00:00:00Z"/>
        <d v="2022-11-08T00:00:00Z"/>
        <d v="2022-11-07T00:00:00Z"/>
        <d v="2022-11-06T00:00:00Z"/>
        <d v="2022-11-05T00:00:00Z"/>
        <s v="Updated Nov 6, 2022"/>
        <d v="2022-11-04T00:00:00Z"/>
        <d v="2022-11-03T00:00:00Z"/>
        <d v="2022-11-02T00:00:00Z"/>
        <d v="2022-10-29T00:00:00Z"/>
        <d v="2022-10-23T00:00:00Z"/>
        <d v="2022-10-20T00:00:00Z"/>
        <d v="2022-10-18T00:00:00Z"/>
        <s v="Updated Oct 6, 2022"/>
        <d v="2022-09-29T00:00:00Z"/>
        <d v="2022-09-28T00:00:00Z"/>
        <d v="2022-09-27T00:00:00Z"/>
        <d v="2022-09-26T00:00:00Z"/>
        <d v="2022-09-25T00:00:00Z"/>
        <d v="2022-09-24T00:00:00Z"/>
        <d v="2022-09-23T00:00:00Z"/>
        <d v="2022-09-22T00:00:00Z"/>
        <d v="2022-09-21T00:00:00Z"/>
        <d v="2022-09-20T00:00:00Z"/>
        <d v="2022-09-19T00:00:00Z"/>
        <s v="Updated Sep 19, 2022"/>
        <d v="2022-09-18T00:00:00Z"/>
        <d v="2022-09-17T00:00:00Z"/>
        <d v="2022-09-16T00:00:00Z"/>
        <d v="2022-09-15T00:00:00Z"/>
        <d v="2022-09-14T00:00:00Z"/>
        <d v="2022-09-13T00:00:00Z"/>
        <d v="2022-09-12T00:00:00Z"/>
        <d v="2022-09-11T00:00:00Z"/>
        <d v="2022-09-10T00:00:00Z"/>
        <d v="2022-09-09T00:00:00Z"/>
        <d v="2022-09-08T00:00:00Z"/>
        <d v="2022-09-07T00:00:00Z"/>
        <d v="2022-09-06T00:00:00Z"/>
        <d v="2022-09-05T00:00:00Z"/>
        <d v="2022-09-04T00:00:00Z"/>
        <d v="2022-09-03T00:00:00Z"/>
        <d v="2022-09-02T00:00:00Z"/>
        <d v="2022-09-01T00:00:00Z"/>
        <d v="2022-08-31T00:00:00Z"/>
        <d v="2022-08-30T00:00:00Z"/>
        <d v="2022-08-29T00:00:00Z"/>
        <d v="2022-08-28T00:00:00Z"/>
        <d v="2022-08-27T00:00:00Z"/>
        <s v="Updated Aug 27, 2022"/>
        <d v="2022-08-26T00:00:00Z"/>
        <d v="2022-08-25T00:00:00Z"/>
        <d v="2022-08-24T00:00:00Z"/>
        <d v="2022-08-23T00:00:00Z"/>
        <d v="2022-08-22T00:00:00Z"/>
        <d v="2022-08-21T00:00:00Z"/>
        <d v="2022-08-20T00:00:00Z"/>
        <d v="2022-08-19T00:00:00Z"/>
        <d v="2022-08-18T00:00:00Z"/>
        <s v="Updated Aug 18, 2022"/>
        <d v="2022-08-17T00:00:00Z"/>
        <d v="2022-08-16T00:00:00Z"/>
        <d v="2022-08-15T00:00:00Z"/>
        <d v="2022-08-14T00:00:00Z"/>
        <s v="Updated Aug 14, 2022"/>
        <d v="2022-08-13T00:00:00Z"/>
        <d v="2022-08-12T00:00:00Z"/>
        <d v="2022-08-11T00:00:00Z"/>
        <d v="2022-08-09T00:00:00Z"/>
        <d v="2022-08-08T00:00:00Z"/>
        <d v="2022-08-07T00:00:00Z"/>
        <d v="2022-08-06T00:00:00Z"/>
        <d v="2022-08-05T00:00:00Z"/>
        <d v="2022-08-04T00:00:00Z"/>
        <d v="2022-08-02T00:00:00Z"/>
        <d v="2022-08-01T00:00:00Z"/>
        <d v="2022-07-31T00:00:00Z"/>
        <d v="2022-07-30T00:00:00Z"/>
        <d v="2022-07-29T00:00:00Z"/>
        <d v="2022-07-28T00:00:00Z"/>
        <d v="2022-07-27T00:00:00Z"/>
        <d v="2022-07-26T00:00:00Z"/>
        <d v="2022-07-25T00:00:00Z"/>
        <d v="2022-07-24T00:00:00Z"/>
        <d v="2022-07-23T00:00:00Z"/>
        <d v="2022-07-22T00:00:00Z"/>
        <d v="2022-07-21T00:00:00Z"/>
        <d v="2022-07-20T00:00:00Z"/>
        <d v="2022-07-19T00:00:00Z"/>
        <d v="2022-07-18T00:00:00Z"/>
        <d v="2022-07-17T00:00:00Z"/>
        <d v="2022-07-16T00:00:00Z"/>
        <d v="2022-07-15T00:00:00Z"/>
        <d v="2022-07-14T00:00:00Z"/>
        <d v="2022-07-13T00:00:00Z"/>
        <d v="2022-07-12T00:00:00Z"/>
        <d v="2022-07-11T00:00:00Z"/>
        <s v="Updated Jul 13, 2022"/>
        <d v="2022-07-10T00:00:00Z"/>
        <d v="2022-07-09T00:00:00Z"/>
        <d v="2022-07-08T00:00:00Z"/>
        <d v="2022-07-07T00:00:00Z"/>
        <d v="2022-07-06T00:00:00Z"/>
        <d v="2022-07-05T00:00:00Z"/>
        <d v="2022-07-04T00:00:00Z"/>
        <d v="2022-07-03T00:00:00Z"/>
        <d v="2022-07-02T00:00:00Z"/>
        <d v="2022-07-01T00:00:00Z"/>
        <d v="2022-06-30T00:00:00Z"/>
        <d v="2022-06-29T00:00:00Z"/>
        <d v="2022-06-28T00:00:00Z"/>
        <d v="2022-06-27T00:00:00Z"/>
        <d v="2022-06-26T00:00:00Z"/>
        <d v="2022-06-25T00:00:00Z"/>
        <d v="2022-06-24T00:00:00Z"/>
        <d v="2022-06-23T00:00:00Z"/>
        <d v="2022-06-22T00:00:00Z"/>
        <d v="2022-06-21T00:00:00Z"/>
        <d v="2022-06-20T00:00:00Z"/>
        <d v="2022-06-19T00:00:00Z"/>
        <d v="2022-06-18T00:00:00Z"/>
        <d v="2022-06-17T00:00:00Z"/>
        <d v="2022-06-16T00:00:00Z"/>
        <d v="2022-06-15T00:00:00Z"/>
        <d v="2022-06-14T00:00:00Z"/>
        <d v="2022-06-13T00:00:00Z"/>
        <d v="2022-06-12T00:00:00Z"/>
        <d v="2022-06-11T00:00:00Z"/>
        <d v="2022-06-10T00:00:00Z"/>
        <d v="2022-06-09T00:00:00Z"/>
        <d v="2022-06-08T00:00:00Z"/>
        <d v="2022-06-07T00:00:00Z"/>
        <d v="2022-06-06T00:00:00Z"/>
        <d v="2022-06-05T00:00:00Z"/>
        <d v="2022-06-04T00:00:00Z"/>
        <s v="Updated Jun 19, 2022"/>
        <d v="2022-06-03T00:00:00Z"/>
        <s v="Updated Jun 17, 2022"/>
        <d v="2022-06-02T00:00:00Z"/>
        <d v="2022-06-01T00:00:00Z"/>
        <d v="2022-05-31T00:00:00Z"/>
        <d v="2022-05-30T00:00:00Z"/>
        <d v="2022-05-29T00:00:00Z"/>
        <d v="2022-05-28T00:00:00Z"/>
        <d v="2022-05-27T00:00:00Z"/>
        <d v="2022-05-26T00:00:00Z"/>
        <d v="2022-05-25T00:00:00Z"/>
        <d v="2022-05-24T00:00:00Z"/>
        <d v="2022-05-23T00:00:00Z"/>
        <d v="2022-05-22T00:00:00Z"/>
        <d v="2022-05-21T00:00:00Z"/>
        <d v="2022-05-20T00:00:00Z"/>
        <d v="2022-05-19T00:00:00Z"/>
        <d v="2022-05-18T00:00:00Z"/>
        <d v="2022-05-17T00:00:00Z"/>
        <s v="Updated May 17, 2022"/>
        <d v="2022-05-16T00:00:00Z"/>
        <d v="2022-05-15T00:00:00Z"/>
        <d v="2022-05-14T00:00:00Z"/>
        <d v="2022-05-13T00:00:00Z"/>
        <d v="2022-05-12T00:00:00Z"/>
        <d v="2022-05-11T00:00:00Z"/>
        <d v="2022-05-10T00:00:00Z"/>
        <d v="2022-05-09T00:00:00Z"/>
        <d v="2022-05-08T00:00:00Z"/>
        <d v="2022-05-07T00:00:00Z"/>
        <d v="2022-05-06T00:00:00Z"/>
        <d v="2022-05-05T00:00:00Z"/>
        <d v="2022-05-04T00:00:00Z"/>
        <d v="2022-05-03T00:00:00Z"/>
        <d v="2022-05-02T00:00:00Z"/>
        <d v="2022-05-01T00:00:00Z"/>
        <d v="2022-04-30T00:00:00Z"/>
        <d v="2022-04-29T00:00:00Z"/>
        <d v="2022-04-28T00:00:00Z"/>
        <d v="2022-04-27T00:00:00Z"/>
        <d v="2022-04-26T00:00:00Z"/>
        <d v="2022-04-25T00:00:00Z"/>
        <d v="2022-04-24T00:00:00Z"/>
        <d v="2022-04-23T00:00:00Z"/>
        <s v="Updated Apr 23, 2022"/>
        <d v="2022-04-22T00:00:00Z"/>
        <d v="2022-04-21T00:00:00Z"/>
        <s v="Updated Apr 21, 2022"/>
        <d v="2022-04-20T00:00:00Z"/>
        <d v="2022-04-18T00:00:00Z"/>
        <d v="2022-04-17T00:00:00Z"/>
        <d v="2022-04-16T00:00:00Z"/>
        <d v="2022-04-15T00:00:00Z"/>
        <d v="2022-04-14T00:00:00Z"/>
        <d v="2022-04-13T00:00:00Z"/>
        <d v="2022-04-12T00:00:00Z"/>
        <d v="2022-04-11T00:00:00Z"/>
        <d v="2022-04-10T00:00:00Z"/>
        <d v="2022-04-09T00:00:00Z"/>
        <d v="2022-04-08T00:00:00Z"/>
        <d v="2022-04-07T00:00:00Z"/>
        <d v="2022-04-06T00:00:00Z"/>
        <d v="2022-04-05T00:00:00Z"/>
        <s v="Updated Apr 5, 2022"/>
        <d v="2022-04-04T00:00:00Z"/>
        <d v="2022-04-03T00:00:00Z"/>
        <d v="2022-04-02T00:00:00Z"/>
        <d v="2022-04-01T00:00:00Z"/>
        <d v="2022-03-31T00:00:00Z"/>
        <d v="2022-03-30T00:00:00Z"/>
        <d v="2022-03-29T00:00:00Z"/>
        <s v="Updated Mar 29, 2022"/>
        <d v="2022-03-28T00:00:00Z"/>
        <d v="2022-03-27T00:00:00Z"/>
        <d v="2022-03-26T00:00:00Z"/>
        <s v="Updated Mar 26, 2022"/>
        <d v="2022-03-25T00:00:00Z"/>
        <d v="2022-03-24T00:00:00Z"/>
        <d v="2022-03-23T00:00:00Z"/>
        <d v="2022-03-22T00:00:00Z"/>
        <d v="2022-03-21T00:00:00Z"/>
        <d v="2022-03-20T00:00:00Z"/>
        <d v="2022-03-19T00:00:00Z"/>
        <d v="2022-03-18T00:00:00Z"/>
        <d v="2022-03-17T00:00:00Z"/>
        <d v="2022-03-16T00:00:00Z"/>
        <d v="2022-03-15T00:00:00Z"/>
        <d v="2022-03-14T00:00:00Z"/>
        <d v="2022-03-13T00:00:00Z"/>
        <d v="2022-03-12T00:00:00Z"/>
        <d v="2022-03-11T00:00:00Z"/>
        <d v="2022-03-10T00:00:00Z"/>
        <d v="2022-03-09T00:00:00Z"/>
        <d v="2022-03-08T00:00:00Z"/>
        <s v="Updated Mar 8, 2022"/>
        <d v="2022-03-07T00:00:00Z"/>
        <d v="2022-03-06T00:00:00Z"/>
        <d v="2022-03-05T00:00:00Z"/>
        <d v="2022-03-04T00:00:00Z"/>
        <d v="2022-03-03T00:00:00Z"/>
        <d v="2022-03-02T00:00:00Z"/>
        <d v="2022-03-01T00:00:00Z"/>
        <d v="2022-02-28T00:00:00Z"/>
        <d v="2022-02-27T00:00:00Z"/>
        <s v="Updated Feb 27, 2022"/>
        <d v="2022-02-26T00:00:00Z"/>
        <d v="2022-02-25T00:00:00Z"/>
        <d v="2022-02-24T00:00:00Z"/>
        <d v="2022-02-23T00:00:00Z"/>
        <d v="2022-02-22T00:00:00Z"/>
        <d v="2022-02-21T00:00:00Z"/>
        <d v="2022-02-20T00:00:00Z"/>
        <d v="2022-02-19T00:00:00Z"/>
        <d v="2022-02-18T00:00:00Z"/>
        <d v="2022-02-17T00:00:00Z"/>
        <d v="2022-02-16T00:00:00Z"/>
        <d v="2022-02-15T00:00:00Z"/>
        <s v="Updated Feb 15, 2022"/>
        <d v="2022-02-14T00:00:00Z"/>
        <s v="Updated Mar 9, 2023"/>
        <d v="2022-02-13T00:00:00Z"/>
        <d v="2022-02-12T00:00:00Z"/>
        <d v="2022-02-11T00:00:00Z"/>
        <d v="2022-02-10T00:00:00Z"/>
        <d v="2022-02-09T00:00:00Z"/>
        <d v="2022-02-08T00:00:00Z"/>
        <d v="2022-02-07T00:00:00Z"/>
        <d v="2022-02-06T00:00:00Z"/>
        <d v="2022-02-05T00:00:00Z"/>
        <d v="2022-02-04T00:00:00Z"/>
        <d v="2022-02-03T00:00:00Z"/>
        <d v="2022-02-02T00:00:00Z"/>
        <d v="2022-02-01T00:00:00Z"/>
        <d v="2022-01-31T00:00:00Z"/>
        <d v="2022-01-30T00:00:00Z"/>
        <d v="2022-01-29T00:00:00Z"/>
        <d v="2022-01-28T00:00:00Z"/>
        <s v="Updated Jan 28, 2022"/>
        <d v="2022-01-27T00:00:00Z"/>
        <d v="2022-01-26T00:00:00Z"/>
        <d v="2022-01-25T00:00:00Z"/>
        <s v="Updated Jan 25, 2022"/>
        <d v="2022-01-24T00:00:00Z"/>
        <d v="2022-01-23T00:00:00Z"/>
        <d v="2022-01-22T00:00:00Z"/>
        <d v="2022-01-21T00:00:00Z"/>
        <d v="2022-01-20T00:00:00Z"/>
        <d v="2022-01-19T00:00:00Z"/>
        <d v="2022-01-18T00:00:00Z"/>
        <d v="2022-01-17T00:00:00Z"/>
        <s v="Updated Jan 31, 2022"/>
        <d v="2022-01-16T00:00:00Z"/>
        <d v="2022-01-15T00:00:00Z"/>
        <d v="2022-01-14T00:00:00Z"/>
        <d v="2022-01-13T00:00:00Z"/>
        <d v="2022-01-12T00:00:00Z"/>
        <d v="2022-01-11T00:00:00Z"/>
        <d v="2022-01-10T00:00:00Z"/>
        <d v="2022-01-09T00:00:00Z"/>
        <d v="2022-01-08T00:00:00Z"/>
        <d v="2022-01-07T00:00:00Z"/>
        <d v="2022-01-05T00:00:00Z"/>
        <d v="2022-01-04T00:00:00Z"/>
        <d v="2022-01-03T00:00:00Z"/>
        <d v="2022-01-02T00:00:00Z"/>
        <d v="2022-01-01T00:00:00Z"/>
        <d v="2021-12-31T00:00:00Z"/>
        <d v="2021-12-30T00:00:00Z"/>
        <d v="2021-12-29T00:00:00Z"/>
        <d v="2021-12-28T00:00:00Z"/>
        <d v="2021-12-27T00:00:00Z"/>
        <d v="2021-12-26T00:00:00Z"/>
        <d v="2021-12-25T00:00:00Z"/>
        <d v="2021-12-24T00:00:00Z"/>
        <d v="2021-12-23T00:00:00Z"/>
        <d v="2021-12-22T00:00:00Z"/>
        <d v="2021-12-21T00:00:00Z"/>
        <d v="2021-12-20T00:00:00Z"/>
        <s v="Updated Dec 20, 2021"/>
        <d v="2021-12-19T00:00:00Z"/>
        <d v="2021-12-18T00:00:00Z"/>
        <d v="2021-12-17T00:00:00Z"/>
        <d v="2021-12-16T00:00:00Z"/>
        <d v="2021-12-15T00:00:00Z"/>
        <d v="2021-12-14T00:00:00Z"/>
        <d v="2021-12-13T00:00:00Z"/>
        <d v="2021-12-11T00:00:00Z"/>
        <d v="2021-12-10T00:00:00Z"/>
        <d v="2021-12-09T00:00:00Z"/>
        <d v="2021-12-08T00:00:00Z"/>
        <s v="Updated Dec 8, 2021"/>
        <d v="2021-12-07T00:00:00Z"/>
        <d v="2021-12-06T00:00:00Z"/>
        <s v="Updated Dec 6, 2021"/>
        <d v="2021-12-05T00:00:00Z"/>
        <d v="2021-12-04T00:00:00Z"/>
        <d v="2021-12-03T00:00:00Z"/>
        <d v="2021-12-02T00:00:00Z"/>
        <d v="2021-12-01T00:00:00Z"/>
        <d v="2021-11-30T00:00:00Z"/>
        <d v="2021-11-29T00:00:00Z"/>
        <d v="2021-11-28T00:00:00Z"/>
        <d v="2021-11-26T00:00:00Z"/>
        <d v="2021-11-25T00:00:00Z"/>
        <d v="2021-11-18T00:00:00Z"/>
        <d v="2021-11-17T00:00:00Z"/>
        <d v="2021-11-16T00:00:00Z"/>
        <s v="Updated Nov 16, 2021"/>
        <d v="2021-11-15T00:00:00Z"/>
        <d v="2021-11-14T00:00:00Z"/>
        <s v="Updated Nov 13, 2021"/>
        <d v="2021-11-13T00:00:00Z"/>
        <d v="2021-11-12T00:00:00Z"/>
        <d v="2021-11-11T00:00:00Z"/>
        <d v="2021-11-10T00:00:00Z"/>
        <d v="2021-11-09T00:00:00Z"/>
        <d v="2021-11-08T00:00:00Z"/>
        <d v="2021-11-07T00:00:00Z"/>
        <s v="Updated Nov 7, 2021"/>
        <d v="2021-11-06T00:00:00Z"/>
        <d v="2021-11-05T00:00:00Z"/>
        <s v="Updated Nov 3, 2021"/>
        <d v="2021-11-03T00:00:00Z"/>
        <d v="2021-11-02T00:00:00Z"/>
        <d v="2021-11-01T00:00:00Z"/>
        <s v="Updated Nov 1, 2021"/>
        <d v="2021-10-31T00:00:00Z"/>
        <d v="2021-10-30T00:00:00Z"/>
        <d v="2021-10-29T00:00:00Z"/>
        <d v="2021-10-28T00:00:00Z"/>
        <s v="Updated Oct 28, 2021"/>
        <d v="2021-10-27T00:00:00Z"/>
        <d v="2021-10-26T00:00:00Z"/>
        <d v="2021-10-25T00:00:00Z"/>
        <d v="2021-10-24T00:00:00Z"/>
        <d v="2021-10-23T00:00:00Z"/>
        <d v="2021-10-22T00:00:00Z"/>
        <d v="2021-10-21T00:00:00Z"/>
        <s v="Updated Oct 21, 2021"/>
        <d v="2021-10-20T00:00:00Z"/>
        <d v="2021-10-19T00:00:00Z"/>
        <d v="2021-10-18T00:00:00Z"/>
        <d v="2021-10-17T00:00:00Z"/>
        <d v="2021-10-16T00:00:00Z"/>
        <s v="Updated Oct 16, 2021"/>
        <d v="2021-10-15T00:00:00Z"/>
        <d v="2021-10-14T00:00:00Z"/>
        <d v="2021-10-13T00:00:00Z"/>
        <d v="2021-10-12T00:00:00Z"/>
        <d v="2021-10-11T00:00:00Z"/>
        <d v="2021-10-10T00:00:00Z"/>
        <d v="2021-10-09T00:00:00Z"/>
        <d v="2021-10-08T00:00:00Z"/>
        <d v="2021-10-07T00:00:00Z"/>
        <d v="2021-10-06T00:00:00Z"/>
        <d v="2021-10-05T00:00:00Z"/>
        <d v="2021-10-04T00:00:00Z"/>
        <d v="2021-10-03T00:00:00Z"/>
      </sharedItems>
    </cacheField>
    <cacheField name="head line">
      <sharedItems containsDate="1" containsMixedTypes="1">
        <s v="Value added online retailer"/>
        <s v="Arm and Hammer litter"/>
        <s v="I have been with them since 2013 and my…"/>
        <s v="In Stock at PetFlow !"/>
        <s v="I received a damaged pet food bag and…"/>
        <s v="This is the second time I have received…"/>
        <s v="The company was very responsive to…"/>
        <s v="Ordered dog food and 5 days later no…"/>
        <s v="The people there if contacted go up and…"/>
        <s v="Great Service"/>
        <s v="First-time customer"/>
        <s v="Great value and fast delivery!"/>
        <s v="Good product"/>
        <s v="I have had a great experience with…"/>
        <s v="I had to change my password the past…"/>
        <s v="I was surprised to be able to talk to…"/>
        <s v="Fromm artisan quality"/>
        <s v="Good service"/>
        <s v="Good experience"/>
        <s v="One of the best things I love besides…"/>
        <s v="Helpful"/>
        <s v="Really pleasant"/>
        <s v="Horrible online ordering experience"/>
        <s v="My first experience was terrible"/>
        <s v="Cannot cancel an auto ship online"/>
        <s v="First transaction great, downhill after that…"/>
        <s v="I placed an order on May 10th-updates…"/>
        <s v="I just discovered petflow"/>
        <s v="The items I ordered were exactly what I…"/>
        <s v="Very dissatisfied"/>
        <s v="When was important to me was how quick they checked. They told me that he was out of stock and various things but it is difficult to get this particular trees that I would like to have soon."/>
        <s v="FedEx delivery date inaccurate"/>
        <s v="Great service!"/>
        <s v="Petflow is the only place I can find…"/>
        <s v="It was able to order easily"/>
        <s v="Excellent price"/>
        <s v="My New &quot;Go To&quot; Online!"/>
        <s v="The items were received in a timely…"/>
        <s v="Best selections, fast shipping, and best prices!"/>
        <s v="I had a very friendly young lady help…"/>
        <s v="The customer service is outstanding"/>
        <s v="This is the second time that I’ve been…"/>
        <s v="There was an issue with shipping and…"/>
        <s v="I had an issue with shipping damage"/>
        <s v="I placed my order on the 3rd of May"/>
        <s v="Just discovered this company"/>
        <s v="PetFlow has always been great with…"/>
        <s v="My order arrived later than expected…"/>
        <s v="The Person was very kind"/>
        <s v="Great prices"/>
        <s v="We can count on Pet Flow delivery…"/>
        <s v="Very good prices and the product…"/>
        <s v="Great customer service"/>
        <s v="Great product!"/>
        <s v="Discount mysteriously disappeared"/>
        <s v="You bet everyone elses prices"/>
        <s v="The web site is difficult to navigate"/>
        <s v="Petflow had the dog food product I was…"/>
        <s v="Poor customer service!!!"/>
        <s v="3 days since I placed my order online"/>
        <s v="Snarky customer service"/>
        <s v="Shipping took way longer than Chewy's…"/>
        <s v="my credit card is always getting…"/>
        <s v="The price was right"/>
        <s v="All items arrived within a few days…"/>
        <s v="Not very Satisfied"/>
        <s v="Room to improve"/>
        <s v="I have had two auto shipments of dog…"/>
        <s v="The shipping was by slow boat"/>
        <s v="Always fair price and prompt shipping…"/>
        <s v="It was very helpful to have that…"/>
        <s v="Great Place to Shop"/>
        <s v="The shipping is literally always late"/>
        <s v="Quick delivery of a hard-to-find…"/>
        <s v="Use Google incognito"/>
        <s v="I ordered a case of 12 cans of dog…"/>
        <s v="Great Prices and Quick Delkivery and Customer Service"/>
        <s v="We needed dog food ASAP so Petflow to…"/>
        <s v="Easy to order and delivered in a timely…"/>
        <s v="Excellent experience"/>
        <s v="Good prices and selections and fast…"/>
        <s v="I made a mistake on my order and…"/>
        <s v="Always willing to put up with my…"/>
        <s v="Never [dis]dissappointed"/>
        <s v="Shipped from Nevada to Ohio then back…"/>
        <s v="I love the connivence of having my…"/>
        <s v="Great customer support!"/>
        <s v="Prices are awesome and super fast…"/>
        <s v="YES!"/>
        <s v="Everything was great as always,very…"/>
        <s v="Extremely fast processing and delivery"/>
        <s v="I did not get my dog food"/>
        <s v="I love pet flow"/>
        <s v="I bought large bags of Open Farm food…"/>
        <s v="I love this food for my schipperke"/>
        <s v="easy to work with and fast delivery time"/>
        <s v="Great products and service!"/>
        <s v="Reasonably priced Fromm dry dog food"/>
        <s v="Petflow had the product I needed"/>
        <s v="Quick"/>
        <s v="A very smooth and seamless process to…"/>
        <s v="Easy to order and I received the…"/>
        <s v="Hard to find dog food at a good price…"/>
        <s v="Easy to order --wide variety of product…"/>
        <s v="A Good Experience"/>
        <s v="Can't beat the prices!"/>
        <s v="Great prices and loved the free…"/>
        <s v="Highly recommended thank you guys for…"/>
        <s v="Damaged products"/>
        <s v="Not easy to put together,but it works great!"/>
        <s v="Pet Flow was very good about my special…"/>
        <s v="Always a problem."/>
        <s v="Had a problem with my order duplicate…"/>
        <s v="My order came with 4 cans dented out of…"/>
        <s v="Good company to order"/>
        <s v="You had the items I wanted at a good…"/>
        <s v="Easy to sign up and courteous staff"/>
        <s v="Consistently good service"/>
        <s v="Correction of mistake"/>
        <s v="Always get anything I order on a timely…"/>
        <s v="The prices were extremely competitive"/>
        <s v="I have yet to get my order"/>
        <s v="Best value for bully sticks"/>
        <s v="I received what I ordered pronto"/>
        <s v="Great First Experience"/>
        <s v="Will be back for more!"/>
        <s v="Quick shipping and a great price"/>
        <s v="Super fast shipping awesome and…"/>
        <s v="Great communication w/ frequent updates"/>
        <s v="Good site"/>
        <s v="Fast shipping"/>
        <s v="It's a great product and the family dog…"/>
        <s v="everything was simple and fast delivery"/>
        <s v="NEVER Buy Canned Food from PetFlow"/>
        <s v="Order came just as promised"/>
        <s v="Best price"/>
        <s v="Good prices, large selection"/>
        <s v="Super fast shipping"/>
        <s v="As I said before"/>
        <s v="wonderful to find Natural Balance…"/>
        <s v="Package was never delivered (10 days…"/>
        <s v="Easy ordering, fast shipping"/>
        <s v="Fantastic and Fabulous"/>
        <s v="Good quality and quick delivery"/>
        <s v="I received my order promptly"/>
        <s v="cans damaged"/>
        <s v="User friendly online shopping experience"/>
        <s v="I was pleased with the prices and the…"/>
        <s v="Quick delivery on great product at a…"/>
        <s v="Great customer service and fast shipping"/>
        <s v="Got what I ordered &amp; it was delivered…"/>
        <s v="delivery times have gotten worse."/>
        <s v="Pet flow had an out of stock item we…"/>
        <s v="Love the products and fast service!"/>
        <s v="Ease of purchase and speed of delivery"/>
        <s v="Great prices and free fast shipping"/>
        <s v="Great parrot feed!"/>
        <s v="Easy to place an order"/>
        <s v="Easy ordering process and fast shipping!"/>
        <s v="Free and fast shipping."/>
        <s v="Good customer service"/>
        <s v="I always get good service at a good…"/>
        <s v="Good price"/>
        <s v="Great company"/>
        <s v="Everything was perfect"/>
        <s v="Great products &amp; prices!"/>
        <s v="Ordered and you didn’t have in stock"/>
        <s v="Easy to order at a fair price for this…"/>
        <s v="Order was on time and complete."/>
        <s v="Easy to place order"/>
        <s v="Positive!"/>
        <s v="Fast professional great!"/>
        <s v="dog food"/>
        <s v="Love the product"/>
        <s v="Quick and reliable"/>
        <s v="Very quick fulfillment and shipping"/>
        <s v="Mallory was awesome."/>
        <s v="Good"/>
        <s v="Good fresh food"/>
        <s v="You had what I wanted and you got it to…"/>
        <s v="Shipping takes too long"/>
        <s v="You had the product that I needed and…"/>
        <s v="Great prices and good dog food brands."/>
        <s v="Great bones shipping speed"/>
        <s v="Easy online ordering with fast delivery."/>
        <s v="Received order when expected"/>
        <s v="service"/>
        <s v="Easy ordering experience"/>
        <s v="It’s good"/>
        <s v="Consistently great buying experience."/>
        <s v="Fast and easy"/>
        <s v="Quick and efficient customer service."/>
        <s v="Competitive pricing and fast delivery!"/>
        <s v="Great prices!"/>
        <s v="Fast delivery of what we needed"/>
        <s v="Ordering and customer service"/>
        <s v="I am committed to feeding my cat the…"/>
        <s v="Awful online experience - confusing and antiquated"/>
        <s v="Always fast service"/>
        <s v="Great service &amp; pricing"/>
        <s v="Incompetent and Unreliable"/>
        <s v="Excellent customer service"/>
        <s v="I found what I needed quickly"/>
        <s v="Easy order, received in timely manner"/>
        <s v="My order came fast"/>
        <s v="Best prices anywhere and great…"/>
        <s v="Good but packaging poor"/>
        <s v="Shipping restrictions"/>
        <s v="The website is very easy to navigate"/>
        <s v="Petflow is great!…"/>
        <s v="Good selection of cat foods"/>
        <s v="Better value"/>
        <s v="They are very responsive"/>
        <s v="Fedex failed to deliver package even…"/>
        <s v="Timely orders"/>
        <s v="Great prices and service"/>
        <s v="They gave me a credit because something…"/>
        <s v="Very good…"/>
        <s v="The company delivers promptly."/>
        <s v="Tried Chewy"/>
        <s v="Dog Food Etc"/>
        <s v="Lowest price I could find"/>
        <s v="Thank you very much"/>
        <s v="Always good products"/>
        <s v="I received the packages in good shape…"/>
        <s v="Efficient process and speedy delivery."/>
        <s v="Had to call in because of recent c card…"/>
        <s v="Great service."/>
        <s v="I never received the order."/>
        <s v="GOOD PRICES"/>
        <s v="I can change the order and they always…"/>
        <s v="That it got delivered in time and your…"/>
        <s v="Theyon time and a reasonable price got my order out to me in a timely…"/>
        <s v="Small litter pans at the lowest price!"/>
        <s v="Totally satisfied with product and the purchasing process."/>
        <s v="Understanding the PetFlow auto ship system"/>
        <s v="We appreciate your efforts to keep…"/>
        <s v="Great customer service!"/>
        <s v="Prescription food"/>
        <s v="The Auto Ship is a lifesaver"/>
        <s v="They are still bothering my vet for a…"/>
        <s v="1BETTER THAN CHEWY!"/>
        <s v="I got what i order and when was suppost…"/>
        <s v="Reliable &amp; easy ordering and quick…"/>
        <s v="Great Finds"/>
        <s v="I was very pleased about the shipping…"/>
        <s v="Fast shipping was provided"/>
        <s v="Love the large Guinea pig house"/>
        <s v="Quick shipping and easy website....cost…"/>
        <s v="Rapid response"/>
        <s v="First time customer"/>
        <s v="Packaging needs improvement"/>
        <s v="Very professional and my orders are…"/>
        <s v="New customer"/>
        <s v="Preformed as Advertized"/>
        <s v="Poor Service"/>
        <s v="A better value than their competitors…"/>
        <s v="Had my product in stock"/>
        <s v="Always fast"/>
        <s v="Glad I Found Pet Flow"/>
        <s v="My order was processed and shipped…"/>
        <s v="Prices are comparable and free delivery…"/>
        <s v="So happy to get my very hard to find…"/>
        <s v="We like ordering from PetFlow"/>
        <s v="Easy to order and it shipped quickly…"/>
        <s v="Excellent! So easy to order online &amp; was quickly…"/>
        <s v="I like that I was able to find food for…"/>
        <s v="Delivery usually on time and what you need."/>
        <s v="Excellent service and price. What can I say...every order is on…"/>
        <s v="Cheaper than chewy"/>
        <s v="Never no discount or coupon for Fromm…"/>
        <s v="You see brands of dog food other…"/>
        <s v="Love the sales that Petflow sometimes…"/>
        <s v="I called for help with an order and…"/>
        <s v="real customer service"/>
        <s v="Fast reliable"/>
        <s v="Whenever I have a problem it's always…"/>
        <s v="The company is easy to work with"/>
        <s v="I got my order on time and it was less…"/>
        <s v="Fast and easy to shop and order"/>
        <s v="You have a toy that my dog loves"/>
        <s v="Do not recommend"/>
        <s v="Better prices than Chewy"/>
        <s v="fine, but tired of reviewing everybody"/>
        <s v="Ordered twice and order was canceled…"/>
        <s v="Excellent quick delivery"/>
        <s v="quality feed prompt service fair price"/>
        <s v="When the item was ordered"/>
        <s v="Fast delivery and great products"/>
        <s v="Immediate Response"/>
        <s v="PetFlow's customer service is great!"/>
        <s v="Ordering from their website is easy and…"/>
        <s v="Well it all started with me not…"/>
        <s v="Loving Fur Babies parent"/>
        <s v="Best for price and delivery"/>
        <s v="If I could give a rating of zero stars…"/>
        <s v="Easy to use website"/>
        <s v="PetFlow features fast food for fuss pot cat."/>
        <s v="The delivery was delayed"/>
        <s v="Great company for my needs"/>
        <s v="Dog Mom"/>
        <s v="Easy to order on line"/>
        <s v="Good Products and Helpful Employees"/>
        <s v="PetFlow has lost me has a customer"/>
        <s v="Great customer service."/>
        <s v="I’ve been ordering from for my chihuahuas since he was a puppy, and he is now two years old"/>
        <s v="Amazing company that I’m glad I found"/>
        <s v="Petflow had the best overall price…"/>
        <s v="Cheaper than Amazon."/>
        <s v="No problems"/>
        <s v="Great service and price."/>
        <s v="WE NEVER RECEIVED THIS ORDER!!!"/>
        <s v="Quick delivery and good value."/>
        <s v="Product arrived quickly as I was…"/>
        <s v="Speedy Delivery My order for my precious pets arrived…"/>
        <s v="Entertaining Squeaky Toy…"/>
        <s v="Fast delivery and Fair-priced"/>
        <s v="PetFlow had all information."/>
        <s v="Delivery take too long"/>
        <s v="Great Product and a Great Price"/>
        <s v="Easy to order"/>
        <s v="Amazingly fast shipping"/>
        <s v="Very Good Experience"/>
        <s v="The convenience of having products…"/>
        <s v="The order was filled quickly and…"/>
        <s v="The items I needed were IN STOCK when I…"/>
        <s v="Part of my order was incorrect but they…"/>
        <s v="I found the dog food I needed for an…"/>
        <s v="I was hesitant after I made the…"/>
        <s v="Fast shipping and lower prices than…"/>
        <s v="They corrected a bad experience."/>
        <s v="Happy!"/>
        <s v="The wrong dog bowls were sent"/>
        <s v="pet flow 4 8 23"/>
        <s v="Love them!"/>
        <s v="Prompt delivery, perfect condition"/>
        <s v="Came timely!"/>
        <s v="Company is very nice to deal with."/>
        <s v="Ordered prescription food for my…"/>
        <s v="Wonderful company"/>
        <s v="Great pricing"/>
        <s v="Ordering was easy and the shipping was…"/>
        <s v="Love PetFlow"/>
        <s v="PetFlow website is easy to navigate"/>
        <s v="Sitejabber Website Reviews and…"/>
        <s v="Fast delivery"/>
        <s v="I ordered my dog's food and it came…"/>
        <s v="Was happy to give our new puppy the food…"/>
        <s v="Fast easy service"/>
        <s v="My order experience was great!"/>
        <s v="My order hasn’t been shipped after over…"/>
        <s v="Excellent Items"/>
        <s v="Great Variety, Prices and Prompt Shipment!"/>
        <s v="Very nice and quick with my order…"/>
        <s v="Been ordering from PetFlow for a few…"/>
        <s v="My first time with PetFlow"/>
        <s v="Never received dog food."/>
        <s v="Always a positive experience"/>
        <s v="Quick delivery"/>
        <s v="REPRESENTATIVES ARE VERY UNDERSTANDING…"/>
        <s v="Rep always gets back to me immediately."/>
        <s v="Not great but went okay."/>
        <s v="you have decent prices"/>
        <s v="Happy Willow, happy Fern!!!"/>
        <s v="Love Pet Flow..been using them for 8…"/>
        <s v="Scammed and never ordered"/>
        <s v="Petflow is amazing"/>
        <s v="All of my experiences with PetFlow are…"/>
        <s v="Payment glitches, long waits with Call Centre"/>
        <s v="Very quick delivery and high quality…"/>
        <s v="You should have known when I placed my…"/>
        <s v="Great experience!!!!!!"/>
        <s v="Shipping was quick"/>
        <s v="If I could give you a 0 star I would"/>
        <s v="BUYER BEWARE!!"/>
        <s v="quick service"/>
        <s v="I have not received my product"/>
        <s v="I still have not received my order."/>
        <s v="Best price I have found for Dog Food"/>
        <s v="Web site"/>
        <s v="PetFlow has food and toys my dogs love"/>
        <s v="Customer service is awesome"/>
        <s v="Super delivered my home the price is…"/>
        <s v="Very helpful polite phone staff"/>
        <s v="Locked out of website, orders not shipped"/>
        <s v="The Ebb and Flow Of PetFlow's CSR's"/>
        <s v="Very good overall"/>
        <s v="Came quickly and efficiently"/>
        <s v="Great Service from PetFlow"/>
        <s v="Canceled my orders without notification"/>
        <s v="Terrific service."/>
        <s v="My dogs were having an allergy attack…"/>
        <s v="Fast shipping and amazing value"/>
        <s v="Pet Flow gets it right."/>
        <s v="They had the product I needed at a…"/>
        <s v="Order Cancelled???"/>
        <s v="Ordering was very easy and cost was…"/>
        <s v="Pet Flow"/>
        <s v="My order was canceled"/>
        <s v="Great Pet Products and Quick Delivery"/>
        <s v="Shame on PETFLOW!"/>
        <s v="First time purchase, terrible experience"/>
        <s v="I did not order anything but received…"/>
        <s v="My cats store"/>
        <s v="PetFlow is the best"/>
        <s v="I never placed an order with you but my…"/>
        <s v="Prices are very competitive"/>
        <s v="Great price with opportunity to get…"/>
        <s v="I still haven’t received my order…"/>
        <s v="pleased with this company"/>
        <s v="Easy, fast, and best price!"/>
        <s v="Good products at good prices delivered…"/>
        <s v="Very good service!!"/>
        <s v="Shipment 3 different times"/>
        <s v="Great service with Speed."/>
        <s v="Order canceled for no reason or notice…"/>
        <s v="Great Prices Fast delivery"/>
        <s v="Did not like that I buy a membership in…"/>
        <s v="Left product out by the street in the…"/>
        <s v="I ordered some Guinea pig food and the…"/>
        <s v="Dry dog foods."/>
        <s v="I had been looking for best auto ship…"/>
        <s v="I ordered dog food to be sent to my…"/>
        <s v="I always did love PetFlow"/>
        <s v="Account flagged as fraud"/>
        <s v="REAL Customer Service Reps"/>
        <s v="Website takes too long to navigate."/>
        <s v="Great prices fast shipping only…"/>
        <s v="This is a fake account"/>
        <s v="friendly competent person that took…"/>
        <s v="The 1 star may or may not be fair"/>
        <s v="Horrible."/>
        <s v="The round cat scratcher fitted perfectly"/>
        <s v="Not sure why but I had a monthly…"/>
        <s v="Easy online ordering and product came…"/>
        <s v="Pricing"/>
        <s v="we received a shipment from petflow and…"/>
        <s v="I keep getting emails about orders I…"/>
        <s v="Excellent service"/>
        <s v="This was a fraudulent purchase"/>
        <s v="The first time I used the automatic dog…"/>
        <s v="My purchased was flagged and canceled.I…"/>
        <s v="Ordered 3 times from Petflow"/>
        <s v="Too Heavy!"/>
        <s v="I am getting emails about orders I did…"/>
        <s v="Poor delivery time"/>
        <s v="Amazing experience."/>
        <s v="Delivered as PeomisedProduct was delivered as promised."/>
        <s v="Pet Flow is my Go To for pet food"/>
        <s v="Easy to use App for ordering and always…"/>
        <s v="Have had very good experience with…"/>
        <s v="price was much better than most other…"/>
        <s v="Quick reliable service"/>
        <s v="I love the convenience auto ship"/>
        <s v="I have never shopped with you guys…"/>
        <s v="First time purchasing"/>
        <s v="A good place to find a variety of food for your dog"/>
        <s v="Packaging is unsafe and unreliable"/>
        <s v="Easy website to use and prompt shipping."/>
        <s v="I am happily impressed with the…"/>
        <s v="EXCEEDINGLY EXPENSIVE!"/>
        <s v="Excellent service!"/>
        <s v="Pleased"/>
        <s v="Great quality products and very quick…"/>
        <s v="I bought the Kong monster balls for our Beagle …"/>
        <s v="Your two representatives"/>
        <s v="You cancelled my order because I made…"/>
        <s v="My dogs most favorite treats are…"/>
        <s v="Prices are good however, cans were damaged upon delivery"/>
        <s v="Fast shipping and prices in line with…"/>
        <s v="Great selection and price"/>
        <s v="Had never heard of this company before…"/>
        <s v="Great prices - Great service!"/>
        <s v="Try 'em, they're GREAT!"/>
        <s v="Best price anywhere and fast shipping"/>
        <s v="My first order was cancelled in error…"/>
        <s v="it only took 3 days to get my order!"/>
        <s v="Great communication"/>
        <s v="Great experience"/>
        <s v="Prices are good"/>
        <s v="I added a few things to my cart and…"/>
        <s v="Took forever to get my dog food."/>
        <s v="Very slow service!"/>
        <s v="I haven’t received the order after two…"/>
        <s v="PetFlow definitely had the best price…"/>
        <s v="My Go-To Online Pet Supply Store"/>
        <s v="Best prices that I’ve found"/>
        <s v="Ordered it and it got here"/>
        <s v="Lucky Find"/>
        <s v="I know that the road conditions for my…"/>
        <s v="Exactly what I ordered."/>
        <s v="Caution"/>
        <s v="My first was experience was excellent overall!"/>
        <s v="Your website is very intrusive and hard…"/>
        <s v="Highly recommend this company"/>
        <s v="PetFlow has such a variety of options…"/>
        <s v="Price and customer service was good"/>
        <s v="Great compant with quality products"/>
        <s v="Low prices"/>
        <s v="Quick &amp; Accurate"/>
        <s v="I received the dog food I ordered in a…"/>
        <s v="Fast shipping on hard to find item"/>
        <s v="Frequent customer"/>
        <s v="Order #: 10895458"/>
        <s v="Customer focused great cat food"/>
        <s v="Fast shipping and great products"/>
        <s v="Item was priced very fairly"/>
        <s v="When I got my package I found that I…"/>
        <s v="Excellent cs"/>
        <s v="Remove my email address from your records"/>
        <s v="Lots of finger pointing between my vet…"/>
        <s v="It was easy to find the product and…"/>
        <s v="It arrived in time no delays or hiccups…"/>
        <s v="Internet Pond Fish are happy and love Pet Flow…"/>
        <s v="Pedro's Mom"/>
        <s v="Thank you for excellent customer…"/>
        <s v="Constant account hacks"/>
        <s v="My account was hacked and my credit…"/>
        <s v="Great online pet products store"/>
        <s v="Good prices and fast delivery"/>
        <s v="Excellent product. Shipping is quick."/>
        <s v="The wrong product was shipped and…"/>
        <s v="Pet flow is the most awesome online pet…"/>
        <s v="Fast shipping great prices great quality"/>
        <s v="Excellent PETFLOW is the best"/>
        <s v="package and order was ok just left at…"/>
        <s v="I have always had good service from…"/>
        <s v="Made the Switch"/>
        <s v="Came in a timely manner"/>
        <s v="Good prices and customer service, but not great shipping"/>
        <s v="Very hard to work with even though I…"/>
        <s v="Ease of ordering and modifying my auto…"/>
        <s v="All of the information you need to fill…"/>
        <s v="Terrible Service"/>
        <s v="everything came quickly"/>
        <s v="I am getting emails telling me that my…"/>
        <s v="Thank you!"/>
        <s v="They randomly canceled my order"/>
        <s v="Every time I have called"/>
        <s v="Good reply in customer service support."/>
        <s v="Pleasant experience!"/>
        <s v="Always works perfectly...order online"/>
        <s v="It was real fast service to get the bag…"/>
        <s v="It was great to receive dog food in…"/>
        <s v="I ordered two cases of Merrick Grain…"/>
        <s v="Although I received an email stating my…"/>
        <s v="Great Service ships on time"/>
        <s v="This account was supposed to be closed…"/>
        <s v="Very good prices on the dog food we…"/>
        <s v="My e mail is bein used through your…"/>
        <s v="Fast efficient delivery of a difficult…"/>
        <s v="My account was hacked and charges were…"/>
        <s v="I have been dealing with your company…"/>
        <s v="Out of stock items"/>
        <s v="Mr. Bigdog"/>
        <s v="Outstanding Customer Service reps"/>
        <s v="What a great place to shop for dog…"/>
        <s v="There is a glitch in your system"/>
        <s v="Prices were great"/>
        <s v="Twice now I’ve relied on Petflow to…"/>
        <s v="Asked me to review a fraudulent order"/>
        <s v="PetFlow has ALL your pet needs!"/>
        <s v="Great selection"/>
        <s v="Good prices and quick"/>
        <s v="PRICES AND SPEEDY SHIPPING IS THE BEST"/>
        <s v="The Order are getting canceled"/>
        <s v="Good prices and service"/>
        <s v="Petflow is a great place"/>
        <s v="I screwed up my order and Mikaila fixed…"/>
        <s v="PetFlow is always great!"/>
        <s v="Even though I have complained before…"/>
        <s v="I got a great deal on a great product!"/>
        <s v="Once I have items in cart ordering is easy. Would be nice to be able to order previously ordered items again."/>
        <s v="Easy"/>
        <s v="I love that you donate a meal to a…"/>
        <s v="Walter"/>
        <s v="Order was never received"/>
        <s v="Shipping seems to take a bit longer…"/>
        <s v="SCAM ORDER"/>
        <s v="I'm so glad you asked"/>
        <s v="Mallory was AWESOME!"/>
        <s v="This is the first time I've ordered…"/>
        <s v="Love the fact it’s cheaper"/>
        <s v="I was looking for that specific dog…"/>
        <s v="We bought dog food online."/>
        <s v="Simply the BEST."/>
        <s v="My dogs love this food"/>
        <s v="You send me a survey link yet I still…"/>
        <s v="No matter what I order, it's out of stock"/>
        <s v="Delivery was on time and as instructed."/>
        <s v="Reliable"/>
        <s v="Everything I order was right and I get…"/>
        <s v="Easy ordering"/>
        <s v="I had recently ordered food from Pat…"/>
        <s v="YEAH, PETFLOW!"/>
        <s v="BEWARE OF AUTO SHIP CANT CANCEL"/>
        <s v="Products"/>
        <s v="My dog food that is on automatic order"/>
        <s v="It took over ONE week to get my order…"/>
        <s v="I requested few times to add more…"/>
        <s v="Still not delivered on the 28th."/>
        <s v="great product"/>
        <s v="I did not place this order"/>
        <s v="Quick Shipping"/>
        <s v="The shipping is so inconsistent"/>
        <s v="Great deals and products"/>
        <s v="Canceled my $300+ needed vet cat food…"/>
        <s v="This was our first time buying on here"/>
        <s v="my order was cancelled"/>
        <s v="Good selection of high quality products"/>
        <s v="Great, as usual!"/>
        <s v="Customer service"/>
        <s v="Vinnie and I are Happy."/>
        <s v="The experience with pet flow is always…"/>
        <s v="Ordering was easy and delivery was…"/>
        <s v="Excellent customer service!"/>
        <s v="Service was great and combined with the…"/>
        <s v="The only place to get our dog and cat food"/>
        <s v="-4 for delivery time"/>
        <s v="The company canceled my order 3 tines…"/>
        <s v="My order went to the wrong address and…"/>
        <s v="Excellent pet products at bargain…"/>
        <s v="Makes pet shopping easy!"/>
        <s v="Orders arrive on time and prices are…"/>
        <s v="My orders are always delivered within 2…Mazey’s kibble"/>
        <s v="They always have the items I am looking…"/>
        <s v="This company was awful to deal with"/>
        <s v="Great prices and on time delivery."/>
        <s v="Although FedEx is the most miserable…"/>
        <s v="It's nice to get a heads up before a…"/>
        <s v="100% SATISFIED"/>
        <s v="Great and plentiful selection of pet…"/>
        <s v="Website has alot of choices and the…"/>
        <s v="Great service &amp; quality products"/>
        <s v="Petflow ships promptly!"/>
        <s v="I ordered cat food for my 2 fur babies…"/>
        <s v="Out of stock?"/>
        <s v="Great discounts!!"/>
        <s v="Convenient"/>
        <s v="Great company to deal with"/>
        <s v="The products arrived undamaged"/>
        <s v="Had the food in stock and promptly…"/>
        <s v="Best quality bully sticks"/>
        <s v="Good product, great price!"/>
        <s v="Phone reps were great"/>
        <s v="Received product expiring next month, wasted my money"/>
        <s v="You are reliable"/>
        <s v="Not user friendly but got what I needed"/>
        <s v="Order process easy"/>
        <s v="My order came quickly and was accurate."/>
        <s v="Easy to find what I needed at a good…"/>
        <s v="Shipment always delayed and customer…"/>
        <s v="I ordered by wet dog food from Pet Flow…"/>
        <s v="The item I needed was in stock"/>
        <s v="PetFlow canceled my medication order with no communication and lost a customer."/>
        <s v="My orders were cancelled without…"/>
        <s v="I have had a horrible experience which…"/>
        <s v="Good service!"/>
        <s v="Easy to begin auto ship"/>
        <s v="Shipment was quick"/>
        <s v="Solid &amp; Reliable"/>
        <s v="Good communication and fair pricing."/>
        <s v="Excellent pet food company"/>
        <s v="Efficient and trustworth"/>
        <s v="Great products at a great price"/>
        <s v="Awesome service....great…"/>
        <s v="Pleased with all my purchases"/>
        <s v="Auto ship does not work"/>
        <s v="My order was canceled and I was never…"/>
        <s v="They are doing a great job!"/>
        <s v="Easy website for me!"/>
        <s v="Quick shipping and competitive prices"/>
        <s v="Order came in perfect condition"/>
        <s v="Product was in stock"/>
        <s v="you need more coupons"/>
        <s v="I have now ordered a couple of times…"/>
        <s v="Very fast shipping"/>
        <s v="I placed an order"/>
        <s v="Online order problem"/>
        <s v="Petflow reps are always helpful &amp; make…"/>
        <s v="Too long for shipment"/>
        <s v="Great company quick delivery have all…"/>
        <s v="Petflow had brands that I have…"/>
        <s v="Great price on the Chinchilla food!"/>
        <s v="Dog provider"/>
        <s v="I changed the address for delivery and…"/>
        <s v="I ordered canned prescription Royal…"/>
        <s v="Discovered Petflow When Other Place Out of Stock"/>
        <s v="Willingness to help me through the…"/>
        <s v="Excellent service and very quick…"/>
        <s v="Prices are good and shipping is fast."/>
        <s v="Never had a bad experience"/>
        <s v="The customer service is extraordinary"/>
        <s v="It was my first time ordering with this…"/>
        <s v="I didn’t even place the order that…"/>
        <s v="Carries brand not found in most pet…"/>
        <s v="Awesome professional support with…"/>
        <s v="Prompt response."/>
        <s v="Great experience on website and…"/>
        <s v="EXCELLENT PRICING"/>
        <s v="I’m was technologically inept on the…"/>
        <s v="Everything I was looking for was in…"/>
        <s v="First order!"/>
        <s v="Using Petflow was easy"/>
        <s v="Great Customer Service &amp; Best Produce Pricing"/>
        <s v="NO one knew what was happening"/>
        <s v="I was looking for better pricing for my…"/>
        <s v="They always have what I am looking for…"/>
        <s v="Awesome online pet products delivered to your door"/>
        <s v="They had what I needed in stock and it…"/>
        <s v="Website was easy to navigate and…"/>
        <s v="Best price I could find"/>
        <s v="arrogance sales!"/>
        <s v="HORRIBLE CUSTOMER SERVICE!"/>
        <s v="EXTREMELY DISAPPOINTED"/>
        <s v="Good experience. Thank yoy"/>
        <s v="Could not pay with paypal"/>
        <s v="I appreciate their communication with…"/>
        <s v="Affordable Place to Shop"/>
        <s v="Even with delays they were top-notch!"/>
        <s v="Great and Fast Service and plenty of…"/>
        <s v="Super quick shipping and good prices."/>
        <s v="Specialty cat food order"/>
        <s v="Excellent!"/>
        <s v="Order shipping delays - NJ warehouse"/>
        <s v="My favorite mail order for pet food and stuff"/>
        <s v="My cat would not eat several differert…"/>
        <s v="Always excellent customer service."/>
        <s v="Shipment on time"/>
        <s v="Not a good experience at all"/>
        <s v="Fast shipping!!"/>
        <s v="Special cat food"/>
        <s v="Very happy with the product the way it…"/>
        <s v="Charged 10 days ago for unshipped order"/>
        <s v="Trouble free delivery"/>
        <s v="Tried ordering twice..both times the…"/>
        <s v="Got what I ordered and delivered…"/>
        <s v="Although I had never purchased from…"/>
        <s v="Had dog food I used"/>
        <s v="I still haven’t gotten my order"/>
        <s v="Good service and competitive prices"/>
        <s v="They went above and beyond the call"/>
        <s v="Could not buy cat food without a…"/>
        <s v="Availability"/>
        <s v="Good products quality excellent…"/>
        <s v="Ordering the needed vet diet for my dog…"/>
        <s v="You falsely advertised an item"/>
        <s v="Extremely friendly and helpful customer…"/>
        <s v="Happy with service very pleased."/>
        <s v="I have received my puppy’s food in a…"/>
        <s v="Federal express incompetence"/>
        <s v="Super quick response time when I…"/>
        <s v="PetFlow is wonderful!"/>
        <s v="Fast service and delivery"/>
        <s v="Great customer service...Poor shipping procedures"/>
        <s v="No tracking info, Autopay that was not agreed to."/>
        <s v="I’ve been overcharged for my orders…"/>
        <s v="Concerned about the package that I…"/>
        <s v="great value and quick delivery."/>
        <s v="Friendly customer service"/>
        <s v="Overall a good experience"/>
        <s v="First time ordering prescription food…"/>
        <s v="Good price and fast delivery"/>
        <s v="As advertised product with timely…"/>
        <s v="Great prices and quick delivery"/>
        <s v="Was on time and order is right"/>
        <s v="Tape top and bottom end edges"/>
        <s v="It’s extremely easy to order anything."/>
        <s v="Quality products, good customer service"/>
        <s v="PetFlow carries the particular brands…"/>
        <s v="Petflow review…"/>
        <s v="Sorry packaging!!!"/>
        <s v="Suddenly out of stock??"/>
        <s v="Terrible packing for this shipment"/>
        <s v="Responsive customer support. Good availability of product I needed."/>
        <s v="👍👍"/>
        <s v="I found this company online when the…"/>
        <s v="Got dog food in a timely manner."/>
        <s v="Thank you"/>
        <s v="Better listening skills in customer support"/>
        <s v="Fast delivery I ordered tetraColor XL tropical…"/>
        <s v="My package was delivered damaged and…"/>
        <s v="Has what I needed and delivered it in…"/>
        <s v="Easy to navigate website"/>
        <s v="Great selection and fast shipping!"/>
        <s v="This was the first time I had shopped…"/>
        <s v="I will never order anything from this…"/>
        <s v="Great price and fast shipping"/>
        <s v="My orders are always punctual and good"/>
        <s v="my account showed a backorder"/>
        <s v="Great options and Fast delivery"/>
        <s v="PetFlow has a great selection of products"/>
        <s v="Cheaper then other places"/>
        <s v="All of my dealings with pet have been…"/>
        <s v="Happy Customer"/>
        <s v="Great price and quick shipping!"/>
        <s v="Fast shipping and almost always have…"/>
        <s v="Cumbersome Internet system caused two…"/>
        <s v="I received this order so quickly which…"/>
        <s v="Took 9 days for order to arrive"/>
        <s v="This has to be my 10 th or more times…"/>
        <s v="Good service at a reason able price."/>
        <s v="Was good customer service kept informed about items back…"/>
        <s v="PetFlow My Go to Place"/>
        <s v="Order for Cat Litter"/>
        <s v="Easy process: order to delivery"/>
        <s v="I can count on PetFlow to carry the…"/>
        <s v="Incredibly fast service"/>
        <s v="Quick delivery and competitive prices."/>
        <s v="I Love PetFlow"/>
        <s v="I HAVE ORDERED FROM PETFLOW SEVERAL…"/>
        <s v="Ease of ordering"/>
        <s v="Thanks PetFlow"/>
        <s v="Always have great order takers"/>
        <s v="Petflow has no issue starving your pet"/>
        <s v="Website was easy to use and checkout…"/>
        <s v="Great product and quick great service and quick delivery"/>
        <s v="Timely delivery"/>
        <s v="Fast delivery and Well packaged"/>
        <s v="More often than not my dog's food is…"/>
        <s v="Satisfied customer!"/>
        <s v="I Love the products"/>
        <s v="Awesome website and many brands to…"/>
        <s v="I don't like that 2 orders were placed…"/>
        <s v="Very good delivery"/>
        <s v="Why was shipping in the past better than now?"/>
        <s v="I was able to find what I needed at a…"/>
        <s v="Another positive experience!"/>
        <s v="First time purchasing from Pet Flow"/>
        <s v="All online"/>
        <s v="Amazing Customer Service"/>
        <s v="Dr tims Dog Food"/>
        <s v="Fromm Cat food"/>
        <s v="Ignored by Customer Service"/>
        <s v="Your prices were the best we could…"/>
        <s v="I had trouble finding Verus dog food…"/>
        <s v="My order NEVER arrived"/>
        <s v="Excellent"/>
        <s v="Pet Flow was fast with shipping and…"/>
        <s v="Delivery and customer service"/>
        <s v="Ordering was easy"/>
        <s v="My product order was in stock and I…"/>
        <s v="I ordered a product on January 9 and…"/>
        <s v="I can always count on my pet food…"/>
        <s v="In the last year service has gone from…"/>
        <s v="Love the carrier"/>
        <s v="Cancelled my order and claimed it was…"/>
        <s v="You carry my product but took awhile to…"/>
        <s v="The product I ordered was out of stock"/>
        <s v="Shipping was fast"/>
        <s v="Pet Flow Delivers"/>
        <s v="Flagged my purchases as fraud and then…"/>
        <s v="Auto-Ship is not reliable"/>
        <s v="Product was in stock and order was…"/>
        <s v="Delivery was on time and at a better…"/>
        <s v="3 BEAGLES LOVE TASTE OF THE WILD"/>
        <s v="Good communication"/>
        <s v="Good company"/>
        <s v="Overall Petflow has good service and…"/>
        <s v="Carry brand I was seeking. Delivered timely."/>
        <s v="A large variety of pet food products to…"/>
        <s v="Great price and fast delivery"/>
        <s v="Great company to do business with …"/>
        <s v="The quality of the pet food"/>
        <s v="Competitive prices"/>
        <s v="PetFlow is a great source for ToTW"/>
        <s v="Run fast, run far."/>
        <s v="I didn’t make an order"/>
        <s v="This was my first order from PetFlow -- NOT impressed"/>
        <s v="I was told when I ordered 1-3 days for…"/>
        <s v="Everything went smooth"/>
        <s v="PetFlow is easy to work with"/>
        <s v="Didn't help at all"/>
        <s v="Reasonable prices &amp; great communication"/>
        <s v="Good products and quick shipping"/>
        <s v="I couldn't access my account because I…"/>
        <s v="The order was wrong"/>
        <s v="Order took almost a week to reach me"/>
        <s v="I absolutely LOVE PetFlow!!"/>
        <s v="Damaged but made it right! A+"/>
        <s v="1-10-23Impossible website entry"/>
        <s v="Bad customer service"/>
        <s v="I have used these folks for a couple of…"/>
        <s v="To slow on getting the order out,hard…"/>
        <s v="Easy to use and find items with quick…"/>
        <s v="My order took 10 days to be delivered"/>
        <s v="Intuitive site, great product selection, value."/>
        <s v="It took a little long to receive the…"/>
        <s v="Great Service/Prices"/>
        <s v="They cancel orders and they don’t tell you and they don’t call back"/>
        <s v="I loved PetFlow"/>
        <s v="Shipping delays"/>
        <s v="Lousy Customer Service!"/>
        <s v="- I was .49 cents short for free…"/>
        <s v="Delivery Slow"/>
        <s v="Haven't received product and you want a review?"/>
        <s v="Fast and package was in good condition!"/>
        <s v="Great company."/>
        <s v="Exceptional service"/>
        <s v="7 years doing business with You…"/>
        <s v="Convenience at a great price!"/>
        <s v="Stay far away from Petflow if what you’re looking for is good service and to actually receive your items"/>
        <s v="Slow Shipping"/>
        <s v="Do better PetFlow"/>
        <s v="Nothing Special"/>
        <s v="Delivers as promised"/>
        <s v="I couldn't order because auto shipping"/>
        <s v="No Communication"/>
        <s v="I have tried to use PetFlow a few times…"/>
        <s v="Still haven't received our order"/>
        <s v="Order not shipped from warehouse for…"/>
        <s v="No order ever received"/>
        <s v="Lousy order processing and customer service"/>
        <s v="Where is my Order, which was ordered on 12/26/2022? I would have expected it delivered by know and have already spoken with one of your representatives who said that they are trying to catch up?"/>
        <s v="My orders are taking longer and longer…"/>
        <s v="Love the convenience and customer…"/>
        <s v="Everything went smoothly"/>
        <s v="Everything ships quickly"/>
        <s v="Placed an order for dog food"/>
        <s v="Great experience."/>
        <s v="Ordering online was easy and shipping…"/>
        <s v="Great selection of products"/>
        <s v="My order was cancelled by the fraud…"/>
        <s v="I give up"/>
        <s v="The best prices and fast shipping"/>
        <s v="I have 3 dogs and not one of them would…"/>
        <s v="HORRIBLE COMPANY"/>
        <s v="Great prices and fast delivery"/>
        <s v="Better Than Average Pet Customer Service Experience"/>
        <s v="Pet Flo is really on top of it"/>
        <s v="Terrible just terrible"/>
        <s v="Ordering can be made easier and…"/>
        <s v="A Five Star Wow"/>
        <s v="I have a dog who is allergic to…"/>
        <s v="Delivered on time good choices"/>
        <s v="all around great!"/>
        <s v="Great products, quick shipping"/>
        <s v="Easy to navigate the website and items…"/>
        <s v="Petflow always delivers good products…"/>
        <s v="Quick shipping!"/>
        <s v="Twice my order has been canceled due to…"/>
        <s v="Great!!!"/>
        <s v="I had put numerous orders in for this…"/>
        <s v="Customer service not up to par"/>
        <s v="Fromm dog food"/>
        <s v="You always get your order on time"/>
        <s v="I contacted customer support online to…"/>
        <s v="Package arrived late again"/>
        <s v="Easy to order and I love the automatic…"/>
        <s v="Terrible customer service"/>
        <s v="Unbelievably Bad Service / Policy’s"/>
        <s v="Easy order process and quick response…"/>
        <s v="Poor communication"/>
        <s v="Better Deals through Amazon"/>
        <s v="Unexpected treatment of 7 years customer"/>
        <s v="You're fine"/>
        <s v="Had the product I was looking for for…"/>
        <s v="Always helpful and products are quality."/>
        <s v="Our beloved Newfie died a day or so…"/>
        <s v="Actually I am writing to see if I can…"/>
        <s v="Best price on the dog food I buy."/>
        <s v="Good sales on good products"/>
        <s v="Thoughtful and helpful service"/>
        <s v="EXCELLENT SERVICE - GREAT PRODUCTS"/>
        <s v="I wanted to purchase some that was not noted on your website"/>
        <s v="I got a good price on Tillys Treasures…"/>
        <s v="I used to love PetFlow because the…"/>
        <s v="Prompt delivery at a fair price 😀"/>
        <s v="Great Food, Price and Service!"/>
        <s v="A Satisfied Customer"/>
        <s v="Fast delivery of our pet food"/>
        <s v="Your fast shipping was great"/>
        <s v="Great choice for pet toys and supplies"/>
        <s v="The toy was so little"/>
        <s v="My auto ship is easy and convenient and…"/>
        <s v="I tried to change what we are receiving…"/>
        <s v="Kong ball"/>
        <s v="Terrible experience suspect me theft cat food"/>
        <s v="Fast and efficient with brands I want."/>
        <s v="Good quality products"/>
        <s v="I’ve struggled purchasing food for my…"/>
        <s v="With the cost of this pet food…"/>
        <s v="I have had a good relationship w…"/>
        <s v="Great quality and shipping was very…"/>
        <s v="Liked that ordering is easy"/>
        <s v="My order never arrived and unprofessional customer service"/>
        <s v="You were the only company that had the…products in"/>
        <s v="You asked for response"/>
        <s v="Chewy is a cheaper and nicer alternative"/>
        <s v="Fast accurate shipping and fair prices"/>
        <s v="Was great"/>
        <s v="Always fast shipments"/>
        <s v="Prices are high for the food I feed and…"/>
        <s v="fast and easy checkout and shipping"/>
        <s v="My cats love their &quot;Tasty Treats&quot;!!"/>
        <s v="Where do I begin!"/>
        <s v="Quick friendly people to help with an…"/>
        <s v="Received food in timely manner"/>
        <s v="Litter Review"/>
        <s v="Awesome company with good deals and…"/>
        <s v="Quicker delivery"/>
        <s v="My go to place for the Aussiedoodle"/>
        <s v="Great price"/>
        <s v="Love the prices and quick service"/>
        <s v="First purchase/ great!"/>
        <s v="First"/>
        <s v="great food, great price, great delivery, shipping free"/>
        <s v="Always difficult to gain access to site."/>
        <s v="My shipping box came damaged"/>
        <s v="No takebacks"/>
        <s v="Products available"/>
        <s v="Timely delivery happy with service"/>
        <s v="Totally Pleased with PetFlow"/>
        <s v="We have been using PetFlow for years…"/>
        <s v="Communications were good"/>
        <s v="Ordered on line for less than in stores…"/>
        <s v="PetFlow is the place to go for treats"/>
        <s v="I spoke with customer service weeks ago…"/>
        <s v="Good price on dog food."/>
        <s v="Great Product Selection"/>
        <s v="Your products are healthy and…"/>
        <s v="Good prices but stopped carrying my item"/>
        <s v="I like ordering online don’t like…"/>
        <s v="The shipping time is awful"/>
        <s v="Very reliable when ordering a product"/>
        <s v="Best prices around initially"/>
        <s v="I'm still waiting on my last order"/>
        <s v="Great job PetFlow!"/>
        <s v="You guys are the best!"/>
        <s v="Prompt shipping and great prices!!!"/>
        <s v="POSITIVE EXPERIENCE TO-DATE"/>
        <s v="Order was easy to place great price on Dr Marty’s"/>
        <s v="I received no notice of canceled order…"/>
        <s v="We have ordered for over a year from…"/>
        <s v="Cheaper price takes a little longer for…"/>
        <s v="Great service and products I use for my…"/>
        <s v="I have had a subscription dogfood on…"/>
        <s v="What I order always comes as expected."/>
        <s v="I placed ab order for the first time…"/>
        <s v="Reliable delivery"/>
        <s v="Great service, great people"/>
        <s v="Ordered product and it never shipped"/>
        <s v="After my order being cancelled I don’t…"/>
        <s v="Order and Shipping"/>
        <s v="Went well as I expected"/>
        <s v="PetFlow is great"/>
        <s v="I switched to Pet Flow from Chewy bc…"/>
        <s v="As promised"/>
        <s v="Relax"/>
        <s v="You were less pricey than other places."/>
        <s v="Always satisfying shopping at Petflow."/>
        <s v="Easy, Convenient, Quickly shipped"/>
        <s v="My dogs went crazy over all these…"/>
        <s v="Nice representative"/>
        <s v="Great company to work with……always…"/>
        <s v="SHIPPING DELAYS DETRIMENTAL TO HEALTH OF PETS WITH SPECIAL DIETARY NEEDS"/>
        <s v="My little Maltese loves the small bites…"/>
        <s v="The shipping was surprisingly slow"/>
        <s v="Poor shipping Boxes"/>
        <s v="First time using Pet Flow"/>
        <s v="Petflow is our primary dog food supplier"/>
        <s v="Order"/>
        <s v="An excellent company with wonderful…"/>
        <s v="Took over a week before product even…"/>
        <s v="Instead of a usual delivery of 2…"/>
        <s v="Didnt receive box on scheduled day."/>
        <s v="While the prices are much better than…"/>
        <s v="Order cancelled without notice"/>
        <s v="Perfect service"/>
        <s v="Had a problem with password was locked…"/>
        <s v="Absolutely THE WORST company I have…"/>
        <s v="I have not gotten my products yet"/>
        <s v="They don't think dog food is an urgent item to send out"/>
        <s v="I generally like Pet Flow but I find…"/>
        <s v="Shipment is quick"/>
        <s v="It was a great experience overall"/>
        <s v="The willingness to listen to my issue…"/>
        <s v="Good job!"/>
        <s v="Good product and fast delivery"/>
        <s v="The product was shipped promptly."/>
        <s v="Best price anywhere"/>
        <s v="Excellent selection for pet food and…"/>
        <s v="Shipping times and amount of available…"/>
        <s v="Easy to find items and reasonable prices"/>
        <s v="customer service is excellent"/>
        <s v="Tried to get my auto shipment moved up…"/>
        <s v="Bryan was great"/>
        <s v="Always reliable…"/>
        <s v="Chewy might be a better option"/>
        <s v="I have no complaints about the company…"/>
        <s v="the treats had small fine bones in them had to boil to remove them, it was not fun will not buy again !"/>
        <s v="Go through amazon"/>
        <s v="No order acknowledgement from Pet Flow"/>
        <s v="Dry Kibble ordered on Nov"/>
        <s v="Service Rep said 2-3"/>
        <s v="I had a concern with my order--the…"/>
        <s v="It took a very long time and multiple…"/>
        <s v="Limited/minimal stock items…"/>
        <s v="As always, incredible customer service"/>
        <s v="The company was prompt in getting my…"/>
        <s v="FIVE STARS!!"/>
        <s v="Great Dog Food"/>
        <s v="Representatives very helpful and…"/>
        <s v="I can order Fromm dog food"/>
        <s v="having the product I needed and fast…"/>
        <s v="great company …"/>
        <s v="Great support"/>
        <s v="Have been a client for years"/>
        <s v="Shipping was delayed for 6 straight…"/>
        <s v="good quality stock and fast shipping!"/>
        <s v="Excellent website for pet food!! First time order for puppy food for our…"/>
        <s v="Disappointed"/>
        <s v="Shipping…second order Fr you….first…"/>
        <s v="Poor customer service"/>
        <s v="Best prices and service"/>
        <s v="Exceptionally responsive customer…"/>
        <s v="I love that you donate to pet charities…"/>
        <s v="We needed to Order Prescription food…"/>
        <s v="Bad customer service - GO ELSEWHERE"/>
        <s v="DON'T ORDER FROM THEM"/>
        <s v="Petflow is a great company"/>
        <s v="No problems and timely delivery."/>
        <s v="Prompt delivery"/>
        <s v="Customer for years"/>
        <s v="Not Happy"/>
        <s v="My first order was cancelled with no…"/>
        <s v="Very convenient!"/>
        <s v="The product is great so far"/>
        <s v="Easy to order and quick delivery"/>
        <s v="Check Count in the Bottle - Should be 30...."/>
        <s v="Took almost 10 gays to get the puppy…"/>
        <s v="I don’t want to write anything."/>
        <s v="I ordered dog food on line and never…"/>
        <s v="Liked the convenience of getting our…"/>
        <s v="PRICE AND DELIVERY SPEED"/>
        <s v="Good product, lousy shipping condition."/>
        <s v="It would be nice to get some discounts…"/>
        <s v="I ordered my pet supplies on Monday and…"/>
        <s v="Consistently good service and products"/>
        <s v="Easy to use website and quick delivery…"/>
        <s v="Stuff always right and on time!"/>
        <s v="Great company always on time with my…"/>
        <s v="I got the shipment pretty quick."/>
        <s v="PetFlow always comes through..."/>
        <s v="I love how fast they ship but I’m…"/>
        <s v="I haven't received my order"/>
        <s v="Good products service and price"/>
        <s v="Petflow has provided exceptional…"/>
        <s v="Ordering is easy and shipping is…"/>
        <s v="Fast shipping and excellent product selection …"/>
        <s v="Easy to order &amp; delivery was good as…"/>
        <s v="Not as familiar with navigating your…"/>
        <s v="Easy website"/>
        <s v="I never received my package"/>
        <s v="A great place to get my pets food."/>
        <s v="Great experience from ordering to…"/>
        <s v="Cancelled order"/>
        <s v="I placed a order on 11/6"/>
        <s v="Fast shipping and always consistent…"/>
        <s v="Your prevention protection is not…"/>
        <s v="Shipped to me very fast"/>
        <s v="Quick shipping and great prices!"/>
        <s v="Email notice of item I needed"/>
        <s v="Second time ordering prescription food"/>
        <s v="Ordered Twice and Likely Won’t Again"/>
        <s v="The sales experience was fine"/>
        <s v="Ordered 10 boxes of arm &amp; Hammer…"/>
        <s v="It takes a very long time for shipping."/>
        <s v="Numerous choices at excellent prices"/>
        <s v="Bad experience"/>
        <s v="Attentive customer service"/>
        <s v="Inaccurate inventory"/>
        <s v="The website doesn’t work right"/>
        <s v="Small animal products"/>
        <s v="Great service and people"/>
        <s v="I ordered cat food delivery on 11/2 and…"/>
        <s v="I love the products they carry"/>
        <s v="Products were in stock."/>
        <s v="Great products fresh free shipping"/>
        <s v="A very easy experience"/>
        <s v="My order got canceled without any…"/>
        <s v="I am extremely happy with the ease of…"/>
        <s v="Ordered two times and both times it was…"/>
        <s v="I’d never heard of Petflow"/>
        <s v="Love I can get pacificsource from them"/>
        <s v="I ordered and the item was not in stock…"/>
        <s v="Wet cat food Was out of stock"/>
        <s v="Very satisfied with Pet Flow."/>
        <s v="Great Service, No Problems"/>
        <s v="One Above Chewy"/>
        <s v="Fast delivery fair prices"/>
        <s v="Speedy service with a personal touch"/>
        <s v="Very quick service on Fromm Dog food…"/>
        <s v="Fraud team kept flagging my credit card…"/>
        <s v="Great prices on fancy Feast"/>
        <s v="The order I placed arrived on time"/>
        <s v="Great price!"/>
        <s v="Great"/>
        <s v="My dog loves PetFlow pet food"/>
        <s v="Seems like a decent startup"/>
        <s v="I will forever be a customer"/>
        <s v="I placed an order and two days later I…"/>
        <s v="My orders are always on time"/>
        <s v="I love the company but communication is…"/>
        <s v="The order was processed as always"/>
        <s v="On time delivery"/>
        <s v="Efficient Service &amp; Speedy Delivery"/>
        <s v="It was great service and my stuff was…"/>
        <s v="I love PetFlow!"/>
        <s v="PetFlow is the best!"/>
        <s v="Shipping was quick!"/>
        <s v="Never again"/>
        <s v="Received my items in only 3 days!"/>
        <s v="Great, quick service"/>
        <s v="Company was great in fulfilling my…"/>
        <s v="Competitive prices and good service"/>
        <s v="My order is constantly being canceled"/>
        <s v="Honored competitor pricing - thank you!"/>
        <s v="All around best pet supply company"/>
        <s v="Ordered cat food on sale"/>
        <s v="Wonderful"/>
        <s v="Had to inquire whether or not my order…"/>
        <s v="i have a difficult time finding this…"/>
        <s v="Ordered food"/>
        <s v="quick quick delivery and a free toy"/>
        <s v="Petflow = pet love"/>
        <s v="CSR told me my card was fraudulent and…"/>
        <s v="A Swift Smooth Transaction"/>
        <s v="We’ve been using PetFlow for many years…"/>
        <s v="Consistent delivered quickly and quality cat food"/>
        <s v="Delivered quickly"/>
        <s v="Website Lists Items They Don't Have"/>
        <s v="Damage Goods"/>
        <s v="Spoke with a rep named Ryan and he was…"/>
        <s v="Everything as described"/>
        <s v="I like that shipment can happen the…"/>
        <s v="This company has very quickly response…"/>
        <s v="I ordered prescription food for my sick…"/>
        <s v="I get the brand I want and don’t have to hunt the stores for it."/>
        <s v="Auto ship beeare"/>
        <s v="Inconsistent"/>
        <s v="Great service Had the product I needed"/>
        <s v="Two orders placed at different times"/>
        <s v="As usual many of the cans were dented…"/>
        <s v="I had a issue with my picky cat"/>
        <s v="Great product and shipping was fast"/>
        <s v="Name Changer"/>
        <s v="I appreciate that I can quickly reach a…"/>
        <s v="Notify Me Please About Sending Prior To"/>
        <s v="Order Hasn't Arrived - Not Processed Properly"/>
        <s v="Your website needs to be better…"/>
        <s v="Merrick Lil Plates"/>
        <s v="DON’T BOTHER ORDERING, THEY’LL JUST CANCEL IT!"/>
        <s v="BE NICE to REPEAT CUSTOMERS !!"/>
        <s v="Both times that I have ordered from…"/>
        <s v="I placed an order online because it…"/>
        <s v="Signed up and waited 9 days to learn you don't have the product"/>
        <s v="PetFlow has grown on me"/>
        <s v="Wonderful company!"/>
        <s v="Very knowledgeable and helpful…"/>
        <s v="Can’t recommend. They could care less if you order or not!"/>
        <s v="Don’t bother"/>
        <s v="Slight Issue Resolved Quickly"/>
        <s v="My order was cancelled and I did not…"/>
        <s v="Everything… I always need personal help…"/>
        <s v="great serviceThe people on the phone are friendly…"/>
        <s v="What a great business to work with"/>
        <s v="My order was shipped in record time."/>
        <s v="very disappointed"/>
        <s v="Excellent product I've been buying from…"/>
        <s v="Frustrating"/>
        <s v="Up-priced in the cart and customer service simply hung up on me"/>
        <s v="Would give this company zero stars if…"/>
        <s v="No cat food"/>
        <s v="Fast delivery and fair prices"/>
        <s v="So glad I found this company"/>
        <s v="Items Ordered"/>
        <s v="Very good!!!"/>
        <s v="Worst customer service I have ever experienced"/>
        <s v="Customer service is great"/>
        <s v="Why I chose Petflow"/>
        <s v="I was pleased to find what I needed at…"/>
        <s v="You place sucks"/>
        <s v="Thank goodness for Petflow"/>
        <s v="Honest Reply, informative"/>
        <s v="Love this cat tower"/>
        <s v="Great products and reviews that help…"/>
        <s v="They were very helpful &amp; my Cat food…"/>
        <s v="It took longer that buying it directly…"/>
        <s v="wrong address"/>
        <s v="If I could give it zero I would"/>
        <s v="Fast Shipping and Good Prices for hard…"/>
        <s v="Great selection, but….."/>
        <s v="I ordered some thing and the order was…"/>
        <s v="Have spoken to 5 people to get an order…"/>
        <s v="My cat needs prescription Hills y/d"/>
        <s v="I’ve been using Petflow for quite a…"/>
        <s v="NutriSource Large Breed Puppy Chicken &amp; Rice Dry Dog Food 60 lb. (2 x 30 lb.)"/>
        <s v="Delivery of the product was sloppy."/>
        <s v="My only complaint is that the bags of…"/>
        <s v="Great prices of several items we use"/>
        <s v="The best prices ,in stock merchandise…"/>
        <s v="Dog food showed up moldy"/>
        <s v="PetFlow carries Fromm healthy weight…"/>
        <s v="My order was cancelled without any…"/>
        <s v="Good selection and promotions."/>
        <s v="Stop accepting orders for items you do…"/>
        <s v="Always a great experience with Petflow"/>
        <s v="Where is my credit for exploded dog food cans?"/>
        <s v="First time using Petflow"/>
        <s v="Our items were shipped quickly!"/>
        <s v="Timely and accurate delivery"/>
        <s v="Products and pricing are wonderful"/>
        <s v="Packed orders"/>
        <s v="It was entirely on me to send a…"/>
        <s v="No customer awareness"/>
        <s v="Good Service, fast delivery"/>
        <s v="Easy to order and wonderful product."/>
        <s v="Long-term customer for a reason"/>
        <s v="Fast and Great Price"/>
        <s v="Ziggy went nuts over the treats"/>
        <s v="Excellent service and products"/>
        <s v="Find a different source for your pet needa"/>
        <s v="Good food"/>
        <s v="Item out of stock"/>
        <s v="All good overall!"/>
        <s v="Website advertised canned y/d thyroid…"/>
        <s v="I Helping you to improve your processgave you a top score because we…"/>
        <s v="Love our fur babies"/>
        <s v="Peanut butter snacks"/>
        <s v="Better than Chewy"/>
        <s v="My pups love all of the toys we ordered…"/>
        <s v="I submitted a signed prescription from…my veterinarian but it’s like I didn’t"/>
        <s v="Great website"/>
        <s v="Happy Pets"/>
        <s v="I have gotten Myias can food before…"/>
        <s v="Avoid this Company!"/>
        <s v="Great service and communication"/>
        <s v="Easy Peasy...Got What I Needed"/>
        <s v="My experience was very positive"/>
        <s v="My puppy Lola has had allergy skin…"/>
        <s v="You are asking for me to rate something…"/>
        <s v="I appreciate the delivery"/>
        <s v="Okay for Now"/>
        <s v="Scam"/>
        <s v="I have my dog food delivered"/>
        <s v="Soooo disappointed here"/>
        <s v="i’m usually pretty pleased with…"/>
        <s v="Was very pleased with fast"/>
        <s v="Quick delivery and great coupon"/>
        <s v="You allowed an order to be placed for…"/>
        <s v="I was very pleased with my purchase…"/>
        <s v="Very Happy"/>
        <s v="Dr Marty Dog food"/>
        <s v="Ordering is quick and easy"/>
        <s v="Every one was helpful"/>
        <s v="Petflow made it easy!"/>
        <s v="First time buyer"/>
        <s v="Not the end of the world BUT..."/>
        <s v="I ordered two cases of food"/>
        <s v="d excellent quality of…products"/>
        <s v="Never received product nor heard that…"/>
        <s v="Always reliable"/>
        <s v="Super helpful staff!"/>
        <s v="It was cheaper than anywhere else"/>
        <s v="I ordered my dog food almost two weeks…"/>
        <s v="Horrible service. Go to Chewy"/>
        <s v="Very Unprofessional"/>
        <s v="Many items are not available at this time."/>
        <s v="Order cancelled with no communication for fraud for diff shipping and billing addresses"/>
        <s v="Apparently my order was canceled by the…"/>
        <s v="I tried using a coupon that said…"/>
        <s v="I will never ever contact Pet Flow for…"/>
        <s v="Bi-monthly order of dog food that is…"/>
        <s v="Shows on website the food I needed for…"/>
        <s v="Great products"/>
        <s v="Kind of odd. . ."/>
        <s v="Half of an order and half of the service"/>
        <s v="I tried twice to order the dog food for…"/>
        <s v="Probably won’t buy again"/>
        <s v="Took over two weeks for order to…"/>
        <s v="This place is a real joke"/>
        <s v="Waiting and Waiting..."/>
        <s v="Happy cat owner"/>
        <s v="Petflow does a very good job."/>
        <s v="No recommendations from me"/>
        <s v="Not sure if I will oder again"/>
        <s v="My parents'dog loves this pet food"/>
        <s v="Great Company to buy Pet Food Fromm...Pun Intended!"/>
        <s v="It’s too hard to cancel auto ship…"/>
        <s v="Delivery took longer than I expected"/>
        <s v="Very good customer service"/>
        <s v="Deception at its finest"/>
        <s v="Always an excellent experience at PetFlow!!"/>
        <s v="Petflow had the sensitivity select dog…"/>
        <s v="Ord delayed no communication"/>
        <s v="Lack of communication issues"/>
        <s v="transfering a new hardcopy Rx was a bit…"/>
        <s v="GREAT CUSTOMER SUPPORT"/>
        <s v="Very prompt service"/>
        <s v="Dog food I ordered went out of stock…"/>
        <s v="FRDEX didn't deliver the previous…"/>
        <s v="you can count on PetFlow"/>
        <s v="I bought the august 31st haven't even…"/>
        <s v="I think you are all fantastic A+++++"/>
        <s v="I placed an order then nothing"/>
        <s v="What the heck?"/>
        <s v="Communication with PetFlow staff was…"/>
        <s v="Super prompt service!"/>
        <s v="YD CANNED CAT FOOD"/>
        <s v="Products were cheaper locally."/>
        <s v="Ordered prescription cat food that was…"/>
        <s v="Had what I was looking for"/>
        <s v="My order was canceled twice without an…"/>
        <s v="I have a rescue and wanted to give…"/>
        <s v="Awesome crate"/>
        <s v="order not fulfilled"/>
        <s v="Worst purchase experience ever"/>
        <s v="Dog Food Delivery"/>
        <s v="This site is legitimate"/>
        <s v="Simple ordering and quick delivery"/>
        <s v="Horrible communication and customer service …"/>
        <s v="Prescription wasn’t approved and I…"/>
        <s v="Fast very secure service"/>
        <s v="Nothing but good to say about petflow"/>
        <s v="Great to do business with"/>
        <s v="found z/d Hill's hypo"/>
        <s v="Wonderful and caring experience…"/>
        <s v="The ordering process was easy…however"/>
        <s v="If you want the very best for your beloved pet, trust PetFlow to deliver."/>
        <s v="Fast shipping &amp; best price when…"/>
        <s v="PetFlow offers competitive prices"/>
        <s v="I tried to order litter boxes for my…"/>
        <s v="Went from bad to worse"/>
        <s v="Good prices and relatively fast delivery"/>
        <s v="Thinking twice. :-("/>
        <s v="Everything was great!"/>
        <s v="Frustrated…"/>
        <s v="Completely satisfied!"/>
        <s v="Good service arrived when you said it…"/>
        <s v="My auto ship sat in processing status…"/>
        <s v="Too expensive. Delivered late."/>
        <s v="Two times I tried to order a particular…"/>
        <s v="This is the first time I used pet flow…"/>
        <s v="Great customer support and very fair…"/>
        <s v="good communication about delivery…"/>
        <s v="I am NOT Paul Weiler"/>
        <s v="No product"/>
        <s v="Good service ordered dog food and it…"/>
        <s v="My product never made it to my…"/>
        <s v="Shipping is outstanding!"/>
        <s v="Unhappy customer…"/>
        <s v="Called twice to check on my order"/>
        <s v="The cat food arrived on time"/>
        <s v="Satisfied Customer"/>
        <s v="Petflow A Good Pet Supply company"/>
        <s v="Petflow was so helpful in telling me…"/>
        <s v="Good products and prices, slooow delivery"/>
        <s v="My pet lovess"/>
        <s v="No one called me to tell me my order…"/>
        <s v="Fast"/>
        <s v="DOGGIE HEAVEN"/>
        <s v="Could have been worse"/>
        <s v="I am always happy with my orders from…"/>
        <s v="Happy experience"/>
        <s v="The site and purchase was fine"/>
        <s v="Customer Service helpful!"/>
        <s v="Shipping"/>
        <s v="The service at Pet Flow is very…"/>
        <s v="all good so far but what can i say…"/>
        <s v="I would give 5 stars but I had several…"/>
        <s v="Sent Expired Food!"/>
        <s v="My dog needed a prescription diet dog…"/>
        <s v="Unreliable source of diet food"/>
        <s v="I'm satisfied with the food but you…"/>
        <s v="Extremely poor and not to be trusted"/>
        <s v="Petflow has a great variety of foods"/>
        <s v="Dented dog food cans"/>
        <s v="Horrid experience"/>
        <s v="I love my dog's new collars"/>
        <s v="You are excellent"/>
        <s v="Denemarin available..."/>
        <s v="Pet Flow &quot;usually&quot; OKAY, not GREAT!"/>
        <s v="My vet could not get the prescription…"/>
        <s v="It was all pretty seamless"/>
        <s v="Large bag dry dog food"/>
        <s v="Looking all over for prescription wet…"/>
        <s v="Super fast shipping!"/>
        <s v="Had Great Experience with PetFlow!"/>
        <s v="Order was quickly shipped BUT order was…"/>
        <s v="No dog food for you!"/>
        <s v="I recently purchased a bag of dog food"/>
        <s v="Quick service &amp; delivery...."/>
        <s v="Shipping took entirely too long"/>
        <s v="Friendly folks"/>
        <s v="It took way too long to ship the food"/>
        <s v="I ordered product"/>
        <s v="Fraud Depoatment has flagged my…"/>
        <s v="Ghosted"/>
        <s v="You were unable to fill my order and…"/>
        <s v="Not worth the value"/>
        <s v="I ordered 3 bags of hills feline dry…"/>
        <s v="I ordered my cat a specialty cat food…"/>
        <s v="I called to cancel an order within 24…"/>
        <s v="I've been using Petflow for my furry…"/>
        <s v="Treat Shopping"/>
        <s v="CEazy-Peazyouldn't be much easier and a great…"/>
        <s v="Best customer service!!"/>
        <s v="Four Paws Up For Pet Flow"/>
        <s v="Awesome Dog Treats and Stellar Service"/>
        <s v="The website was easy to use"/>
        <s v="I'm pleased with the order process and…"/>
        <s v="They have the brands we feed our pets"/>
        <s v="Good prices, excellent service!"/>
        <s v="Prescription food showed &quot;in stock&quot; on…"/>
        <s v="I ordered my cat’s prescription food…"/>
        <s v="Everything has been great"/>
        <s v="My experience with PetFlow has been…"/>
        <s v="Good Web Site"/>
        <s v="My experience was good"/>
        <s v="I WAS AMAZED THAT THEY HAD THE SAME…"/>
        <s v="Fast and good service. We were running out of food"/>
        <s v="Convenient and prices are very good"/>
        <s v="Easy to shop"/>
        <s v="Great Prices Speedy Delivery"/>
        <s v="Loved the website"/>
        <s v="The prescription cat food (wd) is out…"/>
        <s v="I have a dog that needs prescription…"/>
        <s v="Pleased with Petflow"/>
        <s v="Fast response and showed initiative"/>
        <s v="Prescription Cat Food"/>
        <s v="PetFlow is now my reliable go-to for pet food/supplies!"/>
        <s v="Disappointing service"/>
        <s v="One thing I really love Petflow is they…"/>
        <s v="Was able to order special food for my…"/>
        <s v="Quick and easy"/>
        <s v="Terrible Service &amp; Communication!"/>
        <s v="Good first experience"/>
        <s v="Change future order"/>
        <s v="Large,heavy food bag delivery"/>
        <s v="Bad follow-up after placing an order"/>
        <s v="Terrible company with issues"/>
        <s v="Terrific!"/>
        <s v="Good duck, mediocre salmon"/>
        <s v="You're really great"/>
        <s v="Fast delivery, good prices"/>
        <s v="The in-stock status of food was…"/>
        <s v="I have used petflow for a long time"/>
        <s v="First time shopper"/>
        <s v="Finally found a source for the Hills…"/>
        <s v="Treats were hits with dog and cats."/>
        <s v="This company has labeled me as fraud…"/>
        <s v="You make getting dog food a breeze"/>
        <s v="Working with PetFlow was wonderful"/>
        <s v="Nice people and great service."/>
        <s v="I ordered a prescription diet for my dog"/>
        <s v="Accurate, fast, good quality"/>
        <s v="Always such quick service and exactly…"/>
        <s v="The website is organized and works…great service."/>
        <s v="I ordered 2 bags of Hills Science Diet…"/>
        <s v="Kudos for PetFlow"/>
        <s v="Everything was great"/>
        <s v="I had issues with my order"/>
        <s v="We ordered product and after two days…"/>
        <s v="exact product I was looking for and at…"/>
        <s v="Great price. Fast delivery"/>
        <s v="This was my first time ordering from…"/>
        <s v="Your Shipping time was 3x as long as…"/>
        <s v="food order took a long time to arrive"/>
        <s v="when i ordered said in stock,,then i…"/>
        <s v="Another satisfied customer"/>
        <s v="Always correct and on time"/>
        <s v="Terrible experience…"/>
        <s v="Delivery"/>
        <s v="Wouldn't allow me to place an order"/>
        <s v="Failed to Meet Promises"/>
        <s v="Slow delivery, bad tracking updates"/>
        <s v="Very happy with service they provided."/>
        <s v="Awesome experience"/>
        <s v="Great!"/>
        <s v="Petflow has great pricing and service"/>
        <s v="I wasn’t happy when they told me they…"/>
        <s v="Unable to get product"/>
        <s v="I’ve shopped with Petflow for years"/>
        <s v="I can't actually manage autoship"/>
        <s v="Disappointed in your service Was told…"/>
        <s v="First but not last order !"/>
        <s v="My canned dog came dented"/>
        <s v="They did not fulfill any of my orders"/>
        <s v="Best prices!"/>
        <s v="Always easy to work with"/>
        <s v="Great,prompt service"/>
        <s v="Delivery is quick and accurate"/>
        <s v="Received quickly &amp; packaged well."/>
        <s v="Very pleased"/>
        <s v="My order was shipped on August 4"/>
        <s v="Very good product and fast shipping"/>
        <s v="I don’t think I will take a risk…"/>
        <s v="Unfortunately incorrect stock listed"/>
        <s v="Best Dog Food Subscription service"/>
        <s v="Horrible experience"/>
        <s v="My order showed food was in stock"/>
        <s v="Fast and reliable"/>
        <s v="I recommend."/>
        <s v="On the website"/>
        <s v="Great company. Out of stock not their fault."/>
        <s v="Very disappointing"/>
        <s v="Fabulous"/>
        <s v="Zero star Review…"/>
        <s v="I requested my auto ship arrive early…"/>
        <s v="Prices were good and all items arrived…"/>
        <s v="You don't deliver parcels."/>
        <s v="No delivery after 12 days"/>
        <s v="You guys suck"/>
        <s v="Unreliable, disappointing"/>
        <s v="the shipper had damaged the box of dog…"/>
        <s v="PetFlow's what the cats need"/>
        <s v="I’ve recently moved and I was…"/>
        <s v="Very helpful service over the via phone"/>
        <s v="Never heard from you guys"/>
        <s v="Try Them"/>
        <s v="Online order-paying-shipping was great"/>
        <s v="Terrible customer service and company…"/>
        <s v="this is a place where they have fair…"/>
        <s v="I asked to be shipped on a Monday."/>
        <s v="Everything was great!!"/>
        <s v="I am happy with petflow"/>
        <s v="Past orders have been good until now."/>
        <s v="Where is the rest of my order?"/>
        <s v="Glucose diet for 17 year old cat…"/>
        <s v="Fast good service no hassle"/>
        <s v="Very bothersome"/>
        <s v="Happy kitties"/>
        <s v="Ordering was easy enough"/>
        <s v="Great prices and fast shipping."/>
        <s v="CO CANCELLED ORDER WITHOUT NOTIFYING ME"/>
        <s v="Prices were fair and shipment came in …"/>
        <s v="Good products at good prices and fast…"/>
        <s v="Great service, &amp; good prices"/>
        <s v="Petflow carries food that others don't…"/>
        <s v="dog food cans damaged"/>
        <s v="This is in reference to my order"/>
        <s v="Customer service wouldnt help located…"/>
        <s v="My cats love this food"/>
        <s v="ecxellent"/>
        <s v="My pups really like the Dr Marty food"/>
        <s v="Need better boxes to ship in."/>
        <s v="Easy to navigate around the site"/>
        <s v="The food I needed was in stock when I…"/>
        <s v="Is it in stock or not?"/>
        <s v="Easy to,order"/>
        <s v="Started our automatic delivery program"/>
        <s v="The initial order went great"/>
        <s v="Reliable repeat order program"/>
        <s v="Easy ordering and quick delivery"/>
        <s v="Petfow is consistently good overall"/>
        <s v="The best!"/>
        <s v="I have shopped Petflow for years but…"/>
        <s v="Deceptive Delivery Commitment"/>
        <s v="Above and Beyond Service!"/>
        <s v="Best prices and great service"/>
        <s v="Great Products!"/>
        <s v="The package arrived on time and…"/>
        <s v="Food went out of stock after purchasing"/>
        <s v="PF canceled order 8 days later"/>
        <s v="Very reliable"/>
        <s v="No supply chain issues here"/>
        <s v="Cats like food that was ordered"/>
        <s v="Disappointing Experience"/>
        <s v="Was out of the dogfood…"/>
        <s v="Packaging could be better and more protective"/>
        <s v="Everything was great…"/>
        <s v="Petflow always processes orders quickly…"/>
        <s v="Extremely poor packaging with using…"/>
        <s v="I ordered something out of stock"/>
        <s v="Review"/>
        <s v="Always have available merchandise"/>
        <s v="PetFlow has always been great and…"/>
        <s v="you got us the product"/>
        <s v="Timely order in good shape"/>
        <s v="Always easy &amp; convenient to order our…"/>
        <s v="Competitive prices and fast delivery"/>
        <s v="I appreciated the email stating the dog…"/>
        <s v="Great to deal with"/>
        <s v="My order was canceled."/>
        <s v="Misleading Information"/>
        <s v="Advertise products they don’t have!"/>
        <s v="Awful First Order Experience"/>
        <s v="Dishonest company"/>
        <s v="The Food You Need When You Need It"/>
        <s v="Great pricing, fast and easy"/>
        <s v="Shipment arrived right on time"/>
        <s v="Awesome customer service"/>
        <s v="cats don't like and they don't take…"/>
        <s v="Placed an order and it was at my door…"/>
        <s v="I'm disappointed with autoship"/>
        <s v="Great selection and price."/>
        <s v="Placed my order on July 12th &amp; I’m…"/>
        <s v="If there is an issue they will make things right!"/>
        <s v="customer service vs company policy"/>
        <s v="Petflow delivers to my DOOR"/>
        <s v="I have dealt with pet flow for over a…"/>
        <s v="I still have not received my order or a…"/>
        <s v="Worst pet online company"/>
        <s v="Mixed Experience"/>
        <s v="Great place to get prescription cat products"/>
        <s v="Ordered hard to get dog food"/>
        <s v="Great ."/>
        <s v="It to long to get then I only got 1/2…"/>
        <s v="Still has not yet shipped despite a 1-2…"/>
        <s v="Customer service very helpful"/>
        <s v="Thanks"/>
        <s v="They sent me a duplicate order and told…"/>
        <s v="Too much confusion...."/>
        <s v="Good value and Service"/>
        <s v="Birdfood"/>
        <s v="My orders were canceled and I didn't…"/>
        <s v="Good experience and they had what I…"/>
        <s v="Mostly good, but some dented cans"/>
        <s v="Only picked your website because of the…"/>
        <s v="Exceptional communication &amp; Deliver…"/>
        <s v="I ordered specific food"/>
        <s v="My order was canceled by you guys…"/>
        <s v="Appreciative of recent discount offered…"/>
        <s v="I am very satisfied with petflow"/>
        <s v="So happy I found this website"/>
        <s v="Great experience dealing with PetFlow"/>
        <s v="I know it's a specialty food"/>
        <s v="Order was processed very quickly and…"/>
        <s v="This was my first order with PetFlow"/>
        <s v="Will order again"/>
        <s v="My cat has a very sensitive system and…"/>
        <s v="Long time returning customer- love this…"/>
        <s v="Great service with competitive prices"/>
        <s v="What was that dog food???"/>
        <s v="Excellent selection"/>
        <s v="Readily replaced an item damaged in…"/>
        <s v="Had the quality brands need at best…"/>
        <s v="Wonderful service"/>
        <s v="Picky Eaters Approved! (And bonus: scratch resistant)"/>
        <s v="I have been using PetFlow for over 10…"/>
        <s v="Trustworthy company"/>
        <s v="Took 8 days for delivery!"/>
        <s v="Delivery is fast my cats love hills cat…"/>
        <s v="Order was slow to deliver."/>
        <s v="Quick customer service"/>
        <s v="I called to change an order for a later…"/>
        <s v="Easy ordering and prompt delivery"/>
        <s v="Ordered with a coupon"/>
        <s v="Only received half of our order"/>
        <s v="Lost Order"/>
        <s v="Placed my first order"/>
        <s v="So great and will help if there is a…"/>
        <s v="Everything came quickly &amp; good prices."/>
        <s v="A few things went wrong"/>
        <s v="Will use PetFlow again."/>
        <s v="It was great"/>
        <s v="Have been using PerFlow for several…"/>
        <s v="Large elevated dog bathing station.. Rated AR 125 pou d dog.Product is a little light for 100 pound…"/>
        <s v="PetFlow has always been easy to use and…"/>
        <s v="Find anything here"/>
        <s v="Unhappy w/lack of effort to fill vet's script for Hills diet food for kidney issues!!"/>
        <s v="PetFlow is awesome"/>
        <s v="PetFlow website is very easy to…"/>
        <s v="I WILL NEVER ORDER FROM PETFLOW AGAIN"/>
        <s v="I have three auto ships over the past…"/>
        <s v="Every order I place gets cancelled due…"/>
        <s v="Ordered prescription cat food"/>
        <s v="Pet flow is the worst place to get your…"/>
        <s v="Some ways to go"/>
        <s v="Easy order process and set up of…"/>
        <s v="Very happy with"/>
        <s v="Misleading stocked item"/>
        <s v="I'm happy with the product that I…"/>
        <s v="ORDER CONFUSION"/>
        <s v="One happy dog"/>
        <s v="Fast and easy service and carry my dogs brand"/>
        <s v="Your company led me on to beleive the…"/>
        <s v="Petflow is good to go!!!"/>
        <s v="Backorders and cancellations…"/>
        <s v="Originally my order was to ship on July…"/>
        <s v="Highly Recommended"/>
        <s v="Fast shipping with sturdy packaging"/>
        <s v="Ordered wet dog food"/>
        <s v="Very satisfied with PetFlow"/>
        <s v="I order my cat food and it arrived…"/>
        <s v="We needed a certain Vet Approved Cat…"/>
        <s v="I suppose I purchased something"/>
        <s v="I love that this site carries Fromm…"/>
        <s v="Box arrived damaged, but contents ok."/>
        <s v="I got what I ordered but it took ten…"/>
        <s v="Great experience with this company"/>
        <s v="Good price, sloppy delivery"/>
        <s v="Bogus Claims"/>
        <s v="I was very disappointed!!"/>
        <s v="They had my cat's prescription diet in…"/>
        <s v="The worst place I have ever ordered from"/>
        <s v="Ordered it one day and had it the next"/>
        <s v="Godzilla sized Cockroach in package."/>
        <s v="My order arrived on the scheduled date…"/>
        <s v="Long-time Customer"/>
        <s v="It was very disappointing to have my…"/>
        <s v="Shopping was easy"/>
        <s v="They replaced a damaged bag of dog food promptly!"/>
        <s v="Never received what I ordered"/>
        <s v="I am very happy with the services I…"/>
        <s v="I ordered puppy food and was given…"/>
        <s v="Had what I needed"/>
        <s v="I was impressed by how fast I got that…"/>
        <s v="Heads Up Would Be Nice"/>
        <s v="Great price and good product"/>
        <s v="I order on a regular basis"/>
        <s v="Good supply of hard-to-find food"/>
        <s v="I was looking for the cheapest price on…"/>
        <s v="Prices are great and shipping is fast…"/>
        <s v="Received food promptly"/>
        <s v="Petflow has the cat food that I prefer"/>
        <s v="PetFlow is always on point with my…"/>
        <s v="I had the perfect PetFlow experience!!"/>
        <s v="I received my order but shorrt 3 little…"/>
        <s v="Love the selection and convenience of…"/>
        <s v="Great service and delivery was fast."/>
        <s v="Unable to ship a pet food product after…"/>
        <s v="Delivery service is exceptional."/>
        <s v="PetFlow consistently exceeds expectations"/>
        <s v="Pleasantly pleased with Petflow"/>
        <s v="Reputable company"/>
        <s v="Convenience turned inconvenient"/>
        <s v="Fast an easy"/>
        <s v="Avoderm found at last"/>
        <s v="Product was perfect"/>
        <s v="As always"/>
        <s v="Very quick response and shipping"/>
        <s v="Great product selection and order…"/>
        <s v="I am not sure about your products coz…"/>
        <s v="Fantastic as always."/>
        <s v="Happy dog = Happy mom"/>
        <s v="Thank you!!"/>
        <s v="highly recommend"/>
        <s v="Had the cat food I needed just before I…"/>
        <s v="Always helpful"/>
        <s v="Delivery was fast in spite of coming…Service"/>
        <s v="Great Shop"/>
        <s v="Excellent customer service solving an…"/>
        <s v="Satisfied with NutriSource dry dog food…"/>
        <s v="Great service!!"/>
        <s v="Good service I like how they keep you…"/>
        <s v="We appreciate PetFlow!"/>
        <s v="Awesome"/>
        <s v="Fast and efficient ordering!"/>
        <s v="Thank you for sending fresh treats!!!"/>
        <s v="Quick shipment"/>
        <s v="First time using PetFlow I received the…"/>
        <s v="I just changed Vets so if I am still…"/>
        <s v="Very easy to order"/>
        <s v="User friendly website"/>
        <s v="Easy website to navigate...quick…"/>
        <s v="My kitty was diagnosed with kidney…"/>
        <s v="They had what I was looking for and the…"/>
        <s v="NutriSource Small &amp; Medium Breed Puppy…"/>
        <s v="The product was available"/>
        <s v="I like that it's compact and doesn't…"/>
        <s v="Great selection and prices"/>
        <s v="In this instance"/>
        <s v="Bad service"/>
        <s v="fast and excellent service"/>
        <s v="Has the products I need"/>
        <s v="Great communications"/>
        <s v="The company did not ship my pet food"/>
        <s v="I have recently had a bad experience…"/>
        <s v="Easy online ordering and super fast…"/>
        <s v="Very efficient and convenient to have…"/>
        <s v="Order delay"/>
        <s v="I love Petflows auto delivery system"/>
        <s v="Love Pet flow great customer service!"/>
        <s v="Concerns about shipping via FedEx"/>
        <s v="Perfect transaction"/>
        <s v="I ordered veterinary dog treats so gave…"/>
        <s v="Great price....super service"/>
        <s v="We have ordered through PetFlow a few…"/>
        <s v="Always used chewy"/>
        <s v="I have enjoyed the quick response."/>
        <s v="Very fast and easy shipment of dog food…"/>
        <s v="Petflow was easy and fast to respond…if you want easy and fast order through petflow"/>
        <s v="My order was correct and received very…"/>
        <s v="Perfect!!"/>
        <s v="Poor Standards, outdated product"/>
        <s v="There for my kitties when we needed it"/>
        <s v="Love it!"/>
        <s v="I’ve been having a hard time finding…"/>
        <s v="Easy site to navigate"/>
        <s v="the product dog food is excellent my…"/>
        <s v="I was impressed by the selection"/>
        <s v="Order was correct"/>
        <s v="A pleasant surprise"/>
        <s v="My go-to for pet supplies"/>
        <s v="Clearly not “in stock”"/>
        <s v="Dogs Love it!"/>
        <s v="Too Many Great Things to Say"/>
        <s v="Never received my order 10179757"/>
        <s v="Item said in stock when it wasn't."/>
        <s v="great way to buy my dog's food products…"/>
        <s v="Incredible rude and out of touch…"/>
        <s v="Packing"/>
        <s v="Reasonably effective but annoyingly…"/>
        <s v="Got my online order very quickly and…"/>
        <s v="PetFlow Always Delivers!!!"/>
        <s v="After hunting high and low through my…"/>
        <s v="We needed a shipping kennel."/>
        <s v="My first order and I was mailed wrong…"/>
        <s v="Your new source!"/>
        <s v="Good time on delivery"/>
        <s v="Quick turn around shipping"/>
        <s v="Great selections and ongoing discounts"/>
        <d v="2022-06-19T00:00:00Z"/>
        <s v="pet food"/>
        <s v="Please don’t say you have something in…"/>
        <s v="shipped immediately. Dog loves it!"/>
        <s v="The best service and prices"/>
        <s v="Amazing prices"/>
        <s v="Fast Shipping &amp; Price is Good"/>
        <s v="Triple check your cart"/>
        <s v="Good choices, good prices, fast shipping"/>
        <s v="Crushed Treats"/>
        <s v="Great products and very good customer…"/>
        <s v="PetFlow has the best prices"/>
        <s v="My 1st package was received missing…"/>
        <s v="Pet flow has great Customer service!"/>
        <s v="Petflow came through for me when I…"/>
        <s v="Awesome product and fast shipping!"/>
        <s v="Twice now I have ordered preacription…"/>
        <s v="Good company!"/>
        <s v="Generally I’ve been very pleased"/>
        <s v="My cat's food was listed as in stock on…"/>
        <s v="Delivery was delayed"/>
        <s v="Happy Customer!"/>
        <s v="Outstanding price for what I ordered"/>
        <s v="Fast shipping and excellent price."/>
        <s v="Lacking Customer Service and Knowledge of stock"/>
        <s v="The dog food we need is hard to find"/>
        <s v="I’m a little disappointed with Petflow"/>
        <s v="Fantastic!"/>
        <s v="My order was processed very slowly…"/>
        <s v="Terrible experience."/>
        <s v="naturvet yellow to green lawn spray"/>
        <s v="Petflow ran out of dog food in my area…"/>
        <s v="I got the food the quickest out of any…"/>
        <s v="Items not in stock as advertised"/>
        <s v="Food bags are always intact"/>
        <s v="So far so good."/>
        <s v="Great customer service and fast shipping."/>
        <s v="Great variety"/>
        <s v="Five Stars"/>
        <s v="Waste of Time"/>
        <s v="I've used PetFlow for my boy's food…"/>
        <s v="Inventory shortage"/>
        <s v="I have been very happy with PetFlow"/>
        <s v="They were great to work with!"/>
        <s v="The pups love the new food we found on…"/>
        <s v="They had everything in stock and was…"/>
        <s v="Great place to buy our pet supplies"/>
        <s v="Always great to do business with"/>
        <s v="I waited over a week for your pharma…"/>
        <s v="I was really pleased that u had the…"/>
        <s v="in need of food for my cat with diabetes"/>
        <s v="Worst Experience with Pet flow"/>
        <s v="I never received my purchase"/>
        <s v="Ordered prescription dog food you said…"/>
        <s v="The shipping box isn’t strong"/>
        <s v="I placed an order for Hills…"/>
        <s v="My order keeps getting cancelled"/>
        <s v="your phone reps have always been very…"/>
        <s v="Working hard for you and your pet!"/>
        <s v="Request for refund was denied"/>
        <s v="Never order from here"/>
        <s v="Petflow has what I need and delivery is on time"/>
        <s v="Improve Order Fulfillment Times"/>
        <s v="Your orders have all been fast and with…"/>
        <s v="Great price / fast shipping / great…"/>
        <s v="Better prices than elsewhere"/>
        <s v="Wanted to try another pet food home…"/>
        <s v="Prices fair but shipping times have…"/>
        <s v="Great and quick shipping"/>
        <s v="I love the variety of high quality…"/>
        <s v="Don’t even bother"/>
        <s v="Misleading and Rude"/>
        <s v="cancelled my orders"/>
        <s v="Great customer service, slow shipping and handling"/>
        <s v="It's ok"/>
        <s v="I ordered prescription pet food for my…"/>
        <s v="This is my third order"/>
        <s v="Always holds the inventory and deliver…"/>
        <s v="Worst customer service"/>
        <s v="CatLover"/>
        <s v="Excellent Service and Timely…"/>
        <s v="I am so impressed with not only how…"/>
        <s v="I am new to Petflow"/>
        <s v="I like using PetFlow and other sites…"/>
        <s v="In stock, but not really…"/>
        <s v="Always the highest quality products &amp;…"/>
        <s v="Petflow had what I needed in special…"/>
        <s v="Good service and a fair price"/>
        <s v="Wonderful experience"/>
        <s v="I have been ordering from Petflow for…"/>
        <s v="Shipping is so slow compared to Chewy"/>
        <s v="I have had nothing but positive…"/>
        <s v="Very prompt service and fair pricing."/>
        <s v="PetFlow was the only source for…"/>
        <s v="Fedex took more than a week to deliver."/>
        <s v="Customer service was not friendly"/>
        <s v="Lost FED X Order"/>
        <s v="Petflow is a good company to buy cat…"/>
        <s v="Found what I needed"/>
        <s v="Products in stock"/>
        <s v="Excellent alternative to Chewy."/>
        <s v="After reading many reviews I cancelled…"/>
        <s v="Great price and shipped well and…"/>
        <s v="Only cools for 15 minutes at best"/>
        <s v="The pharmacy said my dogs food wasn’t…"/>
        <s v="Badly Dented Dog Cans Again"/>
        <s v="Great service and good prices."/>
        <s v="I had the opportunity to subscribe"/>
        <s v="Shipped quick"/>
        <s v="Petflow auto-ship is awesome!"/>
        <s v="works well but no instructions on how…"/>
        <s v="Great price and quick shipping of the…"/>
        <s v="Easy easy easy"/>
        <s v="Great Service for the buck and Great…"/>
        <s v="The Most Wonderful Customer Service"/>
        <s v="I love the company and the fact that…"/>
        <s v="Good selection of products"/>
        <s v="had the product in stock"/>
        <s v="Items not as advertised even after…"/>
        <s v="Had an issue with my order"/>
        <s v="Pet flow always has the dog food in…"/>
        <s v="Best pet food store ever!"/>
        <s v="Fromm dog food is so awesome"/>
        <s v="Love there products and service."/>
        <s v="Poorly packaged for shipment"/>
        <s v="Fast deliveries and one of the few…"/>
        <s v="I ordered cat food on 5-18 and FedEx…"/>
        <s v="We love using PetFlow for our pets…"/>
        <s v="They had the food I had been searching…"/>
        <s v="Super great company with fast service…"/>
        <s v="Awesome company!"/>
        <s v="Excellent products and outstanding…"/>
        <s v="Excellent value and service"/>
        <s v="Petflow has the products I need and…"/>
        <s v="Every one at Pet Flow was extremely…"/>
        <s v="When I ordered they knew they were out…"/>
        <s v="I was so happy to find my pet food in…"/>
        <s v="Ordered dog food"/>
        <s v="Contact the State AG in Nevada"/>
        <s v="Ordered cat food"/>
        <s v="Fast delivery and quality product"/>
        <s v="I ordered dry cat food that you said…"/>
        <s v="Very easy ordering and quick delivery!"/>
        <s v="Good service good pet supplies"/>
        <s v="Ordered M/D dry cat food and you…"/>
        <s v="Having to contact support to cancel an…"/>
        <s v="This is the first time using PetFlowfast"/>
        <s v="Scam site"/>
        <s v="I like Pet Flow and the convenience of…"/>
        <s v="Placed an order for prescription pet food"/>
        <s v="I was trying to order prescription cat…"/>
        <s v="I have plenty (too much) food right…"/>
        <s v="I trust them"/>
        <s v="So glad I found PetFlow!"/>
        <s v="My total order was to receive 15%…"/>
        <s v="Have always had good service from…"/>
        <s v="Keep posting that they have Hill…"/>
        <s v="I have only received part of my order…"/>
        <s v="Great prices, fast shipping!"/>
        <s v="I have ordered only once from Flowpet…"/>
        <s v="Ordered special diet 10 days and…"/>
        <s v="Very friendly and knowledgeable people…"/>
        <s v="It is easy to change my order"/>
        <s v="I buy again and again"/>
        <s v="I placed my order from Canada and dealt…"/>
        <s v="Great service at PetFlow"/>
        <s v="Always ships quickly and arrives…"/>
        <s v="Took way to long to get here"/>
        <s v="This is a great company"/>
        <s v="Have been waiting in my prescription…"/>
        <s v="My dog is on RX dog food Hills Science…"/>
        <s v="I have purchased many Milk Bone pill…"/>
        <s v="Cancelled my order"/>
        <s v="Always delivered promptly"/>
        <s v="Received my product of prescription…"/>
        <s v="Pet flow has been very reliable"/>
        <s v="Very good service and fast delivery,I…"/>
        <s v="Items arrived quickly"/>
        <s v="Friendly"/>
        <s v="Efficient fast shipping and great…"/>
        <s v="Very happy with products"/>
        <s v="Puppy Food Found"/>
        <s v="Staff is very friendly and helpful"/>
        <s v="The constant urging to use &quot;auto-ship&quot;…"/>
        <s v="I tried to purchase prescription cat…"/>
        <s v="Impressed!"/>
        <s v="Easy to navigate site"/>
        <s v="My second order experience was just as…"/>
        <s v="I like the people and the products"/>
        <s v="Awesome service, selection, pricing and shipping!!"/>
        <s v="Excellent availability of products"/>
        <s v="So easy to order my pet's prescription…"/>
        <s v="I was searching for a specific food for…"/>
        <s v="I received my product before the…"/>
        <s v="Excellent service and product!!!!"/>
        <s v="When the package came everything was so…"/>
        <s v="Petflow had the dog food that I needed…"/>
        <s v="PetFlow came through"/>
        <s v="Coupons, discounts and lots of food/treat options!"/>
        <s v="Delivery was okay"/>
        <s v="Items not really in stock"/>
        <s v="Always helpful and answer my questions…"/>
        <s v="Easy to use"/>
        <s v="my order is always on time and very…"/>
        <s v="I made a large order"/>
        <s v="I love the service petflow provides"/>
        <s v="It took a week to find out the product I ordered wasn’t ieven in stock."/>
        <s v="No notifications"/>
        <s v="Great customer service and I really…"/>
        <s v="Great site for dog supplies"/>
        <s v="Tops in customer service"/>
        <s v="With the price of dog food getting more…"/>
        <s v="Always arriving promptly and the…"/>
        <s v="THE BEST PLACE TO PURCHASE ALL OF MY…"/>
        <s v="This was my first time using the site…"/>
        <s v="My ordered was submitted then cancelled…"/>
        <s v="Ordered hard to find diabetic cat food…"/>
        <s v="Products are good but the ones I wanted…"/>
        <s v="Great product and Transaction"/>
        <s v="I was very disappointed"/>
        <s v="Grateful for better prices"/>
        <s v="My cat likes the Friskies sensation cat…"/>
        <s v="Orders are accurate and delivered on…"/>
        <s v="Gast delivery and good price!"/>
        <s v="I've only used PetFlow once, but now, a happy and returning customer!"/>
        <s v="Frustrated with the lack of customer…"/>
        <s v="Great Items and Fast Delivery"/>
        <s v="Products ordered came quickly and…"/>
        <s v="We have shopped with Pet Flow for about…"/>
        <s v="Ready for some Captain's Plate"/>
        <s v="Always have what I need."/>
        <s v="Good selection of quality products!"/>
        <s v="Every order I have placed has been…"/>
        <s v="I’m very disappointed as the item u…"/>
        <s v="Fast delivery and they carry what I…"/>
        <s v="Petflow was very easy to order from and…"/>
        <s v="I've used PetFlow on and for 17+ years"/>
        <s v="I am always skeptical when ordering…"/>
        <s v="I successfully ordered Prescription…"/>
        <s v="PetFlow order experience"/>
        <s v="Love their service."/>
        <s v="Efficient and easy to use"/>
        <s v="Canceling orders again and again."/>
        <s v="Could not purchase in the end"/>
        <s v="Great product and packaging."/>
        <s v="I love the service I receive when I…"/>
        <s v="Order cancelled"/>
        <s v="PetFlow was a great shopping…"/>
        <s v="Hills Prescription Diet"/>
        <s v="My experience wasn't what I'd hoped"/>
        <s v="Great quality of products and super…"/>
        <s v="Perfect"/>
        <s v="When I was given a prescription for my…"/>
        <s v="Orders are shipped quickly"/>
        <s v="The products that I ordered were as…"/>
        <s v="I had never ordered from Pet flow…"/>
        <s v="I enjoyed finally finding a website…"/>
        <s v="I ordered a large pet carrier and was…"/>
        <s v="Received puppy food as ordered"/>
        <s v="Fast efficient service at a good price!"/>
        <s v="dog treats"/>
        <s v="I'm SO Thankful that I found PetFlow!!"/>
        <s v="PetFlow usually has products other…"/>
        <s v="Inaccurate Advertising"/>
        <s v="Great transaction"/>
        <s v="Quality"/>
        <s v="When i had a problem you fixed it fast"/>
        <s v="High quality clean and viable bird seed for a reasonable price."/>
        <s v="I’ve always had a great experience w…"/>
        <s v="Only place I could get this Hill's…"/>
        <s v="Petflow customer service agents are…"/>
        <s v="Service and customer service is…"/>
        <s v="This was my first time purchasing from…"/>
        <s v="Easy to order online &amp; customer service…"/>
        <s v="Overall excellent products and service"/>
        <s v="In love with Pet Flow"/>
        <s v="Was very disappointed with shipping…"/>
        <s v="While I wish Petflow did not use FedEx…"/>
        <s v="PetFlow has great pricing and fast…"/>
        <s v="Super easy to order from and they…"/>
        <s v="Quick Order and Script Process"/>
        <s v="The Petflow site was easy to navigate &amp; the price was right"/>
        <s v="happy with my order"/>
        <s v="The case of Hill ID Digestive care arrived damaged…"/>
        <s v="I placed an order for a second time…"/>
        <s v="Quick Iams cat food shipping"/>
        <s v="Very fast service."/>
        <s v="NOT A TRUSTWORTHY, RELIABLE AND HONEST VENDOR."/>
        <s v="took longer than we thought"/>
        <s v="This was a remarkable experience"/>
        <s v="Your service is terrible"/>
        <s v="Product packed well"/>
        <s v="Easy to order through my vet and super…"/>
        <s v="The product came on time and as…"/>
        <s v="We are now 7 days beyond the promised…"/>
        <s v="First time I ordered from Pet Flow"/>
        <s v="Website lies about stock"/>
        <s v="I was told to mail in the prescription…for a product they did not have"/>
        <s v="PetFlow has always delivered when…"/>
        <s v="Very happy with the experience!"/>
        <s v="Wrong address but quickly resolved"/>
        <s v="Quick shipping and responsive staff to…"/>
        <s v="Seemed to take a long time from order…"/>
        <s v="Needed to return a bag of cat food that…"/>
        <s v="Cat food arrived promptly."/>
        <s v="Fantastic service"/>
        <s v="Outstanding service! Competitive pricing!"/>
        <s v="I have discovered petflow to be a…blessing"/>
        <s v="REALLY GOOD PRODUCTS"/>
        <s v="Confused but satisfied"/>
        <s v="I went with PetFlow for our dog's food…"/>
        <s v="Ordering was very easy and they had a…"/>
        <s v="My latest order of two 15 pound bags of…"/>
        <s v="Unfortunate"/>
        <s v="Very pleased for many years"/>
        <s v="Items out of stock again"/>
        <s v="Happy to find PetFlow"/>
        <s v="They got my cat food and the order and delivery went thru smoothly and on time."/>
        <s v="Got the wrong product"/>
        <s v="I place a large order for dog and cat…"/>
        <s v="Website description should change"/>
        <s v="Perfect Kitten Feeding Bowls"/>
        <s v="My order was cancelled because my vet…"/>
        <s v="Please don’t show products as available if they’re not.."/>
        <s v="Website doesn't update for Out of Stock"/>
        <s v="Get my name right"/>
        <s v="Great Price and Reliable Shipping"/>
        <s v="Absolutely terrible"/>
        <s v="Always get what I order in a timely…"/>
        <s v="They executed the order beautifully"/>
        <s v="One of the few places that has grain…"/>
        <s v="The product I ordered was shipped and…"/>
        <s v="I was lied to from customer service"/>
        <s v="Your delivery is exceptional"/>
        <s v="Easy, Great, Fast"/>
        <s v="Always have what I need and receive it…"/>
        <s v="You take orders for items you dont have, why?"/>
        <s v="Order filled promptly and delivered…"/>
        <s v="Communication issues"/>
        <s v="Shipping quick and correct"/>
        <s v="You are sending me the wrong food."/>
        <s v="Easy, Convenient Service"/>
        <s v="My dog now needs kidney support food"/>
        <s v="Very quick service"/>
        <s v="Advertised dog food they didn't have"/>
        <s v="I ordered food and have been waiting…"/>
        <s v="I ordered a type of prescription dry…"/>
        <s v="Awesome company"/>
        <s v="Item showed in stock"/>
        <s v="When I order it says you have product"/>
        <s v="We have ordered dog &amp; puppy food from…"/>
        <s v="Product bought as advertised"/>
        <s v="Poor communication."/>
        <s v="Ordered but had to update my credit…"/>
        <s v="5 stars excellent service"/>
        <s v="Listing for sale out-of-stock merchandise"/>
        <s v="One of the kitty litter bags had small…"/>
        <s v="This was a good experience overall"/>
        <s v="PetFlow has everything I need!"/>
        <s v="Never received the product"/>
        <s v="I love Petflow.com because they are not…"/>
        <s v="Efficient"/>
        <s v="Your customer service was super!"/>
        <s v="Great competitive pricing"/>
        <s v="Customer service was easy to get in…"/>
        <s v="A pleasure to do business with!!"/>
        <s v="The item I ordered was ( and still is )…"/>
        <s v="Damaged Goods"/>
        <s v="Late delay of order"/>
        <s v="I am very satisfied with Petflo and the…"/>
        <s v="I will start by saying they ALWAYS have…"/>
        <s v="Fast delivery and great prices!"/>
        <s v="High quality difficult to find dog food…"/>
        <s v="I looked Everywhere for this particular Cat Food...."/>
        <s v="I have used Pet Flow foe about 12…"/>
        <s v="Always easy ordering with fast delivery!"/>
        <s v="They kept messing my order up double…"/>
        <s v="On my first order"/>
        <s v="Shipping was not as quick as it said"/>
        <s v="Shipping is fast and dog food is fresh!happy customer"/>
        <s v="Quite frankly"/>
        <s v="I chatted with a rep to see if Petflow…"/>
        <s v="Had a difficult time find the dog food…"/>
        <s v="You charged me for prescription cat…"/>
        <s v="One of the few sites that has Fromm dog…"/>
        <s v="Fair prices and very fast free…"/>
        <s v="Fair prices"/>
        <s v="prescription dog food - nonavailability"/>
        <s v="Excellent service."/>
        <s v="Large breed dog food"/>
        <s v="Fed Ex poor service. Very unhappy"/>
        <s v="Ordered two items but only one was…"/>
        <s v="I am unable to cancel my automatic…"/>
        <s v="Found hard to find food here"/>
        <s v="My order did not arrive on time and my…"/>
        <s v="Hard to Find Cat Food in Stock"/>
        <s v="Petflow for me"/>
        <s v="Right in time delivery"/>
        <s v="Great user friendly site"/>
        <s v="I placed my order for my dogs kibble"/>
        <s v="PetFlow makes it easy"/>
        <s v="I received the wrong size canned dog…"/>
        <s v="Do not buy!!"/>
        <s v="Able to get hard to find prescription dog food"/>
        <s v="Excellent customer service and…"/>
        <s v="The order was shipped quickly"/>
        <s v="Hands down the best choice for suppling your Pets!"/>
        <s v="I needed an addition to my regular…"/>
        <s v="I've been a customer of Petflow for 5…"/>
        <s v="Best company to deal with"/>
        <s v="Love buying from PetFlow"/>
        <s v="Great online store."/>
        <s v="False advertisement"/>
        <s v="My cat Willie"/>
        <s v="Fairly Happy Customer"/>
        <s v="I thought it took to long to receive my…"/>
        <s v="Hands down the best price in bulk cow…"/>
        <s v="No shipment yet"/>
        <s v="I was looking for a place that sold the…"/>
        <s v="I have been trying to find a…"/>
        <s v="Easy to navigate web site"/>
        <s v="The shelves were bare for the cat food…"/>
        <s v="Treats expired"/>
        <s v="No other supplier had this cat food"/>
        <s v="I am a returning customer"/>
        <s v="I couldn’t find my Yellow Lab her food…"/>
        <s v="PetFlow provides and delivers product…"/>
        <s v="Great customer service and very fast…"/>
        <s v="Great and fast service"/>
        <s v="Petflow has always come through on my…"/>
        <s v="A life saver"/>
        <s v="Our order shipped so fast"/>
        <s v="Great price on the right product"/>
        <s v="Very hard to find my dog's prescription…"/>
        <s v="I truly love all the products"/>
        <s v="Great company to work with"/>
        <s v="Pleased with prices and selections"/>
        <s v="Best customer service"/>
        <s v="Fast shipping and great prices"/>
        <s v="My last order was supposed to be 100…"/>
        <s v="Vet approved"/>
        <s v="I never received my order"/>
        <s v="The entire process of getting my dog's…"/>
        <s v="Everything My Maltipoo needs"/>
        <s v="Your customer service team is fast"/>
        <s v="good pricing"/>
        <s v="Love PetFlow!"/>
        <s v="I am very satisfied with PetFlow feed…"/>
        <s v="A great find!!"/>
        <s v="First shipment of dog food was good"/>
        <s v="They had what I was looking for"/>
        <s v="Love the selection and the speedy…"/>
        <s v="DISAPPOINTED - I needed my prescription dog food."/>
        <s v="Petflow never fails to provide quick…"/>
        <s v="Customer service is the best!"/>
        <s v="They have the dog food I want at a…"/>
        <s v="Ordered Little Stinker pads"/>
        <s v="Fast ship"/>
        <s v="So far I have received nothing from PetFlow."/>
        <s v="I am pleased with the ease of ordering"/>
        <s v="Everything went very well!"/>
        <s v="Unreliable Transport"/>
        <s v="Ordered Hills Rx dog food"/>
        <s v="Excellent website that makes ordering…"/>
        <s v="Company Lies about availability"/>
        <s v="cat harness"/>
        <s v="Petflow is a solid choice!"/>
        <s v="All went well"/>
        <s v="Go to chewy!!"/>
        <s v="Good Price and Quick, Free Shipping"/>
        <s v="Great quick service"/>
        <s v="Excellent customer service."/>
        <s v="You showed 5.5 oz cans in the photo and…"/>
        <s v="This company took my order for…"/>
        <s v="Not much to add to the 5 stars"/>
        <s v="So far, I like it!"/>
        <s v="Petflow had our Hills prescription food…"/>
        <s v="Product in stock as needed and always…"/>
        <s v="Love the delivery subscription service"/>
        <s v="You keep on accepting my order and then…"/>
        <s v="Expected earlier notification"/>
        <s v="Service was awesome!"/>
        <s v="My fussy cat loves these treats!"/>
        <s v="Hills Dog Treats"/>
        <s v="Only 1 bag of rabbit cookies"/>
        <s v="Horrible customer service"/>
        <s v="Website is easy to navigate"/>
        <s v="Glad I found you"/>
        <s v="Hard to find cat food"/>
        <s v="Fantastic customer service"/>
        <s v="dog won't eat"/>
        <s v="My second time buying my pet food at…"/>
        <s v="Horrible experience."/>
        <s v="Petflow is great!"/>
        <s v="My pets place!!"/>
        <s v="I was able to find the food I needed for my cat…"/>
        <s v="I buy crickets very often"/>
        <s v="Very satisfied with my order"/>
        <s v="Ordered prescription food on a time…"/>
        <s v="My dogs love the Buffalo treats"/>
        <s v="They always have what my parrots need…"/>
        <s v="I was able to connect with customer…"/>
        <s v="Very user friendly process"/>
        <s v="Great customer service and prices!"/>
        <s v="Good products and good service and…"/>
        <s v="Love Pet Flow!"/>
        <s v="First shipment was short"/>
        <s v="Very happy you carry Verus- delivery is…"/>
        <s v="PetFlow was fantastic"/>
        <s v="A fast and well packed delivery."/>
        <s v="PetFlow Saved the Day"/>
        <s v="My vet recommended this website for my…"/>
        <s v="Have been a satisfied customer for a…"/>
        <s v="They were fast with the shipping and…"/>
        <s v="I have never had to wait so long for an…"/>
        <s v="I do like Pet Flow as my go to food…"/>
        <s v="I have purchased the Oxbow organic hay…"/>
        <s v="There is obviously a shortage on royal…"/>
        <s v="I have used Pet Flow for years and…"/>
        <s v="Impressed"/>
        <s v="I love PetFlow for great customer…"/>
        <s v="Petflow is a wonderful site for pet parents"/>
        <s v="Good service although a bit slower than…"/>
        <s v="This was my first time ordering with…"/>
        <s v="Had the product my babies needed"/>
        <s v="I get the same dog food every time"/>
        <s v="Normally I am very happy with PetFlow…"/>
        <s v="Fixed it"/>
        <s v="Fast shipping Not a big selection of…"/>
        <s v="All of my normal vendors were out of my…"/>
        <s v="I am very happy to have found…"/>
        <s v="Overall pleased with this purchase."/>
        <s v="After I gave my credit card info and…"/>
        <s v="The order process was great"/>
        <s v="Representative did not follow through"/>
        <s v="Excellent First-Time Experience"/>
        <s v="Good selection"/>
        <s v="Love love PetFlow"/>
        <s v="I was grateful to find Petflow because…"/>
        <s v="Only got partial order"/>
        <s v="Good service, competitive prices"/>
        <s v="Easy ordering...love getting the…"/>
        <s v="Great prices on Fromm dog food"/>
        <s v="I have shopped PetFlow for years and…"/>
        <s v="Wrong flavor food received"/>
        <s v="I have ordered from them only a couple…"/>
        <s v="Great new experience"/>
        <s v="Petflow shipments are ALWAYS late"/>
        <s v="Always helpful customer service"/>
        <s v="Price is reasonable. Slow delivery."/>
        <s v="I love the service"/>
        <s v="Pet-flow since they came online has…"/>
        <s v="PetFlow took care of my request and…"/>
        <s v="Great product Fail on FedEx ground…"/>
        <s v="PetFlow has been excellent with every…"/>
        <s v="Usually a 5 Dented"/>
        <s v="Right brands &amp; right help when needed"/>
        <s v="Competitive pricing"/>
        <s v="Positive experience"/>
        <s v="The only place I can consistently find…"/>
        <s v="I purchased an item online"/>
        <s v="Horrible buying experience"/>
        <s v="Wow Customer Service Fast and Genuine"/>
        <s v="Since there is a shortage of my dog's…"/>
        <s v="I would give it 5 stars"/>
        <s v="Easy to order and at a great price"/>
        <s v="Quick response time and friendly…"/>
        <s v="I like that Pet Flow is accurate with…my orders."/>
        <s v="Happy with the product however when I…"/>
        <s v="Very easy online ordering and pretty…"/>
        <s v="I ordered the dog food on March 5th"/>
        <s v="MISLEADING advertisement"/>
        <s v="My order arrived in a timely manner"/>
        <s v="Excellent price and service."/>
        <s v="Pet flow is guilty of false advertising"/>
        <s v="Botched dog food order"/>
        <s v="Best Company Ever!"/>
        <s v="Dog delicious"/>
        <s v="Good product selection"/>
        <s v="Package left out in the rain."/>
        <s v="I've been buying from PetFlow for years…"/>
        <s v="Service was good and efficient"/>
        <s v="PetFlow always comes through for me"/>
        <s v="Perfect timing to get my prescription…"/>
        <s v="Not happy with delivery time -"/>
        <s v="This is the only place that has my dogs…"/>
        <s v="You got always what I need for my pets…"/>
        <s v="Fantastic Shipping and pricing"/>
        <s v="Super slow at shipping"/>
        <s v="Excellent service delivery etc"/>
        <s v="Im so happy to have found you"/>
        <s v="Damaged box and bad customer service"/>
        <s v="Good prices and fast delivery!"/>
        <s v="Won’t order from you again!"/>
        <s v="Always got good service from PetFlow."/>
        <s v="Quality products at great prices and speedy delivery. What more could one want?"/>
        <s v="Product was great but delivery took 4…"/>
        <s v="You usually deliver quite quickly but…"/>
        <s v="Real quick in shipment and correct…"/>
        <s v="I've always had good experiences with…"/>
        <s v="3 times I have ordered from your…"/>
        <s v="The PetFlow folks are always helpful"/>
        <s v="Would not accept a copy of the…"/>
        <s v="I am very pleased with PetFlow .."/>
        <s v="Had the products I wanted and received…"/>
        <s v="Timely delivery and had my cat’s…"/>
        <s v="I did not hear from Pet Flow quickly…Oh well"/>
        <s v="I ordered a food which my pets really…"/>
        <s v="Great store"/>
        <s v="Excellent product quality"/>
        <s v="My dog was given dry dog food"/>
        <s v="The Best"/>
        <s v="They always seem to have our dogs food"/>
        <s v="I feel that if you sent the…"/>
        <s v="My products were delivered in a timely…"/>
        <s v="Great deal"/>
        <s v="I have been a customer of PerFlow for…"/>
        <s v="I was waiting for my order on 3/02/22"/>
        <s v="Website is ease to use"/>
        <s v="excellent prices"/>
        <s v="Received fast shipping on product and…"/>
        <s v="PetFlow had the food that I needed"/>
        <s v="Great shipping, very poor website interface"/>
        <s v="Very responsive and good products."/>
        <s v="The Beef Pizzle Steer Bully Sticks Dog…"/>
        <s v="Sorry to say goodbye"/>
        <s v="Easy to order and find items on your…"/>
        <s v="My dog food arrived quickly and was…"/>
        <s v="Prompt delivery every time!"/>
        <s v="First and last time ordering"/>
        <s v="Fast delivery of the perfect puppy food…"/>
        <s v="Bad business practice."/>
        <s v="Good fast reliable service."/>
        <s v="Better deals!"/>
        <s v="The lid on my automatic dog feeder and…"/>
        <s v="A very happy customer!"/>
        <s v="With shortage of pet food currently…"/>
        <s v="Prompt when shipping items in stock"/>
        <s v="Packaging was poorly done on feed bags"/>
        <s v="Happy with my purchase"/>
        <s v="Great products and fast delivery"/>
        <s v="It is helpful to have pet food…"/>
        <s v="Thanks for having the food I wanted…"/>
        <s v="Always reliable for stock and fast…"/>
        <s v="My order was shipped fast"/>
        <s v="Shipping is too long and items aren't…"/>
        <s v="Great first time buyer experience"/>
        <s v="For years I have been happy with…"/>
        <s v="What a GREAT Company"/>
        <s v="Some cans were damaged and dented"/>
        <s v="Not happy back order food"/>
        <s v="Hard to give a review when I haven't…"/>
        <s v="Quality Dog Food"/>
        <s v="They always have what I need in stock…"/>
        <s v="Love it"/>
        <s v="can't deliver"/>
        <s v="Every time I reach out to PetFlow"/>
        <s v="The cat food I bought to help my cat…"/>
        <s v="The Instinct dog food is great"/>
        <s v="When I order my food is always…"/>
        <s v="I really enjoy PetFlow"/>
        <s v="Expiration dates would be helpful"/>
        <s v="A Pleased New Customer"/>
        <s v="My first order and it was easy and…"/>
        <s v="Great customer service over the phone…"/>
        <s v="Very happy with the delivery process…"/>
        <s v="they didn't work with me"/>
        <s v="A year ago I would have given you five…"/>
        <s v="I am very satisfied"/>
        <s v="Pleasure to do business with"/>
        <s v="Thank you so much for getting Charles…"/>
        <s v="Easy to place an order and quick and…"/>
        <s v="Appreciated the quick turnover and…"/>
        <s v="Food packages always damaged"/>
        <s v="continual delayed deliveries"/>
        <s v="Not happy-go-lucky"/>
        <s v="Got the prescription promptly after…"/>
        <s v="First Time Purchase"/>
        <s v="I was pleasantly surprised at how quick…"/>
        <s v="I love ordering from petflow for all my…"/>
        <s v="Petflow had what I was looking for and…"/>
        <s v="It took way too long to receive my…"/>
        <s v="We received our order on time and free…"/>
        <s v="Love petflow!!"/>
        <s v="Customer for years!"/>
        <s v="The price is fair"/>
        <s v="Definitely Would Recommend Petflow!"/>
        <s v="We and our cats loved all the toys we…"/>
        <s v="PetFlow maintains a huge assortment of…"/>
        <s v="Wrong shipping info. Dog food."/>
        <s v="I changed my address 2 weeks before…"/>
        <s v="Pet flow did everything correctly"/>
        <s v="Simply the BEST!"/>
        <s v="Overall a positive experience with one glitch"/>
        <s v="Everything is wonderful except for the…"/>
        <s v="Happy I made the switch!"/>
        <s v="shipping company used is awful"/>
        <s v="Charged for cancelled order"/>
        <s v="My order arrived on time in great…"/>
        <s v="Super easy shipping and processing…"/>
        <s v="Treats were shipped really fast and was…"/>
        <s v="The ease of ordering and how fast my…"/>
        <s v="I had the best girl with customer…"/>
        <s v="The system has twice now changed my…"/>
        <s v="Placed my first order with Petflow and…"/>
        <s v="Shipping communication"/>
        <s v="Quick shipping, timely delivery, and helping pets."/>
        <s v="I had a problem and their customer…"/>
        <s v="Most of the representatives I…"/>
        <s v="Glad I found them!!"/>
        <s v="Pet Flow order came even faster than…"/>
        <s v="Science Diet Prescription CD"/>
        <s v="My cat Winnie loves Nutro wet cat food…"/>
        <s v="Easy to use and fast shipping"/>
        <s v="Food is shipped quickly every time and…"/>
        <s v="Easy, reliable, fast service for hard to find products"/>
        <s v="Pet Flow was the only place that had…"/>
        <s v="I appreciated being informed that you…"/>
        <s v="No complaints"/>
        <s v="Charged me shipping because they did not have the product after I ordered it."/>
        <s v="I ordered prescription cat food"/>
        <s v="PetFlow needs some serious work on its…"/>
        <s v="Will Definitely Order Again"/>
        <s v="Fast easy ordering and my dog loves the…"/>
        <s v="PetFlow is a wonderful place to get…"/>
        <s v="We’ve ordered from this company many…"/>
        <s v="I reached out to customer support"/>
        <s v="No package"/>
        <s v="You had the prescription food I needed…"/>
        <s v="Requested Help With Account"/>
        <s v="Open Farm Dog food"/>
        <s v="I adopted a special needs cat"/>
        <s v="Great product but expensive"/>
        <s v="No issues"/>
        <s v="Great deals on dog food with quick…"/>
        <s v="This was my first order and was pleased…"/>
        <s v="I ordered the Van Ness medium crock…"/>
        <s v="was disappointed in how long it took my…"/>
        <s v="Petflow was efficient with excellent…"/>
        <s v="Great service and products!"/>
        <s v="Forget About Prescription Diets"/>
        <s v="It has been a tough few months for dog food deliveries."/>
        <s v="Very angry with you"/>
        <s v="Pet Flow never disappoints me or my fur…"/>
        <s v="Easy ordering quick delivery"/>
        <s v="Poor company management"/>
        <s v="In stock and fast."/>
        <s v="Great product and fast shipping"/>
        <s v="The site shows in stock when in fact it…"/>
        <s v="In stock items and great pricing!"/>
        <s v="I’ll have an opinion when I confirm the…"/>
        <s v="Excellent product and service"/>
        <s v="Use a different shipping company"/>
        <s v="My cat had emergency surgery"/>
        <s v="Shipment"/>
        <s v="I have been using auto ship with this…"/>
        <s v="Fromm Duck &amp; Veg."/>
        <s v="The order was filled as promised!"/>
        <s v="Very happy customer"/>
        <s v="I ordered cat food."/>
        <s v="Have been using PetFlow for years"/>
        <s v="Website listed my cat's prescription…"/>
        <s v="Very nice company to work with"/>
        <s v="I was very pleased with the order that…"/>
        <s v="Good product. Bad customer service!!!"/>
        <s v="Good service and pricing"/>
        <s v="I like shopping at Petflow"/>
        <s v="You had my hard to find food"/>
        <s v="PetFlow just gets it done each and every time."/>
        <s v="I shopped online for Royal Canin Digest…"/>
        <s v="Very Satisfied"/>
        <s v="Very fast and accurate delivery."/>
        <s v="They have the food I want for my dogs…excellent"/>
        <s v="I just want to share a WOW from…"/>
        <s v="Everything is always prefect"/>
        <s v="Have my brand!"/>
        <s v="My first time using g Pet Flow"/>
        <s v="Have a good product selection....prompt…"/>
        <s v="Transaction was perfect"/>
        <s v="Great company!"/>
        <s v="great selection of foods"/>
        <s v="Order came on time."/>
        <s v="Excellent source for my sweet…"/>
        <s v="Great and quick service!"/>
        <s v="Excellent price and very fast shipping!"/>
        <s v="Your company sucks I'm never buying any…"/>
        <s v="Cat food in stock!"/>
        <s v="I am very happy with my order from…Petflow"/>
        <s v="Super fast shipping and easy to deal…"/>
        <s v="Easy site to use and had what I needed."/>
        <s v="Petflow has been charging me for dog…"/>
        <s v="Good service &amp; communications"/>
        <s v="all are OK."/>
        <s v="I am so thrilled with the fast delivery…"/>
        <s v="New customer Impression"/>
        <s v="Hello"/>
        <s v="Proper handling of freeze dried dog food."/>
        <s v="Big Fan of PetFlow!"/>
        <s v="Easily found the dog food I wanted"/>
        <s v="Finally found a store that has my…"/>
        <s v="Improvements need to be made"/>
        <s v="Petflow online lets my pets eat well"/>
        <s v="THESE TAIL WAGERS ( beef rib bones ) …"/>
        <s v="Price was good"/>
        <s v="Speedy delivery!"/>
        <s v="Repeat customer"/>
        <s v="first order and didn't have any…"/>
        <s v="Excellent service &amp; merchandise."/>
        <s v="I ordered treats for my fur babies"/>
        <s v="Product was on time buy packaging was…"/>
        <s v="Enjoyed the prompt service"/>
        <s v="I’m happy they had the product I need"/>
        <s v="Delivery is always super fast and much…"/>
        <s v="Paid for order to only be refunded days…"/>
        <s v="Ordered 3 products…"/>
        <s v="I ordered prescription dog food and it…"/>
        <s v="Local vets out of prescribed cat food"/>
        <s v="Items shipped wrong twice"/>
        <s v="Quick service n delivery.. Dogs live the product its fresh and prescription diet as vet ordered."/>
        <s v="Items arrived promptly"/>
        <s v="I would have preferred to get my items…"/>
        <s v="Great Company! Great prices! Great service!"/>
        <s v="Quality affordable bird toys"/>
        <s v="Very easy to use and very fast…"/>
        <s v="From start to finish"/>
        <s v="I ordered puppy food through petflow…"/>
        <s v="Orders arrived promptly."/>
        <s v="I have ordered from Petflow almost 10…"/>
        <s v="The right products"/>
        <s v="Farmina Ancestral Grains Chicken Pomegranate Medium/Maxi Light"/>
        <s v="Very happy that what I need for my dog…"/>
        <s v="I signed up for the automatic order"/>
        <s v="Where is my prescription order, after 11 days."/>
        <s v="My order was canceled and no one…"/>
        <s v="New Order"/>
        <s v="Sent me the wrong product twice in a…"/>
        <s v="They carry Fromm that our dogs love"/>
        <s v="Absolute scam of a company"/>
        <s v="Yippee!"/>
        <s v="Great service and prices"/>
        <s v="I still haven’t received my product"/>
        <s v="Perfection!"/>
        <s v="Poor communication &amp; follow up"/>
        <s v="Order as expected &amp; on time"/>
        <s v="Wish there were sales on Fromm dog food."/>
        <s v="Quick and reliable."/>
        <s v="PetFlow had a product in stock when no one else did!"/>
        <s v="love this place"/>
        <s v="My experience overall has been very…"/>
        <s v="Out of stock food"/>
        <s v="PetFlow Solves My Problem Quickly"/>
        <s v="I am so impressed with every stage in…"/>
        <s v="Always pleased with PetFlow"/>
        <s v="Very fast shipping which is really…"/>
        <s v="This was the first time I ordered from…"/>
        <s v="Your service has been very good"/>
        <s v="Order from PetFlow"/>
        <s v="Always very…"/>
        <s v="I love this company"/>
        <s v="I like that some of my auto ship order…"/>
        <s v="My Review"/>
        <s v="Just Perfect!"/>
        <s v="Highly Recommend PetFlow"/>
        <s v="My experience with petflow has been all…"/>
        <s v="This was my first order"/>
        <s v="Xxxxcc"/>
        <s v="Excellent Service!!"/>
        <s v="Ordered a veterinarian prescription…"/>
        <s v="Perfect !"/>
        <s v="Wonderful Customer Service!!"/>
        <s v="PetFlow not only had what I needed but…"/>
        <s v="Petflow has always been there w/full…"/>
        <s v="PetFlow makes it easy for me to get a…"/>
        <s v="This is the second ordered I placed…"/>
        <s v="Website and order process were both…"/>
        <s v="A unhappy customer"/>
        <s v="I phoned prior to placing an order..."/>
        <s v="So glad I found PetFlow"/>
        <s v="Fast delivery!"/>
        <s v="Had What I Needed and Received Order On-time"/>
        <s v="Items came on time."/>
        <s v="Order still not shipped"/>
        <s v="First order"/>
        <s v="Good products BUT"/>
        <s v="Your website and customer reps have no…"/>
        <s v="Prescription Diet K/D food is important"/>
        <s v="This was my first time using Pet Flow"/>
        <s v="I got my exact order very quickly"/>
        <s v="Web site ordering and auto-ship process…"/>
        <s v="My last order had 2 items that were out…"/>
        <s v="Every aspect of Petflow is superb!"/>
        <s v="In a world where cat food is an item on…"/>
        <s v="Will shop again"/>
        <s v="the worst"/>
        <s v="Slow on delivery and communication"/>
        <s v="Very pleased!"/>
        <s v="Unfortunately my last 2 ordered have…"/>
        <s v="The plus with Petflow is that they…"/>
        <s v="Very accommodating"/>
        <s v="Delays, Delays and more delays"/>
        <s v="Petflow has most of the items that I…"/>
        <s v="Disappointment"/>
        <s v="Picture did not match item sent"/>
        <s v="arrived quickly and in good condition"/>
        <s v="6 out of my 10 items were cracked"/>
        <s v="Defective Item"/>
        <s v="As soon as I gave him his first taste…"/>
        <s v="This was my first order from PetFlow"/>
        <s v="This would be five stars"/>
        <s v="Dog food and treats online worked out great!"/>
        <s v="Petflow improves but still got a ways to go"/>
        <s v="Good selection of pet food"/>
        <s v="Extremely Pleased!!! My dog is on a prescription dog food…"/>
        <s v="I ordered a 25lb bag of dog food along…"/>
        <s v="Great on time delivery"/>
        <s v="Petflow does what's right by their customers"/>
        <s v="Fast Delivery/Product Availability"/>
        <s v="30% of my deliveries have had slashes…"/>
        <s v="Ordered nearly two weeks ago Rx dog…"/>
        <s v="Good selection and reasonable shipping…"/>
        <s v="Easy to order and always fast delivery."/>
        <s v="i was very happy with service from…"/>
        <s v="Good service and the dogs love the food."/>
        <s v="Fast shipping and great service"/>
        <s v="Was disappointed on my order"/>
        <s v="I give one star only because 0 wasn't…"/>
        <s v="The box was falling apart- I can't…"/>
        <s v="I really loved my experience with PetFlow"/>
        <s v="Fabulous website &amp; excellent customer…"/>
        <s v="Excellent company"/>
        <s v="Great Company to order products wanted…"/>
        <s v="First Order - All Good"/>
        <s v="Quick and easy to receive pet food"/>
        <s v="Try Chewy/This review site requires you to accept certain terms and conditions so don't bother filling this out if you want privacy."/>
        <s v="Good service."/>
        <s v="accurate and timely delivery"/>
        <s v="Very good customer service."/>
        <s v="It has taken too long to receive my…"/>
        <s v="Products received on time"/>
        <s v="Being told it was delivered and it…"/>
        <s v="Easy to order and quick shipment."/>
        <s v="Only received 1/2 of RX cat food order…"/>
        <s v="Placed order 1/3/22"/>
        <s v="Generally timely and professional…except for the use of FedEx"/>
        <s v="My order was fulfilled in two days…"/>
        <s v="PETFLOW is the only supplier I can get…"/>
        <s v="Check your bank balances people"/>
        <s v="No problems with the product but..."/>
        <s v="Overall I love PetFlow"/>
        <s v="They make it easy"/>
        <s v="Called PetFlow to see if I could get…"/>
        <s v="Extremely good service"/>
        <s v="My package was stolen and they reached…"/>
        <s v="Petflow helped me out in a pinch when…"/>
        <s v="Reasonable prices"/>
        <s v="Downhill service from Pet Flow"/>
        <s v="They could not deliver"/>
        <s v="My auto ship from Petflow is so easy to…"/>
        <s v="Have ordered my furkids prescription…"/>
        <s v="Variety!"/>
        <s v="Dog gates are sturdy"/>
        <s v="The app is difficult"/>
        <s v="Fedex has not yet delivered the package"/>
        <s v="Pet Flow shipments are always ontime…"/>
        <s v="Great Selection and Service"/>
        <s v="Products have been great"/>
        <s v="I ordered dog treats from the company my…"/>
        <s v="Product delivered on time as promised"/>
        <s v="Not good service"/>
        <s v="Shipping has been off for autoship"/>
        <s v="Shipping dates are really slow"/>
        <s v="Terrible!! Won't use this company again."/>
        <s v="Great service-always on time"/>
        <s v="Excellent variety and quick delivery"/>
        <s v="Still haven’t received my order"/>
        <s v="pet flow order stuck in Colorado....not delivered"/>
        <s v="Customer service is top notch"/>
        <s v="I really like your products"/>
        <s v="Pricing good"/>
        <s v="I was luckily to find what I needed at…"/>
        <s v="Been with Petflow going on 5 years now"/>
        <s v="Delivery was quick and I'm very happy…"/>
        <s v="25% discount on quality dog food"/>
        <s v="PetFlow: not to be trusted / disaster"/>
        <s v="Very Fast service"/>
        <s v="Food took 11 days to get here"/>
        <s v="Still Waiting"/>
        <s v="Would really like invoice included with…"/>
        <s v="Perfect all around!"/>
        <s v="PetFlow came through when other trusted…"/>
        <s v="Love your service."/>
        <s v="First and Last Order, Never Again"/>
        <s v="Good site; but…"/>
        <s v="Pet flow staff have been knowledgeable"/>
        <s v="Each order comes as anticipated and…"/>
        <s v="Good product and fast delivery."/>
        <s v="Still waiting for an order….."/>
        <s v="First time ordering from PetFlow"/>
        <s v="PetFlow has a great selection and…"/>
        <s v="Ordered three bags of dog food"/>
        <s v="I’ve ordered from Petflow for over 5…"/>
        <s v="Never did get my order and it took 3…"/>
        <s v="Excellent service and value !"/>
        <s v="My dog LOVES this new pet food!"/>
        <s v="Great food...our 5 dogs love it."/>
        <s v="Great service fast delivery"/>
        <s v="Very fast delivery"/>
        <s v="My order arrived on time and complete"/>
        <s v="I’m very happy with Petflow"/>
        <s v="Quick response to my order with…"/>
        <s v="Food and toy came quicker than expected."/>
        <s v="My order came in good time"/>
        <s v="Very good company with a wide selection…"/>
        <s v="Great selection of product"/>
        <s v="Coupons and FedEx"/>
        <s v="Buddy &amp; his treats!"/>
        <s v="Exactly what I would expect - in a very good way."/>
        <s v="Overflow consistently delivers high…"/>
        <s v="Incredible kindness from customer service"/>
        <s v="Convenient but get multiple shipments I don’t want"/>
        <s v="Love this company!"/>
        <s v="I still haven’t received my order."/>
        <s v="Top quality and customer service"/>
        <s v="On time and best price"/>
        <s v="Great site, great service"/>
        <s v="Do not order from this site"/>
        <s v="Very timely service"/>
        <s v="Always fast delivery and good prices."/>
        <s v="Great + quick delivery"/>
        <s v="One of the few places I could find what…"/>
        <s v="always get my order quickly and good…"/>
        <s v="I was pleasantly surprised that PetFlow…"/>
        <s v="Everything came to my home in time…"/>
        <s v="Love this company always have what I…"/>
        <s v="Easy website layout and good selection…"/>
        <s v="Excellent quick delivery with best…"/>
        <s v="My initial shipment was damaged but PetFlow made it right"/>
        <s v="Fast shipping."/>
        <s v="It's been over two weeks and I have yet…"/>
        <s v="Received exactly what I ordered and in…"/>
        <s v="Very nice"/>
        <s v="PetFlow is my go to...."/>
        <s v="Pet Flow stocks the dog food I need"/>
        <s v="PetFlow offers a wide variety of…"/>
        <s v="It take too long to arrive to my area."/>
        <s v="I was sucked in by the promise of a discount"/>
        <s v="Service extremely quick and they seem…"/>
        <s v="I’m a happy camper"/>
        <s v="Pet Flow great, delivery awful."/>
        <s v="Petflow has been fine"/>
        <s v="A Company Dedicated to Service"/>
        <s v="Good product, well packaged"/>
        <s v="My dog food took 1 week and 1/2 to…"/>
        <s v="I thought I had cancelled one order to…"/>
        <s v="PetFlow delivers quickly"/>
        <s v="Food fine;shipping not; PetFlow customer service - no response"/>
        <s v="Great selection and easy to check out"/>
        <s v="Petflow is efficient and speedy"/>
        <s v="PetFlow is fast and accurate"/>
        <s v="I made an order from Petflow awhile…"/>
        <s v="On time, order complete but a boxed soapy mess."/>
        <s v="As always 5 stars"/>
        <s v="My one complaint is that you cannot…"/>
        <s v="Very happy!"/>
        <s v="They shipped my wet catfood over a week…"/>
        <s v="Prompt shipping"/>
        <s v="Petflow is a class act"/>
        <s v="prices r good shipping fast"/>
        <s v="Good product and fast shipping"/>
        <s v="Excellent service with competitive…"/>
        <s v="There was a mistake in the order and…"/>
        <s v="The price was right and the quality was…"/>
        <s v="Great site"/>
        <s v="Friendly staff, great selection of cat food, and quick shipping!"/>
        <s v="Ordering made easy!"/>
        <s v="Never had a problem"/>
        <s v="Very Happy with Order &amp; Delivery"/>
        <s v="Get place for special dog food delivery"/>
        <s v="I have had great experience with PetFlow."/>
        <s v="Always quality items from Pet Flow"/>
        <s v="I like this company"/>
        <s v="Do not buy from Pet Flow False info on delivery date"/>
        <s v="Great communication and speedy service…"/>
        <s v="Placed order and received item earlier…"/>
        <s v="I’m still waiting for my dog food…"/>
        <s v="Things came well packaged and timely"/>
        <s v="Took 6 days in transit"/>
        <s v="Prices were good"/>
        <s v="PetFlow is responsive to clients"/>
        <s v="All's well"/>
        <s v="what i wanted quickly received with…"/>
        <s v="huge variety of pet supplies and fast…"/>
        <s v="I couldn’t"/>
        <s v="Very prompt"/>
        <s v="Had product and delivered in a timely…"/>
        <s v="Quick and easy."/>
        <s v="I changed my delivery date and the…"/>
        <s v="Received the wrong items"/>
        <s v="Fast delivery and great product as…"/>
        <s v="Best offer"/>
        <s v="Super service for shipping my Fromm…"/>
        <s v="The store itself has great prices and selection."/>
        <s v="Shipped fast and had the items in stock…"/>
        <s v="Excellent service and the best pricing"/>
        <s v="Very pleased with Pet Flow's service…"/>
        <s v="Great prices and selections of high…"/>
        <s v="PetFlow has the best prices for pet…"/>
        <s v="Good and fresh"/>
        <s v="Every time I order from here."/>
        <s v="Great customer service &amp; products."/>
        <s v="Staff were very good at listening and…"/>
        <s v="Excellent customer service and fast…"/>
        <s v="My delivery isn’t not coming,very very…"/>
        <s v="I was very pleased with my order!"/>
        <s v="Petflow apparently doesn't put in…"/>
        <s v="👍Petflow"/>
        <s v="Supply issues and mix ups plagued my service"/>
        <s v="we love pet flow"/>
        <s v="We ordered pet food on Nov 26 and…"/>
        <s v="Needs to improve on your customer…"/>
        <s v="I am very happy with my purchase of cat…"/>
        <s v="They have great customer service"/>
        <s v="Love this company"/>
        <s v="Very few notices of what was going on"/>
        <s v="I would’ve given a 5 star review…I should’ve gotten an explanation."/>
        <s v="Only half my order arrived so far"/>
        <s v="Great service as usual even over the…"/>
        <s v="Website easy"/>
        <s v="Thanks for having the food in stock"/>
        <s v="received the delivery on time"/>
        <s v="Great experience!"/>
        <s v="Shipping not according to what was…"/>
        <s v="Excellent transaction :) Will shop…"/>
        <s v="Just as expected no disappointment here!"/>
        <s v="PetFlow / Petco / PetSmart"/>
        <s v="My Hund loves the chow we ordered from…"/>
        <s v="The folks at PetFlow were kind enough…"/>
        <s v="Great and prompt service and delivery"/>
        <s v="I placed orders during weekends"/>
        <s v="I thought that the price was high…"/>
        <s v="Very happy with my purchase experience"/>
        <s v="I paid for a package of food for my…"/>
        <s v="I wrote to the company regarding a customer service issue, where their backorder the employee said I didn't have funding!"/>
        <s v="Pleased with Auto Order"/>
        <s v="Slow delivery"/>
        <s v="The whole reason why I ordered from…"/>
        <s v="I was very happy to be able to find a…"/>
        <s v="Very impressed with being able to get…"/>
        <s v="Easy website to navigate"/>
        <s v="Customer service has"/>
        <s v="Prompt delivery and good price."/>
        <s v="Third time they have got the order wrong !!!!!!!!!!!!!!!!!!!!!!!!!!!!!!!!!!!!!!!!!!!!!"/>
        <s v="Easy to use website and fast shipping."/>
        <s v="&quot;Out of Stock&quot;"/>
        <s v="Food purchase"/>
        <s v="I'd order again."/>
        <s v="You carry the dog food that my puppy…"/>
        <s v="Awful Communication"/>
        <s v="Can someone contact me?"/>
        <s v="Excellent product"/>
        <s v="Need better shipping info sent by email"/>
        <s v="Hills Metabolic canned Food"/>
        <s v="Excellent prices and delivery."/>
        <s v="Product was as advertised,works great"/>
        <s v="5 days after I should have recieved my…"/>
        <s v="Fast service"/>
        <s v="Great service thank you"/>
        <s v="Delayed getting my dog food"/>
        <s v="Convenience plus"/>
        <s v="Quick Delivety"/>
        <s v="Very happy with my purchase, Excellent Customer Service"/>
        <s v="It was supper easy to place my order"/>
        <s v="Good job sending package on timely…"/>
        <s v="Had products I couldn't find any other…"/>
        <s v="Dog food was listed in stock at time of…"/>
        <s v="NEVER RECEIVED MY ORDER IN OVER A MONTH…"/>
        <s v="Order placing was easy"/>
        <s v="Very satisfied with everything."/>
        <s v="Organized &amp; Professional, but....…"/>
        <s v="Saved from having my kitten upset"/>
        <s v="Didn't get half of what I ordered?"/>
        <s v="Fast shipping and great inventory of…"/>
        <s v="We use auto ship for most of the…Auto Ship is extremely difficult to edit and use."/>
        <s v="Speedy delivery"/>
        <s v="Convenience for the win!"/>
        <s v="good products great prices"/>
        <s v="Great First Experience!"/>
        <s v="POOR BUSINESS PRACTICES"/>
        <s v="Everything went smoothly from ordering all the way to delivery. Very happy and will use them again."/>
        <s v="Delivery was delayed 3 times"/>
        <s v="Ordered prescription dog food"/>
        <s v="I am totally impressed with petflow"/>
        <s v="I have been using petflow for several…"/>
        <s v="Great products and service that excels"/>
        <s v="I spoke with a very helpful woman who…"/>
        <s v="I placed an order on 11/2"/>
        <s v="My husband shopped here last Christmas…"/>
        <s v="Location of drop off"/>
        <s v="EXCELLENT service and everything packed…"/>
        <s v="Currently waiting to receive order"/>
        <s v="I love the quick delivery when we order…"/>
        <s v="goog"/>
        <s v="Ordered dog food for the first from…"/>
        <s v="Fast shipping...."/>
        <s v="They let me order food and charged me…"/>
        <s v="I’ve used PetFlow for a year now"/>
        <s v="Late package great customer service"/>
        <s v="Great pricing however I Wasn't able to…"/>
        <s v="Very slow to ship resulted in poor…"/>
        <s v="I spoke with somebody in chat and I…"/>
        <s v="Although I have had great success with…"/>
        <s v="Petflow is a good source of hard to find foods."/>
        <s v="Love Petflow products"/>
        <s v="My dog food always arrives on time"/>
        <s v="This gate is working very well at our…"/>
        <s v="Excellent alternative to Chewy"/>
        <s v="Thank you so much Petflow"/>
        <s v="Never received the dog food I ordered…"/>
        <s v="Petflow is a great company to do my on…"/>
        <s v="like the quick service and available…"/>
        <s v="Always get my pups treats and food from…"/>
        <s v="Bait and Disappoint"/>
        <s v="my new found GEM!!!"/>
        <s v="PetFlow has what you’re looking for"/>
        <s v="slow with shipping and handling"/>
        <s v="I ordered a few items using an account…"/>
        <s v="You've Earned My Business"/>
        <s v="Something about that penny"/>
        <s v="Ordered online instead of my local…"/>
        <s v="Quickly filled order, delayed delivery"/>
        <s v="Our order was delivered very fast"/>
        <s v="Absolutely perfect"/>
        <s v="Shipped promptly and great prices"/>
        <s v="Over promised and Under delivered."/>
        <s v="Damaged order"/>
        <s v="Dog likes food it’s too expensive"/>
        <s v="Always correct and quick"/>
        <s v="Outstanding customer service"/>
        <s v="Ordered everything"/>
        <s v="Focus on your"/>
        <s v="THE TREATS WERE PERFECT AND FAST…"/>
        <s v="Amazing"/>
        <s v="Just started auto ship of a cat food"/>
        <s v="Love pet flow"/>
        <s v="Autoship"/>
        <s v="Always an easy transaction"/>
        <s v="Didn’t have my order in stock and…"/>
        <s v="The. best place to auto order treats and food for your dogs!"/>
        <s v="While most others were out; we found the canned food our pet needed a PetFlow"/>
        <s v="I love the autoship option for my cat…"/>
        <s v="Petflow is my most trusted vendor"/>
        <s v="Product was delivered quickly"/>
        <s v="Excellent communication and outstanding customer service"/>
        <s v="Excellent customer service and easy…"/>
        <s v="Customer Service is good to work"/>
        <s v="Selling empty air"/>
        <s v="I placed an order and had to cancel"/>
        <s v="PetFlow is wonderful"/>
        <s v="I wish I had known about you sooner"/>
        <s v="Products are great"/>
        <s v="Always great service and excellent…"/>
        <s v="have been waiting for almost 2 weeks…"/>
        <s v="shipping and delivery could be quicker"/>
        <s v="I really like Pet Flow and would order…"/>
        <s v="Thumbs up"/>
        <s v="PetFlow has excellent customer service, but..."/>
        <s v="Website needs to be more functional"/>
        <s v="Customer service was great, but"/>
        <s v="Happy Mom, happy dogs!"/>
        <s v="Can you wait til I receive my order"/>
        <s v="Might beat Chewy eventually"/>
        <s v="I love being a Pet Flow customer!"/>
        <s v="I have 5 cats for whom the…"/>
        <s v="Delivery of my product arrived timely… BUT"/>
        <s v="My experience with PetFlow was…"/>
        <s v="Always fast shipping and great products…"/>
        <s v="Fast delivery."/>
        <s v="Products are fine"/>
        <s v="My puppy and cat love it."/>
        <s v="This was the very first time I ever…"/>
        <s v="It’s been weeks and I haven’t received…"/>
        <s v="the orders are always late"/>
        <s v="Because as a customer PetFlow mislead me"/>
        <s v="Unfortunately when I placed my order my…"/>
        <s v="Very punctual and nice."/>
        <s v="PetFlow came through for me with a…"/>
        <s v="Love the convenience of not having to…"/>
        <s v="Great fast service"/>
        <s v="Horrible customer service keeps lying…"/>
        <s v="Has most any product you could want"/>
        <s v="Fast order great packaging great price"/>
        <s v="I love the service however 2 bags of…"/>
        <s v="I used to use other well-known online…"/>
        <s v="The service and delivery was great."/>
        <s v="Great customer service!!"/>
        <s v="The kitty litter box split and was all…"/>
        <s v="This is a fantastic gate!"/>
        <s v="You take orders knowing products not…"/>
        <s v="Petflow has a good selection of…"/>
        <s v="Hassle-Free"/>
        <s v="Need to change auto ship program set up."/>
        <s v="I have place 2 orders with Petflow"/>
        <s v="Great selection of products &amp; emphasis…"/>
        <s v="PetFlow had Hill’s Metabolic Rx dog food when others did not!"/>
        <s v="Order with PetFlow"/>
        <s v="Best pet food subscription platform"/>
        <s v="Placed order for dog food that I needed…"/>
        <s v="All item sent"/>
        <s v="Happy but could have been happier"/>
        <s v="Ordered Butcher Block Bones and a box…"/>
        <s v="I was impressed with how quickly my…"/>
        <s v="Ordered a Flexi leash for my dog."/>
        <s v="Product that is not available elsewhere…"/>
        <s v="First time using"/>
        <s v="Your selection and prices are good"/>
        <s v="I have been trying to find the special…"/>
        <s v="Always Happy with my Purchases and Services"/>
        <s v="Everything from locating products on…"/>
        <s v="PetFlow has the products I need and if…"/>
        <s v="it seems a bit difficult to delete an…"/>
        <s v="Not very long shipping from the date of…"/>
        <s v="Ordered on 10/6"/>
        <s v="I get all my dog food and treats from…"/>
        <s v="Petflow always has the prescription…"/>
        <s v="Great place to shop!"/>
        <s v="Good job, PetFlow!"/>
        <s v="Products Great / Shipping NOT so Much!"/>
        <s v="Satisfied"/>
        <s v="Always correct &amp; timely"/>
        <s v="Petsmart not smart just huge corp."/>
        <s v="First time ordering autoship"/>
        <s v="Happy with Order"/>
        <s v="Great service and fast delivery…"/>
        <s v="Always a pleasure shopping with Pet…"/>
        <s v="Always got what my cats want and always…"/>
        <s v="Great company with excellent customer…"/>
        <s v="Petflow’s prices are good and the…"/>
        <s v="Fast shipping &amp; careful packaging!"/>
        <s v="Great job!"/>
        <s v="Gave petflow a chance because chewy was…"/>
        <s v="Sifting Litter Box"/>
        <s v="Competitive price"/>
        <s v="Need I say more!?"/>
        <s v="The first time I ordered my dog’s…PCB"/>
        <s v="Ordered item 2 weeks ago"/>
        <s v="First I was told my food order was on…"/>
        <s v="They have products of dog food I can’t…"/>
        <s v="MY DOGS ARE HAPPY AND SO AM I WITH THE…"/>
        <s v="There no price gauging"/>
        <s v="Respond to emails very quickly"/>
        <s v="It is difficult at times to get dog…"/>
        <s v="Excellent service and delivery"/>
        <s v="Replacement squeakers"/>
        <s v="Late, poor communication"/>
        <s v="Timing of shipping is a problem."/>
        <s v="Very good service and fast shipment."/>
        <s v="Love the delivery"/>
        <s v="Ordered several teddy bear toys"/>
        <s v="Delayed delivery…Pet Flow Handled Perfectly"/>
        <s v="Usually we have a great experience with…"/>
        <s v="I contacted customer service because I…needed to return the wrong dog food"/>
        <s v="Very easy ordering"/>
        <s v="I have been a returning customer for a…"/>
        <s v="PetFlow had the prescription dog food my Vet couldn't get"/>
        <s v="My order was well wrapped and delivered…"/>
        <s v="Amazing service"/>
        <s v="Horrible fulfillment system"/>
        <s v="Easy to order form the site"/>
        <s v="Order processed immediately and delivery was quick"/>
        <s v="Found this vendor “on line”…great service"/>
        <s v="I have no idea what I bought from your…"/>
        <s v="Found My New Online Cat Food Store"/>
        <s v="Ordered dog food which they said was in…"/>
        <s v="Great selection of in stock items and…"/>
        <s v="Petflow had what I needed in cat food…"/>
        <s v="Vet advised a change of food"/>
        <s v="Prescription orders are terrible."/>
        <s v="This place is da bomb"/>
        <s v="Easy to find exactly what I was looking…"/>
        <s v="I was very happy with my experience"/>
        <s v="Friendly staff"/>
        <s v="Wrong food sent now I have to return it…"/>
        <s v="We and our 3 German Shorthair pups"/>
        <s v="I ordered I/d chicken stew"/>
        <s v="I always feel as though"/>
        <s v="rder email confirmation was delayed and…"/>
        <s v="Super convenient"/>
        <s v="Couldn't locate my brand of food in New…"/>
        <s v="I was forced to buy two items to get to…"/>
        <s v="Couldn’t find our dog’s food anywhere"/>
        <s v="Great products and excellent customer service"/>
        <s v="Great phone help on getting Oscar’s Rx…"/>
        <s v="Helpful coupons, hard-to-find food, friendly and fast service"/>
        <s v="Petflow has excellent prices and a…"/>
        <s v="Petflow was a great find"/>
        <s v="Each time I placed an order of what was…"/>
        <s v="Fail"/>
        <s v="I still haven’t received my dog food"/>
        <s v="I couldn’t find this prescription treat…"/>
        <s v="Fast delivery &amp; easy to use website."/>
        <s v="Fast service as usual"/>
        <s v="Hills prescription ID low fat diet canned dog food"/>
        <s v="Ordered Rx cat/case cans/Blue W+U on…"/>
        <s v="As usual"/>
        <s v="I ordered the prescription dogfood I…"/>
        <s v="Discount was removed by site after…"/>
        <s v="I have been satisfied with all orders…"/>
        <s v="Items in stock and were delivered early!"/>
        <s v="Received my delivery on the day it was…"/>
        <s v="Great quality items that my dogs love."/>
        <s v="Love the service they try to make sure…"/>
        <s v="Products are good"/>
        <s v="NEVER HAD A PRODUCT THEY ADVERTISED!"/>
        <s v="My order has still not arrived"/>
        <s v="I ordered food for my dog almost 2…"/>
        <s v="Pet Flow misleads their customers."/>
        <s v="Total disappointment"/>
      </sharedItems>
    </cacheField>
    <cacheField name="full review" numFmtId="0">
      <sharedItems containsBlank="1">
        <s v="I shopped the product, Milk Bone Pill Pouches for several weeks. Our dog is on Holistic Herbal supplements and dosing requires about five pouches a day. PetFlow, hands down, is a best price retailer for my target product. Great value for consumer. Custome"/>
        <s v="Arm and Hammer litter, is dust free, clumping/seal, which is difficult to find. I used to wear a mask handling other litter, not necessary now and no smell. I have it on auto ship, which makes it convenient and it is $7.00 less expensive than buying in st"/>
        <s v="I have been with them since 2013 and my orders are on time. When there was a delay during COVID they were sending out notices and updates. I had an issue with my fed EX people taking my dog food. The company immediately send another order out to me. They "/>
        <s v="PetFlow was able to ship an important dog food product that was not available from other on-line merchants. It was frustrating contacting the usual sources until PetFlow showed up on a browser search. We had not heard of PetFlow before; we will not forget"/>
        <s v="I received a damaged pet food bag and the customer service people were so responsive and wonderful. I received a replacement bag immediately! I always prefer PetFlow because your shipping is always professional with no loose food or mess. I always promote"/>
        <s v="This is the second time I have received rancid dog food from this company, The first time they finally answered my email and said they would re-send the order. They resent the order and 1 item was wrong . They then ignored my email and didn't respond to m"/>
        <s v="The company was very responsive to problems I had manoeuvering their site. The shipping was well within reasonable expectations.&#10;My only issue has to do with the site not being easy for me actually 'maze-like' in its degree of difficulty. I wish it would "/>
        <s v="Ordered dog food and 5 days later no shipment no contact. Have to call to cancel order and delete your payment method. Pretty much a fake joke site."/>
        <s v="The people there if contacted go up and beyond to answer questions and help. Orders are processed in record time and shipped out fast.&#10;Very happy with the switch over to using them . Very satisfied customer"/>
        <s v="This was my first purchase from Petflow and I am impressed. First when I set up my my new account I had issues with logging in. I received the email with the 6 digit security code but when I used the link to use it I wasn’t sent to the page to enter. Afte"/>
        <s v="First-time customer, I ordered canned cat food because of the good price. Free shipping--good! Timely delivery--good.&#10;However, the packaging was terrible both boxes split open and from one box 3 cans had popped open spilling liquid throughout. Three other"/>
        <s v="I've discovered PetFlow because I searched for the best value I could find for bully sticks for my dogs. I've been really happy with my purchases and will look to them for other pet supplies in the future."/>
        <s v="Good product, but it would have been easier if these 2 bags were boxed separately. Being a little old lady, it's hard to manage both of them together, but it's all good."/>
        <s v="I have had a great experience with Petflow. They carry Fromm dog food which can be hard to find. Good prices. The website is easy to use and I can adjust the date of my subscription as needed."/>
        <s v="I had to change my password the past three times I attempted to place an order. Everytime I ended up having to call customer service to place the order. When I tried to tell the agent what was happening with the order app, I kept getting replies that basi"/>
        <s v="I was surprised to be able to talk to an actual person whenever I called for support. One of the few places I can buy the best food for my dog."/>
        <s v="Quality Fromm dog food and treats that can not be found on other sites. Exceptional service."/>
        <s v="I placed a large order (my 2nd one). Petflow was running a good special. Unfortunately, they had some internet issues which delayed my order. However, it arrived fairly quickly giving the issues. One of the dry food bags had a puncture hole in it. When I "/>
        <s v="The shipping is usually pretty fast, which is much appreciated. There seems to be an issue with using my credit card on the PetFlow page but now I just use PayPal and that seems to work out fine."/>
        <s v="One of the best things I love besides the great pet product selection is how PetFlow ships orders. If something heavy is being shipped with something that can easily be crushed, there is a U shaped piece of cardboard inserted in the box to create a protec"/>
        <s v="Had a technical problem with my account and had to call for help. Your rep was very helpful and got the food ordered and delivered quickly."/>
        <s v="Really pleasant, helpful people on the phones. Lowest price by far of any. Fast n free shipping. Great experience."/>
        <s v="I have used pet flow in the past many years ago with success and don’t remember having the same issues I’ve had recently when I started using there company again. A dog food called Rockster which is produced in Europe and only sold via a couple store fron"/>
        <s v="My first experience was terrible. I placed an order on May 8th, and on May 10th it was not even being processed. I cancelled it, placed an order in Chewy.com and got it at the same day.&#10;I will not use PetFlow anymore."/>
        <s v="Cannot cancel an auto ship online. Cannot update expired credit card on auto ship online. Had to call, nobody available until 9 am eastern. Finally pause auto ship and place new order. Do not ever set up any auto ship."/>
        <s v="First transaction and auto ship went well. Cheaper than Chewy and all downhill after that. Cant log into account to change or cancel autoship, tried password reset never get the e-mail and checked junk e-mail as well. Contact support ok we’ll send you a p"/>
        <s v="I placed an order on May 10th-updates and tracking with fedex did not occur past the second day and ultimately an agent ordered a replacement order on May 17...on May 24th the shipment was on a truck for delivery but did not arrive...the site still said i"/>
        <s v="I just discovered petflow. Great selection. Prices just like or better than the online retailer named after a jungle. I usually get my order in 2 days using standard shipping. Will continue shopping here."/>
        <s v="The items I ordered were exactly what I wanted and they were delivered in a timely manner."/>
        <s v="My delivery was very delayed and then showed up even a day later than it was supposed to. Very dissatisfied with this past order. Petflow wouldn’t even offer to expedite the shipping even though the delay was on their end. Didn’t even offed a discount for"/>
        <s v="When I called to order anything the customer service representatives that represent your company they are so so nice and very knowledgeable and Just I just love them they’re great."/>
        <s v="The product ordered needed to be shipped from a further destination. FedEx gave an arrival date of Monday, May 8 then changed their arrival date to Sunday , May 7. It actually arrived on Tuesday May 9. I had to go to the store to buy some dry food to see "/>
        <s v="We purchased canned dog food from Petflow. Their prices were the lowest we were able to find as this brand was hard to find elsewhere. Ordering was very easy and shipping was quick and flawless. We will continue to purchase from Petflow."/>
        <s v="Petflow is the only place I can find Fromm dog food. Their prices are reasonable and they ship quickly."/>
        <s v="It was able to order easily, delivery was prompt and the products had good variety."/>
        <s v="I find the best price on my preferred cat food at PetFlow. Everything is also packaged neatly and arrived in perfect shape PetFlow has been great. The only criticism would be that it took nearly a week to receive the order, but now I factor this in when I"/>
        <s v="I have shopped at a couple of different online pet sites, only to be disappointed and frustrated. When I found PetFlow, to say the least, I was skeptical. But to my surprise, PetFlow came through As Promised! Not only did they process my order quickly, it"/>
        <s v="The items were received in a timely manner and were packaged well. The descriptions on your website were accurate and very detailed. This was very helpful."/>
        <s v="I love your fast shipping, and the fact that you use boxes that are strong enough to hold the contents! You carry the bags of Dr. Kelsey’s kitty litter instead of the new 20 lb boxes. The boxes are too heavy for me, but I can handle the 18 pound bags. You"/>
        <s v="I had a very friendly young lady help me order my cat food. Her name is Savannah. It was a pleasure having her help me today.&#10;&#10;Today is 5-19-23. At the bottom of this page, for some unknown reason, someone chose to type in the date as May 8, 2023. NOT SO "/>
        <s v="The customer service is outstanding - always kind, helpful, courteous and professional. PetFlow often has special discounts I've applied to my purchases, and can be counted on to have the special brand and flavor of dog food my (admittedly spoiled princes"/>
        <s v="This is the second time that I’ve been sent, two shipments, the system said I needed to update my credit card, I did and then it was double charged and foible shipped"/>
        <s v="There was an issue with shipping and the Petflow team resolved it within hours. I've been a customer of Petflow for several years and they always come through for my kiddos and me. Thank you."/>
        <s v="I had an issue with shipping damage, they fixed the problem right away. A+"/>
        <s v="I placed my order on the 3rd of May. After a number of phone calls, my order hadn’t been shipped. On the 7th of May I asked for my money to be refunded. I more than understand the business is small. My account stated that my order was shipped on the 3rd. "/>
        <s v="Just discovered this company. Great price super fast shipping. Will definitely be back. Highly recommend"/>
        <s v="PetFlow has always been great with wonderful customer service support. My only issue is that they don’t protect their canned food deliveries very well and I always end up with a few dented cans. They do offer to make it right, I just wish it wasn’t every "/>
        <s v="My order arrived later than expected and some of the items were damaged, leading to a frustrating return process! PetFlow has its pros and cons, and I would advise potential customers to weigh them carefully before making a purchase."/>
        <s v="The Person was very kind, but as soon as I hung up the phone, my order was delivered. It seems to me she should have been able to tell it was shipped. I never received an email stating my order was shipped"/>
        <s v="Great prices, great customer service, and really fast delivery!"/>
        <s v="We can count on PetFlow delivery on-time with AutoShip. Like this easy way ordering my dogs food."/>
        <s v="Very good prices and the product arrived in about a week. We are perhaps spoiled by next day - two day delivery but thankfully I had anticipated running out of dog food!"/>
        <s v="Great customer service. Whoever I speak with always helps me with my issue."/>
        <s v="Nice, quality collar with a quick release snap. I love this beautiful blue collar and matching leash. Petflow is the best!"/>
        <s v="I arrived at site via a link that promised a discount. Discount appeared on checkout page and I checked out with the discount applied. However, discount was not included in final billing, so I feel I was cheated."/>
        <s v="You bet everyone elses prices, your delivery was great and the order was correct!!"/>
        <s v="The web site is difficult to navigate. It takes several attempts to order a bag of dog food"/>
        <s v="Petflow had the dog food product I was looking for. I had spent a long time searching other various web sites and not having any luck. Petflow was very good with communications and the shipping/delivery of my order. Very excited to find them!!"/>
        <s v="To start, the order did not go through after 4 attempts using my debit card, to the point of me being highly suspicious about a scam. It was not until I called the phone number, because the rep in the chat and the text were dismissal, that I was notified "/>
        <s v="3 days since I placed my order online. Called to verify that my order was coming from the NJ warehouse. I'm in NJ about an hr away from the warehouse. I still don't even have a comfirmation that my order has even shipped."/>
        <s v="They canceled an order without telling me, and when I sent an email asking what happened, the response was a little on the snarky side. I asked a follow up question and never received a reply. I thought I'd try this out, but it's not worththe headache and"/>
        <s v="Shipping took way longer than Chewy's and the box that FedEx eventually delivered was in horrible shape."/>
        <s v="my credit card is always getting flagged for fraud with this site. Site itself has good selection with great prices, but if I want to continue using it I have to make a Paypal acct."/>
        <s v="The price was right, time to receive the product was fast. Only issue was the packaging- 11lbs of cat food and 38 lbs littler in a box that could not handle the weight- The cat littler box broke open and we had little everywhere."/>
        <s v="All items arrived within a few days well packed.&#10;Ordered dog food and was a bit worried about possibly getting a short expiration date.&#10;The food had an expiration date of over a year.&#10;Very pleased."/>
        <s v="Did not like how mostly everything I looked for was out of stock.&#10;Did not like how I was charged an extra $5.00 and not told prior. My order came from a different warehouse and so I was charged differently. This should not have been my fault, I should’ve "/>
        <s v="I called to ask a few questions and the rep could not answer anything. Luckily, I called back and got a rep who could. Basic questions. Also once when I was a prior customer and then with my last order I called for assistance and was assured my issues wou"/>
        <s v="I have had two auto shipments of dog food messed up in less than 4 months . First of all I do auto ship with you . I order 2 bags of Victor Nutrapro every 10 -13 weeks . My first problem was an order of two bags sent to me , one was not in a box and was t"/>
        <s v="The shipping was by slow boat. Very disappointed in that."/>
        <s v="Always fair price and prompt shipping and great products choices."/>
        <s v="It was very helpful to have that special with $75 off of $250 purchase. It’s hard for me as a senior on a fixed income."/>
        <s v="Easy transaction, good selection, good prices, quick shipment."/>
        <s v="The shipping is literally always late. I know that is out of your control but it would be worth talking to fed ex about it. Im sure you are losing return business."/>
        <s v="Quick delivery of a hard-to-find product my dog loves."/>
        <s v="Petflow has good prices if you have&#10;coupon codes and use Google Incognito."/>
        <s v="I ordered a case of 12 cans of dog food. When it came, 10/12 cans were severely dented. I called the company and they did send out a new case very quickly. When the new set of 12 came. 2 were damaged and unusable. This isn’t cheap dog food. The packaging/"/>
        <s v="Online ordering is easy; product selection is great; delivery is fast; good customer service to boot!"/>
        <s v="We needed dog food ASAP so Petflow to the rescue. Plus their subscription program gets food to us on time without having to wait to order. We love it!"/>
        <s v="Easy to order and delivered in a timely matter. And when I had a problem with a delivery as crushed cans or a torn bag of dry dog food, it was taken care of."/>
        <s v="Sure is easy to navigate and the experience was quick. They have good deals, I'll definitely be back &amp; recommend to others."/>
        <s v="Good prices and selections and fast delivery."/>
        <s v="I made a mistake on my order and customer service immediately corrected it for me."/>
        <s v="Always willing to put up with my constant changes."/>
        <s v="Accurate &amp; timely. I depend on them every month."/>
        <s v="Shipped from Nevada to Ohio then back to California. It took 10 days to get the food"/>
        <s v="I love the connivence of having my dog's food delivered directly to my home. It is so easy to have auto ship. If I want to choose additional products, I just go on line."/>
        <s v="Great customer service. Love your sales! I order the litter and use the pharmacy. Great products."/>
        <s v="Very helpful and friendly support staff and reliable shipping."/>
        <s v="Prices are awesome and super fast shipping"/>
        <s v="I love the selection of products offered. My dogs loved the treats they received. The prices are amazing."/>
        <s v="Everything was great as always,very courteous and helpful."/>
        <s v="Extremely fast processing and delivery. I placed my order night time, April 17. Food for my dog left at my door April 20, 2:00 pm. Truly, Greyhound speed. Thank you, Perflow"/>
        <s v="I did not get my dog food. I asked Fed Ex about it and it is lost. I got the cat food and the litter but not the dog food.&#10;&#10;Can you resend it."/>
        <s v="I love pet flow, the toys are always the best quality and have a lot of options! Great service"/>
        <s v="I bought large bags of Open Farm food from you but now you only sell the small bags"/>
        <s v="I love this food for my schipperke. It has great ingredients and delivery is very fast. I would and have recommend Fromm's to friends."/>
        <s v="Websites very easy to use, product arrived promptly, product arrived in great shape, and product that arrived was exactly what was ordered. No complaints!"/>
        <s v="Reasonably priced Fromm dry dog food&#10;Easy website to browse and place an order and shipping was on time&#10;&#10;Will order from this site again"/>
        <s v="Petflow had the product I needed, would rate a 5 star but the product took an excessive time to ship and recieve."/>
        <s v="None"/>
        <s v="Quick&#10;Easy&#10;Kept you informed&#10;Open communication"/>
        <s v="A very smooth and seamless process to secure my spot in the breeder’s upcoming litter."/>
        <s v="Easy to order and I received the correct shipment."/>
        <s v="Hard to find dog food at a good price e, quick free shipping."/>
        <s v="Easy to order --wide variety of product choices and great prices!!!"/>
        <s v="The ordering was easy, the delivery was fast, and I found what I wanted."/>
        <s v="Can't beat the prices &amp; very convenient service!"/>
        <s v="Great prices and loved the free shipping!"/>
        <s v="Highly recommended thank you guys for providing absolutely phenomenal service"/>
        <s v="My shipment reached Grand Junction, CO. which is close to where I live then it was shipped back to Nevada. Then back to Grand Junction. This is the second time this has happened. All of the cans were damaged when I received my shipment."/>
        <s v="Love how tall it is,and the look,just what I was looking for!was shipped very fast"/>
        <s v="Pet Flow was very good about my special order. They had to reach out to my vet to get the script for the dog food and did so. I received my order right after that. Thank you!"/>
        <s v="Had a problem with my order duplicate customer service fixed right away and answered the phone with a person I could understand super plus for that"/>
        <s v="My order came with 4 cans dented out of 12 and this is not the first time...."/>
        <s v="Good company to order better prices"/>
        <s v="You had the items I wanted at a good price. My order was filled and shipped as advertised. I'll use your service again. Thank you."/>
        <s v="I've always had good reliable service from Petflow. I'm very happy with the experience."/>
        <s v="My card number failed to go through properly and I didn't know it so I finally called the company when I didn't get my product they explained to me what had happened and I said oh let's go ahead and use the number again and when I went ahead they give me "/>
        <s v="Always get anything I order on a timely basis."/>
        <s v="The prices were extremely competitive. Everything arrived without a problem. Delivery was fast."/>
        <s v="I have yet to get my order. It was easy ordering."/>
        <s v="Best value for bully sticks! Nobody comes close. Every place is way more expensive."/>
        <s v="I received what I ordered pronto. Great prices compared to Petco. I saved 75% compared to Petco."/>
        <s v="Had everything I needed, ordering was quick and easy, speedy delivery."/>
        <s v="The furkids love the treats and customer service was top notch, great communication."/>
        <s v="Quick shipping and a great price. I will be a returning customer!"/>
        <s v="Super fast shipping awesome and fantastic prices!"/>
        <s v="Great communication with frequent updates on my order tracking."/>
        <s v="Wish there were more options for the length of time for dog food ordering"/>
        <s v="Experience was great, shipping was fast, very happy with my purchase."/>
        <s v="It's a great product and the family dog loves it"/>
        <s v="Lured in by low pricing, I ordered a case of a new dog food (canned) to try it out. I ended up converting my dog (over about 10 days) onto this new food. I then ordered 7 more cases with Petflow of the same food I had auditioned and transitioned my dog on"/>
        <s v="Order came just as promised. Very quick shipping."/>
        <s v="Best price, fast delivery"/>
        <s v="I think you provide good service and deliver your products on a timely basis."/>
        <s v="Good prices, large selection, fast delivery, good response to questions."/>
        <s v="Super fast shipping, competitive pricing, accurate order delivered."/>
        <s v="As I said before, a mistake was made with my order and customer service immediately fixed it"/>
        <s v="wonderful to find Natural Balance Venison CANNED FOOD IN STOCK DELIVERED...delivered..."/>
        <s v="Package was never delivered (10 days after order)"/>
        <s v="They had what I needed (hard-to-find item) in stock, and shipped quickly."/>
        <s v="Very easy to navigate website, excellent prices, great selection and just an overall best experience (second to none"/>
        <s v="I received my order promptly. These people are on their game for sure."/>
        <s v="User friendly online shopping experience and very good prices."/>
        <s v="I was pleased with the prices and the products at PetFlow."/>
        <s v="Quick delivery on great product at a great price."/>
        <s v="Great prices, Good service"/>
        <s v="Got what I ordered &amp; it was delivered on time."/>
        <s v="Pet flow had an out of stock item we have been looking for over 8 months. My dogs are so happy."/>
        <s v="Great prices and free fast shipping. Awesome!"/>
        <s v="Higgins parrots feed"/>
        <s v="Fast shipping, great fresh seed and the brands I use Higgins."/>
        <s v="Easy to place an order, great prices and fast shipping!"/>
        <s v="Good customer service. Great prices."/>
        <s v="I always get good service at a good price in a very good time."/>
        <s v="Good price on pigeon feed shipped with no damage"/>
        <s v="Company is affordable and Customer service is exceptional."/>
        <s v="Everything was perfect, thank you!"/>
        <s v="Great prices! Prompt delivery!"/>
        <s v="Ordered and you didn’t have in stock. Still waiting"/>
        <s v="Easy to order at a fair price for this day and age"/>
        <s v="Easy to place order, delivered on time."/>
        <s v="Good Price; Timely Delivery"/>
        <s v="they get my stuff i ordered to me within a few days"/>
        <s v="Love the product. Very fast service/shipping."/>
        <s v="Like always, quick and reliable."/>
        <s v="Good !! I will purchase again"/>
        <s v="You had what I wanted and you got it to me quickly"/>
        <s v="You had the product that I needed and it was shipped quickly ."/>
        <s v="Great shipping speed. Bones I ordered are great"/>
        <s v="Good price. Fast shipping."/>
        <s v="Fast and efficient service"/>
        <s v="Easy ordering experience. Good Products"/>
        <s v="My dog loves it"/>
        <s v="Fast and easy&#10;Good price"/>
        <s v="I order and in no time my order is delivered. Staff also quite helpful with advice and customer service."/>
        <s v="I am committed to feeding my cat the required ingredients suggested by my vet to give Tammy quality of life as she grows older. Because of the cost of prescription diet food I have to shop around for the best, affordable prices which PetFlow has provided "/>
        <s v="I needed a prescription food you say you stock. Your instructions were to mail the prescription in. This seems bazaar in the online world. After a few days you emailed me saying that I could email a scanned in image of the prescirption.&#10;&#10;Why didn't you pr"/>
        <s v="Always fast service. Good prices"/>
        <s v="Best price on KMR liquid and powder."/>
        <s v="Great service &amp; pricing.&#10;&#10;Thank you!"/>
        <s v="First, Petflow shipped my product to the wrong address, even though they confirmed via email and text that the address would be updated to the correct address for the shipment. Secondly, do not rely on their autoship -- they have constant delays so it is "/>
        <s v="Great service&#10;Easy to order&#10;Shipped quickly&#10;Thanks"/>
        <s v="Excellent customer service! Thank you!"/>
        <s v="I found what I needed quickly, not many shippers carry Nutrisource. I also got a significant discount through my Capital One add-on so I bought 2 bags to get the free delivery. They were delivered very quickly as well. I am disappointed that they don't pa"/>
        <s v="Easy to navigate website; lots of name brand foods at reasonable prices."/>
        <s v="Best prices anywhere and great communication from Petflow. Received food four days after ordered and pet flow notified me on day 3 the order was delayed one day in the St. Paul location but was quicker delivery time than other companies I have used so was"/>
        <s v="The shipment was received in a timely manner; however, for the cost of the canned food I purchased (almost $10/can), I would have expected a little bit of packaging material in the box. Almost all of the cans have big dents in them from being shipped. I a"/>
        <s v="Due to shipping restrictions I was unable to reroute the delivery via my FedEx delivery manager. This is a big issue for me because I live in an apartment complex with a lot of theft, and having my cat’s expensive food stolen is too much of a risk to take"/>
        <s v="The website is very easy to navigate. Our purchases were shipped and arrived quickly to our home. The prices are the best I’ve found. All these things have added up for me to be a repeat customer."/>
        <s v="Easy to order and quick shipping makes Petflow a winner in my book!"/>
        <s v="Good selection of cat foods, good quality and fast shipping with fair prices."/>
        <s v="The product is $2 - $3 a case less than competitors.&#10;Shipping time is relatively timely. They product came in manageable size boxes. Not one oversized heavy box."/>
        <s v="They are very responsive. An item was missing from my shipment. It was reshipped within a day or two"/>
        <s v="Fedex failed to deliver package even though it was shown as delivered. 4 boxes of milk bones. One call and Petflow sent a replacement. One week later the fedex package showed up - most likely dropped off by a neighbor. Called Petflow and they said keep th"/>
        <s v="Timely orders, great communication and wonderful products!"/>
        <s v="They gave me a credit because something I ordered was no longer in stock. New items came very fast!"/>
        <s v="It was my second order and second time it was easy, and with high expectations.&#10;Thank you for nice service."/>
        <s v="Tried Chewy, but there is no comparison to Pet Flow! Your service is far above them. My order is always delivered quickly, customer service department is great and helpful! I am a returning customer, and Pet Flow is the best!"/>
        <s v="Prompt services and delivery. Competitive pricing"/>
        <s v="Lowest price I could find, fast shipping, knowledgeable, polite, customer service....one small flaw, wasn't able to use paypal, no biggie"/>
        <s v="Always good products, always good prices. Repeat customer many times over."/>
        <s v="I received the packages in good shape and as promised with little delay. Products were as described and much appreciated. Thank you PetFlow"/>
        <s v="Had to call in because of recent c card change. Efficient, quick delivery. Thank you"/>
        <s v="PetFlow offers items for my dog at lower prices than other pet supply websites. There aren't as many choices as the bigger websites, but I look at PetFlow first when I need something because of their good prices. My order shipped quickly and accurately."/>
        <s v="I can change the order and they always catch up with the changes."/>
        <s v="That it got delivered in time and your price is fare"/>
        <s v="They got my order out to me in a timely matter and a good price"/>
        <s v="We needed small litter pans and were able to find them at PetFlow. Not only were we able to buy the quantity we required, but these were also the lowest price available online. Thank you PetFlow!"/>
        <s v="Easy to use website. I found the product I wanted. Notifications sent through the whole process after purchase was made. Product arrived when specified, in whole undamaged form (well packed)."/>
        <s v="I am very happy with the fast delivery and also knowing that my ordered items are available. I’m still learning how to navigate the auto shipment with PetFlows system. There are too many shipment options on the page and I have accidentally double ordered "/>
        <s v="We appreciate your efforts to keep Orijen products in stock for the past five years our puppy has been alive. And you get them to us fast! Thanks!"/>
        <s v="Great customer service! The chews need to be long lasting."/>
        <s v="This was the first time I had to use a prescription for food. The staff was on the ball. Got taken care right of way and shipped to me in 3 days."/>
        <s v="The Auto Ship is a lifesaver. The prices are comparable to store prices but never having to worry about running out is fantastic. They are always on time as promised"/>
        <s v="They are still bothering my vet for a prescription on an I order I canceled. Annoying."/>
        <s v="1. Best prices. 2. Fast free delivery. 3. You can get cashbak with Rakuten"/>
        <s v="I got what i order and when was suppost to be deliver"/>
        <s v="Reliable &amp; easy ordering and quick shipping. Their prices for the fish food we use is the best you can find.&#10;Don't hesitate to use PetFlow,&#10;they're outstanding."/>
        <s v="Always great finds at great prices on your site!"/>
        <s v="I was very pleased about the shipping and that it came on the day it said it would. Also I like the price, a lot of people in Amazon are price gouging so this is nice. Thank you"/>
        <s v="Fast shipping was provided as I was running low on canned dog food. The only problem was some of the cans were smashed. They still were able to be opened but tough to get all the food oyt."/>
        <s v="Love the large Guinea pig house. She loves the cloth ones without a bottom. PetFlow was the only place I could find them. So happy they had them I will absolutely continue to order from them"/>
        <s v="Quick shipping and easy website....cost is up tho."/>
        <s v="Rapid response.&#10;Personal interchange.&#10;Human contact."/>
        <s v="First time customer. Ordered prescription food so it had to be approved by my vet. Still had my order in less than a week. Thanks for the speedy delivery."/>
        <s v="This was my first time purchasing. The products available for my cockatiels while limited were good quality. The issue I have is with the packaging of 5 pounds of millet. They need to be put in a bag first to prevent the seeds from spilling out into the l"/>
        <s v="Very professional and my orders are always right and on time."/>
        <s v="I have a been a long time Chewy customer and you beat their price on one of the items and then with 10% autoship, you beat the price on the other item. SO I gave you a try and you delivered.&#10;&#10;I am new and plan to stay."/>
        <s v="timely delivery, wide choice of product at a competitive price."/>
        <s v="Original order on 3/29. Damaged in transit. Heard nothing for a week after. I called and replacement order initiated. Supposed to be delivered on 4/17. It’s now 4/20 and order still showing intransit from NJ with no additional info as to ETA or when my or"/>
        <s v="A better value than their competitors and fast service!! Thank you!!"/>
        <s v="Had my product in stock. Great price. Payed the shipping. Thank you."/>
        <s v="Always fast, friendly service."/>
        <s v="Fast delivery, cans not dented and price!"/>
        <s v="My order was processed and shipped promptly and at a very good price."/>
        <s v="Prices are comparable and free delivery is great!!!"/>
        <s v="So happy to get my very hard to find dog food!"/>
        <s v="We like ordering from PetFlow. The orders come quick and it is easy to get what we need for our babies."/>
        <s v="Easy to order and it shipped quickly and pup is enjoying the toys!"/>
        <s v="So easy to order online &amp; was quickly delivered to my home!"/>
        <s v="I like that I was able to find food for my dog that is hard to locate in pet stores. My order was received within five days and my Pup was very Happy. I will definitely make more purchases from Petflow."/>
        <s v="I have used Pet Flow a number of times. They are usually on time and get things shipped timely."/>
        <s v="What can I say...every order is on delivered in a very reasonable time and the selection of products as well as the price is spot on."/>
        <s v="Great wish they had an app and wish shipping was faster"/>
        <s v="Never no discount or coupon for Fromm food. Spend 70/100 dollars a month on from food"/>
        <s v="You see brands of dog food other companies do not."/>
        <s v="Love the sales that Petflow sometimes has. And I always get what I ordered, as expected, and in a timely manner. Easy to check out too."/>
        <s v="I called for help with an order and agent wanted me to be schooled on how to add to an auto order &amp; I just wanted her help me delete &amp; start new order. She said in a not nice way that if I didn’t learn I would call each time. I’m staying with Chewy for be"/>
        <s v="name brand item at good price. There was a problem with my credit card being accepted. I called and talked to a REAL human being and was helped promptly.&#10;Customer service with real people, getting either is rare today"/>
        <s v="Whenever I have a problem it's always taken care of immediately!"/>
        <s v="The company is easy to work with, helpful when I have had problems and easy to work with to resolve any issues. Shipping is timely also."/>
        <s v="I got my order on time and it was less expensive than any other place."/>
        <s v="Fast and easy to shop and order. Plus Customer Service was great answering my questions via email."/>
        <s v="You have a toy that my dog loves. I have trouble finding it but you have it! So thank you"/>
        <s v="Customer service is non-existent. Shipping takes forever."/>
        <s v="Better prices than Chewy, shipping is a bit slower, but worth it if you just plan ahead.&#10;&#10;First order with them took about a week to get, the second and larger order only took a few days from east to west coast, not bad at all. Good selection of products "/>
        <s v="prices good, fast, leaning a but much on subscribing. My cat is an animal - things need to be flexible, not locked into the same food delivered regularly. Can't I get a discount without subscribing?"/>
        <s v="Ordered twice and order was canceled with no explanation. Finally called and they said my card/order was suspicious and that I needed to call. I went ahead and ordered from Petco instead. They had no issues with my payment. Then I asked them to take me of"/>
        <s v="I ordered dog food. It was delivered the next day."/>
        <s v="When the item was ordered, I didn’t receive any communication as to when it would arrive that was accurate after the email stating that it was ordered. Also, initially the form of payment used was incorrect and the company didn’t notify me or communicate "/>
        <s v="Always have Fromm dog food in stock. Always received my order within 2 to 3 days. Great service."/>
        <s v="You ship so fast and I really appreciate, plus your products and prices are really good and affordable. I can count on my dogs getting exactly what they need. Thank you."/>
        <s v="Great customer service when an issue arises."/>
        <s v="PetFlow's customer service is great! Always someone helpful to answer the phone and solve issues."/>
        <s v="Ordering from their website is easy and they have good prices and fast shipping."/>
        <s v="Well it all started with me not noticing that the shipping address was wron. I didn’t notice it until the order was done. So I sent an email and a test if I remember correctly. I then received a phone call and discussed the wrong shipping address with som"/>
        <s v="I had been shopping from another company, but the prices were just getting to steep. I found Petflow.com to have reasonable prices and all the products I needed for my fur babies. The customer service has been great. I recommend Pet Flow to all the parent"/>
        <s v="I searched the internet and Petflow had the best price for the Blue Buffalo brand. Delivery was quick and we are very satisfied."/>
        <s v="If I could give a rating of zero stars I would. I order two different times and both were immediately cancelled, no reason given. I texted and emailed you company with no response. I have since started using a different pet company for my needs.&#10;No custom"/>
        <s v="Easy to use website! Food arrived on time!"/>
        <s v="You offer fast shipping to my fussy cat who only eats three things. I appreciate your quick turnaround time."/>
        <s v="The delivery was delayed. I was expecting it Friday and it got pushed until Monday. This was my first time ordering so I'll be wary if I order again and be mindful of the delays. Not sure if this is the experience those on auto ship have"/>
        <s v="Excellent telephone info and easy to buy/receive what our pets needed. Quality/price were best I could find also."/>
        <s v="My dog had dental surgery and I needed more Royal Canin canned food. My usual stores out of stock. I discovered PetFlow online. Great price and super fast ship! My new go to store. I recommended to many friends!"/>
        <s v="Easy to order on line, quick delivery and when I called Customer Service they were exceptional!"/>
        <s v="Only place I can get the small-breed dog food I need. Fairly fast shipping. Very helpful customer service."/>
        <s v="PetFlow has lost me has a customer. We've been ordering on a consistent basis since July 2018 (so just shy of 5 years). This final straw has been the last two months when we decided to order all our food for the month in one large order and we have been t"/>
        <s v="I’ve been ordering from for my Chihuahua since he was a puppy. He’s now two years old. Everything is so quick and prompt. The best Company I’ve ever dealt with when it comes to my dogs. Thank you."/>
        <s v="Amazing company that I’m glad I found. Your prices are great and your customer service is super friendly and helpful."/>
        <s v="Petflow had the best overall price (with shipping) I could find anywhere, on the items I needed. Shipping took a few days but only one company offers next day delivery and their goods prices are increasing."/>
        <s v="No problems, fast shipping!"/>
        <s v="WE NEVER RECEIVED THIS ORDER!!!&#10;We have received several emails that say our order was delivered but it HAS NOT arrived."/>
        <s v="Product arrived quickly as I was running low."/>
        <s v="My order for my precious pets arrived promptly and in good condition. My dog’s have loved the food and treats. I have been pleasantly surprised. So much, that I have made a second order."/>
        <s v="I ordered 3 Kong toys and my Pitbull just loves them. The squeaker is a prolonged one so it really keeps him entertained.&#10;I would recommend these to anyone who has a curious pup.&#10;As for Petflow, they have a vast array of items and the experience was a ple"/>
        <s v="Fast delivery and Fair-priced, excellent service for my Chessie. Thank you"/>
        <s v="PetFlow had all the information from a purchase from some time ago.&#10;Immediately filled order and sent pet food which arrived in no time.&#10;SMOOTH"/>
        <s v="I ordered well over a week ago and still have not received it."/>
        <s v="The product was just what I was looking for. We have three large dogs and they enjoy the big bones to chew on. The local store that we use to purchase them from, no longer carries them. I told the Vet this and she suggested to go on-line. I found PetFlow "/>
        <s v="Easy to order, fast delivery!"/>
        <s v="Amazingly fast shipping. Our dog has allergies so getting the right dog food (consistently) is important. PetFlow has come through twice now for us."/>
        <s v="Pet Flows price for Science Diet was less expensive than the other online suppliers I checked with. I received my order within two days of ordering. Overall, I was happy with my shopping experience."/>
        <s v="The convenience of having products delivered to my door is a big plus. Dog food is always fresh. If and when I have to call for assistance, everyone is friendly and helpful."/>
        <s v="The order was filled quickly and shipped right to my door. I know, from experience, that if I had a problem with my order, it would be worked out. It is a great company."/>
        <s v="The items I needed were IN STOCK when I couldn't find them elsewhere. I have switched my subscription service to PetFlow! Fast shipping too!"/>
        <s v="Part of my order was incorrect but they promptly took care of it arranging to pick up the incorrect items and delivering the correct ones."/>
        <s v="I found the dog food I needed for an excellent price and it was delivered quickly."/>
        <s v="I was hesitant after I made the purchase as I looked at the comments and saw how people had trouble with the shipping. I was grateful to have not experienced this. I immediately received a tracking number and my order arrived on time"/>
        <s v="Fast shipping and lower prices than many other places I've bought my dog's favorite brand of food."/>
        <s v="I received a broke ( cracked) pet carrier. They shipped a new one the very next day. It arrived in good condition!"/>
        <s v="Easy ordering and fast shipping!!"/>
        <s v="The wrong dog bowls were sent, then they wanted me to return them by FedEx and would send me the correct ones, but when they did that, they sent them by FedEx ground and they would not have arrived in time. When I called, they said there was nothing they "/>
        <s v="I am a first time customer of Pet Flow. Representative was available upon calling to ask a few questions, The rep was very courteous and knowledgeable answer all my questions? Able to track order which arrived in two days... Yes I will order again..."/>
        <s v="I love that my dogs, favorite dog food I order gets delivered right to my front door in a matter of two days. What’s better than that?!"/>
        <s v="Prompt delivery, product just as described and arrived without damage."/>
        <s v="Came timely!! It was easy to order!!"/>
        <s v="Ordered prescription food for my diabetic dog. First time with Petflow and the transaction was handled smoothly and correctly. Order arrived on time and as expected."/>
        <s v="Wonderful company. Great selection of products, super quick shipping, very reasonable prices and outstanding customer service."/>
        <s v="Great pricing, free shipping and acceptable shipping time!"/>
        <s v="Ordering was easy and the shipping was fast."/>
        <s v="Petflow is always in stock and ships immediately. My pet supplies arrive in perfect condition. No complaints here!!!"/>
        <s v="PetFlow website is easy to navigate. My order was processed and shipped quickly and accurately."/>
        <s v="Sitejabber Website Reviews and Complaints&#10;Thanks – your review was successfully submitted. Woo hoo! 🎉&#10;Our internal mod team will take a look and notify you when it’s posted.&#10;&#10;Thumbnail of user ardigoc&#10;Ardigo C.&#10;0 reviews 0 helpful votes&#10;Whew!&#10;April 6th, "/>
        <s v="Fast delivery, always have what I want at reasonable prices."/>
        <s v="I ordered my dog's food and it came right in time!"/>
        <s v="Was happy to get our new puppy the food we were looking for at a good deal. However, the dog food bag had a hole in it food was scattered everywhere and the box was falling apart (which was not a big deal except for that our food bag had a hole in it)."/>
        <s v="Fast easy service, timely delivery and easy return. We’ll be back to order again in the future."/>
        <s v="My order was correct, came quickly, and was as advertised. My doggos love love love this food, and I loved the ordering experience!"/>
        <s v="My order hasn’t been shipped after over a week. When I reached out I was told I had to call management. I’m glad I received a prompt response, but I don’t want to call anyone, and I didn’t want to wait any longer so I went back to chewy, although your pri"/>
        <s v="Excellent Items! Packing was also excellent and fast shipping. Will order again"/>
        <s v="Most items are always in stock and reasonably priced. My orders are shipped promptly. Keep up the great work!!"/>
        <s v="Very nice and quick with my order unlike some other companies who delay my package love it and the coupons please send more because we in a recession thank you"/>
        <s v="Been ordering from PetFlow for a few years now. They have fast shipping, and always get my order correct. I also like that they have many different foods and products to choose from."/>
        <s v="My first time with PetFlow. It was a fluke how I heard about them. Glad I did. Wonderful website and easy to use (I'm not a tech savvy person). Love the auto-delivery discount and the variety they have. My little one's flavor of Pure Vita dog food is hard"/>
        <s v="Always a positive experience! Quick delivery and has always resolved promptly if there are any issues!"/>
        <s v="Quick delivery, good prices, and trustworthy. We always get what we ordered. Thank you!"/>
        <s v="REPRESENTATIVES ARE VERY UNDERSTANDING AND EASY TO WORK WITH."/>
        <s v="I had a little trouble placing the order initially but that was apparently me rather than the site. Once the order was placed I received an email stating that one of the items was out of stock and would ship from another location. I went to the website an"/>
        <s v="you have decent prices, quality products -- i am a customer for life"/>
        <s v="Both times that we have ordered. We have gotten out purchase when promised.&#10;Only thing I have that may need to be worked on is the ordering site. It took me like 4 times to finally fulfill my order."/>
        <s v="Love Pet Flow..been using them for 8 years now!"/>
        <s v="I've never heard of this company and they sent me an order confirmation. Wouldn't tell me what credit card was used but apparently someone is targeting them -- to gain what, I have no idea. How does using a stolen credit card to ship something to someone "/>
        <s v="Petflow is amazing. The dog food I ordered was out of stock from the other company I have used and so I was so pleased Petflow had it in stock. It got to me quickly which surprised me since it came Fed Ex who I have not had a great experience with for spe"/>
        <s v="All of my experiences with PetFlow are amazing."/>
        <s v="The first attempt to pay failed due to a fraud control with my credit card. After I approved it, the website did not let me retry the payment, it was some glitch. I attempted calling PetFlow during business hours but I was put on an endless wait of over 2"/>
        <s v="Very quick delivery and high quality products. I really appreciated how good they were at communicating the status of the order as well. Will definitely shop with them again."/>
        <s v="You should have known when I placed my order that you DID NOT have it in stock"/>
        <s v="Easy shopping. Great products. Comparable prices. Fast shipping"/>
        <s v="Shipping was quick. And the order was right. The prices are getting awful high, but I guess that is the due to our rotten economy."/>
        <s v="If I could give you a 0 star I would. I was a new customer and I purchased a bag of dog food for my dog that has a super sensitive stomach. I waited 5 days and the food never arrived, so I had to call customer service for them to FINALLY tell me that I wa"/>
        <s v="BUYER BEWARE!!! PetFlow had so many excuses as to why they couldn’t ship my prescription order; cc wouldn’t work, vet clinic wasn’t on record (it was), my account was flagged for fraud…informed fraud dept would reach out to me. Never happened and then my "/>
        <s v="quick service. easy to use"/>
        <s v="I buy canned dog food. I should have split my order into two because I could have taken advantage of two discounts that way. It was an expensive order, but I only used one discount. My fault and it cost me.&#10;Petflow has the best price on the dog food that "/>
        <s v="Web site needs to be a little eiser to use. I have a hard time adjusting the auto ship without out deleting the product and resubmitted to increase or decrease the amount of product.&#10;&#10;Also, I need pigeon grit to be added for sale. I also use Versa laga fo"/>
        <s v="PetFlow has food and toys my dogs love. The website is easy to use, and my orders arrive quickly."/>
        <s v="Customer service is awesome; ordering online is quick and easy; my dog loves these treats"/>
        <s v="Super delivered my home the price is good"/>
        <s v="Very helpful polite phone staff, and prompt delivery. A positive shopper experience. Will continue to shop for my cats Rx food from Petflow."/>
        <s v="I placed an order, my card was charged and then credited a day or so later and then I was locked out of my account. I created another account and the same thing happened, all for no reason, and my orders were never shipped. It was a waste of my time and I"/>
        <s v="Well, you know what they say about 1st impressions!&#10;The CSR's are never on the same page when asked the same questions. When CSR's were asked when will I receive my shipment? Answers varied between CSR's.&#10;One CSR said everything will ship on Monday, while"/>
        <s v="Delivery slower than Chewy. Occasionally, items are sold out."/>
        <s v="It is only recently that we came back to PetFlow after a period of being away. No particular reason for this. We are very pleased with the experience and will be coming back as a customer. Meanwhile, we had been doing business with a major competitor of y"/>
        <s v="My dogs were having an allergy attack and you gave me ideas on what to do, what to buy for the allergies, it really helped"/>
        <s v="Shipping was super-fast, and Koko got her favorite food at a price that left me amazed (not to mention a bit piqued at myself for paying so much more from 2 other major online stores for the last several years). Note that this wasn't any kind of sale, it "/>
        <s v="Pet Flow always gets my order right and delivers in a couple of days."/>
        <s v="They had the product I needed at a great price. Fast shipping too!!"/>
        <s v="Place order for the first time on PETFLOW for a difficult product to find on 3/16/23. After almost two weeks, 3/28/23, I attempted to log in to my account on the website, which had been deleted! My payment had post via my bank on 3/17/23 and no refund. So"/>
        <s v="Ordering was very easy and cost was less than most places. Shipping time was outstanding, 3-4 days and that was over a weekend."/>
        <s v="I had some issues on broken items due to poor packaging. I let Pet Flow know and they took care of it. I have been using pet Flow for a long time and this is my first problem. YES I will keep purchasing from Pet Flow."/>
        <s v="My order was canceled. I was given no notification about the cancellation. Additionally, when I talked to a customer service person to inquire, they were not helpful either. They couldn’t tell me what caused the cancellation because payment is done throug"/>
        <s v="The products I needed were very reasonably priced and delivered to my door step quickly."/>
        <s v="Shame on PETFLOW!&#10;&#10;The shipment of dog food for 17 and 13 year old dogs FAILED to be shipped.&#10;&#10;Ordered on 3/14/2023. I was informed my Vet had approved the Hill's Prescription w/d canned dog food.&#10;&#10;On 3/25/2023, PETFLOW informed me &quot;due to uncertain times"/>
        <s v="Good product, good service"/>
        <s v="First time purchase, two orders were cancelled for no reasons. I called customer service and they said they will investigate and send me an explanation email. Received no explanation, nothing…and agent attitude was terrible. One of the order refund has no"/>
        <s v="I did not order anything but received multiple emails about an order being delivered to my name and my address&#10;I didn’t receive anything&#10;Something is seriously amiss here"/>
        <s v="Overrall, the experience with this online vendor is excellent; however, they frequently run out of products often. Sometimes they delay thr shipments.&#10;The possitive is that they try to help the clients when they call on the phone."/>
        <s v="PetFlow is my first choice for dog supplies. Great customer service and friendly people who genuinely care about their customers."/>
        <s v="I never placed an order with you but my credit card was charged by someone else."/>
        <s v="Prices are very competitive. Shipment arrived very quickly."/>
        <s v="Great price with opportunity to get free shipping. Fast and accurate shipping and order filling. They had the dog food I was looking for."/>
        <s v="I still haven’t received my order…&#10;It took over two weeks to receive a call from Petflow after placing my order. Evidently they didn’t have my full address. That has been at least a week and still have not received a shipping notification. I ordered puppy"/>
        <s v="good company, nice people that can be reached by phone right away- no robots!&#10;&#10;good selection of products and very helpful and do not rush you&#10;&#10;PetFlow carries my favorite cat and dog food- Orijen."/>
        <s v="I ordered 8 boxes of 20-pound cat litter. I got a great deal, 48-hr. shipping, and an easy shopping experience. Plus, Raukten had 4% cash back. This was a better deal than chewy.com, which is usually the best. I am very happy!"/>
        <s v="Fast delivery&#10;Accurate order"/>
        <s v="Good products at good prices delivered timely."/>
        <s v="Very good service, thank you!"/>
        <s v="Every time I order from PetFlow I get fast service. It's nice to know when I need food or treats or toys they are on their way quickly. I also like receiving tracking information to keep in the loop."/>
        <s v="Order canceled for no reason or notice given"/>
        <s v="Great Prices. Fast delivery. Almost everything for taking care of your pets."/>
        <s v="Did not like that I buy a membership in order to save on my purchase…very disappointed with that part of checkout"/>
        <s v="Left product out by the street in the rain...It was covered in plastic....but still by the street is bad news."/>
        <s v="I ordered some Guinea pig food and the price was better than any other place! It shipped out fast and the company did a great job emailing when it shipped out with tracking. The products arrived perfectly packaged in a box that was just the right size for"/>
        <s v="I have ordered twice now from this company. Fast shipping, boxes arrived in tact, no problems."/>
        <s v="I had been looking for best auto ship on wet cat food and found PetFlow to be the best. They ship quickly and the whole experience is just great!"/>
        <s v="Good prices, great customer service. You also carry brands that mainstream stores do not."/>
        <s v="I ordered dog food to be sent to my daughters while she is keeping my dog. You evidently canceled my order and was not advised by Petflow."/>
        <s v="I always did love PetFlow. Only switched after years of buying from them because it took a bit longer to receive the product than was convenient. After finding out that they carry a product I was not able to get at my current pet food company I decided to"/>
        <s v="Account flagged as fraud. Long wait time for customer service. Had to give credit card info over phone. Can’t get a password email reset even though you recognize my email address. So, can’t access account."/>
        <s v="Petflow published an anniversary discount of 25% for orders over $100. I was so frustrated when my order wouldn't accept the discount. I called Petflow - and spoke to a REAL PERSON! (Bonus Points) Better still, the customer service rep was apologetic, fri"/>
        <s v="Website takes too long to navigate.&#10;Shipping takes too long.&#10;7 days from order to delivery."/>
        <s v="Great prices fast shipping only compliant is several cans were dented but they were still sealed."/>
        <s v="This is a fake account. I already called my bank and you a few weeks ago. Someone is using my email address &amp; an old card that is already marked fraudulent to purchase cat supplies. I don’t even own a cat. I have unsubscribed and continue to get these ema"/>
        <s v="friendly competent person that took care of my problem quickly"/>
        <s v="The 1 star may or may not be fair, but it’s to make a point. I have not prior history or account with PetFlow. I randomly started receiving multiple daily emails from PetFlow regarding multiple orders made (including order updates) to multiple people in m"/>
        <s v="I ordered cat food and when it didn't come and I was just running out, I called. They didn't even bother to tell me that it had been cancelled because they couldn't verify that the order was from a real person."/>
        <s v="The round cat scratcher fitted perfectly inside a round woven basket that my cats love. I had to remove the cardboard supports, which was easy to do.&#10;Many thanks!"/>
        <s v="Not sure why but I had a monthly subscription set up with my name, old address, and some credit card I don't own. Not sure what caused it. The website wouldn't let me cancel anything so I had to call in to talk with someone and get them to cancel it. The "/>
        <s v="Easy online ordering and product came as promised with no issues."/>
        <s v="Pricing, ease of using your website"/>
        <s v="we received a shipment from petflow and never made an order. When we contacted petflow, customer service rescinded the order and sent a notice to FedEx to pick up the package. We were supposed to leave the package outdoors. After 2 days, we contacted cust"/>
        <s v="I keep getting emails about orders I did not submit showing a shipping address in Mexico, NY. I am reluctant to click on any link in their email message and will not call the number listed as this appears to be a scam."/>
        <s v="Excellent service, super fast delivery."/>
        <s v="The first time I used the automatic dog bowl it leaks around fitting"/>
        <s v="My purchased was flagged and canceled.I have called twice and no one can tell me why!.i am pissed!"/>
        <s v="Ordered 3 times from Petflow, great customer service every time. They answer calls, respond to emails, and honestly do everything you would want from a company. Not to mention affordable prices."/>
        <s v="2 33 lb. bags of dog food in one box is TOO HEAVY! I can’t move it."/>
        <s v="I am getting emails about orders I did not place. I have replied back numerous times I am not Jeff and I have not placed ANY orders with you, and based on this experience, I never will. I would like you to leave me alone"/>
        <s v="Delivery time for product wasn't as promised; it was completely unacceptable."/>
        <s v="Amazing experience.&#10;My package was delivered on time and very fast!"/>
        <s v="Product was delivered as promised."/>
        <s v="Pet Flow always has my dog’s food in stock and it arrives very quickly."/>
        <s v="Easy to use App for ordering and always quick delivery. Also if I order a large bag of food for my dog I get free shipping!"/>
        <s v="Have had very good experience with PetFlow&#10;Good products with great shipping&#10;will order more"/>
        <s v="price was much better than most other places that I have purchased. I reached out to you about changing my shipment and the response was great. I will continue to purchase from this company"/>
        <s v="Quick reliable service. I’ve been with them for a while now. Sometimes it takes longer in the winter."/>
        <s v="I love the convenience of PetFlow. I live in a rural area and they are the best price and value for having my dog’s specialty food shipped. They make it easy with auto shipments. Even when I need to change dates it’s very easy. Shipping is always as expec"/>
        <s v="I have never shopped with you guys remove my email from your marketing emails/ company!"/>
        <s v="First time purchasing. Beats Amazon prices!"/>
        <s v="I always find a great selection of products and competitive pricing."/>
        <s v="All was well with initial service and product. The problem is with your packaging of two large bags of dog food in one box. The box quality is mediocre at best, the dog food is too heavy and too large for the box. The box broke open. This could be foresee"/>
        <s v="I am happily impressed with the personal service and speed of delivery from PetFlow. As long as PetFlow carries the pet food I use I will continue to shop PetFlow."/>
        <s v="EXCEEDINGLY EXPENSIVE!&#10;If I oculd attach a screen print ... I'd show/ prove it to you. Look at the price for the same item from CHEWY and MOST OTHER REPUTABLE COMPANIES. I put CHEWY'S link here but TRUST PILOT DOESN'T ALLOW LINKS. Too bad ... BECAUSE IT W"/>
        <s v="I've been buying from Petflow for several years. Every order has been carefully packaged and timely delivered. Shop with confidence."/>
        <s v="What I ordered was in stock and the order fulfilled promptly."/>
        <s v="Great quality products and very quick shipping"/>
        <s v="I bought the Kong monster balls for our Beagle , her second set of them . She loves them so much she hardly plays with any of her other toys."/>
        <s v="Your two representatives, Tristan and Ryan were knowledgeable, professional and courteous. They helped me through the process of creating a subscription account."/>
        <s v="Good prices; delivered as expected"/>
        <s v="You cancelled my order because I made it while traveling abroad. Don't worry, I will never visit your website again."/>
        <s v="My dogs most favorite treats are impossible to find!! Thankfully PetFlow has them in stock regularly!!! No more rationing their favorites!! Always fast shipping, arrives in great condition!!"/>
        <s v="Prices of the Blues Buffalo Wilderness canned dog food was good. Delivery was late bc it was out of stock which was fine. However, six of the 12 cans were dented which I won't use."/>
        <s v="Fast shipping and prices in line with other companies."/>
        <s v="Great prices, fast delivery!!"/>
        <s v="Great selection and price, fast delivery"/>
        <s v="Had never heard of this company before and was planning to use Chewy for our order, but found this company in an online search. They offered a coupon so I opted to give them a try. Our order was for prescription dog food, so we had to go through mailing i"/>
        <s v="Easy to navigate website and you had food for both my pets."/>
        <s v="Very pleased with purchase! Price was great, better than Amazon! Free shipping over certain amount fast also! Very well packaged. Often from A it looks like it rode behind the truck, not in it! Very happy with Petflow! They be my new goto supplier! Thank "/>
        <s v="My first order was cancelled in error by merchant. They were quick to resolve this when I called. Unfortunately, the same thing happened again when I ordered other merchandise. Again, they were quick to resolve this with a phone call. The customer service"/>
        <s v="Easy for me to order, the package showed up in a very timely manner."/>
        <s v="Prices are good&#10;Wish delivery was faster"/>
        <s v="I added a few things to my cart and left for a bit to get some lunch. I came back to several emails, telling me about the contents of my cart, and coupons on such. It had been like 20 minutes and ya’ll was already bugging me. Calm the hell down.&#10;&#10;Further,"/>
        <s v="I have sent in the prescription several times and my order still has not been filled. It is way too time consuming."/>
        <s v="I haven’t received the order after two weeks, and I haven’t received a reply from the help desk about when it’s coming."/>
        <s v="PetFlow definitely had the best price on this item that I could find, including prompt, free shipping."/>
        <s v="Fast, great prices, great selection &amp; super customer service."/>
        <s v="Best prices that I’ve found. Great customer service. Shipped my order promptly."/>
        <s v="Found Pet Flow purely by accident when looking for a specific dog food kibble online. Made my first order which was shipped promptly and arrived in a few days. I also noticed that prices are very competitive and shipping is free over a $49. purchase."/>
        <s v="I know that the road conditions for my order were difficult, but the delay was minimal."/>
        <s v="Likes: Good pricing, Fast shipping&#10;Dislikes: Not disclosing all information about pet food ingredients. Lack of customer support."/>
        <s v="My first experience was excellent….from the quality of the product…my dog loves the chicken treats…to the customer service. The sale was a great way for me to become acquainted as I do live on a budget!"/>
        <s v="Your website is very intrusive and hard to navigate, all I wanted to do was look up availability, choose and pay. It invariably brings up prior views, goes all over, even signed me up for recurring deliveries. Decided to leave and shop somewhere else."/>
        <s v="I have been using this company for years and will continue to do so. They carry high-quality product. Have a great customer service and fast shipping."/>
        <s v="PetFlow has such a variety of options for your pet. I have a very picky cat and can’t always find her choice of food at the pet store! Thankfully, I discovered PetFlow. They were way less expensive than the store I normally shop at and had exactly what I "/>
        <s v="Price was good. Product was received promptly. Ordering was easy. The only issue was that most of the cans in one case were severely dented. Customer service responded quickly and provided a new case."/>
        <s v="I've ordered several times from PetFlow.&#10;They have excellent products. Easy website to navigate. Good customer service."/>
        <s v="Low prices, fast shipping."/>
        <s v="Quick delivery when everyone else is so slow or delayed. Accurate orders. Petflow cares about the animals by donating a portion of the profits 🫶🏼"/>
        <s v="I received the dog food I ordered in a timely manner. They offer a wide variety of food."/>
        <s v="Fast shipping on hard to find item! Thanks"/>
        <s v="I order from petflow a lot. Never been disappointed"/>
        <s v="Upon placing the order I received and email from Petflowasking me to allow a couple of days while the Vet is contacted. Around the middle of the week the food was delivered as promised with no hassles. My cat can not conusme any other food and this Veteri"/>
        <s v="I had to call customer service regarding an auto ship that I needed sooner. Somehow I had an extra bag of cat food arrive. I may have made the error but when I called the Petflow representative, they were willing to take the bag back however, I wanted to "/>
        <s v="Food arrives quickly and well packaged. They carry Fromm dog food which Chewy and Petco don’t carry."/>
        <s v="Item was priced very fairly. Shipping was soo fast. Just an excellent experience."/>
        <s v="When I got my package I found that I was only sent half of my order. I called customer service and got ready to go rounds with someone telling me they were sorry BUT... It wasn't like that at all. I was immediately sent another shipment, no fuss or hassle"/>
        <s v="I already reported that this is my email not Dale Leonard's. I was told that Dale's account was removed from your records. Please remove my email from your records.&#10;Thank you,&#10;D Beatson"/>
        <s v="Lots of finger pointing between my vet and PetFlow… I’m not sure what problem was but vet said he never heard from&#10;PetFlow vet… so preset want processed… first time in last year I’ve had any issues with the process on prescription dog food… anyways once I"/>
        <s v="It was easy to find the product and place the order. Shipping was super speedy, which my cats appreciated."/>
        <s v="It arrived in time no delays or hiccups in the delivery."/>
        <s v="It’s always great, great low price, super fast shipping, great experience all the way around….Love Pet Flow…Thanks"/>
        <s v="Pedro's Mom, Allison, was attentive, helpful and pleasant. She's a truly a professional customer Service agent."/>
        <s v="Thank you for excellent customer service."/>
        <s v="Constant account hacks. I would be recommend."/>
        <s v="My account was hacked and my credit card information was mixed in with at least one other stranger’s information. When I advised Petflow about the problem I was merely told I had been the victim of some outsider’s actions and to start a new account with a"/>
        <s v="Easy to use website, fast easy shipping, great products. It would be nice if the free shipping limit was lowered."/>
        <s v="Very cool customer service. Quick shipping . The price is high. But the puppies love it."/>
        <s v="The wrong product was shipped and Petflow immediately sent out the correct food for my dog! Great customer service. Will definitely buy from then again."/>
        <s v="Pet flow is the most awesome online pet food provider in the market ! Even w/ trivial issues we incurred they prevailed as the winner &amp; so did we , thanks !"/>
        <s v="package and order was ok just left at wrong house and I did not see any notice of delivery"/>
        <s v="I have always had good service from Petflow. I have received damaged cans and they have always taken care of me. I donate the damaged cans to the shelter. The customer service reps have always been very friendly and professional. I love that they also don"/>
        <s v="Just switched over to you from many years with Chewy.com Ongoing Out of Stock for our Prescription Food, then far too many &quot;cute&quot; apologies.&#10;&#10;Came to you to fill and you had the inventory, twice actually and now I am on Auto with you.&#10;&#10;Thank you."/>
        <s v="I ordered 2 items and one never shipped and both items were coming out of the same warehouse. Shipping for the 1st item took 7 days . When my order arrived, I called to tell them my 2nd item never came. Customer service was great and said they would &quot;rush"/>
        <s v="Very hard to work with even though I had a prescription from the Veterinarian Office, which they never contacted Carolina Beach kept sending me the same message. If you have a copy of your prescription, please email a clear copy to along with your order n"/>
        <s v="Ease of ordering and modifying my auto ship order"/>
        <s v="All of the information you need to fill my order you have on file, which helps things go very smoothly!"/>
        <s v="I tried ordering dog food twice and both my orders were cancelled for some reason. Never received an email saying it was canceled just never reviewed the package and had to log onto my account and check what was going on both times. Ended up having to get"/>
        <s v="everything came quickly, but the bird treat sticks came all broken up. I wish there was a better way to send them"/>
        <s v="I am getting emails telling me that my order is on its way or it’s delivered. I DID NOT ORDER ANYTHING RECENTLY. PLEASE GET THIS STRAIGHT!&#10;Nothing is being charged on my credit card, I just get emails saying my order is on its way to some address I don’t "/>
        <s v="No issues and will order again."/>
        <s v="I placed an order and with no explanation or email, they canceled it. I logged on to my account to see why it was taking so long to deliver and it just said order canceled. I called customer support and waited on hold for 30 minutes and then it just hung "/>
        <s v="Every time I have called, everyone is very respectful and answers my questions."/>
        <s v="Order came fast.&#10;Staff answered my email quickly and helpfully.&#10;This company actually has REAL people who answer the phone and are sp pleasant and helpful.&#10;Prices are good."/>
        <s v="Always works perfectly...order online, what I ordered delivers in a few days."/>
        <s v="It was real fast service to get the bag of pet food. Our puppy appreciated it!"/>
        <s v="It was great to receive dog food in three days, delivered to my door, and for the lowest price!"/>
        <s v="I ordered two cases of Merrick Grain Free Chunky Pappy's Pot Roast Canned Dog Food. I received one case of the correct item and one of another food. One of my dogs has a chicken allergy so we checked the ingredients on the cans we didn't order and they ha"/>
        <s v="Although I received an email stating my order needed to be fulfilled by a further distanced warehouse and that my order could take up to 5 extra days, this company was able to deliver my goods on the original date.&#10;&#10;This was important, because no one in m"/>
        <s v="It was easy to place order online and it came quickly."/>
        <s v="Great Service ships on time. Have purchased multiple times"/>
        <s v="This account was supposed to be closed as it is fraudulent. Still getting emails for it. Looks like their purchase went though. Please close this account."/>
        <s v="Very good prices on the dog food we need. Also, fast shipping."/>
        <s v="My e mail is bein used through your website without being verified by myself. I am not using your website at all."/>
        <s v="Fast efficient delivery of a difficult to find product."/>
        <s v="My account was hacked and charges were made. Then i was told 3 times they restarted my autoship but never did and then locked my account. Meanwhile im expected my dogs food that i can't get around town"/>
        <s v="Great prices. I texted with a request and was answered within 24 hours with a nicely stated response."/>
        <s v="I have been dealing with your company for a very long time and just love doing so. All of the representatives are so friendly and helpful. A quality that seems lost in these times."/>
        <s v="Two of the things I ordered were out of stock but there was no indication when I placed the order that they were, so I was quite disappointed when I opened the box and two items were not inlcuded."/>
        <s v="Mr. Bigdog, Samson Loves the Cranberry treats and, the Parmesan treats the best~! He'll eat both but, picks out the Cranberry first... Art"/>
        <s v="Outstanding Customer Service reps. They are very knowledgeable and helpful. Thank you!"/>
        <s v="What a great place to shop for dog food!!!!!!"/>
        <s v="There is a glitch in your system. My account kept going to auto fill even though I cancelled it back in 2020. I should not have a problem now that I asked to have my account deleted."/>
        <s v="Prices were great, the orders were sent right away"/>
        <s v="Great service. Ultra-fast delivery."/>
        <s v="Twice now I’ve relied on Petflow to send me my Blue Wilderness- but it’s been out of stock- very disappointing."/>
        <s v="My order was canceled. I wasn't notified. When I called to find out why I was told it was flagged as fraud due to the quality in my order. I explained it was not fraud, it was less than a month of food for my two dogs, I was told they would reach out to t"/>
        <s v="My login was hacked and a fraudulent order was placed using my account. Even after I asked Petflow to cancel the order and fully delete my account, they still sent me a request to review the order on Trustpilot. Seriously?"/>
        <s v="PetFlow always has the best pricing and fast shipping. Auto ship is wonderful for never forgetting all your pet’s needs. It’s also customizable. Would DEFINITELY recommend PetFlow!"/>
        <s v="Great selection, on-time shopping"/>
        <s v="PRICES AND SPEEDY SHIPPING IS THE BEST. FEEDING HUNGRY DOGS IS EVEN BETTER"/>
        <s v="Prices are generally the same as Amazon and service is better. Prefer to support a private company when possible- and they sell Fromm products."/>
        <s v="Petflow is a great place that offers the best bang for your buck.&#10;Toys were as described and the pups were very happy."/>
        <s v="I screwed up my order and Mikaila fixed it without a problem. My items arrived quickly. I appreciated the new customer discount as well."/>
        <s v="We have used Petflow for years through the course of many dogs and have always found them very informative, caring, and a company that we do buisness with monthy. Between Petflow and Chewy there is no better full-service animal food, etc. provider."/>
        <s v="PetFlow is always responsive and great at filling our monthly auto ship order. Happy to do business with them."/>
        <s v="Even though I have complained before Petflow continues to package two 30lb bags of food on one box resulting in Gedex the carrier to drop the box and the contents inside burst open."/>
        <s v="I got a great deal on a great product. I was worried because I had never shopped with PetFlow before. I received my order in a timely fashion and I received plenty of notification about the status of my order. The particular Dog feeder I was looking for w"/>
        <s v="Easy ordering process. My only complaint is that it would be more convenient to see past orders to order again or edit an order as having to go thru and search products needed. My cat is on special diet and just need to be able to order his food in a quic"/>
        <s v="Easy, fast and reasonable."/>
        <s v="Easy to place order. Items arrived as described and when expected. Very happy with everything."/>
        <s v="I love that you donate a meal to a homeless animal with my purchase. It’s a wonderful way to help them, to not forget them. Also, your shipping is exemplary. I wish more companies were like Pet Flow!"/>
        <s v="Petflow’s Phone wraps are very pleasant and knowledgeable on how to help you my English cream golden retriever Walter needs a veterinarian prescription dry dog food. I used to get it through Chewy. But lately they’ve been having a hard time keeping it sto"/>
        <s v="Order was cancelled, I had to call and email for 2 weeks (3 calls and 3 emails).&#10;&#10;Supposedly due to some unknown reason my account was flagged as fraudulent. No real explanation.&#10;&#10;I was told a few times to reset my PW however my account has been disabled."/>
        <s v="Shipping seems to take a bit longer than it used to but I suppose it's a common problem. Petflow DOES update their delivery date notifications though."/>
        <s v="I live in Florida. My email was used to order twice. The shipments went to Texas probably using a stolen credit card. I was not charged. Talked to Petflo representative last week with information."/>
        <s v="I'm so glad you asked. I will be back. The process was simple, professional, and unbelievably fast. Thank you!"/>
        <s v="Mallory was AWESOME!&#10;She deserves a raise!!&#10;Only issue is still waiting.&#10;Been billed, finally got notification it shipped. Possibly because it had to go to Vet?&#10;Anyway, again, I will ask for Mallory next time!"/>
        <s v="This is the first time I've ordered from this outfit and I was totally pleased with the transaction. Their price for&#10;the dogfood I ordered was reasonable, they shipped quickly, and Rocco the dog is a happy camper."/>
        <s v="Love the fact it’s cheaper, comes right to my door and no shipping cost. Great deals"/>
        <s v="I was looking for that specific dog food for our new puppy and petflow was the only online store that I could find Verus Brand!"/>
        <s v="I found the food I was looking for. The price is high but industry standard. I liked the option to purchase a large bag and 2 of them. Thanks!"/>
        <s v="Pet flow is the way to go, I order my fur baby food all the time from pet flow and my delivery is on time, that is why they are the best.&#10;Thank you to pet flow and all of the team that works there. Shadow said woof. 🐕‍🦺"/>
        <s v="You send me a survey link yet I still haven't received the items. Surely you know this. The communication is terrible. Takes several days for any response. Hopefully I'll get the items soon - and I understand the weather delay but my items have basically "/>
        <s v="While the prices at PetFlow may be good, there are severe problems with having products in stock. It seems that no matter what I order (wet or dry cat food and cat litter), it's out of stock or has to come from a further away location. It didn't use to be"/>
        <s v="Reliable. Great choices."/>
        <s v="Everything I order was right and I get fast delivery"/>
        <s v="Easy ordering, fast delivery, competitive prices.&#10;&#10;My only complaint is — too many texts and emails!"/>
        <s v="I had recently ordered food from Pat flow with no issue. A couple of times my card was compromised and I had an issue with it and resolved it but recently, for some reason no one will give me an explanation of why I am not able to order food from you, eve"/>
        <s v="You carry the quality products I feed my 2 dogs and cat! Fromm, Annamaet, and Wellness. In addition, you deliver these foods in a timely fashion. I am a VERY satisfied customer and I recommend you to all my animal stewards."/>
        <s v="There is no option to cancel an auto ship so beware when you sign up for one. I am still trying to cancel it. There is only a pause option online and I can not get a support person to contact me."/>
        <s v="Your fast delivery, customer service, and packaging is excellent."/>
        <s v="My dog food that is on automatic order, the size i usually get was out of stock, so i was told unable to ship and received no food. However, that same dog food was available in a larger size and no-one took the time to let me know that. Not very good cust"/>
        <s v="It took over ONE week to get my order delivered!😩"/>
        <s v="I requested few times to add more selections of versele laga pigeon feeds and grits like gerrymandering, champion, black label, ic start etc. Pls pls pls"/>
        <s v="Very easy to order and products arrived quickly and in great shape! Thank you !"/>
        <s v="I experienced a problem with my order (not their fault) and customer service was so quick to help me fix it! Really appreciate the immediate response and care that was given. My order then arrived safely and packed well."/>
        <s v="Besides canned dog food, I ordered 4 bags of rather fragile treats and they arrived a little crushed. The company quickly shipped four new bags of the treats. They arrived in very good condition. I was impressed at how quickly and easily the customer serv"/>
        <s v="Still not delivered on the 28th.&#10;12 days ago&#10;Terrible"/>
        <s v="I did not place this order! I have already notified you about this. What is going on with these correspondences?"/>
        <s v="Quick Shipping! Unfortunately 2 cans of the dog food were badly dented!"/>
        <s v="The shipping is so inconsistent. Took almost 8 days to receive my dog food. This happens about every 3 months. Hard to foresee when I need to order. Leaving my pets without food so I’m forced to buy dog food elsewhere."/>
        <s v="Canceled my $300+ needed vet cat food order because &quot;email doesn't match.&quot; When I literally called them asking them what was going on here. Wouldn't send out my cat food. Horrible service. Will look do business elsewhere unless they have some killer deals"/>
        <s v="This was our first time buying on here. I found what I needed at a great price. It was easy to order and arrived quickly. Thank you!"/>
        <s v="You had the product that I needed at a fair price plus your shipping was on time."/>
        <s v="Fast shipping, great product, and even better price for what I purchased.&#10;I have made my second order, and will continue to do so with PetFlow."/>
        <s v="Good selection of high quality products. Shipped promptly. Authentic product from approved distributor. Packaged securely for shipping."/>
        <s v="Great customer service&#10;Very prompt to fix slight problem"/>
        <s v="Great as usual. Easy, quick, and reliable!&#10;Thanks"/>
        <s v="I called because my order was delayed twice. The gentleman I spoke with was very condescending. I told him that nowhere on the website does it state how long or how your purchase will take or ve shipped. I explained to him that I have 7 dogs and it is har"/>
        <s v="After a little confusion on your website about auto-ship, I was helped along by a pleasant customer svc lady. Smooth transaction. Great price on what I needed (and usually purchased at Chewy for more $); came in 3 days in a roomy box that my senior cat, V"/>
        <s v="The experience with pet flow is always so great!! I love the customer service and how helpful everyone is."/>
        <s v="Great service!! Lots of dog food choices!"/>
        <s v="Ordering was easy and delivery was quick."/>
        <s v="They worked with me very well when my cat refused to eat the brand of prescription food I'd bought."/>
        <s v="Service was great and combined with the best price, you can't go wrong."/>
        <s v="I really appreciate that PetFlow carries Fromm. It's difficult to get and PetFlow delivers quickly."/>
        <s v="I would give a 1 star for getting the dog food in a timely matter. FedEx is the worse by far. I’ll have to find a local shop in my town to buy as the shipping rates a minus 4."/>
        <s v="The company canceled my order 3 tines with no notification. Bad company bad customer service. Zero stars. I'll keep shopping with Chewy.com"/>
        <s v="My order went to the wrong address and wasn't delivered. Thank you for replacing it"/>
        <s v="Excellent pet products at bargain prices!"/>
        <s v="Products were shipped quick and for a great price! I was searching for bird toys (budgie) and there were plenty of toys to pick from on the site."/>
        <s v="Orders arrive on time and prices are good. I recommend."/>
        <s v="My orders are always delivered within 2 days. Great service and price."/>
        <s v="They always have the items I am looking for and at a great price. Check out is easy and delivery is fast."/>
        <s v="This company was awful to deal with. They never sent my product and gave me a hard time about my refund."/>
        <s v="Although FedEx is the most miserable POS low life carrier, your agent putting &quot;deliver to porch&quot; actually worked! They usually just kick it out the door on the way past. I'll buy from you again!"/>
        <s v="It's nice to get a heads up before a shipment goes out in case I need to adjust the contents or timing. Shipping is always prompt and the selection of food, treats, etc is quite amazing."/>
        <s v="I ordered roaches, and not one of them was dead. EVERYONE OF THEM WAS ALIVE AND HEALTHY.&#10;Very fast shipping and very fair price!&#10;I will definitely be doing more business with PetFlow."/>
        <s v="Great and plentiful selection of pet supplies, prompt delivery, and excellent customer service!"/>
        <s v="Website has alot of choices and the delivery was on time"/>
        <s v="I mostly order kibble &amp; bull sticks . I order &amp; it always comes quickly."/>
        <s v="Petflow ships promptly every time we order our Fromm dog food from them. Excellent customer service!"/>
        <s v="I ordered cat food for my 2 fur babies and it always arrives on time. Petflow has great communication with its costumers.I like the extra help if I can't find something.Nice people!"/>
        <s v="Tried to place large order using $50 off $200, but ran into out of stock items making it difficult. Once order was finally placed, got another out of stock notice. If petflow is to be depended on to supply pet needs, shouldn’t they have items in stock?"/>
        <s v="PetFlow has been good for me and my dog Elsa.Happy with products,price and shipping."/>
        <s v="Great company to deal with! They notify you when your next shipment is coming and you can adjust that date if needed. Good prices too!"/>
        <s v="easy ordering, quick shipping"/>
        <s v="The products arrived undamaged. With heavy cans, that is great."/>
        <s v="Had the food in stock and promptly shipped"/>
        <s v="I received my first bully sticks from my dog’s breeder. When my Bernese mountain dog treated them like candy the doc suggested I only order natures own grass feed steer. Service, price and reliability have been excellent. I am am auto ship customer now."/>
        <s v="I changed suppliers of canned dog food and got the same product for a substantially reduced price.&#10;I'm happy."/>
        <s v="Great prices, great service."/>
        <s v="Phone reps were great! On both occasions this month they worked diligently to get my order dates changed and on the 40 lb. bag of catfood for the ferals, got it shipped out THE SAME DAY!"/>
        <s v="While the checkout experience was decent, and I was able to save money with a coupon (this all made me happy) - once my package was delivered, I was not happy! I bought 12 bags of dog treats for my 3 boys and 3 of those bags (3 of same kind/flavor) all ex"/>
        <s v="You are reliable, honest, efficient and timely."/>
        <s v="The filters and search were not fluid or user friendly. So many items out of stock but that was not known making it time consuming. I nearly gave up twice because of the experience. Not sure how the rest of the site is as I only searched for cat food and "/>
        <s v="Order process easy. Great service corresponding with our Vet."/>
        <s v="Easy to find what I needed at a good price.&#10;Thanks!"/>
        <s v="Shipment always delayed and customer service never responds to email 👎🏽"/>
        <s v="I ordered by wet dog food from Pet Flow for several reasons, those being the price difference between a competing online dog food distributor, the ease of ordering, the friendliness and helpfulness of the agent I spoke with and the fast delivery of the pr"/>
        <s v="The item I needed was in stock, the process was very easy, I had my order within days and on time. I will continue to order through PetFlow!"/>
        <s v="I was waiting for notification that my prescription had been verified by the vet and/or that my order had been shipped. After several days, I contacted PetFlow to ask what was up. I got an email saying the order was cancelled out of concern for fraud. I w"/>
        <s v="My orders were cancelled without notification twice."/>
        <s v="I have had a horrible experience which is still to date not resolved. Placed an order (not a first time customer), My vet was contacted and sent back approval for prescription food. Internal PetFlow issue isnt adjuticating the approval. Noone will help me"/>
        <s v="Easy to begin auto ship. Has the special dog food we were searching for that is highly rated for having ingredients important to long lives of optimal health. Shipment notices sent to keep us informed of when to expect order. Received order in timely mann"/>
        <s v="Shipment was quick. Product was packaged well."/>
        <s v="Solid reliable company to purchase from. Customer service seems supportive if anything beyond a typical order is needed."/>
        <s v="Great website, excellent prices, and quick deliveries. I will only get my dog's food from PetFlow going forward."/>
        <s v="Best price, fast shipping for my hungry dogs."/>
        <s v="Had just what I needed at a great price! Very quick shipping. Had trouble getting the order through a couple of times but I persisted and am glad I did! Will definitely tell my local shelter about them, I am a cat socializer and they might be interested i"/>
        <s v="Awesome service....great packaging......great prices....very convenient"/>
        <s v="Pleased with all my purchases. People are helpful."/>
        <s v="Auto ship does not work. Advance notice of order was supposed to come but does not. Auto ship does not take changed scheduled when modified days before shipment date. Will not use auto ship or this company again to order dog food."/>
        <s v="My order was canceled and I was never notified. I only discovered that it was cancelled after I logged onto my account to find out when my order would be delivered. I called and was given no explanation for the cancellation or when the dog food would be d"/>
        <s v="They are doing a great job! Left Chewy for them and haven’t looked back since."/>
        <s v="Easy website for me, always a pleasure to speak customer service if you need them! Auto ship is easy, changing ship date and products is a breeze and you get a nice discount too!"/>
        <s v="Quick shipping and competitive prices. Thank you!"/>
        <s v="Shipping was faster than I expected. Best of all, the items were in perfect condition. No dented cans or boxes, which has not always been the case, so I especially appreciate it."/>
        <s v="Product was in stock. Added to cart and quick checkout process meant I was “in and out” in less than five minutes."/>
        <s v="I have now ordered a couple of times and I am 💯 satisfied. The orders are correct, well packaged, and on time if not early. I will be ordering on a regular basis from this company. I have nothing but praise for them. Excellent!"/>
        <s v="I called customer service because my order had not shipped after several days. The woman I spoke with in customer service was very polite and helpful and my order was shipped out the next day and I received notifications of the shipping status throughout "/>
        <s v="Very fast shipping! Had my order in a few days! I was able to saveoney as well! Great company!"/>
        <s v="I placed an order, and called three days later to make sure it was coming that day. I was then told that my order was cancelled for possible fraud. I was never notified by a phone call or e-mail that this happened. She couldn't place a new order because i"/>
        <s v="Prices are good, and delivery is timely. My problem has been with ordering from your website. The system cannot seem to store my credit card information properly. Last time it was so bad I had to have one of your staff order for me."/>
        <s v="Petflow reps are always helpful &amp; make good on any issues you have"/>
        <s v="Too long for shipment. Had to keep emailing when order would ship. Items were in stock. Don’t know what the hold up was"/>
        <s v="Great company quick delivery have all the pet products we need"/>
        <s v="Petflow had brands that I have difficulty obtaining elsewhere. Their prices are good, and the food I ordered for my dog with allergies arrived in good condition."/>
        <s v="Great price on the Chinchilla food that purchased. I always shop away and PetFlow had the best price and I received it super quick,"/>
        <s v="First-time experience"/>
        <s v="I changed the address for delivery and it got mailed twice, one went to the wrong address but I still had to pay for it."/>
        <s v="I ordered canned prescription Royal Canin wet food at a cost of 95.00. Most of the cans were dented on top and bottom. It could be bad for my cat to eat. What a waste. I usually order from Chewy.com, but they were out of stock"/>
        <s v="Discovered Petflow due to Chewy being out of stock for several weeks of my dog's prescription canned dog food. I got the name of PetFlow from a trusted dog friend. Food arrived quickly. Thank you!"/>
        <s v="Willingness to help me through the ordering process for the first time--I was having some technical difficulty."/>
        <s v="Excellent service and very quick delivery!"/>
        <s v="Never had a bad experience. Prices are extremely reasonable and customer services is awesome."/>
        <s v="The customer service is extraordinary. Any problem I’ve had was corrected swiftly, expertly, and cheerfully. These people seem genuinely interested in taking care of our pets."/>
        <s v="Good price, fast service."/>
        <s v="It was my first time ordering with this company and it will be my last one. They canceled my order and didn't notify me, when I called them, they said it was flagged for fraud and had to be canceled. I asked why, they said they can't give me any additiona"/>
        <s v="I didn’t even place the order that triggered this review to pop up. It was fraud and I’m still dealing with the canceling of my credit card because your website wasn’t secure.&#10;&#10;Also, even on this page my name coming up as James Shearer. That is not my nam"/>
        <s v="Carries brand not found in most pet stores. Efficient, fast delivery."/>
        <s v="Awesome professional support with timely shipping. Great prices as well."/>
        <s v="Prompt response when I had a problem with my order. They gave me a credit because my dog will not eat the food I ordered."/>
        <s v="Great experience on website and delivery!"/>
        <s v="EXCELLENT PRICING, SHIPPING NOTIFICATION AND PACKING OF ORDER!! Just wished they had more selection available."/>
        <s v="I’m was technologically inept on the computer and had to call the company to order my product. The person who answered the phone was so courteous and helpful. Because of her, I will continue to order my dogs food from PetFlow."/>
        <s v="Everything I was looking for was in stock, and delivery was quick."/>
        <s v="The whole process went smooth.&#10;Fast shipping.&#10;Very satisfied."/>
        <s v="Using Petflow was easy, and I was able to find substrate for my tortoise that was not available near me. I also ordered wet cat food. It was the trouble with Fedex that will make me reconsider using Petflow again. My catfood was shipped all over the place"/>
        <s v="Two reasons: the terrific customer service and product pricing. Simply put: they earned my business. Sometimes low pricing (actually the best price I could find) means low quality customer service, but not at PetFlow. My first order from PetFlow arrived d"/>
        <s v="Ordered prescription dog food. No email telling me you got the order. I called and they said it would be coming out of a warehouse, did not know from where or when. Still no email. Had to go buy food locally, which I am disabled and it was alot of work an"/>
        <s v="I was looking for better pricing for my dogs food, and that is how I found Pet Flow. I want to feed them a better dog food than what is in most grocery stores. I was happy to find Pet Flow, they have good customer service, and great prices. With 5 dogs, I"/>
        <s v="They always have what I am looking for at a fair price. In particular, I order Fromm's dog food. They are one of few places that carry it. Shipping is quick as well"/>
        <s v="Easy, awesome new pet products online order/delivery company recommended to all pet parents 😀"/>
        <s v="They had what I needed in stock and it came fast."/>
        <s v="Website was easy to navigate and shipping was fast. Compared prices and Petflow was the best by far. Will definitely order again"/>
        <s v="After deciding what brand of dog food I wanted for my new puppy, I did a search for the best price.&#10;PetFlow had the best price."/>
        <s v="RECIEVED THE LAST PRODUCT, I ORDERED. I CALLED YOUR COMPANY TO LET YOU KNOW, THE PRODUCT WAS DAMAGED (BENT). I TOLD THE PERSON, THE BOX WAS NOT DAMAGED, SO THE PRODUCT HAD TO HAVE BEEN PUT IN THE BOX DAMAGED!&#10;HE DIDN'T WANT TO HEAR IT AND WAS REALLY RUDE!"/>
        <s v="This was a new Company to me with a good buy on the products I needed so I decided to give them a try. I am VERY DISAPPOINTED: 1) I never received an Order Confirmation Email as stated (checked my Spam) and was rather referred to my Email Provider immedia"/>
        <s v="Everything was quick and easy. The Custer service rep was knowledgeable, professional and pleasant"/>
        <s v="Could not pay with paypal. For some reason kept getting message problem with connection"/>
        <s v="I appreciate their communication with me in regards to orders and delivery"/>
        <s v="I can always find the products I want for my dogs at really good prices"/>
        <s v="There was a delay in shipping and the order had to be split, but throughout everything they kept me highly informed of everything going on. Best part for me, the customer service representative who responded to my email was kind, helpful, and informative."/>
        <s v="Great and Fast Service and plenty of communication …. You can’t ask for more"/>
        <s v="I had to get a specialty cat food for our cat who has dietary restrictions. I was unable to use a coupon that had been sent to me. I called and immediately it was taken care of, I was able to use that coupon, they quickly confirmed prescription with our v"/>
        <s v="Easy to use, fast, and cheaper than other pet supply companies!"/>
        <s v="Over the last year there has been significant shipping delays with my autoship order. The issue seems to be primarily with the NJ warehouse where they don't work night, weekends etc. There is a discconnect between product forecasting, order entry and supp"/>
        <s v="PetFlow always gets my order correct, has great prices and I never have to worry about running out of food for my dogs and cats"/>
        <s v="My cat would not eat several differert canned cat foods. I tried the one for stomach and hair and she has not thrown up since. You now have a returning customer!! tHANKS"/>
        <s v="Shipment on time. Customer service great"/>
        <s v="Not a good experience at all. I choose your company because of a discount you offered me fir being a first time customer. I never got the discount because your ad was misleading. I was only going to get the discount if I signed up for auto refills (that w"/>
        <s v="Fast shipping!!&#10;Had the food I needed —happy to have a promo code as well !&#10;Great communication with shipping and delivery"/>
        <s v="The exact product I was buying locally at Petsmart. A prescription cat food but in a larger economy bag for about 30 % less. Shipped free and on time. I'll be a regular customer now"/>
        <s v="Very happy with the product the way it was pack, got it in the time frame I was told and what’s more important my cat love it and you guys where the only place who have it in stock thank you so much"/>
        <s v="Ten business days after placing my order and being charged for the order, the product has yet to ship. 5 business days after placing the order I contacted customer service, who indicated they would check with supplier and get back to me. I was told it cou"/>
        <s v="Trouble free delivery. Arrived when expected as expected. No complaints at all. Would recommend..."/>
        <s v="Tried ordering twice..both times the orders got cancelled by their team. Neither time did they reach out to me to inform me they were cancelled, it was just after waiting days for a shipping confirmation after getting an email they were fulfilling the ord"/>
        <s v="Got what I ordered and delivered quickly."/>
        <s v="Although I had never purchased from PetFlow before, they delivered quick and on time and the product was exactly as advertised."/>
        <s v="Had dog food I used, processed my order quickly and I received it quickly.&#10;Only problem I had was box that it was shipped in was totally broken. Luckily dog food wasn’t."/>
        <s v="Good selection of products, pricing was very competitive, and shipping was super fast!"/>
        <s v="Good service and competitive prices. Products arrive in good condition and in a timely manner."/>
        <s v="They went above and beyond the call to ensure satisfaction after the carrier had lost a shipment. I highly recommend Petflow to anyone looking for quality goods at a fair price."/>
        <s v="Could not buy cat food without a prescription...like what the hell is that about, It's all so Veterinarians can get paid it's total b*******. Absolutely uncalled for"/>
        <s v="Availability&#10;&#10;Good Price&#10;&#10;Easy Scheduling"/>
        <s v="Good products quality excellent customer service"/>
        <s v="Ordering the needed vet diet for my dog has been easy. More communication regarding the order and when it is shipped and will be delivered would make it a perfect transaction."/>
        <s v="You falsely advertised an item. You advertised the item was in stock then when it was supposed to ship I receive an email stating was out of stock but on your website it still to this day states it is in stock. Now I can't cancel the auto ship I can only "/>
        <s v="Extremely friendly and helpful customer service and quality items always available. Shipping is always quick and they donate a bowl of food with your order. Win/Win"/>
        <s v="Very happy I ordered the food one day and received it the next."/>
        <s v="I have received my puppy’s food in a timely manner and he loves it. Thanks!"/>
        <s v="7 of the cans were extremely dented. One of the seven damaged cans was leaking"/>
        <s v="Super quick response time when I accidently ordered a toy I didn't want.&#10;Website is user friendly. Huge amount of items to choose from.&#10;I used to shop a Chewy but I needed a prescription and it was easier to pick my vet from you list than going through al"/>
        <s v="PetFlow is wonderful, many varieties of food for your pets. My only gripe is that after placing an order I got a Thank you email w/a picture on it saying review yr item, get $10 back. They gave it to me for only one of my reviews &amp; the very good, sweet cu"/>
        <s v="Customer service has been great, but shipping practices need work! I have complained on multiple occasions that my shipment of canned dog food arrives damaged. They pack too many flats of cans in the same box, and don't use any packing materials to preven"/>
        <s v="After ordering I did NOT get a tracking number or shipping confirmation even after getting a notice that the food was shipped. My PayPal payment was taken right away.&#10;I also was put on autopay WITHOUT MY PERMISSION.&#10;I had to manually cancel an autopsy I d"/>
        <s v="I’ve been overcharged for my orders since mid August due to incorrect sales tax. I informed company of this explaining why we were overcharged including documentation from the state proving the correct rate but was continuously blown off and disregarded. "/>
        <s v="Concerned about the package that I ordered 2 weeks ago that still has not arrived. I'm running out of the canned food for my dogs . . ."/>
        <s v="I have a recurring order and needed to modify. Tried and messed it up and ended up having two recurring orders. Called customer service and a very friendly person helped me navigate to delete one."/>
        <s v="Overall a good experience. I am not a fan of the website, could be a bit more user friendly. Shipping takes too long. Orders take a while to process. Availability of products is ok. Prices/sales could be better."/>
        <s v="First time ordering prescription food order for my pup and customer service was so helpful to track order to deliver as soon possible! Very helpful and trustworthy!"/>
        <s v="As advertised product with timely service."/>
        <s v="Was on time and order is right. Thank you."/>
        <s v="Hi, I live 1/2 mile off the county road,fed x is the only delivery outfit that will come up here in the winter. You shipped my food with them so I got it in a short time. Way to go! Tim"/>
        <s v="Need to tape top and bottom end edges. Just the middle is not enough on large bags."/>
        <s v="It’s extremely easy to order anything.&#10;I really appreciate that. It’s always on time when they say you’ll receive it.&#10;They also give you a tracking number so you can keep track of your order.&#10;It’s a great company and so easy ordering what you need. 👍🏼♥️"/>
        <s v="The deliveries arrive in good condition, and on time."/>
        <s v="PetFlow carries the particular brands of food for my pups that I are the most nutritious and made by family run companies in the US."/>
        <s v="I have been using this service for over 10 years. I have never had a bad experience with either the product or the customer service. Everyone I have dealt with has been friendly, knowledgeable, and professional."/>
        <s v="Shipment arrived torn from stem to stern and keel. Meager attempts at re-taping most likely by the carrier. Packaging too light for the weight in the box. Amazed that all product was still in the box, even tho box was near total destruction. I notified Pe"/>
        <s v="Apparently when I placed my order the item was in stock. My card was charged and I expected shipment soon. A couple days later I got a refund of my purchase with no explanation. The explanation came a couple days later that they were out of stock. Seems a"/>
        <s v="Usually, I don't have any issues. This time, the shipment of cat food was all over the place. Cans were not secure in the case and many were severely dented. Almost like someone just threw the case in the box."/>
        <s v="Responsive customer support."/>
        <s v="Price and prompt delivery"/>
        <s v="I found this company online when the place I usually order from was out. Ordered three bags on Saturday the product shipped on Monday and arrived to my home on Wednesday, I live in a very rural area as well. WOULD DEFINITELY RECOMMEND."/>
        <s v="Quick shipping, helpful customer support, and quality cat food purchase. Best price too. Thank you."/>
        <s v="There was a bit of confusion with the customer service rep when I called regarding the prescription diet food for my dog. I had already sent the script to customer support but when I called to let them know it was there, she said I needed to send it to cu"/>
        <s v="I ordered tetraColor XL tropical granules fish food and my fish thank you. I got it just in time as I ran out of 3 days servings left. Speedy delivery for great price."/>
        <s v="My package was delivered damaged and they quickly replaced it without questions."/>
        <s v="Has what I needed and delivered it in good time."/>
        <s v="Easy to navigate website. Found the dog food I was looking for and with discounts applied by PetFlow was able to get the lowest price I could find anywhere."/>
        <s v="This was the first time I had shopped with PetFlow and found it to be very easy to find what I needed."/>
        <s v="I will never order anything from this company again. They do not have the food I ordered, but it’s on back order now they are holding my credit card hostage and won’t cancel my order."/>
        <s v="My orders are always punctual and good. This time, was especially essential that my order was expedited faster than usual as my dog sitter who was taking care of my dog during a family death over the holidays didn't tell me he was almost out of food! Than"/>
        <s v="my account showed a backorder. order more product, then got a bunch of products, good for months."/>
        <s v="I needed to find a specific prescription food for my diabetic dog and they had it, along with some other options that my vet would approve if my dog didn’t like this one. They got in touch with my vet immediately to verify his prescription and shipped the"/>
        <s v="PetFlow has a great selection of products, great prices and fast shipping. I buy the Nulo Cod and Lentils Weight Management dog food, my guys love it"/>
        <s v="Cheaper then other places. Fast shipping. I was very pleased."/>
        <s v="All of my dealings with pet have been positive. My dog food is always delivered in a timely manner."/>
        <s v="Easy to order, competitive prices orders arrive fast!"/>
        <s v="I purchased Milk Bone Pill Pockets. This was a really good price, and they shipped my order quick. I'll definitely be back."/>
        <s v="Fast shipping and almost always have foods I am looking for in stock for immediate shipment."/>
        <s v="Quick service, good packing, good prices."/>
        <s v="Cumbersome Internet system caused two orders to register rather than one. Canceling the orders immediately still did not stop an extra bag of dog food from arriving, causing multiple emails and finally return."/>
        <s v="I received this order so quickly which I really appreciated. It surprised me, it was so fast."/>
        <s v="Took 9 days for order to arrive. Multiple erroneous ails re expected arrival, had to go buy at store and.order was delivered after I left the area."/>
        <s v="This has to be my 10 th or more times that I have either purchased dog and cat food from PetFlow. The delivery service is excellent! Also selection is wonderful and price is just the same or less than in the stores. It’s so nice to come home and your fur "/>
        <s v="Was kept informed about items back ordered and other items shipped separately."/>
        <s v="PetFlow is a great place for pet products at reasonable prices. Delivery is reliable as well."/>
        <s v="I've ordered bulk cat litter from PetFlow several times now. They offer a great price, great products and quick shipping! Will be ordering again."/>
        <s v="Website was easy to navigate. Checkout was quick. Easy to track shipping. Delivery within a short period of time."/>
        <s v="I can count on PetFlow to carry the food that my furry babies like."/>
        <s v="Incredibly fast service. Perfect packaging. Everything absolutely wonderful!"/>
        <s v="I Love PetFlow, there are always so helpful and easy to order. I love how I get free shipping and they're always on time. Customer service is great and I have definitely recommended PetFlow to friends and family."/>
        <s v="I HAVE ORDERED FROM PETFLOW SEVERAL TIMES AND MY ITEMS ALWAYS ARRIVED WITHOUT ISSUES, THE PRICES ARE THE LOWEST IN EVERY STORE AND ONLINE SITE THAT I COULD FIND. I HAD A SMALL ISSUE AND IT WAS TAKEN CARE OF IMMEDIATELY. CUSTOMER SERVICE WAS QUICK TO ASSIS"/>
        <s v="Offer quality dog food and treats.&#10;Fast order filling and shipping.&#10;Reasonable prices. Great clearances."/>
        <s v="Ease of ordering, product better than described, costs are reasonable, very prompt shipping."/>
        <s v="PetFlow delivers the treats my dog prefers. With the pandemic we weren’t always able to get her treats at the store - that’s how we found PetFlow. Yay!"/>
        <s v="Always have great order takers, fast and efficient."/>
        <s v="Confirmed my order for dog food and did not ship it nor contact me. I ran out of food for my dog. Unacceptable to harm my dog or anyone's pet. Will never do business with a company that disregards the health of their real customers. Apparently this issue "/>
        <s v="Website was easy to use and checkout was quick"/>
        <s v="Easy ordering. Very fast delivery."/>
        <s v="Great product and quick service. Will definitely buy from them again."/>
        <s v="Timely delivery, large selection of products. Notification of products arrival that had been out of stock. Great web. Thank you PetFlow!"/>
        <s v="I ordered 2 trays of special vet approved canned dog food - it arrived quickly and well packaged. No delays even though they had to confirm with Vet."/>
        <s v="More often than not my dog's food is backordered, so then I have to scramble to find her food, then days later the backordered item ships. I then have 2 bags of $80 food that I didn't budget for."/>
        <s v="I have used PetFlow for a few years. Every order has been filled accurately and timely. Communications regarding order status has been excellent. I would give a five star rating except for the minimum order size and shipping costs."/>
        <s v="I Love the products! I feel the shipping takes a long time. Much longer than other companies I buy from."/>
        <s v="Awesome website and many brands to choose from. Easy ordering and the dog food- Canine Cuisine- is loved by all furry friends. Definitely recommend Petflow.com."/>
        <s v="I don't like that 2 orders were placed (only 1 charged for) and I still don't have either of the orders!"/>
        <s v="Easy to make a order and a good delivery"/>
        <s v="The shipping used to be very quick but now it seems although the items show in stock it takes a week for the items to ship. It is disappointing as I grew accustomed to the fast service"/>
        <s v="I was able to find what I needed at a good price. Shipping and delivery was very timely too"/>
        <s v="Petflow has consistently met my expectations even when having to ship from Nevada, what normally ships from New Jersey."/>
        <s v="First time purchasing from Pet Flow. Ordered Dr. Marty's small breed food and a bag of treats. Great fast shipping. And my dog LIKES the food."/>
        <s v="All online. Ordered prescribed cat food. They took care of rest. They confirmed with vet and bam, 2 day later the food was at my door."/>
        <s v="The representative was super friendly, easy to work with, and quick to resolve my issue. 10/10"/>
        <s v="Great price very quick shipping and great to talk to."/>
        <s v="Everything was so easy&#10;&#10;Placing the order shipment. Just delivery time was a bit slower than Chewy"/>
        <s v="I never received a notification that I had an upcoming subscription order being processed. I was unable to edit the delivery date. When I reached out to Customer Service several times I got zero response.&#10;The day I was notified I had this order being proc"/>
        <s v="Your prices were the best we could find. Quick delivery."/>
        <s v="I had trouble finding Verus dog food anywhere else, but PetFow had it and delivered at a good price,"/>
        <s v="Easy ordering, product in stock and for cheapest price among other sales outlets, reliable shipping and delivery."/>
        <s v="I’ve placed multiple orders with Petflow and each time it’s delivered really fast with great prices an excellent service."/>
        <s v="My order NEVER arrived. I ordered the tear stain tablets and two different treats. Please send me my order or credit my account 10767863"/>
        <s v="On Time delivery"/>
        <s v="Pet Flow was fast with shipping and delivered when promised. Merchandise was is excellent condition and exactly as pictured. Very pleased."/>
        <s v="The greatest part was the followup when my package got damaged and you all replaced it. My only criticism is that your tape doesn’t hold, especially in the harsh rain."/>
        <s v="Ordering was easy. Delivery was prompt. Customer service is exemplary."/>
        <s v="My product order was in stock and I received in a timely fashion."/>
        <s v="I ordered a product on January 9 and still have not received it. I've written to Petflow inquiring about this and never received a response."/>
        <s v="I can always count on my pet food delivery to be on time and we’ll packaged."/>
        <s v="In the last year service has gone from fantastic to spectacularly frustrating. My last interactions have been frustrating to the point of closing my account. I have a hospitalized friend in another state. I was purchasing food for his dogs and having Petf"/>
        <s v="Love the carrier! It was easy to get my cat in through the top door and was just the right size. Will fit my 14 pound cat as well. Had it within a few days of ordering it."/>
        <s v="Cancelled my order and claimed it was fraud and refused to sell to me."/>
        <s v="You carry my product but took awhile to arrive !"/>
        <s v="The product I ordered was out of stock, yet the system still allowed me to order it, even though it was out of stock. I cannot trust the system to give me the correct stocking of this item."/>
        <s v="Shipping was fast, I saved a lot with the coupon they sent for a first time shopper! Got 3 heated mats for our dogs"/>
        <s v="Pet Flow is a great place for your pet needs. We have been very satisfied!"/>
        <s v="Flagged my purchases as fraud and then refused to allow me to repurchase."/>
        <s v="We were counting on our Fromm dog food Auto-Ship order to be shipped on the date that PetFlow said they would ship. According to them they got very busy during the holidays and this order did not ship until the following week. As a result we had just enou"/>
        <s v="Product was in stock and order was filled correctly and quickly."/>
        <s v="Delivery was on time and at a better cost than other merchants."/>
        <s v="Dog food was delivered to family members home. It arrived quickly and in good condition."/>
        <s v="I placed my order online easily. I did receive an email stating the shipping would be delayed but they kept communication open, it was only delayed by 2 days and I received my items as expected!"/>
        <s v="The company delivered when promised, with the exact items ordered. My only complaint (and it's a little one) is that it was difficult to follow the order once it was in the system so that I could see where it stood."/>
        <s v="Overall Petflow has good service and competitive pricing for the products they handle. The website could be much more user friendly - to adjust an order or make changes to a saved order can be very confusing."/>
        <s v="Carry brand I was seeking."/>
        <s v="I was low on food for my dog because I forgot to order so it got here pretty quickly. I was down pretty low and I called to see when it was going to arrive and spoke to a very lovely and helpful woman in their customer service."/>
        <s v="A large variety of pet food products to choose from. Package arrives intact. An animal gets a bowl of food with my purchase.&#10;Thank you"/>
        <s v="They were very friendly they would take your phone calls if your computer wasn’t working and the delivery was always on time and I appreciate that thank you"/>
        <s v="The quality of the pet food. The fact that you carry Fromm can’t get it many places, and it’s a trusted brand by me and my family"/>
        <s v="Competitive prices, shipped well with no damage."/>
        <s v="PetFlow is the —only— online source that seems to be able to maintain stock of the particular Taste of the Wild canned variety that we prefer to feed to our guys. Shipping is free above $49 or so, and since we get multiple cases, no problem! Shipping is F"/>
        <s v="Where to begin? First, inventory on their site isn't real. In my case, the veterinary dog food I ordered was to be shipped from the manufacturer who was out of stock. Second, rather than them inform me, I called for order status three times. The first two"/>
        <s v="I didn’t make an order. Someone hacked my account and tried to set up an auto ship order to an address that is not mine."/>
        <s v="This was my first order from PetFlow. I found out my dog has some pretty extensive allergies and with each passing day, I had no choice but to feed him the stuff he was allergic to until my new food arrived from PetFlow. I regret switching from my usual p"/>
        <s v="I was told when I ordered 1-3 days for arrival. It took 7 days. I have a kennel of puppies and needed the food.&#10;Will never order again from you. It has happened several times."/>
        <s v="Everything went smooth, I had to ask for help using the sight and received it well."/>
        <s v="The PetFlow website is easy to navigate and their autoship is easy too. I appreciate getting the notices that it will be shipping and that I need to make changes, if any, by a certain date. I also get emails keeping me up to date on my orders."/>
        <s v="Didn't help at all, Basically said I can not order the item and move on"/>
        <s v="Reasonable prices. Very good communication and notification system. The only con is that some products are not always available and back ordered."/>
        <s v="PetFlow is great because they sell the dry food I feed my cat and it isn't around anywhere else. I also want to say thank you for receiving my order 3 days after I ordered it. Often it can take up to a week."/>
        <s v="GREAT Company, GREAT Service and GREAT Products"/>
        <s v="I couldn't access my account because I couldn't remember my password. Your account recovery system is not very good at all."/>
        <s v="The order was wrong. I called and the young lady that answered was very professional and efficient. She took care of the problem and I could hear the smile in her voice."/>
        <s v="Order took almost a week to reach me. When I called to check where it was I was told you were experiencing delays. It would have been good customer service to tell me that via email before I called."/>
        <s v="I absolutely LOVE PetFlow!!! I am thankful for fast shipping and the fact they work so well with my vet to get my Diabetic Dog the food she needs!!!"/>
        <s v="I ordered (2) 40lb bags of dog food. One bag was damaged on arrival and they replaced entire order sending 2 replacement bags. More than made up for it. One thing is the replacement boxes actually had more packaging material to hold up better in shipment "/>
        <s v="Impossible website entry. Customer service didn’t answer my questions. Delivery is late - I don’t have my shipment yet."/>
        <s v="I have ordered from Petflow for a few years now-never had a problem. My last order was a total nightmare dealing with your customer service reps. Rude, condescending, passive aggressive e-mails sent to me when all I asked was &quot;where's my dog food&quot;. I orde"/>
        <s v="I have used these folks for a couple of years. They have the best price for the product I buy. Delivery is quite prompt."/>
        <s v="To slow on getting the order out,hard to understand the ordering system."/>
        <s v="Easy to use and find items with quick delivery."/>
        <s v="Intuitive site allows me to easily order and reorder the dog food varieties I need. Good electronic notifications confirming orders, tracking shipping and projected order arrivals. I like easy."/>
        <s v="It took a little long to receive the items due to product availability. This is not the 1st time.when I did receive it, tge order was fine"/>
        <s v="Always get a great deal with coupons and the food arrives exactly when they told you! Will be ordering again soon!!"/>
        <s v="Customer service is terrible. I will not order from you again."/>
        <s v="I loved PetFlow - they used to be really good with getting my orders out right away. I placed an order on 1/1, called a few days later as my order still was not sent out. Customer service said they were noting that my items needed to be sent out ASAP - st"/>
        <s v="Communication regarding shipping was lacking. In the past, ship dates and estimated arrival times were closer to reality."/>
        <s v="My order was cancelled without them letting me know, and I received lousy customer service trying to figure out why. Placed my order again, but of course the price of one of my items has gone up. Customer service will not help."/>
        <s v="- I was .49 cents short for free shipping so I added 3.00 treats that never got added to the order, got charged for shipping, the package was so heavy FedEx dumped it in the wrong lobby not even bothering to drop it at my door.&#10;You make us order so much &amp;"/>
        <s v="It took a very, very long time to get to my house. I've switched to Chewy because their shipments get to me in one to 2 days."/>
        <s v="Haven't received product and you want a review? Ordered on 12/30 needing it no later than 1/12 and won't receive it until the 13th if lucky. But still asked for review. Maybe make your automated emails for review tied to the delivery of the items. Would b"/>
        <s v="The package came in good condition and when it was running late I have a coupon for the next order that they sent."/>
        <s v="I’ve been with Petflow for many years. Product is alway delivered promptly and no damage. If you do have a damaged can they make it good. Love this company."/>
        <s v="Ryan was exceptionally helpful and because of his assistance, I will continue to shop at PetFlow."/>
        <s v="7 years doing business with You (PetFlow).&#10;Poor resolve for item I have been buying from you for 7 years.&#10;&#10;I will look forward discussing this with Senior Corporate Manager.&#10;&#10;With 60 years in Corporate myself with Customer Support responsibilities, pehaps"/>
        <s v="They always have what I need in stock and at a great price especially with the use of the coupon options."/>
        <s v="If I could give Petflow 0 stars I would. Their customer service is AWFUL, AWFUL, AWFUL, they take forever to ship items (on the off-chance that they actually have the items available) and will require a huge waste of time on your part to rectify issues th"/>
        <s v="My order was placed December 20 and I still don’t have it. Two weeks is just too long. Ordering from PetFlow is just too unpredictable, sometimes it’s days, sometimes it’s weeks. I had to buy from another source."/>
        <s v="Please give alerts or notifications when you can’t fulfill an auto ship order! I have to find out by checking my account after the expected shipment date has passed and I’m out of my cats prescription KD food. Have voiced my concerns multiple times over t"/>
        <s v="Delivers as promised, and checks that it was received. I am thrilled that I found PetFlow!"/>
        <s v="I like that you sent the food and the price was lower than most other places. I did not like not being able to order food because it seemed to automatically turn on auto shipping that I didn't want. And I couldn't find a way to turn off auto shipping. So "/>
        <s v="Made an order. Just like I have several times before. They canceled the order but did not let us know. No email. No phone call. Nothing. We bought from Petco and will from now on."/>
        <s v="I have tried to use PetFlow a few times for their monthly shipment of dog food and I have always come across issues. The first order, my first bag of dog food was delivered on time. The second order of dog food was delivered with tape all around it. I rem"/>
        <s v="Still haven't received our order, so ordered from and received in two days - which is good so our senior dogs do not have to eat puppy chow."/>
        <s v="Order not shipped from warehouse for about a week and still shows as not picked up. I had to check the status and call to cancel it after 7-8 days."/>
        <s v="No follow up regarding status of order and no order received. Very disappointed"/>
        <s v="Like others, my order was canceled without notice, and I only found out when I checked my order online after 10 days. A rep at PetFlow said that they automatically cancel orders because of fraud concerns if the shipping address is different than the billi"/>
        <s v="WHERE IS MY ORDER WHICH WAS OREDERED ON 12/26/2022? ORDER #10729000 BERGEN K-9 CAFE!"/>
        <s v="My orders are taking longer and longer to get. It's taking about a week (in the beginning they came in a few days). I have ended up going to the only location nearby that carries Fromm dog food while waiting for my dogs food. A week ahead of time should b"/>
        <s v="Love the convenience and customer service."/>
        <s v="Everything ships quickly.&#10;Was disappointed that I couldn’t find the one medication through PetFlow."/>
        <s v="Placed an order for dog food, waited over a week without updates so I followed up only to find out my order was canceled, but I was never notified. This caused such a delay with getting the food that I am currently out of. Had to order from somewhere else"/>
        <s v="Easy to reorder and shipping is fast and free."/>
        <s v="Great experience. Fast shipping. I haven’t been able to order my cat’s food from anywhere else because it was out of stock. PetFlow got it for me."/>
        <s v="Ordering online was easy and shipping was fast. Had an item that was out of stock, they let me know then shipped it when it was back in stock. Great to do business with"/>
        <s v="Great selection of products. Carry name brand at a reasonable price. Quick shipping. Quick response from customer service. If something is wrong with your order they correct it in a timely manner. Very happy with my service from PetFlow. Will definitely r"/>
        <s v="My order was cancelled by the fraud department without any notice to m. I wouldn't recommend PetFlow to my worst enemy. I have tried to reset my password and correct the problem but, when they say they sent a password reset I never receive it."/>
        <s v="Sorry, not sure if it's my phone or your website. Used to always order online but the last few times, I can't seem to get all the way through to place the order. I'll have to go back to calling my orders in."/>
        <s v="The best prices and fast shipping. Very happy!"/>
        <s v="I have 3 dogs and not one of them would play with it they totally ignored it"/>
        <s v="HORRIBLE COMPANY. ORDERED FOOD FOR MY DOG AND GOT AN EMAIL SAYING WE RECEIVED YOUR ORDER. CALLED A WEEK LATER AS NEVER RECEIVED MY ORDER OR AN EMAIL SAYING IT SHIPPED. THEY SAID THEY CANCELLED MY ORDER AND COULD NOT SAY WHY AS THEY ARE NOT ALLOWED. SERIOU"/>
        <s v="The company is absolutely awsom.another company sent me to petfkow and I'm so happy they did and I will contiune to shop at petflow. Thank you for being petflow."/>
        <s v="Great prices and fast delivery. We we were using Chewy, which is great, but they don't carry the food we need for new dog. I am very happy with my recent Petflow experience."/>
        <s v="Communications and correspondences (via email) was better than most pet stores."/>
        <s v="I am very impressed that my order was received before expected, none of cans of food were damaged, the food is very fresh, and the price is right. PetFlow is now my go-to from now on for Zignature Kangaroo Formula canned dog food. Thanks for being so on t"/>
        <s v="Terrible just terrible. Not helpful at all. Still waiting for my dog’s medication it’s going on 3 weeks now I keep getting the run around from everyone I speak to. I’m over this company. Y’all need to get ur “stuff”together."/>
        <s v="Ordering can be made easier and delivery took longer than ecpected."/>
        <s v="First was the excellent selection offered at a fair price. Then there was delivery. No easy challenge since ihe order was placed over the holiday and we had a major snow storm. Guess what BuddyHolley, my Bearded Collie, was enjoying his food and treats ea"/>
        <s v="I have a dog who is allergic to everything basically so I used the online chat and the customer service person helped me locate a food and treats that basically only have duck (one of the only things she’s not allergic to)."/>
        <s v="Delivered on time. Was able to brands I wanted not available on other sites like Chewey."/>
        <s v="fast shipping, fair prices, and excellent customer service!"/>
        <s v="Had products in stock, quick delivery. Great customer service."/>
        <s v="Easy to navigate the website and items shipped fast !"/>
        <s v="Petflow always delivers good products in a timely manner. They are also the only online provider of my dog’s food."/>
        <s v="Twice my order has been canceled due to fear of fraud and no one ever reaches out to me to ask. I’m frustrated that a week later, when my order isn’t received, I call and find out it was canceled. They have my email and phone number."/>
        <s v="I placed an order recently from Petflow. They had the best price on the items I was searching for. I didn't need the items right away and I appreciated that I could request the date I would like the items shipped to me. Highly recommend Petflow!!"/>
        <s v="Fast shipping, great prices and accurate order"/>
        <s v="I had put numerous orders in for this product in the past two years. The order got canceled many times and I was told I would be notified when they came in. I was never notified! I just happened to come back to your site to see that you had them in stock."/>
        <s v="In the past, the customer service was always exceptional. My last phone call pertaining to a delivery delay was met with indifference &amp; a lack of resolution. I'll continue to shop at Petflow but will think twice before inquiring about a problem."/>
        <s v="My dog food took FOREVERRRRR to get here. Each time I called customer service, it rang about 20 times and the phone would hang up. I emailed them and it took 3 days for them to get back to me. Rep said they are overwhelmed because they are a small company"/>
        <s v="I contacted customer support online to cancel my auto ship. I accidently set a second one while trying to cancel. I had 2 auto ship orders. I made it clear I wanted them both canceled because my order increased by almost $84.00. Too pricey. I found my ord"/>
        <s v="Package arrived late again&#10;&#10;Fed ex should not be your carrier"/>
        <s v="Easy to order and I love the automatic ordering"/>
        <s v="Terrible customer service, worst company to ever do business with even the supervisors are rude they constantly hang up without addressing any of your issues."/>
        <s v="I placed an order which was received by PetFlow with a ship date of Dec 19th. Dec 28th still had not heard a word. Called customer service who told me PetFlow had canceled the order because it was flagged as fraudulent by “them” ! Not my bank ! I will “ne"/>
        <s v="Easy order process and quick response to the order"/>
        <s v="I stopped using Chewy when the company was bought by PetSmart. I'm glad I chose PetFlo."/>
        <s v="I placed my order on 12/14/22 and received an email that my order would ship on 12/15/22. I contacted PetFlow on 12/21/22 about my order not shipping yet. When I received a response the next day I was informed “due to stock issues my order was cancelled”."/>
        <s v="The dog food I ordered came quickly and I didn’t have to pay for shipping. The food I ordered changed the look of the bag so I thought I was sent the wrong food. Petflow responded immediately to my issue."/>
        <s v="Even with your promos (EX: Current promo PFT025 25.00 off 100.00) Amazon is still better priced. And I get better sizes and better autoship deals. We are working with tough times folks - you need to step up your game on competition or get left behind. Not"/>
        <s v="I have an account at PetFlow since June 2015&#10;Unfortunately my order of cat food was cancelled without any notification...Such an unexpected behavior of company... customer service when I called them explain order was blocked by fraud prevention department"/>
        <s v="You're fine. Don't be so insecure! I used you once and I've gotten like 30 emails from you. It's too much! Now you want to be rated, it's coming off very needy and insecure. Keep having the lowest prices and I will keep using you. Stop with all the email "/>
        <s v="Had the product I was looking for for my cat. Fast service"/>
        <s v="Our beloved Newfie died a day or so after we received his auto shipment of food from Perflow. We had not even opened the box. Allison from Petflow offered her's and Petflow's sincere condolences. And she said just set the unopen box outside on the porch a"/>
        <s v="Actually I am writing to see if I can return an unopened bag of food. Winnie did not like it and is back on her original food."/>
        <s v="Best price on the dog food I buy. Very quick shipping"/>
        <s v="Good sales on good products. Fast shipping."/>
        <s v="My beloved dog passed away unexpectedly just after I had received a large shipment of food and supplies. I contacted PetFlow and they arranged to have the products picked up right away and closed out my auto ship orders so I would not have to do that. I'v"/>
        <s v="What made my experience great was finding the product I wanted (and a little more) and getting it ordered quickly and easily. Got what I needed in just a few days before running out of the product at home. Excellent service! Great products!"/>
        <s v="I wanted to purchase a item on your website but the item only showed one color blue I contacted you about wanting the item in gray and you person went out in the whrs. and found that you had it in gray. Told me to order it and e-mail the order number to h"/>
        <s v="I got a good price on Tillys Treasures Beef Liver Chunks. My dog loves them."/>
        <s v="Easy order, great delivery, great product!"/>
        <s v="I used to love PetFlow because the prices were reasonable with quality items and dependable shipping. I have a small house so I cannot stockpile dog food so I order close to finishing a bag. Well, now, when things used to arrive in about 3 days of orderin"/>
        <s v="I have been buying my dogs' pet food from them for years! They are very reasonably priced and are flexible enough to allow me to change my order depending on the dogs we have."/>
        <s v="My delivery address is really complicated and caused a few issues when I attempted to place my order, but customer service was quick to respond to my messages and they handled the situation effectively and efficiently. Once shipped, the order reached me i"/>
        <s v="Prices and selection were great. Shipping was fast and received emails regarding the status of order and shipping."/>
        <s v="The toy was so little. The shampoo was expensive but worth it"/>
        <s v="My auto ship is easy and convenient and arrives quickly after it ships. The food is always in stock so I never have to worry."/>
        <s v="I tried to change what we are receiving on the recurring order. Instead of changing the item it sent me an additional bag of dog food."/>
        <s v="Great prices on the kong squeez ball"/>
        <s v="BEWARE! Pet Flow can accuse you of theft cat food $46 value from them.&#10;Absolutely terrible experience with my order NUMBER: 10690189&#10;After receiving order confirmation from PetFlow,&#10;I was expect receiving the tracking number for shipment, but when I login"/>
        <s v="Good quality products. Cheaper prices. Fast shipping."/>
        <s v="I’ve struggled purchasing food for my FIV+ cat because her vet is under my partners name but I’m the one buying Chewy specifically made my life hell. Thank you PetFlow! I appreciate y’all and I’m great full my kitty gets her special food now :)"/>
        <s v="With the cost of this pet food increasing every year, I decided to switch to PetFlow away from my usual supplier because of the discount. Making my dog's food more affordable really helped a lot. I'm hoping this company continues to offer competitive pric"/>
        <s v="I always get my dogs food on time"/>
        <s v="I have had a good relationship w Petflow up until my last text message was ignored. Natural Balance canned dog food was discontinued supposedly due to supply issues. I researched other foods &amp; decided on Nutrisource which Petflow carries. I ordered 10 cas"/>
        <s v="Great customer service. Quick shipping."/>
        <s v="Great quality and shipping was very fast. Definitely will be ordering from them again."/>
        <s v="Liked that ordering is easy. I did not like how very long it took to receive the order."/>
        <s v="My order never arrived. I called your company and the person I spoke to was incredibly unprofessional sounding. I asked why my order hasn’t shown up and he said it was canceled by their fraud department. I asked why or what triggered this and was told he "/>
        <s v="You were the only company that had the product I needed for my special needs cat!!!!"/>
        <s v="First customer service rep wasn't nearly has helpful as the second one I talked with. The third person was reassuring. Now the wait for the refund. 😊"/>
        <s v="I was really happy with pet flow until two things happened. One is I found some thing I could only buy at Chewy, and their customer service is light years beyond petflow.&#10;&#10;The other is that petflow wanted a profile of me and my pets names, and things in a"/>
        <s v="Fast accurate shipping and fair prices, have ordered twice and will continue to order."/>
        <s v="Was great! I enjoyed it a lot. The song made me feel special !"/>
        <s v="Always fast shipments. I order two 30-pound bags of food at a time. The only concern is the packaging needs more tape on the box or they need to be shipped in two boxes. The last shipment the tape had broke and someone for the carrier must have re-taped i"/>
        <s v="Prices are high for the food I feed and I realize it may not be Petflow's fault but there was a huge increase in cost in just a few months. Also, delivery seems to take a week with FedEx. Seems long to me."/>
        <s v="my orders are taking longer and longer to arrive. last order was over 10 days until I received it. I order early so my boy doesn't run out, but these times are ridiculous. Currently looking for another provider."/>
        <s v="Wonderful products for my cats. Can ask for assistance should I need it. Great on-time deliveries for my purchases, and very good service from PetFlow and the folks that do great jobs for me and my kitties!"/>
        <s v="Where do I begin!? I order 10 tennis balls then y’all wanna chancel my order for fraudulent because your customer service person over the phone says why would you buy 10 tennis balls?? I’m sorry I have multiple dogs, like WTH! Worse part is I had to call "/>
        <s v="Quick friendly people to help with an easy phone call! Dependable deliveries and updates. I really like their customer satisfaction approach to business."/>
        <s v="I had a major issue with my package being held up on the FedEx side. I emailed into Petflow support to see if they could help, I didn't hear back. HOWEVER, I called a few days later. The person that answered was so kind and helpful. They reshipped the pro"/>
        <s v="Received food in timely manner. Good price."/>
        <s v="Great prices&#10;Fast delivery&#10;A place to count on"/>
        <s v="Even though this litter was out of stock and no date when available they kept me informed of my in order status. I did end up of canceling and they were in great about be this too."/>
        <s v="Awesome company with good deals and prompt service delivered right to your door. I would highly recommend Petflow for all your pets’ needs."/>
        <s v="What your company needs to work is your delivery time. Your company takes way to long from the date of purchase to get the product to your customer. The company Chewy gets it to me in 24 to 48 hours. Learn their method."/>
        <s v="Great selection of dog foods and snacks and great customer service! Order arrive in just a few days."/>
        <s v="Great price, quick shipping and delivery!"/>
        <s v="Love the prices and quick service. My only concern is I can’t seem to apply the auto ship discount"/>
        <s v="Name brand products. Fast shipping. Great coupons/deals."/>
        <s v="First, I was sent the wrong items. I called and was told they would ship the right ones out asap the next AM. I spent over $75. On dog treats, 7 bags. The original delivery took a week. Customer service emailed me a Fed ex label to ship the wrong treats b"/>
        <s v="ordered the nature's logic food at a great price, delivered quickly, shipping free......&#10;what is not to like about this?"/>
        <s v="Difficult to make an accurate credit card charge"/>
        <s v="My shipping box came damaged - nearly falling apart when it arrived at my door.&#10;&#10;Plus my bag of Dr. Marty food was cut with a razor and food was inside the shipping box. I have a picture if needed.&#10;&#10;And finally it took nearly 7 days (I ordered early Sunda"/>
        <s v="Very good customer service package arrived on time everything that I asked for was in the box complete"/>
        <s v="I needed a bag of dog food and proceeded with “buy it now” When I received order confirmation, I saw that an item I had previously purchased was still in my cart They said they would not remove an item from my order immediately after. I wasn’t happy with "/>
        <s v="Products available; competitive pricing; delivery delay not too bad considering the holidays."/>
        <s v="Appreciate the great selection of Fromm dry dog food! Service is great and very fast shipping!"/>
        <s v="We have been using PetFlow for years and they are consistently fast with shipping and if there are any issues (maybe 3x in 10 years) they are responsive and it gets resolved fast. Thank you !"/>
        <s v="Ordered on line for less than in stores and it was delivered to me!!"/>
        <s v="Lack of availability of the specific treats I was looking for was the only reason I did not leave a 5-star rating. Otherwise, prices, delivery time, &amp; correctness of the order was great. Thanks. Luka &amp; Remi are head-over-heels with their tasty treats!"/>
        <s v="I spoke with customer service weeks ago and my concern was not addressed.&#10;My original account was under my personal gmail. I had an auto ship on there for years. A few months ago my password did not work, and when I tried repeatedly to reset it, I never r"/>
        <s v="When I started to really look around, PetFlow offers the best price, especially since it comes right to my door in rural Vermont. Dog food has become crazy expensive."/>
        <s v="I have used PetFlow for several years. They are a quality organization, I recently had an issue with a delivery and a return. Both issues were resolved quickly. one via phone and the other through email. They also took the time to follow up and make sure "/>
        <s v="Website was easy to maneuver, Great product selection and good prices along with fast delivery time"/>
        <s v="Your products are healthy and reasonable in price. I also received my purchases in 5 days and paid no shipping due to buying $49.00 and more in merchandise. I also get the pleasure to help animals in need. Thanks for being there!"/>
        <s v="Found it odd that a very popular item on the internet was discontinued. I ordered 2 but only got one and they refunded my other one fast. Made&#10;it look like they were selling them too low and stopped so they didn’t have to keep filling orders."/>
        <s v="I like ordering online don’t like getting out. Delivered to my door"/>
        <s v="The shipping time is awful. When I placed and order it said it will ship the next two days, it didn’t ship for a whole 2 weeks!"/>
        <s v="Very reliable when ordering a product. Even if on back-order, you are kept informed. Impressive."/>
        <s v="Best prices around initially, we will see if they continue offering these deals. I have referred a few friends so I’m hoping they don’t disappoint."/>
        <s v="Slow shipping. Slow answer to E -mails. Don’t have items in stock."/>
        <s v="I'm still waiting on my last order. I am out of Kidney can food. I have 2 dogs. I supplement dog treats through Amazon as they deliver way quicker, but the prescription Kidney food I cannot. As I tracked my last order it showed it's been sitting in the Ho"/>
        <s v="I just started using you a few months ago and was a little concerned because of some of your reviews but I liked your prices and thought I’d give you a try! Glad I did! You have totally delivered for me! I’ve had several large orders for dog and cat produ"/>
        <s v="I've been a client for some time. I had just bought a 22 lb. bag of Merrick senior dog food. The vet said that my 11 year old dog reacted badly to the ingredients in the senior food, which caused severe diarrhea and to go back to what I had been doing. Th"/>
        <s v="I found this company a couple months ago, WOW, very impressed. The product line is outstanding, the prices are the best I've seen and last but not least the shipping is super fast. I've had such a wonderful experience with their easy online ordering syste"/>
        <s v="Order was easy to place, delivery and updates were all great"/>
        <s v="I received no notice of canceled order or assistance in correcting the order."/>
        <s v="We have ordered for over a year from Pet flow and have NEVER experienced any issues. What they promise we get. I will be staying with them!!"/>
        <s v="Cheaper price takes a little longer for shipping though."/>
        <s v="Great service and products I use for my pets"/>
        <s v="I have had a subscription dogfood on file for 3-4 years that is prescription. Most of the time, it is delayed or outright cancelled. Then I have to call and change to a different flavor in order to get the dog food. The last time this happened, I had to c"/>
        <s v="I placed ab order for the first time and the product was not going to arrive for over a week. That was unexceptable. Your competition Chewy it arrives usually in two days. I cancelled my order o and my auto ship"/>
        <s v="Reliable delivery. Dels for auto-ship."/>
        <s v="Fast delivery, great prices. What else could anyone want?"/>
        <s v="Always get excellent customer service if there is an issue. Vert easy to deal with."/>
        <s v="Ordered product and it never shipped. I had to call customer service to get it shipped."/>
        <s v="After my order being cancelled I don’t know maybe three times? I emailed them to get it cleared up. I explain I moved and got married and mention perhaps it’s my maiden name . Ryan tells me fraud says not to process so first i ask okay what’s the reason a"/>
        <s v="I appreciated the ease of ordering but was not really happy with the shipping time. It took too long to come."/>
        <s v="PetFlow is great, fast and efficient. Customer service is helpful."/>
        <s v="I switched to Pet Flow from Chewy bc their prices got high and their customer service dramatically declined. The prices and auto ship discounts are much better at Pet Flow, and their customer service personnel are superior to Chewy's. The only reason I ga"/>
        <s v="As promised, so delivered"/>
        <s v="When I place my order I can relax. It arrives quickly and is always fresh and ready for my two senior dogs. I am so happy that I have this service and don't have to lug heavy bags of questionable freshness."/>
        <s v="I placed an order. Your company took the money out of my account. Days went by with no tracking or anything so I called to see what was going on and your tech support told me she didn't know when I would be getting my order so I canceled it. Than after i "/>
        <s v="My order was easy to place, and arrived quickly. Will order from you again. 10/10 would recommend"/>
        <s v="My dogs went crazy over all these treats. Very happy."/>
        <s v="The representative was understanding of my situation and was quick to resolve the issue. Very nice and patient."/>
        <s v="Great company to work with……always responsive….with quick delivery .but costs seem to continue to escalate over last two years as is everything."/>
        <s v="My dog is a senior with a heart condition and must have a special low-sodium diet. When her food doesn't arrive on time, her diet and condition is compromised. Typically, I receive orders in 2-4 days. I need and depend this reliability. My last order took"/>
        <s v="My little Maltese loves the small bites Beef Frittata! I wish you had other flavors in small bites for small breed dogs."/>
        <s v="The shipping 2as surprisingly slow"/>
        <s v="So when ordering food for my canaries there's been 2 times in the shipping process bad experiences. two times the orders get returned due to the poor packaging Petflow uses. Don't really understand why 2 50lb bags are shipped in 1 thin big box without any"/>
        <s v="First time using Pet Flow. My dog food was ordered in time to arrive three days before a big trip. It was delayed and came the day after I left. Customer service had been called several times.&#10;I asked for a refund and was told I would get a credit. I’m go"/>
        <s v="I always order our dogs regular food diet Petflow as well as a subscription. All items arrive well."/>
        <s v="Great service. I can always depend on Pet Flow."/>
        <s v="An excellent company with wonderful customer service. Orders are shipped efficiently and with care. An added plus is their charitable donation policy!"/>
        <s v="Took over a week before product even got prepared for shipping. Zero communication."/>
        <s v="Instead of a usual delivery of 2 business days after my orders placement it took 7 business days and two calls to your service."/>
        <s v="While the prices are much better than Chewy’s, the shipping is SLOW!!! The only reason we wait so long for it to arrive is because of the money we save."/>
        <s v="I placed an order for cat food that PetFlow cancelled with no notice. After wondering why it hadn’t arrived yet I checked on the status and was told it had been cancelled because they thought my email was fraudulent. And if I wanted to place a new order i"/>
        <s v="Super friendly staff and wonderful company"/>
        <s v="Had a problem with password was locked out and when I called they said too bad you have to wait the time out. They did not reset it or help any further."/>
        <s v="Absolutely THE WORST company I have ever used to date for delivery of our dog food. Will never use them again. They like to use the excuse that its the holidays and they're backed up for deliveries.&#10;&#10;Then shut your doors and stop taking orders until you c"/>
        <s v="Ordered dog food with a few toys on Wednesday night. If you're a pet store, and somebody orders dog food well before the weekend, you ship it out before the weekend. RIGHT?! Never again with these people. Have fun losing money on this order. What an absol"/>
        <s v="I generally like Pet Flow but I find the website very confusing. My cat has prescription food, and I sent the script in with the first order. When reordered, however, it asks for this information again. I had to call to find out that it isn't necessary."/>
        <s v="Shipment is quick. Notified timely of any deviation to shipping of order. Reasonable price"/>
        <s v="It was a great experience overall. The ordering was easy, it was delivered quickly and the price was great."/>
        <s v="The willingness to listen to my issue and try to work out a solution"/>
        <s v="the delivery is on time or close to the scheduled time."/>
        <s v="Best price anywhere - in fact I bought 2 for what other shops were selling for the same price for one! Fast quick shipping totally satisfied customer!"/>
        <s v="Excellent selection for pet food and product came quickly. Enjoyed the quality and communication throughout the experience."/>
        <s v="Shipping times and amount of available products"/>
        <s v="Customer service was excellent"/>
        <s v="Super fast shipping! Good selection of dog foods and good prices."/>
        <s v="Tried to get my auto shipment moved up a few days sooner &amp; instead, they cancelled it. When they finally shipped, it appeared that I was only being charged $29.30 instead of $39.30, I figured bc of the mix-up. When I checked later in the day, the $10 was "/>
        <s v="Bryan was great. He explained things and followed up right away. I’m thankful I connected with him about my issue."/>
        <s v="Always fast shipping and always have what I need!"/>
        <s v="Switched over from chewy because natures logic dry dog food was a bit cheaper but shipping is very slow, last package arrived opened, bully stick sizing is inconsistent and seems foul."/>
        <s v="I have no complaints about the company other than you using FedEx as your shipper. I seem to have issues with them every time. Always changing delivery dates, this time they left the boxes in plain sight in front of my garage, allowing them to get wet in "/>
        <s v="the treats had small fine bones in them"/>
        <s v="I honestly have never done a review… ever!!! Well, I have ordered twice from this company… and each time there was issues. The first time the help people were amazing and rushed to fix it right away so obviously I ordered again. But, this time omg!!! I ha"/>
        <s v="Didn't receive an acknowledgement from Pet Flow for on line order placed on a Sunday. I called Monday morning asking for a tracking number and idea of when I could expect the 80 pounds of dog food I got a snarky no reply. Never did receive from Pet Flow a"/>
        <s v="Dry Kibble ordered on Nov. 17- Still has not arrived- Supposed to be delivered today!! They are VERY responsive to E-Mails and communications- Good Company but need soem updated shipping procedures- BW"/>
        <s v="Service Rep said 2-3. Business days and it took 8 days. Had to go to local store to buy food to get by. Mailing system slow lately."/>
        <s v="I had a concern with my order--the customer service was outstanding, far better than I expected. My problem was taken care of very quickly and I will be ordering again soon!"/>
        <s v="It took a very long time and multiple emails to customer service to see why my order didn’t ship and I ordered two items only received one and no explanation where the other item is."/>
        <s v="Again so many products out of stock/not available which means I have to go to other sources to get what I need."/>
        <s v="She was extremely helpful and very kind for the situation I had."/>
        <s v="The company was prompt in getting my order out the door. It took the delivery service some extra time."/>
        <s v="FIVE STARS!!&#10;I highly recommend this company. Their selection is excellent and they are competitively priced."/>
        <s v="My Pomsky (5 years old) loves Fromm Dog Food from Petflow.&#10;Its always fresh + the Duck is her favorite. She likes the salmon, too.&#10;Food is always shipped quickly.&#10;I haven't needed customer service, but sure they are great, too."/>
        <s v="Representatives very helpful and friendly, great bonuses"/>
        <s v="I can order Fromm dog food. The website is easy to use. The delivery is fast."/>
        <s v="having the product I needed and fast shipping."/>
        <s v="always dependable and shipped everything on time. let you change the dates on your auto ship just a great company. customer service is also awesome."/>
        <s v="Listen to my concern. Fixed the issue quickly."/>
        <s v="Have been a client for years! Only issue is tons of promotions sent via text and never on Froms! Which is the only product we buy,"/>
        <s v="Shipping was delayed for 6 straight days, whilst I was told repeatedly that the item would ship next day. Generally, I would give Petflow 5 stars, however this last experience was less than stellar.&#10;&#10;I want to be fair and mindful that warehouse working co"/>
        <s v="First time order for puppy food for our son's puppy and the price was fantastic, with free and SUPER fast delivery! Was very impressed and I am a seasoned value shopper. Highly recommend and will definitely order from here again!"/>
        <s v="Most of my experiences have been excellent. Unfortunately my last order of Fussie cat dry food was less than good. I normal order the 2.5 lbs bag and I’ve had no issues. The cats love it! The last order I purchased the 4 lbs bag and my cats refuse to eat "/>
        <s v="Shipping…second order Fr you….first order completely messed up. You can check your logs and see. Second order said delivery and day of supposed delivery it was still in New Jersey. Got all items both times but not easy process except for ordering and payi"/>
        <s v="I've been buying from PetFlow for years now and been very happy with them. Prices are competitive, items are usually in stock or quickly restocked, and shipping is prompt. The one time I called customer service as I wanted to add a bag of food I'd forgott"/>
        <s v="I placed an order for dog food… when I noticed it hadn’t shipped after a week I reached out to customer service. No reply back, over a week later looked up my order status and it showed that it was cancelled. Was never notified.&#10;Will never use this compan"/>
        <s v="Our cats have been put on a sensitive diet and Petflow had the best price for what we needed. Online ordering was simple and shipping was fast. Will definitely order from them again."/>
        <s v="Exceptionally responsive customer service. Also good products."/>
        <s v="Easy to order; Prompt shipping; Competitive prices; Great service."/>
        <s v="When I received a case of Blue Buffalo cans in a very damaged box with 8/12 cans being severely dented I was immediately sent a full replacement. I also ordered 3 lights for my dogs collar. Only 1/3 works and I’m hoping to receive replacements for those a"/>
        <s v="I love that you donate to pet charities and carry Nutrisource."/>
        <s v="Quick shipping. Product works!! Barking has decreased markedly."/>
        <s v="We needed to Order Prescription food for our cat and it kept getting Cancelled.&#10;Each time it got Cancelled we called and got a different answer. (Fraud dept, Credit Card Company, etc).&#10;Each time the person on the phone said they would take care of it.&#10;Fin"/>
        <s v="Bad customer service. Over-priced. Poor quality food. Shop somewhere else."/>
        <s v="My mind is blown they won't fill my order. DUMB AND USELESS. Took almost two weeks to respond to me. Never seen a company who didn't want business. Last time I'll shop there."/>
        <s v="Petflow is a great company. They go above and beyond to provide excellent customer service."/>
        <s v="Easy to order, fast delivery"/>
        <s v="I've been ordering from Petflow for years. I used to order from Chewy but Petflow offered better discounts so I switched to them for most things. My only issue with Petflow is shipping and that's just such a minor issue that it really isn't even review wo"/>
        <s v="You stopped part of my order without telling me at all. Took me all kinds of communications to find out what the problem was. I was not, and am not a happy customer. Check your records for my order - it should tell you what went wrong.&#10;&#10;How dare you now t"/>
        <s v="My first order was cancelled with no notice!&#10;My second order was placed but sent to wrong address via Fed Ex. Then I received an email saying that they can't process my order. (it was already processed) So when I called to see what this was about. I was t"/>
        <s v="The was available and sent promptly."/>
        <s v="The product is great so far. The issue that I have is that the clumps from the urine are heavier than any other product that I've used in the past 9 years."/>
        <s v="Only issue I have is that there is not 30 count in the bottle - was given only five dollars off my next order."/>
        <s v="Took almost 10 gays to get the puppy food, which I ordered a week before getting the puppy. Then when it did arrive, the bag was not properly sealed and food had spilled out all in the box."/>
        <s v="Competitive prices, GREAT customer service, excellent packaging of products, and fast delivery! Easy website to navigate and get all you are looking for! What more can you ask for? I highly recommend this company"/>
        <s v="I ordered dog food on line and never received a confirmation. A few days later I called and was told the warehouse was working on it. Three days later I called again and they said it was in the warehouse. With the stiff competition on line for pet food / "/>
        <s v="Liked the convenience of getting our pet food delivered. What I dislike is the time it takes to get the delivery. We were down to our last kibble when the package arrived. Not sure the service is dependable enough"/>
        <s v="Thank you for this opportunity to provide constructive feedback on my experience.&#10;When I received my Pet Barriers, (I had ordered two), they came on separate days, which is fine, but they were both in horrible shape on arrival, both boxes open on both or "/>
        <s v="It would be nice to get some discounts for items that are less than $200."/>
        <s v="I ordered my pet supplies on Monday and did not receive it"/>
        <s v="I've purchased from PetFlow for many years - usually dog treats and food. Always good products and good service. Highly recommend."/>
        <s v="Easy to use website and quick delivery 11"/>
        <s v="Great service. Good prices, quality products"/>
        <s v="Great company always on time with my order"/>
        <s v="Orders are correct and intact upon delivery, which is always fast. Any issues or delays are quickly communicated. The tone of communication is always congenial and helpful. And, for me, I can buy my dog's healthier and preferred foods that the big-box sto"/>
        <s v="I love how fast they ship but I’m annoyed. My first order, the products were expiring in 3 weeks so I had to use 3 bags of sweet potato fries before they expired. That didn’t happen and they seemed okay so I used them until they were gone.&#10;This latest ord"/>
        <s v="Good products service and price. Only problem is you are out of stock too often."/>
        <s v="Petflow has provided exceptional service, great prices, and very good selection of products and foods for my pets for about 10 years, I highly recommend this company!"/>
        <s v="Ordering is easy and shipping is -always fast! My favorite site for ordering cat food and supplies."/>
        <s v="Shipping has been so fast each time I’ve ordered! Excellent customer service and great selection of pet food and items! They’ve won my business!"/>
        <s v="Easy to order &amp; delivery was good as well."/>
        <s v="Not as familiar with navigating your website thus found it confusing and confusing, perhaps as I use it more I’ll become better with it. Products are excellent, prices are excellent too."/>
        <s v="Easy website. Delivery updates and promptness of delivery."/>
        <s v="I never received my package. Have been waiting about 2 weeks since order. I would recommend petco or something like that."/>
        <s v="A great place to get pet food that is quality for my Gigi girl."/>
        <s v="Great experience from ordering to delivery!"/>
        <s v="The order has been cancelled by Petflow and I was not even notified. Thankfully, Chewy had my back."/>
        <s v="I placed a order on 11/6. I sent a text on 11/16 asking when my order would arrive. I was told my order was flagged and never shipped. The person didn’t know why or what that meant. Why wouldn’t I get a email or a call if a problem was encountered? You ha"/>
        <s v="Fast shipping and always consistent with supply! My Shih Tzu approves and is a happy baby! Thank you Pet Flow"/>
        <s v="Your prevention protection is not accurate. Please fix it."/>
        <s v="Shipped to me very fast and no damage packaged well enough to prevent damage. I wish fromm allowed discounts for auto ship but I understand it is up to them to allow that. Not petflows fault at all"/>
        <s v="I appreciated receiving an email when the item I needed was back in stock. I waited to buy it from PetFlow because their price was so much more affordable and this service was so helpful."/>
        <s v="Second time ordering prescription food, told it’s in stock and a week later they cancel the order stating it’s not in stock. Never again!"/>
        <s v="I have ordered twice and each time, the delivery has been delayed. The order this time was not properly packaged and the box was literally falling apart and patched together with more tape than cardboard. I am surprised the entire order made it here. I wo"/>
        <s v="The sales experience was fine. Delivery, not so much. Again, their chosen delivery company left my very heavy package sitting in front of my garage for all to see, with no knock or ring at the door to let me know it was there (thankfully it wasn’t raining"/>
        <s v="The dog food came quickly"/>
        <s v="Ordered 10 boxes of arm &amp; Hammer fragrance free super scoop cat litter two weeks ago never received it"/>
        <s v="Numerous choices at excellent prices. Fast shipping. Excellent customer service. Highly recommend."/>
        <s v="I was told I would receive a tracking number for my package I placed on Friday. I did not so I called 4 days later on Tuesday at 5:30. I understand the company doesn’t work on weekends. Brian answered the phone, he was very rude when I asked for a trackin"/>
        <s v="I ordered a prescription cat food where the website indicated that it was in stock. When I had not received a status update after a few days, I sent an email inquiring about the status and was told that it was out of stock, which I had suspected since it "/>
        <s v="The website doesn’t work right, horrible to navigate. I got food I didn’t order, what’s with that? Shipping was fast. Prices were good."/>
        <s v="Purchased toys for my red squirrel. He loves them. That r safe, and durable. Costumer service truly is customer service, helpful, polite, this company is a joy to deal with."/>
        <s v="Great service and people! Thank you"/>
        <s v="I ordered cat food delivery on 11/2 and I am still waiting for it to be shipped to me. There has been no update."/>
        <s v="I love the products they carry, I love the communication. The only negative is that they are out of my items a lot, however I know that probably has more to do with the company who makes it than them."/>
        <s v="Products were in stock. Website was easy to use. Prices were comparable to other things online retailers."/>
        <s v="Great products fresh free shipping&#10;Great pricing"/>
        <s v="Even though the delivery company brought my package a day later than they predicted, it was still earlier than the estimated date I got when I placed my order. All items arrived in good condition and I got a very reasonable price."/>
        <s v="Food my pet needs was listed on your website and so I placed an order. Then a few days later received a message my order could not be filled. Items should not be listed or show as out of stock if unavailable."/>
        <s v="My order got canceled without any notification to me on 2 separate occasions. I found out by checking the website on the status of my order."/>
        <s v="I am extremely happy with the ease of ordering from you!"/>
        <s v="Ordered two times and both times it was stated in stock. After placing the order i was notified &quot;Sorry out of stock&quot;. Worst website ever if you don't have it in stock ready to ship then don't state in stock."/>
        <s v="I’d never heard of Petflow before they came up in a Google search. Very glad they did! I was able to buy some Blue Buffalo kitten food at a lower price than PetSmart, Petco, and Chewy.&#10;&#10;I also got a bunch of my kitten’s favorite clicker training treats at"/>
        <s v="Good communication, shipped fast and great product!!"/>
        <s v="I ordered and the item was not in stock but it doesn’t say that online. Then when I try to reach out to find out if/when the item will be in stock, communication was minimal to none."/>
        <s v="Customer service is awesome. I was having trouble using a couopon and the woman I talked with took care of it. It's important to me that my purchase will feed a doggie."/>
        <s v="Your website said the wet cat food WAS in stock. I never received my order because you are out of the food."/>
        <s v="Always satisfied with the service I have gotten at Pet Flow. Delivered in a timely manner, packaged well and in good shape when it arrives and products we use are always available."/>
        <s v="Great prices, timely delivery, and great products!"/>
        <s v="Package arrived promptly and was well-packed. Ordering was easy. The product is just what my cats love, too - and it's hard to find."/>
        <s v="Prices great, and selection/deals appealing! preparation and shipping could be quicker. Customer Service agent was snarky.&#10;Still choosing over Chewy -"/>
        <s v="Speedy service with a personal touch. They also carry some brands we can’t get elsewhere. They are lifesavers!"/>
        <s v="Very quick service on Fromm Dog food for our new puppy. We were not able to find this brand elsewhere &amp; happily Pet Flow was able to keep him on his regular brand ."/>
        <s v="Fraud team kept flagging my credit card and cancelling my shipment, even though I've purchased here many times and there was no issue with my bank."/>
        <s v="Variety of &quot;flavors&quot; for fancy feast wet cat food is limited right now but I was able to find what I wanted at a great price at Pet Flow. Shipping was fast"/>
        <s v="The order I placed arrived on time. I question whether this product was the actual item from the original product made by another company. My beagle would not eat this brand but ate the real brand from the manufacturer. The dog food didn’t even look like "/>
        <s v="Love Science Diet pet food and love their price!"/>
        <s v="Happy with PetFlow! Good Prices, Delivered timely, packaged well!!"/>
        <s v="My dog loves PetFlow pet food, the taste is very good, the logistics is also very fast, and the nutrition is very balanced"/>
        <s v="Products are great, customer service is excellent, shipping is fast! Thank you very much!"/>
        <s v="Pros: very wide selection of dog and cat items. I think you could probably find what you would get at any other pet-retailer, comparable prices, the website was easy enough to navigate and there were discount codes available.&#10;Cons: the autoship that I set"/>
        <s v="I will forever be a customer. Food gets here fast and helps other dogs in need every time you purchase. Plus I prefer to support a small business! Highly recommend and have passed on to friends!"/>
        <s v="Was able to place my order easily. The only issue was a slight delay in delivery due to warehouse stocking. I was quickly notified that my delivery would arrive a day later and I was delighted when it did."/>
        <s v="I placed an order and two days later I received an email from you saying something like your fraud review team advised you not to fill my order. No explanation. I've never had anything like this happen to me before."/>
        <s v="My orders are always on time. If not I’m promptly notified. Expectations are properly set ."/>
        <s v="I love the company but communication is bad. I’ve had a standing order for a long time and they where unable to fill the dog food. There was no communication or replacement. I had to place this order on my own. Very disappointed."/>
        <s v="The order was processed as always, however, I was surprised it took so long to receive. I used to order and get it within 1-2 days. This time it took 5."/>
        <s v="On time delivery, and ease of use website."/>
        <s v="The product I was looking for was available, and was able to place my order without a hassle"/>
        <s v="It was great service and my stuff was delivered quickly"/>
        <s v="I just recently discovered PetFlow and they provided me with the best price, customer service, and speedy delivery for the item that I was looking for! I will definitely choose PetFlow for future purchases!"/>
        <s v="Great customer service and dog food arrived on time."/>
        <s v="Shipping was quick, my order was accurate! Customer service is fantastic!"/>
        <s v="Terribly disappointed with this retailer. Order was confirmed yet I never received a shipping notification. When I requested a status update, was told their Fraud Prevention team suggested not filling the order. What a load of crap. I use the identical pa"/>
        <s v="Easy to order, and I received everything very fast,with free shipping. I'm planning on buying more pet items from this site for sure! It's rare that you receive ordered things within 3 days from most pet sites for free, unless you pay."/>
        <s v="I needed to get my prescription pet food that was sold out everywhere. This was the only place that had it. Submitting my vet info for the prescription was easy, and the food arrived quickly."/>
        <s v="Company was great in fulfilling my order of Hills RX Derm Complete dry dog food. Although a delay between veterinarian to PetFlow in the timeliness of my order, some of that was beyond Petflow’s control. Once things were in order, the order came as expect"/>
        <s v="Competitive prices, good selection of bird food, quick shipping."/>
        <s v="My order is constantly being canceled. Why can't I stay on a list until the product is back in stock so it can be shipped to me."/>
        <s v="For over a year, I have an auto-subscribe food order. The price went up on the food and I reached out to see if you would honor a competitor's price. Without hesitation, you did!!! Thank you so much for your superior customer service AND quick and seamles"/>
        <s v="The web site is easy to use. Great deals on all pet supplies. Wide variety of pet foods especially for what I need for my Cavalier. I recommended PetFlow to all my pet parents."/>
        <s v="Ordered cat food on sale. 5 cases, received email item was out of stock. Very disappointed. Should have been offered sale price when item returned to stock"/>
        <s v="Wonderful, fast FAST"/>
        <s v="Had to inquire whether or not my order had shipped, which it hadn’t. Inquired twice and was told both times had not been shipped. On the second inquiry I also asked that if it was not going to be shipped today (11/8/22) to cancel. Interestingly, it has be"/>
        <s v="i have a difficult time finding this product and PETFLOW had what I needed, Fast delivery"/>
        <s v="Great prices, fast shipping and they actually have the dog food I need in the right size bag that I can't find anywhere else! So glad I stumbled upon this company!"/>
        <s v="Ordered food. Got message later that it was out of stock. So website isn't accurately updated. Waited as they said they would ship as soon as they got it in stock. Then I got a message that they canceled my order. So this was the first and last time I wil"/>
        <s v="quick quick delivery after several deliveries of same order, 8 lb bag of prescription dry cat food, the shipping box holding the bag has become more compact and instead of a 20 foot long of brown packing paper crumpled and wrapped around the bag to fend o"/>
        <s v="I love petflow. I prefer them to chewy and petsmart. I feel like they are geared more towards the consumer and their pets and not political posturing. I buy for my pets and want a company committed to my pets."/>
        <s v="CSR told me my card was fraudulent and my order would not ship. I bought dog food from another place and then I notice PetFlow had shipped my order after telling me it was cancelled. I won’t shop here again."/>
        <s v="Easy to order.&#10;My order was a repeat order and the site made it easy to identify the previous order.&#10;the site facilitated the scanning for coupons which gave me a discount.&#10;Communications regarding order placement, shipping and delivery were timely and ac"/>
        <s v="We’ve been using PetFlow for many years now and every aspect of their service has always been amazing. Premium kibble, reasonable price and product arrives quickly!"/>
        <s v="Always delivered quickly and you carry high quality cat food! Thank you!"/>
        <s v="I ordered a couple hundred dollars worth of stuff. All but 2 items were unable to be shipped and on backorder. Why do they have items listened that they clearly don't have in stock? One or two items - ok. But pretty much my entire order? You might want to"/>
        <s v="Main complaint - Damaged cans over and over again.&#10;&#10;I have been told to call and requests additional packing, additional boxes, email notifications on auto ship status. I do all these things and still petflow comes up short.&#10;&#10;If something is out of stock "/>
        <s v="Spoke with a rep named Ryan and he was extremely rude and hung up after saying have a good day because he couldn’t answer my questions about a product pet flow says they have in stock."/>
        <s v="Products were damaged and Petflow replaced them immediately l"/>
        <s v="Everything as described. Fast service"/>
        <s v="I like that shipment can happen the same same day as the order date. Delivery is fast! Packaging can be better as I’ve gotten several dented cans."/>
        <s v="This company has very quickly response and nice service,people are very friendly and helpful."/>
        <s v="I ordered prescription food for my sick cat, submitted my vet’s prescription with the order, made the payment, and my vet confirmed it was approved the same day. It’s NOT on backorder, but it has now been two weeks and my order still hasn’t shipped or bee"/>
        <s v="Having the dog food delivered takes a large load off my schedule. The delivery people are very courteous and friendly."/>
        <s v="I had paused my auto ship then ordered what I needed. 2weeks later I have ANOTHER shipment of 26 lbs of dog food."/>
        <s v="Petflow is unfortunately very inconsistent with their delivery. We recently received 2 orders within 3 days after not getting anything for approximately 6 weeks."/>
        <s v="Great service Had the product I needed. Shipped and received in very reasonable time. I will shop with Petflow again."/>
        <s v="Two orders placed at different times, showed in stock. Gave all my billing info, got confirmation of order. A week later got an email &quot;order canceled&quot; due to no stock. My cat needed this food ASAP &amp; was quite disappointed that it took a week to notify me."/>
        <s v="As usual many of the cans were dented in shipping, I assume. Makes it difficult to stack and store.&#10;May not order again."/>
        <s v="I had a issue with my picky cat. He would not eat the food I purchased. I contacted them, and they helped me out."/>
        <s v="Great product and shipping was fast. They communicated every step of the way. Will definitely order from them again."/>
        <s v="The discount on my order the order itself and the delivery time are all 5 star&#10;&#10;( maybe you should change the name from PetFlow to 5 star"/>
        <s v="I appreciate that I can quickly reach a customer service representative on the phone when I have a question about a product or an order, and I'm glad that PetFlow donates food to needy animals. I also like that PetFlow is not connected to companies that s"/>
        <s v="While I needed this product and was up on its delivery time, I'd like pre notification of sending. This allows me to plan about being home etc."/>
        <s v="I ordered a prescription diet for my cat and accidentally typed the incorrect vet in for the prescription referral - one that has a very similar name as that of my vet. Petflow emailed me that the vet didn't have any records of my cat - and I when contact"/>
        <s v="Your website needs to be better maintained. I ordered product listed as being in stock, and got a confirmation email. Then two days later ordercwas cancelled with no explanation. I called and the only reason you got 3 stars is customer support was so nice"/>
        <s v="Items that were on backorder were listed as &quot;in stock&quot; on the website. Customer service wasn't helpful, couldn't say when the items might be back in stock. Called back to cancel the order after finding the items cheaper on Amazon and was told that the ite"/>
        <s v="I have tried to order cat food at least 4 times this year from Petflow and they have canceled every order due to supply shortages even though when I placed my orders the food showed on the website as in stock. It has been very frustrating and I am tired o"/>
        <s v="I placed an order - and signed-up for •ongoing• orders, but the NEXT EMAIL I received was one offering a DISCOUNT that was NEVER offered to me ?!? until *AFTER* I ordered and signed on for “REAPEAT ORDERS*?!&#10;THATS TERRIBLE !!&#10;That is #NOT a way to do busi"/>
        <s v="Both times that I have ordered from petflow my orders had delayed shipping dispite me calling and emailing them."/>
        <s v="I placed an order online because it showed the item in stock. I didn't receive any notifications that it wasn't in stock until I emailed in a query. At that point, all I received was a notification that my order was canceled, again with no reason as to wh"/>
        <s v="I would not have provided my personal information if I had known you don't have what I need. Not happy ."/>
        <s v="PetFlow has grown on me. I have used their competitor for a long time but tried PetFlow when I initiated a food change. I have found PetFlow to be responsive and helpful. Quite honestly, I feel their service has continued to improve over the time I have b"/>
        <s v="Great product and shipping times! I'm so happy to have found this company!"/>
        <s v="Very knowledgeable and helpful assistance over the phone. Quality product. Prices can't be beat."/>
        <s v="The item I needed was in stock, priced better than the competition, and arrived timely as needed."/>
        <s v="Recently I ordered over $200 in treats. They came in one large box, and half of the treats (raw, freeze dried) had turned to “dust” in their packages. It was likely due to rough handling during shipping. That had never happened before, and I’ve been order"/>
        <s v="I guess my card was declined- for my second order of Fromms cat food- 2 cases. But instead of telling me by text? Email? Call? I was just ignored. When I was down to one lonely can and wondering where my cat food was…I emailed- no response to my question."/>
        <s v="Your website lied and said a product was in stock when it wasn’t. We ordered it and heard nothing from you. I had to call several times and then I was finally told my order was canceled because it was back ordered. So was it never in stock to begin with? "/>
        <s v="I had a slight issue with a couple of the cans that were shipped and the customer service representative said they would issue a credit on my next order. Very professional and courteous service!"/>
        <s v="My order was cancelled and I did not know it no email, nothing, I had to log into my account to find out. I have re-ordered and hopefully product will be sent."/>
        <s v="Everything… I always need personal help with my orders, which usually include a prescription for my cat. The prescription I have, is a open one, that I usually have to send a picture of, and PetFlow seems the only online site that will talk to me personal"/>
        <s v="The people on the phone are friendly and helpful."/>
        <s v="What a great business to work with. When I made an error, and ordered the wrong food - customer service was happy to take it back and get me the right food.&#10;What a pleasure to work with such nice and helpful staff. A most unusual treat today!"/>
        <s v="i originally ordered a 24 can case of c/d chicken stew and a 24 can case of c/d tuna stew and was told that they were both in stock. about a week later i got the case of chicken stew but but still am waiting for the case of tuna stew. i just called a litt"/>
        <s v="Excellent product I've been buying from them for years, and fast service!"/>
        <s v="I ordered 2 cases of the hills cd wet can food. One stew and one fish. I only received the stew? My invoice shows that I was charged for both.&#10;But no explanation on why I didn’t get the full order!"/>
        <s v="Wanted to order dog kibble but the price on the &quot;select&quot; and description page was $56.06 but when I started processing the order the cart jumped it to $59.07. I called and explained the problem -the guy hung up on me. I called again and the second guy als"/>
        <s v="Would give this company zero stars if possible. Have ordered from Chewy, Petco, Pet Nirvana and VetSource with absolutely no issues whatsoever using the same credit card I used for PetFlow. However twice PetFlow cancelled my order WITH NO NOTICE (I didn't"/>
        <s v="I have tried to order food for my cat 3 times. Each time the order being cancelled because they did not have the product in stock I didn’t understand why the would show a product in stock when in fact they didn’t have it"/>
        <s v="Great product, exactly how it was described.&#10;Works great for my dogs."/>
        <s v="So glad I found this company! Products in stock and ships quickly! Appreciate the great service!"/>
        <s v="I was never told you did not have the product in-stock I ordered it and my debit card was charged. Three days later I was told you were out of stock and refunded me. Next time tell me you were out of stock and don't make me go through the process of order"/>
        <s v="Both Orders was delivered on time. PetFlow provides a tracker number so that you can track your order. Items in both boxes came spill-proof, and dog food bags were tightly sealed. PetFlow also offered me 10% off both of my boxed items. Thus-far, our house"/>
        <s v="It is nice product!!!"/>
        <s v="Pet flow kept canceling my order and asking me to resubmit it even though it was out of stock. They gave me deep discounts on the order but they were never able to deliver it. This is a serious situation because my cat cannot live without her prescription"/>
        <s v="hello&#10;I really enjoyed the experience of shopping with PetFlow&#10;at first the purchase was cancelled because the product was out of stock. Pet Flow solved the issue, I was informed at every step. The prices are very competitive...&#10;I can say that PetFlow is "/>
        <s v="Customer service is great. Delivery is a bit slow. Order shipped September 19 and it’s September 29th and I still do have my item."/>
        <s v="Cheapest place to purchase my dogs Fromm dog food, and it always arrives on my doorstep fresh. I feel confident in purchasing with Petflow."/>
        <s v="I was pleased to find what I needed at a good price but also saw a number of things that were much higher than on other sites. My order was shipped within 48 hrs and arrived in good condition. I appreciate the messages keeping me informed every step of th"/>
        <s v="Thank goodness for Petflow! I needed prescription treats I could not find any where, even my vet’s office was out. I had not heard of Petflow before and you came to me and my lab Bella’s rescue! FAST shipping. Thank you! We appreciate you so much! We will"/>
        <s v="An honest, informative explanation. My cats appreciate it. Please send me your list of US cat food manufacturers. I fiddled with your email until I couldn’t view it or print it.&#10;&#10;Thanks,"/>
        <s v="Love this cat tower! My girls have a great time climbing and lounging. It's very sturdy and was delivered promptly. Thank you!!"/>
        <s v="Great products and reviews that help pet parents. Too bad items don’t ship during the weekend. Great products and resources. Thanks."/>
        <s v="They were very helpful &amp; my Cat food was delivered on time."/>
        <s v="It took longer that buying it directly or with other companies"/>
        <s v="I have been getting auto deliveries for many years. Recently went on line to order and set up a new auto delivery for new puppy. My ship to address was no longer correct. I FIXED IT! Went to order the food and it flipped back to the bill to address. I FIX"/>
        <s v="PetFlow is great! I place my order within 4 days I have dog food. Sooo convenient to have it shipped right to your door. I’ve been doing business with them now for 2 years and will continue."/>
        <s v="If I could give it zero I would. They never contacted the vet, despite giving them fax, phone and email and contacting them on multiple occasions. I have a prescription for the same dog food, but I tried ordering snacks. I have a prescription for the dog "/>
        <s v="Fast Shipping and Good Prices for hard to find dog food!"/>
        <s v="Great selection, timely shipping. The boxes are still crap. They show up half open, beaten up, sometimes too small for the bags of food, causing them to be ripped open. If I could get Nutrisource food somewhere convenient, I would not use Petflow."/>
        <s v="I ordered some thing and the order was approved, by the vet because it was a prescription. Then I found out five days later that the order was not being fulfilled because it was out of stock. It seems as if the company should know what it has and doesn’t "/>
        <s v="Have spoken to 5 people to get an order of dry dog food on auto ship to no avail. Process started late Aug, with everyone saying it would ship asap. I still do not have it. I don’t understand what the problem is."/>
        <s v="My cat needs prescription Hills y/d. After going thru the verification process &amp; stopping my search I was told you couldn't source it. Wasted time waiting. I was informed after the fact, wish I had known in the beginning."/>
        <s v="I’ve been using Petflow for quite a while now and have had nothing but positive experiences! Generally, I receive my order in about four days or less."/>
        <s v="Ordered on 09/14, received 09/19 via FedEx.&#10;&#10;The box it came in was trashed, more than likely from shipping and handling. I would suggest using sturdier or reinforced boxes but that probably would add more cost. One of the bags was leaking food. It seems "/>
        <s v="Delivery of the product was sloppy.&#10;It was raining and the box was left outside where there is a dry place available."/>
        <s v="My only complaint is that the bags of dogfood were not packed properly. Instead of the big 40 pound bag being in the usual big boxes that it usually arrives in, the 40 pound bag was crammed into the same size box as the 26 pound bag, with the result that "/>
        <s v="Great prices of several items we use. Thank you!"/>
        <s v="The best prices ,in stock merchandise and quick shipping. Would use them again."/>
        <s v="PetFlow carries Fromm healthy weight for senior dogs. Bandit loves it. Bandit's favorite is treat is the 12inch pizzle chews. He has to have them"/>
        <s v="My order was cancelled without any notification. It was a sizeable order on a brand new account but not providing notification was both inconvenient and has left me scrambling.&#10;&#10;The prices will result in me trying to order from petflow again but the exper"/>
        <s v="I appreciate the discount and sales offered to your large selection of product. My items arrive carefully packed and I have yet to receive one dented can or damaged item. Keep doing what your doing."/>
        <s v="Stop accepting orders for items you do not have in stock. This has happened twice now."/>
        <s v="Always a great experience with Petflow. Product is of great quality and ships fast. Only place I can find these ears in bulk."/>
        <s v="My dog food order arrived with 3 exploded and dented cans. PetFlow's 9-16-2022 email reply was to tell me they will credit my card $8.52. Today is 9-24-2022 and my card has yet to be credited. I am not happy about this. ORDER NUMBER: 10446008 placed on 9-"/>
        <s v="First time using Petflow and I’m happy with the service. I now have autoship with them. Used Chewy autoship in the past but their service has become unreliable in past few months. Petflow was able to supply prescription food that was out of stock at Chewy"/>
        <s v="Products and pricing are wonderful. Shipping is slow compared to Chewy. That’s the only downfall."/>
        <s v="Orders are not packed properly and arrive dented. This is not the first time. Customer service did in fact send me a new Oder."/>
        <s v="It was entirely on me to send a prescription, the order was sat on for weeks, and eventually was cancelled without me asking for it. Now your site shows it’s out of stock. Just literally the worst order I’ve tried to place for prescription food - for whic"/>
        <s v="After receiving an email requesting I contact my vet to facilitate getting required prescription for my dog, my vet had received no such request. I called customer service requesting another prescription be submitted. I was treated with arrogance, disresp"/>
        <s v="2 thumbs down. It’s 9/22. My order was supposed to arrive 9/12. Today I was told the fraud department canceled my order for reasons they won’t disclose. They didn’t tell me the order was canceled. I was simply left waiting. When I attempted to re-order pa"/>
        <s v="Good Service and fast delivery"/>
        <s v="I have purchased from PetFlow regularly for a number of years. They have good prices (often the best!), they ship quickly and I've never had an issue. What's not to love?"/>
        <s v="My Scooter’s food got here in a very timely manner. He loves this food, and it is hard to find in our area. The cost is reasonable; though it would be nice if there was ever a sale on it. Thank you PetFlow for helping me provide the best for my fur baby."/>
        <s v="I was very disappointed with my experience. I was looking everywhere for the prescription cat food my furbaby needs, and PetFlow was the only place that showed having it in stock. But by the time they finally got around to contacting my vet (nearly a week"/>
        <s v="Ziggy went nuts over the treats. It's his crack cocaine. Will definitely order again"/>
        <s v="Your service and products have always been excellent. The only glitch was on my last autoship. I never received notice that my order was getting ready to ship. If I had I would have pushed it to a week later. It's not a big deal, but I like having the adv"/>
        <s v="I believe your website was corrupted and my account breached leading to several orders that I did not authorize. There was faulty Information shown (for example the website showed order # xzy123 was just placed “today”, but when I asked your rep about tha"/>
        <s v="Good food, Cheap, Easy"/>
        <s v="I placed a subscription order for prescription food for my pet. PetFlow claimed they had it in Stock. I was wondering where my order was so I logged into my account to find that the order was canceled because they did not have it in Stock. The did not can"/>
        <s v="It would be nice to get some of the discount codes for non-auto ship orders, for frequent order customers.&#10;Thanks, PetFlow."/>
        <s v="Website advertised canned y/d thyroid cat food so we ordered a case. After a week we were told it wasn’t available, which left us scrambling for thyroid food for our cat."/>
        <s v="I gave you a top score because we ordered food from you guys all the time this time I didn’t get any emails I looked in my junk folder there was nothing there I had to call twice to figure out what was going on I hope you can improve this process"/>
        <s v="Have enjoyed using this site to help take care of our for babies… Great selection… Decent prices…delivery on time"/>
        <s v="Our girls love the Dreambone peanut butter sticks and they are always out or extra expensive on other sites. This price is great!"/>
        <s v="I had a good experience with this company. I ordered my dogs food and received a great price. Order arrived in the time frame and condition expected. I will be reordering as needed.&#10;Thank you!"/>
        <s v="My pups love all of the toys we ordered from PetFlow. Most of the toys we ordered are made by Kong. Toys are great for our young aggressive chewer, as well as our fairly active, 18 year old, senior pup. Ordering was easy. Prices are great."/>
        <s v="I submitted a signed prescription from my vet through email for 2 orders and kept receiving emails from this vendor telling me they couldn’t ship until the prescription is verified. Then more emails saying they would approve it if I would submit a prescri"/>
        <s v="Great communication, free and fast shipping and they carry an item that’s out of stock everywhere."/>
        <s v="I'm really happy with all my purchases from PetFlow. Affordable prices and fast shipping.."/>
        <s v="I have gotten Myias can food before from you but this time every single can was dented up!! Not the quality I expect for the price of Hills prescription food!!"/>
        <s v="The worst. Spoke with a customer service rep &quot;Ryan&quot; and he was courteous and yet at the same time, completely unhelpful and unwilling to do what it takes to resolve the issue. He was very passive/aggressive, so I to him to suck a bag of Di*#ks, etc. etc.&#10;"/>
        <s v="No issues with shipment or product! Easy ordering."/>
        <s v="My experience was very positive. I was able to get some dog treats that I had not been able to purchase for quite some time. Thank you!"/>
        <s v="Fast shipping, good price!"/>
        <s v="My puppy Lola has had allergy skin issues and she hates all food and treats until I cane across Hills prescription Hypo. Pet Flow was so nice to work with. Great service great prices and the variety is wonderful. Thank you so much."/>
        <s v="You are asking for me to rate something that hasn't yet been delivered!? I just tracked it and see that it is &quot;expected&quot; to be delivered tomorrow, we'll see if that happens.&#10;&#10;By the way, I ordered from your competitor, about 2 days later than this order a"/>
        <s v="I am pet flow subscriber and I love it. My cat food always arrives on time and if I order an item before it only takes 3 days to arrive or maybe less."/>
        <s v="I appreciate the delivery, your prices are fair, but it took a longer time to get the food. I used to get food from you in 2 days, this was 6 days, which doesn’t seem too bad but long if you expect it in 2 days."/>
        <s v="Something went wrong with one of my first orders with your company. It was either the dried beef lung, or a chew toy. but either way no notification was sent to explain why! I drive a truck for Safeway/Albertsons for a living, so I understand supply chain"/>
        <s v="Scam . I tried to order bowls and they sent an email stating they were supposed to ship on the 15 and that I would get a tracking number in my email . I never got the tracking number so I called and they said my order was canceled because of fraud and the"/>
        <s v="Placed an order for dogfood from PetFlow for the 1st time ... not only was delivery quick but price was way better than where I usually purchase ... will definitely order from PetFlow again:)"/>
        <s v="We are a small chihuahua breeding program and it is most convenient to have our dogfood delivered...with free shipping."/>
        <s v="I ordered my cat's prescription canned food, called to check on it several days later &amp; was told my order was being processed. Then received an email a week after my order date stating my order could not be fulfilled as it was out of stock. By that time I"/>
        <s v="Soooo disappointed here. Needed (still need) RX canned cat food. Said it was in stock, our vet sent RX right away. Then I didn’t hear anything. Checked on it a week later, they said, ‘oops’ out of stock, we have to cancel your order. Whaaat?"/>
        <s v="i’m usually pretty pleased with petflow‘s delivery system but for some reason this time it took almost a week for me to get my product usually it’s in within a day or two so I just hope he gets a little bit more through the delivery service other than tha"/>
        <s v="Was very pleased with fast, courteous service."/>
        <s v="You allowed an order to be placed for rx food when it was not available. I had to call to get a cancellation email. It was nearly a week later before that was sent."/>
        <s v="I was very pleased with my purchase experience with PetFlow. I ordered a Hills Prescription Diet dry cat food that I've been having a lot of trouble finding. I bought it for a better than average price. It arrived earlier than quoted and in good condition"/>
        <s v="Very good Service, I love the play pen I order."/>
        <s v="Easy use of website for ordering and you have always delivered this hard to find food on time. I’ve come to depend on your consistent service. Thank you"/>
        <s v="Ordering is quick and easy. Product arrives in 1 - 2 days !"/>
        <s v="Every one was helpful. I am sorry not to be able to get my at food."/>
        <s v="Petflow made it easy, and my food was delivered quickly with no problems! My dogs love their new food, and the auto ship makes it hassle-free!"/>
        <s v="First time buyer. Ordered one product which needed Vet approval. Once obtained shipping took a while, poor communication as there was none on their part unless I called, repeatedly."/>
        <s v="Ive been using Petflow for years now, never had an issue till recently. This time around, I received a package BEFORE I received the shipping notification. Upon receiving my partial order (because one item was on backorder) there was 1 item missing (other"/>
        <s v="I ordered two cases of food, I provided the prescription and the two cases were ready to be shipped. I followed up the next two days and I was told was due to the prior holiday weekend. But, the two cases were ready to be shipped. However, two days later,"/>
        <s v="Very well made and excellent quality of the product 👌."/>
        <s v="Never received product nor heard that it could not be fulfilled. Item was listed as in stock when purchased"/>
        <s v="Always reliable, and a great price. Thank you!!!"/>
        <s v="Absolutely friendly staff and helped me right away. Helped me find the perfect alternative for the same price."/>
        <s v="It was cheaper than anywhere else. fast delivery &amp; Customer service was also fast and friendly."/>
        <s v="I ordered my dog food almost two weeks ago and I’m still waiting for it to be shipped or get a refund. I have received multiple emails about them not being able to reach Banfield pet hospital to get my prescription for my dog but Banfield is open from lik"/>
        <s v="Horrible, horrible service. I did everything right on my part. Even then the food for my cats wasn’t shipped in a timely manner. Despite me calling for it, and being told it will be shipped ASAP multiple times. Only to be told later it is being delayed. T"/>
        <s v="I placed an order for treats and a few days later the order was cancelled without any notice. The reason given was something flagged a fraud alert. However, when I called the customer service number, they couldn't give me specifics. All they suggested was"/>
        <s v="I was very encouraged when I first logged into this site as some of the prices are lower than other sites but just after submitting my first order I'm being told that half my order isn't available at this time. When I logged out and went back into the sit"/>
        <s v="I travel for work and I ordered pet food via your site for the first time with my billing address as my home address and my shipping address as the place I was on location working. I travel with my two cats. My order was cancelled and I WAS NOT NOTIFIED. "/>
        <s v="Apparently my order was canceled by the fraud department. I'd like to know why. I spoke to someone on the phone as I wanted 6 of the item but you only had one. No one notified me. I ordered 5 from another company thinking I had 1 coming from you. Now your"/>
        <s v="I tried using a coupon that said expires 9/15/22 on 9/15/22 and it was already expired."/>
        <s v="I will never ever contact Pet Flow for anything ever again. Terrible terrible customer service and failure to deliver. Told me their fraud division refused to ship item I ordered. I contacted my credit card companies and all of them said there was zero is"/>
        <s v="Love PetFlow! Site carries my favorite products, great prices, fast shipping and items arrive in good condition. A+++"/>
        <s v="Bi-monthly order of dog food that is the best price I can find online"/>
        <s v="Shows on website the food I needed for my cat was in stock....and it wasn't"/>
        <s v="Great products, service and website!"/>
        <s v="My experience isn't complete because I only received one small piece of the order. Kind of odd: I ordered a case of cat food. When I placed the order, the site said I was only $2.00 away from free shipping so I ordered a small kitty toy for $3.00. I got a"/>
        <s v="half of order delivered as expected, other half was on perpetual delay. petflow team could not provide update, except that “all” prescription orders were delayed. this was obviously not the case, as the first half of my order was fine and not delayed. tha"/>
        <s v="I tried twice to order the dog food for my 2 dogs. Both times it was cancelled by this company. Their so called Fraud Prevention Dept. I was Dumb-Founded. I called to ask why. The woman i talked to had no idea, and could not transfer me to anyone to talk "/>
        <s v="Ordered wrong food; contacted company before shipped; they said it was too far in the process. They told me to deny delivery when they come; the delivery company dropped off without notice and they denied my return. They lost me as a customer over $50. I "/>
        <s v="Product is good but way too many emails."/>
        <s v="Took over two weeks for order to arrive.&#10;Soft Cookies are very hard."/>
        <s v="This place is a real joke. Seems like they are selling items that they don't have. We purchased 30 dog bowls for our feeders. after they was supposed to ship them out, we called and they said that they canceled our order due to they thought it was FRAUD. "/>
        <s v="Every time I order it takes forever to receive. I also have received the wrong product and had to reorder and wait even longer. Kind of a headache. Customer service is just ok."/>
        <s v="Nice selection of premium, reasonably priced, high-quality cat food shipped and delivered quickly with no hassles."/>
        <s v="Website is extremely difficult to navigate, and customer service is merely “okay.”&#10;After I was told my order was IN STOCK, it wasn’t, and my order was =CANCELLED=. No “We’ll let you know as soon as it gets in,“ or anything, just plain canceled.&#10;Not gonna "/>
        <s v="I place my first order with PetFlow. A few days after placing the order, I realized I hadn't received an email with shipping information so I called to find out when my order would be delivered. I was informed my order was canceled. I asked why it was can"/>
        <s v="Overall it was easy to order. However, it took more than a week for me to receive my dog food. The FL Warehouse was out of stock. There was no correspondence to let me know That the food was then coming from the NJ warehouse.I had to call in order to find"/>
        <s v="My parents'dog loves this pet food. It arrived when I was advised it would arrive, so that was awesome!"/>
        <s v="Been ordering pet food from PetFlow for years now and have had nothing but good experience with the company. Products I order are the best and at the best prices available. Shipping has always been super fast. Great Company."/>
        <s v="It’s too hard to cancel auto ship orders. It should be a simple button you can press, instead you have to contact customer service, which takes time for what should be something I can do myself. Other than that petflow is always fantastic."/>
        <s v="Delivery took longer than I expected. After a week and half I had not received an email letting me know my order had shipped. I contacted customer service to ask and what do you know?? My order shipped the next day!"/>
        <s v="Very good customer service! Happy with product and delivery! Prescription treats my dog likes, they had in stock."/>
        <s v="Claimed a dog food product was in stock, and even told me that only ONE was available, not the two that I had in my cart, so I purchased the ONE. Two weeks later, no dog food has arrived, BUT I just got an email stating it’s out of stock and not known whe"/>
        <s v="Ordering was simple, communication was excellent, selection /prices were great anf items were shipped promptly. No problems were encountered at all!!"/>
        <s v="Petflow had the sensitivity select dog food I needed, which is hard to find, at a reasonable price. I received it within a week. Great company to deal with."/>
        <s v="Order on 9-1 called on 9-5 to verify prescription received, told yes will ship soon, no contact from you, called again on 9-9 told will ship that day, I expected to receive by 9-12, tracking sent stated expected arrival 9-15. Was never informed of these d"/>
        <s v="I ordered Hills prescription CD ocean fish wet cat food on the 1st of September. I had no knowledge that is was not in stock prior to ordering as it was not noted on the PetFlow site. I got an acknowledgement email from PetFlow and that was it. To make a "/>
        <s v="transfering a new hardcopy Rx was a bit cumbersome.&#10;First I was told that I had to send a new Rx via US mail then I was told I could simply upload it. So it took almost 2 weeks to receive the product."/>
        <s v="I had some issues with my order but contacted customer support twice and each time has been reassuring. It's easy to get a hold of a real person, and the team has been very professional and courteous in resolving my issues. I will continue making purchase"/>
        <s v="very happy experience from Petflow!&#10;Thank you"/>
        <s v="Dog food I ordered went out of stock immediately after it allowed me to order. I called, and I was told they could not give me any idea of when it would be in stock. I tried to cancel my subscription with them, but they told me they wanted to keep it for "/>
        <s v="FRDEX didn't deliver the previous order. Your customer care rep. ordered another Fromm Sur &amp; turf for me and it was delivered"/>
        <s v="I signed up once for auto-ship &amp; the order took over a week to reach me. Since that experience, I order when I need it and always receive it within a few days. I am a regular!"/>
        <s v="I bought the august 31st haven't even received any email with shipping, last time i talked to them haven't shipped yet, last time i called didn't even answer."/>
        <s v="I placed an order. About 6 days go by and I realize I hadn’t gotten a shipping confirmation number. I called and representative said ….. oh….. did no one reach out to you? No, they didn’t! Long story short- nothing happened- except they held onto my money"/>
        <s v="I placed my order a few days ago. I then had to get a prescription from the vet and mail it... mail it, not fax it or email it but mail it. I have yet to get notice that my dog treats have been mailed and it had been days. My dog has IBD and these are the"/>
        <s v="Communication with PetFlow staff was exceptional and professional. I truly believe the staff was interested in helping me with the prescription from my vet for the product and clarification expedited the process well."/>
        <s v="Super prompt service which included PetFlow needing to verify a new prescription with my veterinarian. Fast shipping, too! Much appreciated!"/>
        <s v="PetFlow website had Hills Y-D canned cat food available. I ordered a case. They sent me a confirmation &amp; then contacted my vet for the required prescription. After receiving it &amp; checking their inventory &amp; then with their distributor, notified me they don"/>
        <s v="My order was not processed as it was flagged for fraud. However I was not informed of this. I had to call 5 days after placing the order to find out."/>
        <s v="Ordered prescription cat food that was in stock. Never heard anything for 2 weeks then got an email saying it is now out of stock. I looked it up again and it is NOT out of stock!? Total waste of my time. And I don’t remember the date exactly."/>
        <s v="Had what I was looking for, good price and fast shipping! Great job!"/>
        <s v="Easy website to navigate. Customer service both via chat and phone were very helpful when I entered my CC number incorrectly. Shipping was fast too."/>
        <s v="My order was canceled twice without an email or call. This is unacceptable and I will never recommend Petflow to anyone"/>
        <s v="I have a rescue and wanted to give Petflow a try because they had some great deals. I placed an order in my name but used my husbands credit card.....same last name....i received a confirmation....8 days later, never received it. I called and was told my "/>
        <s v="The crate arrived so quickly. It was way to assemble. Looks great! Very pleased !."/>
        <s v="I placed an order on 08/24/22 and had not heard anything about it by 09/03/22, so I emailed the company and was told that their Fraud Protection team suggested that they not fulfill the order. When I emailed back for an explanation, I was told to call a n"/>
        <s v="Dog food arrived in good condition (dry food). It was not broken up like some other places where I have ordered. Good service."/>
        <s v="This site is legitimate. I feed my dog Chicken Soup for the Soul Weight Care for dogs. After checking other places they definitely had the best price. So glad I found them. Shipping was minimal but fast. Set it up for Auto ship."/>
        <s v="good site good site good sitegood site"/>
        <s v="I ordered a prescription diet food for my pet on a Saturday. That Monday I called into customer service and confirmed receipt of my pets prescription. I expressed urgency to the rep that we were running low and needed this food ASAP. 5 days later I receiv"/>
        <s v="Prescription wasn’t approved and I didn’t get any food."/>
        <s v="Fast very secure service, easy and safe method of purchase, and excellent products, affordable pricing."/>
        <s v="Nothing but good to say about petflow. They have what I want, the prices are fair, the delivery is fast."/>
        <s v="EXCELLENT CUSTOMER SERVICE! I ordered &quot;Etta Says Premium Elk treats&quot;, 20 count. One arrived, not 20, just the one. I called, the rep on the phone was more than polite, and sent out an order for the missing 19 chews. Again the box arrived with one chew, no"/>
        <s v="Awesome to do business with. Received product on time!"/>
        <s v="Very happy that I found this site for my aging dog who needed prescribed treats that he was on most of his life. They contacted my Vet for approval, and I did not have to wait too long before I got my package"/>
        <s v="I had a wonderful experience with PetFlow. My Cat, Max, is on a special Hill's prescription diet for urinary issues. It is very difficult to find c/d cat food where I live. I found PetFlow on-line and ordered chicken stew, tuna and ocean fish. I uploaded "/>
        <s v="The ordering process was easy, however, within one day I received an email saying my item had shipped BUT after 5 days with no tracking number I called and was told the item was out of stock. Shortly after that call I received an email saying the item was"/>
        <s v="PetFlow and its fine customer service representatives are always dependable, always on time, forever and always pro-n-polished."/>
        <s v="Excellent customer service. Well stocked inventory."/>
        <s v="Fast shipping &amp; best price when compared with other delivery companies of same product."/>
        <s v="PetFlow offers competitive prices compared with other online pet supply companies!"/>
        <s v="I tried to order litter boxes for my shelter and my order was canceled Without my knowledge and after the order was already supposed to have shipped I contacted the company and they canceled my order because they said it was fraudulent. Are used PayPal wh"/>
        <s v="Went from bad to worse.&#10;Ordered rocks and cat treats. My package was lost. NO ONE reached out. I contacted Fed Ex several days later and it's GONE. I called Petflow to get me my order over night from another location. They said a manager would get in touc"/>
        <s v="This is my third time ordering from This company. The first two times were very positive. However, after putting in an order on a Saturday morning they are telling me that it “might” leave their warehouse “at some point” in the day on a Thursday. So basic"/>
        <s v="Everything was great!&#10;I unfortunately had to let go of my baby ( black lab) of almost 12 years.&#10;If/ when I am ready I would use your services with no questions."/>
        <s v="You offer free shipping for orders over $49. So I try to meet that requirement. But then you offer coupons which are really nice. But when I apply a coupon, it brings my total below the free shipping mark. My choices are to accept the shipping charges or "/>
        <s v="This is my first time ordering from Petflow and I am very satisfied! My order came quickly and the prices are less than other places I ordered from. The type of dog food I buy for my dogs is hard to find and I'm glad Petflow has it. It saves me time looki"/>
        <s v="Good service arrived when you said it would. I was a little confused by the check out on your website, but I’m old."/>
        <s v="My auto ship sat in processing status for 2 weeks so I paused it so I could order something else. I called and the person acted like they didn't want to help. Once I placed my new order, I received my auto ship order at the same time. This was over $150 a"/>
        <s v="I'm unhappy with your service. My vet was out of the prescription diet for my cat, so I ordered from your website on Friday, 08/26. You charged my credit card on Monday, 08/29. Since you charged my card, I thought you had the okay from the vet to get the "/>
        <s v="Two times I tried to order a particular flavor of food for my cat and both times your site said it was in stock. about 7 days later after not hearing anything, I contacted petflow only to find out that the product was out of stock.&#10;&#10;You do not let custome"/>
        <s v="This is the first time I used pet flow and I was very happy with the results. They got the approval from my vet and shipped the products in a timely manner. I will be using them again"/>
        <s v="Great customer support and very fair pricing. Speedy delivery. Will use again and do rexommend!"/>
        <s v="good communication about delivery status."/>
        <s v="I am NOT Paul Weiler. Not only are you asking me to rate my experience you have joined my account with his!&#10;&#10;I am Dawn Martin and have canceled my account. I’m a over 10 years a customer. I hope you take my info off Paul’s account and VDH versa.&#10;&#10;Thank yo"/>
        <s v="The website said they had the product, 3 days later I received an email stating they were canceling my order. They did not have the food I had originally ordered."/>
        <s v="Good service ordered dog food and it arrived within couple days."/>
        <s v="My product never made it to my doorstep, and I still haven’t received my money back. Extremely disappointed with the service of this company."/>
        <s v="Prices are a little high but the shipping is outstanding! I am able to get my dog what she needs!"/>
        <s v="I was happy first time ordered food from this company I usually ordered from chewy and then they sent me the wrong food for my dogs. I called they were able to change it and asked me to send back the one I had the wrong one. The new order yes it was $0 bu"/>
        <s v="Called twice to check on my order. People on phone were pleasant but not very helpful. My order was canceled without any communication from Pet Flow. I was told that an email was sent but I did not receive one on the day of cancellation or ever. Very disa"/>
        <s v="The cat food arrived on time. once I ordered the wrong flavor. great customer service for an exchange of flavors"/>
        <s v="Package arrived in timely manner"/>
        <s v="Great customer service&#10;&#10;It was so easy to set up an account and get reoccurring deliveries. And the prices are right."/>
        <s v="My order arrived promptly and packed well. Thanks."/>
        <s v="I do like Petflow for my dog’s food and supplies. I found the auto ship to be somewhat confusing while I was determining how much dog food to order as my pup was growing. I’m unsure how much the discount is for auto ship and when does it start. I do not s"/>
        <s v="Petflow was so helpful in telling me when I should expect my package and sure enough, it came on time! I couldn’t ask for more!!!"/>
        <s v="Good products and prices. Very disappointed that it took 8 days for delivery. I’m used to Chewy with 3-4 day delivery."/>
        <s v="Great service. Also, was able to find the prescription food I needed for my cat ONLY here after finding it out of stock at my vet and at other web sites. Both my precious cat and I are very happy now!"/>
        <s v="No one called me to tell me my order was going to be late. My husband called and gave his credit card several months ago and I have placed orders, with this credit card numerous times but for some reason y’all decided not to send this order because our la"/>
        <s v="Fast, reliable shipping."/>
        <s v="Easy to order, quick free shipping. Got veterinary food I needed in the large size. Pet Smart won't sell you the large size which is a much better deal. Been ordering all of Chloe's treats from you for several years. Keep up the good work. Please get her "/>
        <s v="Shipping was fast, delivery was not. Not delivered by estimated day, but 2 days after. Wish it was more accurate."/>
        <s v="All was good. Not one complaint 👍👍"/>
        <s v="Shipping was on the slow side but worse boxes were destroyed. Thankfully dog food bags were not ripped open."/>
        <s v="I am always happy with my orders from Petflow! I get my food within a couple days!"/>
        <s v="Placed an order, received the order (late) but was sent a discount coupon to make up for it. That's nice."/>
        <s v="The site and purchase was fine, but then my order was canceled due to the food being out of stock. It's a prescriptions food, so I was pleased to find somewhere that had it (everywhere else has said it's on backorder) then disappointed when it was unavail"/>
        <s v="Super fast shipping. Lowest price online"/>
        <s v="I was given a $25 discount off $100 purchase. My order was split and shipped in 2 shipments 1 day apart. They removed the discount! Customer Service did give me the discount after I requested it. Satisfied. Will probably order from them again provided goo"/>
        <s v="Ordered dog food and I was informed that it shipped on the twenty second of August. It's now the third of September and no dog food. They said it would take seven to ten days. It's now been twelve days."/>
        <s v="The service at Pet Flow is very reliable and the prices are very competetive"/>
        <s v="all good so far but what can i say about dog food? on time and price was probably fair. so we will see"/>
        <s v="I would give 5 stars but I had several issues with the website! I’m sure it’s working through the kinks! Technology is great until it doesn’t work. I will say the online chat was on point with helping. I think I was actually texting with a real human and "/>
        <s v="I placed an order with the company for high quality dog food. When it arrived it had been expired for nearly 5 months. This was my first order and though they refunded me when I complained, I still lost faith in them as a company. I expect better than exp"/>
        <s v="My dog needed a prescription diet dog food. This company is a joke. Have us the complete run around for 2 weeks, meanwhile my dog suffered. I do not recommend this website or this company to anyone."/>
        <s v="Exactly what I ordered and quick delivery time."/>
        <s v="I used to enjoy ordering from pet flow for our cats prescription diet. However, recently, the reliability has been terrible, and to make it worse the communication about it has been lacking. They were very quick to charge my credit card while they place t"/>
        <s v="I'm satisfied with the food but you need to use stronger boxes. I order 30 lb. bags every month and they are always opening and falling apart."/>
        <s v="This is the 2nd time you sent me the wrong cheaper item. I called before the last order and you promised I would get the correct item as described and pictured."/>
        <s v="Good customer service, quick reply from pet flow! I highly recommend this website for your pet’s needs!"/>
        <s v="Petflow has a great variety of foods. My dog food is sometimes hard to find, and they carry it. Their prices are competitive also."/>
        <s v="Purchased 3 cases of dog food and many cans were dented from the delivery. Otherwise good value and quick delivery."/>
        <s v="Horrid experience. Ordered some cat food on a Monday, and it wasn't until Thursday that I was told that the food was out of stock and they didn't know when they would get more. I know that cat food is in short supply, but the website could have at least s"/>
        <s v="I love my dog's new collars. They are nice and strong, and very reflective. I measured their old collars and ordered what I thought would be a perfect size for them. Unfortunately, the collars are too big... by alot. I'm hoping there is something that can"/>
        <s v="Fast delivery, good quality products."/>
        <s v="You are excellent, accommodating, and understanding, I will buy from you again."/>
        <s v="Denemarin available...&#10;I was pleasantly surprised to find and purchase the above mentioned without a prescription. Unable to find chewable tabs for my Queensland Healer locally. Thank you, Thank you.&#10;Please let me know when you get more in stock."/>
        <s v="Pet Flow &quot;usually&quot; arrives in a timely manner. However, quality control and training are needed for packing. Our products, especially canned and treats, arrive dented and in crumbs. That couple delivery too!&#10;Longtime customers should not be forced into au"/>
        <s v="My vet could not get the prescription wet food for my cat. I tried for weeks and PetFlow finally had the food in stock. PetFlow faxed the prescription to my vet, and in a couple days I received the case of the wet food via FedEx. Free shipping and I had a"/>
        <s v="I place an ordered on August 22 and messaged the company on August 27 since I hadn’t received a invoice saying that they shipped. I then got a message back saying that it was marked fraudulent. And they wouldn’t be sending it. But they never intended to s"/>
        <s v="This is the first time that I ordered from Petflow and so far so good no complaints!!"/>
        <s v="It was all pretty seamless. I am a first time customer and will be back👋"/>
        <s v="Easy to order on line; prompt delivery; no fee for delivery since it was a large bag I ordered. 5 stars."/>
        <s v="Looking all over for prescription wet cat food. Saw a comparison between Pet World, Petco and Petflow. It showed Petflow had what I was looking for in stock. So very excited that you were showing Science Diet in stock. Ordered 5 cases, gave my vet a heads"/>
        <s v="Super fast shipping!! I placed my order and received it 2 days later. Great service!"/>
        <s v="I was sceptacle, but chose to move forward and sure glad I did. Very prompt delivery. Have since ordered mega amounts of my cat's favorite food again."/>
        <s v="Order was quickly shipped BUT order was not complete due to inaccurate inventory on website AND several items were VERY dirty when they arrived. If it hadn’t been for tags, I would have thought the items were used. Somewhat disappointing!!"/>
        <s v="Fraud department is out of control. I’ve never known a company so bent on refusing to allow customers to purchase from them. Good luck with that business model lol."/>
        <s v="I recently purchased a bag of dog food. Emails kept me updated about when it would be delivered &amp; it did arrive as scheduled. It was a good experience &amp; I'm very satisfied with the service provided."/>
        <s v="Quick service &amp; delivery..... No problems at all"/>
        <s v="Shipping took entirely too long. Wasn’t notified about a shipping delay until after package was due"/>
        <s v="Friendly folks, poor stock on hands.&#10;&#10;This is the second time I attempted to order dog food from you. A days after ordering both times, I received an email stating that was out of stock. This was for Hills d/d potato and venison. It would have been nice t"/>
        <s v="It took way too long to ship the food. I called and canceled order while it was still in the warehouse and not processed . They sent it anyway."/>
        <s v="I ordered product&#10;Never received it&#10;Later told thru text communication that product was out of stock&#10;If so, why was it on your website!??&#10;Nobody advised me."/>
        <s v="Fraud Depoatment has flagged my account. THey have been no help to get this corrected. I would like to purchase form this compnay but they have been no help in correcting their error about mt information being fraud. Who can I talk to to get this correcte"/>
        <s v="I had to reach out to find out what was happening with my order after never hearing anything."/>
        <s v="You were unable to fill my order and never let me know until I sent an email asking where it was!"/>
        <s v="After making a purchase that exceeded the threshold for free shipping, I was not able to add on another item after making a purchase. The salesperson could not waive the shipping fee on another item I forgot to add on to my original purchase. Instead, she"/>
        <s v="I ordered 3 bags of hills feline dry metabolic + cd which has been hard to find at alot of stores. You listed it as in stock. I am the veternarian for my pets and you didn't allow me to upload an image of my prescription. You sent my clinic an email to ge"/>
        <s v="I ordered my cat a specialty cat food which at the time was listed as in stock then the next day I received an email saying it was “out of stock”&#10;To be fair most if not all places were out of stock but that’s why I was excited to finally find a store that"/>
        <s v="I called to cancel an order within 24 hrs of placing it. Was told it was too late but that I once it arrived I can call and request a pre-paid label to return. So I called when it arrived and was told that RX dog food cannot be returned and that it states"/>
        <s v="I've been using Petflow for my furry babies for a few years now and am very happy with the ease of the website navigation and managing my auto-shipments. They also have great customer service!"/>
        <s v="I get all of the treats that my dog loves on one site for the best price"/>
        <s v="Couldn't be much easier and a great price, no one even close."/>
        <s v="Good company and they had my baby’s dog food in stock"/>
        <s v="Pet Flow has excellent prices on the food I was looking to purchase for my cats. Their prompt delivery was also superb. Have shopped here twice and will be doing it again regularly."/>
        <s v="We have discovered some awesome dog treats available at very reasonable prices through this company. Ten Points!&#10;When we have questions or order something that is temporarily unavailable, we experience stellar communication and feel that we have received "/>
        <s v="Easy. Fast delivery 🚚 thank you."/>
        <s v="The website was easy to use. I like the prices of the cat food. And I also like the discounts you offer."/>
        <s v="I'm pleased with the order process and the shipping was as promised. I will be ordering from PetFlow again."/>
        <s v="Great price, fast shipping."/>
        <s v="We go where Fromm dog food is. We move a lot, and (so far) have never had an issue receiving our pet food and supplies from Pet Flow.&#10;The ordering process is easy and the site has everything we need for our pets. The only reason 4/5 stars is that there is"/>
        <s v="Good prices, great selection, and excellent service! I highly recommend Petflow!"/>
        <s v="Prescription food showed &quot;in stock&quot; on the website. Ordered and they got a prescription from my vet the next day. Only then was I notified that they did not have it, and did not know when it would be available as they use a third-party vendor that does no"/>
        <s v="I ordered my cat’s prescription food and Petflow obtained his prescription frim the vet. After not hearing anything for a few days, I called Petflow to make sure the food was in stock. The representative said she would call the supplier and email me to le"/>
        <s v="My experience with PetFlow has been great. Items are delivered when I expect them, in great condition. Auto delivery works just as it should."/>
        <s v="Easy to use site . Like that you give the option to set up an auto shipment for the date I needed it to shipped instead of order now choose auto ship. Allowed me to set up when I need the shipment instead of waiting or ending up over stocked ."/>
        <s v="My experience was good. Found the items quickly and without any problems."/>
        <s v="I WAS AMAZED THAT THEY HAD THE SAME PRODUCT I HAD BEEN GETTING FROM AMAZON FOR MORE THAN $1.50 LESS PER ITEM, SO I FIGURED, WELL THERE MUST BE A LIMIT TO HOW MANY I CAN BUY. NOPE!! SO I BOUGHT MORE THAN 20 OF THEM. I FEEL LIKE, SINCE I HAVE SUDDENLY LOST "/>
        <s v="Fast and good service! Thank you!"/>
        <s v="Convenient and prices are very good. Wish the shipping was a bit more urgent but will shop with them again."/>
        <s v="Easy to shop. Great prices. I got my pet waste bags quickly and well-packaged. Will definitely shop with PetFlow again!"/>
        <s v="I switched to Petflow from Chewy and so far, so good. Chewy doesn't carry Fromm, which my dogs like the best. Decided to give them a try and I'm very satisfied. The food arrived about 3 or 4 days after I placed my order. The expiration date is more than a"/>
        <s v="Loved the website ! They had what I was looking for . Ordering was easy I got my dog food 36 hours later ! I will definitely use pet flow for my ongoing pet needs ."/>
        <s v="The prescription cat food (wd) is out of stock, but I was&#10;let to order it as if you had it. No one seems to be able to get this. It's an important prescription for my cat who has a fractured pelvis.&#10;Arn't the making this anymore? Is there a substitute tha"/>
        <s v="This company was able to get the dog food we needed and were having trouble getting elsewhere."/>
        <s v="I have a dog that needs prescription food, I searched the internet and your website said you had it in stock, I ordered it, anticipating the amount of time I had until my dogs food ran out. Well you took over a week to tell me that you couldn’t fulfill th"/>
        <s v="Easy to order, slight delay with the product not available in the closest warehouse but arrived well packaged"/>
        <s v="What I loved was that they told me that their fast delivery was delayed because they had to ship from another supplier without me asking where my package was. They took initiative and emailed me about the details of my package."/>
        <s v="No product&#10;xxxxxxxxxcccccccczzzzzzzz"/>
        <s v="I ordered prescription cat food from Pet Flow. However, a few days later they stated they were out of stock and would ship it as soon as they received it. I had to cancel my order and they were very communicative throughout the process. I would definitely"/>
        <s v="PetFlow came through for me again when a kitty food subscription was out of stock. I'll be sticking with PetFlow! Thank you!"/>
        <s v="I made an order and canceled 2 days later. Customer service told me it was taken care of. The charge disappeared and I thought all was well. Then several more days passed and I received a shipping notice. I was told it was now too late to stop my already "/>
        <s v="One thing I really love Petflow is they always have their products available. I don’t get a constant “on back order “ like many other mail order purchases. I also appreciate the occasional discounts offered to regular customers."/>
        <s v="Was able to order special food for my dog that was not available elsewhere. Delivered quickly and I was kept uo to date on the delivery."/>
        <s v="Placed an order and Rx was on file. Waited a few days and didn’t hear anything. Contacted the company and was told, sorry…..it’s just sitting in fulfillment for some reason. Then the customer service person said they’d try to expedite. That was almost a w"/>
        <s v="Our pet food was delivered promptly."/>
        <s v="Timely response and follow-up. Timely processing once order details (prescription food) were in place. The one area that needs to be addressed is the contradicting information the site provides during the prescription food order process. The site noted th"/>
        <s v="After placing an order and receiving the shipment, I realized I had ordered the wrong food. I had set up auto ship for the food, so immediately tried to change the type of food on my auto ship. When I couldn't change it myself, I emailed and the responder"/>
        <s v="The box that the bag of food arrived in was open. That was probably due to the heavy food bag inside without any protective packing."/>
        <s v="I placed an order, and without notice, it was canceled, and the product never arrived."/>
        <s v="1. Your site told me that I was REQUIRED to mail the original prescription for my cat’s Hill’s m/d food. Luckily, I had asked my vet for a prescription in June, so I had an original to mail. I don’t like to mail this, because I have to get a new one anyti"/>
        <s v="Dependable, well stocked with helpful phone assistance"/>
        <s v="I bought a 12 pack of Duck and a 12 pack of Salmon. Usually my dog loves salmon but she did not like the salmon from Pet Flow. It was disintegrated little chunks floating in tons of liquid. She left her dish unfinished.&#10;On the other hand, she gobbled down"/>
        <s v="Was looking to get my cat's food supply from a smaller company than the giant online pet stores, and after researching i found PetFlow.&#10;Good prices and fast delivery!&#10;very satisfied with PetFlow's customer service as well&#10;totally recommended!"/>
        <s v="The in-stock status of food was inaccurate"/>
        <s v="I have used petflow for a long time. They carry some hard to find products which I really enjoy. They are usually easy to get ahold of too if you call them.&#10;&#10;The only areas I see that could afford growth are these:&#10;An auto ship program that can be paused "/>
        <s v="First time shopper. Friendly knowledgeable efficient. Great service, fast delivery. I will be back."/>
        <s v="Finally found a source for the Hills Prescription Diet Gluco Support MD dry cat food. I tried my vets, local pet stores, and Amazon. My vet suggested that I try you folks. Success! The food was in stock and shipped in a reasonable length of time. Happy cu"/>
        <s v="This company has labeled me as fraud after a purchase because my billing address didn’t match after I called twice to their customer service department and their rep Mallory said I could never buy nothing from pet flow ever again. I’m not going to state w"/>
        <s v="Working with PetFlow was wonderful. Working with Fed EX, their shipper was not. PetFlow responded to every call or text that I sent them within a few minutes. Fed Ex was another story. Things got lost and were late. They really need to find a better carri"/>
        <s v="Online order was simple. Delivery was on time. My only comment is that you not use plastic bubble for cushioning and instead biodegradable packing."/>
        <s v="I ordered a prescription diet for my dog…I thought I was ordering hills metabolic lamb and rice diet as my dog is allergic to chicken. The lamb and rice has been difficult to find and online it said Petco and PetFlow had it available. I received an email "/>
        <s v="This process was flawless."/>
        <s v="Easy to order, quick delivery"/>
        <s v="Always such quick service and exactly what my Ginger Girl wanted! Thanks!"/>
        <s v="The website is organized and works well. Ordering went smoothly and my items arrived promptly and the quality is great."/>
        <s v="I ordered 2 bags of Hills Science Diet dog food for my 2 Rotts and got a good deal. I will be buying more in the future"/>
        <s v="I’ve been a fan of PetFlow for several years. Their service is prompt and professional. An added plus is your purchase goes to help an animal in a shelter."/>
        <s v="Everything was great. Order came in a timely manner. Great price! No problems. Would recommend this company!"/>
        <s v="I had issues with my order. It was fixed and replaced. I thank you for the help and fixing it asap."/>
        <s v="We ordered product and after two days you said it was out of stock after all"/>
        <s v="Very disappointed. Our order was canceled by you because you didn't get your order of the goods. I know you can't help it if your supplier doesn't come thru for you. But our order was placed middle of July &amp; we're just told Aug 18 you can't supply."/>
        <s v="I was so thankful that PetFlow had my dog's prescription food because they were the only place that did. Even our local vet couldn't get it. As soon as my order was complete, they contacted my vet to get the process going. In less than 7 business days, I "/>
        <s v="exact product I was looking for and at a great price and wonderful shipping service"/>
        <s v="Great product. Dog loves it"/>
        <s v="This was my first time ordering from somewhere other than Chewy.com. I’m very pleased with their service. And they’re cheaper than chewy for the litter I needed. You have a new customer. Well done. P.S. Lets Go Brandon"/>
        <s v="Your Shipping time was 3x as long as quoted. We ran out of dog food in the meantime I refer a lot of business your way. Not sure I can anymore."/>
        <s v="food order took a long time to arrive, wasnt aware to order before noon on fridays to ensure order received before weekend so it was a long time before order was even received"/>
        <s v="when i ordered said in stock,,then i get email not in stock,,takes long time to get and multiple delivery,,and you have to add up each delivery to make sure its right,prob won't order again i did twice and happened both times"/>
        <s v="Items were just as I ordered and shipping was faster then I expected. All good things! Glad we discovered PetFlow. It was our son who has two pups, that made the recommendation. Thankful for that."/>
        <s v="They accepted an order, charged my credit card - and all the while the food (which was a prescription food) WASN’T EVEN IN STOCK. The item wasn’t listed ‘out of stock’ or ‘on back order’ at the time I purchased it. It was only nearly a week later after I "/>
        <s v="I purchased 2 bags of dog food one came right away the other took a while to be delivered"/>
        <s v="Wouldn't allow me to place an order. Had to order through a family member. It's a new house but it's on maps so idk what the problem is."/>
        <s v="Your service by email promised to contact my vet about the order for the prescription. You failed to do that and had to cancel the order."/>
        <s v="Products were good, but delivery took a long time and tracking didn't give updates after day 2."/>
        <s v="Awesome experience. Pet feeder was bent. And email was sent explaining how feeder arrived and new feeder was sent out immediately. Great customer service. Well shop here again. Awesome! Awesome! Awesome! Second feeder arrived in excellent condition and my"/>
        <s v="Great prices and fast shipping! Awesome auto-ship discount as well."/>
        <s v="Great customer service. I provided some feedback regarding coupon/promo codes and received a very nice response quickly. I was just offering some feedback in didn't want/expect anything in return. However, the Rep went above and beyond and provided me wit"/>
        <s v="Petflow has great pricing and service. I signed up for the autoship program for out dog's Hills Science Diet. They were priced the most competitively. My order shipped as promised and even delivered a day earlier than expected."/>
        <s v="I wasn’t happy when they told me they would not charge my card unless the item was available and ready to ship out but unfortunately that wasn’t the case when they decided to charge my card even if it was a pre-authorization or pending I don’t like to see"/>
        <s v="PetFlow has the best prices on nice dog pens and wonderful customer service."/>
        <s v="At the time I ordered the product your website said that it was in stock but after about a week later it was no longer in stock and I could not get it at all. I was really hoping that I could get this since after much research your website showed that it "/>
        <s v="I’ve shopped with Petflow for years. Excellent selection, very good customer service too. The shipping can be a little slow, but that’s FedEx not them. I get aggravated with the auto ship and you have to call in to cancel. But otherwise dry happy with the"/>
        <s v="I can't actually manage autoship. I always get an error that would prompt me to contact costumer service."/>
        <s v="Disappointed in your service Was told that you had an item in stock to be mailed When I inquired about status of order, I was told an error was made and food was not being mailed Out of stock !!"/>
        <s v="I made my first order for Blue Buffalo wet food for 2 cases because the price was great. The food cost had suddenly skyrocketed on Amazon and chewy. Shipping was fast and exactly right. Food had extended expiration dates. So I immediately repeated my orde"/>
        <s v="My canned dog came dented. One can was so dented that it opened and was so spoiled from being out on delivery that my whole kitchen smelled and I had to throw away about 3 or 4 of the cans. It was so incredibly disgusting."/>
        <s v="They did not fulfill any of my orders, few reliable"/>
        <s v="Quick shipping, great selection of dog foods."/>
        <s v="Best price on dog food and super fast shipping—love pet flow!!!"/>
        <s v="Always easy to work with , the best customer service !!"/>
        <s v="Easy ordering, they kept me updated about my order. Order was shipped and delivered quickly. Great service."/>
        <s v="Great,prompt service. Great product. Linda Ryburn"/>
        <s v="I have ordered twice now and the cat food was delivered quickly and best of all, with no damage to any cans. I'm very pleased."/>
        <s v="I love PetFlow. There is great healthy pet food on this site.&#10;My pets look forward to their healthy food and snacks!"/>
        <s v="My order was shipped on August 4, it is now August 13, and it has not shown up. I would love to cancel because I had to drive 100 miles to the nearest pet food supplier to buy food. No clue where the shipment is."/>
        <s v="Very good product and fast shipping. My dogs are happy!"/>
        <s v="I don’t think I will take a risk ordering from this place ever again. I placed an order on Saturday for a prescription food for my cat. I provided the required information to verify my cat’s prescription. I checked the status on the following Tuesday and "/>
        <s v="Unfortunately, I ordered 30+ bowls for our rescue. It showed them as in stock and I'd searched everywhere. I paid for it and received confirmation of the order. Then after a few days, I received a email that there were no bowls available, they were out of"/>
        <s v="Best Dog Food Subscription service! I use two different brands for my dogs. One is a prescription food. PetFlow has the best prices and always provides excellent Customer Service when I call. My orders always arrive right on time! I highly recommend PetFl"/>
        <s v="Horrible experience! Do not buy from Petflow! They advertise that they have product in stock and allow you to order it, fill out entire order, credit card info and everything online and tell you we will let you know when it ships. Then a week later says o"/>
        <s v="My order showed food was in stock. Email stated pending. Continued to say pending for a few days. Called and was told it would be sent asap. A couple days after that was told it was out of stick and credited. Ordered through you because your site said it "/>
        <s v="Fast, reliable shipping. High quality products for great, competitive prices. Thank you Pet Flow."/>
        <s v="It was a very pleasant shopping experience. I bought mixed vegetable food for my dogs. They liked it very much, but there were too few kinds of petflow products, which were the fly in the ointment. But it doesn't matter. I think they will improve and I wi"/>
        <s v="Fast shipping, thanks."/>
        <s v="On the website, it is too easy to set up multiple auto ships. Would be nice if there was a confirmation box… “you already have this item part of an auto ship, are you sure you want to add another”. Would be nice if people could delete an auto-ship order w"/>
        <s v="Placed order. Got email that one item was out of stock and was cancelled. When order came another item was not shipped but I never received another cancel notice for that one."/>
        <s v="I ordered food and was told I needed my vet to prescribe it. After some back and forth with the vet that happened. Then Petflow informed me that they didn't have the food in stock and instead of backordering it, cancelled my order. A lot of wasted time fo"/>
        <s v="Fabulous, great, fantastic, worth it, affordable"/>
        <s v="I originally spoke with a very helpful employee who helped me place my order. I received an email verifying the order. I then received another email stating the order was Vet approved and would ship Aug. 8,2022. I looked up my order to check status and sa"/>
        <s v="I requested my auto ship arrive early and it was shipped on 8/1/22. At that time I requested the next auto ship arrive in I believe it was 9 or 12 weeks. However, it appears that another 30# bag of food was shipped today. I certainly do not need 60# of dr"/>
        <s v="Prices were good and all items arrived in a timely manner. Website is easy to use."/>
        <s v="You don't deliver parcels.&#10;Very Disappointed"/>
        <s v="I ordered cat food on July 29th (12 days ago). It still has not arrived. I live in Oregon. Early in this misadventure I received a message that it was being shipped from a more distant place (NJ) because the closer warehouse was out of the brand I chose. "/>
        <s v="You guys suck. I couldn't even place an order because of ur fraud dept"/>
        <s v="I had hoped that Petflow would be a reliable source to order my cats' food, especially the prescription food that is critically important. Unfortunately, Petflow has failed me multiple times, canceling my order FIVE DAYS AFTER I PLACED IT.&#10;&#10;Sometimes the "/>
        <s v="the shipper had damaged the box of dog food and returned it to PetFlow. I received a nice e-mail saying they were shipping a replacement out right away."/>
        <s v="I use PetFlow because they're priced right, prompt and have what the cats on prescription need."/>
        <s v="Good price, fast shipping. Thanks."/>
        <s v="I’ve recently moved and I was struggling to find my cats food and I found it on this website but sadly I was put on their fraud list right away. I called customer service and they told me there’s no way for me to talk to the fraud department to get my nam"/>
        <s v="Very helpful service over the phone. Received just what I ordered fast!"/>
        <s v="Never heard from you guys. Said my order was reported as fraudulent ???&#10;Seriously???? You never even got back to me. I think your company is super sketch! Would never ever order from you again.&#10;Byeeeeeeee…….,,"/>
        <s v="Great prices and fast shipping."/>
        <s v="Order online was easy&#10;Check out offered pay pal and was easy to check out&#10;Shipping is quick&#10;Pricing was great&#10;Customer service is fantastic"/>
        <s v="Terrible customer service and company to work with. Site days 1-3 business days delivered from purchase date. Didn’t even ship the product until a week after the order and kept making excuses as to why it wasn’t being shipped. Product was dog food for my "/>
        <s v="this is a place where they have fair prices fast delivery would buy from again a+++++++++++++++++++++++++++"/>
        <s v="I asked to be shipped on a Monday.&#10;My order wasn’t shipped until Tuesday.&#10;The expiration date on the dog treats I this November.&#10;When I purchase them from Chewy or Amazon, the expiration date is always at least one year out."/>
        <s v="I am happy with petflow. There are some inconsistencies with their warehouse Packaging. I placed an extra order and they shipped out boxes weighing 70 lb. I don't know how FedEx moved them I certainly couldn't. I believe they need a little more training a"/>
        <s v="I called Customer Service to discuss the possibility of your obtaining more Fromm cat food in small bag sizes. Great conversation."/>
        <s v="All past orders have been good, and if there were any issues in the past the staff handled it appropriately and quick. However, this past problem was a slap in the face and took much needed funds away from my rescues. PetFlow did not take responsibility f"/>
        <s v="Where is the rest of my order?&#10;&#10;Your website shows the Hills Prescription Metabolic and Mobility 12.5 bag as being in stock, yet it has not been shipped to me. I do not know whether I have been charged for it.&#10;&#10;Please respond to me.&#10;Carol Ann (no &quot;e &quot;) Ol"/>
        <s v="First time order on a pet food I couldn't find anywhere else. Placed order and received order in 5 business days which included the time the pharmacy contacted my vet. Was a mailed and updated as to when my order would be delivered. Will order again"/>
        <s v="Very bothersome! You don’t instantly charge my card! Sometimes it’s a day or two later! I turn my credit card on and off as I’ve had so much fraud! It takes me many attempts each month to get my order. Other companies I do regular&#10;Busy with do the transac"/>
        <s v="PetFlow is amazing. Best brands, fast delivery and fair prices."/>
        <s v="I have been happy with Petflow. I’ve been able to get the cases of food that my cats like that I was unable to find elsewhere. The website is easy to use and the price is as expected."/>
        <s v="Ordering was easy enough, shipping was the problem. Petflow uses FedEx, an unreliable company. The order was split without Petflow or me being aware. The second portion arrived 3 days later. This is unacceptable. No packing slip was available on either sh"/>
        <s v="I placed a large order for kitten food. Credit card processed. When I looked to find out shipping date a few days later, it had been cancelled, no notice to me, no email, nothing! I called and they said when a large order is placed they suspect fraud. Tot"/>
        <s v="There's no status available to see whether or not my vet has been contacted. Canceling the autoship is deceiving, I can only pause it up to 17 weeks. Everything about this website is difficult."/>
        <s v="Prices were fair and shipment came in a reasonable time"/>
        <s v="Good products at good prices and fast delivery!! I'll be using pet flow again!"/>
        <s v="The ease of ordering was great, &amp; the shipping was fast"/>
        <s v="Petflow carries food that others don't that I want. The prices are fair and shipping is good. I buy Formm and Nurti Source. The treats and toys are great."/>
        <s v="Ordered 4 cases canned dog food, Eleven cans of food severely damaged, 5 cans actually were broke open.&#10;Excellent place to shop but not so good packing"/>
        <s v="This is in reference to my order: 10303683. I ordered 8 packages of these dog treats that your system said were in stock and confirmed the order via email. Then I receive a subsequent email advising they were out of stock. Not a good experience and no way"/>
        <s v="Customer service wouldnt help located an order i placed approximately 10 days ago. She referred me to the website disclosures. We i told her how to do her job, she became upset. Customer service rep said we all have pets as though it wasn’t a big deal my "/>
        <s v="It was so easy to find what I need for my kitties, it was easy to order and it was at a great price. And the delivery was very fast. PetFlow is the best!!!!"/>
        <s v="ecxellent. always helpful"/>
        <s v="My pups really like the Dr. Marty freez dried food.&#10;And I like being able to get better pricing from PetFlow."/>
        <s v="I ordered 8 boxes of Arm and Hammer litter I received 2 yesterday. The packing box was not strong enough plus tape was not holding the box had holes plus one of the two boxes had broken open and litter all over the boxes inside. I should have 6 boxes to c"/>
        <s v="Easy to navigate around the site. Delivery was quick and my items were packaged nicely!"/>
        <s v="The food I needed was in stock when I purchased it. When I didn’t get an email that it had shipped I looked at my account online. The account said it was delivered to my address. It was not at my house, so I called Pet Flow and was told that my order had "/>
        <s v="I recently ordered Hills Science Diet Feline W/D. Your website indicated that it was in stock. However, after several days of waiting for shipping info to come through, I called to check on the order. I was told that it was out of stock. Then a few days l"/>
        <s v="Great products, fair prices, fast service"/>
        <s v="Easy to,order, and fast to deliver."/>
        <s v="Shipping was quick. However a food product needed to be exchanged due to manufacturer changed formula and didn't want old formula sold. Customer service was unbelievably rude and lacking concern completely. I won't spend another dollar with them again. An"/>
        <s v="Started our automatic delivery program. It worked flawlessly! I was able to correct a mistake in my order without any problem."/>
        <s v="The initial order went great. When it came time to reorder our cats diabetic food it was out of stock. We waited hoping it would return by the time we needed it, but we were sent scrambling to find another source."/>
        <s v="Reliable repeat order program at reasonable prices."/>
        <s v="Petfow is consistently good overall. Timely shipping and mostly reasonable in costs. Any issues I've had were always addressed to satisfaction."/>
        <s v="Great prices, always in stock and fast delivery. Excellent customer service."/>
        <s v="I have shopped Petflow for years but lately they are having difficulties filling and shipping orders. I order when I am about 2 weeks out from having either dog or cat food. They can't ship in a timely manner.I have cancelled my last 2 orders due to shipp"/>
        <s v="Unfortunately. the delivery was promised for a specific, acceptable date, then changed by Petflows carrier to the next day, and, to make your service unusable, delayed yet another day.&#10;Learn to honor your commitments if you want my ongoing business. Expec"/>
        <s v="While there were a couple of mishaps in my order, PetFlow went out of its way to make sure everything was made right. In fact, they went above and beyond! I've been recommending them to my friends and family with confidence, have ordered and will definite"/>
        <s v="Great company. Very fast shipping. Prices are competitive."/>
        <s v="PetFlow has the best price on the dog food I purchase for my dog. Ordering is simple and delivery is fast."/>
        <s v="Excellent product selection and pricing. We are so happy that there is a wide variety of pet products. Customer service is above par!"/>
        <s v="The package arrived on time and everything inside was good."/>
        <s v="Ordered Hills W/D wet cat food... Website said in stock. I get a confirmation email and am asked to be patient as they contact my veterinarian for approval. About a week later I get an email saying the food is now out of stock. Veterinarian was prompt in "/>
        <s v="Nobody, including my vet, could get this particular Rx product. It was out of stock everywhere. So I was thrilled to see PF's website say it was in stock. I did the order, arranged the Rx, and my vet responded to fax the next day. I assumed it was all set"/>
        <s v="Products arrive on time and are very well packaged."/>
        <s v="My cat only wants a certain brand of talapia for breakfast each morning and since the supply chain issues, we haven’t been able to find it from our usual source. It’s a popular grain free brand and they haven’t been able to keep this brand in stock in any"/>
        <s v="I wish I could give a five star because I love the availability for delivery. It did take a little long to receive the order, but I didn’t like the packaging. When I opened the box, I cut the bag of dog food, even thought I opened it carefully just in cas"/>
        <s v="Cats like food that was ordered. Yet again, the box was partially open when delivered. Some cans dented. What goes?"/>
        <s v="Easy to use website, products desired always in stock so far."/>
        <s v="When I ordered WD canned cat food I know it has to be approved by my vet and that it takes a little longer because it is prescription. It was in stock when I ordered it and I thought with my request once it was approved, I would get a case, believing a ca"/>
        <s v="Was out of the dogfood that I wanted but I guess that was not their fault. They cancelled the order automatically instead of giving me the option for back order or to cancel it myself."/>
        <s v="Petflow is fast and accurate at shipping out my order, but the packing leaves something to be desired. I order two cases of canned dog food with each order and the box usually shows up damaged and/or repaired, but the cans are OK. This time three of the 2"/>
        <s v="Everything was great…&#10;&#10;Everything was great until the shipping. I don't know what happened but it took too long this time and I had to go locally and buy the same things that almost cost me double. I cant have my cat who has kidney issues eat anything els"/>
        <s v="Petflow always processes orders quickly and accurately. Shipment is excellent."/>
        <s v="Extremely poor packaging with using cheap boxes and very little tape that results in receiving damaged products. Even Walmart and Amazon use better boxes and more tape for sealing."/>
        <s v="I ordered something out of stock, so it was the case. They said they would let me know when it came back in. The customer service was very fine."/>
        <s v="The &quot;profit racks&quot; is something like speed bumps to hold me back from completing my purchase. I don't like it."/>
        <s v="Always have available merchandise. The staff is very helpful and friendly."/>
        <s v="PetFlow has always been great and prompt. Customer service always friendly. The only thing I wish for one day is for Fromm products (dog) to go on sale once in a while : )"/>
        <s v="you helped us by getting the dr marty had huge problems we received from you you spent hours trying to get this for our pup it came so fast our dog really to get this we found you by google we now will be getting this from you nice job cindy"/>
        <s v="I recently had a very helpful and pleasant experience with PetFlow. They had left out one item by mistake in my order, and also replaced a bag of dog food that came with a small hole in it, no questions asked, they just said they would replace it. No hass"/>
        <s v="Always easy &amp; convenient to order our dogs’ food online."/>
        <s v="Competitive prices and fast delivery, I would order from them again !"/>
        <s v="I appreciated the email stating the dog food I ordered would be a few days late! I’m glad they sell Fromms! It’s the only dog food my dogs have been used to!"/>
        <s v="Great to deal with. Easy ordering and fast delivery. Thanks, Petflow."/>
        <s v="Really one star is too high of a rating. I tried to order Hills Science Prescription Diet w/d wet food for my cat and saw where PetFlow had it available. PetFlow verified with my vet that my cat was supposed to have the food and then I got a notice that P"/>
        <s v="I ordered a prescription canned food for my cat. You emailed me asking me to contact my vet because you didn’t have approval for the food. My vet approved, then you canceled my order because you didn’t even have the product available! What a joke of a pro"/>
        <s v="Your website specifically said you had my prescription cat food in stock. So I ordered it - twice. Only after you took all my personal info and told me you were getting ready to ship my order did you inform me the food was out of stock. I lost a week of f"/>
        <s v="PetFlow is wonderful and always comes to my rescue, when other places cannot. They contact the veterinarian promptly to verify my cat’s prescription, and the food is delivered in record time. I’m completely satisfied with PetFlow!"/>
        <s v="I just started using PetFlow for my dog's first prescription food as I found the prices better than competition. They even reached out to our vet to get the prescription and in just a few days, I had the food on my porch! Easy peasy."/>
        <s v="Shipment arrived right on time. Thank you!"/>
        <s v="very slow delivery.&#10;no delivery status report.&#10;MUCH slower than Chewy"/>
        <s v="First order went overall well. Need more discounts."/>
        <s v="Awesome customer service! Carolina is professional and always provides fantastic customer service! Resolved my problem with a smile! Thanks!"/>
        <s v="cats don't like and they don't take returns. What do I do with such expensive food? Took over a week to get when Chewy does 1-3 day shipping at most."/>
        <s v="Placed an order and it was at my door in a couple of days."/>
        <s v="I'm disappointed with autoship. Items can't be added if they're in stock. When in stock and added, they aren't shipped if out of stock, that is they're not reserved when the order is placed. Why use autoship? I've started ordering and buying directly, and"/>
        <s v="Placed my order on July 12th &amp; I’m still waiting for my shipment. I’ve had to buy food locally due to get him by. I texted &amp; emailed my concerns &amp; was told it’s been approved &amp; would be shipping in a few days. As of today, July 24th, still no shipping not"/>
        <s v="Had an issue with a previous order. Petflow issued a credit for that order so I ordered again and this time everything was great. I appreciate a company that makes things right. I will be ordering from them again!!"/>
        <s v="I would say the customer service rep has had the issue I called about many times so she certainly understood the frustration. I think Petflow as a company leaves a lot to be desired regarding how they handle things. The 3 stars is for the young lady whom "/>
        <s v="Petflow delivers to my DOOR and not to the post office, and the order is accurate and secure! I love them."/>
        <s v="I have dealt with pet flow for over a year now . Prices very reasonable customer service great. Very quick delivery . Have recommended them to others. Will continue to use them in the future"/>
        <s v="I still have not received my order or a ship date. I ordered two weeks ago and the item was in stock. I am out of food and disappointed."/>
        <s v="Worst pet online company. Unreliable delivery service. Overall horrible pet online company. Do not use this company for your furry babies. I am a very dissatisfied customer."/>
        <s v="Customer service was good. Disappointed that I was able to add an item to my cart, check out, and process an order only to find out a week later it was not available to order."/>
        <s v="Always ship fast, worked hard to get my prescription food. Customer service is very responsive."/>
        <s v="I was very happy to find Petflow since they have some products I no longer can get on Chewy. Their ordering was smooth, prices fair and I have used them twice now. And I will again!"/>
        <s v="Ordered hard to get dog food - Arrived on time as ordered."/>
        <s v="Very pleased with your service. Especially the people that answered the phone. I wait only a minute to speak to someone. They are very pleasant and professional. Thank you"/>
        <s v="It to long to get then I only got 1/2 order then you tell me I can’t get the can food,I differently won’t buy from you again."/>
        <s v="Still has not yet shipped despite a 1-2 day wait on the website. I’ve contacted support via text and despite this, my dog’s food has not shipped."/>
        <s v="Customer service very helpful. Quick response to text message."/>
        <s v="I would like thank Pet Flow and especially the young lady I spoke to when I called in about my order. I have always been very happy with your service, especially now. Service and customer satisfaction have always been extraordinary."/>
        <s v="They sent me a duplicate order and told me I could return it if I pay the shipping. Not good business practice. Lost this customer of a shipping charge that was their fault."/>
        <s v="I ordered a product you listed as in stock&#10;Gave info for Vet Clinic&#10;Order was marked shipped in account but no tracking supplied&#10;after a few days i looked on line and account said script denied by Clinic&#10;Then I received an email saying out of stock and or"/>
        <s v="Finding birdfood in 25 lbs is very hard the order went great and was delivered fast very happy"/>
        <s v="My orders were canceled and I didn't get any email letting me know. I had to contact customer service and they told me they were canceled"/>
        <s v="Good experience and they had what I wanted and quick delivery. I’ll use you again!"/>
        <s v="I think the communication around delivery was good, and the prices were good! But, the separate package I was sent of wet food (to fulfill the order) had dents along the side, which I am reluctant to give to any of the cats we care for. So, in that regard"/>
        <s v="Only picked your website because of the promised 10% off first order and it wasnt valid for my products."/>
        <s v="Exceptional communication &amp; Deliver right on time"/>
        <s v="I ordered specific food. Was told two to three times, just hadnt been packed and shipped. Vet provided prescription. Last minute told didnt have in inventory. They repeatedly were dishonest! Caveat Emptor!"/>
        <s v="My order was canceled by you guys because you didn't have the product."/>
        <s v="Appreciative of recent discount offered when purchasing greater than $200 worth of products. I feed approximately 35 cats, so I buy in larger quantities when on sale. Canned food continues to arrive dented and one can popped open on last delivery, but I'v"/>
        <s v="I am very satisfied with petflow. Service is great. Delivery is fast"/>
        <s v="So happy I found this website . They have all my Frenchie’s products . Will order again soon!"/>
        <s v="I know it's a specialty food, but I think for the amount of food delivered for the price is still too high"/>
        <s v="Order was processed very quickly and website is very easy to navigate"/>
        <s v="Excellent service, they keep me informed on my orders. If there is a problem they inform me in advance! Good job!"/>
        <s v="This was my first order with PetFlow. I ordered a bag of puppy food and Fed Ex was to deliver. I received a notice stating that it was delivered and I checked and it was not there.&#10;PetFlow and FedEx were both excellent in finding the dog food.&#10;Great Custo"/>
        <s v="Easy to use website. Ordering &amp; delivery were quick and easy."/>
        <s v="My cat has a very sensitive system and no one had her food except PetFlow. You got it here quickly and it was correct. Thank you!"/>
        <s v="Long time returning customer- love this company"/>
        <s v="Great prices! Fast shipping!"/>
        <s v="Fast delivery and better prices than petsmart or petco. Purchased 200 lbs of dry blue buffalo."/>
        <s v="First I couldn’t remember the name of the dog food. Replied to one of their ads asking about it. Immediately they replied that they’d find it. Sent me the link and bingo! Ordered it and it came in about 3 days! It’s the one food Dog can eat without scratc"/>
        <s v="Excellent selection of dog food and treats. Good prices."/>
        <s v="Readily replaced an item damaged in shipping, very helpful customer service"/>
        <s v="Had the quality brands need at best price"/>
        <s v="Lately I have a few problems with the items ordered...&#10;Some chews looked really bad and I ordered some bird items that were damaged...&#10;However, customer service were very helpful and sent corrected items....&#10;These things happen in shipment...."/>
        <s v="Your site was the only one that had the prescription diet my cat needed. Also, when I went online to look for another option, there was no way I could look at the ingredient list. I called someone using the number you listed. She, also, was unable to get "/>
        <s v="We have 2 German Shepard’s who decided to become really picky.. after ordering this food, they eat it right up! They love it. I have noticed even after just a couple weeks it has also calmed down Scooby’s scratching some (we haven’t been able to pinpoint "/>
        <s v="I have been using PetFlow for over 10 years. Their prices are great, and shipping is always super fast."/>
        <s v="Trustworthy company! Pet food shipped quickly. Just as good as competitors. I can always rely on them!"/>
        <s v="Took 8 days for delivery!? Ran out of dog food in the interim. Several emails and a phone contact to customer service, nobody could tell me where my order was. I received several messages, none of which could tell me a correct delivery date. Frustrating!"/>
        <s v="Delivery is fast my cats love hills cat food great job Hills"/>
        <s v="Good price on dog food order. Tracking provided and fast shipping."/>
        <s v="Quick customer service, a variety of dog foods to choose from."/>
        <s v="I called to change an order for a later date and told her to make sure she keeps the newest date, well she cancelled both orders. When I called back to find out why, the girl was very rude because I was upset and said the earlier call she didn’t know what"/>
        <s v="Ordered with a coupon! Perfect delivery."/>
        <s v="Only received half of our order, and cannot get the auto ship part to work correctly. also a very hard to navigate and unclear website. Not user friendly!"/>
        <s v="My food order was “lost in transit” and after waiting for 5 days and having to contact the company they “made it up to me” by simply sending me a new order. While shipping issues may not be the vendor’s fault, communication and customer satisfaction shoul"/>
        <s v="Placed my first order. Everything arrived in wonderful condition and was priced at great prices."/>
        <s v="So great and will help if there is a problem with order. Al ways on time."/>
        <s v="A few things went wrong. Items shipped from two warehouses which is okay, but took an extra few days for shipping. Didn't ship immediately. The first shipment they shorted me a bag of food. So since the chat feature wasn't working, e-mail stated they are "/>
        <s v="Good, fast delivery, and cat food was in good shape when it got here. Best price I could find on it too. I will definitely use PetFlow again."/>
        <s v="Will order again! 5 stars!"/>
        <s v="Fast delivery! Available products!&#10;I was able to find a certain dog food that was not available on another pet food website.&#10;Thanks PetFlow"/>
        <s v="It was great! I will always order my food from here."/>
        <s v="Have been using PerFlow for several years, with 2 standard Poodles was nice to have a 40lb bag of food delivered every month before they ran out plus always good prices on treats, dog toothpaste, bird food, etc. My dog gets excited to find out what’s in t"/>
        <s v="Product is a little light for 100 pound dog. Shipping was quick arrived early and in good shape."/>
        <s v="PetFlow has always been easy to use and a good source of our pets food. I just wish the shipping time was a little faster."/>
        <s v="I had found some bones at a grocery store that my dogs loved. I hadn't seen them anywhere else. So I saved a wrapper and checked online. Sure enough Petflow had them. I literally ordered as box full! The price was way better than the store and I got them "/>
        <s v="Very unhappy with lack of service or effort to fill script for Hills diet food for kidney issues! We provided the vet's prescription along with the vet's email which the vet said he'd approve the script if PetFlow would just email him for approval, after "/>
        <s v="I am so glad that I found PetFlow. I can get my cats their Farmina dry food at a great price with fast service."/>
        <s v="PetFlow website is very easy to navigate. Able to place my order quickly and receive product in a short time."/>
        <s v="They sent me an email of monthly coupon codes. I used one for $25 off. There were no exclusions listed, &amp; it worked in my cart until AFTER I submitted my order, when they removed my coupon &amp; my credit card was charged for $25 more than the total shown whe"/>
        <s v="I have three auto ships over the past three months that were all canceled and I was not notified that they were canceled I’d call up to find out a week later where they were and they said oh we ran out so I order for the third time and I put the order in "/>
        <s v="Every order I place gets cancelled due to not in stock"/>
        <s v="Ordered prescription cat food, site accepted order and said available. They followed up via email to get vet prescription. Three days later email me food Is out of stock and they were cancelling order."/>
        <s v="Pet flow is the worst place to get your pets food. I decided to go with then since not everyone has that perticular brand. Since im on auto ship program it should be shipped every 3 weeks and first time i didnt get it ive been told there was double order."/>
        <s v="The folks at PetFlow are v nice; they responded to my query quite promptly and gave me a credit because my order was delayed in shipping.&#10;The not-so-good part: I didn't find out unril after I'd placed my order that it would be shipped the following week, "/>
        <s v="Easy order process and set up of automatic delivery. Good price."/>
        <s v="Delivery on Schedule very happy with"/>
        <s v="You had our dog food listed as in stock so we ordered two bags. After quite a bit of time you alerted us that it wasn't in stock. That put us a week plus behind and we ran out of food. This is a special diet food for our dog and not easily found. Very bad"/>
        <s v="I'm happy with the product that I order, however, the lack of 'date of delivery' makes it hard for a customer to be able to receive it, or plan to schedule to be home. I've gotten email notices saying 'your shipment will be there tomorrow', with no actual"/>
        <s v="This is the third time I have ordered this cat food, and the order was submitted and accepted, leading me to believe I would be receiving the product. Three or four days later, I receive an email that it is out of stock!! Don't keep sending me emails to o"/>
        <s v="I have been having a hard time finding some pet food faves for the dog and stumbled upon your site and you had those hard to find faves for him yay!"/>
        <s v="I ordered my dogs brand of dry food. Fast and easy to order web site, they carry my dogs brand Fromm which not many physical stores do. Fast shipping too."/>
        <s v="Your company led me on to beleive the food I ordered was in process of delivery. You cancelled the order when I was down to one can at home. Then I had to struggle to find food for my cat, with no advice from you. I will not ever order from you again."/>
        <s v="I have ordered before and my order was the same, rx cat food, even in the middle of covid, first time customer and it was fast! This time..6 days after ordering it still didn't ship, I asked for it to be cancelled, and was told they weren't sure if it cou"/>
        <s v="Process was seamless as far as ordering and receiving my order in a timely manner. Had no issues and would highly recommend Petflow to anyone looking for good service and product selection."/>
        <s v="It would be nice to be able to edit your autoship if the item is backorder online. I have had the item on backorder twice and the last was canceled. I do not like having to make a phone call when it should be easy to make the changes online. This goes for"/>
        <s v="Originally my order was to ship on July 5th. Then an email said the shipment would be late and would arrive today. It currently is 8pm and I do not have my order!"/>
        <s v="Petflow had all the items I needed, delivered them promptly, and quickly responded to questions/concerns I had."/>
        <s v="Fast shipping with sturdy packaging. Good price. User friendly website. Thanks so much."/>
        <s v="Ordered wet dog food, came quick and what I ordered!"/>
        <s v="Easy online ordering and prompt delivery."/>
        <s v="I order my cat food and it arrived quickly. Cannot ask for anything better.&#10;&#10;Oscr"/>
        <s v="We needed a certain Vet Approved Cat Food. PetFlow faxed my Vet for authorization and returned the approval. PetFlow went to work on filling the order. Unfortunately, it was over the 4th of July Holiday &amp; ran into delivery problems, but PetFlow followed u"/>
        <s v="I suppose I purchased something, though I don't recall."/>
        <s v="I love that this site carries Fromm Gold brand and fast delivery"/>
        <s v="The box arrived half open and crushed and ripped open on one corner, but the 2 bags of prescription dog food were still fine inside. I informed PetFlow and they promptly replied and said they would initiate a complaint with the shipping company. As long a"/>
        <s v="I got what I ordered but it took ten days and a lot of the cans were dented and banged up. These days I guess I should be glad that I got my order at all."/>
        <s v="I had never heard of this company, but decided to use them for their prices. I was amazed at how effectively they communicated, how quickly the products arrived, and the price was better than their competitors. I will shop them again for sure!"/>
        <s v="The price was very good, but the delivery was sloppy and careless. I came home to find the boxes laying on my lower stair step and on the walkway leading to the stairs. They could've easily been stolen as they were so close to the public sidewalk. When I "/>
        <s v="Great price, but out of stock! Why take the order in the first place? WASTE OF TIME AND EFFORT. Never coming back!"/>
        <s v="I was very disappointed!!! I ordered a case of Hill's Prescription Diet c/d Canine Urinary Care Chicken &amp; Vegetable Stew Canned Dog Food and all of sudden it was cancelled!"/>
        <s v="They had my cat's prescription diet in stock when I couldn't find it anyplace else! My order was delivered more quickly than anticipated. I'll use them again."/>
        <s v="The food was in stock when I ordered. It took so long for your people to get the prescription from the vet. Someone even called me thinking they was calling the vets office. It was out of stock so I never got my order it was canceled. If I could have gave"/>
        <s v="Package wasn't taped very securely. Many of the cans were dinged or dented and worst of all was the Godzilla sized cockroach I had to kill when I opened the package. Will not be using you again."/>
        <s v="My order arrived on the scheduled date and was complete."/>
        <s v="I've shopped at PetFlow for years. I've always been impressed with the quality of goods, the low prices, and the fast shipping. Will do business again!"/>
        <s v="It was very disappointing to have my order canceled after the item I purchased was out of stock. When I ordered the item it was shown as being in stock. A more accurate representation of this would be appreciated considering this is online retail."/>
        <s v="Shopping was easy. Website easy to navigate. Prices were good."/>
        <s v="I received my shipment of 2 bags of dry dog food and found the box they were shipped in crawling with ants! One of the bags had a small tear in it, which caused the ants. I called customer service at PetFlow and they immediately sent me a new bag to repla"/>
        <s v="Never received what I ordered, even though I was charged for it."/>
        <s v="I am very happy with the services I receive from Pet Flo.&#10;I do on occasion have difficulty with using the web site. It will keep saying my password is in correct."/>
        <s v="I ordered puppy food and was given tracking in less than 2 days! Shipment was fast and efficient"/>
        <s v="Had what I needed! Fast shipping!"/>
        <s v="I was impressed by how fast I got that items I ordered and that they were available for auto ship! Now my three babies will never have to be without their chews 🐾🐾🐾"/>
        <s v="I have a late shipment of cat litter twice now. I know shipping and supplies are messed up in our country so I understand. What I don't understand is why you system doesn't alert you that the product is not in stock so you can let me know before my delive"/>
        <s v="Great price and good product. My cat and I are happy. Thank you."/>
        <s v="I order on a regular basis. I receive my order within a couple of days of placing it. Never disappointed!"/>
        <s v="PetFlow had the prescription dog food that two of my vets could not get. Shipping was quick and the price competitive."/>
        <s v="I was looking for the cheapest price on our puppy food. I came across Petflow and was excited you carried both brands of food for our Gigi girl and new pup Miles and they both can be delivered right to our front door!! I immediately enrolled in your autos"/>
        <s v="Prices are great and shipping is fast and on time. My only criticism is the packing for shipping. Cans are arriving dented and boxes are often partially opened from not being taped properly. Overall very happy and will still keep shopping :)"/>
        <s v="Received food promptly, well packaged and in good condition."/>
        <s v="Petflow has the cat food that I prefer. Many other vendors do not carry it."/>
        <s v="I found what I needed at cheaper prices and the customer service was superior. Petflow has a new customer and I HIGHLY recommend"/>
        <s v="PetFlow is always on point with my order. Never had a bad experience with them."/>
        <s v="I had the perfect PetFlow experience!!! It took 5 days to get to me because of delays in Middletown!! Which was not there fault. Will be buying more dog food from them!!"/>
        <s v="I received my order but shorrt 3 little clay boxes and some of them with the box open already"/>
        <s v="Love the selection and convenience of the auto ship, recently added prescription food for one of our dogs and that was just as easy as everything else. Highly recommend!"/>
        <s v="Unable to ship a pet food product after leaving me on hold for a week. What else can I say ?"/>
        <s v="PetFlow consistently meets and exceeds my expectations. Phone operators are extremely pleasant and helpful and get things done. Recently there was a sales tax exemption for pet food, and the staff gave me a credit for the state tax that was going to be ap"/>
        <s v="I was very pleased buying from Petflow. Honestly, I wasn't familiar with them and they were the only ones with inventory of the dog food I was looking for. The order process was clean and efficient. They contacted my vet (was prescription food). Notices w"/>
        <s v="Reputable company. Good prices and selection"/>
        <s v="I have consistently had double filled orders, delayed orders without notification, shipped orders without advance notification, orders that started auto-shipping that weren’t supposed to…the past 9 months has been a disaster. This convenient service has b"/>
        <s v="Fast an easy, The prices were great"/>
        <s v="I was looking for Avoderm canned dog food as my previous supplied has been out for a very long time. You have the food and the price is good. I ordered it and got it in a few days . No problem with delivery. My two dogs are very happy to be back on the fo"/>
        <s v="Product was perfect, shipping was super fast and customer service was polite, helpful and efficient. If I need other pet products this will be the first place I check. Thank you PetFlow"/>
        <s v="Fast. Easy. Going price"/>
        <s v="As always, my order arrived as scheduled, with updates enroute, and was well packaged. Consistently good service."/>
        <s v="I had a question about mixing different proteins using the Stella &amp; Chewy freeze dried food and got a response much faster than I had anticipated! I was able to complete my purchase without having to wait until the next day. The food arrived quickly and m"/>
        <s v="Great product selection and order expediently processed and shipped."/>
        <s v="I am not sure about your products coz this was my very first order &amp; i was waiting for my order longtime and when i logged in and checked- status showed cancelled..&#10;When u send order confirmation email why you cant send the cancellation email?"/>
        <s v="PETFLOW is a great company and is one of the few who sell Nutrisource dog food that was recommended by our breeder for our pure bred shih tzu at a reasonable price . She has been on this food since she was weaned and is 1 year old now and very healthy. Sh"/>
        <s v="Trustworthy company! I recommend them!"/>
        <s v="I am a loyal PetFlow customer for 5+ years. I am so happy to use their website. I regularly order food and toys for my dog. I place an order online and immediately receive confirmation. Then amazingly, I get the order within 2 days. PetFlow carries anythi"/>
        <s v="Sent quickly. Great experiences so far.thank you.&#10;Judith"/>
        <s v="Recommend this vendor. The items I wanted were in stock, I had a coupon (yeah!) and the checkout was two clicks since I was already registered and my information was stored. I received the ahipping information within hours and the 5 cases of dog food arri"/>
        <s v="Had the cat food I needed just before I was about to run out and received quickly."/>
        <s v="Always helpful. Courteous on time delivery"/>
        <s v="Delivery was fast in spite of coming all the way across the country. :) I cannot find the bowls I received in this order with food anywhere else. I only see bigger sizes elsewhere. Since my girls are small, I prefer the smaller bowls by OurPets. The bowls"/>
        <s v="Have plenty of choices, the shipping speeds are all time high and prices are reasonable for the items that are being sold at the website. Would buy again for my beloved pet."/>
        <s v="Excellent customer service solving an issue with my order."/>
        <s v="Everything was great! It was definitely time for new dry dog food. I only wish I could buy a smaller size. Everything else is perfect!"/>
        <s v="Satisfied with NutriSource dry dog food but pricey."/>
        <s v="Good service I like how they keep you informed about your order ."/>
        <s v="PetFlow sells the dog food and treats we prefer at a competitive price, and the free shipping is so fast! We live in a rural area where many items aren’t available, and we really appreciate being able to shop with them."/>
        <s v="Fast shipping. Great products."/>
        <s v="Fast, efficient, quality product that arrives when expected for a reasonable price"/>
        <s v="I love that I can call and they have my account pulled up and bam... ordered! Excellent customer service!!!"/>
        <s v="Quick shipment, kept me informed, good price and will buy from them again."/>
        <s v="I ordered Kong squeak balls(M). My dog loves them and also loses them so now we have some extras. The price was much better than on Amazon!"/>
        <s v="First time using PetFlow I received the order nicely packed and delivered on time. Priced at a good value."/>
        <s v="I just changed Vets so if I am still able to buy my special cat food I will return to ordering it from Petflow as they are outstanding!"/>
        <s v="Very easy to order! I needed prescription treats &amp; they contacted &amp; got approval from my vet &amp; had my order in just a few days! They were also cheaper than other pet mail order companies."/>
        <s v="User friendly website, good prices and fast shipping."/>
        <s v="Easy website to navigate...quick response and delivery...very satisfied"/>
        <s v="My kitty was diagnosed with kidney disease.&#10;Petflow helped me get set up on recurring food for his new diet. I did have to reach out and communicate with them regarding the RX and I was impressed with the timely response and care they took to help me.&#10;Tha"/>
        <s v="They had what I was looking for and the delivery was very fast."/>
        <s v="NutriSource Small &amp; Medium Breed Puppy Chicken &amp; Rice Dry Dog Food 30-lb. I just got 2 Cairn Terriers, the breeder said, this was the best puppy food. &quot;Pet Flow,&quot; made it so easy to place my order and the price was good. I also picked up some nice dog toy"/>
        <s v="The product was available, the price was fair, but the ordering process kept trying to lock me in to repeating delivery. It took me an unreasonable amount of time to navigate the form."/>
        <s v="I like that it's compact and doesn't take up much room. The food doesn't flow as well as I'd like but all gravity feeders work about the same. The water spout could be lower. There's quite a bit of water left. The container must be tilted to use all the w"/>
        <s v="Great selection and prices. Prefer to shop here."/>
        <s v="In this instance, PetFlow was the only place i could acquire the exact item that I wanted and it arrived in a timely fashion. In fact if they are still carrying it I will order more."/>
        <s v="I have been purchasing cat food from you all for over 3 years ( since I got my cat). I have not had any problems, but my last order was shipped and it was dog food ( your mistake). I asked for you all to do a rush and you rushed alright. You came and pick"/>
        <s v="Has the products I need. Quick shipping at no charge over a certain amount. Packing well down."/>
        <s v="Great communications, came in short time."/>
        <s v="The company did not ship my pet food, canceled the order and failed to notify me. The only reason I noticed is because a week had went by and no dog food. When I contacted them they advised they needed more information. I asked why they didn't request tha"/>
        <s v="I have recently had a bad experience with Chewy. However, I have found you. I have 1 d9og and 2 cats and so far you have their food. i will look for other things as they come up. So far everything is great!"/>
        <s v="Easy online ordering and super fast delivery!"/>
        <s v="Very efficient and convenient to have your unappreciative cat's food and litter appear at your front door ~ Highly recommend !"/>
        <s v="It has been 21 days since my order was confirmed and it has not shipped. When I contacted Petflow, I was told that first time Rx orders can sometimes take a while to be approved, but this feels ridiculous."/>
        <s v="I love Petflows auto delivery system. It’s easy to use and I can change the schedule with a couple clicks. Packages always arrive secure and on time♥️"/>
        <s v="Love Pet flow great customer service!! Quick shipping highly recommended&#10;Have foods others don’t"/>
        <s v="I was glad to find what I needed on your site but I was concerned about shipment via Federal Express. In my opinion they are unreliable. My shipment was delayed but thankfully arrived before I became worried."/>
        <s v="Perfect transaction! Perfect delivery. Perfect communication. Your my store."/>
        <s v="I ordered veterinary dog treats so gave Petflow all necessary vetinary info. After no e-mails from them for quite a few days I e-mailed to see when order would be shipped out, they said “soon”. After a couple of days I called back to check to make sure th"/>
        <s v="We have ordered through PetFlow a few times now and are very happy with our experiences. We will continue to order our dog food and other pet items through them."/>
        <s v="Always used chewy, but not anymore! U guys r really on top of ur game. Thank you, Anna Sutocky"/>
        <s v="Very fast and easy shipment of dog food - five stars&#10;Their use of FedEx is a problem - one star.&#10;Fedex drivers repeatedly damage my property. Repeatedly notified FedEx. Other deliveries, like UPS or Amazon, have not had a problem."/>
        <s v="Petflow was easy and fast to respond and deliver. I was using chewy but it took forever to get approval for the dog food needed and I had trouble with them on every order so petflow was a relief how easily it went thank you for that and I would recommend "/>
        <s v="My order was correct and received very timely. I have no complaints."/>
        <s v="Perfect!!! My dogs thank you, and extremely fast, will absolutely shop here again!"/>
        <s v="First, FedEx lost the package. Left on a neighbors doorstep. Might not be such a big deal in the city, but in the country, that's a game changer. Neighbor finally brought the package up to the house a couple of days later.&#10;&#10;Second, Product was short dated"/>
        <s v="This company was there for me when I couldn’t find my cats’ prescription food anywhere. Thankful to have found it. Quick script review, quick shipping."/>
        <s v="I ordered Science Diet W/D wet cat food from them because their website said they had it in stock. About a week later, I got an email saying they were cancelling my order because they didn't have any in and didn't know when they would be getting it. They "/>
        <s v="Reliable, good products, timely delivery"/>
        <s v="Love it!&#10;&#10;Good products, convenient, quality, communication, and on time delivery."/>
        <s v="I’ve been having a hard time finding this cat food and when I did find it usually the bags were sold out. This made it easy and convenient for me to order this online and got it in a couple of days before we ran out."/>
        <s v="Easy site to navigate. Product was originally out of stock but I was notified once the product was available. Delivered as scheduled. My cat loves the product. It is a prescription food for diabetic cats. Hopefully, I will see an improvement in his condit"/>
        <s v="the product dog food is excellent my dogs love it looking forward to do more beisness with soon"/>
        <s v="I was impressed by the selection, price and delivery time of PetFlow. Getting ready to place my second order!"/>
        <s v="Order was correct, and arrived quickly!"/>
        <s v="PetFlow was a company that I had not heard of prior. I was in need of Hills cat food which was not available anywhere locally or online except at PetFlow. I even ordered more than originally planned for. They got the okay from my vet and had the order shi"/>
        <s v="Great delivery &amp; promotions for cheaper food!!"/>
        <s v="Great prices and fast, friendly service. I will continue making this my go-to for pet supplies."/>
        <s v="Tired ordering a product that said “in stock” twice now and both times I get an email a few days later saying my order was cancelled because it can’t be fulfilled. If it was “in stock” why can’t it be fulfilled?"/>
        <s v="This product is excellent I believe for my dogs and they love it. This is, however the second time I have had a bag ripped open when it arrived and food in the box and not the bag. Don’t know if this is a problem at the packing end or the delivery end. Wi"/>
        <s v="Easy site to use with great prices and a large variety of options"/>
        <s v="Never received my order 10179757, FedEx Lost it no refund or anything at all, FedEx express that they left it at the front door, but how my gate was closed and my cameras capture nothing at all and no one was home. I also called FedEx several more times w"/>
        <s v="I ordered cat food from PetFlow. It showed in stock and i waited for it to ship for about a week. I called customer service and the lady indicated that my order was processed (needed Vet prescription approval) and that I should receive a tracking email th"/>
        <s v="great way to buy my dog's food products and needs! no hassles and comes straight to my door."/>
        <s v="Incredible rude and out of touch representatives. They didn't have my item in stock and then made me replace a second order for what they did have in stock. The next day I get notified that my order was for resale and flagged as fraud even though I placed"/>
        <s v="I disappointed in the way my packages where sent to me! For example when you sent my case of dog food it was put in box that could have fit 4cases instead of 1 the rest was filed with packing papers to make it weigh more to charge more"/>
        <s v="Reasonably effective but annoyingly disorganized. Looking for alternatives"/>
        <s v="Got my online order very quickly and was pleased with how easy it was. Will definitely use again"/>
        <s v="After hunting high and low through my usual pet food sources I was able to find the two items that had been back ordered everywhere else. Delivery was fast and saved me the risk of switching brands with my dogs."/>
        <s v="We needed a shipping kennel (Large) a bed for the kennel a toy, a small bed, and dog food. All that got shipped was the dog food, toy and small bed. After visiting the Pet Smart store, they had all we needed in stock, although a higher price."/>
        <s v="My first order and I was mailed wrong product. When second order can it will be out of date in 5 months. I like to know I have a newer product."/>
        <s v="Quick, easy, and better priced than most of the competition. Definitely an under-known source for pet supplies."/>
        <s v="Good time on delivery. Just mad about the way the box showed up. Was thrown over my fence and box was damaged and retaped because it was so damaged. Think about who you ship you packages by. The delivery to my house was a fedX driver who did even look to "/>
        <s v="Great choices. These days, it is so necessary to have a reliable resource; especially for our pet family."/>
        <s v="6/19/22&#10;Excellent Everything A+ Company"/>
        <s v="I am so happy you carry Fromm. Echo loves it and she gobbles it down. I also love that you deliver to my home.&#10;&#10;Thanks again,&#10;Joni"/>
        <s v="Please don’t say you have something in stock if you really do not. I was misled then was not even informed that there was a delay until I reached out myself. Terrible customer service."/>
        <s v="My order was shipped immediately, and reasonably. Got what I ordered, and the pooch is thrilled."/>
        <s v="Everywhere was out of my pets food, ordering from your site was easy and I received my shipment a few days later thanks!"/>
        <s v="Amazing prices, quick shipping"/>
        <s v="Just got a new puppy that has to have toy breed puppy ProPlan. It’s been almost impossible to find it, but happily, PetFlow has it, &amp; it shipped FAST! Love auto ship so we don’t run out. Price is also good."/>
        <s v="We were notified that our dogs’ prescription food was out of stock with our usual retailer so I did an Internet search and PetFlow was the only retailer that popped up as having the item in stock. I waited for shipping confirmation and never received it s"/>
        <s v="I appreciate finding products at an affordable price at PetFlow. I usually find those products at a better price than other sites. Shipping was fast and flawless!"/>
        <s v="I have have ordered the freeze dried beef treats for a while....the last two orders have been at least 1/2 to 1/3 crumbs. This is very disappointing and an expensive bag of unusable. If this is not corrected, I will have to find another source. Usually I "/>
        <s v="Great products and very good customer service!"/>
        <s v="Fast shipping, all items accounted for and in perfect condition."/>
        <s v="PetFlow has the best prices, great communication with me regarding the status of my order &amp; shipping is quick."/>
        <s v="My 1st package was received missing items. After just one phone call, everything was handled professionally and a few days later I received my missing items. Would order again"/>
        <s v="Petflow came through for me when I couldn't find my cat's food anywhere else. I'm extremely grateful."/>
        <s v="Twice now I have ordered preacription food from petflow that was listed as in stock and twice my orders jave been cancelled because the food was not in fact in stock. Both times I spoke with customer support that was clearly copy pasting replies off of a "/>
        <s v="Excellent service."/>
        <s v="Generally I’ve been very pleased. But the last shipment (2 cases of canned hog food) had two damaged and open cans in it. Not a great response when I raised the issue since I hadn’t discovered it until I got to the 9th of 12 cans. Otherwise, no complaints"/>
        <s v="My cat's food was listed as in stock on the site, but my order was cancelled a week later because it was never actually in stock"/>
        <s v="Delivery was delayed, and this was not acceptable. I will utilize another company, that can deliver in 2 dayd"/>
        <s v="As ordered. Fast shipping. I was so happy to be able to get my canned cat food order when Chewy and Amazon failed me. PetFlow has gained a loyal customer!"/>
        <s v="Outstanding price for what I ordered. I shopped around: Amazon, Wal-Mart, and numerous websites. None even came close to your price! Package showed up on time. Excellent experience. My cats thank you"/>
        <s v="Fast shipping and excellent price.&#10;Thank you"/>
        <s v="I normally don’t write reviews but I hope employees are retrained after seeing this. I hadn’t ever been on your website or heard of the company. But my 4 year old fell in love with a puppy from a girl I know in Utah. After adopting the puppy we asked what"/>
        <s v="The dog food we need is hard to find. PetFlow always has it at a very good price. It usually arrives in a day or two. Great service."/>
        <s v="I’m a little disappointed with Petflow. I ordered dog food on June 3rd, maiming because you said it was in stock. Then a few days later I get an email saying that your local location was out of stock and you had to get it from another location and it was "/>
        <s v="Fast, easy to order prescription products, fast shipping, fantastic customer service - knowledgeable, sympathetic, responds quickly. Range of items to purchase is awesome. PetFlow outdoes all other online pet companies on so many levels. They were my savi"/>
        <s v="My order was processed very slowly and then canceled. I was initially told that the only thing holding up my order of Hill prescription diet for my cat was vet approval, which I had submitted with my order. Close to a week elapsed and then I was told that"/>
        <s v="Very reliable. When I place an order with Petflow, I know I'll be getting what I ordered on time."/>
        <s v="Great customer service, had the prescription food my dog needed. All the other's were &quot;out of stock&quot;. Glad I found this site."/>
        <s v="naturvet yellow to green lawn spray. 4 containers/contents were defective.&#10;product was diluted to colored water, my guess is they froze and thawed somewhere before shipping."/>
        <s v="Petflow ran out of dog food in my area so found it in Las Vegas. I got the last 3 bags."/>
        <s v="I got the food the quickest out of any company including Amazon and their customer service gets back to you right away with any questions fabulous job"/>
        <s v="Food bags are always intact. Delivery always on time. Customer service is excellent."/>
        <s v="Great customer service! Great prices and fast shipping! ⭐️⭐️⭐️⭐️⭐️"/>
        <s v="I always order my dog Fromm food and treats from you. Shipping is excellent."/>
        <s v="Great price, smooth transaction and quick shipping. What's not to love?"/>
        <s v="Waited over 2 weeks for food to arrive for my new puppy to refill his stock we received from the breeder. Petflow had a great price and great reviews, BUT when I inquired where my order was I was just told that it didn’t ship due to “fraud protection” and"/>
        <s v="I've used PetFlow for my boy's food since the very beginning (since I adopted him) and they always deliver it on time each month. They have an excellent selection of pet food available on their website and not to mention, they give away 1 food to 1 dog in"/>
        <s v="Inventory shortage. Put order in and next day they don't have my babies brand. So it's not their fault Purina discontinued the Small Bites.&#10;Now we are playing find the food they care for. Sorry couldn't give 5 stars."/>
        <s v="I have been very happy with PetFlow. I am disabled and it is so nice to just have my dog's food show up at my door. So far the items I need have been in stock which is pretty incredible in these times."/>
        <s v="I started an auto ship program with this company because cat food was running scarce in the grocery store. Unfortunately, even this company can't keep it in stock, either."/>
        <s v="The pups love the new food we found on PetFlow. It was easy to order and arrived in no time. Being that it's large breed formula, I just wish it came in bigger chunks so they didn't inhale it at dinner time!"/>
        <s v="Great service, good customer service. The only hiccup I can see is, shipping 30&quot; sticks folded over in a 15&quot; box."/>
        <s v="They had everything in stock and was delivered in a timely manner"/>
        <s v="Great place to buy our pet supplies! Fast service, pet flow is the best!"/>
        <s v="Always great to do business with. ease of ordering and easy to return...."/>
        <s v="I waited over a week for your pharma dept to reach out to my vet to get scrip for order. I finally had to make the call myself, with your rep on the line, and I got right through. Your pharma folk really dropped the ball.&#10;&#10;All the while, my cat was waitin"/>
        <s v="I was really pleased that u had the food my cat loves. He is diabetic and could not find his food anywhere. He refused to eat anything else. Got so thin. I found his food through ur company and now he is gaining weight, very happy kitty."/>
        <s v="I was in need of food for my cat with diabetes. My vet was backordered and even Chewy was out of stock, but I’m so glad I happened upon this company and they had the food I needed available. I appreciate it so much. They were easy and pleasant to work wit"/>
        <s v="Worst Experience with Pet flow, I place order and my shipping and billing address is not same you will add my account to fraud activity and don't proceed order. Such a unprofessional supports team. Can't buy in future its last time"/>
        <s v="I never received my purchase. You were out of stock of my cat’s prescription diet, even though your website said it was in stock. You should keep your website up to date with what is in stock and what is out of stock. Because I would have never wasted my "/>
        <s v="Fast shipping, Easy to order and understand web site. Best prices around.&#10;No Hassles"/>
        <s v="Ordered prescription dog food you said you had in stock but it very clearly was not in stock and almost two weeks later I'm still waiting for it. Not cool."/>
        <s v="The shipping box isn’t strong. And they package my dry dog food with the cans and the cans cut the dry food bag and it spills."/>
        <s v="I placed an order for Hills Glucosupport for my diabetic cat. It was the weekend and I was unable to get all of the vet information directly from the vet hospital itself, to place the order, so I Googled it. I placed the order and paid for the order. The "/>
        <s v="This is the second time the cat food that I need said it was available and the second time my order was cancelled because they didn’t have it. If you don’t have it, don’t say that you do! I could have looked for it someplace else instead."/>
        <s v="your phone reps have always been very helpful, answered my questions and given me some good advice about purchases. we're sold!"/>
        <s v="Great customer service. They answered my inquiries so fast and they were super friendly!"/>
        <s v="PetFlow works hard to earn your business and trust. Had an initial snafu but now orders are working smoothly."/>
        <s v="I requested a $51 refund after being told by Petflow that I needed to renew my vet’s prescription. I wanted to just buy the prescription dog food from my vet. Petflow said they could give me a credit for $51 but not a refund. This is a classic case of Pet"/>
        <s v="I have ordered from Petflow twice and both experiences were the same, complete trash. My cat eats prescription food and it is out of stock everywhere. So I am ecstatic to find it on Petflow. I order and it took two days for my vet approval. I get an email"/>
        <s v="Petflow has great prices on Fromm products and delivery is great"/>
        <s v="PetFlow's order fulfillment needs to be improved. It took 9 days for the food that I ordered to arrive, and that was *after* I called to see where it was and got the order prioritized for shipping. If you are truthful on your website whether the food is b"/>
        <s v="Your orders have all been fast and with no warning it took a week.. I will not be using you anymore as you are not dependable"/>
        <s v="Great price / fast shipping / great communication"/>
        <s v="Better prices than elsewhere. Called customer service for some assistance and the woman was very helpful. Will use again."/>
        <s v="Wanted to try another pet food home delivery service for a change and decided to give Petflow a go. They were a great find and i’m glad I did. Prices were comparable, and delivery was even faster. Packaged very well with no dented cans."/>
        <s v="Prices fair but shipping times have increased."/>
        <s v="I love the variety of high quality products and brands that Pet Flow offers. I also love how quickly they ship! My order always arrives within a couple days."/>
        <s v="Don’t even bother. If you order anything they will message you a week later saying it’s out of stock then the very next day it’s back in stock again"/>
        <s v="I was excited to see that a particular prescription wet food was back in stock on the website as it has been out of stock for over a month. I placed the order online and then followed up 3 days later as I didn't hear any thing about shipping. I was told t"/>
        <s v="cancelled my orders&#10;without telling me"/>
        <s v="Very happy with the customer service only issue I had is how long it took to process my order And ship it. Would pay extra for faster processing and shipping."/>
        <s v="Fast , easy and correct !"/>
        <s v="It's ok. It was shipped on June 1st and an email Tuesday said it'd arrive today Wed. After arriving here in Portland today at 5am, FedEx tracking said at 2pm that it's being delayed a day until tomorrow Thursday &quot;because of weather&quot;. It doesn't affect me "/>
        <s v="I ordered prescription pet food for my cat. It took them about five days to tell me the order was cancelled because they couldn’t get the food. They shouldn’t have taken the order in the first place."/>
        <s v="This is my third order. They have products others don't and at a great price."/>
        <s v="Always holds the inventory and deliver in a timely manner."/>
        <s v="Worst customer service. I tried doing an order twice and they couldn’t send it out. I will never use this company or recommend it"/>
        <s v="Wonderful service. I recommend."/>
        <s v="Excellent service and the only delay we had was from our Veterinarian sending them the prescription"/>
        <s v="I am so impressed with not only how easy ordering was but how quickly it was delivered. I would never use anyone else. Thank you very much"/>
        <s v="I am new to Petflow. This was my first order. Website was easy to use and my item arrived promptly."/>
        <s v="Disappointed that an item was there to select as available only to find out it was not. P"/>
        <s v="I like using PetFlow and other sites which are similar. They are super convenient and reliable, however the cost of shipping stops me from only using their service."/>
        <s v="Your website said you had the prescription cat food I needed. I bothered my vet for the prescription order. Your company said the order was being filled. Then I’m told that it is out of stock.&#10;&#10;How does this happen?"/>
        <s v="Always the highest quality products &amp; superior customer service. A+++"/>
        <s v="Petflow had what I needed in special food for my cat I couldn't find it anywhere thank you so much the service was awesome"/>
        <s v="Good service and a fair price. Thank you. Plan to order again."/>
        <s v="Wonderful experience. PetFlow was the only place that had the prescription food i needed for my cat. They expedited my order when I expressed my needs. Sadly my cat passed away Saturday, but he loved this particular brand of food so I am very grateful tha"/>
        <s v="I have been ordering from Petflow for some time now. I always have a good experience with fast shipping and easy ordering. I have a dog and two cats so I order often. Great company to do business with.&#10;Rob."/>
        <s v="Petflow is great! They processed my kittie’s prescription quickly and shipped my order promptly!"/>
        <s v="Shipping is so slow compared to Chewy. I use Chewy whenever possible for that reason,"/>
        <s v="I have had nothing but positive experiences with PetFlow."/>
        <s v="PetFlow was the only source for prescription food for my cat. All local stores and vets all said they were out and it was on back order. So PetFlow was a “kitty” saver!"/>
        <s v="Fedex took more than a week to deliver.&#10;Usps is better, even the fedex tracking is not accurate and very slow or sometimes not even up to date"/>
        <s v="Customer service was not friendly! They charged and shipped me two bags of my dogs food when I only purchased one. When I called back to dispute the charge they were not very helpful and kept insisting that I bring the super heavy bag to FedEx for return."/>
        <s v="When FED X lost my order, I called customer service and the order was replaced without hesitation. That is excellent service."/>
        <s v="Slow shipping, went to order another bag and couldn't find it."/>
        <s v="Petflow is a good company to buy cat food from. I especially like having it she directly to my door. I have to order a prescription type of food for my pet and cannot find it anywhere else. Petflow has exactly what I need."/>
        <s v="I was able to find what I needed that others didn't have. Turnaround was quick and order was correct."/>
        <s v="Products in stock. Delivered in timely fashion. Positive experience!"/>
        <s v="Great selection (had things others were out of), great price, shipped next day."/>
        <s v="After reading many reviews I cancelled my order before it was shipped. Many people stated they could not cancel their auto ship and were't happy with the delivery. Since I don't know this company and didn't know their reputation, I cancelled and ordered f"/>
        <s v="Great price and shipped well and arrived quickly"/>
        <s v="Only cools for 15 minutes at best - not worth it, I should have invested more money and got a better product"/>
        <s v="The pharmacy said my dogs food wasn’t approved while my vet said it was always approved. Customer service was awful in fixing the situation. Didn’t get my dogs food for a week. Discontinued auto ship and won’t buy another thing from Pet Flow. Horrible cus"/>
        <s v="I love the fact they carry Fromms dog food, their web ordering works fine, and they deliver in a reasonable amount of time (Chewy is faster where I live).&#10;&#10;However, every time I have ordered dog food in cans, they come 25% badly dented. I don’t mean a lit"/>
        <s v="I had the opportunity to subscribe, and my pet food came in a timely manner. I am very happy!"/>
        <s v="Shipped quick, reasonably priced"/>
        <s v="Great variety, fast shipping!"/>
        <s v="Petflow auto-ship is convenient, efficient, and economical. We've been happy customers for years; highly recommend. :)"/>
        <s v="works well but no instructions on how to adjust float"/>
        <s v="Great price and quick shipping of the pigeon grains I use"/>
        <s v="Easy easy easy. The same quality, same shipping speed, cheapest place."/>
        <s v="Great Service for the buck and Great for your pet Fish"/>
        <s v="The Most Wonderful Customer Service! And the Most Wonderful Products that Keep my Dog HAPPY!"/>
        <s v="I love the company and the fact that they don't support brands that support animal testing. It's a 4 start due to shipping always being late and they don't have an app yet, but I'm not leaving them because of that."/>
        <s v="Good selection of products but took a long time to receive."/>
        <s v="had the product in stock. And they called the vet"/>
        <s v="Items not as advertised even after calling customer service described the wrong item. Picture not correct either that was sent.&#10;Took way longer than expected. Not likely to recommend or order again."/>
        <s v="Had an issue with my order. Customer service was rude and terrible. Will never spend my money with this company again."/>
        <s v="Excellent! Always the best."/>
        <s v="Pet flow always has the dog food in stock for my pet. All through pandemic they were reliable and supplies on hand and timely delivery."/>
        <s v="customer service was awesome! the shipping was very fast and I was very pleased with the variety of food. I will definitely order again!!"/>
        <s v="Fromm dog food is so awesome! My elderly dogs were on wet dog food and they liked it till I took them to my friends house. She had the beef Fromm out for her dogs. My dogs decided they like that food better than theirs. It was a month of trying to get the"/>
        <s v="Poorly packaged for shipment, but arrived quickly."/>
        <s v="Great customer service. I needed my cats prescription cat food asap and they pushed the process faster for me."/>
        <s v="Fast deliveries and one of the few places I found farmina dog food. Now I'm on auto delivery."/>
        <s v="I ordered cat food on 5-18 and FedEx has yet to deliver it, stating that the address is incorrect when it is not. After hours on the phone trying to get this package I am left with no other choice but to request a refund. I still don’t have the cat food a"/>
        <s v="We love using PetFlow for our pets needs. The prices are competitive and it's so easy to change/delay/cancel our order."/>
        <s v="Shipping was Fast! My only concern is my dog food best by date is Sept. 22 just concerned not fresh maybe older stock."/>
        <s v="Petflow is THE best. Hands down! Great customer service and prices."/>
        <s v="They had the food I had been searching for in stock. Quick shipping."/>
        <s v="Super great company with fast service and great shipping."/>
        <s v="Great company with very quick shipping!! I will be using them from now on!"/>
        <s v="Excellent products and outstanding service. Fast delivery."/>
        <s v="Good price. Fast delivery!"/>
        <s v="We have been using Petflow for many years, and always have great service and value."/>
        <s v="Petflow has the products I need and gets them to me quickly. I’ve used auto ship and when I’ve had to switch my schedule they were happy to accommodate and adjust. And their customer service is so responsive. I have been a loyal client for years and plan "/>
        <s v="Every one at Pet Flow was extremely helpful. They spent as much time as needed on the phone with me to pick the puppy food I needed. When it turned out that my pup did not need the prescription I was told, they were unable to take it back but they refunde"/>
        <s v="When I ordered they knew they were out of stock. I called, asked questions and didn’t get a direct answer."/>
        <s v="I was so happy to find my pet food in stock here. Actually, the maker of the pet food let me know that PetFlow had the product in stock. There was no shipping fee on the 25 LB bag and it arrived promptly all the way from across the country."/>
        <s v="Ordered canned dog food. Found the price to be competitive and shipping was timely."/>
        <s v="I would advise anyone that has had a poor experience with this website - which appears to be just a website where they drop ship orders but don't actually have a warehouse, to contact the Attorney General in Nevada, where this guy or &quot;company&quot; is located."/>
        <s v="Ordered cat food. When I ordered it was in stock. Now saying they have none and that the online allows them to sell bags so long as they at least have 1. Sad."/>
        <s v="I ordered dry cat food that you said you had and waited for you to tell me when it shipped. You never told me you were out of it. I had to get in touch with you to find out. Stupidly I checked for that same product a week or so later and same thing. Your "/>
        <s v="Ordered M/D dry cat food and you waited so long to let me know you were&#10;out of it. Other companies let you know on the site where you are ordering&#10;that they are out. Wasted time."/>
        <s v="Great product, FAST shipping"/>
        <s v="Having to contact support to cancel an auto ship is ridiculous. Straight from the Comcast book of customer service."/>
        <s v="This is the first time using PetFlow, and I loved the experience. They have great prices and fast shipping. I love the selection of food also."/>
        <s v="Scam site. They lie and say they have stock of things they know they have no stock for just to get your information."/>
        <s v="I like Pet Flow and the convenience of buy Fromm cat food from them."/>
        <s v="I placed an order for prescription pet food. The website stated food prescriptions could be emailed or mailed so I emailed the food prescription using the email address they listed on their website for this purpose. This resulted in back and forth with a "/>
        <s v="I was trying to order prescription cat food that is in short supply. Your company let me order it, sign up for your account, contacted my vet for the prescription, and went through the whole process and then told me you are out of stock. Why didn't you te"/>
        <s v="I have plenty (too much) food right now. How can I cancel automatic service??"/>
        <s v="I trust them, they usually have the product that I want and if not they will let me know."/>
        <s v="This place is amazing! Prices really cannot be beat -- and we shop around every time we stock up. PetFlow doesn't carry all of the foods we buy but the ones they do are consistently cheaper than elsewhere, including delivery!&#10;&#10;I hope PetFlow will carry mo"/>
        <s v="My total order was to receive 15% off...however, my order was split and I only received 15% off on the lesser item and was taxed on both. I may inform my credit card company of this transaction based on your response."/>
        <s v="Have always had good service from PetFlow"/>
        <s v="Keep posting that they have Hill Science Diet M/D when they don’t."/>
        <s v="I have only received part of my order that I made on May 10th, it is now the 22nd and I have still not received the dog food I ordered."/>
        <s v="Our Saint Bernard was recently diagnosed with Gastroparesis and needed limited ingredient treats. Hills makes a line of them that Petflow has a great variety of at great prices. Shipping is super fast."/>
        <s v="Excellent service!!&#10;Thank you!"/>
        <s v="I have ordered only once from Flowpet but so far so good and on that note I will give them 5 stars. There was a good variety with good prices and the order came more quickly than I expected. i expect I will be shopping there more."/>
        <s v="Fast shipping! Easy to get in contact with them if you have questions"/>
        <s v="Ordered special diet 10 days and nothing had to order chewy . Got it in 3 days"/>
        <s v="Very friendly and knowledgeable people at Petflow. Willing to go the extra mile to help."/>
        <s v="It is easy to change my order, the staff is always Easy to communicate with. They are Alice there to help me when I run out of food. My Goldens sometimes have friends over for the week."/>
        <s v="So happy you carry Fromm. My dog thrive on this food. I love the convenience of delivery to my door. The best part is shipping is included."/>
        <s v="I placed my order from Canada and dealt with a customer service rep. She was very friendly, helpful and efficient. My order was delivered very quickly to a parcel receiver in Bellingham, Wa. I am very satisfied with Petflow."/>
        <s v="Ms. Jessie at PetFlow was extremely helpful in fulfilling my order. She was knowledgeable, pleasant and very efficient. I am very satisfied with the service I got."/>
        <s v="Always ships quickly and arrives promptly. You can trust PetFlow to handle your order right"/>
        <s v="Took way to long to get here. This was a cat food order and I'm use to getting it at least in a couple days when I order from Amazon or Chewy. Not sure I'll order from them again."/>
        <s v="This is a great company. Good selection of products and at fair and reasonable prices, including shipping costs. Delivery is very timely. While so many firms are still using the Pandemic as an excuse to price-gouge, it is so refreshing and a pleasure to d"/>
        <s v="Have been waiting in my prescription for a month and still haven’t received. Sent in digital and paper copy that still had problem with them verifying and actually sending the prescription. So frustrating. Would not recommend VetSource for pet prescriptio"/>
        <s v="My dog is on RX dog food Hills Science Diet D/D. I decided to start getting it from you. I order it ( changing flavors/protein because the one I wanted said out or stock) a few days later I haven’t heard anything so I call/text and I’m told that it is wai"/>
        <s v="I have purchased many Milk Bone pill pocket packets. They usually come in 5 pouches per box which helps to keep them from being crushed in shipment. I usually purchase 4-5 boxes at a time. Shipping is slower then other suppliers."/>
        <s v="Cancelled my order saying supply of product from manufacturer was unavailable. So I went to another vendor who had no problem filling my order."/>
        <s v="Received my product of prescription kitty snacks quickly.&#10;Thank you"/>
        <s v="Pet flow has been very reliable. My dog’s food arrives as ordered, the food is fresh and arrives quickly&#10;I have had a few problems with the website where I could not change an amount on the “review your order” page, which was frustrating. However, calling"/>
        <s v="Very good service and fast delivery,I have no complaints."/>
        <s v="Items arrived quickly, before I was notified that they were shipped. One item was missing from the order, it took a few days before I received an email that the item was out of stock. Credit for the item came quickly. Very pleased with my purchase."/>
        <s v="Excellent Customer Service&#10;PetFlow inadvertently sent me an extra case of cat food. I alternate the types of food so I was fine with keeping the extra food but needed to pay for that one and add another of the alternate kind. The gentleman with whom I spo"/>
        <s v="Friendly when I had questions, FAST DELIVERY, easy to order quickly online😍"/>
        <s v="Efficient fast shipping and great customer service!&#10;&#10;Good selection of animal products"/>
        <s v="Very happy with products. Wish food was a bit cheaper."/>
        <s v="I had been looking for the puppy kibble our breeder has been using for their litter of puppies. PetFlow was the only site that carried it. Very easy to work with and on time delivery. Thank you."/>
        <s v="Staff is very friendly and helpful. There was a prompt response to my question. They have a vast selection and great prices. They came through when I had trouble finding my finicky cat’s food. They are my go to store."/>
        <s v="The constant urging to use &quot;auto-ship&quot; I can understand, what I can't understand is the meaningless one-time pittance of a discount as an incentive, coupled with an almost &quot;forced&quot; compliance by changing my selections to include it for me. It is the most "/>
        <s v="I tried to purchase prescription cat food for my cat on 5/6. The vet did not receive communication through you so I emailed and texted in a prescription on 5/9. Both of which replied and said it was sent to the correct team and should be processed ASAP. T"/>
        <s v="I needed to order a variety of cat food that had been sold out at local shops &amp; online retailers for some time. I discovered PetFlow through a link on the manufacturer’s website. I was skeptical that they could even deliver, but ended up being pleasantly "/>
        <s v="Easy to navigate site. prompt delivery."/>
        <s v="My second order experience was just as great as the first one. Great business!"/>
        <s v="My order is always delivered in a timely manner. If there is ever a question I get answers quickly in a professional and friendly way."/>
        <s v="Petflow has been my go-to for years now for a reason."/>
        <s v="Excellent availability of products, customer service, shipping, and communication!"/>
        <s v="So easy to order my pet's prescription meds on PetFlow. They contact your vet directly for approval which takes all the work out of my hands. Shipping is quick and its very easy to amend the shipment schedule if needed.&#10;Thank you PetFlow for such awesome "/>
        <s v="I was searching for a specific food for my new puppy that was not available in many places. Found it here, ordered and had it so fast it’d make your head spin ! Thank you ."/>
        <s v="I received my product before the original date. I was very impressed since I never heard of them but I will continue to use them. I highly recommend them."/>
        <s v="Excellent service and product!!!!! Our fur baby loves the Butcher Block Champ bones!!!!!"/>
        <s v="When the package came everything was so jammed in there that the Stella and Chewy patties were crushed. I purchased 3 bags of the Stella and each bag had broken pieces in there."/>
        <s v="Petflow had the dog food that I needed that everyone else was out of. It came quickly and without any issues. Their website was easy to navigate also."/>
        <s v="When other sites were out of the prescription food my dog needs, PetFlow was the only place I could find it and at a good price too. Delivery was fast also"/>
        <s v="Great service, competitive pricing"/>
        <s v="Petflow had a rocky start with me because it was difficult to get customer service, but they have improved so much in that department that a 5 star is appropriate. They are the only pet delivery that has my dog's dry food and they give a years worth of co"/>
        <s v="Delivery was okay, no issues with package or product, price okay too"/>
        <s v="Great company, fast delivery!"/>
        <s v="I order 2 eight pound bags of prescription cat food. Kept getting emails about it being backordered. On the website at Tim’s of purchase it stated they were in stock. Placed an additional order for two 4 pounds of same food and that was cancelled by petfl"/>
        <s v="Always helpful and answer my questions and concerns"/>
        <s v="Easy to use website and fast shipping."/>
        <s v="my order is always on time and very easy to order,"/>
        <s v="I made a large order, and you guys cancelled my order saying that it was a “fraud.” There was never a time where i got an email or any contact to see if it was a “fraud.” My dogs are now with no food due to this lack of responsibility. I was informed that"/>
        <s v="I love the service petflow provides. They have a huge variety of products. Plus they also offer great deals. Finally, I must say customer service is extremely friendly to use through texting. They'll help you right away. Thank you so much."/>
        <s v="I ordered prescription food for my cat. A week went by with no shipping information. I contacted Pet Flow and was advised that the food wasn’t even in stock, even though they got the approval from my Vet. Waste of time that I could’ve been searching for t"/>
        <s v="Ordered prescription food and insulin syringes for my diabetic cat. Syringes came a few days later the 3 bags of prescription food did not. After 10 days with no update I called customer service just to find out the food was out of stock. I was never noti"/>
        <s v="Great customer service and I really appreciate it!"/>
        <s v="Great site for dog supplies. Will continue to use if prices are good"/>
        <s v="I moved over to PetFlow, kicking and screaming, from Chewy. Chewy stopped carrying VeRus and PetFlow is now my merchant for all my canine needs. I could not be happier with the customer service. I like getting advance notice that my auto-ship is 'preparin"/>
        <s v="With the price of dog food getting more expensive, I was looking for the best price for Chicken Soup for the Soul canned dog food. Pet Flow had the best price when compared to other on-line retailers. This was my first time ordering from Pet Flow. The del"/>
        <s v="Always arriving promptly and the correct products in the order!"/>
        <s v="THE BEST PLACE TO PURCHASE ALL OF MY DOGS NEED. EXCELLENT SERVICE AND ALWAYS FAST . LOVE LOVE LOVESTELLA LOVES IT TOO"/>
        <s v="This was my first time using the site usually use a competitors site but this website showed up and I clicked to see what it was.&#10;The prices are similar to the site I usually use. Some of the items were slightly cheaper some more expensive.&#10;One huge con w"/>
        <s v="My ordered was submitted then cancelled days later. I would have just bought it somewhere else. Should have just said out of stock.. now I have to scramble to find food"/>
        <s v="Ordered hard to find diabetic cat food the the 8 lb. bags are out of stock at all 4 companies that carry it. Petflow shows on the site that the 4 lb. bags ARE in stock. Order on may 9th and vet approved, was told that on the 10th its send to the warehouse"/>
        <s v="Products are good but the ones I wanted were out of stock or very low."/>
        <s v="Great product, price, communication and transaction."/>
        <s v="I was very disappointed. I ordered my RX can cat food. The payment was made. The payment was returned. This is the first email from PetFlow. I have not received an email why my payment was returned or why I did not receive my order."/>
        <s v="Quick and easy - I just entered the order and the vet details and my order was on its way the next day!"/>
        <s v="My cat likes the Friskies sensation cat food.I wish Petflow has a larger selection of cat and dog food that weigh 16 lbs or less. as I grow older I find it difficult to lift bags over 16 lbs."/>
        <s v="Orders are accurate and delivered on time. Price is a little high at this time, but no higher than other sites are charging for same pet food."/>
        <s v="I've only used PetFlow once, first time, but everything was great. Easy to navigate the site, received order quickly, packaged safely. I had a general question, and customer service was very nice and knowledgeable. I'll be a repeat customer, and very glad"/>
        <s v="Frustrated with the lack of customer service regarding my cat food order. Our Vet's office personally called to O.K. a prescription diet for our cat as we could not find it anywhere and we were running out. We did not get any official notification that yo"/>
        <s v="My items from Petflow always arrive quickly and accurately. I enjoy using Petflow for my dogs needs! I highly recommend!!!"/>
        <s v="Trustworthy, accommodating, and much variety."/>
        <s v="Products ordered came quickly and accurately. The website makes reordering easy"/>
        <s v="We have shopped with Pet Flow for about 10 years and they always provide excellent service and products!"/>
        <s v="Ready for some Captain's Plate, Sardines &amp; Mackeral now! Look forward to this Against the Grain next, when they are available for purchase again.&#10;&#10;Thank you for getting this delivery to us as you were the only pet food company that could provide us with S"/>
        <s v="Every order I have placed has been canceled. I call to verify everything is ok daily. I am told that it’s being packed to ship. I call again the next day and am told it’s shipping that day. Both orders have done this. Usually 2 hours later the order is ca"/>
        <s v="I’m very disappointed as the item u always order was not in stock and currently remains out of stock"/>
        <s v="Fast delivery and they carry what I need."/>
        <s v="Petflow was very easy to order from and was shipped out almost immediately. The dog food arrived very quickly. I would definitely recommend them to pet owners."/>
        <s v="I've used PetFlow on and for 17+ years. The delivery has always been spot on but occasionally a food change required a different vendor. Glad I've returned."/>
        <s v="I am always skeptical when ordering from an online store for the first time. No need to worry about Petflow. My 3 bags of Dog food came in a timely manner and the packaging was neat there was no crushed bags. Very happy customer!!"/>
        <s v="I successfully ordered Prescription Hills M/D through you and later you told me you were out of stock. You should have known you were out of stock before allowing me to order."/>
        <s v="I had not used PetFlow before, but they were one of the few retailers that had the pet food I needed in stock. Their turnaround time from order placement to shipping was incredibly quick, as was the shipping time. They were also very communicative each st"/>
        <s v="I've always been able to change my scheduled auto shipment when every I need to. They are quick to response and send out packages very quickly. Been using this company for about 4 years and love their services."/>
        <s v="I’ve never dealt with an online pet store that was so easy to work with. They confirm my dog’s food prescriptions and still get the food to me in just a few days. I’m looking forward to buying treats and other supplies from them as well."/>
        <s v="Customer service was fine, but I could not purchase what I wanted to for my cat. I ordered veterinary products and I chose the vet I went to from the search. I knew Pet Flow (or Vetsource) would need to contact the vet but did not know how they would. The"/>
        <s v="I love the service I receive when I place my order. If I have any issues I call and the customer service is the best."/>
        <s v="Ordered cat food then received email that the order was cancelled because it was out-of-stock."/>
        <s v="PetFlow was a great shopping experience, but the shipping information was not accurate on the website. I did have to reach out to Customer Service to get the correct information. Other than that, no complaints. Will definitely shop with them again."/>
        <s v="Good communication and reasonable prices.&#10;Slow delivery time knocked this review down to four stars."/>
        <s v="It was nice that PetFlow actually carried the brand of dog food I get. I was excited to sign up for autoship so I could stop making my husband pick up the dog food, 23 miles away from me, on his way home from work. My order took over a week to arrive, did"/>
        <s v="Great quality of products and super fast shipping."/>
        <s v="Perfect&#10;Fast&#10;Efficient as always"/>
        <s v="When I was given a prescription for my cat that had just gotten a procedure to clear a urinary tract blockage, I tried having the prescription filled by my regular vet. They were out of stock of what was needed, so I turned to Petflow. All my experience w"/>
        <s v="Orders are shipped quickly. Prices are comparable to other companies."/>
        <s v="Timely delivery, no glitches and great product!"/>
        <s v="The products that I ordered were as described, at a fair price, and arrived on time!&#10;- very happy customer"/>
        <s v="I had never ordered from Pet flow before. Their website was easy and the cat food arrived promptly."/>
        <s v="I enjoyed finally finding a website that still has my cotton de tulear food that she has been on her whole life and seems to be selling out everywhere. I sure hope this website keeps it in stock for the next time I need to order it."/>
        <s v="I ordered a large pet carrier and was sent a small. I did contact customer service and they are suppose to send a large. That was a week ago so I am still waiting"/>
        <s v="Fast, easy, great price and I stick of my pups fave food!"/>
        <s v="Ordered for the first and last time when PetFlow was the ONLY place that had any of my cat’s specialty prescription food in stock. They said they called the vet office to confirm and approve the prescription but did not call the office I gave them and the"/>
        <s v="I use this site to order &quot;tracheas&quot; for my 2 dogs..they are a natural treat and my dogs love them. This company has been very good about getting my orders to me in a timely manner so my dogs never have to miss their Saturday special treat. I know their pr"/>
        <s v="I'm SO Thankful that I found PetFlow!!&#10;It's nice to know there are online options for my fur baby...the prices are Great and the fact that PetFlow gives back to pups in need makes me feel good.&#10;Thank you PetFlow!!"/>
        <s v="PetFlow usually has products other sites are out of! What relief. But stock up as things are getting harder to find. PetFlow delivers quickly and in good shape!"/>
        <s v="Said an item was in stock, when it wasn’t. I waited a week before being notified that it was even in the warehouse to be shipped. In the meantime I was counting on the shipment for my diabetic cat. I will never recommend or give the company another try."/>
        <s v="Great transaction, good price, free delivery."/>
        <s v="Quality, communication and price!"/>
        <s v="I have 5 cats. Two of them are eating special food for health issues. It has been hard to find canned food, especially ProPlan, since the pandemic. I have to search for cat food EVERY WEEK at the 3 pet stores in our area, which is very stressful. I was so"/>
        <s v="When i had a problem you fixed it fast, ty"/>
        <s v="I buy birdseed in 50 lb. quantities. Theseed quality is excellent; the mixes are well balanced, and the seed is fresh and viable so I am able to germinate some to use as soft food to my birds. The price was reasonable when so many others are using inflati"/>
        <s v="I’ve always had a great experience w Petflow. I even found a better deal at another site and wanted to cancel my auto ship. The customer service rep gave me a discount instead and I kept my auto ship active and it’s still active today! Excellent customer "/>
        <s v="Only place I could get this Hill's formula dry food for my cat. My cat is fussy and won't eat other dry foods."/>
        <s v="Petflow customer service agents are efficient yet courteous. The company clearly embraces the concept of the customer is always right. I've been using this service for five years and have always been pleased."/>
        <s v="Service and customer service is excellent!"/>
        <s v="This was my first time purchasing from this company. I attempted to purchase 6 items. Of the 6 items that I ordered, I only received 2. Those 4 items that I did not receive, 3 were charged to my credit card and then I was notified after the fact that thes"/>
        <s v="Easy to order online &amp; customer service is quick to respond &amp; resolve any issues. Will order again!"/>
        <s v="I love PetFlow! Much better than Chewy!"/>
        <s v="The ease of changing or adding to existing orders could be just a little easier. It's much-improved from what it used to be, for sure, but it still takes far too long to setup an order for auto-ship. Make it easy and more efficient, PLEASE!"/>
        <s v="Every order is fulfilled quickly and accurately and then shipped really fast. I love PetFlow!"/>
        <s v="Was very disappointed with shipping time for this order. And delivery information was delayed twice"/>
        <s v="While I wish Petflow did not use FedEx (I did not get my package, or replacement package), Petflow was wonderful through an annoying process."/>
        <s v="Quick delivery on the dog food I ordered. I’m thankful for Petflow because they carry Canine Caviar which is a hard-to-find dog food. My French Bulldog does great on this food (no allergies)."/>
        <s v="PetFlow has great pricing and fast delivery. They also have great customer service who do a fabulous job of following up on your order! I will definitely be ordering from them again."/>
        <s v="Super easy to order from and they shipped our food and treats quickly!"/>
        <s v="Quick ordering process and they obtained the prescription from my vet just as quick where other sites never completed the process. It was smooth and I will order again."/>
        <s v="The Petflow site was easy to navigate. I found the size of the dog food bag I wanted for the right price. The communication was superb, including delivery information . I would order from them anytime"/>
        <s v="happy with my order, pup got a really cute stuffed LLama that I had my eye on, for quite a while, price was excellent, also, bella pate, not always easy to find in a retail outlet............."/>
        <s v="The case of Hill ID Digestive care was delivered damaged. When I opened the case three cans were blown and the rest had visual damage to each can. I called Pet Flow to advise and wanted to send the complete case back to them. They said prescription dog fo"/>
        <s v="I placed an order for a second time with petflow.. first time was great, however this second order never shipped and upon inquiring about the status, I was informed that “our fraud department suggested we not fill this order, take care.”… what?"/>
        <s v="Quick cat food shipping, fair price and easy ordering. All good."/>
        <s v="I ordered two packages of dry cat food : Hill's Prescription Diet Gastrointestinal Biome Digestive &amp; Fiber Care Chicken Dry Cat .&#10;I used to order it on Chewy.com or Amazon.com. For medical reasons my cat needs this food. Unfortunately and for an unknown r"/>
        <s v="took longer than we thought, but it was ok but everything was good"/>
        <s v="This was a remarkable experience! I received the wrong order. I meant to purchase 2 bags of lamb and peas large breed. I received lamb and rice. I called and the same day they shipped the correct 2 bags I wanted!&#10;This is a model example of perfect custome"/>
        <s v="Ordered my pets food that needs a prescription. You said it was in stock! I looked for a way to email the prescription to you but couldn’t find one on your site.&#10;&#10;I gave you all the information you need to verify and order to food from my vet. A week late"/>
        <s v="Product packed well. Great communication."/>
        <s v="Easy to order through my vet and super fast shipping! No complaints!"/>
        <s v="The product came on time and as described. Can't wait to order from them again."/>
        <s v="We are now 7 days beyond the promised delivery date. when I contacted the company they said I should have planned better. I'm wondering if the company even has this product!"/>
        <s v="First time I ordered from Pet Flow, my order was cancelled by PetFlow because my items were not in stock after I ordered them. However, I had been charged via Pay Pal and then had to wait for a refund. Needless to say I cancelled my auto shipment and will"/>
        <s v="My pets prescription food has been out of stock everywhere for weeks. I was recommended a replacement to help my cat while I tried to find something in stock, but then I found his diet in stock on pet flow so I chose to purchase that. Almost a week later "/>
        <s v="I was told to mail in the prescription for the product.Than I got an email that they did not have the product and now I don't have the prescription.&#10;It would have been a lot easier if I was told they did not have it."/>
        <s v="PetFlow has always delivered when expected. There have been a very few rare occasions when something happened due to the courier service, but PetFlow made it right immediately. Also, the food I buy is hard to find in local stores, but is available through"/>
        <s v="Very happy with the experience, customer&#10;Service very pleasant, and speed of order. Sorry the food is out of stock still, but would order here again once it comes back in. Thank you!"/>
        <s v="Though my order was sent to the wrong address the company made it right by resending the product to the correct address quickly and without a hastle"/>
        <s v="Easy to order, delivery was great."/>
        <s v="Quick shipping and responsive staff to customer inquiries"/>
        <s v="Seemed to take a long time from order to delivery but mist disappointing was a couple of the cans were dented and leaked all the liquid throughout the box."/>
        <s v="Excellent service, prompt delivery. Able to purchase an item I couldn’t find anywhere else."/>
        <s v="Needed to return a bag of cat food that my cats did not do well on. Wanted to exchange for two bags of a different food. Was a simple process involving one phone call. Received a return label to send back unopened bag of cat food and received my replaceme"/>
        <s v="Fantastic service! Quick delivery and the food was unspoiled and not damaged. Will be coming back for more! Kitty thanks you too 🥰🤗"/>
        <s v="PetFlow does an outstanding job when it comes to providing timely deliveries. They also have a wide variety of products from which to choose. Thank yu PetFlow!"/>
        <s v="I have discovered petflow to be a resource to depend on.&#10;The last shipment of the blue wilderness (Turkey) of which&#10;I usually order the 2 pack of 24 5.5 oz cans @ $60. free&#10;shipping included was received minus 1 carton. A quick call&#10;to Petflow with no has"/>
        <s v="They had great products to choose from. That arrive on time and fast for all things I have ever bought."/>
        <s v="There was some confusion about what and when my order was to be shipped. After a few messages my order was delivered and all was well."/>
        <s v="I went with PetFlow for our dog's food because they had the cheapest shipping rate. My surprise was although it was the cheapest it was also the fastest."/>
        <s v="Ordering was very easy and they had a much quicker processing time than other places. Customer service was very friendly."/>
        <s v="My latest order of two 15 pound bags of Fromm dog food arrived in a box that had been badly damaged and the top bag of food had a four inch slash in it. Dog food had leaked out all over my porch and entryway and, no doubt, in the FedEx truck!&#10;&#10;Pet Flow im"/>
        <s v="Prescription product was supposedly in stock until I found out days later"/>
        <s v="My dog food order always arrives exactly when promised and that assurance is why I have been a PetFlow customer for such a long time."/>
        <s v="Have been getting my dog food auto shipped for many years! I am very pleased with the delivery. Always on time and always in perfect condition. I have not ever experienced a problem!"/>
        <s v="Twice in the past week I have ordered cat food that was shown to be &quot;in stock&quot;, only to get an email a few days later telling me that it wasn't available. That is very frustrating and quite annoying and doesn't make me want to order from them again."/>
        <s v="Excellent Customer Service and Customer-Friendly policies.&#10;I had ordered Ver Diet food for my cat. I used 1 can out of the case and it turned out that my cat was allergic to the food.&#10;&#10;OI called Petflow Customer service to see if there was someplace local"/>
        <s v="I had never heard of PetFlow before, but after another company I use for pet supplies didn't have a brand I was looking for, I did an online search to find where to buy my product. PetFlow came up as being one of the companies that carried it. After resea"/>
        <s v="Fast service and delivery. I had emailed customer service and they responded quickly."/>
        <s v="Everyone was out of a particular flavor of the food my kitties really like. I added my name to be notified when it was back in stock and they did that promptly. My order experience was wonderful ... everything I ordered came thru promptly and in good orde"/>
        <s v="Got the wrong product, they did reach out but still waiting to see how we go about sending it back and get our refund.&#10;Fran Dolmage"/>
        <s v="I place a large order for dog and cat supplies on Wednesday. It received an order confirmation with tracking number. The following Monday I recieved an email saying my order would be delivered tomorrow (Tuesday) by end of day.&#10;When my order did not arrive"/>
        <s v="Website was easy to use, but unfortunately it said that one of the items I purchased was in stock, but days later I received an email that said that they actually did not have it in stock since it's backordered. They said I wouldn't be charged until they "/>
        <s v="Was so happy to find and buy these bowls!&#10;Needed small ones - ✔&#10;Needed stainless steel - ✔&#10;Needed weighted bottoms - ✔&#10;Pretty fast shipping - ✔&#10;Thank you so much PetFlow."/>
        <s v="Prices are reasonable. Shipping is fast. Happy with the ordering!"/>
        <s v="My order was cancelled because my vet for some reason wouldn’t approve the prescription food request from Petflow and said I had to give Petflow the written prescription I have. I could not find a way in Petflow systems to upload the prescription form on "/>
        <s v="You guys really should say that you have products available for purchase if you literally don’t have any in stock….."/>
        <s v="1st order - Most cans dented, 7 unusable. Customer Service ordered replacement. The replacement got cancelled as they were out of stock. I had to call again to get the refund, the system didn't know it was a replacement.&#10;&#10;A week later their site says In S"/>
        <s v="Get my name right, I did happen to type it out on my information portion of my account. Not hard figure out."/>
        <s v="Best price, service and product!"/>
        <s v="Great price! The shipping was good and everything arrived as expected. I will order from PetFlow again!!"/>
        <s v="Absolutely terrible. They list food in stock that they don’t actually have. They then hold funds for two weeks to then cancel the order.&#10;&#10;Get organized and be honest about what you really have in stock."/>
        <s v="Always get what I order in a timely fashion."/>
        <s v="They executed the order beautifully. The box arrived as expected. I ordered sealed dog treats so I have not opened fully yet.&#10;&#10;This is my second order and they have not done well on both."/>
        <s v="One of the few places that has grain free greenies and can ship them expeditiously."/>
        <s v="The product I ordered was shipped and delivered within 3 days! That’s amazing!"/>
        <s v="I was lied to from customer service. They also implied that i was stupid. We live out in the sticks and they tried to convince me that fedex was going to deliver to me on Easter Sunday. I do not appreciate being lied to."/>
        <s v="Your delivery is exceptional! I am also pleased that you carry fromme!&#10;There aren’t a lot of pet stores that do!"/>
        <s v="Easy to order, Great prices, Fast shipping.&#10;Thank you, PetFlow."/>
        <s v="Always have what I need and receive it in 2 dsys."/>
        <s v="You take orders for items you don’t have available"/>
        <s v="Order filled promptly and delivered very timely. Great service."/>
        <s v="There was a bit of confusion between PetFlow and the vet. I received an email 4 days after I placed my order saying the vet had yet to respond to the prescription. The vet said they had no record of being contacted. But after I gave the phone number to th"/>
        <s v="Shipping quick and correct. Products excellent and as described."/>
        <s v="Easy, convenient to use. One of the items I ordered was no longer in stock. I was notified and refunded immediately. There is a wide range of products available to chose from at very competitive prices. Great service!"/>
        <s v="My dog now needs kidney support food. I ordered her kibble and Pet Flow contacted my vet for authorization. We had her new food in 5 days. Thank you, Pet Flow, for being so prompt in responding to my request!"/>
        <s v="Advertised dog food they didn't have. Felt i was suckered in to get personal information. Ordered food twice. Website said in stock. They canceled both orders saying didn't have yet didn't change status on the website. Had also enrolled in autoship. Websi"/>
        <s v="I ordered food and have been waiting for a response. Let you with my vets numbers and even left a text (per instructions) and nothing. I’m still waiting for any sort of reply"/>
        <s v="I ordered a type of prescription dry cat food made by Hill's. Hill's said you had i in stock, and so did your website. I placed my order, with veterinary information for prescription approval. This probably took one day, not more than two. But as time wen"/>
        <s v="Awesome company. Will definitely be using them moving forward to order my dogs food :)"/>
        <s v="Item showed in stock. Took almost a week for them to state it wasn't available and to check back for when it's in stock. Yet when I looked at their website they didn't change the item's availability. So just keep taking people's information even though it"/>
        <s v="When I order it says you have product. A week later you say you don’t have it and cancel order. You need to change this. No for sure what is in stock. This has happened to me before. Non way to run a business. You don’t care about the customer. Doubt I wi"/>
        <s v="We have ordered dog &amp; puppy food from PetFlow for many years and always received excellent service. On our last order of 7 bags one of the bags was out of the box. It had been torn open and taped shut with clear shipping tape. There was a Fed Ex label on "/>
        <s v="Easy ordering and perfect delivery."/>
        <s v="Product bought as advertised. Online sales works perfectly. Shipping was fast. This is my second transaction with this company and am very pleased."/>
        <s v="Ordered veterinarian prescribed food for diabetic cat and was advised through email it will ship within 1-2 days. Was then emailed 6 days later with a full order cancellation. Not being aware of how to fulfill orders due to inventory issues is one thing a"/>
        <s v="Ordered but had to update my credit card. Thought the order was canceled after several attempts. After updating the card, all orders went through and were processed. Now I have three bags of food and spent more than that I intended to."/>
        <s v="Placed order based on website saying product was in stock. Vet approved prescription dog food in one day. Contacted customer service twice over 8 days to determine order status, finally on day 9 we received an email saying the product was not in stock and"/>
        <s v="The PetFlow website listed for sale prescription cat food that, it turns out, was not in stock. When I ordered that food apparently no one checked whether it was in stock, and my order was processed. I then had to jump through a number of hoops to get to "/>
        <s v="One of the kitty litter bags had small tears in it so about a third of a cup was spilled in the box."/>
        <s v="This was a good experience overall. Products we wanted were available and reasonably priced. We even tried a new product that is now a hit in our household .... thank you!"/>
        <s v="PetFlow has everything I was looking for. The items I ordered were delivered promptly without any damage to bags of kibble or cans. I’ll definitely keep ordering from PetFlow."/>
        <s v="Never received the product, After a couple weeks the order was cancelled since the product was never available to begin with. Apparently, PetFlow has no idea what their inventory actually is. I was never actually charged for the product."/>
        <s v="I love Petflow.com because they are not the big guy. They are all pet passionate people like me. They carry products I trust."/>
        <s v="Simple to order and came amazingly fast."/>
        <s v="Your customer service was, as usual, excellent, But the delivery service was not up to par because they changed the delivery date a few times, ‘tho that may have been due to weather problems which understandably is out of anyone’s control,"/>
        <s v="Great competitive pricing. The only complaint is they make it difficult to cancel existing programs. You have to place a phone call in order to do this. They do not make it possible online through your account."/>
        <s v="Customer service was easy to get in touch with and very courteous."/>
        <s v="Customer service responds quickly; very helpful &amp; courteous!- a pleasure to do business with!!"/>
        <s v="The item I ordered was ( and still is ) shown as stock on the website. It is NOT in stock. Had it been out of stock I would not have placed the order. When I called PetFlow to see if they had inventory they told me they could not check because the prescri"/>
        <s v="Mostly all my goods are damaged. Cans are bent and creased and half the treats are in the bottom of the bag for my rabbit treat sticks."/>
        <s v="I am aware no one can predict the weather. But this particular order was important. On two separate occasions I was informed my order would arrive , as it is I am still waiting. Below is the time frame, which honestly is ridiculous.&#10;YOUR PACKAGE IS&#10;On Its"/>
        <s v="I am very satisfied with Petflo and the customer service. I had to call to make a change with special instructions before my delivery and the representative was able to take care of that for me promptly, without any hesitation or any issues. I would defin"/>
        <s v="I will start by saying they ALWAYS have what I need in stock which is a huge plus. My two main issues are longer shipping times and the last time I ordered I accidentally ordered the wrong size can of food because the picture was of a smaller can. It was "/>
        <s v="High quality difficult to find dog food at reasonable prices. Fast delivery with free shipping with minimum purchase of $50 I believe is the current threshold. Been ordering Fromms Gold dry dog food from them for years, and it is always fresh and genuine."/>
        <s v="I love PetFlow! The site is very user-friendly and customizable.&#10;I don't like shopping and their home delivery makes getting my pet's food a breeze.&#10;And they carry my preferred brands."/>
        <s v="I looked Everywhere for this particular Hill's Science Diet Adult Tender Chicken Dinner Canned Cat Food 1 to 6 yrs.and you Folks were the Only Online Business that carried this Product for my Cat. It arrived safely at my Front~Gate... I live in a very Rur"/>
        <s v="I have used Pet Flow foe about 12 years. They have any thing you want&#10;relative to dogs and deliver it quickly. They can put you on a program for delivery so you don't have to call them. They also can deliver to other addresses if you happen to be out of t"/>
        <s v="They kept messing my order up double charged&#10;and one of the phone operators was very aggravating"/>
        <s v="On my first order, I ordered one small bag of dog food, my dog has a few food allergies and this was a new flavor, so a 4 pound bag would do. Upon arrival, I always check the expiration date on all food I order and noticed this bag was about to expire. I "/>
        <s v="Shipping was not as quick as it said, but once I called them they looked into it they made sure it went out that day"/>
        <s v="Shipping is fast and dog food is fresh!"/>
        <s v="Quite frankly, my disappointment is because I really didn’t order this time. My order was processed without me hitting the accept” button. It was sent any way."/>
        <s v="I chatted with a rep to see if Petflow carried Taste of the Wild wet food. It was out of stock, and rep asked if I’d like and email when the product came in. They emailed me it was in stock, I ordered it and it was delivered. My dog is a very happy pup no"/>
        <s v="Had a difficult time find the dog food and found it here! Quick delivery."/>
        <s v="You charged me for prescription cat food and for non prescription cat food, but only delivered the non-prescription cat food."/>
        <s v="One of the few sites that has Fromm dog food! Quick free delivery. I also like your give back to the pet community policy."/>
        <s v="Fair prices and very fast free shipping. I will shop here again."/>
        <s v="Fair prices, fast shipping, large assortment of products."/>
        <s v="I ordered a prescription dog food that was listed as available, then wasted time and attention coordinating with our busy Veterinarian. Was never advised the item was on back order and had to reach out to the company to find out the dog food hadn’t been s"/>
        <s v="Easy online ordering. Usually has what I need. But doesn’t ship as fast as other companies"/>
        <s v="It has been almost two weeks and I have not received my order. I called to inquire where it might be,I was told to call Fed Ex. The folks at Fed Ex told me they couldn't deliver my package because the road was to muddy,although the mail has been delivered"/>
        <s v="Ordered two items but only one was available. Real time inventory to indicate whether stock is available for purchase would help the customer."/>
        <s v="Great selection, great prices great service...."/>
        <s v="I am unable to cancel my automatic shipment. Why is it so difficult."/>
        <s v="I was able to purchase cat food here that I couldn't find anywhere else. Delivery was quick."/>
        <s v="My order did not arrive on time and my puppy was getting low on food but their customer service was friendly and willing to do whatever to make it right. I appreciate the customer service and how easy it was to connect with someone through text to explain"/>
        <s v="The canned cat food I ordered from PetFlow was out of stock at other major online pet supply retailers for extended periods of time. This special food was less expensive at PetFlow and arrived quick. My order was packed in a sturdy box with adequate packi"/>
        <s v="I have been trusting my pets needs to Petflow for several years now. My food is on auto delivery, and can be changed as needed, with no problems. The Customer service has been excellent. I have had a small issue here and there, and they take care of it ri"/>
        <s v="Right in time delivery. Fresh food! My GSP thanks y’all!"/>
        <s v="Good company to deal with"/>
        <s v="Great user friendly site; delivery has been fairly quick too. I appreciate the auto order program."/>
        <s v="I placed my order for my dogs kibble. It arrived in 2 days. Amazing so happy with petflow!!"/>
        <s v="PetFlow makes it easy to use their Autoship, easily change the dates(They let you know when it's getting ready, so you can speed it up or slow it down), and the dog food prices are very competitive, plus it's delivered to my door!"/>
        <s v="Excellent service. Quick delivery"/>
        <s v="I received the wrong size canned dog food. They could not help."/>
        <s v="Do not buy!!! First order wrong canned food, then didn’t have inventory to send correct food with no time line then requested refund after I returned wrong food next day to them and still one week later no refund."/>
        <s v="Quick and efficient delivery of prescription dog food that was out of stock at other online retailers. Petflow contacted my veterinarian right away for approval after I placed my order. Very happy with the customer service."/>
        <s v="Excellent customer service and lightning fast shipping. The Fromm's Crunchy O's are my dogs favorite treats and I couldn't locate them while traveling on our RV. I found Petflow and stocked up!"/>
        <s v="Excellent customer service and amazing shipping! THANKS FOR MAKING IT SO EASY TO ORDER!"/>
        <s v="Great shipping"/>
        <s v="Excellent Service, Fast and Friendly."/>
        <s v="The order was shipped quickly and with no problems! An easy smooth transaction!"/>
        <s v="Made the switch from the other options out there about 8 months ago and could not be more impressed. From the selection, freshness of product, speed of shipping (that puts the others to shame - not to mention arriving very securely packed without the dent"/>
        <s v="I needed an addition to my regular order and it was taken care of efficiently and expeditiously."/>
        <s v="I've been a customer of Petflow for 5 years and they are an excellent, reliable company. I rarely have an issue and when I have it's usually not on their end, but more so on the shipping and delivery end. Nevertheless, Petflow customer service always make"/>
        <s v="Best company to deal with. Unbelievable customer service!"/>
        <s v="Love buying from PetFlow. Prices are great and shipping is super fast. Am a repeat customer."/>
        <s v="Great online store.&#10;Lots of products. Good prices.&#10;And excellent customer service support team!"/>
        <s v="I give one star because I never actually received the dog food I ordered. I placed an order for prescription dog food, received notice there was an issue with the prescription so I called the vet but was told the issue was not on their end. Then, petflow "/>
        <s v="I have a 3-legged cat that was shot before I adopted him. Willie is a special guy on a special diet. I was running low. Several pet food outlets said they had none and weren't expecting to get any. Maybe it was discontinued.&#10;I should look for a replacemen"/>
        <s v="Products have always been delivered on time. Website for updating/canceling orders has had glitches on several occasions."/>
        <s v="I thought it took to long to receive my order."/>
        <s v="Hands down the best price in bulk cow ears for my dog! A local shop wanted twice as much for the exact same product. Customer for life here!"/>
        <s v="I was looking for a place that sold the food I need for my dogs at a good price, and I have found it!"/>
        <s v="I have been trying to find a prescription food for my cat and was delighted when PetFlow’s website said they had it in stock. Unfortunately it turns out that it’s probably not in stock. The website should be updated appropriately. Responses to my emails w"/>
        <s v="Easy to navigate web site, fast and efficient online ordering and delivery."/>
        <s v="The shelves were bare for the cat food that I have been feeding my cat and I couldn’t find her food anywhere. I called the company that makes her food they were out too, but I was told of a place to call, low and behold they had her food so I bought a cas"/>
        <s v="Treats almost expired. In a very recent order, I purchased multiple bags of Merrick dog treats . I just realized they all expired already."/>
        <s v="No other supplier had this cat food, and my cat really needed it! Fast delivery and service I'll buy again!"/>
        <s v="I am a returning customer, Pet Flows prices and their customers service are exceptional. I will not shop anywhere else for my doggie food."/>
        <s v="I couldn’t find my Yellow Lab her food anywhere ! I’m used to it being delivered on a regular basis. My vet found you online and let me know. Thanks to you she has her regular diet !!!"/>
        <s v="PetFlow provides and delivers product as expected. The four-star rating is because of their return policy which is stricter than the other online pet sites."/>
        <s v="Great customer service and very fast delivery! Thanks!"/>
        <s v="Petflow has always come through on my orders. Delivery is prompt. Only issue is every so often Delivery service is a little rough with the package 📦. But that's on them not Petflow Only once damage was excessive called Petflow and they took care of it."/>
        <s v="Our cats require a prescription food. Petflow has always had it in stock when others have been out of stock. A real life saver! We've never had any issues with PetFlow."/>
        <s v="Our order shipped so fast! Very happy with you!!!"/>
        <s v="I ordered 3 cases of canned dog food. One case turned out to be something different, so I called Petflow and they gave me a credit for the wrong food.&#10;I donated the case to a local Animal Shelter and I was happy with their service."/>
        <s v="Great price on the right product. When I needed help with the order, telephone help was easy and effective with no wait time."/>
        <s v="PetFlow has the products I want at a reasonable price. Delivery is great."/>
        <s v="Very hard to find my dog's prescription food, but you had it. And sent it to me quickly. Thanks so much."/>
        <s v="I truly love all the products, my dog Ginger loves them too. You are an excellent company, I really love doing business with you. You are fast and I have never&#10;had a problem with you. Thanks, Connie Sower"/>
        <s v="Great company to work with. Provides excellent customer service."/>
        <s v="Been very happy with the price I pay for my dog food. Good selection of other items for my dog. Fast delivery."/>
        <s v="Best customer service. Calls are actually answered quickly by humans that are always helpful and resolve issues."/>
        <s v="My last order was supposed to be 100 canine caviar buffalo toothpick dog treats - I was sent one in a box, so I was 99 short. Not the first time that has happened either. The most frustrating part about this time was that when I called customer service th"/>
        <s v="Vet approved! And I'm a vet ;)"/>
        <s v="I never received my order. Told my credit card was not valid. IT WAS A GOOD CREDIT CARD. There was nothing I could do to correct any info. So as a result, I will not be using your website. Sorry, I like convenience of shopping on line."/>
        <s v="The entire process of getting my dog's prescription liver support dog food was quick and easy."/>
        <s v="Great prices, fast shipping, and easy to use website. What's not to love? My new go-to place for everything my Maltipoo puppy needs."/>
        <s v="Your customer service team is fast, efficient and respectful. Thank you for hiring outstanding people."/>
        <s v="Whenever I've contacted customer service, they have always been very helpful and so nice! Their pricing is great and shipping is fast!"/>
        <s v="I am very satisfied with PetFlow feed products. I find this company dependable, while trying to keep costs within reason for the consumer. I like the convenience of many products available for dogs as well as cats. Free shipping is appreciated with prompt"/>
        <s v="My order was accurate, prompt, and a good, competitive price. So thankful we found you! We will be reordering for our sweet pups and kitties!!"/>
        <s v="First shipment of dog food was good. Second shipment had the wrong food shipped."/>
        <s v="They had what I was looking for , Delivery was quick and easy"/>
        <s v="Love the selection and the speedy delivery!"/>
        <s v="I used Amazon subscribe &amp; save for years but in the last couple of years it either is not in stock or shipping takes 7-10 days. PetFlow has no supply issues, ships immediately and is cheaper. Needless to say, I have switched both subscriptions to PetFlow!"/>
        <s v="My dog needed her prescription dog food.. My normal supplier had been out for sometime. I was in a panic, reached out to Petflow, explained the situation how most pet supplier's were out of stock of the Hill's i/d small bites food. Petflow reassured me th"/>
        <s v="Petflow never fails to provide quick turnaround times and has the food that's best for my dog. Their Customer Service folks are the best."/>
        <s v="They have the dog food I want at a price I like!"/>
        <s v="Ordered Little Stinker pads. Received in record time. Good price."/>
        <s v="Fast ship&#10;Great product line"/>
        <s v="I was excited to find PetFlow. I ordered my cat food on March 24,2022. It is now April 5, 2022. I have yet to receive my order. I am waiting and hoping it will come soon."/>
        <s v="PetFlow had my hard to find dog food in stock. Ordering was easy and shipping was very fast (2-3 days). Second time I've used them and will continue to do so in the future."/>
        <s v="Easy ordering, quick delivery. Great customer service!"/>
        <s v="I am pleased with the ease of ordering. I’ve found quick delivery on canned food but the large bags of dry food usually take a lot longer to receive."/>
        <s v="Everything went very well!!&#10;Thanks for thst!!"/>
        <s v="Although their losing me as a customer is out of their control I’m unable to give them a better review&#10;Perhaps if their leadership would utilize a more reliable carrier than Fedex they’d get my business back&#10;They do have excellent customer service and I l"/>
        <s v="Ordered Hills Rx dog food. Item was shown as in stock, with anticipated shipping date. Order was accepted. Days later I received an email stating food was out of stock…I thought good was on its way and it wasn’t even in stock. Not a good experience..first"/>
        <s v="Excellent website that makes ordering pet products a snap especially repeat orders. Really appreciate the fair prices and reasonable shipping rates."/>
        <s v="Web site shows product (prescription pet food) in stock. We ordered it and were charged. Called to check on order and told it will ship next Monday. Several days later, I get an e-mail saying the product is out of stock and my order is being cancelled. So"/>
        <s v="Purchased a cat harness. Sizing was accurate and quick delivery!"/>
        <s v="I like the great service with Petflow alot. Time and time again they have what I need for my pup!"/>
        <s v="All went well. Thank you."/>
        <s v="These ppl are so dumb, don’t bother with a third party place. Was with chewy for five years never had a problem had to switch to these *^%** for prescription food, been with them for 3 months and had to call 4 times in one wk b/c they couldn’t get anythin"/>
        <s v="Quick service, company had product not available at other sites."/>
        <s v="Petflow was the only store I could find that had the cat food I needed in stock. Their price was competitive and they had free shipping. The case of food arrived right on time."/>
        <s v="Fast shipping, good communication 👏"/>
        <s v="Great quick service. Always reliable."/>
        <s v="Excellent customer service. I had a problem with one of the items in my order, but the issue was quickly resolved. I highly recommend Pet Flow."/>
        <s v="You showed 5.5 oz cans in the photo and sent me 13 oz cans&#10;Very misleading"/>
        <s v="This company took my order for prescription dog food and sat on it over a week before canceling my order because it wasn’t in stock. By then my sick dog had run out of food and I had to order from somewhere else."/>
        <s v="Not much to add to the 5 stars. I had to call them about my billing address and they were great to work with - friendly, attentive, and very helpful."/>
        <s v="I have only done 1 set of purchases so far, but am very pleased. PetFlow had cat food that pretty much all other sites and stores do not. And, delivered as quickly as Chewy.com would have."/>
        <s v="Petflow had our Hills prescription food in stock and shipped it to us in j just a few days.Chewy stopped stocking our food a while ago.Thank you Petflow"/>
        <s v="Product in stock as needed and always shipped promptly"/>
        <s v="We are elderly. Wonderful that the heavy dog food bags are delivered to our front door."/>
        <s v="You keep on accepting my order and then you later say it is out of stock. Why not refuse to accept the order that you do not have in stock."/>
        <s v="You asked so even though I know it is horrid times to expect our shipments to to be filled 100%, because it was my dog’s only source of food and not to be notified, until shipment day you didn’t have it, wasn’t what I would have expected. Notification so "/>
        <s v="Service was awesome! Wrote an email asking about my order and it was not even an hour and I heard a response. I am a customer for good now!"/>
        <s v="I have a cat who has no teeth.&#10;Finding “squeeze” treats he likes has been a challenge.&#10;My cat loves these treats!&#10;Plus they are healthy treats."/>
        <s v="Good, fast service. Good prices."/>
        <s v="I’m very satisfied with my order from PetFlow. Due to the product I ordered, PetFlow had to notify my pets veterinarian &amp; they did this quickly.&#10;Therefore, I received my order within days!&#10;I will Definitely be ordering from them again!"/>
        <s v="You had what we were searching everywhere for. Unfortunately, 2 days afterwards, the quantity was cut in half. 5 stars for a full order, but only 4 for taking away a bag of rabbit cookies."/>
        <s v="Horrible! The lack of communication with the company and warehouse. I called and was told I would receive a call back and never did. They had me counting on a shipment for over a week and canceled it 8 days later due to “no product “ and for me to find ou"/>
        <s v="Excellent service of our favorite dog food! Fromm is the best food!"/>
        <s v="Website is easy to navigate, great pricing and orders ship out quickly...autoship makes it simple to ensure Ms Hunter always has her favorite food in her bowl!"/>
        <s v="Glad I found you. Shipped order right away, you made my dog very happy!"/>
        <s v="My 11 year old diabetic cat was out on a diet of Royal Canin PV diet. Absolutely, NO ONE had this food. I found PetFlow while surfing the web one night and saw that they had the food I needed. I ordered the food. There was a bit of a delay with my prescri"/>
        <s v="Petflow is awesome! Great customer service!"/>
        <s v="Fantastic customer service, great prices, fast shipping. I am trying to purchase less from large retails (like you know who) and haven't had to for any pet food or most pet supplies since finding PetFlow."/>
        <s v="Dog won't eat the food is so stiff if won't come out of can"/>
        <s v="My second time buying my pet food at petflow , what I like the most is the possibilito buy two packs with a better price. The delivery is free and is ok , not to fast but ok , is good to know that it took 5?to 7 days to delivery than you need to buy in ad"/>
        <s v="The process to order a prescription food is ridiculous. The instructions on how to handle the prescription are incredibly unclear and the expected timeline of when your order will be delivered even more confusing. I placed my order, immediately emailed th"/>
        <s v="Great service. You had the cat food I needed when every other place was out of stock. Prompt delivery. Thanks so much!"/>
        <s v="Availability of special diet and fast, friendly customer service."/>
        <s v="No problems. Quick and efficient"/>
        <s v="Great customer service. Always have the products that I need when I need them. Thank you PetFlow."/>
        <s v="I have been ordering from Petflow for sometime now, and I truly love it. ❤️ It's hard to find certain brands, like Fromm from your local pet stores, so I airways shop here. Did I mention shipping is pretty fast. I am happy customer:)"/>
        <s v="I was able to find the food for my cat here.He has IBD and can only eat certain foods. These kind people give great service answered all my questions. I’m very pleased with Pet Flows service."/>
        <s v="I buy crickets very often. I got 50, and 15 were dead, usually always there are some dead but this time the number was higher, not good!"/>
        <s v="Very satisfied with my order! I was notified when the treats my dog eats we’re available. They contacted her vets for the prescription information &amp; sent out immediately."/>
        <s v="Ordered prescription food on a time crunch, confided 3x with customer service it was ordered, confirmed and waiting to ship and then finally cancelled after a week. Horrible service"/>
        <s v="My dogs love the Buffalo treats! Great value and service."/>
        <s v="They always have what my parrots need and everything is fairly priced."/>
        <s v="I was able to connect with customer service about issues with my prescription and they took care of it and I received my cat food thank you"/>
        <s v="Very user friendly process, good variety of product, reasonable prices. Love the free shipping with orders over $50! Keep up the great work!"/>
        <s v="Good products and good service and delivery"/>
        <s v="My dogs' food was not available where I usually purchase it, so I tried PetFlow. They had the food and I received it the next day. I was so pleased to find a company that stocks the dog food I use and sends it quickly and efficiently. I have since used Pe"/>
        <s v="After being informed in the 11th hour from another site that my auto ship dog food was not in stock and the order could not be filled, I went to the Pet Flow site. They had the food I needed and it arrived as promised. I was very impressed and grateful."/>
        <s v="First shipment was short, contacted customer service via e-mail and a replacement item was shipped immediately. Great customer service."/>
        <s v="Very happy you carry Verus- delivery is quick!&#10;Thank you"/>
        <s v="PetFlow was fantastic. Food was in stock at a great price - even though bigger companies did not have it claiming supply chain problems. Delivery was super speedy. Customer service prompt and friendly. Highly recommend."/>
        <s v="I was relieved that PetFlow had the urinary diet food for my cat when other big name pet suppliers were sold out. Ordering ease and timely shipping were other plus factors."/>
        <s v="My vet recommended this website for my prescription cat food. I enjoy the fact that you can add promo codes when they arise for online auto ship orders. I am also able to get my cat litter.&#10;&#10;The only issue I have is that PetFlow does not sell MultiCat Tid"/>
        <s v="Have been a satisfied customer for a while with Pet Flow.&#10;More importantly our dog gets excited when his box with his favorite treats arrive.&#10;Pet Flow has acceptable prices and prompt service on their high quality products."/>
        <s v="They were fast with the shipping and awesome prices"/>
        <s v="I have never had to wait so long for an order from pet flow. My poor cat has run out of his special diet food and we have been waiting for! I order both canned and dry food for him and his canned food is in back order. I’m disappointed on how long I’ve ha"/>
        <s v="I do like Pet Flow as my go to food delivery system. Sometimes the products are a day or two late. One of my deliveries actually contained two 37.5 lb bags in one box, which I was not happy with. Also I would appreciate some packing like paper or somethin"/>
        <s v="Fast shipping, great price, and the dog food we needed! We couldn't be happier with the transaction. Thanks PetFlow!"/>
        <s v="I have purchased the Oxbow organic hay before and Oxbow is a great company. the products were fine and the time it took to get the order out was fast, however Fedex lost the first order, not unusual. The customer service rep at your company was kind enoug"/>
        <s v="There is obviously a shortage on royal Canin cat food and I called Royal Canaan and they recommended this site so I ordered a case and when they were filling my order they didn’t have any so that was that and and I still don’t have any food ordered for he"/>
        <s v="I have used Pet Flow for years and they’ve always done a good job and provided what I needed. This time they didn’t have what I needed and they were a little late in letting me know but other than that I have no complaints."/>
        <s v="I placed my $250 order for prescription dog food on a Sunday night. Received someone else’s order on Thursday. Called customer service and advised of issue. Asked that they ship correct order at no charge with overnight delivery. Was told they won’t ship "/>
        <s v="excellent service. Fast delivery"/>
        <s v="Impressed! The dog food arrived in perfect condition ....in a box that fit the bag... something that doesn't happen with other companies!"/>
        <s v="I love PetFlow for great customer service, fast and reliable service, great dog food for my babies in great price.&#10;I'm PetFlow customer since I became doggy mommy almost 5 years ago, my 2 Golden Retrievers are doing amazing on Farmina food."/>
        <s v="I adore petflow. I love what the company is and stands for and the donations they make. Unfortunately, they just don't have everything I buy for my pets so I find myself going through other companies to get them. I would love to see them grow, though, and"/>
        <s v="Good service although a bit slower than our other service (which may have been due to the vet not responding promptly)."/>
        <s v="This was my first time ordering with petflow and I must say it was great! It was a prescription food. It was faster than ordering with Chewy. Would highly recommend!"/>
        <s v="Had the product my babies needed when everyone else was out. Fast and easy checkout and fast shipping."/>
        <s v="Quickly received. I'll be back! :)"/>
        <s v="Great service! Had the items I needed and I love the giving back to needy animals!"/>
        <s v="I get the same dog food every time. Last time I ordered, it took longer than expected to receive it. But this time, it was tracked and arrived earlier than expected. Totally satisfied."/>
        <s v="Great service. Good prices"/>
        <s v="Normally I am very happy with PetFlow with the exception of some packaging missteps. This time it just took too long to get here but everything else was good. Not sure if that was due to the shipping issues the country is having now or if it was internal "/>
        <s v="I received a substitute product that would not work in my household of pets. I called and immediately the product I had ordered was sent to me from a different warehouse."/>
        <s v="Great to deal with! Fast shipping! Highly recommend!!"/>
        <s v="Fast shipping Not a big selection of fish products, but what they do carry have very good prices."/>
        <s v="All of my normal vendors were out of my baby's food, but I was able to order via PetFlow and it arrived within 5 days! Thank you!"/>
        <s v="I am very happy to have found 'Petflow'. I run a 'Neonatal Kitten Rescue' and it is vital I am able to find the same products/food I use on a daily basis. Not being able to find and purchase certain foods is critical for some kittens. I only leave one sta"/>
        <s v="PetFlow was the only location I could find the Prescription food I needed for my cat, everybody else was out of stock. It took 8 business days to get the vet. approval and to receive the order. Longer than other vendors, but at least they had what I neede"/>
        <s v="After I gave my credit card info and counted on receiving the shipment, I was then told later on that it was out of stock."/>
        <s v="The order process was great. As well-as the returns. My dog food that I ordered came in a package all tore up. Delivery by FedEx which I have issues with with other shipments. From now on I will not be buying anything on line from company's that use FedEx"/>
        <s v="Waited 2 months for my cats favorite wet canned food to come in. Finally got a notification that it was in and would be shipped to me. I noticed the address was incorrect ( old address) so I corrected it. After another week I got a notification that it wo"/>
        <s v="I just ordered from PetFlow for the first time and had a great experience. The food I needed was in stock and I was able to get a discount as a first-timer. The package arrived promptly. I have no complaints!"/>
        <s v="Good selection, prices and delivery."/>
        <s v="Love, love PetFlow. They had my cats food in stock when NO another vendors have it and shipping is fast. Thanks again PetFlow for keeping my cat happy!"/>
        <s v="I was grateful to find Petflow because they were the only company online or in store that had stock of my furboy's prescription food. As a pet parent, I was panicking. They handled contacting our vet for the prescription &amp; had the food to us within a week"/>
        <s v="Well considering i only got part of my order and nobody knew where the rest of it went and they had to reissue it. As well as it being prescription food... AND first time ordering with company.. Id say.. It didn't go well."/>
        <s v="Had competitive prices with other on-line retailers. Customer service prompt and pleasant when I called with a question. Fast shipping, all as expected. Had products when other on-line retailers were out of stock."/>
        <s v="Easy ordering...love getting the discount - really helps in this day and time.. Please continue offering more higher discounts and customers will choose you every time. Shipping was quick.. Great packaging... Thanks"/>
        <s v="Great prices on Fromm dog food! Fast delivery!! On a great product!!"/>
        <s v="I have shopped PetFlow for years and have always gotten accurate orders, fast shipping, and very good prices...especially with autoship."/>
        <s v="I didn't get the flavor cat food I ordered - it's my cat's favorite, and the reason I ordered from you."/>
        <s v="I have ordered from them only a couple of times but I received good service and a timely delivery"/>
        <s v="Great service, fast delivery :)"/>
        <s v="Petflow shipments are ALWAYS late. will not be ordering from Petflow anymore."/>
        <s v="Always helpful customer service, I've been with them for more than ten years. Much easier than schlepping to the store every month to buy their food, I have five doggies."/>
        <s v="Price is reasonable. Slow on shipping and several of the cans were dented and caved in so will check careful for leaks before I feed my dogs."/>
        <s v="I love the service. It’s so quick and every order is always correct👏"/>
        <s v="Pet-flow since they came online has been an important part of my supply chain.&#10;Reliable - good prices - helping animals&#10;Thank you"/>
        <s v="Excellent service. Thank you."/>
        <s v="PetFlow took care of my request and shipped my order rapidly. This was much apppreciated."/>
        <s v="Great product Fail on FedEx ground delivery&#10;Driver didn’t delivery on first attempt drove past my house… need to address this"/>
        <s v="I was truly in a bind trying to get prescription cat food fast for my cat with a newly diagnosed urinary tract disease. The gentleman I spoke with over the phone was compassionate toward my situation and genuinely helpful in quickly getting my prescriptio"/>
        <s v="PetFlow has been excellent with every order I have placed. I will continue to use this company and products."/>
        <s v="Usually a 5. This was only a 4 as one of the cans was dented."/>
        <s v="Petflow carries the brands of foods I use for our cat &amp; guide puppy in training. Our Guide Dog School likes us to use Fromm Family foods. Fromm is made in the USA . Fromm brand is not carried by many stores or on-line shops, Auto ship helps me be sure not"/>
        <s v="Fast Shipping! New customer very happy, Auto-Ship prices are very good!"/>
        <s v="Competitive pricing, dependable shipping, and carries prescription food at better prices than the vet's office offers."/>
        <s v="First time using this business and it was a very positive one. I ordered a large bag of Victor dog food and it was delivered very quickly. Will use them again!"/>
        <s v="Very helpful and extremely friendly."/>
        <s v="The only place I can consistently find my dogs brand of food. Easy to ordrr and fast shipping. Prices are reasonable as well. With auto-ship the prices are even better!"/>
        <s v="I purchased Science Diet Wet Puppy Food for my new puppy and he refused to eat it. I contacted customer service by email and explained my situation. That same day I received notification that I was being refunded my purchase price.&#10;That is excellent custo"/>
        <s v="I purchased an item online, said only two left, I ordered two. Got an email the next day they were our. What’s the point of having an inventory notice online if it’s not accurate and other orders are allowed the product you just paid gir. Disappointing!"/>
        <s v="Horrible buying experience. I will never buy it from you guys again"/>
        <s v="Wow Customer Service Fast and Genuine - but this is also a rare company that gives back in amazing ways. Sure they are smaller but thats where usually the care, happens. Thank you PetFlow!"/>
        <s v="Since there is a shortage of my dog's prescription diet, I called several times to get information on delivery.Every time, I had a helpful and friendly employee on the phone.They understood my concerns and did everything possible to help.My pup got his fo"/>
        <s v="I would give it 5 stars, except that the flap doesn't quite close. Otherwise it is a good door for the price that allows my 9-year old Great Dane not to have to stoop as much as he goes through."/>
        <s v="Easy to order and at a great price. So impressed that I chose to have a standing order for our beautiful Breezy."/>
        <s v="Quick response time and friendly customer service."/>
        <s v="I like that Pet Flow is accurate with the information they share with me and the options I have with my orders. That's really important to me. I'd also like to ask that the DM food I get from now on be the &quot;savory select&quot; cat food instead of the &quot;pate&quot; wh"/>
        <s v="Happy with the product however when I ordered it said it would ship immediately and 2 days later it finally shipped. I needed the dog food and with that 2 day delay it made me go purchase a smaller bag to get me through."/>
        <s v="Very easy online ordering and pretty fast delivery. I’m not able to purchase Fromm Dog food where I live. I actually found PetFlow on Fromm’s website."/>
        <s v="Very fast delivery"/>
        <s v="I ordered the dog food on March 5th. Still waiting delivery. It's been almost two weeks. My orders from Pet Flow in the past have been delivered quickly."/>
        <s v="Shipping takes too long. But I can deal with that. What is unacceptable is when you have items listed “in stock” when you really don’t. Specially when it comes to items that need a veterinarian prescription. I DON’T CARE how big of a company you are. That"/>
        <s v="Very easy to order. Prompt delivery of product ordered."/>
        <s v="My order arrived in a timely manner, beautifully packed with recyclable materials. I received discounts that compare favorably to other on-line pet suppliers. I wanted to order Fromm products, and Fromm's family-owned company will only sell through certai"/>
        <s v="Pet flow was willing to sell me a product they did not have in stock. Pet Flow said that the manufacturer, Hills Science Diet, had the pet food in their warehouse. I telephoned Hills Science Diet and they also report not having the purchased cat food in s"/>
        <s v="In my last order for dog food to PetFlow the order was first just later than expected. When I called up customer service, I was told that orders were piling up at PetFlow, but that the order would be given an &quot;expedited&quot; designation by the customer servic"/>
        <s v="Best company ever! I've used them for years. They're dependable, and refund your money if your dog reacts badly to a new food or treat, etc., or if a treat they sold has been recalled by its company, (which is not PetFlow's fault). Their prices are even l"/>
        <s v="Great service. Arrived quickly and got exactly what I ordered."/>
        <s v="My dog loves this dog food and it was very quick getting to us. Thankyou"/>
        <s v="Product almost always in stock, good variety of the brands my dogs use. Quick delivery but the packaging always arrives damaged. Likely because it’s just too heavy."/>
        <s v="I ordered two bags of dog food and it was delivered in a beat up box and dropped 10 feet from my covered porch in the rain. Sure, the seller didn't leave it in the rain but, are responsible for the safe arrival of the package. My star rating is because I "/>
        <s v="I've been buying from PetFlow for years and I'm very happy with their products and prices. The only issues I ever have is with the delivery companies CONSTANTLY changing the delivery date. Otherwise I LOVE PetFlow!!!!"/>
        <s v="Service was good and efficient, price seems a bit high...44 pound bag of dog food was twice the price I would have paid for a 50 pound bag at Walmart, but with transportation down would order again"/>
        <s v="PetFlow always comes through for me! No complaints!"/>
        <s v="Perfect timing to get my prescription food for my kitty"/>
        <s v="Until now, I have had no issues with PetFlow - order food for dog - dog food delivered promptly.&#10;&#10;This time, I ordered the dog food as usual, and have waited, waited waited for it to be delivered. Three days after getting this request for a review, I have"/>
        <s v="This is the only place that has my dogs treats. Customer service has been great with changing a delivery date due to weather and checking on expiration dates."/>
        <s v="You got always what I need for my pets and more. And the shipping is always on time!!🤗"/>
        <s v="Super slow at shipping. That makes me not use them often"/>
        <s v="Excellent service delivery etc! I love PetFlow!!"/>
        <s v="Im so happy to have found you! You will have a customer for life"/>
        <s v="My box was damaged along with the contents inside. I emailed explaining what happened and was not satisfied with the customer service. Will never be ordering from PetFlow again and will tell everyone I know not to. Horrific."/>
        <s v="fast excellent service"/>
        <s v="Good prices and fast delivery! I will continue to order from you all and recommend your site!"/>
        <s v="I placed my order and then called toMAKE SURE that the product was in stock. I was told the product I wanted (24-5.5 oz can) was not available but they would change it to the 12-12 oz. cans. I told the gentleman that it wasn’t my first choice but if he pr"/>
        <s v="I love Petflow. Shipping is fast, customer service is great and i especially love the fact that they feed shelter animals every time you make a purchase!"/>
        <s v="Excellent service, dependable"/>
        <s v="We are very happy with PetFlow. They always have exactly what we need and we receive all products in a timely manner."/>
        <s v="With Petflow I have been able to find good, quality pet supplies at exceptional prices and I usually receive my order the next day. I have no complaints."/>
        <s v="I contacted PetFlow about getting food for my dog. The representative had the information already on file and was extremely helpful. She notified me of the automatic refills and I received the food after three days. Very efficient and I would recommend th"/>
        <s v="Product was great but delivery took 4 days. To long for the premium price"/>
        <s v="You usually deliver quite quickly but this took a week. In addition, there was just one sheet of brown paper and many of the cans were dented."/>
        <s v="Real quick in shipment and correct item,resonable price."/>
        <s v="I've always had good experiences with Pet Flow. But the last order had some issues. A bag of dry dog food had a hole in it, and some of the cans were dented pretty badly. Well, I contacted their customer service and they sent out a completely new order fo"/>
        <s v="3 times I have ordered from your company, and each time the shipping has not been what was stated. It has each time shipped later than the stated ship date. When I would inquire, there would be &quot;excuses&quot;. Your prices are the same as competitors, but their"/>
        <s v="The PetFlow folks are always helpful! Great products for my animal kids! :) Thank you!"/>
        <s v="Would not accept a copy of the prescription for medications. Wanted it MAILED! Caused further delays. Other online firms don't require this."/>
        <s v="I am very pleased with PetFlow ... the pet food I was needing was not in stock at a local big box store that normally has the best price. PetFlow had it in stock, smaller poundage, however with their $10 off first 5 auto-ship orders, I was able to get mor"/>
        <s v="Had the products I wanted and received items quickly."/>
        <s v="Timely delivery and had my cat’s prescription food when other vendors did not."/>
        <s v="I did not hear from Pet Flow quickly that they could not fill my order of specific dietary cat food, but they cancelled my order and I believe will not show on my credit card. I understand there is shortage of pet food right now, but their website said in"/>
        <s v="I ordered a food which my pets really need since it is prescribed. It was out of stock, but I wasn’t told promptly. I had to contact support to learn they were out and planned to cancel my order days later ."/>
        <s v="Great products, fast shipping."/>
        <s v="Excellent product quality; very professional customer service; prompt delivery"/>
        <s v="I love PetFlow. They feature my dog's brand of food, which he has eaten since birth (Fromm), as well as a good selection of treats and toys. Ordering is a breeze online, and the deliveries are prompt (even with all the delays in the supply chain and deliv"/>
        <s v="My dog was given dry dog food, canned dog food and Pet Flow dog food, all at the same time. He rooted around until he found the Pet Flow; That is always his first choice. He loves it"/>
        <s v="Outstanding company with great service, prices and fast shipping."/>
        <s v="They always seem to have our dogs food, whereas as certain stores rarely do, and I’m continuously told that it’s all due to COVID. which I’m sick of hearing. Yet, PetFlow always comes through, which is why I’ll continue to purchase our dogs food through t"/>
        <s v="I feel that if you sent the prescription authorization for all 10 bags of food to my vet they would of be authorized. By sending over a script for 2 bags then another for the remainder bags caused a problem and 2 script was denied for being a duplicate."/>
        <s v="My products were delivered in a timely fashion and no damage to any of the cans."/>
        <s v="Great deal, kept me apprised of the status, and arrived as promised."/>
        <s v="I have been a customer of PerFlow for years. Always happy with the products they carry and their Customer Service department."/>
        <s v="I was waiting for my order on 3/02/22, shipped on 2/24/22, delay in Arizona, delay in San Diego 3/05/22, delivered on 3/06/22, I don't know the delay problem.&#10;Felipe Lopez"/>
        <s v="Website is ease to use, service has been good, prices reasonable."/>
        <s v="excellent prices, fast shipping. Thank You!"/>
        <s v="Received fast shipping on product and prompt and courteous customer service from Petflow reps."/>
        <s v="PetFlow had the food that I needed for my dog in stock and less than 24 hrs of placing the order, my vet sent in the script and the food arrived within 2 days. Int was great ti be able to find the food that was hard to find on other sites."/>
        <s v="Excellent customer service. Great and fast shipping. Very pleased."/>
        <s v="We have used PetFlow for dog food purchases for about a year. Everything about the service was great. However, my low rating is based on the Customer Service interface on their website. I discovered I can buy the product cheaper locally, and tried to canc"/>
        <s v="The Beef Pizzle Steer Bully Sticks Dog Treats gave both of my shih tzu's terrible diarrhea and I only gave them a small piece."/>
        <s v="I have ordered online for the convenience, but your delivery company has made it inconvenient. I am sorry, but trying to carry a large heavy box from my condo mailboxes to my unit so it is not stolen is too difficult. My daughter will pickup the food at h"/>
        <s v="Easy to order and find items on your web site. Fast delivery and friendly help."/>
        <s v="Great prices, dependable, free shipping!"/>
        <s v="My dog food arrived quickly and was just what I ordered. will use pedflow again. Thanks"/>
        <s v="I ordered an &quot;in-stock&quot; item which took two weeks to receive and then it was the wrong item!! First and last time ordering from this company"/>
        <s v="They had the food when no one else did and shipped it quickly. Happy Customer"/>
        <s v="Fast delivery of the perfect puppy food for my little baby! Going to order some more puppy treats so glad to offend you all"/>
        <s v="Delivery is a little slow. I sent coupons to you but they were never applied to my account. They should have been sent back to me. That’s bad business!"/>
        <s v="The prices are comparable to other sites but PetFlow offers coupons and deals that keep bringing me back to shop here. Shipping is fast too!"/>
        <s v="The lid on my automatic dog feeder and water combo was broke when I got it"/>
        <s v="It was easy to place my order, and delivery was in a timely manner. I will order again from PetFlow!"/>
        <s v="With shortage of pet food currently challenging all pet owners, I appreciate your quick shipping policies. I realize that it is hard to keep stock on hand and you certainly helped us secure supplies for our 2 cats. Thanks for the prompt service and we loo"/>
        <s v="Prompt when shipping items in stock. Not so prompt in communicating when items are back ordered. And the website shows them still in stock. I placed an order my vet approved February 15. I checked on it February 22 and was advised the WET food was cancell"/>
        <s v="Packaging was poorly done on feed bags, needs to send in stronger boxes"/>
        <s v="Everything arrived in good shape, happy with my purchase."/>
        <s v="Great products and fast delivery. Recipe for success"/>
        <s v="It is helpful to have pet food delivered. Pet flow gets my order correct and it comes on time. Thanks."/>
        <s v="Thanks for having the food I wanted when no one else did. Quick delivery too!"/>
        <s v="Always reliable for stock and fast shipping"/>
        <s v="My order was shipped fast, well packed&#10;It was here in a timely manner. Very pleased with transaction. Will buy from again. H."/>
        <s v="Shipping is too long and items aren't shipped together"/>
        <s v="Great first time buyer experience, delivered in a timely manner and in good condition."/>
        <s v="Great customer service, easy online ordering, prompt action and delivery. Thanks PetFlow"/>
        <s v="For years I have been happy with Petflow."/>
        <s v="PetFlow prices are very competitive and their shipping speed is excellent. I had a question once and received a reply within MINUTES, not hours or days, like some other companies. Very pleased with PetFlow!"/>
        <s v="What a GREAT Company! Fast shipping, great products! When I searched MANY sites for my cats favorite brand (with no luck), I found PetFLOW, very happy I did. Would highly recommend."/>
        <s v="Some cans were damaged and dented. It would be good if the products are in good shape prior to shipping."/>
        <s v="I was so impressed, the package was delivered within just a couple of days. Impeccable execution!"/>
        <s v="Not happy back order food, reordered and delivered without the discount. Thinking about switching to Chewy."/>
        <s v="Hard to give a review when I haven't received my order yet, because it has been delayed 3 times. I know that times are hard for a lot of companies so I'm going to keep my fingers crossed and hope the cat food gets here before our cats eat us ..."/>
        <s v="Quality Dog Food, Good Prices, Fast Delivery"/>
        <s v="They always have what I need in stock at reasonable prices and I usually receive my order within a week. Great customer service too."/>
        <s v="Love it. Great place to shop"/>
        <s v="Every time I reach out to PetFlow, they resolve an issue almost instantaneously. My cat food cans came completely dented and partially opened, they replaced all of them quickly; my $10 off coupon didn't go through, they credited it immediately. Their cust"/>
        <s v="The cat food I bought to help my cat lose weight is inferior to Purina products in every measurable metric. These varieties contain ingredients that should never be fed to a cat."/>
        <s v="Great service, great quality, great prices"/>
        <s v="The Instinct dog food is great. Howeer the Fedex shipping sucks. The package sat on the truck for 2 days being listed as out for delivery, as common occurrence. I would order from Petflow more if they did not use Fedex."/>
        <s v="When I order my food is always delivered very quickly without any delay or problem. We have been getting our two dogs food from Petflow for years now and are very happy with the service we have received."/>
        <s v="I really enjoy PetFlow! You have all the dog food products I need, &amp; it’s delivered in a very timely fashion."/>
        <s v="I wish you could get expiration dates on products before they ship especially on auto ships?"/>
        <s v="As a new customer with 4 cats and a feral family of cats I've been pleased with the product selection and the timely shipping. Thanks!"/>
        <s v="My first order and it was easy and arrived quickly."/>
        <s v="Great customer service over the phone as I was concerned About being out of food and they were receptive and put the order as a STAT order."/>
        <s v="Very happy with the delivery process and how fast it arrived."/>
        <s v="A year ago I would have given you five stars, but in the last two months, or maybe three, you have not been able to deliver the kind of pet food my dog eats (Honest Kitchen turkey or chicken), and the last time I ordered Stella's beef, you sent only a ver"/>
        <s v="I am very satisfied, fast delivery, discounts ..."/>
        <s v="Great prices, communication, and follow up. Always a pleasure to do business with."/>
        <s v="Thank you so much for getting Charles his food so quickly. He's had Pancreatitis for almost a year which means he is on a very strict diet of prescription foods only. I order on Monday and you have Charles his food by Thursday, Friday at the latest. Thank"/>
        <s v="Easy to place an order and quick and timely delivery."/>
        <s v="Fast and easy!! Helpful customer service and great products"/>
        <s v="Fast delivery and quality product. Damage that required disposal of some product but unclear if result of shipper or not."/>
        <s v="Appreciated the quick turnover and delivery of y prescription dog food and the good communication about timing"/>
        <s v="Good price - fast shipping."/>
        <s v="I like the decent prices and fast delivery. However every package arrives damaged everytime. The contents are often damaged too. They would get a higher rating if that is remedied."/>
        <s v="For the last three shipments, it ran into several issues.&#10;For various reasons, my shipments were delayed.&#10;I no longer can rely on the fact that my dog's food will be delivered in a timely manner.&#10;I am looking into over options"/>
        <s v="Great selection, Received everything quickly, on time and as ordered."/>
        <s v="Two month's in a row they messed my orders up so bad I had too buy dog food to get them through until delivery. It caused my dogs upset tummies. Loose poo and itching doesn't make them, or me very happy.&#10;&#10;I have had issues before but this is the last time"/>
        <s v="Got the prescription promptly after poor start. Now all is well! Good service fixing the early problem."/>
        <s v="I cannot give a review as yet because my product has been back ordered for some time. I am a first time purchaser at Pet Flow and found the website to be easy to navigate. I browsed through the site and found so many good products ... products I will defi"/>
        <s v="Great Service ! Fast Shipping !"/>
        <s v="I was pleasantly surprised at how quick I received it."/>
        <s v="I love ordering from petflow for all my pets needs! Dog food, cat food, treats and anything else that my pets need... I love that they are a small business and they have great customer service and always keep everything I order fresh!! I have been buying "/>
        <s v="Petflow had what I was looking for and at a good price and the shipping was fast."/>
        <s v="It took way too long to receive my order. Chewy does a much better job."/>
        <s v="We received our order on time and free delivery was convenient."/>
        <s v="I LOVE PetFlow! Easy ordering and QUICK delivery! Never any issues at all! So glad I found this company!"/>
        <s v="Love pet flow! Have used them for over a decade. Highly recommend. Any customer service calls are quickly resolved but I have only had 3 the whole time!"/>
        <s v="Customer for years. Pet flow is our favorite dog food center!"/>
        <s v="The price is fair, and delivery was quick."/>
        <s v="The prices are good, shipping was quick, and I was kept up to date from the order confirmation through the delivery notification."/>
        <s v="We and our cats loved all the toys we selected and they arrived safely and&#10;in a good amount of shipping time. Will order more in the future!"/>
        <s v="I’ve ordered twice in the last couple of weeks. Prescription cat food and Nexguard and both times they reached out to my Vet in a timely manner and I received my orders within a few days.&#10;Will definitely use them again."/>
        <s v="Good prices, fast shipping."/>
        <s v="PetFlow maintains a huge assortment of animal foods and provides prompt shipment."/>
        <s v="Was told shipment would arrive in 3-4 days. Was told on fifth day being delivered between 10 am and 9 or 10 Pm. Didn’t arrive until 3 days later and no one worked over weekend to assist me.&#10;&#10;Good prices, bad info. Order well in advance of day needed."/>
        <s v="I changed my address 2 weeks before moving in November, placed an order for 2 weeks after the move, and my food was still delivered to the wrong address. Customer service never fixed it. Placed another order in Feb and it was also delivered to the wrong a"/>
        <s v="Pet flow did everything correctly. Fedex lies and claims they deliver packages when they do not."/>
        <s v="I feed a very good, high quality dog food. I live in a small town and unfortunately the little store where I purchased my dog's food stopped selling all pet products. I was going to have to drive 45+ minutes each way to another city to get dog food. A fri"/>
        <s v="Good selection and prices during a difficult time but I was disappointed that two items I ordered turned out to be out of stock but that was not indicated at the time I placed the order. I only found out later when the in-stock items were shipped and as a"/>
        <s v="Petflow is great. They consistently have my pups dog food in stock as well as some cool toys ."/>
        <s v="Everything is wonderful except for the fact that it’s difficult to cancel reoccurring orders. This shouldn't be made into such a hassle that I have to call for that to be done."/>
        <s v="Happy I made the switch!&#10;&#10;I recently switch from a competitor to PetFlow for all my daily pet needs. I made this switch because their prices were simply better (lower) than the leading competitor for same or similar products. Delivery service is as good, "/>
        <s v="No problem with company but will only ship with FEDEX and Fed-Ex lost my package. SO never received my order from PetFlow and what I ordered has been on backorder ever since."/>
        <s v="Bought a case of cat food from PetFlow, as Chewy was out of stock at the time, and product did not ship for over a week. At the end of the week, I cancelled the order and emailed customer support, which confirmed order would be cancelled. Two weeks later,"/>
        <s v="My order arrived on time in great condition and my pup loves her new food."/>
        <s v="Super easy shipping and processing experience. They contact the vet directly and deliver incredibly quickly."/>
        <s v="Treats were shipped really fast and was a better price and service compared to Amazon."/>
        <s v="Fast delivery, especially good for heavy stuff. I just wish there was a wider variety of cat treats and toys. The dental treat that I wanted to get was sold out, it's been sold out for a while. Hope, it's restocked soon."/>
        <s v="The ease of ordering and how fast my order arrived was awesome!"/>
        <s v="I had the best girl with customer service who was able to secure a nice discount for our auto ship order! Thank you!"/>
        <s v="The system has twice now changed my auto delivery date to a year in the future, making it impossible for me to correct it online and schedule an immediate delivery because I am only allowed to select a delivery date AFTER the last delivery, which accordin"/>
        <s v="Placed my first order with Petflow and had a issue locating my order details. I contacted Petflow customer service and received a a response within 24 hours that resolved my issue. Very impressed with their response to my questions and received my order o"/>
        <s v="I love Petflow's selection and mission. Please try to have your shipping times better reflect how long it will take. With the supply chain issues, it would be better to say a package will arrive later and be happily surprised if it arrives early vs. sayin"/>
        <s v="PetFlow’s shipping was quick and efficient. I love that my order is helping others in need. I’m glad that my pets’ food and supplements are available through Pet Flow. The only thing I ask is to add Merrick Canned Dog food with healthy grains."/>
        <s v="I had a problem and their customer service rectified the problem.&#10;Very pleased with how it was handled"/>
        <s v="Fast shipping, product arrives in great shape no holes or banged up boxes. Auto ship is flexible and ways to edit. Great notifications for shipping and arrival. Always fresh food with good dates."/>
        <s v="Most of the representatives I spoke/texted with, were wonderful. I was disappointed because while waiting for prescription dog food to ship, I was given a few different responses depending on who answered Petflow customer service line.&#10;But now I received "/>
        <s v="Took a little longer than estimated for it to ship, but that's probably the manufacturer... availability being what it is right now for pet food. I am extremely happy to have found another resource for prescription kibble. Fast handling &amp; shipping when re"/>
        <s v="Pet Flow order came even faster than expected."/>
        <s v="I ordered Prescription Science Diet CD canned food. It arrived on time. This is the first time I ordered from PetFlow. I hope to order from them later intime."/>
        <s v="My cat Winnie loves Nutro wet cat food and I was able to find the wet food Winnie loves. PetFlow sent it right out to us quickly. I am Happy I found PetFlow."/>
        <s v="Food is shipped quickly every time and communication is excellent. Wish they'd get rid of the one button in checkout that makes you check &quot;just ship once&quot; every time."/>
        <s v="I have relied upon PetFlow for hard to find foods even from online sources. Their product delivery is fast and reliable. Their website is efficient and easy to maneuver. No problems have cropped up, as happens sometimes on amazon. I have always been pleas"/>
        <s v="Pet Flow was the only place that had the prescription food I needed.&#10;They were very helpful by making my order a critical ship so that I would have the food in time for my pet to be boarded."/>
        <s v="I have been shopping at PetFlow and am very pleased with their products, price &amp; service. They are prompt on shipping and keep you informed if there are any issues with your order. My dogs love the bones &amp; beef tendons."/>
        <s v="Never received what I ordered. 4 days later they told me it was ever in stock. I will never order again from this loser company."/>
        <s v="I appreciated being informed that you were out of an item. I was refunded promptly. I had ordered 2 to take advantage of free shipping. I inquired if I was going to be charged shipping on the one item. It took some time to verify that I wouldn't be charge"/>
        <s v="No complaints. :-)&#10;I got what I wanted, and it came soon."/>
        <s v="This company stinks. I ordered enough to get free shipping. Then they email me and say they do not have the dog feeder that was the entire reason for the purchase. So I ask them to cancel it. It was already shipped, so I ask can I return it , they said ye"/>
        <s v="I ordered prescription cat food said it was in stock but it wasn't after waiting for shipping confirmation that never ca.e. After several emails I was informed that you canceled my order ."/>
        <s v="PetFlow needs some serious work on its auto-ship program. I am supposed to get a shipment of dog food every three weeks. My auto-ship records show my last Shipped: 08/28/2022 and my next Ship Date: 09/19/2022. Considering this is only February, your auto-"/>
        <s v="You provided excellent service. My order was shipped when I was told and it was complete. I will definitely be reordering. Thank you!"/>
        <s v="Fast easy ordering and my dog loves the food."/>
        <s v="PetFlow is a wonderful place to get everything for your furbaby. Their prices and stock are superb and they ship immediately. I’m so glad I found them."/>
        <s v="We’ve ordered from this company many times and have only had one issue which was out of their control. Canned food arrived badly dented but Pet Flow immediately issued us a replacement. Other than that, their delivery service is fast and good. I would rec"/>
        <s v="I reached out to customer support. They responded very quickly and were very helpful and easy to work with."/>
        <s v="I have not received my order and have not heard back from Petflow."/>
        <s v="You had the prescription food I needed when no one else did - thank you!!"/>
        <s v="I texted Petflow with an issue I was having with my account. They contacted me shortly afterwards, asked for my email address associated with my account, and fixed the issue within minutes. The associate who helped me was polite, informative, and a pleasu"/>
        <s v="Shipment Was MUCH FASTER than Chewy within my own State whose ship center is Only maybe an hour away from where I live!!! THANK YOU as I had ran out of food for my dogs, and this shipment was well packaged And Super Fast!!"/>
        <s v="I adopted a special needs cat, and we rely on Hill's Prescription Diet Digestive Care canned food. He came to me with a 48 can supply, and it works really well for him to maintain his weight and keep his tummy happy. It's the only food he can eat without "/>
        <s v="On time when product is available"/>
        <s v="Great product but I knew that glad I could get it delivered.seemed almost twice as expensive as my local source"/>
        <s v="Great shop,low price,fast delivery."/>
        <s v="No issues, order was received quickly except for the Bengals shirt, wasn't in time for the game but understand it."/>
        <s v="Great deals on dog food with quick delivery."/>
        <s v="This was my first order and was pleased with the entire experience!&#10;Looking forward to ordering when I need food again!!"/>
        <s v="I ordered the Van Ness medium crock heavyweight dishes. The dishes were delivered in a timely manor and in excellent condition. The price was outstanding, we are very happy with PetFlow and will order again."/>
        <s v="was disappointed in how long it took my order to get here."/>
        <s v="Petflow was efficient with excellent customer service! Will continue to order from this fabulous pet source!!!!"/>
        <s v="My order never arrived. Fed Ex said it did but there is no 30 pound box of dog food anywhere."/>
        <s v="By requiring our vet to set up an account with your company, you made it impossible to purchase our cat’s prescription diet. So we went with another company that easily connected with our vet and got the job done. Your customer service was friendly and ea"/>
        <s v="I have had my dog food delivered by PetFlow for several years. All was good until the last 3-4 mo. of 2021. My orders were delayed to the point of having to go to a retail store and purchase dog food on 4 occasions. One order was 20 days late. Thankfully "/>
        <s v="Very angry with you, because I could not buy the food for my puppy, since you asked the veterinary clinic for a code in the mail that you sent, and they did not know what the code was, I hope that in the future you will cause fewer problems and help more"/>
        <s v="Pet Flow never disappoints me or my fur babies! My orders are sent quickly and always correct. Rarely do I have to call customer service and only if I need to make a change to my auto orders. I am a very loyal customer and don't plan on changing! ❤"/>
        <s v="Easy ordering quick delivery. Makes it so easy thank you"/>
        <s v="I ordered a product&#10;&#10;There was some type of glitch in my credit card process&#10;Waited and waited for the delivery&#10;&#10;Finally called and then was told of the issue.&#10;&#10;No email&#10;No notifications&#10;&#10;Just left in the dark&#10;&#10;I ran out of dog food for my dog while at my"/>
        <s v="This was my first order with PetFlow. They had product in stock that I couldn’t find elsewhere. And they shipped fast. Very pleased."/>
        <s v="With the problems today about getting pet food it is reassuring to me that when I order food for my cat or dog it is never out of stock. Well done and thank you!"/>
        <s v="The site shows in stock when in fact it is not.&#10;When you call customer service they tell you it was just purchased &amp; it’s now unavailable&#10;Yet a few days &amp; now weeks later it still shows it is in stock&#10;This place cannot be trusted"/>
        <s v="I’ll have an opinion when I confirm the “new” bag my dogs food came in. And more often than not, the bags are sliced/ripped open slipping in the box they’re delivered in resulting in having to get a new bag which costs your company more money. Your staff "/>
        <s v="Use a different shipping company. Took 7 days to get to me !"/>
        <s v="My cat had emergency surgery for bladder stones. I had to immediately switch his food and everything was prescription level. I couldn't find it anywhere locally. This happened over the weekend. The price from pet flow was among the lowest I could find if "/>
        <s v="The shipment was packed the best that I have seen. No bent cans. Package was far better than other vendors that I have bought from."/>
        <s v="I have been using auto ship with this company for quite sometime and have liked the product for my dogs. Recently tho the food we choose has been out of stock and this disappointing. Hopefully this will be in stock again soon!"/>
        <s v="My Papillons love Fromm Duck &amp; Veg. I mixed it with their old dry food &amp; they would sit &amp; pick out the Fromm Duck."/>
        <s v="The order was filled as promised. I ordered aquarium supplies (Gravel and lighting) and arrived as ordered. Shipping was a little slow, but there were delays due to weather from FedEx. The New Jersey warehouse was out of one of the items I ordered, but qu"/>
        <s v="PetFlow provides everything I need for my senior dog, Nora. Prices are competitive, items are in stock, quick delivery and outstanding customer service. We are happy and loyal customers."/>
        <s v="I ordered cat food.&#10;The order didnt go through - PetFlow said that the vet didnt think they were a reputable vendor.&#10;Never heard that before..."/>
        <s v="Have been using PetFlow for years.&#10;&#10;Love the price and free delivery. Phone staff are always friendly. Products are what I want for my furrbabbies.... Usually get them a toy. Great selection."/>
        <s v="Website listed my cat's prescription cat food as available, so I ordered it. Several days later, I receive notice that it is out of stock. So now my cat has to go a few days without her prescription cat food. This was my first time using your company, and"/>
        <s v="Very nice company to work with. :)"/>
        <s v="I was very pleased with the order that I received and how promptly it was delivered and I certainly recommend this company for your pets food. Ordering online was very simple and I'd say I received my shipment within maybe less than a week after I placed "/>
        <s v="Available inventory and good pricing made this the go to choice to feed my pets."/>
        <s v="I like shopping at Petflow, have been doing it for over 4 years and like ordering Nutrisource dog food since they are probably the only ones that carry it online. Lately I've been taking advantage of their 20% discount on Nutrisource but on the negative s"/>
        <s v="You had my hard to find food&#10;I like your tracking method&#10;Arrived timely"/>
        <s v="Lady who took my order was very professional, knowledgeable, helpful and caring. She placed my order fast and without any trouble. Great experience."/>
        <s v="The one thing about PetFlow is they just get it done. You order your product you get instant verification and confirmation to your email and then when shipped you get the tracking number along with any updates from the carrier that might come up. This is "/>
        <s v="I shopped online for Royal Canin Digest Sensitive Cat Food and your website showed you had it in stock. I placed 2 orders each for 24 cans within 5 minutes of your website updating that it had stock. Your email confirmation stated that the first order wou"/>
        <s v="Great company. Product arrived quickly and not damaged. I am a very happy customer."/>
        <s v="Very fast and accurate delivery.&#10;Thank you,"/>
        <s v="Good price, quick delivery, good product"/>
        <s v="They have the food I want for my dogs and it arrives quickly."/>
        <s v="I just want to share a WOW from PetFlow. I received the collar I purchased but the release button was so difficult to open that I called to ask if easier to just buy a new one or replace it first. The guy was sooo nice he said &quot;no that’s fine we will ship"/>
        <s v="Everything is always prefect. Packaging and shipping is great."/>
        <s v="Love Petflow. They have the Fromm brand I want which is hard to find for delivery.&#10;&#10;I sometimes wish packages would come quicker but last delivery was faster than previous.&#10;&#10;Good prices. Easy checkout process. Like that they save previous orders. I don’t "/>
        <s v="My first time using g Pet Flow. Very pleasant experience."/>
        <s v="Have a good product selection....prompt delivery and give discounts for long time customers. Thanks."/>
        <s v="Transaction was perfect. Ordering was easy. Shipping and handling was completed in a timely manor. Order was received as ordered. Henry was thrilled with a new ball. Pleasant surprise."/>
        <s v="Excellent service. Arrived quickly and very healthy dog food."/>
        <s v="Excellent shipping. Excellent packaging. Competitive prices. Easy ordering."/>
        <s v="They have a great selection of foods, I love that they help pets in need and they offer rewards for referrals."/>
        <s v="Excellent source for my sweet frenchie’s needs. Wonderful customer service! They very quickly replaced 2 cases of canned Fromm's that were damaged in shipping. And I enjoy looking thru the site to find special treats and maybe ANOTHER toy 🤣🤣🤣"/>
        <s v="PetFlow had the brand of dog food I needed and it arrived in 2 days! Your online ordering was quick and efficient. Keep up the great service!"/>
        <s v="Wonderful company. The shipping time was super fast and the customer service team was very helpful. I had an issue with my order and when I called customer service they were quick to help solve the issue. I have never used petflow before but I will stick "/>
        <s v="Excellent Transaction!"/>
        <s v="Your company sucks I'm never buying any thing from you again ."/>
        <s v="Cat food in stock! Quick shipping, everything in good shape."/>
        <s v="I am very happy with my order from Petflow. I found cat food on their site that I was unable to find any where else. It was shipped quickly. Great place to shop for pets."/>
        <s v="Super fast shipping and easy to deal with. Processed my dogs prescription food fast with a straightforward process. Switched from Chewy who were awful to deal with."/>
        <s v="I have had a very hard time finding taste of the wild wet dog food anywhere for my dog and pet flow had it. I ordered it and they sent it right out. Their site was easy to use and the ordering process was easy as well. I will be using pet flow again"/>
        <s v="Petflow has been charging me for dog food they couldn't source. They charged my credit card for two bags of dog food but only delivered one. I had to call monthly to get the refund after showing them the shipping weight did not equate to the 2 bags, but o"/>
        <s v="Pet Flow is doing an excellent job of coping with the shipping issues generated by the pandemic. I appreciate that you keep me informed about my orders and shipments as you deal with events that compact my order. It enables me to plan for our pet needs. T"/>
        <s v="all are OK, thank you."/>
        <s v="I am so thrilled with the fast delivery and awesome service. Thank you for the great job"/>
        <s v="As a new customer to Petflow, it is worth nothing that their website, prices, and delivery was outstanding and exceeded my expectation. Thank you."/>
        <s v="Excellent service. The price was right and the delivery was super fast."/>
        <s v="Hello&#10;What a difficult experience... Ordered Rx food for a very sick kitten on January 25 th, then reached to customer service on the 28th to enquire about the timelines, for a local store was out of stock, and was running out of food for the kitten, then"/>
        <s v="Freeze dried dog food if handled wrong will arrive as powder. Order arrived next day in excellent condition. Thank you!"/>
        <s v="I've used PetFlow for a number of years now and have not been disappointed once - even during the crazy shipping times of covid. Their site is easy to shop and they provide me with lots of flexibility when I need to adjust my standing dog food shipment. I"/>
        <s v="Easily found the dog food I wanted! Many other sites and All local stores were out of the Royal Canin Yorkshire Terrier Loaf in Sauce that both my daughter and I feed our Yorkies! Not only did you have it but the delivery was exceptionally quick! Even ahe"/>
        <s v="Finally found a store that has my preferred dog food in stock! Thanks for your prompt service!"/>
        <s v="1. Wish you had a place where buyers could communicate with shippers upon purchase on where to place packages. Shipper left package out on stairs in full view of potential thieves. Packages need to be placed inside of my 3 ft. gate at front door.&#10;&#10;2. Seve"/>
        <s v="Petflow online shopping is a great way to shop. We live in a rural area not a lot of places to shop. At Petflow I can get Fromme pet food for my pets to eat healthy. I also can get healthy treats for my pets, if not for pet flow online I would be driving "/>
        <s v="THESE TAIL WAGERS ( beef rib bones ) ARE SO LOVED BY MY DOGS BUT I AM ONLY ALLOWED TO BUY 6 AT A TIME WHICH I DON'T LIKE BUT THEY ARE WAY CHEAPER THAN PUBLIX WHICH IS WHERE I WAS BUYING THEM. I WILL CONTINUE TO PURCHASE BECAUSE THE DOGS LOVE THEM BUT I MA"/>
        <s v="Price was good, shipping was good, but one bag of rabbit food (out of about 6 identical bags in the order) was not rabbit food but Hampster food. To their credit I did not pursue this or notify them of the problem. Just wasn't worth my time. I need things"/>
        <s v="Repeat customer - love them"/>
        <s v="It is so nice to have a reliable way to get what I need for my cat!"/>
        <s v="first order and didn't have any difficulties or problems."/>
        <s v="I ordered treats for my fur babies. I got a great price on them. This was the first time I had ordered. Got the treats in a few days.. Best service. Thank you"/>
        <s v="Product was on time buy packaging was smashed. You need to strengthen you packaging."/>
        <s v="Enjoyed the prompt service. Will use them in the future."/>
        <s v="I’m happy they had the product I need, and that they’re willing to do the AutoShip. The only thing is that I requested for it to be delivered by the 4th and now it’s going to be five days late so I had to go somewhere else and pay full price in the interi"/>
        <s v="Delivery is always super fast and much appreciated."/>
        <s v="prompt service and competively priced."/>
        <s v="Paid for order to only be refunded days later as it was not in stock. Though it is not the fault that dog food companies cannot get the ingredients to make the food; it is Petflows fault that the food appears on the website as being in stock when it is no"/>
        <s v="Ordered 3 products. Two were out of stock. I contacted Petfllow multiple times to cancel the two out of stock products. One cancelled correctly, but the other already shipped so I received a $20 off inconvenience discount on it. Then after all that, two o"/>
        <s v="I ordered prescription dog food and it was listed in stock. Placed the order and sent in the prescription to the email listed. Two days later got an email saying they were having difficulty getting the prescription. I sent it again and they confirmed rece"/>
        <s v="Local vets out of prescribed cat food . Could not find any anywhere on line either even with a popular and well known pet supplier. Accidentally found Pet Flow and they had the food out cat needs. They got the prescription right away and processed I sent "/>
        <s v="Items shipped wrong twice! Customer Service promised to let me know if the items were discontinued or if they were going to replace them (yet again), and never emailed or called back. Terrible Customer Support. Still haven't been credited back for my item"/>
        <s v="Quick service n delivery.."/>
        <s v="Items arrived promptly. I'm very pleased they offer bones made in the USA which my dogs love."/>
        <s v="I would have preferred to get my items a bit sooner as I have from other pet vendors. I also wish I could get the grain version of Honest Kitchen's base mix. I had to go elsewhere to do so."/>
        <s v="We started using pet flow a year ago to order pet treats.Our regular place was out of stock, so I searched around &amp; found Pet Flow.They are better priced and price doesn't go up and down constantly.Super easy to order but if you need to call,customer serv"/>
        <s v="I have 4 macaw parrots so the A&amp;E toys I ordered are the same quality I have ordered for 2 years now from other companies. Price was reasonable and shipping time very reasonable. Plus I paid no shipping costs. Will definitely order again in a couple month"/>
        <s v="Very easy to use and very fast shipping! Thank you, I will use you again for my future orders."/>
        <s v="From start to finish, my order was handled with professional ease. I will continue to purchase from PetFlow!"/>
        <s v="I ordered puppy food through petflow because it was the only place beside Amazon that I could get it. I was getting a new puppy on Tuesday and I chose petflow because it said one-day shipping. I didn't choose Amazon because there's was two-day and I neede"/>
        <s v="I recently ordered 15 pounds of kibble, it was delivered quickly, and the next day I found out my puppy had some dietary restrictions. I contacted PetFlow and they were very helpful. I was able to return the unopened bag and receive a full refund! I am so"/>
        <s v="I have ordered from Petflow almost 10 years! The service and prices are wonderful!! Your staff is so responsive and knowledgeable!! Best quality of products! Would never use anyone else!! I’m a true fan!!"/>
        <s v="The right products, delivered on a timely basis, and in good shape!"/>
        <s v="The reason why I did not give 5 stars because it’s not vacuum sealed I guess for easy stocking of the product but it won’t be fresh anymore! Who ever is I charged of the stocking the product put a pin hole in each bag. Tell me if I’m wrong."/>
        <s v="Very happy that what I need for my dog is in stock, and it ships in a timely manner.&#10;Thank You&#10;Jean Havens"/>
        <s v="I signed up for the automatic order, to find this dog food my dog would eat, that according to reviews was healthy (Friday, January 21, 2022, 10:27:02 AM EST, Pet Flow wrote: Order received order 9788976 ) . My order did not get a tracking order at first,"/>
        <s v="I placed my order 11 days ago, I still have not been advised when it will be shipped."/>
        <s v="My order was canceled and no one bothered to tell me.... first time trying to order ... not happy with this"/>
        <s v="I found Petflow after searching high and low for the Royal Canin PV wet cat food when the company I usually buy from was out of stock. Due to the nature of the situation with our cat, it was very important we located this food, and thanks to Petflow and t"/>
        <s v="Sent me the wrong product twice in a row. Customer service was great in apologizing and refunding my payment after two wrong shipments, but I shouldn't have to go through calling them twice for a simple order. I think they need to educate their warehouse "/>
        <s v="They carry the Fromm food our jack russell terriers love. Great website, easy to find what we want. Reorder function makes shopping easy. Orders ship quickly. Been using this site for several years and we are very happy using."/>
        <s v="Absolute scam of a company. Twice now they have sent an auto-ship that I had paused and charged me. Then when you call they want you do go and ship it back to them, for their mistake instead of sending someone to pick it up.&#10;&#10;Also, you can't cancel auto-s"/>
        <s v="I was running really low on my dog Pete's dry food.&#10;I could not find Royal Canin Adult Bulldog food anywhere over the last month. Even my automatic delivery sevice was out of stock.&#10;I looked online and Petflow had it in stock!! Yippee!&#10;I ordered it, with "/>
        <s v="Ordered from Pet Flow for the first time; my dogs food arrived quickly and I got a great price on the food. Wil be ordering again"/>
        <s v="I still haven’t received my product. It was estimated 2-3 days for delivery and we are almost 2 weeks out. No updates whatsoever."/>
        <s v="This was my first order with Petflow. One item arrived in days but the other item is still pending with zero communication. If it’s out of stock as it is in so many places, just communicate that."/>
        <s v="I went online to order my dog’s prescription food &amp; it showed that it was in stock. When I ordered It said that I would receive in about 5 days. When this date past I emailed the response made no mention that it was out of stock. 2 days later I called &amp; w"/>
        <s v="Order as expected and on time, prices great value"/>
        <s v="PetFlow was literally the only source for my dog's Hill's HypoTreats which are on back order. Customer service was really helpful and product was delivered on a timely basis with adequate follow-up."/>
        <s v="always get my order fast and accurate!"/>
        <s v="My experience overall has been very positive during the past two years. My order is processed and shipped within a reasonable timeframe. It has been very convenient to have heavy bags of dog food delivered to my door. Petflow also helps me to keep from ha"/>
        <s v="Fast shipping. Great prices…..Amazing customer service!"/>
        <s v="Website showed the prescription food I needed as available for quite some time since I placed my order. I received my shipment of toys and no food was delivered. I called on the status of the prescription dog food and was told I would get a response back "/>
        <s v="I had a problem with a shipment not being delivered. PetFlow solved the problem quickly and kept me informed."/>
        <s v="I am so impressed with every stage in purchasing the cat food I needed. I set up auto purchase that gave me a discount but when I went to check out they did not have enough to send so I thought i would lose it. No same deal. They notified me every step of"/>
        <s v="Always pleased with PetFlow. Been with them for years."/>
        <s v="Very fast shipping which is really important. All the products I need are on this website"/>
        <s v="Good Food, good $ and delivered to the front door!!!&#10;Great Service too!"/>
        <s v="This was the first time I ordered from Pet Flow. They were really great. I got my Order within a few days. Will definitely order from them again"/>
        <s v="Your service has been very good. I will continue to use your products."/>
        <s v="Have been ordering from PetFlow for more than 15 years and have never been disappointed with their service and prices. They keep you informed on the progress of your order and items arrive in a timely manor. Auto ship is the best service they offer."/>
        <s v="Always very helpful/professional/understanding if you have a question or concern. Or if you need guidance on something. Willing to match pricing and more than likely do better than competition. Only down side is they use FED EX who leaves the package some"/>
        <s v="I love this company. I have always got what I need from them. You should give them a try."/>
        <s v="I like that some of my auto ship order wasn’t ready for shipment and you shipped each individual packages automatically without charging me a shipping fee even though the contents of either package didn’t meet the cost requirement for free shipping. I’m s"/>
        <s v="I have been ordering from PetFlow for years now even have auto ship it works out great and have recommended it to friends."/>
        <s v="Fast, convenient delivery, never a problem! So much easier than shopping at the pet or grocery store! Love Petflow!"/>
        <s v="Always reliable with super fast shipping and a lot of choices.&#10;Highly recommend!"/>
        <s v="My experience with petflow has been all positive they care about there customers.😎👍"/>
        <s v="This was my first order, it arrived promptly, PetFlow was the only vendor that had the item in stock, I would and will order from this vendor again, very satisfied with them."/>
        <s v="Food came in a timely manner"/>
        <s v="Ordered dog food and the food was received in a timely manner. Never had a problem with PetFlow!!"/>
        <s v="Ordered a veterinarian prescription diet for my dog. The food was delivered promptly in 2 to 3 days. This was at a time when the food was back ordered and couldn't get it at many other places. Will now be using Petflow as my main supplier. Been very happy"/>
        <s v="Perfect !! Every order"/>
        <s v="Although there are supply issues, the customer service team is excellent and so helpful!!!! I also receive e-mail letting me know they are still on top of my backorder when it comes in."/>
        <s v="I love pet flow! The shipping is fast and their prices can’t be beat! Super cute products and a great variety of dog treats"/>
        <s v="PetFlow not only had what I needed but also at a price that was lower than where I purchase locally. My order came in a timely manner and I received free shipping which I was very happy about"/>
        <s v="Petflow has always been there w/full answers. Great delivery. No B.S. about anything..."/>
        <s v="PetFlow makes it easy for me to get a specialty dog food that I am unable to get locally as I live in a rural area. So far no damages to any of my shipments and delivery has been fast. I also like how they have a variety of toys at reasonable prices."/>
        <s v="I've only used your company once so I can't give an honest opinion of Pet Flow.&#10;What I can see is that you should look at switching which company you ship with or at least give options of other shipping companies. FedEx is horrible. I used u use them at t"/>
        <s v="This is the second ordered I placed with you. I had hoped it was going to be a lasting relationship. Sadly, it is not. In the first case, I placed my order, only part of the order was shipped when it arrived I was notified that the other item was out of s"/>
        <s v="Great website! Glad I found it as an alternative to my usual. My usual store was out of a specific food and I was able to find it here for a good price."/>
        <s v="Website and order process were both easy. Shipping was efficient"/>
        <s v="Better prices than Chewy, fast shipping! Thank you!"/>
        <s v="First time buyer. Impressed by variety and choices of products. Wonderful service."/>
        <s v="Hi, For over a week, told me food item was in stock and would be shipped shortly. Called several times and was told the same story. Yesterday I was emailed a message that it was out of stock and they would let me know when they had it in inventory. That d"/>
        <s v="Thank you! Kitty’s love theirs items"/>
        <s v="I phoned prior to placing an order to verify that my finicky cat's food was in stock and informed that it was. Three days later, it still hadn't shipped. When I phoned again to ask when it would ship, I was informed that it was out of stock.&#10;&#10;I should hav"/>
        <s v="So glad I found PetFlow, recently I moved to another city and State and I was having a hard time finding the food that my Standard Poodle had been eating, I ordered from another company when I was getting low, however 3 weeks after my order I still had no"/>
        <s v="I order a bag of Fromm dog food and the process could not have been any smoother. The order came very quickly. I would definitely order from PetFlow again."/>
        <s v="I couldn’t find the pet food I have been using in stock at all of my regular vendors so I tried PetFlow because they had it and I have no complaints! Shipped and arrived on time and I was sent updates along the way which I really appreciate."/>
        <s v="I ordered purina pro plan veterinary diet HA on 1/14/22. It showed that it was in stock and my prescription was verified, but as of 1/25/22 still has not shipped."/>
        <s v="Placed order by phone on the 14th. Was told the order would ship either that evening or Monday. Never received a shipping notice so I finally called on Wednesday to check on status. Was told by recording to leave a message and a rep would get back to me. "/>
        <s v="The company Carries great products and is quick to respond with customer service. If you wish to cancel your auto ship, it is cumbersome, but it does get done.&#10;The biggest drawback is that they use FedEx as their shipper and no other option. FedEx is abso"/>
        <s v="Your website and customer reps have no idea if products you have are in stock&#10;I place and order thinking you have food for my pets then I get an email stating food is on back order&#10;I need a more reliable company that has food in stock to buy"/>
        <s v="When I order a prescription diet cat food it should not take 4 phone calls to get it shipped. This is NOT optional food that can be replaced with something else temporarily. It is something my cat NEEDS to live. On my first phone call I was told the autho"/>
        <s v="This was my first time using Pet Flow. I found the site very east to use, and the package came earlier than expected, with no problem in packaging. They deserve a 5 star!"/>
        <s v="I got my exact order very quickly. I was impressed because I buy online often and it usually is not what I ordered, poor quality, shipped in separate boxes and/or late as all get out.&#10;Not PetFlow! All nice quality, good condition, quick delivery in same b"/>
        <s v="Web site ordering and auto-ship process is terrible -very clunky and has caused problems with orders twice now Most recently resulted in receiving double order of 44 lbs of dog food and charged 2 different prices. Texted customer about this almost a week "/>
        <s v="My last order had 2 items that were out of stock and therefore didn't make my monthly order. I received communication regarding one item being shipped upon it being restocked but the 2nd item was never acknowledged, restocked nor substituted for."/>
        <s v="Easy to order, prices are comparable and shipping right to my door, great. I've had one order that was messed up. I called customer service and the lady was very helpful, professional and quickly fixed my issue. Petflow is fantastic. The only issue I'm ha"/>
        <s v="In a world where cat food is an item on the hard to find list, I googled “Where can I find….” And discovered your website. I am thankful you were able to supply, and continue to supply, the food my kitties love. Thank you"/>
        <s v="Good selection, easy to shop, and a good price, The only thing I could ask for is a way to check order status. If it's there, I couldn't find it. Otherwise a very good first experience, and I'll be back."/>
        <s v="So happy to find y’all and be able to order and receive the product. A lot of places are out. Thank you!"/>
        <s v="the worst, don't buy from them. they screw everything up from the spelling of my name, my phone number and not telling me they were out of something i paid for and it was an urgent order."/>
        <s v="The pet service I usually use was out of the cat food I needed. You had it. Your service is as good or better than what I usually use. You were fast and you kept me aware of its status. You have a new customer, I’m very pleased! Thank you!"/>
        <s v="Unfortunately my last 2 ordered have taken over a week to arrive. The last order apparently got &quot;stuck&quot; in the system and sat for a week in &quot;order shipping&quot; status, promoting a phone call to resolve."/>
        <s v="The plus with Petflow is that they carry Fromm and they don't price the product more than anyone else. Maybe the company controls that. Either way, that is the plus....however........shipping takes way too long. That is where Chewey excels. We are all in "/>
        <s v="Very accommodating. Whenever I have to change my auto order they have no problem changing the date."/>
        <s v="Horrible customer service, repetitive delays in the purchases and buy with PetFlow made my life harder, it lost the good convenience that I previously had."/>
        <s v="Petflow has most of the items that I need for my fur babies. Fast delivery and good communication if something in my auto ship program isn't available. Their customer service is the best!!!"/>
        <s v="Received text stating it was being shipped that day(12th) Six days later received another text stating was being shipped that day(18th)"/>
        <s v="I thought I was ordering small (5.5 oz) cans of dog food based on my item search and photo results. However, unknown to me, the 5.5 oz cans were out-of-stock so the order defaulted to the larger 13 oz cans, which is what was shipped to me. These larger ca"/>
        <s v="arrived quickly and in good condition. Just what we needed, especially when these are so hard to find."/>
        <s v="6 out of my 10 items were cracked. The packing was horrible . And even though I heard from someone finally today . Now your out of stock for my items . You did put the money back on my card I really needed those items"/>
        <s v="Love PetFlow! Been using them for years!!!"/>
        <s v="Part of my order was defective and I wrote to tell them so. I received a form letter of acknowledgement back, but it took 3 days for an actual response. The item is being replaced, but has not yet shipped and I think their customer service is pretty poor."/>
        <s v="As soon as I gave him his first taste he wouldn’t leave me alone after he ate lol what a great come back"/>
        <s v="Great. I initially got only two of the four items I ordered . But the rest of the items I ordered came the next day."/>
        <s v="This was my first order from PetFlow, but it won't be my last. The dog food that I needed was available, the website was easy to navigate, and the order arrived on time. I'm a happy customer."/>
        <s v="This would be five stars. Customers service was fast friendly and helpful. I deducted 2 stars because my order took so long to arrive...this was i m sure due to unforseen circumstances like our recent weather,covid and such however I was told at the time "/>
        <s v="Ordering dog food and treats online works out great!"/>
        <s v="Packaging has improved, the 30lb bags I order are FINALLY coming in the proper sized boxes &amp; my last very large order (8 bags) were packed well and the tape held…a first. Your Customer Service on the phone was awesome luckily for me because I find the web"/>
        <s v="Good selection of pet food. Easy to order and shipping fast."/>
        <s v="Great service, quick shipping. I've been ordering Fromm dog dog food for over 4 years from PetFlow and have always been very satisfied with their service."/>
        <s v="My dog is on a prescription dog food and I couldn’t find any. I called PetFlow and talked to the sweetest lady who helped me set up my order for recurring so I don’t have to worry about it. I’m sorry I cannot remember that lady’s name but a big shout out "/>
        <s v="I ordered a 25lb bag of dog food along with a 3.5lb of dog food. When the delivery day came, I only received the small bag. So, I called Pet Flow To find out what happened. Seemed they ran out of my dog's food at the nearest Wearhouse and had to send it t"/>
        <s v="Great on time delivery. Box and contents in good condition"/>
        <s v="Petflow tries very hard to do what is right. I had a code for $10 off. On-line it took the discount &amp; then on the receipt, it was gone. I left a message and someone called me back. He didn't question the perc and immediately took the $10 off. Congrats for"/>
        <s v="30% of my deliveries have had slashes in the bag so I haven't been able to use the food. I've complained and most times they sent me a new bag but very inconvenient."/>
        <s v="Ordered nearly two weeks ago Rx dog food. Status was always “shipping”, had to hound (no pun) them for status. Finally just gave up and cancelled the order. Look elsewhere."/>
        <s v="great service, prompt delivery"/>
        <s v="Good selection and reasonable shipping times. Always have trouble ordering"/>
        <s v="i was very happy with service from customer service......."/>
        <s v="The one reason I placed an order with this Company was for a specific item they listed on their web site. I had to order another very small item to qualify for free shipping so I did. I was later informed the main item was no longer in stock and never had"/>
        <s v="Was disappointed on my order, the item I ordered was out of stock and replacement with something else without informing."/>
        <s v="I give one star only because 0 wasn't an option. I placed my order, then get an email stating that the product I ordered was unavailable, in fact discontinued. Then I start getting emails saying my payment through PayPal wouldn't authorize...worked fine f"/>
        <s v="The box was falling apart- I can't imagine how the delivery driver managed to carry it to the porch. Fortunately the bags of food are intact and not&#10;damaged."/>
        <s v="Excellent. Order on time. I will order something soon. Thank you"/>
        <s v="I really loved my experience with PetFlow. The items I ordered were well packaged and arrived in a timely manner.&#10;I plan on continuing to do business with them."/>
        <s v="Fabulous website &amp; excellent customer support &amp; service 👍"/>
        <s v="I placed my order on 09-January and did not receive my package until 17-January. I was expecting shipping to be sooner and I almost ran out of food for my 9 working dogs. Although I appreciate that PetFlow carries Open Farm, I will not be ordering the Dr."/>
        <s v="Excellent company. I made a mistake and had to cancel an order and it was “ no problem”. Fast, great service … highly recommend."/>
        <s v="Great Company to order products wanted since Pet Store where I normally gets them have quit handling these wonderful treats. Great service also."/>
        <s v="First order for new puppy food that wasn’t available locally. Process was easy, delivery was on time and packaged well. Will order again."/>
        <s v="Horrible customer service. I order food for my dog. They charged but didn’t send it. I called them a week later and they said they didn’t have it in stock meanwhile they charged it already. They sent it later on without a hurry. 10 days later I haven’t re"/>
        <s v="I spent a lot of time with my review. So I will submit but beware you have to accept certain terms and conditions to submit a review.&#10;&#10;Everything went fine for a year and a half. Our dog needs a prescription diet. Then for the last shipment, they said the"/>
        <s v="accurate and timely delivery&#10;&#10;thanks"/>
        <s v="Ordered prescription cat food. My Vet approved the prescription in one day. Waited a week with no delivery. Called customer service and was told as soon as the pharmacy warehouse sends it out, I’ll get an email. After waiting 10 days with no email or food"/>
        <s v="It has taken too long to receive my order. Finally got one of the items, but can't even download the shipping information for the other item. I ordered prescription food for my dog-- something I needed in a timely manner."/>
        <s v="Always there to answer questions and to help out!"/>
        <s v="Being told it was delivered and it wasn't. I di nt receive the shipment until several days later, This is not acceptable!"/>
        <s v="Only received 1/2 of RX cat food order placed in December 2021.&#10;No way to check on line.&#10;Calls to customer service have not resulted in any feedback as to status."/>
        <s v="Placed order 1/3/22, being advised shipment would be made within 2-4 days. Never received shipment; called every few days - continuously received same story ... to be shipped within 2-4 days. Now 14 days later, still have received nothing ... including an"/>
        <s v="Excellent customer service. Patiently worked with me to solve problem with order."/>
        <s v="Generally timely and professional service. My major reason for not buying everything through Petflow is your use of FedEx Ground to deliver packages. In this area (North Georgia) FedEx is terrible. Most delivery packages in this area go through their Aust"/>
        <s v="My order was fulfilled in two days without hiccups. Great prices, products and shipping!"/>
        <s v="PETFLOW is the only supplier I can get the cat food my cat likes from. I can get the food he likes in bulk. And it is at a good price. He eats a can every day of one kind. And he is very picky. Thanks for being there."/>
        <s v="Check your bank balances people! If you’re on AutoShip even if you’re not. Check your bank balances. The food is great. My dog loves the food. No problems there. I bought 2 44 lb bags of this dog food for the first time on November 8 for $148.40. So then "/>
        <s v="No problems with the product, but shipping was VERY slow. Allow 10 or more days to get your food from them."/>
        <s v="Overall I love PetFlow, but in this particular case where my auto-ship was delayed due to out-of-stock conditions I feel I was not notified sufficiently quickly enough to react. As a result, the Hills Prescription cat food I had ran out and I needed to sw"/>
        <s v="They make it easy; love how they call your vet for prescription food. Fast deliveries"/>
        <s v="Called PetFlow to see if I could get Meow Mix They were very helpful and&#10;I ordered a Multi Pack Box. I received it right away. Everybody was very&#10;police and nice. Will definitely use again."/>
        <s v="Have ordered from PetFlow many have always had fast efficient service"/>
        <s v="My package was stolen and they reached out and provided me with a new bag at no cost."/>
        <s v="Petflow helped me out in a pinch when other companies were out of my cat’s prescription food, Petflow came through for me. I really appreciate that as she is older and needs her special food."/>
        <s v="Reasonable prices, quick fulfilment and delivery. It's always like this. Thanks"/>
        <s v="My order arrived incomplete, and it was downhill from there on. I don't have time to detail my problems trying to get things straightened out. I had been satisfied with my experiences with Pet Flow in the past, but this was a total mess."/>
        <s v="They could not deliver. I called and called and received excuse after excuse.Ended up cancelling my order and order through Amazon!"/>
        <s v="My auto ship from Petflow is so easy to use. It's easy to add or remove products depending on what my animals need that month. And if I end up needing something extra I can order and receive it quickly. On the rare occasions that something is backordered "/>
        <s v="Have ordered my furkids prescription food several times. Your customer service has always been great."/>
        <s v="Pet flow still carries the brands I feed my dogs and at fair prices. Some outlets don't have the variety and choices I find on pet flow."/>
        <s v="Dog gates are sturdy, shipped quickly. Great service!"/>
        <s v="The app is difficult, I tried to cancel the order and it didn’t work. I am going to stop the pet flow auto matic orders. They are difficult. I had a double order the time before. Too much trouble to change! M Upotn"/>
        <s v="Pet Flow shipments are always ontime and there is sometimes a discount."/>
        <s v="Great selection, ordering was easy, and my order arrived quickly and in good order. My experience was very positive."/>
        <s v="Products have been great. With all the limited choices, due to allergies, I have been great full to find what I need"/>
        <s v="I ordered dog treats from the company my order was delivered within 3 to 5 days through the Christmas holiday two bags came cracked I called and they re-delivered two more bags and didn’t charge the customer service was really good it took no time to get "/>
        <s v="Product delivered on time as promised. Quality is excellent."/>
        <s v="Not good service, a lot of back and forth and useless waiting"/>
        <s v="I would usually leave 5 stars, but my pups dog food on several occasions has arrived late - So in result - I’ve had to go to stores to buy the same kibble."/>
        <s v="Shipping dates are really slow, which can be annoying for thing you cannot get locally. They always run 2-4 days later than expected it seems. When you have 5 hungry parrots, that can be an issue! They also have a limited selection of foods for dogs and b"/>
        <s v="I placed my order Thursday the 6th. Asked by chat if Saturday is a business day...it isn't because the warehouses that have the supplies don't work weekends. Fine. Was told it would ship Friday and maybe FedEx would deliver Saturday, but I would have it M"/>
        <s v="First Time customer&#10;Easy online ordering&#10;Great Price&#10;Delivery prompt&#10;I’ll be sharing this company info without a doubt"/>
        <s v="My two kittens were recently prescribed a hydrolyzed protein diet. Because of the Pandemic, the food was next to impossible to find. Petflow had the products that I needed and quickly processed and delivered my order. I’m so grateful to have found this si"/>
        <s v="Still haven’t received my order! This is an awful experience! Will be my last"/>
        <s v="Reliable and excellent."/>
        <s v="order place has stalled on Colorado from vegas on its way to Indiana. tracking is not being updated and the response time to email is a day or more behind."/>
        <s v="Customer service is top notch! I love that I can message about my order in an email or text and get a reply quickly. Great discount for new customers and a constant supply of my pets food. Thank you pet flow!"/>
        <s v="I really like your products, the frequency of communication about a shipment and my pets are happy too! ☺️"/>
        <s v="Pricing good. I was kept informed of delayed shipment due to weather. Will buy again!"/>
        <s v="I was luckily to find what I needed at a great orice! Shipping was fast and because I met the minimum I got free shipping. Will shop again!"/>
        <s v="Been with Petflow going on 5 years now. They always help me if I need specialty food or just basic pet food. So many choices and the treats too! Thank you for meeting my expectations in each box I receive. Fan for life!&#10;&#10;Denice"/>
        <s v="Delivery was quick and I'm very happy with the RED gravel. RED gravel is hard to find."/>
        <s v="25% discount on quality dog food&#10;is perfect"/>
        <s v="PetFlow falsely advertised a food as in stock then withheld the funds they took from my account. I was diligent thankfully but despite my best efforts it still took 3 calls to customer service to get my money back. Each CS rep provided conflicting info wi"/>
        <s v="Very Fast service. Great deals on the food I purchase"/>
        <s v="Placed an order for a prescription dog food on 12/27/2021 which your web site said was in stock, which was a surprise because all other pet stores were out of stock. Received a confirmation with an order number, pending charge on our credit card. Pending "/>
        <s v="Would really like invoice included with shipment. Would alleviate one step in filing claims"/>
        <s v="Great customer service. An order was placed and an item was missing. I sent an email to report it and they sent the item out immediately, no questions asked. Will continue to be a customer"/>
        <s v="Easy to order, great price and fast shipping."/>
        <s v="PetFlow came through when other trusted online pet food providers dropped the ball. Even with the order itself and managing FedEx - they kept engaged until the entire was completely fulfilled and delivered... Service is tough to put a price tag on. THX Pe"/>
        <s v="Horrible communication, useless customer service, promised e-mails never received, “in stock” item still not received after 11 days. New tracking number refers to item already delivered, not item still waiting for. This was my first and last order."/>
        <s v="They have the dog food I use; but, not the cat food. They are slower to deliver than other sites."/>
        <s v="Good, fast service."/>
        <s v="Pet flow staff have been knowledgeable, polite and able to meet my needs every time I have called. The products carried are high. Quality and competitively priced."/>
        <s v="Great to do business with. Very fast delivery. Will use again"/>
        <s v="Each order comes as anticipated and very timely."/>
        <s v="First time ordering from PetFlow. The online ordering process was quick and easy, and we received the order very promptly. Highly recommend Pet Flow!"/>
        <s v="PetFlow has a great selection and affordable prices on a variety of dog and cat foods. They ship quickly and always send notifications on the status of your order."/>
        <s v="Ordered three bags of dog food, one was delivered promptly the other almost two weeks to arrive and when it did one of the bags had opened and spilled kibble all over the box."/>
        <s v="I’ve ordered from Petflow for over 5 years.&#10;Ordered always delivered on time. Prices are righteous. Highly recommend"/>
        <s v="Never did get my order and it took 3 days for you to let me know it was out of stock"/>
        <s v="My dog, Hannah, absolutely LOVES this new pet food, She smells it from the other end of my house and comes running, waiting impatiently only to devour it in no time! Plus, the delivery was prompt. Thank you so much!"/>
        <s v="Very fast delivery. Great discount 20%.&#10;Thanks"/>
        <s v="My order arrived on time and complete. One product I wanted to order was out of stock, but there’s an option to get an email notification when it’s available which is extremely helpful."/>
        <s v="I’m very happy with Petflow. They were great with me and my vet to get the vet to prescribe Canine TD’s. (My vet was not so nice!)"/>
        <s v="Been a customer for several years now. Reliable shipping and excellent email notice to help me adjust my autoship if needed. Excellent customer service by phone when needed."/>
        <s v="Out of the last ten orders, three were messed up and did not deliver on time. One of which required our cat sitter to go to a specialty pet shop to get food while we were on vacation."/>
        <s v="My recent order was delayed due to weather and the shipping company. When I spoke with the Petflow customer service they were helpful tracking the package and keeping me posted on when it would be received. I appreciate this help."/>
        <s v="I didn't get my delivery but when I talked to the customer service man, we discovered I hadn't changed my address at Petflow since I moved in May. It got sent to the old house. But he went ahead and sent a replacement to my new address. He was very kind, "/>
        <s v="I have received numerous orders from this company, and they are always accurate and timely. That's why I will continue to order from them."/>
        <s v="Quick response to my order with delivery time, kept me updated."/>
        <s v="My order came in good time. I have been unable to locate Hill Science Diet food through my usual sources, however, PetFlow came through with flying colors. Not only was I able to obtain some of the wet food I normally feed my cats but I was able to obtain"/>
        <s v="Very good company with a wide selection of products. Timely delivery and easy to order. I like this site very much!"/>
        <s v="Great selection of product. I have always found my selections in stock. Deliver is unbelievably fast."/>
        <s v="Coupons never are useable for purchase of Fromm dog food.&#10;&#10;Delivery is by FedEx. In a word FedEx is lousy. I realize this is another company but they are making PetFlow look bad and they chose them."/>
        <s v="My Buddy LOVES the treats from PetFlow!! On my last order one item he dearly loves was left off because it was out of stock. To my surprise, when PetFlow's new shipment arrived they sent the item!! SOPLEASED!! Never has that happen with any company (that "/>
        <s v="Competitive prices, great delivery, honest and trustworthy."/>
        <s v="Overflow consistently delivers high quality cat food to my house. What could be better?"/>
        <s v="My cat passed away unexpectedly a couple days after Ordering her prescription food online. I contacted customer service via text - very convenient option. They were not able to return the food because it had already shipped, but when I shared my situation"/>
        <s v="I love the convenience, but PetFlow’s online ordering set-up is SOOOOO difficult to use. Result? I’ve had multiple, unwanted shipments, no matter what I do.&#10;&#10;For months, I’ve tried to get rid of an extra auto-ship program. I cancelled. Chat reps cancelled"/>
        <s v="Love the extensive variety of pet foods especially the better brands. Prices are comparable to or better than others. Delivery is quick. Only one constructive feedback is the shopping cart view. I would prefer it could be full screen."/>
        <s v="I still haven’t received my order.&#10;&#10;I ordered some dog food, and a $2 chinchilla chew to get free shipping.&#10;&#10;The chinchilla toy came quickly, and it was in a HUGE box that could have fit the bag of dog food that I ordered as well.&#10;&#10;The dog food still has "/>
        <s v="I've been buying quality pet food from petflow for about three years. They carry quality brands, they have excellent customer service, and their website is easy to navigate. I like the autoship option which is also easy to edit, so I have only great thing"/>
        <s v="On time and best price. Good by Amazon!"/>
        <s v="I had trouble finding my cat’s prescription food. Customer service was marvelous and ultimately I was able to secure a bag for her."/>
        <s v="Place the order 11 days ago and still no shipment yet. Call them a few days ago and was informed that it was ready to ship but still no info whatsoever."/>
        <s v="Very timely service. Thanks!"/>
        <s v="Great + quick delivery! Thanks"/>
        <s v="One of the few places I could find what I needed, at a great price was the cherry on top. It shipped quickly and got here fast, i now have some happy cory catfish."/>
        <s v="always get my order quickly and good prices too"/>
        <s v="I was pleasantly surprised that PetFlow had the special canned cat food that I was looking for and couldn't find locally. Additionally, the shipment was very well packed and arrived quickly. This was my first time to order from PetFlow, and I was impresse"/>
        <s v="Everything came to my home in time before I ran out of dog food. The one toy was slow but it all still made it to my home so the dog could enjoy it."/>
        <s v="Love this company always have what I order&#10;Shipment comes really fast&#10;Never had a problem with PetFlow"/>
        <s v="Great products!&#10;Great prices!&#10;Fast shipping!&#10;Employees on phone are so courteous,helpful and knowledgeable!&#10;Exceptional place to shop!"/>
        <s v="Easy website layout and good selection of pet food! I love the Fromm dry cat food selection and my cat loves his treats too! My cat approves Petflow!"/>
        <s v="Excellent quick delivery with best pricing - will definitely be a returning customer"/>
        <s v="My initial shipment was damaged, but the CSR was extremely helpful and sent me a replacement promptly."/>
        <s v="It's been over two weeks and I have yet to receive a shipping confirmation. Will likely dispute order."/>
        <s v="Received exactly what I ordered and in excellent condition. Thank you!"/>
        <s v="I love using petflow! They have wonderful options for my dog and good communication on orders. Highly recommend."/>
        <s v="Very nice. Better than expected. We purchased it for Ferrell cats to stay warm. We set it up in our house and our cat thinks it's his new house. He loves it."/>
        <s v="PetFlow's customer service is exceptional. The website is easy to navigate and check out. Super fast shipping."/>
        <s v="Pet Flow continues to carry the special dog food that I require for my pet at a good price and they ship it super fast. Very satisfied with their service."/>
        <s v="PetFlow offers a wide variety of limited ingredient snacks for my dogs, and the prices are very reasonable."/>
        <s v="I was sucked in by the promise of a discount in exchange for my email address. Then I couldn't use the discount because it had a previously undisclosed minimum order requirement which was extremely high. I felt tricked. I would normally order 1 bag of dog"/>
        <s v="Service extremely quick and they seem to have a supply over and above what other entities have on hand. First time with PetFlow, but will certainly look to them as an option in the future!"/>
        <s v="I’ve used Petflow for years and have always received top notch service. I love the enormous variety of products available for my 2 dogs and I’ve easily found the best products for each (1 is 5 and the other is 14). They also include the sources for the pr"/>
        <s v="Pet Flow is wonderful but the delivery leaves much to be desired. Fed Ex refuses to bring my packages to my front door. Instead they are left in the street."/>
        <s v="Petflow has been fine, not stellar, with occasional hiccoughs on prescription food authorization. Lately, they've been completely unreliable as a retailer, causing us to cancel our subscriptions and move to Chewy."/>
        <s v="Wide variety of products and fast service on orders, even if they are specialty items."/>
        <s v="The product was good and well packaged, but it was a week late and required me to go all over the local area multiple times to supplement the food until me order got here. I'd be perfectly happy and would definitely order things again if Pet Flow would st"/>
        <s v="My dog food took 1 week and 1/2 to arrive to me."/>
        <s v="Petflow is great! You call and always get a live person right away. I've been with them for years. Can't beat their customer service!!!"/>
        <s v="I thought I had cancelled one order to order a different food. It turned out I got both orders. I was told it would be fine to keep them both and use them and just set a later date for my auto shipping."/>
        <s v="PetFlow delivers quickly. They have an autoship program; You can change your auto ship as many times as you want and they have the best prices for the quality of products"/>
        <s v="My order of dog food was shipped on a Monday. Said Friday delivery and did not come till the next Monday. With that delay I had to go get dog food I didn’t want to in order to get by until my order came. Chewy takes 2 days. I guess I’ll go back there."/>
        <s v="I purchased some hard to find puppy food because no stores in my area carry it. I found it in stock with PetFlow. I ordered it and they use FedEx as their shipping carrier. I have had numerous problems with getting my packages late via FedEx. I emailed Pe"/>
        <s v="Great selection and easy to check out. Shipment came in a timely manner."/>
        <s v="Petflow is efficient and speedy. I never worry that my product will arrive on time"/>
        <s v="PetFlow is fast and accurate. They beat Amazon on delivery time. The prices are on target and no complaints about the product from Stanley or Bruski. Very glad we found them!!! Thank you!"/>
        <s v="Love the quick shipping. Love the cost of foods (i.e Royal Canin). Love that items are in stock and Love the customer service.&#10;What else is there?"/>
        <s v="I made an order from Petflow awhile back. Never received the order. When I checked the order, it had been canceled due to an error by the Veterinarian. Unfortunately, no one told me it was cancelled. I called the Veterinarian and their internal communicat"/>
        <s v="I received my complete order. It was a few days later than usual but that was to be expected at Christmas time. The problem was that a bottle of white dog. shampoo had opened up inside the box and covered a 15 pound bag of dog food and a raincoat with a w"/>
        <s v="My one complaint is that you cannot cancel an order on your online account, had to call numerous times to get a customer service agent to fix a mistake on ordering. Very frustrating, hope they make changes with online ordering."/>
        <s v="So much care was placed into packing my order, it was wonderful! There was a lot of cushion in the box so the cans didn't arrive all bent. I will definitely place another order soon!"/>
        <s v="They shipped my wet catfood over a week after I placed the order, scheduling it to be delivered the 22nd of december and could do nothing to delay or cancel the order even before ups had it. So my food is going to freeze over and over again while we are g"/>
        <s v="Prompt shipping. I ordered Dr Marty for my fussy dog, and he likes it so I will order again."/>
        <s v="Petflow is a class act&#10;Always have my product in stock and fast free shipping&#10;A+++++++"/>
        <s v="I have been buying my dog food from Petflow for years now. It has always arrived quickly and fresh and my dog is happy."/>
        <s v="Very reliable auto ship and quick with off cycle purchases."/>
        <s v="Excellent service with competitive pricing"/>
        <s v="Dented dog food cans at times. Sent concern about this five days ago and have yet to receive a response."/>
        <s v="There was a mistake in the order and they didn't hesitate to make it right. Great customer service. Great product"/>
        <s v="Great products offered with fast delivery, thank you!"/>
        <s v="The price was right and the quality was great. That, along with fast shipping gives PetFlow 5 stars."/>
        <s v="Great site! I discovered it by accident after chewy was out of my cat’s food. I gave it a try and was pleasantly surprised how wonderful petflow was. The delivery was very fast ,the product fresh and well packaged. They saved the day. Now I ordered again "/>
        <s v="I discovered Petflow when another major retailer had no inventory of my cat’s preferred flavor of prescription food. I enjoyed the experience and fresh inventory so much that I’ve been buying from Petflow ever since!"/>
        <s v="I searched at least six different retailers to find this special canned pâté food specially formulated for my small breed Senior picky eater (with only 3 remaining teeth) to no avail. I was desperate, as my little 17-yr. old girl turns away from nearly al"/>
        <s v="Never had a problem. Have recommended"/>
        <s v="Order was easy to place and delivery was prompt. Thank you!"/>
        <s v="Thank you for the ease of ordering &amp; the speed of getting my order delivered. Also, I am very impressed with your website."/>
        <s v="I have been ordering my dogs food from Petflow for a few years. They always have a quick turn around from order being placed to delivery. My dogs eat Fromms large breed dog food which can only be purchased in specialty stores. Petflow has been wonderful t"/>
        <s v="I have had a great experience with PetFlow. Only once I had a package/delivery that was stuck somewhere unknown. Customer Service immediately sent it to me again without question. I was grateful and impressed.&#10;Also, when you place an order with PetFlow yo"/>
        <s v="Always quality items from Pet Flow. And they are recieved in a timely manner!"/>
        <s v="I like this company. They have a great selection of dog foods that are difficult to find other places. Their prices are comparable to other sites, although they may be a few dollars higher, I like that they say they do note food to animal shelters."/>
        <s v="False info on delivery date . No follow up . Product seems to be stuck in transit in a black hole in neighboring state. Product is over a week delayed from promised date with no follow up status update . Will never deal with pet flow again . Not a well ru"/>
        <s v="Great communication, speedy service and delivery even when supplies are low. Thank you!"/>
        <s v="very pleasant experience. good customer service.&#10;fast delivery. Prices are ok."/>
        <s v="Placed order and received item earlier than anticipated, will definitely us this vendor again considering we have four Bernese Mountain Dogs, they do eat."/>
        <s v="I’m still waiting for my dog food delivery, or even an update. No news since it reached my local distribution center 3 days ago. ??"/>
        <s v="Things came well packaged and timely! No complaints"/>
        <s v="Took 6 days in transit, the packaging was taped and retaped. The treats were on each side of the package front and back. No doubt they will be dust when I open them. This company needs to step up there game in the shipping department."/>
        <s v="Prices were good, product availability was good, shipping was good and free. I'm happy with them."/>
        <s v="PetFlow is responsive to clients, with good prices and discounts. Fast shipping"/>
        <s v="Except for a blip on the refund, all is well. Will continue to get my fog food here."/>
        <s v="what i wanted quickly received with terrific phone support"/>
        <s v="huge variety of pet supplies and fast shipping."/>
        <s v="I couldn’t, find my cats favorite food in any of major stores or any of the major online store but petflow had it and was able to get fast and easy"/>
        <s v="Great service, shipped my order out quickly, they had a cat food I have been searching for but was out of stock everywhere, luckily they had it in abundance, thank you so much ❤"/>
        <s v="Very prompt and courteous and take care to answer emails."/>
        <s v="Had product and delivered in a timely manner"/>
        <s v="Quick and easy"/>
        <s v="I changed my delivery date and the shipment still came."/>
        <s v="Received the wrong items, messaged 24 hrs ago and no response."/>
        <s v="Fast delivery and great product as usual. Package came undamaged,"/>
        <s v="Best offer, I could find for the price. delivered promptly and just when needed. I will be using PetFlow in the future!"/>
        <s v="Super service for shipping my Fromm Gold Dog Food. Highly recommend."/>
        <s v="The store itself has great prices and selection. However, the shipping of those products has been a nightmare. Placed an order on the morning of 12-1-21, spoke to someone on the phone inquiring as to the location from which the products were coming from. "/>
        <s v="Shipped fast and had the items in stock that others didnt. What more can you ask for?"/>
        <s v="Excellent service and the best pricing! So glad I found you! Thanks! 😃"/>
        <s v="Very pleased with Pet Flow's service and products."/>
        <s v="Great prices and selections of high rated dog foods. Shipping free over $50 and fast!"/>
        <s v="PetFlow has the best prices for pet food and deliveries are reliable. Sometimes my cat's wet food is not in stock, but when that happens, it is not in stock anywhere."/>
        <s v="Every time I order from here.. they always double my order. I ordered one big bag of dog food.. and I received two and charged for two instead of one. This is the second time they did this. I will not order from them again."/>
        <s v="Great dog food; my Maltese acts like a pup and she is 12. She has been eating salmon a la veg for 10 yrs"/>
        <s v="Excellent service. Best dog food ever would not feed my dog anything else then Natural Balance"/>
        <s v="Staff were very good at listening and finding a solution that would help me."/>
        <s v="Excellent customer service and fast shipping"/>
        <s v="My delivery isn’t not coming,very very slowly."/>
        <s v="I was very pleased with my order. I found an item for my birds that I couldn’t find anywhere else for a cheaper price and it arrived very quickly."/>
        <s v="Petflow apparently doesn't put in packing so I got ALL of cans dented up. Petflow needs to protect the cans."/>
        <s v="Been ordering from Petflow for along time...quick shipping,,competitive prices,,,has the brand of dogfood we want....wish they offered prescription medications"/>
        <s v="I was with this company for many years but repeated mix ups with my food, delays and supply issues took a toll, moved my business to Chewy, didn’t want to buy my fur babies have to eat!"/>
        <s v="We ordered pet food on Nov 26 and received it today Dec 7. Way to long, I have three emails telling me earlier dates. Probably our last order from Pet Flow!"/>
        <s v="You need to improve on your customer service on the phone. You also need to improve on your deliveries services meaning when customers ordered products from your website,&#10;it needs to be more accurate in the amount of products you have online website store"/>
        <s v="I am very happy with my purchase of cat food from PetFlow. The only issue I had was trying to find out, on the web site, how I could check out. Otherwise great."/>
        <s v="They have great customer service and they try very hard to please their customers. They also have a wide variety of pet foods."/>
        <s v="Love this company! Great to work with and carry alot of different foods."/>
        <s v="Very few notices of what was going on. I finally sent 2 emails. And made a phone call. Joseph was very kind. It took 9 days to get here. Wonder if it would come. I had to buy dog food in the meantime. Not happy. Product was good. And why did it come from "/>
        <s v="I would’ve given a 5 star review however, with my last order, it would’ve been nice if I was informed that my order for dog food was not available from where it is usually shipped. I usually get it within a week, but since it was coming from much farther "/>
        <s v="Only half my order arrived so far. FedEx dropped the busted box in the middle of the front yard and left. I wonder if the second half will show up or if FedEx will make it disappear like last order."/>
        <s v="Great service as usual even over the holiday weekend! Order was accurate and delivered on time!"/>
        <s v="Website easy, appreciate the discount.&#10;Other places were sold out of the dog food I need so thankful it was in stock and delivered in a decent timeframe"/>
        <s v="Thanks for having the food in stock. Now it’s get to him to actually eat the food"/>
        <s v="Great experience!&#10;Fast shipping and great communication with seller."/>
        <s v="Shipping not according to what was indicated at the time the order was placed"/>
        <s v="Excellent transaction :) Will shop again!"/>
        <s v="PetSmart stopped carrying the AvoDerm brand, then PetSmart followed.&#10;I'm very frustrated with them since they still advertise the products yet &quot;Not In Stock&quot; or &quot;Not available&quot;.&#10;I contacted AvoDerm and they recommend PetFlow.&#10;My initial purchase took long"/>
        <s v="My Hund loves the chow we ordered from PetFlow."/>
        <s v="I always get what I need in a quick turnaround for my 14 year old Hound!"/>
        <s v="Great product. Great price"/>
        <s v="The folks at PetFlow were kind enough to give me a $10 credit for FedEx's deplorable delivery service. They held my shipment hostage in their distribution center for 2 1/2 days!&#10;My shipment was correct &amp; sent out as quickly as they received the approval f"/>
        <s v="Great and prompt service and delivery. The bag charge was a bit of a surprise though. Might be wise to hide that under one of the other headings?"/>
        <s v="I placed orders during weekends. The return email said my order would be placed the following Monday and email would be sent of when to expect delivery. I have had to call customer service a couple times and order was finally put thru. My dogs do better w"/>
        <s v="I thought that the price was high compared to the vets office other than that the experience was good"/>
        <s v="I had a very frustrating experience with PetFlow. My original order was scheduled for next-day delivery. However, it took close to a week from getting the cat food I ordered. PetFlow misled me on my delivery date. This is the only food my cat can digest -"/>
        <s v="Very happy with my purchase experience, excellent help. Thank you"/>
        <s v="I paid for a package of food for my chihuahua that needed a recipe from the vet, but we could not get it, so I would like to have my money back."/>
        <s v="I wrote to the company regarding a complaint about customer service claiming that I didn't have funds to pay for an order that was an auto ship and said backordered, and after ordering something else, I got billed for it. Not knowing what this charge was,"/>
        <s v="Petflow carries our dogs preferred high quality food &amp; treats, we auto order and receive our shipments quickly."/>
        <s v="I like Petflow. I have ordered from them before. This time it took way too long to get my order. And the only reason I got it when I did is because I called and complained. Then they showed it being shipped right away but it still took 5 days after compla"/>
        <s v="The whole reason why I ordered from petflow is because of their quick shipping in 2-3 days. It took over a week for my food to arrive. I had tobuy another brand of food that upset all of my dogs stomachs. Never again."/>
        <s v="I was very happy to be able to find a food item that I needed that was sold out on Chewy, Amazon and all of my local pet supply stores. The only reason for the 4 stars instead of 5 was the delivery notifications. I understand delivery delays especially ri"/>
        <s v="Very impressed with being able to get what I need for my fur-babies special food. So far it's always been in stock, unlike the competitor sites and various pet stores. Prices are a smidgen lower than everywhere I've normally gone. Delivery is 50/50 at thi"/>
        <s v="Easy website to navigate, fair prices, and fast shipping!"/>
        <s v="Customer service has. Definitely declined. Website keeps changing making it difficult to order when you want. Iused to order 3 different products at 3 different times of the month and still get the auto ship discount now i get nothing.been a member since "/>
        <s v="Third time they have got the order wrong !!!!!!!!!!!!!!!!!!!!!!!!!!!!!!!!!!!!!!!!!!!!"/>
        <s v="I have been pleased in the past with available dog foods, treats, toys, etc. and delivery. I have experienced a lot of &quot;out of stock&quot; items that I have on &quot;auto-ship&quot;. I have had to buy these items on my own else where."/>
        <s v="Fast delivery"/>
        <s v="Great discount on Hill Science canned food for my dopey cat. It's becoming difficult to find the &quot;Chicken n Rice&quot; flavor so it was a relief that you had it."/>
        <s v="You carry the dog food that my puppy needs for his first year. The prices are reasonable and affordable."/>
        <s v="I tried to switch my monthly orders for food, treats, meds, and flea collars to PetFlow. It was a disaster. I get how the economy is currently but your communication is terrible. I can’t work with a company that takes days to acknowledge a request. And I "/>
        <s v="Can someone contact me?&#10;281-222-0505"/>
        <s v="Excellent product, delivered quickly, competitive pricing."/>
        <s v="Need a better way to let people know that their order was shipped with a tracking number. Had to text you to find out when my order was to be shipped, when I received an email telling my that it was shipped and there was no tracking info available. Need t"/>
        <s v="I was able to get my dog’s food from you when no other retailer had it. Thank you"/>
        <s v="Product was as advertised,works great. Arrival was fast,price was good. Service was friendly and professional. Great company."/>
        <s v="5 days after I should have recieved my order, I called because I did not know why or where it was,well was told by a very rude lady she would send an e mail to hurry up my order at another warehouse because they had none. I asked why they didnot notify me"/>
        <s v="Fast service, good prices, arrived in great condition. Has follow up emails."/>
        <s v="Chewys orders always arrived within 2 days. I decided to give Petflow a try. After close to a week, I had to call Petflow to ask where the dog food order was???. They said they delayed getting the order through - waited until the next day to initiate the "/>
        <s v="I love that my choice of dog food is always ready to deliver to our door when we need it. Auto ship is great, and not having to lug the big bags home from the store is even better."/>
        <s v="The products I ordered arrived quickly and website was easy to navigate."/>
        <s v="Disappointed. I created my first order on 11/17 and order still hasn’t even shipped (11/28). No communication updates either. Uggh!"/>
        <s v="Very happy with my purchase. Shipping is fast and communication is excellent!"/>
        <s v="It was supper easy to place my order, shipping was quick"/>
        <s v="Good job sending package on timely basis. Thank You."/>
        <s v="Always super fast shipping, and great packaging!"/>
        <s v="Always good condition of cat bagged food. Arrived in great shape and the order was correct.Timely order."/>
        <s v="Had products I couldn't find any other site!"/>
        <s v="Dog food was listed in stock at time of placing order. After a few days of showing shipped, ends up order wasn't shipped. I called and was informed that it was out of stock in the warehouse."/>
        <s v="NEVER RECEIVED MY ORDER IN OVER A MONTH AND SPOKE TO OVER 10 CUSTOMER SERVICE PEOPLE. DON'T BUY FROM THIS COMPANY !!!!!!!!!!"/>
        <s v="Order placing was easy. Great site set up. Like the autoship offer too. Already referred them to my neighbor."/>
        <s v="Ordering was easy and my purchases arrived quickly, which is wonderful during these times.&#10;I give this site a 3 instead of 5 because I was unable to read reviews on the products I bought. My cats are not eating one of them, and would like to know what oth"/>
        <s v="Saved from having my kitten upset. I have been unable to find the food my kitten eats. After several trips to pet store with no luck. Went online to Royal Canin site and Pet Flow was a recommended store to order from. Fortunately for my kitten y'all had p"/>
        <s v="I liked the prices and the toys and treats available but, several of the items that I ordered &quot;sold out&quot; and were removed from my order AFTER I'd checked out and PAID for them??! However, I will be giving them another chance when the supply chain problems"/>
        <s v="Good service"/>
        <s v="Fast shipping and great inventory of cheap toys"/>
        <s v="We use auto ship for most of the products we buy online. I found Pet Flow's auto-ship program to be extremely difficult to manage and no longer use it. As a result, I often buy pet products from other suppliers. We have 12 pets and buy a lot of pet produc"/>
        <s v="Speedy delivery, stuff usually comes within 3 or 4 days, Good customer service, I called to ask a question about my product and they answered quickly and with good telephone manner. I just signed up for auto-ship we'll see how that goes. I just wished the"/>
        <s v="We love the convenience of auto shipping. We were surprised at how easy it is to add or delete items for a specific auto ship or for future orders. The prices are fantastic and I like that I can still find Fromm products here."/>
        <s v="Very smooth experience. Good price and reasonable and quick shipping."/>
        <s v="Order and paid for dry dog food and 12 cans of wet dog food. The day they shipped it, I got an email saying they will refund me cause they are all of sudden out of that particular wet dog food!! I then had to run everywhere to find it…. At the last minute"/>
        <s v="Everything went very smoothly from ordering all the way to delivery. I was very happy and will use them again."/>
        <s v="Delivery was delayed 3 times. Said 2 day delivery. I got it in7 days. Not satisfied with delivery."/>
        <s v="Ordered prescription dog food, but got nothing but excuses. For over a week, their reps made one excuse after another as to why my dogs food was not shipped."/>
        <s v="Excellent service. I'm a happy customer!!!"/>
        <s v="I am totally impressed with petflow, they deliver product quickly and have the pet food in stock and if they are out of stock they will send email to let you know that it is back in stock. They are now the only one that carries my dogs food and I hope the"/>
        <s v="I have been&#10;using petflow for several years because they carry the type of dog food I want my dogs to have and no stores anywhere near me have it. In fact trying to get high quality dog food I'd have to travel an hour one way so it is very convenient to h"/>
        <s v="Very fast shipping! They sell good quality items."/>
        <s v="very good customer service. contacted my vet for prescription diet food and shipped out immediately. highly recommend!"/>
        <s v="Great products and service that excels. More than satisfied consumer from Maryland ."/>
        <s v="I spoke with a very helpful woman who checked with supply &amp; found a case of Hills Savory Cat food. Our local PetSmart had been out of it for a while. My 16 year old cat loves that particular food and takes her meds with it-she has hyperthyroidism. The foo"/>
        <s v="I placed an order on 11/2. Received an email saying I would get a shipping confirmation when it shipped. When not received by 11/12, I reached out to customer service and was told it was delivered on 11/11. As of 11/14 I still have no food &amp; was forced to"/>
        <s v="My husband shopped here last Christmas and gave it 5 stars. I like the site because they have unusual things and make great gift items."/>
        <s v="I requested the heavy package be left at the garage door under the overhang. But it was left at the front door instead. Otherwise very easy convenient efficient order and delivery."/>
        <s v="EXCELLENT service and everything packed with care."/>
        <s v="Currently waiting to receive order. Know distribution system is messed up. I will try to explain to my hungry miniature doxie. Would have been helpful if at the point of order for Petflow to made a statement that delivery could take up to X weeks or more."/>
        <s v="I love the quick delivery when we order our dog's food! So convenient!!"/>
        <s v="good cat loved it"/>
        <s v="Ordered dog food for the first from PetFlow. The ordering was simple, easy website navigation and the product arrived in a timely manner."/>
        <s v="They let me order food and charged me and called my vet to confirm the prescription, and they didn't even have the food in stock. In these times of cat food shortages, wasting my entire week thinking I had found food for my cat was detrimental to my findi"/>
        <s v="Very good customer service.&#10;They work with you to get you just what you want."/>
        <s v="I’ve used PetFlow for a year now, and love it. The orders are easy to complete and quick to deliver.&#10;I had to call customer service to change my order and quickly received the credit on my card. I switched dog food brand and mistakenly forgot to cancel my"/>
        <s v="Package was a week late but I believe that was FedEx fault. When I contacted petflow about the delay the response came relatively quickly and they let me know they contacted FedEx to figure out the issue. I received the package the next day. The customer "/>
        <s v="Great pricing however I Wasn't able to use my 10% on my second order as promised. I did rate the company a 4 star however after reading the other 1 star ratings I feel I'm just another customer that was mislead."/>
        <s v="Very slow to ship resulted in poor arrival time. I thought 10 days was enough time, but was wrong."/>
        <s v="I spoke with somebody in chat and I canceled this order I was told that my order was canceled I asked for confirmation that my order was canceled to an email they told me we don't do that two days later I had two of my 50 lids show up at my door after it "/>
        <s v="Although I have had great success with using PetFlow in the past, currently their service is quite poor. I had a older cat is needs Vet prescribed food. After ordering food recently, PetFlow informed me the Vet indicated I have &quot;no relationship&quot; with them"/>
        <s v="Petflow has cat food that I can't find elsewhere, which is nice. I like their automatic programs except for not being able to edit them. I've been sent products that I can't use and have to contribute to the Humane Society. Delivery is always fast and wel"/>
        <s v="My dog food always arrives on time. They always correct if a mistake happens. We are happy with the service."/>
        <s v="This gate is working very well at our house. The two-way open door is terrific. We are very happy."/>
        <s v="Great prices, selection! Fast shipping, love PetFlow!"/>
        <s v="Excellent selection of items and their delivery was spot on and timely. I tried them when Chewy did not have the brand of food that I was looking for. I learned that since chewy was purchased by Petsmart they no longer carry Fromm‘s dog food."/>
        <s v="Thank you so much Petflow, you have the prescription wetfood available for my Halo!"/>
        <s v="The delivery of our canned dog food was quick. We had a problem with one of the cases due to the shipper and PetFlow customer service was excellent!"/>
        <s v="Never received the dog food I ordered nor did anyone follow up after I called them inquiring about the missing order. Super disappointing, untrustworthy, and poor customer service"/>
        <s v="Petflow is a great company to do my on line buying from. the customer service persons are the best!"/>
        <s v="like the quick service and available products. i have only had one problem since using PetFlow. Ordered pill pouches and they arrived smashed. good company that I have recommended."/>
        <s v="Always get my pups treats and food from Petflow! Great service and super quick delivery with updates."/>
        <s v="On Oct 29th after not being able to obtain the prescription canned dog food needed through normal online pet care provider for over 60 days, I found the PetFlow website which showed the food was &quot;in stock&quot;. To be sure I called the same day &amp; spoke to an A"/>
        <s v="Customer Service is excellent! What they say...happens and quickly. Delivery is fast, packaged very well. Notifications of shipment, delays, when to expect delivery are outstanding!&#10;LOVE THIS COMPANY!....they genuinely understand how important our fur bab"/>
        <s v="I had a hard time finding what I wanted, and PetFlow had it! Fair price, fair shipping cost, and timely. I will be a repeat customer."/>
        <s v="Always what they promised. Great deals"/>
        <s v="I ordered a few items using an account credit. When one of the items was “out of stock” at one warehouse and had to be shipped from a different warehouse, they charged my PayPal account without my consent for this item that was already paid for using the "/>
        <s v="Great prices, easy to order, and prompt delivery. I'm a convert."/>
        <s v="I have ordered the 100 pack of bully sticks from Petflow several times. They are an expensive item anywhere and the cost keeps going up as with everything these days. Their prices are fair and their shipping is fast. One thing I have noticed is that the t"/>
        <s v="Ordered online instead of my local store who is almost always out of stock. I just order when the old bag is halfway empty - food comes within a couple of days usually. No issues."/>
        <s v="My order was filled shortly after it was placed, but 5 days after it was due to be delivered, only 1of 3 boxes has been. The other two boxes are sitting at a Fed Ex center, waiting to be loaded onto the delivery truck. The Petflow customer service people "/>
        <s v="I ordered my dog’s food and had it within a couple days. And free delivery to boot!"/>
        <s v="Our order was delivered very fast . The price was reasonable. The website is easy to use."/>
        <s v="Came on time and exactly what I needed. Couldn’t find it anywhere else Thanks!"/>
        <s v="Placed order and received it in less than one week!"/>
        <s v="What a MESS this company is! I thought Chewy was annoying.&#10;&#10;I will NEVER use Petflow again!"/>
        <s v="When I received my order the box and the bag of dog food had been ripped open. I called customer service and they had a new bag out the same day. Awesome customer service. Thank you very much!"/>
        <s v="Outstanding, well trained, smart, friendly &amp; knowledgable customer service. And I depend heavily on the auto-ship program,"/>
        <s v="Ordered everything. I have a “chew everything puppy” I placed my order then received an email for a couple items not in the warehouse. That was fine, but never received either an email or receipt for my items or what my final cost was. They did state I wo"/>
        <s v="I Love Petflow. They always have what I need for my dog , and ship it out fast. A+ service every order."/>
        <s v="Everyone at Petflow seems to be familiar with their inventory &amp; very helpful. Great place to shop for your pets needs!"/>
        <s v="THE TREATS WERE PERFECT AND FAST SHIPPING THANK YOU"/>
        <s v="Petflow was recommended by my girlfriend and I switched dog food and my dog loves it and I have no complaints 10/10 Recommend! And I can set up times of delivery between bags."/>
        <s v="Just started auto ship of a cat food for skin allergies made by Hill's and once I know how much I will need of Blue Buffalo's I will make it auto ship. The Hill's I am running into availability of just ordering when I need it or at the vet's. It was even "/>
        <s v="Love pet flow! Very kind and friendly customer service. They Always have my cat bff weruva in and the 10% off is always a plus!"/>
        <s v="i have been pleased with Petflow. Customer service has been great, products are good. The only problem I have had is using your website to cancel autoship. i have only been able to pause it. i don't know if this is intentional or an oversight. i know I ca"/>
        <s v="My doggies food comes so quickly after I order. It’s always in perfect condition."/>
        <s v="Always an easy transaction, we order our dog food from here regularly."/>
        <s v="Didn’t have my order in stock and canceled my shipment. With a puppy it is hard to just up and switch food when an order doesn’t arrive as expected, so had to go to extra lengths to find the specific food."/>
        <s v="Awesome as usual --- always. on time, great customer service and fantastic product!"/>
        <s v="Our toy poodle has been permanently put on Hill's canned stew due to health issues, but we found it was not available due to a supply shortage. Then we turned to PetFlow and found her entire supply with fast delivery. PetFlow looks out for our furry kids "/>
        <s v="I love the autoship option for my cat items purchases. In particular I order large containers/boxes of cat litter....PetFlow does an excellent job of packing it and it always arrives undamaged. They also keep me informed of any shipment delays ,etc."/>
        <s v="I began using Petflow several years ago. I love them because:&#10;1. I can speak to a real American born person who always helps me.&#10;2. They carry brands from small companies such as Fromm.&#10;3. Somehow, they get FedEx to deliver to my house on time. FedEx usua"/>
        <s v="Product was delivered quickly, on time, with no damage."/>
        <s v="Excellent communication and reliable, timely deliveries. Customer service is the best I've ever worked with. My go-to supplier for quality pet food."/>
        <s v="Excellent customer service and easy auto ship options."/>
        <s v="Good service, selection, prices"/>
        <s v="Customer Service has always been polite and helpful but unfortunately I have needed to use them frequently with my autoship orders. I had 2 pets getting prescription diets but they kept sending the requests for refill to the incorrect veterinarian, then s"/>
        <s v="The item I ordered turned out to be unavailable. I received an email a few days after ordering which informed me of that fact. I don't know why you can't update your website so someone doesn't end up ordering something you don't actually have. Thankfully,"/>
        <s v="I placed an order and had to cancel. I was shocked how quickly my text message was received and taken care of. Not entirely trusting the text system, I called customer service and the lady was courteous and confirmed order was already canceled. Customer s"/>
        <s v="PetFlow is wonderful! The lady I spoke with taking my order was terrific! My pet food all arrived quickly and in good condition, delivered right to my front door! 😄 Thank you PetFlow! 👍"/>
        <s v="I wish I had known about you sooner. I order my pups dog food &amp; it arrives the next day! Thank you for such great service."/>
        <s v="Products are great. Good selection. Could have been better communication on the order status and shipping times. Compared to other companier i order from, taking 3 or 4 days to prepare an order to ship is too slow. Especially with little to no communicati"/>
        <s v="I was pleasantly surprised that PetFlow had products that Chewy had out of stock, and they shipped it free and fast. Good work, PetFlow! I will definitely buy from you again!"/>
        <s v="Always great service and excellent selection."/>
        <s v="have been waiting for almost 2 weeks for the dog food i ordered?? they said it got lost??"/>
        <s v="I really like Pet Flow and would order from them more but it seems like they are frequently out of stock of the products I want. So I am then forced to go elsewhere and shop."/>
        <s v="Great price and item was shipped out in timely fashion."/>
        <s v="PetFlow has excellent customer service. I ordered a case of canned dog food and it once again came with almost all the cans dented. I called to let them know and they sent me a new case of cans without dents. Would have liked the original shipment to have"/>
        <s v="When it comes to the phone reps, I have always had friendly and competent service from PetFlow. However, the inadequacies of the website have me at the point of switching companies. I have set up AutoShip for Rx cat food. When I log in, there is just no w"/>
        <s v="Customer service was great, but I was disappointed in the bully sticks. They were the right length but very small around. Not what I expected."/>
        <s v="I liked the idea that at PetFlow I can get Fromm dog food and treats delivered right to my door with free shipping."/>
        <s v="Can you wait til I receive my order? So far your premature review begging is a turn off"/>
        <s v="Great site, lots of items I couldn't find elsewhere, especially limited ingredient feline canned. Shipping was fast. Will buy again for sure"/>
        <s v="I am so very pleased with PetFlow. Every shipment arrives on time, prices are fair, customer service is outstanding, and shipments arrive properly packed. Have never had anything broken."/>
        <s v="I have 5 cats for whom the ChickennNreast is a regular morning treat. They all look forward to it every day."/>
        <s v="Delivery of my product arrived timely but I needed to cancel my auto-ship. When you select to cancel there is NO option to cancel, only &quot;pause&quot;. I had to wait until the next day to call and and speak with someone to cancel and when asked &quot;why&quot;, I had to s"/>
        <s v="My experience with PetFlow was excellent. Their pricing and availability of products is very good. The kept me informed of my order status from start to finish. They were the only company that had what I needed and I received my order promptly. I will con"/>
        <s v="Bad experience. Took forever to acknowledge receipt of pet Rx, all the while losing time to secure the limited supply of product I ordered. By the time they confirmed receipt of the script and acknowledged the order, the supply dwindled and I lost the pro"/>
        <s v="Always fast shipping and great products !!"/>
        <s v="Products are fine. Website is fine but I have a problem with auto ship set up. It is impossible to cancel auto ship program. I can delay and change the date of shipment but cannot cancel without calling the office and because of this have received duplica"/>
        <s v="My puppy and cat love it.&#10;I love how big the bowl and reserve &quot;tank&quot; are and how quite the motor is as well as the way the water circulates in the bowl, no splashing. I had the large original drinkwell pet fountain and so far I prefer this one a lot over "/>
        <s v="This was the very first time I ever purchased from the site and I was a little nervous in the beginning but that was all changed when I found out that they shipped on the day they said they were going to and I received it when I needed it I am very happy "/>
        <s v="It’s been weeks and I haven’t received the good yet! I can’t believe they are asking my opinion of an item that hasn’t arrived yet!?"/>
        <s v="the orders are always late. the customer service rep was rude and unhelpful. I had to speak to the manager to get some resolve."/>
        <s v="Because as a customer PetFlow mislead me . PetFlow sold me merchandise and the sold it to another customer then sent me a message that they were now out of stock . And PetFlow still has not refunded my money . We will never shop with PetFlow again . TA"/>
        <s v="First time ordering with this company, placed the order on 10/17, by 10/28 still hadn’t received it. I called and apparently the shipment got lost. Employee offered to send out another order but declined to give any type of promo code or discount even tho"/>
        <s v="Unfortunately when I placed my order my items were in stock. Then I got an email saying they were out of stock and I was refunded. Haven’t order again."/>
        <s v="Very punctual and nice. But the FedEx delivery person did not do his job. Left the box near the mail box and not at the door. I am senior and cannot pick up this heave box."/>
        <s v="PetFlow came through for me with a prescription order when Chewy could not! Hours on the phone with Chewy and multiple customer service agents and Chewy failed - they have problems over there. I contacted PetFlow and they took my prescription and had my c"/>
        <s v="Love the convenience of not having to shop and hoist large bags of food."/>
        <s v="I ordered treats that showed in stock. They never came so I emailed they said they were now out of stock and would notify me when in stock? They ended up cancelling my order . Not a good experience for first time customer."/>
        <s v="Great fast service, great intro prices for new customers when you do autoship!"/>
        <s v="Horrible customer service keeps lying to me about when my order is going to come in every time I looked it up it was supposed to be delivered today at at 10:30 in the morning now too and it never showed up and I can't seem to find the damn email to tell m"/>
        <s v="Most anything I was looking for I was available on PetFlow and at a good price."/>
        <s v="Received mats exceptionally quickly for a very good price."/>
        <s v="Fast order, great packaging ,great price!"/>
        <s v="I love the service however 2 bags of dog food I have received had busted bags and dog food all in the boxes."/>
        <s v="I used to use other well-known online mail pet services but they stopped carrying the brand of dog food I have given my beloved English Singer Spaniel for 15 years. I then discovered Petflow carried this brand. They are courteous, professional and most im"/>
        <s v="I ordered a product that said it was in stock only to be told 5 days later it was out of stock. The website is misleading."/>
        <s v="great prices, products and customer service"/>
        <s v="The kitty litter box split and was all over the box."/>
        <s v="Fast, carefully packed service"/>
        <s v="This is a fantastic gate. It looks divine and was easy to assemble. Perfect for my Maltese! Thank you."/>
        <s v="You take orders knowing products not available. No trust ever again."/>
        <s v="Petflow has a good selection of products. They are almost always in stock. The have competitive pricing and they deliver quickly, usually 2-3 days."/>
        <s v="Reliable product. Easy ordering process. Dependable delivery. Thanks, PetFlow!"/>
        <s v="I have place 2 orders with Petflow. Both orders shipped out on the same day. Packages arrived quickly. Excellent company. Highly recommend"/>
        <s v="Great selection of products &amp; emphasis on very healthy items. Good price points &amp; delivery is always on time &amp; in good condition."/>
        <s v="Thank you for carrying my dog’s prescription dog food, Hill’s Metabolic. Your website was the only trustworthy site in stock! My dog, Beau, says thanks for his food too."/>
        <s v="I ordered food for my dog on the PetFlow website. My first order took a little while because they needed to verify with my vet since it was a prescription food. My second order was shipped the next day and arrived a day later at my house. Excellent servic"/>
        <s v="Great customer service. Quick &amp; courteous"/>
        <s v="I’ve been using PetFlow for years for my dogs food subcritical platform. The customer service is outstanding, the product diversity is unbeatable!"/>
        <s v="Placed order for dog food that I needed ASAP. Then days later Petflow cancelled order and won't refund my payment for 3 to 5 days. I had to then find a physical store that sold my brand of food. So aggravated. Didn't they know my order wouldn't be fulfill"/>
        <s v="All item sent even if it took more than one box for same free shipping"/>
        <s v="Products ordered 5 stars. Ease of ordering 5 stars. Speed of shipping (which may or may not be PetFlows issue) 4 stars. My order included dog food. I was only given 1 tracking number and unfortunately that tracking number was for the items shipped separat"/>
        <s v="Ordered Butcher Block Bones and a box of dog biscuits. At checkout there was no information that the bones were out of stock. You shipped only the dog biscuits, I cancelled order. You said it already shipped and we could just go ahead and keep the biscuit"/>
        <s v="I was impressed with how quickly my order arrived. It was protected in a strong box. Very professional. Thank you."/>
        <s v="I ordered a new Flexi leash for my canine, having carefully researched various sites and noting PetFlow for my first time. Decided to have a go and was pleasantly surprised at the pricing, service and delivery. They run out of the leash but notified me im"/>
        <s v="Product that is not available elsewhere is available on PetFlow, which I appreciate. With supply issues from the manufacturer, PetFlow provides another option to find the pet food I'm looking for.&#10;&#10;Shipping time is slower that other online sites, so I nee"/>
        <s v="First time using. Will use again."/>
        <s v="Your selection and prices are good. I also appreciate the discounts available. Only thing I have a problem with is FedEx delivery. But since I eventually get my order I'll be okay with it."/>
        <s v="Excellent service, however now I can not find the product anymore.&#10;Vital Essentials Relief Hemp Dog Chews relieves inflammation."/>
        <s v="I have been trying to find the special urinary diet treats for my fur baby for months. I finally found them on your site only to be told weeks later whoops you don't have them!! Well, put it on your website then that they are unavailable!"/>
        <s v="Great selection and services.&#10;Happy dogs!"/>
        <s v="Everything from locating products on the website to check out was very easy. I wish that some kind of summary or packing slip was included with the delivery but other than that, everything went as smoothly as it could. Thank you!!"/>
        <s v="PetFlow has the products I need and if they don't they can explain to me why they don't and why I can't find the product anywhere else. Something might be happening at the manufatcurers end or with the distributer, etc. They are always very helpful if I h"/>
        <s v="it seems a bit difficult to delete an autoship... maybe its me?"/>
        <s v="Not very long shipping from the date of the order, prices same as Vet"/>
        <s v="Ordered on 10/6. Prescription approved the same day. Item was in stock. Estimated delivery Oct 25. 19 days for a prescription assuming it arrives on the 25th and no update at all? Unacceptable and the same thing happened the last time I ordered. Terrible "/>
        <s v="I get all my dog food and treats from you. Usually all is good and no problems..however last order #9445812..the 30 lb. bag of their NutriSource Weight Management bag was torn and kibble leaked out into delivery box. I do not like giving my pups any food "/>
        <s v="Petflow always has the prescription diet dog food in stock my dog requires. I don't have to wait for them to ship. Thank you for your service."/>
        <s v="I've used this company twice and both calls were speedy and user friendly. I've also used Chewy and those calls tend to be cumbersome. (Nice people at both companies.) Ex, Chewy asks lots of questions before I can place my order. I believe PetFlow just ne"/>
        <s v="Love the products and ease of ordering. My problem is with the actual shipping/packaging of items being sent to my house. Often EVERYTHING (no matter what size or weight) is thrown into the same weakly sealed (one strip of packing tape), thin cardboard bo"/>
        <s v="My purchase was delivered in a timely manner.&#10;Prices are FABULOUS!! JUST 1 AT ANY OTHER RETAIL STORE IS $4.99 ish.&#10;&#10;Once I'm finally moved into my new house I will start automatic shipping ."/>
        <s v="Always correct &amp; timely. A bit of delay due to getting items further than NV to AZ end point. But that is expected in the shipping issues across all businesses."/>
        <s v="So far, so good.&#10;Petsmart has let me down with late shipping, not in stock and 25lb bags of dog food with WAY too much powder! They refuse to ship in boxes that match the large bags and simple will NOT use any kind of packing!&#10;F-that, we be dun wit does M"/>
        <s v="First time ordering autoship for dog food. So far, so good."/>
        <s v="Quick delivery and always coupons to be found"/>
        <s v="Quick, dependable service with diverse item selection. Most companies now offer free shipping on all orders which should be a consideration here."/>
        <s v="Great product. The company you use for shipping is horrible. Boxes opened when delivered. Bags of food broke open from throwing it down on the ground. Poor shipping"/>
        <s v="Great prices and products in stock, ready to ship. I will definitely order again."/>
        <s v="Great service and fast delivery excellent 👍"/>
        <s v="Always a pleasure shopping with Pet Flow!"/>
        <s v="Great company. Quick shipping. I order dog food from them all the time but was disappointed on the last dog toy I bought this time. My little dog that doesn’t really destroy toys had this stuffed pizza toy destroyed after 20 minutes. I probably won’t orde"/>
        <s v="Always got what my cats want and always delivered on time. Petflow gives me one less thing I have to worry about with there auto ship."/>
        <s v="Great company with excellent customer service."/>
        <s v="Great prices, excellent shipping time! Thank you!"/>
        <s v="2nd time ordering from Petflow and I am a very happy customer. I read a lot of bad reviews online about this company and was a bit concerned, but honestly, I've had an excellent experience with them so far. The order was accurate and I received the produc"/>
        <s v="Excellent customer service. Very professional and accommodating.&#10;Thank you."/>
        <s v="Petflow’s prices are good and the delivery is super fast."/>
        <s v="I ordered prescription food from them, which needed my vet’s approval. Spent over $100. At first, the food order was put on hold until January 2022 (???). I contacted the customer service and they were able to get rid of the pause, but they still had to c"/>
        <s v="Competitive pricing. Product availability and FAST shipping. Thank you, Petflow!"/>
        <s v="Gave petflow a chance because chewy was out of stock on one of the items I needed and petflow showed it in stock. After placing and paying for the order I got an email stating one of my items was out of stock. Turns out it was the same one chewy was out o"/>
        <s v="I think I'm going to like this sifting litter box that I just bought. It's different from anything I ever used before but it's simple enough to figure out."/>
        <s v="I loved the selection and ease of checkout on PetFlow. The one time I dealt with customer service was completely painless and I would recommend this company to any pet owner. The only improvement that I can think of would be to have a way to save items fo"/>
        <s v="Competitive price&#10;Fast delivery"/>
        <s v="Good pricing, great variety, quick service! Need I say more!?"/>
        <s v="The first time I ordered my dog’s canned food, the experience was pretty negative as none of my requests were taken care of. It was if they just ignored me. The second time was a better experience."/>
        <s v="Ordered item 2 weeks ago, web site said in stock . called twice did not receive any real answers or satisfaction, said it was problem at he supplier's warehouse UPDATE Just received email that product just shipped All is good"/>
        <s v="First I was told my food order was on its way and shipped then told it was on back ordered and can’t be delivered . I want to cancel my order but have no where to call or know how to do it&#10;But company sends constant emails .&#10;Also I ordered toys based on m"/>
        <s v="They have products of dog food I can’t find anywhere else"/>
        <s v="Products are great, service was great. The packaging for shipment was terrible. Both boxes were broken open, due to poor, lack of packing material. it was amazing items ordered were still in the boxes."/>
        <s v="MY DOGS ARE HAPPY AND SO AM I WITH THE SERVICES ON DELIVERY OF THEIR FOODS,AND MY CATS ARE HAPPY TOO."/>
        <s v="There no price gauging. My order was received quickly and packaged perfectly. I will order through them again."/>
        <s v="Respond to emails very quickly. Take care of a problem pronto."/>
        <s v="It is difficult at times to get dog food during this pandemic. Petflow is dependable. Thank you!"/>
        <s v="Excellent service and delivery. Selection of products is probably the best that I've yet to find. Shipping has been on time. Pricing is very competitive. Thank you for a positive experience!"/>
        <s v="The replacement squeakers I purchased were supposed to be large unfortunately they were medium sized merely passed off as large. They were barely bigger than the small squeakers I also purchased."/>
        <s v="It was supposed to be here Thursday. It is now Wednesday, almost a week late, and no estimated delivery date. I was hoping this would be convenient. However, now its way worse than just driving 20 minutes to the pet store!"/>
        <s v="Overall the service is good, but: I have a routine shipping monthly on the 11th. Unfortunately my order of prescription dog food was not picked up by FedEx until the 12th and not shipped until the 13th. Now it looks like I will run out of food a day early"/>
        <s v="Prices are good, however shipping time not so good. My items took about 6-7 days to arrive. When using other company 2-3 days tops. This probably why I will not shop with pet flow again"/>
        <s v="Love the delivery. It’s heavy for me to carry to the trunk and then into my house. Plus the food is great and so are the treats! Thanks"/>
        <s v="Ordered several teddy bear toys - enough to get free shipping. Arrived so quick. My dog loves these toys - they are quite durable and she’s quite a chewer. I’ve got enough to last for a while. Got a good price too (not dependent upon quantity) - better th"/>
        <s v="Ordered Fromms pate canned food for my dog’s upcoming surgery. Promptly shipped but delivery was held up with no updates. Contacted Pet Flow to see if they could get any information. Aimee quickly responded that she would contact the shipper and would get"/>
        <s v="Great service, reasonable prices, good quality. Will definitely buy again"/>
        <s v="Usually we have a great experience with PetFlow. This time however was a real struggle. I was told over and over by PetFlow that they reached out to our vet for food approval, but my vet told me they never received any contact from them. I even went to my"/>
        <s v="I contacted customer service because I received the wrong dog food and they immediately resolved the situation and sent me a return shipping label. This company has some of the best and quickest customer service agents I’ve ever dealt with."/>
        <s v="Excellent, fast service."/>
        <s v="Very easy ordering. Only site that had the wet food I needed. Took a little longer to ship but was received in an acceptable period of time."/>
        <s v="I have been a returning customer for a while now. PetFlow has always had excellent service. It is most appreciated. Thank you!"/>
        <s v="PetFlow had the specialty prescription dog food my Vet could not get. They made the buying process easy and shipped quickly. I will keep shopping with PetFlow."/>
        <s v="Great customer service! Their text option is awesome!"/>
        <s v="My order was well wrapped and delivered in a timely fashion. I will continue to use Pet Flow and highly recommend them."/>
        <s v="Love this company, so easy to work with."/>
        <s v="Excellent service. I would recommend."/>
        <s v="Amazing service. The prescription dog food I needed was back ordered by the manufacturer. I explained to the PetFlow customer service that that was the only food my dog could eat. They did an online search and found it and had it shipped to me. This was n"/>
        <s v="I appreciate how fast my orders are delivered and that they have exactly what I am looking for."/>
        <s v="See CSR file."/>
        <s v="Easy to order form the site. Order shipped and arrived quickly."/>
        <s v="Ordered 30lb bag of dog food and order was processed immediately and delivery was quick"/>
        <s v="Found this vendor “on line” . They were one of the only sites that had the prescription dog food I needed. None of the local pet stores had this food in stock. I ordered the food from them at a reasonable price and received the shipment in a timely manner"/>
        <s v="I have no idea what I bought from your site, but all my online cat food orders have been prompt and the requested product was the one I received. But if this was the Royal Canin cat food order -- my God! the price! (Not you, the manufacturer.) Lee Hoffman"/>
        <s v="My cats eat a pretty particular food that can be hard to find. Found it on PetFlow and for an affordable price. Everything arrived safely and quickly. You can contact them directly by text and email. I did to check on shipment status and a real person got"/>
        <s v="Ordered dog food which they said was in stock . Prescription food for my dog. After paying for it the next day they tell me &quot; oh we are out of that&quot;. This is the only food he can eat( prescribed) ."/>
        <s v="Great service. Great value."/>
        <s v="Great selection of in stock items and shipping is quick and dependable."/>
        <s v="Petflow had what I needed in cat food that I couldn't find anywhere else. However, it took nearly a week to ship although they were several days ahead of their shipping estimate. The long shipping may be mostly due to supply chain problems--hard to tell n"/>
        <s v="When our Vet said he wanted our Aussie's food changed, I had to cancel our standing order &amp; order the new food. I contacted PetFlow by email &amp; received an immediate reply. I am so impressed by the ease &amp; speed with which my &quot;problem&quot; was handled. Thanks f"/>
        <s v="You need to allow electronic upload of prescriptions for pet food. I had to mail the hard copy, and then wait for you to get approval from my vet after you received it. This took about 8 days. And why would you even need approval when I mailed you the act"/>
        <s v="This place is da bomb! They have very fast very nice customer service and that is far and few between these days!!! DO NOT hesitate do it do it! U will not regret. I was using chewy and pet smart and I’m out with those. As long as they keep my dogs in sto"/>
        <s v="Great experience. Will use them again."/>
        <s v="Easy to find exactly what I was looking for- quick delivery!"/>
        <s v="I was very happy with my experience. I placed an order for my cat’s food it shipped quickly and I got it within two days of being shipped. The cans were excellently packed and the price for food was great! I was and am satisfied with my experience and wil"/>
        <s v="Friendly staff. Good selection of dog food."/>
        <s v="Wrong food sent now I have to return it&#10;Redbox it drive to Fedx haul in in"/>
        <s v="We and our 3 German Shorthair pups, think your quick service and price are excellent."/>
        <s v="I ordered I/d chicken stew. After two weeks I called you and you said your order is out of stock. But still shows available."/>
        <s v="I always feel as though, they truly want to make their customers feel satisfied. I appreciate that very much."/>
        <s v="rder email confirmation was delayed and the email notification that shipment will be delayed was also late. Customer service needs improvement."/>
        <s v="Super convenient, great selection of grain free options, prompt delivery."/>
        <s v="Couldn't locate my brand of food in New state n city where I now reside. Found your website and luckily I now have my dogs favorite brands of food. Best part same price as it was in Minnesota at chuck n dons store. Better it was delivered to my door I wil"/>
        <s v="I was forced to buy two items to get to the minimal amount, only one was shipped, not the one I wanted."/>
        <s v="Couldn’t find our dog’s food anywhere. You were the only place we found and you got it to us so fast and even contacted our vet for approval"/>
        <s v="I have been ordering from PetFlow for several years now and have always been satisfied with the products and the delivery. Recently they went above and beyond on an order that was delivered damaged. The customer service was excellent and I was totally sat"/>
        <s v="Great phone help on getting Oscar’s Rx for Science Diet in and the food shipped quickly!"/>
        <s v="PetFlow had a prescription food in stock for my pet that other sites did not. They also had a great promotion for new autoship customers and a separate promotion that saved me money on my prescription food. When I had trouble applying the coupon code at c"/>
        <s v="Petflow has excellent prices and a great variety of items. Their customer service is exellent also. However it does take a bit longer than competitors to receive the ordered items and they shipped us the wrong item twice. They did pay for the returned shi"/>
        <s v="Petflow was a great find. With all the shortages and difficulties getting our cats Hill’s Science Diet, and with the price gouging at competitor sites, it was certainly gratifying to find what I was looking for at Petflow. Our cats are finicky and spoiled"/>
        <s v="Each time I placed an order of what was supposed to be in stock, the company took my order and my credit card information and then days later told me the product was no longer available. It really felt like a bait and switch after it happened 3 times. Rea"/>
        <s v="Specialty food said available on website, called to be sure available, too. Emailed a week later on backorder. Very poor customer service."/>
        <s v="I still haven’t received my dog food. FedEx keeps saying exception and attempted delivery that never occurred"/>
        <s v="I couldn’t find this prescription treat for my dog anywhere but Petflow had it in stock!! My dog is happy she can have a couple of treats a day now thanks to Petflow!!"/>
        <s v="Fast delivery &amp; easy to use website.&#10;Thank you,&#10;Laura"/>
        <s v="Fast service as usual. Product in good condition, well packaged."/>
        <s v="Wonderful product. Arrived as promised. Good company to do business with."/>
        <s v="Ordered Rx cat/case cans/Blue W+U on 9/21/21. Vet contacted on 9/22, responded same day. ON 9/30 still no confirmation that order had shipped.&#10;&#10;9/22 - Had made calls early-on to check to see if everything had been approved, processed and had specifically "/>
        <s v="As usual, everything arrived timely and accurately."/>
        <s v="I ordered the prescription dogfood I needed. Nothing happened. I called customer service and they told me they would expedite getting it shipped.&#10;A day later I got an email saying it was out of stock. This should not have happened. Now I am hunting for th"/>
        <s v="Discount was removed by site after checkout. Ordered from different supplier. Will not buy from petflow again."/>
        <s v="I have been satisfied with all orders placed."/>
        <s v="Received my delivery on the day it was promised."/>
        <s v="The quality if your products is what keeps me coming back. Also, you have a few things I have never seen anywhere else. I would purchase a lot more from Petflow if you had discounts or rewards for loyal customers. I spend A ton of money on my dogs. Most o"/>
        <s v="Love the service they try to make sure my order is filled every month"/>
        <s v="I ordered online a specialty food product that generally has been in short supply but the order was canceled soon after I placed it. When I called customer service to clarify, the rep did a search of warehouse inventory and at first found the product was "/>
        <s v="Products are good. Just shipping a heavy bag of aquarium gravel with a plastic container of cat food in the same package is asking for disaster. I understand it saves on shipping costs but it’s inconvenient to pickup hundreds of food pebbles."/>
        <s v="They advertised a product that they never had.&#10;I paid for it and waited along time for responses."/>
        <s v="I ordered food for my dog almost 2 weeks ago and have never received it. I called 2 today’s after placing the order and was told it would be shipped out the next day that was two weeks ago Friday, I called back again and was told they were looking into it"/>
        <s v="I was told by Hills Prescriptions Dog food that you had ID Chicken Stew 12.5 ounces on your website for delivery. I ordered 2 cases and had my Vet send a prescription to your company. After not receiving my food after 10 days I called your customer servic"/>
        <m/>
      </sharedItems>
    </cacheField>
    <cacheField name="clean_review" numFmtId="0">
      <sharedItems containsBlank="1">
        <s v="i shopped the product milk bone pill pouches for several weeks our dog is on holistic herbal supplements and dosing requires about five pouches a day petflow hands down is a best price retailer for my target product great value for consumer customer servi"/>
        <s v="arm and hammer litter is dust free clumpingseal which is difficult to find i used to wear a mask handling other litter not necessary now and no smell i have it on auto ship which makes it convenient and it is  less expensive than buying in store"/>
        <s v="i have been with them since  and my orders are on time when there was a delay during covid they were sending out notices and updates i had an issue with my fed ex people taking my dog food the company immediately send another order out to me they are wond"/>
        <s v="petflow was able to ship an important dog food product that was not available from other online merchants it was frustrating contacting the usual sources until petflow showed up on a browser search we had not heard of petflow before we will not forget the"/>
        <s v="i received a damaged pet food bag and the customer service people were so responsive and wonderful i received a replacement bag immediately i always prefer petflow because your shipping is always professional with no loose food or mess i always promote yo"/>
        <s v="this is the second time i have received rancid dog food from this company the first time they finally answered my email and said they would resend the order they resent the order and  item was wrong  they then ignored my email and didnt respond to my phon"/>
        <s v="the company was very responsive to problems i had manoeuvering their site the shipping was well within reasonable expectations&#10;my only issue has to do with the site not being easy for me actually mazelike in its degree of difficulty i wish it would be mor"/>
        <s v="ordered dog food and  days later no shipment no contact have to call to cancel order and delete your payment method pretty much a fake joke site"/>
        <s v="the people there if contacted go up and beyond to answer questions and help orders are processed in record time and shipped out fast&#10;very happy with the switch over to using them  very satisfied customer"/>
        <s v="this was my first purchase from petflow and i am impressed first when i set up my my new account i had issues with logging in i received the email with the  digit security code but when i used the link to use it i wasnt sent to the page to enter after mul"/>
        <s v="firsttime customer i ordered canned cat food because of the good price free shippinggood timely deliverygood&#10;however the packaging was terrible both boxes split open and from one box  cans had popped open spilling liquid throughout three other cans were s"/>
        <s v="ive discovered petflow because i searched for the best value i could find for bully sticks for my dogs ive been really happy with my purchases and will look to them for other pet supplies in the future"/>
        <s v="good product but it would have been easier if these  bags were boxed separately being a little old lady its hard to manage both of them together but its all good"/>
        <s v="i have had a great experience with petflow they carry fromm dog food which can be hard to find good prices the website is easy to use and i can adjust the date of my subscription as needed"/>
        <s v="i had to change my password the past three times i attempted to place an order everytime i ended up having to call customer service to place the order when i tried to tell the agent what was happening with the order app i kept getting replies that basical"/>
        <s v="i was surprised to be able to talk to an actual person whenever i called for support one of the few places i can buy the best food for my dog"/>
        <s v="quality fromm dog food and treats that can not be found on other sites exceptional service"/>
        <s v="i placed a large order my nd one petflow was running a good special unfortunately they had some internet issues which delayed my order however it arrived fairly quickly giving the issues one of the dry food bags had a puncture hole in it when i spoke to a"/>
        <s v="the shipping is usually pretty fast which is much appreciated there seems to be an issue with using my credit card on the petflow page but now i just use paypal and that seems to work out fine"/>
        <s v="one of the best things i love besides the great pet product selection is how petflow ships orders if something heavy is being shipped with something that can easily be crushed there is a u shaped piece of cardboard inserted in the box to create a protecti"/>
        <s v="had a technical problem with my account and had to call for help your rep was very helpful and got the food ordered and delivered quickly"/>
        <s v="really pleasant helpful people on the phones lowest price by far of any fast n free shipping great experience"/>
        <s v="i have used pet flow in the past many years ago with success and dont remember having the same issues ive had recently when i started using there company again a dog food called rockster which is produced in europe and only sold via a couple store fronts "/>
        <s v="my first experience was terrible i placed an order on may th and on may th it was not even being processed i cancelled it placed an order in chewycom and got it at the same day&#10;i will not use petflow anymore"/>
        <s v="cannot cancel an auto ship online cannot update expired credit card on auto ship online had to call nobody available until  am eastern finally pause auto ship and place new order do not ever set up any auto ship"/>
        <s v="first transaction and auto ship went well cheaper than chewy and all downhill after that cant log into account to change or cancel autoship tried password reset never get the email and checked junk email as well contact support ok well send you a password"/>
        <s v="i placed an order on may thupdates and tracking with fedex did not occur past the second day and ultimately an agent ordered a replacement order on may on may th the shipment was on a truck for delivery but did not arrivethe site still said it would be de"/>
        <s v="i just discovered petflow great selection prices just like or better than the online retailer named after a jungle i usually get my order in  days using standard shipping will continue shopping here"/>
        <s v="the items i ordered were exactly what i wanted and they were delivered in a timely manner"/>
        <s v="my delivery was very delayed and then showed up even a day later than it was supposed to very dissatisfied with this past order petflow wouldnt even offer to expedite the shipping even though the delay was on their end didnt even offed a discount for a fu"/>
        <s v="when i called to order anything the customer service representatives that represent your company they are so so nice and very knowledgeable and just i just love them theyre great"/>
        <s v="the product ordered needed to be shipped from a further destination fedex gave an arrival date of monday may  then changed their arrival date to sunday  may  it actually arrived on tuesday may  i had to go to the store to buy some dry food to see me throu"/>
        <s v="we purchased canned dog food from petflow their prices were the lowest we were able to find as this brand was hard to find elsewhere ordering was very easy and shipping was quick and flawless we will continue to purchase from petflow"/>
        <s v="petflow is the only place i can find fromm dog food their prices are reasonable and they ship quickly"/>
        <s v="it was able to order easily delivery was prompt and the products had good variety"/>
        <s v="i find the best price on my preferred cat food at petflow everything is also packaged neatly and arrived in perfect shape petflow has been great the only criticism would be that it took nearly a week to receive the order but now i factor this in when i pl"/>
        <s v="i have shopped at a couple of different online pet sites only to be disappointed and frustrated when i found petflow to say the least i was skeptical but to my surprise petflow came through as promised not only did they process my order quickly it was shi"/>
        <s v="the items were received in a timely manner and were packaged well the descriptions on your website were accurate and very detailed this was very helpful"/>
        <s v="i love your fast shipping and the fact that you use boxes that are strong enough to hold the contents you carry the bags of dr kelseys kitty litter instead of the new  lb boxes the boxes are too heavy for me but i can handle the  pound bags your prices ar"/>
        <s v="i had a very friendly young lady help me order my cat food her name is savannah it was a pleasure having her help me today&#10;&#10;today is  at the bottom of this page for some unknown reason someone chose to type in the date as may   not so "/>
        <s v="the customer service is outstanding  always kind helpful courteous and professional petflow often has special discounts ive applied to my purchases and can be counted on to have the special brand and flavor of dog food my admittedly spoiled princess dog e"/>
        <s v="this is the second time that ive been sent two shipments the system said i needed to update my credit card i did and then it was double charged and foible shipped"/>
        <s v="there was an issue with shipping and the petflow team resolved it within hours ive been a customer of petflow for several years and they always come through for my kiddos and me thank you"/>
        <s v="i had an issue with shipping damage they fixed the problem right away a"/>
        <s v="i placed my order on the rd of may after a number of phone calls my order hadnt been shipped on the th of may i asked for my money to be refunded i more than understand the business is small my account stated that my order was shipped on the rd when in ac"/>
        <s v="just discovered this company great price super fast shipping will definitely be back highly recommend"/>
        <s v="petflow has always been great with wonderful customer service support my only issue is that they dont protect their canned food deliveries very well and i always end up with a few dented cans they do offer to make it right i just wish it wasnt every time"/>
        <s v="my order arrived later than expected and some of the items were damaged leading to a frustrating return process petflow has its pros and cons and i would advise potential customers to weigh them carefully before making a purchase"/>
        <s v="the person was very kind but as soon as i hung up the phone my order was delivered it seems to me she should have been able to tell it was shipped i never received an email stating my order was shipped"/>
        <s v="great prices great customer service and really fast delivery"/>
        <s v="we can count on petflow delivery ontime with autoship like this easy way ordering my dogs food"/>
        <s v="very good prices and the product arrived in about a week we are perhaps spoiled by next day  two day delivery but thankfully i had anticipated running out of dog food"/>
        <s v="great customer service whoever i speak with always helps me with my issue"/>
        <s v="nice quality collar with a quick release snap i love this beautiful blue collar and matching leash petflow is the best"/>
        <s v="i arrived at site via a link that promised a discount discount appeared on checkout page and i checked out with the discount applied however discount was not included in final billing so i feel i was cheated"/>
        <s v="you bet everyone elses prices your delivery was great and the order was correct"/>
        <s v="the web site is difficult to navigate it takes several attempts to order a bag of dog food"/>
        <s v="petflow had the dog food product i was looking for i had spent a long time searching other various web sites and not having any luck petflow was very good with communications and the shippingdelivery of my order very excited to find them"/>
        <s v="to start the order did not go through after  attempts using my debit card to the point of me being highly suspicious about a scam it was not until i called the phone number because the rep in the chat and the text were dismissal that i was notified there "/>
        <s v=" days since i placed my order online called to verify that my order was coming from the nj warehouse im in nj about an hr away from the warehouse i still dont even have a comfirmation that my order has even shipped"/>
        <s v="they canceled an order without telling me and when i sent an email asking what happened the response was a little on the snarky side i asked a follow up question and never received a reply i thought id try this out but its not worththe headache and rudene"/>
        <s v="shipping took way longer than chewys and the box that fedex eventually delivered was in horrible shape"/>
        <s v="my credit card is always getting flagged for fraud with this site site itself has good selection with great prices but if i want to continue using it i have to make a paypal acct"/>
        <s v="the price was right time to receive the product was fast only issue was the packaging lbs of cat food and  lbs littler in a box that could not handle the weight the cat littler box broke open and we had little everywhere"/>
        <s v="all items arrived within a few days well packed&#10;ordered dog food and was a bit worried about possibly getting a short expiration date&#10;the food had an expiration date of over a year&#10;very pleased"/>
        <s v="did not like how mostly everything i looked for was out of stock&#10;did not like how i was charged an extra  and not told prior my order came from a different warehouse and so i was charged differently this should not have been my fault i shouldve only paid "/>
        <s v="i called to ask a few questions and the rep could not answer anything luckily i called back and got a rep who could basic questions also once when i was a prior customer and then with my last order i called for assistance and was assured my issues would b"/>
        <s v="i have had two auto shipments of dog food messed up in less than  months  first of all i do auto ship with you  i order  bags of victor nutrapro every   weeks  my first problem was an order of two bags sent to me  one was not in a box and was taped shut w"/>
        <s v="the shipping was by slow boat very disappointed in that"/>
        <s v="always fair price and prompt shipping and great products choices"/>
        <s v="it was very helpful to have that special with  off of  purchase its hard for me as a senior on a fixed income"/>
        <s v="easy transaction good selection good prices quick shipment"/>
        <s v="the shipping is literally always late i know that is out of your control but it would be worth talking to fed ex about it im sure you are losing return business"/>
        <s v="quick delivery of a hardtofind product my dog loves"/>
        <s v="petflow has good prices if you have&#10;coupon codes and use google incognito"/>
        <s v="i ordered a case of  cans of dog food when it came  cans were severely dented i called the company and they did send out a new case very quickly when the new set of  came  were damaged and unusable this isnt cheap dog food the packagingshrink wrapping was"/>
        <s v="online ordering is easy product selection is great delivery is fast good customer service to boot"/>
        <s v="we needed dog food asap so petflow to the rescue plus their subscription program gets food to us on time without having to wait to order we love it"/>
        <s v="easy to order and delivered in a timely matter and when i had a problem with a delivery as crushed cans or a torn bag of dry dog food it was taken care of"/>
        <s v="sure is easy to navigate and the experience was quick they have good deals ill definitely be back  recommend to others"/>
        <s v="good prices and selections and fast delivery"/>
        <s v="i made a mistake on my order and customer service immediately corrected it for me"/>
        <s v="always willing to put up with my constant changes"/>
        <s v="accurate  timely i depend on them every month"/>
        <s v="shipped from nevada to ohio then back to california it took  days to get the food"/>
        <s v="i love the connivence of having my dogs food delivered directly to my home it is so easy to have auto ship if i want to choose additional products i just go on line"/>
        <s v="great customer service love your sales i order the litter and use the pharmacy great products"/>
        <s v="very helpful and friendly support staff and reliable shipping"/>
        <s v="prices are awesome and super fast shipping"/>
        <s v="i love the selection of products offered my dogs loved the treats they received the prices are amazing"/>
        <s v="everything was great as alwaysvery courteous and helpful"/>
        <s v="extremely fast processing and delivery i placed my order night time april  food for my dog left at my door april   pm truly greyhound speed thank you perflow"/>
        <s v="i did not get my dog food i asked fed ex about it and it is lost i got the cat food and the litter but not the dog food&#10;&#10;can you resend it"/>
        <s v="i love pet flow the toys are always the best quality and have a lot of options great service"/>
        <s v="i bought large bags of open farm food from you but now you only sell the small bags"/>
        <s v="i love this food for my schipperke it has great ingredients and delivery is very fast i would and have recommend fromms to friends"/>
        <s v="websites very easy to use product arrived promptly product arrived in great shape and product that arrived was exactly what was ordered no complaints"/>
        <s v="reasonably priced fromm dry dog food&#10;easy website to browse and place an order and shipping was on time&#10;&#10;will order from this site again"/>
        <s v="petflow had the product i needed would rate a  star but the product took an excessive time to ship and recieve"/>
        <s v="none"/>
        <s v="quick&#10;easy&#10;kept you informed&#10;open communication"/>
        <s v="a very smooth and seamless process to secure my spot in the breeders upcoming litter"/>
        <s v="easy to order and i received the correct shipment"/>
        <s v="hard to find dog food at a good price e quick free shipping"/>
        <s v="easy to order wide variety of product choices and great prices"/>
        <s v="the ordering was easy the delivery was fast and i found what i wanted"/>
        <s v="cant beat the prices  very convenient service"/>
        <s v="great prices and loved the free shipping"/>
        <s v="highly recommended thank you guys for providing absolutely phenomenal service"/>
        <s v="my shipment reached grand junction co which is close to where i live then it was shipped back to nevada then back to grand junction this is the second time this has happened all of the cans were damaged when i received my shipment"/>
        <s v="love how tall it isand the lookjust what i was looking forwas shipped very fast"/>
        <s v="pet flow was very good about my special order they had to reach out to my vet to get the script for the dog food and did so i received my order right after that thank you"/>
        <s v="had a problem with my order duplicate customer service fixed right away and answered the phone with a person i could understand super plus for that"/>
        <s v="my order came with  cans dented out of  and this is not the first time"/>
        <s v="good company to order better prices"/>
        <s v="you had the items i wanted at a good price my order was filled and shipped as advertised ill use your service again thank you"/>
        <s v="ive always had good reliable service from petflow im very happy with the experience"/>
        <s v="my card number failed to go through properly and i didnt know it so i finally called the company when i didnt get my product they explained to me what had happened and i said oh lets go ahead and use the number again and when i went ahead they give me  di"/>
        <s v="always get anything i order on a timely basis"/>
        <s v="the prices were extremely competitive everything arrived without a problem delivery was fast"/>
        <s v="i have yet to get my order it was easy ordering"/>
        <s v="best value for bully sticks nobody comes close every place is way more expensive"/>
        <s v="i received what i ordered pronto great prices compared to petco i saved  compared to petco"/>
        <s v="had everything i needed ordering was quick and easy speedy delivery"/>
        <s v="the furkids love the treats and customer service was top notch great communication"/>
        <s v="quick shipping and a great price i will be a returning customer"/>
        <s v="super fast shipping awesome and fantastic prices"/>
        <s v="great communication with frequent updates on my order tracking"/>
        <s v="wish there were more options for the length of time for dog food ordering"/>
        <s v="experience was great shipping was fast very happy with my purchase"/>
        <s v="its a great product and the family dog loves it"/>
        <s v="lured in by low pricing i ordered a case of a new dog food canned to try it out i ended up converting my dog over about  days onto this new food i then ordered  more cases with petflow of the same food i had auditioned and transitioned my dog onto&#10;&#10;what a"/>
        <s v="order came just as promised very quick shipping"/>
        <s v="best price fast delivery"/>
        <s v="i think you provide good service and deliver your products on a timely basis"/>
        <s v="good prices large selection fast delivery good response to questions"/>
        <s v="super fast shipping competitive pricing accurate order delivered"/>
        <s v="as i said before a mistake was made with my order and customer service immediately fixed it"/>
        <s v="wonderful to find natural balance venison canned food in stock delivereddelivered"/>
        <s v="package was never delivered  days after order"/>
        <s v="they had what i needed hardtofind item in stock and shipped quickly"/>
        <s v="very easy to navigate website excellent prices great selection and just an overall best experience second to none"/>
        <s v="i received my order promptly these people are on their game for sure"/>
        <s v="user friendly online shopping experience and very good prices"/>
        <s v="i was pleased with the prices and the products at petflow"/>
        <s v="quick delivery on great product at a great price"/>
        <s v="great prices good service"/>
        <s v="got what i ordered  it was delivered on time"/>
        <s v="pet flow had an out of stock item we have been looking for over  months my dogs are so happy"/>
        <s v="great prices and free fast shipping awesome"/>
        <s v="higgins parrots feed"/>
        <s v="fast shipping great fresh seed and the brands i use higgins"/>
        <s v="easy to place an order great prices and fast shipping"/>
        <s v="good customer service great prices"/>
        <s v="i always get good service at a good price in a very good time"/>
        <s v="good price on pigeon feed shipped with no damage"/>
        <s v="company is affordable and customer service is exceptional"/>
        <s v="everything was perfect thank you"/>
        <s v="great prices prompt delivery"/>
        <s v="ordered and you didnt have in stock still waiting"/>
        <s v="easy to order at a fair price for this day and age"/>
        <s v="easy to place order delivered on time"/>
        <s v="good price timely delivery"/>
        <s v="they get my stuff i ordered to me within a few days"/>
        <s v="love the product very fast serviceshipping"/>
        <s v="like always quick and reliable"/>
        <s v="good  i will purchase again"/>
        <s v="you had what i wanted and you got it to me quickly"/>
        <s v="you had the product that i needed and it was shipped quickly "/>
        <s v="great shipping speed bones i ordered are great"/>
        <s v="good price fast shipping"/>
        <s v="fast and efficient service"/>
        <s v="easy ordering experience good products"/>
        <s v="my dog loves it"/>
        <s v="fast and easy&#10;good price"/>
        <s v="i order and in no time my order is delivered staff also quite helpful with advice and customer service"/>
        <s v="i am committed to feeding my cat the required ingredients suggested by my vet to give tammy quality of life as she grows older because of the cost of prescription diet food i have to shop around for the best affordable prices which petflow has provided an"/>
        <s v="i needed a prescription food you say you stock your instructions were to mail the prescription in this seems bazaar in the online world after a few days you emailed me saying that i could email a scanned in image of the prescirption&#10;&#10;why didnt you provide"/>
        <s v="always fast service good prices"/>
        <s v="best price on kmr liquid and powder"/>
        <s v="great service  pricing&#10;&#10;thank you"/>
        <s v="first petflow shipped my product to the wrong address even though they confirmed via email and text that the address would be updated to the correct address for the shipment secondly do not rely on their autoship  they have constant delays so it is not de"/>
        <s v="great service&#10;easy to order&#10;shipped quickly&#10;thanks"/>
        <s v="excellent customer service thank you"/>
        <s v="i found what i needed quickly not many shippers carry nutrisource i also got a significant discount through my capital one addon so i bought  bags to get the free delivery they were delivered very quickly as well i am disappointed that they dont participa"/>
        <s v="easy to navigate website lots of name brand foods at reasonable prices"/>
        <s v="best prices anywhere and great communication from petflow received food four days after ordered and pet flow notified me on day  the order was delayed one day in the st paul location but was quicker delivery time than other companies i have used so was ve"/>
        <s v="the shipment was received in a timely manner however for the cost of the canned food i purchased almost can i would have expected a little bit of packaging material in the box almost all of the cans have big dents in them from being shipped i am glad that"/>
        <s v="due to shipping restrictions i was unable to reroute the delivery via my fedex delivery manager this is a big issue for me because i live in an apartment complex with a lot of theft and having my cats expensive food stolen is too much of a risk to take wh"/>
        <s v="the website is very easy to navigate our purchases were shipped and arrived quickly to our home the prices are the best ive found all these things have added up for me to be a repeat customer"/>
        <s v="easy to order and quick shipping makes petflow a winner in my book"/>
        <s v="good selection of cat foods good quality and fast shipping with fair prices"/>
        <s v="the product is    a case less than competitors&#10;shipping time is relatively timely they product came in manageable size boxes not one oversized heavy box"/>
        <s v="they are very responsive an item was missing from my shipment it was reshipped within a day or two"/>
        <s v="fedex failed to deliver package even though it was shown as delivered  boxes of milk bones one call and petflow sent a replacement one week later the fedex package showed up  most likely dropped off by a neighbor called petflow and they said keep the trea"/>
        <s v="timely orders great communication and wonderful products"/>
        <s v="they gave me a credit because something i ordered was no longer in stock new items came very fast"/>
        <s v="it was my second order and second time it was easy and with high expectations&#10;thank you for nice service"/>
        <s v="tried chewy but there is no comparison to pet flow your service is far above them my order is always delivered quickly customer service department is great and helpful i am a returning customer and pet flow is the best"/>
        <s v="prompt services and delivery competitive pricing"/>
        <s v="lowest price i could find fast shipping knowledgeable polite customer serviceone small flaw wasnt able to use paypal no biggie"/>
        <s v="always good products always good prices repeat customer many times over"/>
        <s v="i received the packages in good shape and as promised with little delay products were as described and much appreciated thank you petflow"/>
        <s v="had to call in because of recent c card change efficient quick delivery thank you"/>
        <s v="petflow offers items for my dog at lower prices than other pet supply websites there arent as many choices as the bigger websites but i look at petflow first when i need something because of their good prices my order shipped quickly and accurately"/>
        <s v="i can change the order and they always catch up with the changes"/>
        <s v="that it got delivered in time and your price is fare"/>
        <s v="they got my order out to me in a timely matter and a good price"/>
        <s v="we needed small litter pans and were able to find them at petflow not only were we able to buy the quantity we required but these were also the lowest price available online thank you petflow"/>
        <s v="easy to use website i found the product i wanted notifications sent through the whole process after purchase was made product arrived when specified in whole undamaged form well packed"/>
        <s v="i am very happy with the fast delivery and also knowing that my ordered items are available im still learning how to navigate the auto shipment with petflows system there are too many shipment options on the page and i have accidentally double ordered bec"/>
        <s v="we appreciate your efforts to keep orijen products in stock for the past five years our puppy has been alive and you get them to us fast thanks"/>
        <s v="great customer service the chews need to be long lasting"/>
        <s v="this was the first time i had to use a prescription for food the staff was on the ball got taken care right of way and shipped to me in  days"/>
        <s v="the auto ship is a lifesaver the prices are comparable to store prices but never having to worry about running out is fantastic they are always on time as promised"/>
        <s v="they are still bothering my vet for a prescription on an i order i canceled annoying"/>
        <s v=" best prices  fast free delivery  you can get cashbak with rakuten"/>
        <s v="i got what i order and when was suppost to be deliver"/>
        <s v="reliable  easy ordering and quick shipping their prices for the fish food we use is the best you can find&#10;dont hesitate to use petflow&#10;theyre outstanding"/>
        <s v="always great finds at great prices on your site"/>
        <s v="i was very pleased about the shipping and that it came on the day it said it would also i like the price a lot of people in amazon are price gouging so this is nice thank you"/>
        <s v="fast shipping was provided as i was running low on canned dog food the only problem was some of the cans were smashed they still were able to be opened but tough to get all the food oyt"/>
        <s v="love the large guinea pig house she loves the cloth ones without a bottom petflow was the only place i could find them so happy they had them i will absolutely continue to order from them"/>
        <s v="quick shipping and easy websitecost is up tho"/>
        <s v="rapid response&#10;personal interchange&#10;human contact"/>
        <s v="first time customer ordered prescription food so it had to be approved by my vet still had my order in less than a week thanks for the speedy delivery"/>
        <s v="this was my first time purchasing the products available for my cockatiels while limited were good quality the issue i have is with the packaging of  pounds of millet they need to be put in a bag first to prevent the seeds from spilling out into the large"/>
        <s v="very professional and my orders are always right and on time"/>
        <s v="i have a been a long time chewy customer and you beat their price on one of the items and then with  autoship you beat the price on the other item so i gave you a try and you delivered&#10;&#10;i am new and plan to stay"/>
        <s v="timely delivery wide choice of product at a competitive price"/>
        <s v="original order on  damaged in transit heard nothing for a week after i called and replacement order initiated supposed to be delivered on  its now  and order still showing intransit from nj with no additional info as to eta or when my order should be deli"/>
        <s v="a better value than their competitors and fast service thank you"/>
        <s v="had my product in stock great price payed the shipping thank you"/>
        <s v="always fast friendly service"/>
        <s v="fast delivery cans not dented and price"/>
        <s v="my order was processed and shipped promptly and at a very good price"/>
        <s v="prices are comparable and free delivery is great"/>
        <s v="so happy to get my very hard to find dog food"/>
        <s v="we like ordering from petflow the orders come quick and it is easy to get what we need for our babies"/>
        <s v="easy to order and it shipped quickly and pup is enjoying the toys"/>
        <s v="so easy to order online  was quickly delivered to my home"/>
        <s v="i like that i was able to find food for my dog that is hard to locate in pet stores my order was received within five days and my pup was very happy i will definitely make more purchases from petflow"/>
        <s v="i have used pet flow a number of times they are usually on time and get things shipped timely"/>
        <s v="what can i sayevery order is on delivered in a very reasonable time and the selection of products as well as the price is spot on"/>
        <s v="great wish they had an app and wish shipping was faster"/>
        <s v="never no discount or coupon for fromm food spend  dollars a month on from food"/>
        <s v="you see brands of dog food other companies do not"/>
        <s v="love the sales that petflow sometimes has and i always get what i ordered as expected and in a timely manner easy to check out too"/>
        <s v="i called for help with an order and agent wanted me to be schooled on how to add to an auto order  i just wanted her help me delete  start new order she said in a not nice way that if i didnt learn i would call each time im staying with chewy for best ser"/>
        <s v="name brand item at good price there was a problem with my credit card being accepted i called and talked to a real human being and was helped promptly&#10;customer service with real people getting either is rare today"/>
        <s v="whenever i have a problem its always taken care of immediately"/>
        <s v="the company is easy to work with helpful when i have had problems and easy to work with to resolve any issues shipping is timely also"/>
        <s v="i got my order on time and it was less expensive than any other place"/>
        <s v="fast and easy to shop and order plus customer service was great answering my questions via email"/>
        <s v="you have a toy that my dog loves i have trouble finding it but you have it so thank you"/>
        <s v="customer service is nonexistent shipping takes forever"/>
        <s v="better prices than chewy shipping is a bit slower but worth it if you just plan ahead&#10;&#10;first order with them took about a week to get the second and larger order only took a few days from east to west coast not bad at all good selection of products also"/>
        <s v="prices good fast leaning a but much on subscribing my cat is an animal  things need to be flexible not locked into the same food delivered regularly cant i get a discount without subscribing"/>
        <s v="ordered twice and order was canceled with no explanation finally called and they said my cardorder was suspicious and that i needed to call i went ahead and ordered from petco instead they had no issues with my payment then i asked them to take me off the"/>
        <s v="i ordered dog food it was delivered the next day"/>
        <s v="when the item was ordered i didnt receive any communication as to when it would arrive that was accurate after the email stating that it was ordered also initially the form of payment used was incorrect and the company didnt notify me or communicate with "/>
        <s v="always have fromm dog food in stock always received my order within  to  days great service"/>
        <s v="you ship so fast and i really appreciate plus your products and prices are really good and affordable i can count on my dogs getting exactly what they need thank you"/>
        <s v="great customer service when an issue arises"/>
        <s v="petflows customer service is great always someone helpful to answer the phone and solve issues"/>
        <s v="ordering from their website is easy and they have good prices and fast shipping"/>
        <s v="well it all started with me not noticing that the shipping address was wron i didnt notice it until the order was done so i sent an email and a test if i remember correctly i then received a phone call and discussed the wrong shipping address with someone"/>
        <s v="i had been shopping from another company but the prices were just getting to steep i found petflowcom to have reasonable prices and all the products i needed for my fur babies the customer service has been great i recommend pet flow to all the parents up "/>
        <s v="i searched the internet and petflow had the best price for the blue buffalo brand delivery was quick and we are very satisfied"/>
        <s v="if i could give a rating of zero stars i would i order two different times and both were immediately cancelled no reason given i texted and emailed you company with no response i have since started using a different pet company for my needs&#10;no customer se"/>
        <s v="easy to use website food arrived on time"/>
        <s v="you offer fast shipping to my fussy cat who only eats three things i appreciate your quick turnaround time"/>
        <s v="the delivery was delayed i was expecting it friday and it got pushed until monday this was my first time ordering so ill be wary if i order again and be mindful of the delays not sure if this is the experience those on auto ship have"/>
        <s v="excellent telephone info and easy to buyreceive what our pets needed qualityprice were best i could find also"/>
        <s v="my dog had dental surgery and i needed more royal canin canned food my usual stores out of stock i discovered petflow online great price and super fast ship my new go to store i recommended to many friends"/>
        <s v="easy to order on line quick delivery and when i called customer service they were exceptional"/>
        <s v="only place i can get the smallbreed dog food i need fairly fast shipping very helpful customer service"/>
        <s v="petflow has lost me has a customer weve been ordering on a consistent basis since july  so just shy of  years this final straw has been the last two months when we decided to order all our food for the month in one large order and we have been told we are"/>
        <s v="ive been ordering from for my chihuahua since he was a puppy hes now two years old everything is so quick and prompt the best company ive ever dealt with when it comes to my dogs thank you"/>
        <s v="amazing company that im glad i found your prices are great and your customer service is super friendly and helpful"/>
        <s v="petflow had the best overall price with shipping i could find anywhere on the items i needed shipping took a few days but only one company offers next day delivery and their goods prices are increasing"/>
        <s v="no problems fast shipping"/>
        <s v="we never received this order&#10;we have received several emails that say our order was delivered but it has not arrived"/>
        <s v="product arrived quickly as i was running low"/>
        <s v="my order for my precious pets arrived promptly and in good condition my dogs have loved the food and treats i have been pleasantly surprised so much that i have made a second order"/>
        <s v="i ordered  kong toys and my pitbull just loves them the squeaker is a prolonged one so it really keeps him entertained&#10;i would recommend these to anyone who has a curious pup&#10;as for petflow they have a vast array of items and the experience was a pleasant"/>
        <s v="fast delivery and fairpriced excellent service for my chessie thank you"/>
        <s v="petflow had all the information from a purchase from some time ago&#10;immediately filled order and sent pet food which arrived in no time&#10;smooth"/>
        <s v="i ordered well over a week ago and still have not received it"/>
        <s v="the product was just what i was looking for we have three large dogs and they enjoy the big bones to chew on the local store that we use to purchase them from no longer carries them i told the vet this and she suggested to go online i found petflow and wa"/>
        <s v="easy to order fast delivery"/>
        <s v="amazingly fast shipping our dog has allergies so getting the right dog food consistently is important petflow has come through twice now for us"/>
        <s v="pet flows price for science diet was less expensive than the other online suppliers i checked with i received my order within two days of ordering overall i was happy with my shopping experience"/>
        <s v="the convenience of having products delivered to my door is a big plus dog food is always fresh if and when i have to call for assistance everyone is friendly and helpful"/>
        <s v="the order was filled quickly and shipped right to my door i know from experience that if i had a problem with my order it would be worked out it is a great company"/>
        <s v="the items i needed were in stock when i couldnt find them elsewhere i have switched my subscription service to petflow fast shipping too"/>
        <s v="part of my order was incorrect but they promptly took care of it arranging to pick up the incorrect items and delivering the correct ones"/>
        <s v="i found the dog food i needed for an excellent price and it was delivered quickly"/>
        <s v="i was hesitant after i made the purchase as i looked at the comments and saw how people had trouble with the shipping i was grateful to have not experienced this i immediately received a tracking number and my order arrived on time"/>
        <s v="fast shipping and lower prices than many other places ive bought my dogs favorite brand of food"/>
        <s v="i received a broke  cracked pet carrier they shipped a new one the very next day it arrived in good condition"/>
        <s v="easy ordering and fast shipping"/>
        <s v="the wrong dog bowls were sent then they wanted me to return them by fedex and would send me the correct ones but when they did that they sent them by fedex ground and they would not have arrived in time when i called they said there was nothing they could"/>
        <s v="i am a first time customer of pet flow representative was available upon calling to ask a few questions the rep was very courteous and knowledgeable answer all my questions able to track order which arrived in two days yes i will order again"/>
        <s v="i love that my dogs favorite dog food i order gets delivered right to my front door in a matter of two days whats better than that"/>
        <s v="prompt delivery product just as described and arrived without damage"/>
        <s v="came timely it was easy to order"/>
        <s v="ordered prescription food for my diabetic dog first time with petflow and the transaction was handled smoothly and correctly order arrived on time and as expected"/>
        <s v="wonderful company great selection of products super quick shipping very reasonable prices and outstanding customer service"/>
        <s v="great pricing free shipping and acceptable shipping time"/>
        <s v="ordering was easy and the shipping was fast"/>
        <s v="petflow is always in stock and ships immediately my pet supplies arrive in perfect condition no complaints here"/>
        <s v="petflow website is easy to navigate my order was processed and shipped quickly and accurately"/>
        <s v="sitejabber website reviews and complaints&#10;thanks  your review was successfully submitted woo hoo &#10;our internal mod team will take a look and notify you when its posted&#10;&#10;thumbnail of user ardigoc&#10;ardigo c&#10; reviews  helpful votes&#10;whew&#10;april th &#10;i ordered a "/>
        <s v="fast delivery always have what i want at reasonable prices"/>
        <s v="i ordered my dogs food and it came right in time"/>
        <s v="was happy to get our new puppy the food we were looking for at a good deal however the dog food bag had a hole in it food was scattered everywhere and the box was falling apart which was not a big deal except for that our food bag had a hole in it"/>
        <s v="fast easy service timely delivery and easy return well be back to order again in the future"/>
        <s v="my order was correct came quickly and was as advertised my doggos love love love this food and i loved the ordering experience"/>
        <s v="my order hasnt been shipped after over a week when i reached out i was told i had to call management im glad i received a prompt response but i dont want to call anyone and i didnt want to wait any longer so i went back to chewy although your prices were "/>
        <s v="excellent items packing was also excellent and fast shipping will order again"/>
        <s v="most items are always in stock and reasonably priced my orders are shipped promptly keep up the great work"/>
        <s v="very nice and quick with my order unlike some other companies who delay my package love it and the coupons please send more because we in a recession thank you"/>
        <s v="been ordering from petflow for a few years now they have fast shipping and always get my order correct i also like that they have many different foods and products to choose from"/>
        <s v="my first time with petflow it was a fluke how i heard about them glad i did wonderful website and easy to use im not a tech savvy person love the autodelivery discount and the variety they have my little ones flavor of pure vita dog food is hard to find o"/>
        <s v="always a positive experience quick delivery and has always resolved promptly if there are any issues"/>
        <s v="quick delivery good prices and trustworthy we always get what we ordered thank you"/>
        <s v="representatives are very understanding and easy to work with"/>
        <s v="i had a little trouble placing the order initially but that was apparently me rather than the site once the order was placed i received an email stating that one of the items was out of stock and would ship from another location i went to the website and "/>
        <s v="you have decent prices quality products  i am a customer for life"/>
        <s v="both times that we have ordered we have gotten out purchase when promised&#10;only thing i have that may need to be worked on is the ordering site it took me like  times to finally fulfill my order"/>
        <s v="love pet flowbeen using them for  years now"/>
        <s v="ive never heard of this company and they sent me an order confirmation wouldnt tell me what credit card was used but apparently someone is targeting them  to gain what i have no idea how does using a stolen credit card to ship something to someone who did"/>
        <s v="petflow is amazing the dog food i ordered was out of stock from the other company i have used and so i was so pleased petflow had it in stock it got to me quickly which surprised me since it came fed ex who i have not had a great experience with for speed"/>
        <s v="all of my experiences with petflow are amazing"/>
        <s v="the first attempt to pay failed due to a fraud control with my credit card after i approved it the website did not let me retry the payment it was some glitch i attempted calling petflow during business hours but i was put on an endless wait of over  minu"/>
        <s v="very quick delivery and high quality products i really appreciated how good they were at communicating the status of the order as well will definitely shop with them again"/>
        <s v="you should have known when i placed my order that you did not have it in stock"/>
        <s v="easy shopping great products comparable prices fast shipping"/>
        <s v="shipping was quick and the order was right the prices are getting awful high but i guess that is the due to our rotten economy"/>
        <s v="if i could give you a  star i would i was a new customer and i purchased a bag of dog food for my dog that has a super sensitive stomach i waited  days and the food never arrived so i had to call customer service for them to finally tell me that i was  fl"/>
        <s v="buyer beware petflow had so many excuses as to why they couldnt ship my prescription order cc wouldnt work vet clinic wasnt on record it was my account was flagged for fraudinformed fraud dept would reach out to me never happened and then my order of hard"/>
        <s v="quick service easy to use"/>
        <s v="i buy canned dog food i should have split my order into two because i could have taken advantage of two discounts that way it was an expensive order but i only used one discount my fault and it cost me&#10;petflow has the best price on the dog food that i buy"/>
        <s v="web site needs to be a little eiser to use i have a hard time adjusting the auto ship without out deleting the product and resubmitted to increase or decrease the amount of product&#10;&#10;also i need pigeon grit to be added for sale i also use versa laga for th"/>
        <s v="petflow has food and toys my dogs love the website is easy to use and my orders arrive quickly"/>
        <s v="customer service is awesome ordering online is quick and easy my dog loves these treats"/>
        <s v="super delivered my home the price is good"/>
        <s v="very helpful polite phone staff and prompt delivery a positive shopper experience will continue to shop for my cats rx food from petflow"/>
        <s v="i placed an order my card was charged and then credited a day or so later and then i was locked out of my account i created another account and the same thing happened all for no reason and my orders were never shipped it was a waste of my time and i dont"/>
        <s v="well you know what they say about st impressions&#10;the csrs are never on the same page when asked the same questions when csrs were asked when will i receive my shipment answers varied between csrs&#10;one csr said everything will ship on monday while yet anoth"/>
        <s v="delivery slower than chewy occasionally items are sold out"/>
        <s v="it is only recently that we came back to petflow after a period of being away no particular reason for this we are very pleased with the experience and will be coming back as a customer meanwhile we had been doing business with a major competitor of yours"/>
        <s v="my dogs were having an allergy attack and you gave me ideas on what to do what to buy for the allergies it really helped"/>
        <s v="shipping was superfast and koko got her favorite food at a price that left me amazed not to mention a bit piqued at myself for paying so much more from  other major online stores for the last several years note that this wasnt any kind of sale it was petf"/>
        <s v="pet flow always gets my order right and delivers in a couple of days"/>
        <s v="they had the product i needed at a great price fast shipping too"/>
        <s v="place order for the first time on petflow for a difficult product to find on  after almost two weeks  i attempted to log in to my account on the website which had been deleted my payment had post via my bank on  and no refund so i called customer service "/>
        <s v="ordering was very easy and cost was less than most places shipping time was outstanding  days and that was over a weekend"/>
        <s v="i had some issues on broken items due to poor packaging i let pet flow know and they took care of it i have been using pet flow for a long time and this is my first problem yes i will keep purchasing from pet flow"/>
        <s v="my order was canceled i was given no notification about the cancellation additionally when i talked to a customer service person to inquire they were not helpful either they couldnt tell me what caused the cancellation because payment is done through a th"/>
        <s v="the products i needed were very reasonably priced and delivered to my door step quickly"/>
        <s v="shame on petflow&#10;&#10;the shipment of dog food for  and  year old dogs failed to be shipped&#10;&#10;ordered on  i was informed my vet had approved the hills prescription wd canned dog food&#10;&#10;on  petflow informed me due to uncertain times were currently delayed on ema"/>
        <s v="good product good service"/>
        <s v="first time purchase two orders were cancelled for no reasons i called customer service and they said they will investigate and send me an explanation email received no explanation nothingand agent attitude was terrible one of the order refund has not been"/>
        <s v="i did not order anything but received multiple emails about an order being delivered to my name and my address&#10;i didnt receive anything&#10;something is seriously amiss here"/>
        <s v="overrall the experience with this online vendor is excellent however they frequently run out of products often sometimes they delay thr shipments&#10;the possitive is that they try to help the clients when they call on the phone"/>
        <s v="petflow is my first choice for dog supplies great customer service and friendly people who genuinely care about their customers"/>
        <s v="i never placed an order with you but my credit card was charged by someone else"/>
        <s v="prices are very competitive shipment arrived very quickly"/>
        <s v="great price with opportunity to get free shipping fast and accurate shipping and order filling they had the dog food i was looking for"/>
        <s v="i still havent received my order&#10;it took over two weeks to receive a call from petflow after placing my order evidently they didnt have my full address that has been at least a week and still have not received a shipping notification i ordered puppy food "/>
        <s v="good company nice people that can be reached by phone right away no robots&#10;&#10;good selection of products and very helpful and do not rush you&#10;&#10;petflow carries my favorite cat and dog food orijen"/>
        <s v="i ordered  boxes of pound cat litter i got a great deal hr shipping and an easy shopping experience plus raukten had  cash back this was a better deal than chewycom which is usually the best i am very happy"/>
        <s v="fast delivery&#10;accurate order"/>
        <s v="good products at good prices delivered timely"/>
        <s v="very good service thank you"/>
        <s v="every time i order from petflow i get fast service its nice to know when i need food or treats or toys they are on their way quickly i also like receiving tracking information to keep in the loop"/>
        <s v="order canceled for no reason or notice given"/>
        <s v="great prices fast delivery almost everything for taking care of your pets"/>
        <s v="did not like that i buy a membership in order to save on my purchasevery disappointed with that part of checkout"/>
        <s v="left product out by the street in the rainit was covered in plasticbut still by the street is bad news"/>
        <s v="i ordered some guinea pig food and the price was better than any other place it shipped out fast and the company did a great job emailing when it shipped out with tracking the products arrived perfectly packaged in a box that was just the right size for t"/>
        <s v="i have ordered twice now from this company fast shipping boxes arrived in tact no problems"/>
        <s v="i had been looking for best auto ship on wet cat food and found petflow to be the best they ship quickly and the whole experience is just great"/>
        <s v="good prices great customer service you also carry brands that mainstream stores do not"/>
        <s v="i ordered dog food to be sent to my daughters while she is keeping my dog you evidently canceled my order and was not advised by petflow"/>
        <s v="i always did love petflow only switched after years of buying from them because it took a bit longer to receive the product than was convenient after finding out that they carry a product i was not able to get at my current pet food company i decided to t"/>
        <s v="account flagged as fraud long wait time for customer service had to give credit card info over phone cant get a password email reset even though you recognize my email address so cant access account"/>
        <s v="petflow published an anniversary discount of  for orders over  i was so frustrated when my order wouldnt accept the discount i called petflow  and spoke to a real person bonus points better still the customer service rep was apologetic friendly and worked"/>
        <s v="website takes too long to navigate&#10;shipping takes too long&#10; days from order to delivery"/>
        <s v="great prices fast shipping only compliant is several cans were dented but they were still sealed"/>
        <s v="this is a fake account i already called my bank and you a few weeks ago someone is using my email address  an old card that is already marked fraudulent to purchase cat supplies i dont even own a cat i have unsubscribed and continue to get these emails fr"/>
        <s v="friendly competent person that took care of my problem quickly"/>
        <s v="the  star may or may not be fair but its to make a point i have not prior history or account with petflow i randomly started receiving multiple daily emails from petflow regarding multiple orders made including order updates to multiple people in multiple"/>
        <s v="i ordered cat food and when it didnt come and i was just running out i called they didnt even bother to tell me that it had been cancelled because they couldnt verify that the order was from a real person"/>
        <s v="the round cat scratcher fitted perfectly inside a round woven basket that my cats love i had to remove the cardboard supports which was easy to do&#10;many thanks"/>
        <s v="not sure why but i had a monthly subscription set up with my name old address and some credit card i dont own not sure what caused it the website wouldnt let me cancel anything so i had to call in to talk with someone and get them to cancel it the person "/>
        <s v="easy online ordering and product came as promised with no issues"/>
        <s v="pricing ease of using your website"/>
        <s v="we received a shipment from petflow and never made an order when we contacted petflow customer service rescinded the order and sent a notice to fedex to pick up the package we were supposed to leave the package outdoors after  days we contacted customer s"/>
        <s v="i keep getting emails about orders i did not submit showing a shipping address in mexico ny i am reluctant to click on any link in their email message and will not call the number listed as this appears to be a scam"/>
        <s v="excellent service super fast delivery"/>
        <s v="the first time i used the automatic dog bowl it leaks around fitting"/>
        <s v="my purchased was flagged and canceledi have called twice and no one can tell me whyi am pissed"/>
        <s v="ordered  times from petflow great customer service every time they answer calls respond to emails and honestly do everything you would want from a company not to mention affordable prices"/>
        <s v="  lb bags of dog food in one box is too heavy i cant move it"/>
        <s v="i am getting emails about orders i did not place i have replied back numerous times i am not jeff and i have not placed any orders with you and based on this experience i never will i would like you to leave me alone"/>
        <s v="delivery time for product wasnt as promised it was completely unacceptable"/>
        <s v="amazing experience&#10;my package was delivered on time and very fast"/>
        <s v="product was delivered as promised"/>
        <s v="pet flow always has my dogs food in stock and it arrives very quickly"/>
        <s v="easy to use app for ordering and always quick delivery also if i order a large bag of food for my dog i get free shipping"/>
        <s v="have had very good experience with petflow&#10;good products with great shipping&#10;will order more"/>
        <s v="price was much better than most other places that i have purchased i reached out to you about changing my shipment and the response was great i will continue to purchase from this company"/>
        <s v="quick reliable service ive been with them for a while now sometimes it takes longer in the winter"/>
        <s v="i love the convenience of petflow i live in a rural area and they are the best price and value for having my dogs specialty food shipped they make it easy with auto shipments even when i need to change dates its very easy shipping is always as expected as"/>
        <s v="i have never shopped with you guys remove my email from your marketing emails company"/>
        <s v="first time purchasing beats amazon prices"/>
        <s v="i always find a great selection of products and competitive pricing"/>
        <s v="all was well with initial service and product the problem is with your packaging of two large bags of dog food in one box the box quality is mediocre at best the dog food is too heavy and too large for the box the box broke open this could be foreseen als"/>
        <s v="i am happily impressed with the personal service and speed of delivery from petflow as long as petflow carries the pet food i use i will continue to shop petflow"/>
        <s v="exceedingly expensive&#10;if i oculd attach a screen print  id show prove it to you look at the price for the same item from chewy and most other reputable companies i put chewys link here but trust pilot doesnt allow links too bad  because it was proof&#10;chewy"/>
        <s v="ive been buying from petflow for several years every order has been carefully packaged and timely delivered shop with confidence"/>
        <s v="what i ordered was in stock and the order fulfilled promptly"/>
        <s v="great quality products and very quick shipping"/>
        <s v="i bought the kong monster balls for our beagle  her second set of them  she loves them so much she hardly plays with any of her other toys"/>
        <s v="your two representatives tristan and ryan were knowledgeable professional and courteous they helped me through the process of creating a subscription account"/>
        <s v="good prices delivered as expected"/>
        <s v="you cancelled my order because i made it while traveling abroad dont worry i will never visit your website again"/>
        <s v="my dogs most favorite treats are impossible to find thankfully petflow has them in stock regularly no more rationing their favorites always fast shipping arrives in great condition"/>
        <s v="prices of the blues buffalo wilderness canned dog food was good delivery was late bc it was out of stock which was fine however six of the  cans were dented which i wont use"/>
        <s v="fast shipping and prices in line with other companies"/>
        <s v="great prices fast delivery"/>
        <s v="great selection and price fast delivery"/>
        <s v="had never heard of this company before and was planning to use chewy for our order but found this company in an online search they offered a coupon so i opted to give them a try our order was for prescription dog food so we had to go through mailing in th"/>
        <s v="easy to navigate website and you had food for both my pets"/>
        <s v="very pleased with purchase price was great better than amazon free shipping over certain amount fast also very well packaged often from a it looks like it rode behind the truck not in it very happy with petflow they be my new goto supplier thank you petfl"/>
        <s v="my first order was cancelled in error by merchant they were quick to resolve this when i called unfortunately the same thing happened again when i ordered other merchandise again they were quick to resolve this with a phone call the customer service folks"/>
        <s v="easy for me to order the package showed up in a very timely manner"/>
        <s v="prices are good&#10;wish delivery was faster"/>
        <s v="i added a few things to my cart and left for a bit to get some lunch i came back to several emails telling me about the contents of my cart and coupons on such it had been like  minutes and yall was already bugging me calm the hell down&#10;&#10;further i had the"/>
        <s v="i have sent in the prescription several times and my order still has not been filled it is way too time consuming"/>
        <s v="i havent received the order after two weeks and i havent received a reply from the help desk about when its coming"/>
        <s v="petflow definitely had the best price on this item that i could find including prompt free shipping"/>
        <s v="fast great prices great selection  super customer service"/>
        <s v="best prices that ive found great customer service shipped my order promptly"/>
        <s v="found pet flow purely by accident when looking for a specific dog food kibble online made my first order which was shipped promptly and arrived in a few days i also noticed that prices are very competitive and shipping is free over a  purchase"/>
        <s v="i know that the road conditions for my order were difficult but the delay was minimal"/>
        <s v="likes good pricing fast shipping&#10;dislikes not disclosing all information about pet food ingredients lack of customer support"/>
        <s v="my first experience was excellentfrom the quality of the productmy dog loves the chicken treatsto the customer service the sale was a great way for me to become acquainted as i do live on a budget"/>
        <s v="your website is very intrusive and hard to navigate all i wanted to do was look up availability choose and pay it invariably brings up prior views goes all over even signed me up for recurring deliveries decided to leave and shop somewhere else"/>
        <s v="i have been using this company for years and will continue to do so they carry highquality product have a great customer service and fast shipping"/>
        <s v="petflow has such a variety of options for your pet i have a very picky cat and cant always find her choice of food at the pet store thankfully i discovered petflow they were way less expensive than the store i normally shop at and had exactly what i neede"/>
        <s v="price was good product was received promptly ordering was easy the only issue was that most of the cans in one case were severely dented customer service responded quickly and provided a new case"/>
        <s v="ive ordered several times from petflow&#10;they have excellent products easy website to navigate good customer service"/>
        <s v="low prices fast shipping"/>
        <s v="quick delivery when everyone else is so slow or delayed accurate orders petflow cares about the animals by donating a portion of the profits "/>
        <s v="i received the dog food i ordered in a timely manner they offer a wide variety of food"/>
        <s v="fast shipping on hard to find item thanks"/>
        <s v="i order from petflow a lot never been disappointed"/>
        <s v="upon placing the order i received and email from petflowasking me to allow a couple of days while the vet is contacted around the middle of the week the food was delivered as promised with no hassles my cat can not conusme any other food and this veterine"/>
        <s v="i had to call customer service regarding an auto ship that i needed sooner somehow i had an extra bag of cat food arrive i may have made the error but when i called the petflow representative they were willing to take the bag back however i wanted to keep"/>
        <s v="food arrives quickly and well packaged they carry fromm dog food which chewy and petco dont carry"/>
        <s v="item was priced very fairly shipping was soo fast just an excellent experience"/>
        <s v="when i got my package i found that i was only sent half of my order i called customer service and got ready to go rounds with someone telling me they were sorry but it wasnt like that at all i was immediately sent another shipment no fuss or hassle to me "/>
        <s v="i already reported that this is my email not dale leonards i was told that dales account was removed from your records please remove my email from your records&#10;thank you&#10;d beatson"/>
        <s v="lots of finger pointing between my vet and petflow im not sure what problem was but vet said he never heard from&#10;petflow vet so preset want processed first time in last year ive had any issues with the process on prescription dog food anyways once i stirr"/>
        <s v="it was easy to find the product and place the order shipping was super speedy which my cats appreciated"/>
        <s v="it arrived in time no delays or hiccups in the delivery"/>
        <s v="its always great great low price super fast shipping great experience all the way aroundlove pet flowthanks"/>
        <s v="pedros mom allison was attentive helpful and pleasant shes a truly a professional customer service agent"/>
        <s v="thank you for excellent customer service"/>
        <s v="constant account hacks i would be recommend"/>
        <s v="my account was hacked and my credit card information was mixed in with at least one other strangers information when i advised petflow about the problem i was merely told i had been the victim of some outsiders actions and to start a new account with a di"/>
        <s v="easy to use website fast easy shipping great products it would be nice if the free shipping limit was lowered"/>
        <s v="very cool customer service quick shipping  the price is high but the puppies love it"/>
        <s v="the wrong product was shipped and petflow immediately sent out the correct food for my dog great customer service will definitely buy from then again"/>
        <s v="pet flow is the most awesome online pet food provider in the market  even w trivial issues we incurred they prevailed as the winner  so did we  thanks "/>
        <s v="package and order was ok just left at wrong house and i did not see any notice of delivery"/>
        <s v="i have always had good service from petflow i have received damaged cans and they have always taken care of me i donate the damaged cans to the shelter the customer service reps have always been very friendly and professional i love that they also donate "/>
        <s v="just switched over to you from many years with chewycom ongoing out of stock for our prescription food then far too many cute apologies&#10;&#10;came to you to fill and you had the inventory twice actually and now i am on auto with you&#10;&#10;thank you"/>
        <s v="i ordered  items and one never shipped and both items were coming out of the same warehouse shipping for the st item took  days  when my order arrived i called to tell them my nd item never came customer service was great and said they would rush that ite"/>
        <s v="very hard to work with even though i had a prescription from the veterinarian office which they never contacted carolina beach kept sending me the same message if you have a copy of your prescription please email a clear copy to along with your order numb"/>
        <s v="ease of ordering and modifying my auto ship order"/>
        <s v="all of the information you need to fill my order you have on file which helps things go very smoothly"/>
        <s v="i tried ordering dog food twice and both my orders were cancelled for some reason never received an email saying it was canceled just never reviewed the package and had to log onto my account and check what was going on both times ended up having to get d"/>
        <s v="everything came quickly but the bird treat sticks came all broken up i wish there was a better way to send them"/>
        <s v="i am getting emails telling me that my order is on its way or its delivered i did not order anything recently please get this straight&#10;nothing is being charged on my credit card i just get emails saying my order is on its way to some address i dont even r"/>
        <s v="no issues and will order again"/>
        <s v="i placed an order and with no explanation or email they canceled it i logged on to my account to see why it was taking so long to deliver and it just said order canceled i called customer support and waited on hold for  minutes and then it just hung up on"/>
        <s v="every time i have called everyone is very respectful and answers my questions"/>
        <s v="order came fast&#10;staff answered my email quickly and helpfully&#10;this company actually has real people who answer the phone and are sp pleasant and helpful&#10;prices are good"/>
        <s v="always works perfectlyorder online what i ordered delivers in a few days"/>
        <s v="it was real fast service to get the bag of pet food our puppy appreciated it"/>
        <s v="it was great to receive dog food in three days delivered to my door and for the lowest price"/>
        <s v="i ordered two cases of merrick grain free chunky pappys pot roast canned dog food i received one case of the correct item and one of another food one of my dogs has a chicken allergy so we checked the ingredients on the cans we didnt order and they had ch"/>
        <s v="although i received an email stating my order needed to be fulfilled by a further distanced warehouse and that my order could take up to  extra days this company was able to deliver my goods on the original date&#10;&#10;this was important because no one in my ar"/>
        <s v="it was easy to place order online and it came quickly"/>
        <s v="great service ships on time have purchased multiple times"/>
        <s v="this account was supposed to be closed as it is fraudulent still getting emails for it looks like their purchase went though please close this account"/>
        <s v="very good prices on the dog food we need also fast shipping"/>
        <s v="my e mail is bein used through your website without being verified by myself i am not using your website at all"/>
        <s v="fast efficient delivery of a difficult to find product"/>
        <s v="my account was hacked and charges were made then i was told  times they restarted my autoship but never did and then locked my account meanwhile im expected my dogs food that i cant get around town"/>
        <s v="great prices i texted with a request and was answered within  hours with a nicely stated response"/>
        <s v="i have been dealing with your company for a very long time and just love doing so all of the representatives are so friendly and helpful a quality that seems lost in these times"/>
        <s v="two of the things i ordered were out of stock but there was no indication when i placed the order that they were so i was quite disappointed when i opened the box and two items were not inlcuded"/>
        <s v="mr bigdog samson loves the cranberry treats and the parmesan treats the best hell eat both but picks out the cranberry first art"/>
        <s v="outstanding customer service reps they are very knowledgeable and helpful thank you"/>
        <s v="what a great place to shop for dog food"/>
        <s v="there is a glitch in your system my account kept going to auto fill even though i cancelled it back in  i should not have a problem now that i asked to have my account deleted"/>
        <s v="prices were great the orders were sent right away"/>
        <s v="great service ultrafast delivery"/>
        <s v="twice now ive relied on petflow to send me my blue wilderness but its been out of stock very disappointing"/>
        <s v="my order was canceled i wasnt notified when i called to find out why i was told it was flagged as fraud due to the quality in my order i explained it was not fraud it was less than a month of food for my two dogs i was told they would reach out to the tea"/>
        <s v="my login was hacked and a fraudulent order was placed using my account even after i asked petflow to cancel the order and fully delete my account they still sent me a request to review the order on trustpilot seriously"/>
        <s v="petflow always has the best pricing and fast shipping auto ship is wonderful for never forgetting all your pets needs its also customizable would definitely recommend petflow"/>
        <s v="great selection ontime shopping"/>
        <s v="prices and speedy shipping is the best feeding hungry dogs is even better"/>
        <s v="prices are generally the same as amazon and service is better prefer to support a private company when possible and they sell fromm products"/>
        <s v="petflow is a great place that offers the best bang for your buck&#10;toys were as described and the pups were very happy"/>
        <s v="i screwed up my order and mikaila fixed it without a problem my items arrived quickly i appreciated the new customer discount as well"/>
        <s v="we have used petflow for years through the course of many dogs and have always found them very informative caring and a company that we do buisness with monthy between petflow and chewy there is no better fullservice animal food etc provider"/>
        <s v="petflow is always responsive and great at filling our monthly auto ship order happy to do business with them"/>
        <s v="even though i have complained before petflow continues to package two lb bags of food on one box resulting in gedex the carrier to drop the box and the contents inside burst open"/>
        <s v="i got a great deal on a great product i was worried because i had never shopped with petflow before i received my order in a timely fashion and i received plenty of notification about the status of my order the particular dog feeder i was looking for was "/>
        <s v="easy ordering process my only complaint is that it would be more convenient to see past orders to order again or edit an order as having to go thru and search products needed my cat is on special diet and just need to be able to order his food in a quick "/>
        <s v="easy fast and reasonable"/>
        <s v="easy to place order items arrived as described and when expected very happy with everything"/>
        <s v="i love that you donate a meal to a homeless animal with my purchase its a wonderful way to help them to not forget them also your shipping is exemplary i wish more companies were like pet flow"/>
        <s v="petflows phone wraps are very pleasant and knowledgeable on how to help you my english cream golden retriever walter needs a veterinarian prescription dry dog food i used to get it through chewy but lately theyve been having a hard time keeping it stocked"/>
        <s v="order was cancelled i had to call and email for  weeks  calls and  emails&#10;&#10;supposedly due to some unknown reason my account was flagged as fraudulent no real explanation&#10;&#10;i was told a few times to reset my pw however my account has been disabled&#10;&#10;i was to"/>
        <s v="shipping seems to take a bit longer than it used to but i suppose its a common problem petflow does update their delivery date notifications though"/>
        <s v="i live in florida my email was used to order twice the shipments went to texas probably using a stolen credit card i was not charged talked to petflo representative last week with information"/>
        <s v="im so glad you asked i will be back the process was simple professional and unbelievably fast thank you"/>
        <s v="mallory was awesome&#10;she deserves a raise&#10;only issue is still waiting&#10;been billed finally got notification it shipped possibly because it had to go to vet&#10;anyway again i will ask for mallory next time"/>
        <s v="this is the first time ive ordered from this outfit and i was totally pleased with the transaction their price for&#10;the dogfood i ordered was reasonable they shipped quickly and rocco the dog is a happy camper"/>
        <s v="love the fact its cheaper comes right to my door and no shipping cost great deals"/>
        <s v="i was looking for that specific dog food for our new puppy and petflow was the only online store that i could find verus brand"/>
        <s v="i found the food i was looking for the price is high but industry standard i liked the option to purchase a large bag and  of them thanks"/>
        <s v="pet flow is the way to go i order my fur baby food all the time from pet flow and my delivery is on time that is why they are the best&#10;thank you to pet flow and all of the team that works there shadow said woof "/>
        <s v="you send me a survey link yet i still havent received the items surely you know this the communication is terrible takes several days for any response hopefully ill get the items soon  and i understand the weather delay but my items have basically gone no"/>
        <s v="while the prices at petflow may be good there are severe problems with having products in stock it seems that no matter what i order wet or dry cat food and cat litter its out of stock or has to come from a further away location it didnt use to be like th"/>
        <s v="reliable great choices"/>
        <s v="everything i order was right and i get fast delivery"/>
        <s v="easy ordering fast delivery competitive prices&#10;&#10;my only complaint is  too many texts and emails"/>
        <s v="i had recently ordered food from pat flow with no issue a couple of times my card was compromised and i had an issue with it and resolved it but recently for some reason no one will give me an explanation of why i am not able to order food from you even i"/>
        <s v="you carry the quality products i feed my  dogs and cat fromm annamaet and wellness in addition you deliver these foods in a timely fashion i am a very satisfied customer and i recommend you to all my animal stewards"/>
        <s v="there is no option to cancel an auto ship so beware when you sign up for one i am still trying to cancel it there is only a pause option online and i can not get a support person to contact me"/>
        <s v="your fast delivery customer service and packaging is excellent"/>
        <s v="my dog food that is on automatic order the size i usually get was out of stock so i was told unable to ship and received no food however that same dog food was available in a larger size and noone took the time to let me know that not very good customer s"/>
        <s v="it took over one week to get my order delivered"/>
        <s v="i requested few times to add more selections of versele laga pigeon feeds and grits like gerrymandering champion black label ic start etc pls pls pls"/>
        <s v="very easy to order and products arrived quickly and in great shape thank you "/>
        <s v="i experienced a problem with my order not their fault and customer service was so quick to help me fix it really appreciate the immediate response and care that was given my order then arrived safely and packed well"/>
        <s v="besides canned dog food i ordered  bags of rather fragile treats and they arrived a little crushed the company quickly shipped four new bags of the treats they arrived in very good condition i was impressed at how quickly and easily the customer service a"/>
        <s v="still not delivered on the th&#10; days ago&#10;terrible"/>
        <s v="i did not place this order i have already notified you about this what is going on with these correspondences"/>
        <s v="quick shipping unfortunately  cans of the dog food were badly dented"/>
        <s v="the shipping is so inconsistent took almost  days to receive my dog food this happens about every  months hard to foresee when i need to order leaving my pets without food so im forced to buy dog food elsewhere"/>
        <s v="canceled my  needed vet cat food order because email doesnt match when i literally called them asking them what was going on here wouldnt send out my cat food horrible service will look do business elsewhere unless they have some killer deals"/>
        <s v="this was our first time buying on here i found what i needed at a great price it was easy to order and arrived quickly thank you"/>
        <s v="you had the product that i needed at a fair price plus your shipping was on time"/>
        <s v="fast shipping great product and even better price for what i purchased&#10;i have made my second order and will continue to do so with petflow"/>
        <s v="good selection of high quality products shipped promptly authentic product from approved distributor packaged securely for shipping"/>
        <s v="great customer service&#10;very prompt to fix slight problem"/>
        <s v="great as usual easy quick and reliable&#10;thanks"/>
        <s v="i called because my order was delayed twice the gentleman i spoke with was very condescending i told him that nowhere on the website does it state how long or how your purchase will take or ve shipped i explained to him that i have  dogs and it is hard fo"/>
        <s v="after a little confusion on your website about autoship i was helped along by a pleasant customer svc lady smooth transaction great price on what i needed and usually purchased at chewy for more  came in  days in a roomy box that my senior cat vinnie play"/>
        <s v="the experience with pet flow is always so great i love the customer service and how helpful everyone is"/>
        <s v="great service lots of dog food choices"/>
        <s v="ordering was easy and delivery was quick"/>
        <s v="they worked with me very well when my cat refused to eat the brand of prescription food id bought"/>
        <s v="service was great and combined with the best price you cant go wrong"/>
        <s v="i really appreciate that petflow carries fromm its difficult to get and petflow delivers quickly"/>
        <s v="i would give a  star for getting the dog food in a timely matter fedex is the worse by far ill have to find a local shop in my town to buy as the shipping rates a minus "/>
        <s v="the company canceled my order  tines with no notification bad company bad customer service zero stars ill keep shopping with chewycom"/>
        <s v="my order went to the wrong address and wasnt delivered thank you for replacing it"/>
        <s v="excellent pet products at bargain prices"/>
        <s v="products were shipped quick and for a great price i was searching for bird toys budgie and there were plenty of toys to pick from on the site"/>
        <s v="orders arrive on time and prices are good i recommend"/>
        <s v="my orders are always delivered within  days great service and price"/>
        <s v="they always have the items i am looking for and at a great price check out is easy and delivery is fast"/>
        <s v="this company was awful to deal with they never sent my product and gave me a hard time about my refund"/>
        <s v="although fedex is the most miserable pos low life carrier your agent putting deliver to porch actually worked they usually just kick it out the door on the way past ill buy from you again"/>
        <s v="its nice to get a heads up before a shipment goes out in case i need to adjust the contents or timing shipping is always prompt and the selection of food treats etc is quite amazing"/>
        <s v="i ordered roaches and not one of them was dead everyone of them was alive and healthy&#10;very fast shipping and very fair price&#10;i will definitely be doing more business with petflow"/>
        <s v="great and plentiful selection of pet supplies prompt delivery and excellent customer service"/>
        <s v="website has alot of choices and the delivery was on time"/>
        <s v="i mostly order kibble  bull sticks  i order  it always comes quickly"/>
        <s v="petflow ships promptly every time we order our fromm dog food from them excellent customer service"/>
        <s v="i ordered cat food for my  fur babies and it always arrives on time petflow has great communication with its costumersi like the extra help if i cant find somethingnice people"/>
        <s v="tried to place large order using  off  but ran into out of stock items making it difficult once order was finally placed got another out of stock notice if petflow is to be depended on to supply pet needs shouldnt they have items in stock"/>
        <s v="petflow has been good for me and my dog elsahappy with productsprice and shipping"/>
        <s v="great company to deal with they notify you when your next shipment is coming and you can adjust that date if needed good prices too"/>
        <s v="easy ordering quick shipping"/>
        <s v="the products arrived undamaged with heavy cans that is great"/>
        <s v="had the food in stock and promptly shipped"/>
        <s v="i received my first bully sticks from my dogs breeder when my bernese mountain dog treated them like candy the doc suggested i only order natures own grass feed steer service price and reliability have been excellent i am am auto ship customer now"/>
        <s v="i changed suppliers of canned dog food and got the same product for a substantially reduced price&#10;im happy"/>
        <s v="great prices great service"/>
        <s v="phone reps were great on both occasions this month they worked diligently to get my order dates changed and on the  lb bag of catfood for the ferals got it shipped out the same day"/>
        <s v="while the checkout experience was decent and i was able to save money with a coupon this all made me happy  once my package was delivered i was not happy i bought  bags of dog treats for my  boys and  of those bags  of same kindflavor all expire next mont"/>
        <s v="you are reliable honest efficient and timely"/>
        <s v="the filters and search were not fluid or user friendly so many items out of stock but that was not known making it time consuming i nearly gave up twice because of the experience not sure how the rest of the site is as i only searched for cat food and a d"/>
        <s v="order process easy great service corresponding with our vet"/>
        <s v="easy to find what i needed at a good price&#10;thanks"/>
        <s v="shipment always delayed and customer service never responds to email "/>
        <s v="i ordered by wet dog food from pet flow for several reasons those being the price difference between a competing online dog food distributor the ease of ordering the friendliness and helpfulness of the agent i spoke with and the fast delivery of the produ"/>
        <s v="the item i needed was in stock the process was very easy i had my order within days and on time i will continue to order through petflow"/>
        <s v="i was waiting for notification that my prescription had been verified by the vet andor that my order had been shipped after several days i contacted petflow to ask what was up i got an email saying the order was cancelled out of concern for fraud i was a "/>
        <s v="my orders were cancelled without notification twice"/>
        <s v="i have had a horrible experience which is still to date not resolved placed an order not a first time customer my vet was contacted and sent back approval for prescription food internal petflow issue isnt adjuticating the approval noone will help me or ca"/>
        <s v="easy to begin auto ship has the special dog food we were searching for that is highly rated for having ingredients important to long lives of optimal health shipment notices sent to keep us informed of when to expect order received order in timely manner "/>
        <s v="shipment was quick product was packaged well"/>
        <s v="solid reliable company to purchase from customer service seems supportive if anything beyond a typical order is needed"/>
        <s v="great website excellent prices and quick deliveries i will only get my dogs food from petflow going forward"/>
        <s v="best price fast shipping for my hungry dogs"/>
        <s v="had just what i needed at a great price very quick shipping had trouble getting the order through a couple of times but i persisted and am glad i did will definitely tell my local shelter about them i am a cat socializer and they might be interested in pu"/>
        <s v="awesome servicegreat packaginggreat pricesvery convenient"/>
        <s v="pleased with all my purchases people are helpful"/>
        <s v="auto ship does not work advance notice of order was supposed to come but does not auto ship does not take changed scheduled when modified days before shipment date will not use auto ship or this company again to order dog food"/>
        <s v="my order was canceled and i was never notified i only discovered that it was cancelled after i logged onto my account to find out when my order would be delivered i called and was given no explanation for the cancellation or when the dog food would be del"/>
        <s v="they are doing a great job left chewy for them and havent looked back since"/>
        <s v="easy website for me always a pleasure to speak customer service if you need them auto ship is easy changing ship date and products is a breeze and you get a nice discount too"/>
        <s v="quick shipping and competitive prices thank you"/>
        <s v="shipping was faster than i expected best of all the items were in perfect condition no dented cans or boxes which has not always been the case so i especially appreciate it"/>
        <s v="product was in stock added to cart and quick checkout process meant i was in and out in less than five minutes"/>
        <s v="i have now ordered a couple of times and i am  satisfied the orders are correct well packaged and on time if not early i will be ordering on a regular basis from this company i have nothing but praise for them excellent"/>
        <s v="i called customer service because my order had not shipped after several days the woman i spoke with in customer service was very polite and helpful and my order was shipped out the next day and i received notifications of the shipping status throughout t"/>
        <s v="very fast shipping had my order in a few days i was able to saveoney as well great company"/>
        <s v="i placed an order and called three days later to make sure it was coming that day i was then told that my order was cancelled for possible fraud i was never notified by a phone call or email that this happened she couldnt place a new order because it woul"/>
        <s v="prices are good and delivery is timely my problem has been with ordering from your website the system cannot seem to store my credit card information properly last time it was so bad i had to have one of your staff order for me"/>
        <s v="petflow reps are always helpful  make good on any issues you have"/>
        <s v="too long for shipment had to keep emailing when order would ship items were in stock dont know what the hold up was"/>
        <s v="great company quick delivery have all the pet products we need"/>
        <s v="petflow had brands that i have difficulty obtaining elsewhere their prices are good and the food i ordered for my dog with allergies arrived in good condition"/>
        <s v="great price on the chinchilla food that purchased i always shop away and petflow had the best price and i received it super quick"/>
        <s v="firsttime experience"/>
        <s v="i changed the address for delivery and it got mailed twice one went to the wrong address but i still had to pay for it"/>
        <s v="i ordered canned prescription royal canin wet food at a cost of  most of the cans were dented on top and bottom it could be bad for my cat to eat what a waste i usually order from chewycom but they were out of stock"/>
        <s v="discovered petflow due to chewy being out of stock for several weeks of my dogs prescription canned dog food i got the name of petflow from a trusted dog friend food arrived quickly thank you"/>
        <s v="willingness to help me through the ordering process for the first timei was having some technical difficulty"/>
        <s v="excellent service and very quick delivery"/>
        <s v="never had a bad experience prices are extremely reasonable and customer services is awesome"/>
        <s v="the customer service is extraordinary any problem ive had was corrected swiftly expertly and cheerfully these people seem genuinely interested in taking care of our pets"/>
        <s v="good price fast service"/>
        <s v="it was my first time ordering with this company and it will be my last one they canceled my order and didnt notify me when i called them they said it was flagged for fraud and had to be canceled i asked why they said they cant give me any additional info "/>
        <s v="i didnt even place the order that triggered this review to pop up it was fraud and im still dealing with the canceling of my credit card because your website wasnt secure&#10;&#10;also even on this page my name coming up as james shearer that is not my name hones"/>
        <s v="carries brand not found in most pet stores efficient fast delivery"/>
        <s v="awesome professional support with timely shipping great prices as well"/>
        <s v="prompt response when i had a problem with my order they gave me a credit because my dog will not eat the food i ordered"/>
        <s v="great experience on website and delivery"/>
        <s v="excellent pricing shipping notification and packing of order just wished they had more selection available"/>
        <s v="im was technologically inept on the computer and had to call the company to order my product the person who answered the phone was so courteous and helpful because of her i will continue to order my dogs food from petflow"/>
        <s v="everything i was looking for was in stock and delivery was quick"/>
        <s v="the whole process went smooth&#10;fast shipping&#10;very satisfied"/>
        <s v="using petflow was easy and i was able to find substrate for my tortoise that was not available near me i also ordered wet cat food it was the trouble with fedex that will make me reconsider using petflow again my catfood was shipped all over the place and"/>
        <s v="two reasons the terrific customer service and product pricing simply put they earned my business sometimes low pricing actually the best price i could find means low quality customer service but not at petflow my first order from petflow arrived damaged d"/>
        <s v="ordered prescription dog food no email telling me you got the order i called and they said it would be coming out of a warehouse did not know from where or when still no email had to go buy food locally which i am disabled and it was alot of work and extr"/>
        <s v="i was looking for better pricing for my dogs food and that is how i found pet flow i want to feed them a better dog food than what is in most grocery stores i was happy to find pet flow they have good customer service and great prices with  dogs i need a "/>
        <s v="they always have what i am looking for at a fair price in particular i order fromms dog food they are one of few places that carry it shipping is quick as well"/>
        <s v="easy awesome new pet products online orderdelivery company recommended to all pet parents "/>
        <s v="they had what i needed in stock and it came fast"/>
        <s v="website was easy to navigate and shipping was fast compared prices and petflow was the best by far will definitely order again"/>
        <s v="after deciding what brand of dog food i wanted for my new puppy i did a search for the best price&#10;petflow had the best price"/>
        <s v="recieved the last product i ordered i called your company to let you know the product was damaged bent i told the person the box was not damaged so the product had to have been put in the box damaged&#10;he didnt want to hear it and was really rude"/>
        <s v="this was a new company to me with a good buy on the products i needed so i decided to give them a try i am very disappointed  i never received an order confirmation email as stated checked my spam and was rather referred to my email provider immediately w"/>
        <s v="everything was quick and easy the custer service rep was knowledgeable professional and pleasant"/>
        <s v="could not pay with paypal for some reason kept getting message problem with connection"/>
        <s v="i appreciate their communication with me in regards to orders and delivery"/>
        <s v="i can always find the products i want for my dogs at really good prices"/>
        <s v="there was a delay in shipping and the order had to be split but throughout everything they kept me highly informed of everything going on best part for me the customer service representative who responded to my email was kind helpful and informative"/>
        <s v="great and fast service and plenty of communication  you cant ask for more"/>
        <s v="i had to get a specialty cat food for our cat who has dietary restrictions i was unable to use a coupon that had been sent to me i called and immediately it was taken care of i was able to use that coupon they quickly confirmed prescription with our vet a"/>
        <s v="easy to use fast and cheaper than other pet supply companies"/>
        <s v="over the last year there has been significant shipping delays with my autoship order the issue seems to be primarily with the nj warehouse where they dont work night weekends etc there is a discconnect between product forecasting order entry and supply ch"/>
        <s v="petflow always gets my order correct has great prices and i never have to worry about running out of food for my dogs and cats"/>
        <s v="my cat would not eat several differert canned cat foods i tried the one for stomach and hair and she has not thrown up since you now have a returning customer thanks"/>
        <s v="shipment on time customer service great"/>
        <s v="not a good experience at all i choose your company because of a discount you offered me fir being a first time customer i never got the discount because your ad was misleading i was only going to get the discount if i signed up for auto refills that was n"/>
        <s v="fast shipping&#10;had the food i needed happy to have a promo code as well &#10;great communication with shipping and delivery"/>
        <s v="the exact product i was buying locally at petsmart a prescription cat food but in a larger economy bag for about   less shipped free and on time ill be a regular customer now"/>
        <s v="very happy with the product the way it was pack got it in the time frame i was told and whats more important my cat love it and you guys where the only place who have it in stock thank you so much"/>
        <s v="ten business days after placing my order and being charged for the order the product has yet to ship  business days after placing the order i contacted customer service who indicated they would check with supplier and get back to me i was told it could ta"/>
        <s v="trouble free delivery arrived when expected as expected no complaints at all would recommend"/>
        <s v="tried ordering twiceboth times the orders got cancelled by their team neither time did they reach out to me to inform me they were cancelled it was just after waiting days for a shipping confirmation after getting an email they were fulfilling the order i"/>
        <s v="got what i ordered and delivered quickly"/>
        <s v="although i had never purchased from petflow before they delivered quick and on time and the product was exactly as advertised"/>
        <s v="had dog food i used processed my order quickly and i received it quickly&#10;only problem i had was box that it was shipped in was totally broken luckily dog food wasnt"/>
        <s v="good selection of products pricing was very competitive and shipping was super fast"/>
        <s v="good service and competitive prices products arrive in good condition and in a timely manner"/>
        <s v="they went above and beyond the call to ensure satisfaction after the carrier had lost a shipment i highly recommend petflow to anyone looking for quality goods at a fair price"/>
        <s v="could not buy cat food without a prescriptionlike what the hell is that about its all so veterinarians can get paid its total b absolutely uncalled for"/>
        <s v="availability&#10;&#10;good price&#10;&#10;easy scheduling"/>
        <s v="good products quality excellent customer service"/>
        <s v="ordering the needed vet diet for my dog has been easy more communication regarding the order and when it is shipped and will be delivered would make it a perfect transaction"/>
        <s v="you falsely advertised an item you advertised the item was in stock then when it was supposed to ship i receive an email stating was out of stock but on your website it still to this day states it is in stock now i cant cancel the auto ship i can only del"/>
        <s v="extremely friendly and helpful customer service and quality items always available shipping is always quick and they donate a bowl of food with your order winwin"/>
        <s v="very happy i ordered the food one day and received it the next"/>
        <s v="i have received my puppys food in a timely manner and he loves it thanks"/>
        <s v=" of the cans were extremely dented one of the seven damaged cans was leaking"/>
        <s v="super quick response time when i accidently ordered a toy i didnt want&#10;website is user friendly huge amount of items to choose from&#10;i used to shop a chewy but i needed a prescription and it was easier to pick my vet from you list than going through all of"/>
        <s v="petflow is wonderful many varieties of food for your pets my only gripe is that after placing an order i got a thank you email wa picture on it saying review yr item get  back they gave it to me for only one of my reviews  the very good sweet customer ser"/>
        <s v="customer service has been great but shipping practices need work i have complained on multiple occasions that my shipment of canned dog food arrives damaged they pack too many flats of cans in the same box and dont use any packing materials to prevent aga"/>
        <s v="after ordering i did not get a tracking number or shipping confirmation even after getting a notice that the food was shipped my paypal payment was taken right away&#10;i also was put on autopay without my permission&#10;i had to manually cancel an autopsy i didn"/>
        <s v="ive been overcharged for my orders since mid august due to incorrect sales tax i informed company of this explaining why we were overcharged including documentation from the state proving the correct rate but was continuously blown off and disregarded i s"/>
        <s v="concerned about the package that i ordered  weeks ago that still has not arrived im running out of the canned food for my dogs   "/>
        <s v="i have a recurring order and needed to modify tried and messed it up and ended up having two recurring orders called customer service and a very friendly person helped me navigate to delete one"/>
        <s v="overall a good experience i am not a fan of the website could be a bit more user friendly shipping takes too long orders take a while to process availability of products is ok pricessales could be better"/>
        <s v="first time ordering prescription food order for my pup and customer service was so helpful to track order to deliver as soon possible very helpful and trustworthy"/>
        <s v="as advertised product with timely service"/>
        <s v="was on time and order is right thank you"/>
        <s v="hi i live  mile off the county roadfed x is the only delivery outfit that will come up here in the winter you shipped my food with them so i got it in a short time way to go tim"/>
        <s v="need to tape top and bottom end edges just the middle is not enough on large bags"/>
        <s v="its extremely easy to order anything&#10;i really appreciate that its always on time when they say youll receive it&#10;they also give you a tracking number so you can keep track of your order&#10;its a great company and so easy ordering what you need "/>
        <s v="the deliveries arrive in good condition and on time"/>
        <s v="petflow carries the particular brands of food for my pups that i are the most nutritious and made by family run companies in the us"/>
        <s v="i have been using this service for over  years i have never had a bad experience with either the product or the customer service everyone i have dealt with has been friendly knowledgeable and professional"/>
        <s v="shipment arrived torn from stem to stern and keel meager attempts at retaping most likely by the carrier packaging too light for the weight in the box amazed that all product was still in the box even tho box was near total destruction i notified pet flow"/>
        <s v="apparently when i placed my order the item was in stock my card was charged and i expected shipment soon a couple days later i got a refund of my purchase with no explanation the explanation came a couple days later that they were out of stock seems a bit"/>
        <s v="usually i dont have any issues this time the shipment of cat food was all over the place cans were not secure in the case and many were severely dented almost like someone just threw the case in the box"/>
        <s v="responsive customer support"/>
        <s v="price and prompt delivery"/>
        <s v="i found this company online when the place i usually order from was out ordered three bags on saturday the product shipped on monday and arrived to my home on wednesday i live in a very rural area as well would definitely recommend"/>
        <s v="quick shipping helpful customer support and quality cat food purchase best price too thank you"/>
        <s v="there was a bit of confusion with the customer service rep when i called regarding the prescription diet food for my dog i had already sent the script to customer support but when i called to let them know it was there she said i needed to send it to cust"/>
        <s v="i ordered tetracolor xl tropical granules fish food and my fish thank you i got it just in time as i ran out of  days servings left speedy delivery for great price"/>
        <s v="my package was delivered damaged and they quickly replaced it without questions"/>
        <s v="has what i needed and delivered it in good time"/>
        <s v="easy to navigate website found the dog food i was looking for and with discounts applied by petflow was able to get the lowest price i could find anywhere"/>
        <s v="this was the first time i had shopped with petflow and found it to be very easy to find what i needed"/>
        <s v="i will never order anything from this company again they do not have the food i ordered but its on back order now they are holding my credit card hostage and wont cancel my order"/>
        <s v="my orders are always punctual and good this time was especially essential that my order was expedited faster than usual as my dog sitter who was taking care of my dog during a family death over the holidays didnt tell me he was almost out of food thank yo"/>
        <s v="my account showed a backorder order more product then got a bunch of products good for months"/>
        <s v="i needed to find a specific prescription food for my diabetic dog and they had it along with some other options that my vet would approve if my dog didnt like this one they got in touch with my vet immediately to verify his prescription and shipped the fo"/>
        <s v="petflow has a great selection of products great prices and fast shipping i buy the nulo cod and lentils weight management dog food my guys love it"/>
        <s v="cheaper then other places fast shipping i was very pleased"/>
        <s v="all of my dealings with pet have been positive my dog food is always delivered in a timely manner"/>
        <s v="easy to order competitive prices orders arrive fast"/>
        <s v="i purchased milk bone pill pockets this was a really good price and they shipped my order quick ill definitely be back"/>
        <s v="fast shipping and almost always have foods i am looking for in stock for immediate shipment"/>
        <s v="quick service good packing good prices"/>
        <s v="cumbersome internet system caused two orders to register rather than one canceling the orders immediately still did not stop an extra bag of dog food from arriving causing multiple emails and finally return"/>
        <s v="i received this order so quickly which i really appreciated it surprised me it was so fast"/>
        <s v="took  days for order to arrive multiple erroneous ails re expected arrival had to go buy at store andorder was delivered after i left the area"/>
        <s v="this has to be my  th or more times that i have either purchased dog and cat food from petflow the delivery service is excellent also selection is wonderful and price is just the same or less than in the stores its so nice to come home and your fur babies"/>
        <s v="was kept informed about items back ordered and other items shipped separately"/>
        <s v="petflow is a great place for pet products at reasonable prices delivery is reliable as well"/>
        <s v="ive ordered bulk cat litter from petflow several times now they offer a great price great products and quick shipping will be ordering again"/>
        <s v="website was easy to navigate checkout was quick easy to track shipping delivery within a short period of time"/>
        <s v="i can count on petflow to carry the food that my furry babies like"/>
        <s v="incredibly fast service perfect packaging everything absolutely wonderful"/>
        <s v="i love petflow there are always so helpful and easy to order i love how i get free shipping and theyre always on time customer service is great and i have definitely recommended petflow to friends and family"/>
        <s v="i have ordered from petflow several times and my items always arrived without issues the prices are the lowest in every store and online site that i could find i had a small issue and it was taken care of immediately customer service was quick to assist s"/>
        <s v="offer quality dog food and treats&#10;fast order filling and shipping&#10;reasonable prices great clearances"/>
        <s v="ease of ordering product better than described costs are reasonable very prompt shipping"/>
        <s v="petflow delivers the treats my dog prefers with the pandemic we werent always able to get her treats at the store  thats how we found petflow yay"/>
        <s v="always have great order takers fast and efficient"/>
        <s v="confirmed my order for dog food and did not ship it nor contact me i ran out of food for my dog unacceptable to harm my dog or anyones pet will never do business with a company that disregards the health of their real customers apparently this issue is no"/>
        <s v="website was easy to use and checkout was quick"/>
        <s v="easy ordering very fast delivery"/>
        <s v="great product and quick service will definitely buy from them again"/>
        <s v="timely delivery large selection of products notification of products arrival that had been out of stock great web thank you petflow"/>
        <s v="i ordered  trays of special vet approved canned dog food  it arrived quickly and well packaged no delays even though they had to confirm with vet"/>
        <s v="more often than not my dogs food is backordered so then i have to scramble to find her food then days later the backordered item ships i then have  bags of  food that i didnt budget for"/>
        <s v="i have used petflow for a few years every order has been filled accurately and timely communications regarding order status has been excellent i would give a five star rating except for the minimum order size and shipping costs"/>
        <s v="i love the products i feel the shipping takes a long time much longer than other companies i buy from"/>
        <s v="awesome website and many brands to choose from easy ordering and the dog food canine cuisine is loved by all furry friends definitely recommend petflowcom"/>
        <s v="i dont like that  orders were placed only  charged for and i still dont have either of the orders"/>
        <s v="easy to make a order and a good delivery"/>
        <s v="the shipping used to be very quick but now it seems although the items show in stock it takes a week for the items to ship it is disappointing as i grew accustomed to the fast service"/>
        <s v="i was able to find what i needed at a good price shipping and delivery was very timely too"/>
        <s v="petflow has consistently met my expectations even when having to ship from nevada what normally ships from new jersey"/>
        <s v="first time purchasing from pet flow ordered dr martys small breed food and a bag of treats great fast shipping and my dog likes the food"/>
        <s v="all online ordered prescribed cat food they took care of rest they confirmed with vet and bam  day later the food was at my door"/>
        <s v="the representative was super friendly easy to work with and quick to resolve my issue "/>
        <s v="great price very quick shipping and great to talk to"/>
        <s v="everything was so easy&#10;&#10;placing the order shipment just delivery time was a bit slower than chewy"/>
        <s v="i never received a notification that i had an upcoming subscription order being processed i was unable to edit the delivery date when i reached out to customer service several times i got zero response&#10;the day i was notified i had this order being process"/>
        <s v="your prices were the best we could find quick delivery"/>
        <s v="i had trouble finding verus dog food anywhere else but petfow had it and delivered at a good price"/>
        <s v="easy ordering product in stock and for cheapest price among other sales outlets reliable shipping and delivery"/>
        <s v="ive placed multiple orders with petflow and each time its delivered really fast with great prices an excellent service"/>
        <s v="my order never arrived i ordered the tear stain tablets and two different treats please send me my order or credit my account "/>
        <s v="on time delivery"/>
        <s v="pet flow was fast with shipping and delivered when promised merchandise was is excellent condition and exactly as pictured very pleased"/>
        <s v="the greatest part was the followup when my package got damaged and you all replaced it my only criticism is that your tape doesnt hold especially in the harsh rain"/>
        <s v="ordering was easy delivery was prompt customer service is exemplary"/>
        <s v="my product order was in stock and i received in a timely fashion"/>
        <s v="i ordered a product on january  and still have not received it ive written to petflow inquiring about this and never received a response"/>
        <s v="i can always count on my pet food delivery to be on time and well packaged"/>
        <s v="in the last year service has gone from fantastic to spectacularly frustrating my last interactions have been frustrating to the point of closing my account i have a hospitalized friend in another state i was purchasing food for his dogs and having petflow"/>
        <s v="love the carrier it was easy to get my cat in through the top door and was just the right size will fit my  pound cat as well had it within a few days of ordering it"/>
        <s v="cancelled my order and claimed it was fraud and refused to sell to me"/>
        <s v="you carry my product but took awhile to arrive "/>
        <s v="the product i ordered was out of stock yet the system still allowed me to order it even though it was out of stock i cannot trust the system to give me the correct stocking of this item"/>
        <s v="shipping was fast i saved a lot with the coupon they sent for a first time shopper got  heated mats for our dogs"/>
        <s v="pet flow is a great place for your pet needs we have been very satisfied"/>
        <s v="flagged my purchases as fraud and then refused to allow me to repurchase"/>
        <s v="we were counting on our fromm dog food autoship order to be shipped on the date that petflow said they would ship according to them they got very busy during the holidays and this order did not ship until the following week as a result we had just enough "/>
        <s v="product was in stock and order was filled correctly and quickly"/>
        <s v="delivery was on time and at a better cost than other merchants"/>
        <s v="dog food was delivered to family members home it arrived quickly and in good condition"/>
        <s v="i placed my order online easily i did receive an email stating the shipping would be delayed but they kept communication open it was only delayed by  days and i received my items as expected"/>
        <s v="the company delivered when promised with the exact items ordered my only complaint and its a little one is that it was difficult to follow the order once it was in the system so that i could see where it stood"/>
        <s v="overall petflow has good service and competitive pricing for the products they handle the website could be much more user friendly  to adjust an order or make changes to a saved order can be very confusing"/>
        <s v="carry brand i was seeking"/>
        <s v="i was low on food for my dog because i forgot to order so it got here pretty quickly i was down pretty low and i called to see when it was going to arrive and spoke to a very lovely and helpful woman in their customer service"/>
        <s v="a large variety of pet food products to choose from package arrives intact an animal gets a bowl of food with my purchase&#10;thank you"/>
        <s v="they were very friendly they would take your phone calls if your computer wasnt working and the delivery was always on time and i appreciate that thank you"/>
        <s v="the quality of the pet food the fact that you carry fromm cant get it many places and its a trusted brand by me and my family"/>
        <s v="competitive prices shipped well with no damage"/>
        <s v="petflow is the only online source that seems to be able to maintain stock of the particular taste of the wild canned variety that we prefer to feed to our guys shipping is free above  or so and since we get multiple cases no problem shipping is fedex so o"/>
        <s v="where to begin first inventory on their site isnt real in my case the veterinary dog food i ordered was to be shipped from the manufacturer who was out of stock second rather than them inform me i called for order status three times the first two i was to"/>
        <s v="i didnt make an order someone hacked my account and tried to set up an auto ship order to an address that is not mine"/>
        <s v="this was my first order from petflow i found out my dog has some pretty extensive allergies and with each passing day i had no choice but to feed him the stuff he was allergic to until my new food arrived from petflow i regret switching from my usual prov"/>
        <s v="i was told when i ordered  days for arrival it took  days i have a kennel of puppies and needed the food&#10;will never order again from you it has happened several times"/>
        <s v="everything went smooth i had to ask for help using the sight and received it well"/>
        <s v="the petflow website is easy to navigate and their autoship is easy too i appreciate getting the notices that it will be shipping and that i need to make changes if any by a certain date i also get emails keeping me up to date on my orders"/>
        <s v="didnt help at all basically said i can not order the item and move on"/>
        <s v="reasonable prices very good communication and notification system the only con is that some products are not always available and back ordered"/>
        <s v="petflow is great because they sell the dry food i feed my cat and it isnt around anywhere else i also want to say thank you for receiving my order  days after i ordered it often it can take up to a week"/>
        <s v="great company great service and great products"/>
        <s v="i couldnt access my account because i couldnt remember my password your account recovery system is not very good at all"/>
        <s v="the order was wrong i called and the young lady that answered was very professional and efficient she took care of the problem and i could hear the smile in her voice"/>
        <s v="order took almost a week to reach me when i called to check where it was i was told you were experiencing delays it would have been good customer service to tell me that via email before i called"/>
        <s v="i absolutely love petflow i am thankful for fast shipping and the fact they work so well with my vet to get my diabetic dog the food she needs"/>
        <s v="i ordered  lb bags of dog food one bag was damaged on arrival and they replaced entire order sending  replacement bags more than made up for it one thing is the replacement boxes actually had more packaging material to hold up better in shipment that the "/>
        <s v="impossible website entry customer service didnt answer my questions delivery is late  i dont have my shipment yet"/>
        <s v="i have ordered from petflow for a few years nownever had a problem my last order was a total nightmare dealing with your customer service reps rude condescending passive aggressive emails sent to me when all i asked was wheres my dog food i ordered on dec"/>
        <s v="i have used these folks for a couple of years they have the best price for the product i buy delivery is quite prompt"/>
        <s v="to slow on getting the order outhard to understand the ordering system"/>
        <s v="easy to use and find items with quick delivery"/>
        <s v="intuitive site allows me to easily order and reorder the dog food varieties i need good electronic notifications confirming orders tracking shipping and projected order arrivals i like easy"/>
        <s v="it took a little long to receive the items due to product availability this is not the st timewhen i did receive it tge order was fine"/>
        <s v="always get a great deal with coupons and the food arrives exactly when they told you will be ordering again soon"/>
        <s v="customer service is terrible i will not order from you again"/>
        <s v="i loved petflow  they used to be really good with getting my orders out right away i placed an order on  called a few days later as my order still was not sent out customer service said they were noting that my items needed to be sent out asap  still were"/>
        <s v="communication regarding shipping was lacking in the past ship dates and estimated arrival times were closer to reality"/>
        <s v="my order was cancelled without them letting me know and i received lousy customer service trying to figure out why placed my order again but of course the price of one of my items has gone up customer service will not help"/>
        <s v=" i was  cents short for free shipping so i added  treats that never got added to the order got charged for shipping the package was so heavy fedex dumped it in the wrong lobby not even bothering to drop it at my door&#10;you make us order so much  to not give"/>
        <s v="it took a very very long time to get to my house ive switched to chewy because their shipments get to me in one to  days"/>
        <s v="havent received product and you want a review ordered on  needing it no later than  and wont receive it until the th if lucky but still asked for review maybe make your automated emails for review tied to the delivery of the items would be nice"/>
        <s v="the package came in good condition and when it was running late i have a coupon for the next order that they sent"/>
        <s v="ive been with petflow for many years product is alway delivered promptly and no damage if you do have a damaged can they make it good love this company"/>
        <s v="ryan was exceptionally helpful and because of his assistance i will continue to shop at petflow"/>
        <s v=" years doing business with you petflow&#10;poor resolve for item i have been buying from you for  years&#10;&#10;i will look forward discussing this with senior corporate manager&#10;&#10;with  years in corporate myself with customer support responsibilities pehaps i could a"/>
        <s v="they always have what i need in stock and at a great price especially with the use of the coupon options"/>
        <s v="if i could give petflow  stars i would their customer service is awful awful awful they take forever to ship items on the offchance that they actually have the items available and will require a huge waste of time on your part to rectify issues that they "/>
        <s v="my order was placed december  and i still dont have it two weeks is just too long ordering from petflow is just too unpredictable sometimes its days sometimes its weeks i had to buy from another source"/>
        <s v="please give alerts or notifications when you cant fulfill an auto ship order i have to find out by checking my account after the expected shipment date has passed and im out of my cats prescription kd food have voiced my concerns multiple times over the p"/>
        <s v="delivers as promised and checks that it was received i am thrilled that i found petflow"/>
        <s v="i like that you sent the food and the price was lower than most other places i did not like not being able to order food because it seemed to automatically turn on auto shipping that i didnt want and i couldnt find a way to turn off auto shipping so i cou"/>
        <s v="made an order just like i have several times before they canceled the order but did not let us know no email no phone call nothing we bought from petco and will from now on"/>
        <s v="i have tried to use petflow a few times for their monthly shipment of dog food and i have always come across issues the first order my first bag of dog food was delivered on time the second order of dog food was delivered with tape all around it i removed"/>
        <s v="still havent received our order so ordered from and received in two days  which is good so our senior dogs do not have to eat puppy chow"/>
        <s v="order not shipped from warehouse for about a week and still shows as not picked up i had to check the status and call to cancel it after  days"/>
        <s v="no follow up regarding status of order and no order received very disappointed"/>
        <s v="like others my order was canceled without notice and i only found out when i checked my order online after  days a rep at petflow said that they automatically cancel orders because of fraud concerns if the shipping address is different than the billing ad"/>
        <s v="where is my order which was oredered on  order  bergen k cafe"/>
        <s v="my orders are taking longer and longer to get its taking about a week in the beginning they came in a few days i have ended up going to the only location nearby that carries fromm dog food while waiting for my dogs food a week ahead of time should be enou"/>
        <s v="love the convenience and customer service"/>
        <s v="everything ships quickly&#10;was disappointed that i couldnt find the one medication through petflow"/>
        <s v="placed an order for dog food waited over a week without updates so i followed up only to find out my order was canceled but i was never notified this caused such a delay with getting the food that i am currently out of had to order from somewhere else and"/>
        <s v="easy to reorder and shipping is fast and free"/>
        <s v="great experience fast shipping i havent been able to order my cats food from anywhere else because it was out of stock petflow got it for me"/>
        <s v="ordering online was easy and shipping was fast had an item that was out of stock they let me know then shipped it when it was back in stock great to do business with"/>
        <s v="great selection of products carry name brand at a reasonable price quick shipping quick response from customer service if something is wrong with your order they correct it in a timely manner very happy with my service from petflow will definitely recomme"/>
        <s v="my order was cancelled by the fraud department without any notice to m i wouldnt recommend petflow to my worst enemy i have tried to reset my password and correct the problem but when they say they sent a password reset i never receive it"/>
        <s v="sorry not sure if its my phone or your website used to always order online but the last few times i cant seem to get all the way through to place the order ill have to go back to calling my orders in"/>
        <s v="the best prices and fast shipping very happy"/>
        <s v="i have  dogs and not one of them would play with it they totally ignored it"/>
        <s v="horrible company ordered food for my dog and got an email saying we received your order called a week later as never received my order or an email saying it shipped they said they cancelled my order and could not say why as they are not allowed seriously "/>
        <s v="the company is absolutely awsomanother company sent me to petfkow and im so happy they did and i will contiune to shop at petflow thank you for being petflow"/>
        <s v="great prices and fast delivery we we were using chewy which is great but they dont carry the food we need for new dog i am very happy with my recent petflow experience"/>
        <s v="communications and correspondences via email was better than most pet stores"/>
        <s v="i am very impressed that my order was received before expected none of cans of food were damaged the food is very fresh and the price is right petflow is now my goto from now on for zignature kangaroo formula canned dog food thanks for being so on top of "/>
        <s v="terrible just terrible not helpful at all still waiting for my dogs medication its going on  weeks now i keep getting the run around from everyone i speak to im over this company yall need to get ur stufftogether"/>
        <s v="ordering can be made easier and delivery took longer than ecpected"/>
        <s v="first was the excellent selection offered at a fair price then there was delivery no easy challenge since ihe order was placed over the holiday and we had a major snow storm guess what buddyholley my bearded collie was enjoying his food and treats earlier"/>
        <s v="i have a dog who is allergic to everything basically so i used the online chat and the customer service person helped me locate a food and treats that basically only have duck one of the only things shes not allergic to"/>
        <s v="delivered on time was able to brands i wanted not available on other sites like chewey"/>
        <s v="fast shipping fair prices and excellent customer service"/>
        <s v="had products in stock quick delivery great customer service"/>
        <s v="easy to navigate the website and items shipped fast "/>
        <s v="petflow always delivers good products in a timely manner they are also the only online provider of my dogs food"/>
        <s v="twice my order has been canceled due to fear of fraud and no one ever reaches out to me to ask im frustrated that a week later when my order isnt received i call and find out it was canceled they have my email and phone number"/>
        <s v="i placed an order recently from petflow they had the best price on the items i was searching for i didnt need the items right away and i appreciated that i could request the date i would like the items shipped to me highly recommend petflow"/>
        <s v="fast shipping great prices and accurate order"/>
        <s v="i had put numerous orders in for this product in the past two years the order got canceled many times and i was told i would be notified when they came in i was never notified i just happened to come back to your site to see that you had them in stock oth"/>
        <s v="in the past the customer service was always exceptional my last phone call pertaining to a delivery delay was met with indifference  a lack of resolution ill continue to shop at petflow but will think twice before inquiring about a problem"/>
        <s v="my dog food took foreverrrrr to get here each time i called customer service it rang about  times and the phone would hang up i emailed them and it took  days for them to get back to me rep said they are overwhelmed because they are a small company id say"/>
        <s v="i contacted customer support online to cancel my auto ship i accidently set a second one while trying to cancel i had  auto ship orders i made it clear i wanted them both canceled because my order increased by almost  too pricey i found my order cheaper s"/>
        <s v="package arrived late again&#10;&#10;fed ex should not be your carrier"/>
        <s v="easy to order and i love the automatic ordering"/>
        <s v="terrible customer service worst company to ever do business with even the supervisors are rude they constantly hang up without addressing any of your issues"/>
        <s v="i placed an order which was received by petflow with a ship date of dec th dec th still had not heard a word called customer service who told me petflow had canceled the order because it was flagged as fraudulent by them  not my bank  i will never use thi"/>
        <s v="easy order process and quick response to the order"/>
        <s v="i stopped using chewy when the company was bought by petsmart im glad i chose petflo"/>
        <s v="i placed my order on  and received an email that my order would ship on  i contacted petflow on  about my order not shipping yet when i received a response the next day i was informed due to stock issues my order was cancelled but yet i wasnt notified unt"/>
        <s v="the dog food i ordered came quickly and i didnt have to pay for shipping the food i ordered changed the look of the bag so i thought i was sent the wrong food petflow responded immediately to my issue"/>
        <s v="even with your promos ex current promo pft  off  amazon is still better priced and i get better sizes and better autoship deals we are working with tough times folks  you need to step up your game on competition or get left behind not trying to be rude  i"/>
        <s v="i have an account at petflow since june &#10;unfortunately my order of cat food was cancelled without any notificationsuch an unexpected behavior of company customer service when i called them explain order was blocked by fraud prevention department without a"/>
        <s v="youre fine dont be so insecure i used you once and ive gotten like  emails from you its too much now you want to be rated its coming off very needy and insecure keep having the lowest prices and i will keep using you stop with all the email or im gone ser"/>
        <s v="had the product i was looking for for my cat fast service"/>
        <s v="our beloved newfie died a day or so after we received his auto shipment of food from perflow we had not even opened the box allison from petflow offered hers and petflows sincere condolences and she said just set the unopen box outside on the porch and sh"/>
        <s v="actually i am writing to see if i can return an unopened bag of food winnie did not like it and is back on her original food"/>
        <s v="best price on the dog food i buy very quick shipping"/>
        <s v="good sales on good products fast shipping"/>
        <s v="my beloved dog passed away unexpectedly just after i had received a large shipment of food and supplies i contacted petflow and they arranged to have the products picked up right away and closed out my auto ship orders so i would not have to do that ive u"/>
        <s v="what made my experience great was finding the product i wanted and a little more and getting it ordered quickly and easily got what i needed in just a few days before running out of the product at home excellent service great products"/>
        <s v="i wanted to purchase a item on your website but the item only showed one color blue i contacted you about wanting the item in gray and you person went out in the whrs and found that you had it in gray told me to order it and email the order number to her "/>
        <s v="i got a good price on tillys treasures beef liver chunks my dog loves them"/>
        <s v="easy order great delivery great product"/>
        <s v="i used to love petflow because the prices were reasonable with quality items and dependable shipping i have a small house so i cannot stockpile dog food so i order close to finishing a bag well now when things used to arrive in about  days of ordering it "/>
        <s v="i have been buying my dogs pet food from them for years they are very reasonably priced and are flexible enough to allow me to change my order depending on the dogs we have"/>
        <s v="my delivery address is really complicated and caused a few issues when i attempted to place my order but customer service was quick to respond to my messages and they handled the situation effectively and efficiently once shipped the order reached me in a"/>
        <s v="prices and selection were great shipping was fast and received emails regarding the status of order and shipping"/>
        <s v="the toy was so little the shampoo was expensive but worth it"/>
        <s v="my auto ship is easy and convenient and arrives quickly after it ships the food is always in stock so i never have to worry"/>
        <s v="i tried to change what we are receiving on the recurring order instead of changing the item it sent me an additional bag of dog food"/>
        <s v="great prices on the kong squeez ball"/>
        <s v="beware pet flow can accuse you of theft cat food  value from them&#10;absolutely terrible experience with my order number &#10;after receiving order confirmation from petflow&#10;i was expect receiving the tracking number for shipment but when i login to my account t"/>
        <s v="good quality products cheaper prices fast shipping"/>
        <s v="ive struggled purchasing food for my fiv cat because her vet is under my partners name but im the one buying chewy specifically made my life hell thank you petflow i appreciate yall and im great full my kitty gets her special food now "/>
        <s v="with the cost of this pet food increasing every year i decided to switch to petflow away from my usual supplier because of the discount making my dogs food more affordable really helped a lot im hoping this company continues to offer competitive pricing"/>
        <s v="i always get my dogs food on time"/>
        <s v="i have had a good relationship w petflow up until my last text message was ignored natural balance canned dog food was discontinued supposedly due to supply issues i researched other foods  decided on nutrisource which petflow carries i ordered  cases con"/>
        <s v="great customer service quick shipping"/>
        <s v="great quality and shipping was very fast definitely will be ordering from them again"/>
        <s v="liked that ordering is easy i did not like how very long it took to receive the order"/>
        <s v="my order never arrived i called your company and the person i spoke to was incredibly unprofessional sounding i asked why my order hasnt shown up and he said it was canceled by their fraud department i asked why or what triggered this and was told he coul"/>
        <s v="you were the only company that had the product i needed for my special needs cat"/>
        <s v="first customer service rep wasnt nearly has helpful as the second one i talked with the third person was reassuring now the wait for the refund "/>
        <s v="i was really happy with pet flow until two things happened one is i found some thing i could only buy at chewy and their customer service is light years beyond petflow&#10;&#10;the other is that petflow wanted a profile of me and my pets names and things in a way"/>
        <s v="fast accurate shipping and fair prices have ordered twice and will continue to order"/>
        <s v="was great i enjoyed it a lot the song made me feel special "/>
        <s v="always fast shipments i order two pound bags of food at a time the only concern is the packaging needs more tape on the box or they need to be shipped in two boxes the last shipment the tape had broke and someone for the carrier must have retaped it there"/>
        <s v="prices are high for the food i feed and i realize it may not be petflows fault but there was a huge increase in cost in just a few months also delivery seems to take a week with fedex seems long to me"/>
        <s v="my orders are taking longer and longer to arrive last order was over  days until i received it i order early so my boy doesnt run out but these times are ridiculous currently looking for another provider"/>
        <s v="wonderful products for my cats can ask for assistance should i need it great ontime deliveries for my purchases and very good service from petflow and the folks that do great jobs for me and my kitties"/>
        <s v="where do i begin i order  tennis balls then yall wanna chancel my order for fraudulent because your customer service person over the phone says why would you buy  tennis balls im sorry i have multiple dogs like wth worse part is i had to call yall  days a"/>
        <s v="quick friendly people to help with an easy phone call dependable deliveries and updates i really like their customer satisfaction approach to business"/>
        <s v="i had a major issue with my package being held up on the fedex side i emailed into petflow support to see if they could help i didnt hear back however i called a few days later the person that answered was so kind and helpful they reshipped the product i "/>
        <s v="received food in timely manner good price"/>
        <s v="great prices&#10;fast delivery&#10;a place to count on"/>
        <s v="even though this litter was out of stock and no date when available they kept me informed of my in order status i did end up of canceling and they were in great about be this too"/>
        <s v="awesome company with good deals and prompt service delivered right to your door i would highly recommend petflow for all your pets needs"/>
        <s v="what your company needs to work is your delivery time your company takes way to long from the date of purchase to get the product to your customer the company chewy gets it to me in  to  hours learn their method"/>
        <s v="great selection of dog foods and snacks and great customer service order arrive in just a few days"/>
        <s v="great price quick shipping and delivery"/>
        <s v="love the prices and quick service my only concern is i cant seem to apply the auto ship discount"/>
        <s v="name brand products fast shipping great couponsdeals"/>
        <s v="first i was sent the wrong items i called and was told they would ship the right ones out asap the next am i spent over  on dog treats  bags the original delivery took a week customer service emailed me a fed ex label to ship the wrong treats back i had t"/>
        <s v="ordered the natures logic food at a great price delivered quickly shipping free&#10;what is not to like about this"/>
        <s v="difficult to make an accurate credit card charge"/>
        <s v="my shipping box came damaged  nearly falling apart when it arrived at my door&#10;&#10;plus my bag of dr marty food was cut with a razor and food was inside the shipping box i have a picture if needed&#10;&#10;and finally it took nearly  days i ordered early sunday morni"/>
        <s v="very good customer service package arrived on time everything that i asked for was in the box complete"/>
        <s v="i needed a bag of dog food and proceeded with buy it now when i received order confirmation i saw that an item i had previously purchased was still in my cart they said they would not remove an item from my order immediately after i wasnt happy with the i"/>
        <s v="products available competitive pricing delivery delay not too bad considering the holidays"/>
        <s v="appreciate the great selection of fromm dry dog food service is great and very fast shipping"/>
        <s v="we have been using petflow for years and they are consistently fast with shipping and if there are any issues maybe x in  years they are responsive and it gets resolved fast thank you "/>
        <s v="ordered on line for less than in stores and it was delivered to me"/>
        <s v="lack of availability of the specific treats i was looking for was the only reason i did not leave a star rating otherwise prices delivery time  correctness of the order was great thanks luka  remi are headoverheels with their tasty treats"/>
        <s v="i spoke with customer service weeks ago and my concern was not addressed&#10;my original account was under my personal gmail i had an auto ship on there for years a few months ago my password did not work and when i tried repeatedly to reset it i never receiv"/>
        <s v="when i started to really look around petflow offers the best price especially since it comes right to my door in rural vermont dog food has become crazy expensive"/>
        <s v="i have used petflow for several years they are a quality organization i recently had an issue with a delivery and a return both issues were resolved quickly one via phone and the other through email they also took the time to follow up and make sure i was"/>
        <s v="website was easy to maneuver great product selection and good prices along with fast delivery time"/>
        <s v="your products are healthy and reasonable in price i also received my purchases in  days and paid no shipping due to buying  and more in merchandise i also get the pleasure to help animals in need thanks for being there"/>
        <s v="found it odd that a very popular item on the internet was discontinued i ordered  but only got one and they refunded my other one fast made&#10;it look like they were selling them too low and stopped so they didnt have to keep filling orders"/>
        <s v="i like ordering online dont like getting out delivered to my door"/>
        <s v="the shipping time is awful when i placed and order it said it will ship the next two days it didnt ship for a whole  weeks"/>
        <s v="very reliable when ordering a product even if on backorder you are kept informed impressive"/>
        <s v="best prices around initially we will see if they continue offering these deals i have referred a few friends so im hoping they dont disappoint"/>
        <s v="slow shipping slow answer to e mails dont have items in stock"/>
        <s v="im still waiting on my last order i am out of kidney can food i have  dogs i supplement dog treats through amazon as they deliver way quicker but the prescription kidney food i cannot as i tracked my last order it showed its been sitting in the homestead "/>
        <s v="i just started using you a few months ago and was a little concerned because of some of your reviews but i liked your prices and thought id give you a try glad i did you have totally delivered for me ive had several large orders for dog and cat products  "/>
        <s v="ive been a client for some time i had just bought a  lb bag of merrick senior dog food the vet said that my  year old dog reacted badly to the ingredients in the senior food which caused severe diarrhea and to go back to what i had been doing the person w"/>
        <s v="i found this company a couple months ago wow very impressed the product line is outstanding the prices are the best ive seen and last but not least the shipping is super fast ive had such a wonderful experience with their easy online ordering system ive n"/>
        <s v="order was easy to place delivery and updates were all great"/>
        <s v="i received no notice of canceled order or assistance in correcting the order"/>
        <s v="we have ordered for over a year from pet flow and have never experienced any issues what they promise we get i will be staying with them"/>
        <s v="cheaper price takes a little longer for shipping though"/>
        <s v="great service and products i use for my pets"/>
        <s v="i have had a subscription dogfood on file for  years that is prescription most of the time it is delayed or outright cancelled then i have to call and change to a different flavor in order to get the dog food the last time this happened i had to change th"/>
        <s v="i placed ab order for the first time and the product was not going to arrive for over a week that was unexceptable your competition chewy it arrives usually in two days i cancelled my order o and my auto ship"/>
        <s v="reliable delivery dels for autoship"/>
        <s v="fast delivery great prices what else could anyone want"/>
        <s v="always get excellent customer service if there is an issue vert easy to deal with"/>
        <s v="ordered product and it never shipped i had to call customer service to get it shipped"/>
        <s v="after my order being cancelled i dont know maybe three times i emailed them to get it cleared up i explain i moved and got married and mention perhaps its my maiden name  ryan tells me fraud says not to process so first i ask okay whats the reason and do "/>
        <s v="i appreciated the ease of ordering but was not really happy with the shipping time it took too long to come"/>
        <s v="petflow is great fast and efficient customer service is helpful"/>
        <s v="i switched to pet flow from chewy bc their prices got high and their customer service dramatically declined the prices and auto ship discounts are much better at pet flow and their customer service personnel are superior to chewys the only reason i gave  "/>
        <s v="as promised so delivered"/>
        <s v="when i place my order i can relax it arrives quickly and is always fresh and ready for my two senior dogs i am so happy that i have this service and dont have to lug heavy bags of questionable freshness"/>
        <s v="i placed an order your company took the money out of my account days went by with no tracking or anything so i called to see what was going on and your tech support told me she didnt know when i would be getting my order so i canceled it than after i canc"/>
        <s v="my order was easy to place and arrived quickly will order from you again  would recommend"/>
        <s v="my dogs went crazy over all these treats very happy"/>
        <s v="the representative was understanding of my situation and was quick to resolve the issue very nice and patient"/>
        <s v="great company to work withalways responsivewith quick delivery but costs seem to continue to escalate over last two years as is everything"/>
        <s v="my dog is a senior with a heart condition and must have a special lowsodium diet when her food doesnt arrive on time her diet and condition is compromised typically i receive orders in  days i need and depend this reliability my last order took  days to a"/>
        <s v="my little maltese loves the small bites beef frittata i wish you had other flavors in small bites for small breed dogs"/>
        <s v="the shipping as surprisingly slow"/>
        <s v="so when ordering food for my canaries theres been  times in the shipping process bad experiences two times the orders get returned due to the poor packaging petflow uses dont really understand why  lb bags are shipped in  thin big box without any protecti"/>
        <s v="first time using pet flow my dog food was ordered in time to arrive three days before a big trip it was delayed and came the day after i left customer service had been called several times&#10;i asked for a refund and was told i would get a credit im going ba"/>
        <s v="i always order our dogs regular food diet petflow as well as a subscription all items arrive well"/>
        <s v="great service i can always depend on pet flow"/>
        <s v="an excellent company with wonderful customer service orders are shipped efficiently and with care an added plus is their charitable donation policy"/>
        <s v="took over a week before product even got prepared for shipping zero communication"/>
        <s v="instead of a usual delivery of  business days after my orders placement it took  business days and two calls to your service"/>
        <s v="while the prices are much better than chewys the shipping is slow the only reason we wait so long for it to arrive is because of the money we save"/>
        <s v="i placed an order for cat food that petflow cancelled with no notice after wondering why it hadnt arrived yet i checked on the status and was told it had been cancelled because they thought my email was fraudulent and if i wanted to place a new order it w"/>
        <s v="super friendly staff and wonderful company"/>
        <s v="had a problem with password was locked out and when i called they said too bad you have to wait the time out they did not reset it or help any further"/>
        <s v="absolutely the worst company i have ever used to date for delivery of our dog food will never use them again they like to use the excuse that its the holidays and theyre backed up for deliveries&#10;&#10;then shut your doors and stop taking orders until you can d"/>
        <s v="ordered dog food with a few toys on wednesday night if youre a pet store and somebody orders dog food well before the weekend you ship it out before the weekend right never again with these people have fun losing money on this order what an absolute joke "/>
        <s v="i generally like pet flow but i find the website very confusing my cat has prescription food and i sent the script in with the first order when reordered however it asks for this information again i had to call to find out that it isnt necessary"/>
        <s v="shipment is quick notified timely of any deviation to shipping of order reasonable price"/>
        <s v="it was a great experience overall the ordering was easy it was delivered quickly and the price was great"/>
        <s v="the willingness to listen to my issue and try to work out a solution"/>
        <s v="the delivery is on time or close to the scheduled time"/>
        <s v="best price anywhere  in fact i bought  for what other shops were selling for the same price for one fast quick shipping totally satisfied customer"/>
        <s v="excellent selection for pet food and product came quickly enjoyed the quality and communication throughout the experience"/>
        <s v="shipping times and amount of available products"/>
        <s v="customer service was excellent"/>
        <s v="super fast shipping good selection of dog foods and good prices"/>
        <s v="tried to get my auto shipment moved up a few days sooner  instead they cancelled it when they finally shipped it appeared that i was only being charged  instead of  i figured bc of the mixup when i checked later in the day the  was added back emailing abo"/>
        <s v="bryan was great he explained things and followed up right away im thankful i connected with him about my issue"/>
        <s v="always fast shipping and always have what i need"/>
        <s v="switched over from chewy because natures logic dry dog food was a bit cheaper but shipping is very slow last package arrived opened bully stick sizing is inconsistent and seems foul"/>
        <s v="i have no complaints about the company other than you using fedex as your shipper i seem to have issues with them every time always changing delivery dates this time they left the boxes in plain sight in front of my garage allowing them to get wet in the "/>
        <s v="the treats had small fine bones in them"/>
        <s v="i honestly have never done a review ever well i have ordered twice from this company and each time there was issues the first time the help people were amazing and rushed to fix it right away so obviously i ordered again but this time omg i had to make a "/>
        <s v="didnt receive an acknowledgement from pet flow for on line order placed on a sunday i called monday morning asking for a tracking number and idea of when i could expect the  pounds of dog food i got a snarky no reply never did receive from pet flow any do"/>
        <s v="dry kibble ordered on nov  still has not arrived supposed to be delivered today they are very responsive to emails and communications good company but need soem updated shipping procedures bw"/>
        <s v="service rep said  business days and it took  days had to go to local store to buy food to get by mailing system slow lately"/>
        <s v="i had a concern with my orderthe customer service was outstanding far better than i expected my problem was taken care of very quickly and i will be ordering again soon"/>
        <s v="it took a very long time and multiple emails to customer service to see why my order didnt ship and i ordered two items only received one and no explanation where the other item is"/>
        <s v="again so many products out of stocknot available which means i have to go to other sources to get what i need"/>
        <s v="she was extremely helpful and very kind for the situation i had"/>
        <s v="the company was prompt in getting my order out the door it took the delivery service some extra time"/>
        <s v="five stars&#10;i highly recommend this company their selection is excellent and they are competitively priced"/>
        <s v="my pomsky  years old loves fromm dog food from petflow&#10;its always fresh  the duck is her favorite she likes the salmon too&#10;food is always shipped quickly&#10;i havent needed customer service but sure they are great too"/>
        <s v="representatives very helpful and friendly great bonuses"/>
        <s v="i can order fromm dog food the website is easy to use the delivery is fast"/>
        <s v="having the product i needed and fast shipping"/>
        <s v="always dependable and shipped everything on time let you change the dates on your auto ship just a great company customer service is also awesome"/>
        <s v="listen to my concern fixed the issue quickly"/>
        <s v="have been a client for years only issue is tons of promotions sent via text and never on froms which is the only product we buy"/>
        <s v="shipping was delayed for  straight days whilst i was told repeatedly that the item would ship next day generally i would give petflow  stars however this last experience was less than stellar&#10;&#10;i want to be fair and mindful that warehouse working condition"/>
        <s v="first time order for puppy food for our sons puppy and the price was fantastic with free and super fast delivery was very impressed and i am a seasoned value shopper highly recommend and will definitely order from here again"/>
        <s v="most of my experiences have been excellent unfortunately my last order of fussie cat dry food was less than good i normal order the  lbs bag and ive had no issues the cats love it the last order i purchased the  lbs bag and my cats refuse to eat it i did "/>
        <s v="shippingsecond order fr youfirst order completely messed up you can check your logs and see second order said delivery and day of supposed delivery it was still in new jersey got all items both times but not easy process except for ordering and paying wel"/>
        <s v="ive been buying from petflow for years now and been very happy with them prices are competitive items are usually in stock or quickly restocked and shipping is prompt the one time i called customer service as i wanted to add a bag of food id forgotten to "/>
        <s v="i placed an order for dog food when i noticed it hadnt shipped after a week i reached out to customer service no reply back over a week later looked up my order status and it showed that it was cancelled was never notified&#10;will never use this company agai"/>
        <s v="our cats have been put on a sensitive diet and petflow had the best price for what we needed online ordering was simple and shipping was fast will definitely order from them again"/>
        <s v="exceptionally responsive customer service also good products"/>
        <s v="easy to order prompt shipping competitive prices great service"/>
        <s v="when i received a case of blue buffalo cans in a very damaged box with  cans being severely dented i was immediately sent a full replacement i also ordered  lights for my dogs collar only  works and im hoping to receive replacements for those as well"/>
        <s v="i love that you donate to pet charities and carry nutrisource"/>
        <s v="quick shipping product works barking has decreased markedly"/>
        <s v="we needed to order prescription food for our cat and it kept getting cancelled&#10;each time it got cancelled we called and got a different answer fraud dept credit card company etc&#10;each time the person on the phone said they would take care of it&#10;finally som"/>
        <s v="bad customer service overpriced poor quality food shop somewhere else"/>
        <s v="my mind is blown they wont fill my order dumb and useless took almost two weeks to respond to me never seen a company who didnt want business last time ill shop there"/>
        <s v="petflow is a great company they go above and beyond to provide excellent customer service"/>
        <s v="ive been ordering from petflow for years i used to order from chewy but petflow offered better discounts so i switched to them for most things my only issue with petflow is shipping and thats just such a minor issue that it really isnt even review worthy "/>
        <s v="you stopped part of my order without telling me at all took me all kinds of communications to find out what the problem was i was not and am not a happy customer check your records for my order  it should tell you what went wrong&#10;&#10;how dare you now try and"/>
        <s v="my first order was cancelled with no notice&#10;my second order was placed but sent to wrong address via fed ex then i received an email saying that they cant process my order it was already processed so when i called to see what this was about i was told i w"/>
        <s v="the was available and sent promptly"/>
        <s v="the product is great so far the issue that i have is that the clumps from the urine are heavier than any other product that ive used in the past  years"/>
        <s v="only issue i have is that there is not  count in the bottle  was given only five dollars off my next order"/>
        <s v="took almost  gays to get the puppy food which i ordered a week before getting the puppy then when it did arrive the bag was not properly sealed and food had spilled out all in the box"/>
        <s v="competitive prices great customer service excellent packaging of products and fast delivery easy website to navigate and get all you are looking for what more can you ask for i highly recommend this company"/>
        <s v="i ordered dog food on line and never received a confirmation a few days later i called and was told the warehouse was working on it three days later i called again and they said it was in the warehouse with the stiff competition on line for pet food  supp"/>
        <s v="liked the convenience of getting our pet food delivered what i dislike is the time it takes to get the delivery we were down to our last kibble when the package arrived not sure the service is dependable enough"/>
        <s v="thank you for this opportunity to provide constructive feedback on my experience&#10;when i received my pet barriers i had ordered two they came on separate days which is fine but they were both in horrible shape on arrival both boxes open on both or one end "/>
        <s v="it would be nice to get some discounts for items that are less than "/>
        <s v="i ordered my pet supplies on monday and did not receive it"/>
        <s v="ive purchased from petflow for many years  usually dog treats and food always good products and good service highly recommend"/>
        <s v="easy to use website and quick delivery "/>
        <s v="great service good prices quality products"/>
        <s v="great company always on time with my order"/>
        <s v="orders are correct and intact upon delivery which is always fast any issues or delays are quickly communicated the tone of communication is always congenial and helpful and for me i can buy my dogs healthier and preferred foods that the bigbox stores do n"/>
        <s v="i love how fast they ship but im annoyed my first order the products were expiring in  weeks so i had to use  bags of sweet potato fries before they expired that didnt happen and they seemed okay so i used them until they were gone&#10;this latest order the f"/>
        <s v="good products service and price only problem is you are out of stock too often"/>
        <s v="petflow has provided exceptional service great prices and very good selection of products and foods for my pets for about  years i highly recommend this company"/>
        <s v="ordering is easy and shipping is always fast my favorite site for ordering cat food and supplies"/>
        <s v="shipping has been so fast each time ive ordered excellent customer service and great selection of pet food and items theyve won my business"/>
        <s v="easy to order  delivery was good as well"/>
        <s v="not as familiar with navigating your website thus found it confusing and confusing perhaps as i use it more ill become better with it products are excellent prices are excellent too"/>
        <s v="easy website delivery updates and promptness of delivery"/>
        <s v="i never received my package have been waiting about  weeks since order i would recommend petco or something like that"/>
        <s v="a great place to get pet food that is quality for my gigi girl"/>
        <s v="great experience from ordering to delivery"/>
        <s v="the order has been cancelled by petflow and i was not even notified thankfully chewy had my back"/>
        <s v="i placed a order on  i sent a text on  asking when my order would arrive i was told my order was flagged and never shipped the person didnt know why or what that meant why wouldnt i get a email or a call if a problem was encountered you have all my contac"/>
        <s v="fast shipping and always consistent with supply my shih tzu approves and is a happy baby thank you pet flow"/>
        <s v="your prevention protection is not accurate please fix it"/>
        <s v="shipped to me very fast and no damage packaged well enough to prevent damage i wish fromm allowed discounts for auto ship but i understand it is up to them to allow that not petflows fault at all"/>
        <s v="i appreciated receiving an email when the item i needed was back in stock i waited to buy it from petflow because their price was so much more affordable and this service was so helpful"/>
        <s v="second time ordering prescription food told its in stock and a week later they cancel the order stating its not in stock never again"/>
        <s v="i have ordered twice and each time the delivery has been delayed the order this time was not properly packaged and the box was literally falling apart and patched together with more tape than cardboard i am surprised the entire order made it here i wonder"/>
        <s v="the sales experience was fine delivery not so much again their chosen delivery company left my very heavy package sitting in front of my garage for all to see with no knock or ring at the door to let me know it was there thankfully it wasnt raining that d"/>
        <s v="the dog food came quickly"/>
        <s v="ordered  boxes of arm  hammer fragrance free super scoop cat litter two weeks ago never received it"/>
        <s v="numerous choices at excellent prices fast shipping excellent customer service highly recommend"/>
        <s v="i was told i would receive a tracking number for my package i placed on friday i did not so i called  days later on tuesday at  i understand the company doesnt work on weekends brian answered the phone he was very rude when i asked for a tracking number s"/>
        <s v="i ordered a prescription cat food where the website indicated that it was in stock when i had not received a status update after a few days i sent an email inquiring about the status and was told that it was out of stock which i had suspected since it was"/>
        <s v="the website doesnt work right horrible to navigate i got food i didnt order whats with that shipping was fast prices were good"/>
        <s v="purchased toys for my red squirrel he loves them that r safe and durable costumer service truly is customer service helpful polite this company is a joy to deal with"/>
        <s v="great service and people thank you"/>
        <s v="i ordered cat food delivery on  and i am still waiting for it to be shipped to me there has been no update"/>
        <s v="i love the products they carry i love the communication the only negative is that they are out of my items a lot however i know that probably has more to do with the company who makes it than them"/>
        <s v="products were in stock website was easy to use prices were comparable to other things online retailers"/>
        <s v="great products fresh free shipping&#10;great pricing"/>
        <s v="even though the delivery company brought my package a day later than they predicted it was still earlier than the estimated date i got when i placed my order all items arrived in good condition and i got a very reasonable price"/>
        <s v="food my pet needs was listed on your website and so i placed an order then a few days later received a message my order could not be filled items should not be listed or show as out of stock if unavailable"/>
        <s v="my order got canceled without any notification to me on  separate occasions i found out by checking the website on the status of my order"/>
        <s v="i am extremely happy with the ease of ordering from you"/>
        <s v="ordered two times and both times it was stated in stock after placing the order i was notified sorry out of stock worst website ever if you dont have it in stock ready to ship then dont state in stock"/>
        <s v="id never heard of petflow before they came up in a google search very glad they did i was able to buy some blue buffalo kitten food at a lower price than petsmart petco and chewy&#10;&#10;i also got a bunch of my kittens favorite clicker training treats at a reas"/>
        <s v="good communication shipped fast and great product"/>
        <s v="i ordered and the item was not in stock but it doesnt say that online then when i try to reach out to find out ifwhen the item will be in stock communication was minimal to none"/>
        <s v="customer service is awesome i was having trouble using a couopon and the woman i talked with took care of it its important to me that my purchase will feed a doggie"/>
        <s v="your website said the wet cat food was in stock i never received my order because you are out of the food"/>
        <s v="always satisfied with the service i have gotten at pet flow delivered in a timely manner packaged well and in good shape when it arrives and products we use are always available"/>
        <s v="great prices timely delivery and great products"/>
        <s v="package arrived promptly and was wellpacked ordering was easy the product is just what my cats love too  and its hard to find"/>
        <s v="prices great and selectiondeals appealing preparation and shipping could be quicker customer service agent was snarky&#10;still choosing over chewy "/>
        <s v="speedy service with a personal touch they also carry some brands we cant get elsewhere they are lifesavers"/>
        <s v="very quick service on fromm dog food for our new puppy we were not able to find this brand elsewhere  happily pet flow was able to keep him on his regular brand "/>
        <s v="fraud team kept flagging my credit card and cancelling my shipment even though ive purchased here many times and there was no issue with my bank"/>
        <s v="variety of flavors for fancy feast wet cat food is limited right now but i was able to find what i wanted at a great price at pet flow shipping was fast"/>
        <s v="the order i placed arrived on time i question whether this product was the actual item from the original product made by another company my beagle would not eat this brand but ate the real brand from the manufacturer the dog food didnt even look like the "/>
        <s v="love science diet pet food and love their price"/>
        <s v="happy with petflow good prices delivered timely packaged well"/>
        <s v="my dog loves petflow pet food the taste is very good the logistics is also very fast and the nutrition is very balanced"/>
        <s v="products are great customer service is excellent shipping is fast thank you very much"/>
        <s v="pros very wide selection of dog and cat items i think you could probably find what you would get at any other petretailer comparable prices the website was easy enough to navigate and there were discount codes available&#10;cons the autoship that i set up did"/>
        <s v="i will forever be a customer food gets here fast and helps other dogs in need every time you purchase plus i prefer to support a small business highly recommend and have passed on to friends"/>
        <s v="was able to place my order easily the only issue was a slight delay in delivery due to warehouse stocking i was quickly notified that my delivery would arrive a day later and i was delighted when it did"/>
        <s v="i placed an order and two days later i received an email from you saying something like your fraud review team advised you not to fill my order no explanation ive never had anything like this happen to me before"/>
        <s v="my orders are always on time if not im promptly notified expectations are properly set "/>
        <s v="i love the company but communication is bad ive had a standing order for a long time and they where unable to fill the dog food there was no communication or replacement i had to place this order on my own very disappointed"/>
        <s v="the order was processed as always however i was surprised it took so long to receive i used to order and get it within  days this time it took "/>
        <s v="on time delivery and ease of use website"/>
        <s v="the product i was looking for was available and was able to place my order without a hassle"/>
        <s v="it was great service and my stuff was delivered quickly"/>
        <s v="i just recently discovered petflow and they provided me with the best price customer service and speedy delivery for the item that i was looking for i will definitely choose petflow for future purchases"/>
        <s v="great customer service and dog food arrived on time"/>
        <s v="shipping was quick my order was accurate customer service is fantastic"/>
        <s v="terribly disappointed with this retailer order was confirmed yet i never received a shipping notification when i requested a status update was told their fraud prevention team suggested not filling the order what a load of crap i use the identical payment"/>
        <s v="easy to order and i received everything very fastwith free shipping im planning on buying more pet items from this site for sure its rare that you receive ordered things within  days from most pet sites for free unless you pay"/>
        <s v="i needed to get my prescription pet food that was sold out everywhere this was the only place that had it submitting my vet info for the prescription was easy and the food arrived quickly"/>
        <s v="company was great in fulfilling my order of hills rx derm complete dry dog food although a delay between veterinarian to petflow in the timeliness of my order some of that was beyond petflows control once things were in order the order came as expected an"/>
        <s v="competitive prices good selection of bird food quick shipping"/>
        <s v="my order is constantly being canceled why cant i stay on a list until the product is back in stock so it can be shipped to me"/>
        <s v="for over a year i have an autosubscribe food order the price went up on the food and i reached out to see if you would honor a competitors price without hesitation you did thank you so much for your superior customer service and quick and seamless orderde"/>
        <s v="the web site is easy to use great deals on all pet supplies wide variety of pet foods especially for what i need for my cavalier i recommended petflow to all my pet parents"/>
        <s v="ordered cat food on sale  cases received email item was out of stock very disappointed should have been offered sale price when item returned to stock"/>
        <s v="wonderful fast fast"/>
        <s v="had to inquire whether or not my order had shipped which it hadnt inquired twice and was told both times had not been shipped on the second inquiry i also asked that if it was not going to be shipped today  to cancel interestingly it has been shipped toda"/>
        <s v="i have a difficult time finding this product and petflow had what i needed fast delivery"/>
        <s v="great prices fast shipping and they actually have the dog food i need in the right size bag that i cant find anywhere else so glad i stumbled upon this company"/>
        <s v="ordered food got message later that it was out of stock so website isnt accurately updated waited as they said they would ship as soon as they got it in stock then i got a message that they canceled my order so this was the first and last time i will try "/>
        <s v="quick quick delivery after several deliveries of same order  lb bag of prescription dry cat food the shipping box holding the bag has become more compact and instead of a  foot long of brown packing paper crumpled and wrapped around the bag to fend off da"/>
        <s v="i love petflow i prefer them to chewy and petsmart i feel like they are geared more towards the consumer and their pets and not political posturing i buy for my pets and want a company committed to my pets"/>
        <s v="csr told me my card was fraudulent and my order would not ship i bought dog food from another place and then i notice petflow had shipped my order after telling me it was cancelled i wont shop here again"/>
        <s v="easy to order&#10;my order was a repeat order and the site made it easy to identify the previous order&#10;the site facilitated the scanning for coupons which gave me a discount&#10;communications regarding order placement shipping and delivery were timely and accura"/>
        <s v="weve been using petflow for many years now and every aspect of their service has always been amazing premium kibble reasonable price and product arrives quickly"/>
        <s v="always delivered quickly and you carry high quality cat food thank you"/>
        <s v="i ordered a couple hundred dollars worth of stuff all but  items were unable to be shipped and on backorder why do they have items listened that they clearly dont have in stock one or two items  ok but pretty much my entire order you might want to call an"/>
        <s v="main complaint  damaged cans over and over again&#10;&#10;i have been told to call and requests additional packing additional boxes email notifications on auto ship status i do all these things and still petflow comes up short&#10;&#10;if something is out of stock at the"/>
        <s v="spoke with a rep named ryan and he was extremely rude and hung up after saying have a good day because he couldnt answer my questions about a product pet flow says they have in stock"/>
        <s v="products were damaged and petflow replaced them immediately l"/>
        <s v="everything as described fast service"/>
        <s v="i like that shipment can happen the same same day as the order date delivery is fast packaging can be better as ive gotten several dented cans"/>
        <s v="this company has very quickly response and nice servicepeople are very friendly and helpful"/>
        <s v="i ordered prescription food for my sick cat submitted my vets prescription with the order made the payment and my vet confirmed it was approved the same day its not on backorder but it has now been two weeks and my order still hasnt shipped or been delive"/>
        <s v="having the dog food delivered takes a large load off my schedule the delivery people are very courteous and friendly"/>
        <s v="i had paused my auto ship then ordered what i needed weeks later i have another shipment of  lbs of dog food"/>
        <s v="petflow is unfortunately very inconsistent with their delivery we recently received  orders within  days after not getting anything for approximately  weeks"/>
        <s v="great service had the product i needed shipped and received in very reasonable time i will shop with petflow again"/>
        <s v="two orders placed at different times showed in stock gave all my billing info got confirmation of order a week later got an email order canceled due to no stock my cat needed this food asap  was quite disappointed that it took a week to notify me two time"/>
        <s v="as usual many of the cans were dented in shipping i assume makes it difficult to stack and store&#10;may not order again"/>
        <s v="i had a issue with my picky cat he would not eat the food i purchased i contacted them and they helped me out"/>
        <s v="great product and shipping was fast they communicated every step of the way will definitely order from them again"/>
        <s v="the discount on my order the order itself and the delivery time are all  star&#10;&#10; maybe you should change the name from petflow to  star"/>
        <s v="i appreciate that i can quickly reach a customer service representative on the phone when i have a question about a product or an order and im glad that petflow donates food to needy animals i also like that petflow is not connected to companies that sell"/>
        <s v="while i needed this product and was up on its delivery time id like pre notification of sending this allows me to plan about being home etc"/>
        <s v="i ordered a prescription diet for my cat and accidentally typed the incorrect vet in for the prescription referral  one that has a very similar name as that of my vet petflow emailed me that the vet didnt have any records of my cat  and i when contacted t"/>
        <s v="your website needs to be better maintained i ordered product listed as being in stock and got a confirmation email then two days later ordercwas cancelled with no explanation i called and the only reason you got  stars is customer support was so nice howe"/>
        <s v="items that were on backorder were listed as in stock on the website customer service wasnt helpful couldnt say when the items might be back in stock called back to cancel the order after finding the items cheaper on amazon and was told that the items were"/>
        <s v="i have tried to order cat food at least  times this year from petflow and they have canceled every order due to supply shortages even though when i placed my orders the food showed on the website as in stock it has been very frustrating and i am tired of "/>
        <s v="i placed an order  and signedup for ongoing orders but the next email i received was one offering a discount that was never offered to me  until after i ordered and signed on for reapeat orders&#10;thats terrible &#10;that is not a way to do business with repeat "/>
        <s v="both times that i have ordered from petflow my orders had delayed shipping dispite me calling and emailing them"/>
        <s v="i placed an order online because it showed the item in stock i didnt receive any notifications that it wasnt in stock until i emailed in a query at that point all i received was a notification that my order was canceled again with no reason as to why very"/>
        <s v="i would not have provided my personal information if i had known you dont have what i need not happy "/>
        <s v="petflow has grown on me i have used their competitor for a long time but tried petflow when i initiated a food change i have found petflow to be responsive and helpful quite honestly i feel their service has continued to improve over the time i have been "/>
        <s v="great product and shipping times im so happy to have found this company"/>
        <s v="very knowledgeable and helpful assistance over the phone quality product prices cant be beat"/>
        <s v="the item i needed was in stock priced better than the competition and arrived timely as needed"/>
        <s v="recently i ordered over  in treats they came in one large box and half of the treats raw freeze dried had turned to dust in their packages it was likely due to rough handling during shipping that had never happened before and ive been ordering treats from"/>
        <s v="i guess my card was declined for my second order of fromms cat food  cases but instead of telling me by text email call i was just ignored when i was down to one lonely can and wondering where my cat food wasi emailed no response to my question just a wel"/>
        <s v="your website lied and said a product was in stock when it wasnt we ordered it and heard nothing from you i had to call several times and then i was finally told my order was canceled because it was back ordered so was it never in stock to begin with ill n"/>
        <s v="i had a slight issue with a couple of the cans that were shipped and the customer service representative said they would issue a credit on my next order very professional and courteous service"/>
        <s v="my order was cancelled and i did not know it no email nothing i had to log into my account to find out i have reordered and hopefully product will be sent"/>
        <s v="everything i always need personal help with my orders which usually include a prescription for my cat the prescription i have is a open one that i usually have to send a picture of and petflow seems the only online site that will talk to me personally in "/>
        <s v="the people on the phone are friendly and helpful"/>
        <s v="what a great business to work with when i made an error and ordered the wrong food  customer service was happy to take it back and get me the right food&#10;what a pleasure to work with such nice and helpful staff a most unusual treat today"/>
        <s v="i originally ordered a  can case of cd chicken stew and a  can case of cd tuna stew and was told that they were both in stock about a week later i got the case of chicken stew but but still am waiting for the case of tuna stew i just called a little while"/>
        <s v="excellent product ive been buying from them for years and fast service"/>
        <s v="i ordered  cases of the hills cd wet can food one stew and one fish i only received the stew my invoice shows that i was charged for both&#10;but no explanation on why i didnt get the full order"/>
        <s v="wanted to order dog kibble but the price on the select and description page was  but when i started processing the order the cart jumped it to  i called and explained the problem the guy hung up on me i called again and the second guy also hung up on me p"/>
        <s v="would give this company zero stars if possible have ordered from chewy petco pet nirvana and vetsource with absolutely no issues whatsoever using the same credit card i used for petflow however twice petflow cancelled my order with no notice i didnt disco"/>
        <s v="i have tried to order food for my cat  times each time the order being cancelled because they did not have the product in stock i didnt understand why the would show a product in stock when in fact they didnt have it"/>
        <s v="great product exactly how it was described&#10;works great for my dogs"/>
        <s v="so glad i found this company products in stock and ships quickly appreciate the great service"/>
        <s v="i was never told you did not have the product instock i ordered it and my debit card was charged three days later i was told you were out of stock and refunded me next time tell me you were out of stock and dont make me go through the process of ordering "/>
        <s v="both orders was delivered on time petflow provides a tracker number so that you can track your order items in both boxes came spillproof and dog food bags were tightly sealed petflow also offered me  off both of my boxed items thusfar our house yorkipoo a"/>
        <s v="it is nice product"/>
        <s v="pet flow kept canceling my order and asking me to resubmit it even though it was out of stock they gave me deep discounts on the order but they were never able to deliver it this is a serious situation because my cat cannot live without her prescription f"/>
        <s v="hello&#10;i really enjoyed the experience of shopping with petflow&#10;at first the purchase was cancelled because the product was out of stock pet flow solved the issue i was informed at every step the prices are very competitive&#10;i can say that petflow is my fav"/>
        <s v="customer service is great delivery is a bit slow order shipped september  and its september th and i still do have my item"/>
        <s v="cheapest place to purchase my dogs fromm dog food and it always arrives on my doorstep fresh i feel confident in purchasing with petflow"/>
        <s v="i was pleased to find what i needed at a good price but also saw a number of things that were much higher than on other sites my order was shipped within  hrs and arrived in good condition i appreciate the messages keeping me informed every step of the wa"/>
        <s v="thank goodness for petflow i needed prescription treats i could not find any where even my vets office was out i had not heard of petflow before and you came to me and my lab bellas rescue fast shipping thank you we appreciate you so much we will be back"/>
        <s v="an honest informative explanation my cats appreciate it please send me your list of us cat food manufacturers i fiddled with your email until i couldnt view it or print it&#10;&#10;thanks"/>
        <s v="love this cat tower my girls have a great time climbing and lounging its very sturdy and was delivered promptly thank you"/>
        <s v="great products and reviews that help pet parents too bad items dont ship during the weekend great products and resources thanks"/>
        <s v="they were very helpful  my cat food was delivered on time"/>
        <s v="it took longer that buying it directly or with other companies"/>
        <s v="i have been getting auto deliveries for many years recently went on line to order and set up a new auto delivery for new puppy my ship to address was no longer correct i fixed it went to order the food and it flipped back to the bill to address i fixed it"/>
        <s v="petflow is great i place my order within  days i have dog food sooo convenient to have it shipped right to your door ive been doing business with them now for  years and will continue"/>
        <s v="if i could give it zero i would they never contacted the vet despite giving them fax phone and email and contacting them on multiple occasions i have a prescription for the same dog food but i tried ordering snacks i have a prescription for the dog food i"/>
        <s v="fast shipping and good prices for hard to find dog food"/>
        <s v="great selection timely shipping the boxes are still crap they show up half open beaten up sometimes too small for the bags of food causing them to be ripped open if i could get nutrisource food somewhere convenient i would not use petflow"/>
        <s v="i ordered some thing and the order was approved by the vet because it was a prescription then i found out five days later that the order was not being fulfilled because it was out of stock it seems as if the company should know what it has and doesnt have"/>
        <s v="have spoken to  people to get an order of dry dog food on auto ship to no avail process started late aug with everyone saying it would ship asap i still do not have it i dont understand what the problem is"/>
        <s v="my cat needs prescription hills yd after going thru the verification process  stopping my search i was told you couldnt source it wasted time waiting i was informed after the fact wish i had known in the beginning"/>
        <s v="ive been using petflow for quite a while now and have had nothing but positive experiences generally i receive my order in about four days or less"/>
        <s v="ordered on  received  via fedex&#10;&#10;the box it came in was trashed more than likely from shipping and handling i would suggest using sturdier or reinforced boxes but that probably would add more cost one of the bags was leaking food it seems the bag was not "/>
        <s v="delivery of the product was sloppy&#10;it was raining and the box was left outside where there is a dry place available"/>
        <s v="my only complaint is that the bags of dogfood were not packed properly instead of the big  pound bag being in the usual big boxes that it usually arrives in the  pound bag was crammed into the same size box as the  pound bag with the result that the box a"/>
        <s v="great prices of several items we use thank you"/>
        <s v="the best prices in stock merchandise and quick shipping would use them again"/>
        <s v="petflow carries fromm healthy weight for senior dogs bandit loves it bandits favorite is treat is the inch pizzle chews he has to have them"/>
        <s v="my order was cancelled without any notification it was a sizeable order on a brand new account but not providing notification was both inconvenient and has left me scrambling&#10;&#10;the prices will result in me trying to order from petflow again but the experie"/>
        <s v="i appreciate the discount and sales offered to your large selection of product my items arrive carefully packed and i have yet to receive one dented can or damaged item keep doing what your doing"/>
        <s v="stop accepting orders for items you do not have in stock this has happened twice now"/>
        <s v="always a great experience with petflow product is of great quality and ships fast only place i can find these ears in bulk"/>
        <s v="my dog food order arrived with  exploded and dented cans petflows  email reply was to tell me they will credit my card  today is  and my card has yet to be credited i am not happy about this order number  placed on "/>
        <s v="first time using petflow and im happy with the service i now have autoship with them used chewy autoship in the past but their service has become unreliable in past few months petflow was able to supply prescription food that was out of stock at chewy"/>
        <s v="products and pricing are wonderful shipping is slow compared to chewy thats the only downfall"/>
        <s v="orders are not packed properly and arrive dented this is not the first time customer service did in fact send me a new oder"/>
        <s v="it was entirely on me to send a prescription the order was sat on for weeks and eventually was cancelled without me asking for it now your site shows its out of stock just literally the worst order ive tried to place for prescription food  for which my ca"/>
        <s v="after receiving an email requesting i contact my vet to facilitate getting required prescription for my dog my vet had received no such request i called customer service requesting another prescription be submitted i was treated with arrogance disrespect "/>
        <s v=" thumbs down its  my order was supposed to arrive  today i was told the fraud department canceled my order for reasons they wont disclose they didnt tell me the order was canceled i was simply left waiting when i attempted to reorder payment they said the"/>
        <s v="good service and fast delivery"/>
        <s v="i have purchased from petflow regularly for a number of years they have good prices often the best they ship quickly and ive never had an issue whats not to love"/>
        <s v="my scooters food got here in a very timely manner he loves this food and it is hard to find in our area the cost is reasonable though it would be nice if there was ever a sale on it thank you petflow for helping me provide the best for my fur baby"/>
        <s v="i was very disappointed with my experience i was looking everywhere for the prescription cat food my furbaby needs and petflow was the only place that showed having it in stock but by the time they finally got around to contacting my vet nearly a week aft"/>
        <s v="ziggy went nuts over the treats its his crack cocaine will definitely order again"/>
        <s v="your service and products have always been excellent the only glitch was on my last autoship i never received notice that my order was getting ready to ship if i had i would have pushed it to a week later its not a big deal but i like having the advance n"/>
        <s v="i believe your website was corrupted and my account breached leading to several orders that i did not authorize there was faulty information shown for example the website showed order  xzy was just placed today but when i asked your rep about that order n"/>
        <s v="good food cheap easy"/>
        <s v="i placed a subscription order for prescription food for my pet petflow claimed they had it in stock i was wondering where my order was so i logged into my account to find that the order was canceled because they did not have it in stock the did not cancel"/>
        <s v="it would be nice to get some of the discount codes for nonauto ship orders for frequent order customers&#10;thanks petflow"/>
        <s v="website advertised canned yd thyroid cat food so we ordered a case after a week we were told it wasnt available which left us scrambling for thyroid food for our cat"/>
        <s v="i gave you a top score because we ordered food from you guys all the time this time i didnt get any emails i looked in my junk folder there was nothing there i had to call twice to figure out what was going on i hope you can improve this process"/>
        <s v="have enjoyed using this site to help take care of our for babies great selection decent pricesdelivery on time"/>
        <s v="our girls love the dreambone peanut butter sticks and they are always out or extra expensive on other sites this price is great"/>
        <s v="i had a good experience with this company i ordered my dogs food and received a great price order arrived in the time frame and condition expected i will be reordering as needed&#10;thank you"/>
        <s v="my pups love all of the toys we ordered from petflow most of the toys we ordered are made by kong toys are great for our young aggressive chewer as well as our fairly active  year old senior pup ordering was easy prices are great"/>
        <s v="i submitted a signed prescription from my vet through email for  orders and kept receiving emails from this vendor telling me they couldnt ship until the prescription is verified then more emails saying they would approve it if i would submit a prescripti"/>
        <s v="great communication free and fast shipping and they carry an item thats out of stock everywhere"/>
        <s v="im really happy with all my purchases from petflow affordable prices and fast shipping"/>
        <s v="i have gotten myias can food before from you but this time every single can was dented up not the quality i expect for the price of hills prescription food"/>
        <s v="the worst spoke with a customer service rep ryan and he was courteous and yet at the same time completely unhelpful and unwilling to do what it takes to resolve the issue he was very passiveaggressive so i to him to suck a bag of diks etc etc&#10;my problem w"/>
        <s v="no issues with shipment or product easy ordering"/>
        <s v="my experience was very positive i was able to get some dog treats that i had not been able to purchase for quite some time thank you"/>
        <s v="fast shipping good price"/>
        <s v="my puppy lola has had allergy skin issues and she hates all food and treats until i cane across hills prescription hypo pet flow was so nice to work with great service great prices and the variety is wonderful thank you so much"/>
        <s v="you are asking for me to rate something that hasnt yet been delivered i just tracked it and see that it is expected to be delivered tomorrow well see if that happens&#10;&#10;by the way i ordered from your competitor about  days later than this order and it was d"/>
        <s v="i am pet flow subscriber and i love it my cat food always arrives on time and if i order an item before it only takes  days to arrive or maybe less"/>
        <s v="i appreciate the delivery your prices are fair but it took a longer time to get the food i used to get food from you in  days this was  days which doesnt seem too bad but long if you expect it in  days"/>
        <s v="something went wrong with one of my first orders with your company it was either the dried beef lung or a chew toy but either way no notification was sent to explain why i drive a truck for safewayalbertsons for a living so i understand supply chain delay"/>
        <s v="scam  i tried to order bowls and they sent an email stating they were supposed to ship on the  and that i would get a tracking number in my email  i never got the tracking number so i called and they said my order was canceled because of fraud and they ca"/>
        <s v="placed an order for dogfood from petflow for the st time  not only was delivery quick but price was way better than where i usually purchase  will definitely order from petflow again"/>
        <s v="we are a small chihuahua breeding program and it is most convenient to have our dogfood deliveredwith free shipping"/>
        <s v="i ordered my cats prescription canned food called to check on it several days later  was told my order was being processed then received an email a week after my order date stating my order could not be fulfilled as it was out of stock by that time i was "/>
        <s v="soooo disappointed here needed still need rx canned cat food said it was in stock our vet sent rx right away then i didnt hear anything checked on it a week later they said oops out of stock we have to cancel your order whaaat"/>
        <s v="im usually pretty pleased with petflows delivery system but for some reason this time it took almost a week for me to get my product usually its in within a day or two so i just hope he gets a little bit more through the delivery service other than that i"/>
        <s v="was very pleased with fast courteous service"/>
        <s v="you allowed an order to be placed for rx food when it was not available i had to call to get a cancellation email it was nearly a week later before that was sent"/>
        <s v="i was very pleased with my purchase experience with petflow i ordered a hills prescription diet dry cat food that ive been having a lot of trouble finding i bought it for a better than average price it arrived earlier than quoted and in good condition"/>
        <s v="very good service i love the play pen i order"/>
        <s v="easy use of website for ordering and you have always delivered this hard to find food on time ive come to depend on your consistent service thank you"/>
        <s v="ordering is quick and easy product arrives in    days "/>
        <s v="every one was helpful i am sorry not to be able to get my at food"/>
        <s v="petflow made it easy and my food was delivered quickly with no problems my dogs love their new food and the auto ship makes it hasslefree"/>
        <s v="first time buyer ordered one product which needed vet approval once obtained shipping took a while poor communication as there was none on their part unless i called repeatedly"/>
        <s v="ive been using petflow for years now never had an issue till recently this time around i received a package before i received the shipping notification upon receiving my partial order because one item was on backorder there was  item missing other than th"/>
        <s v="i ordered two cases of food i provided the prescription and the two cases were ready to be shipped i followed up the next two days and i was told was due to the prior holiday weekend but the two cases were ready to be shipped however two days later i was "/>
        <s v="very well made and excellent quality of the product "/>
        <s v="never received product nor heard that it could not be fulfilled item was listed as in stock when purchased"/>
        <s v="always reliable and a great price thank you"/>
        <s v="absolutely friendly staff and helped me right away helped me find the perfect alternative for the same price"/>
        <s v="it was cheaper than anywhere else fast delivery  customer service was also fast and friendly"/>
        <s v="i ordered my dog food almost two weeks ago and im still waiting for it to be shipped or get a refund i have received multiple emails about them not being able to reach banfield pet hospital to get my prescription for my dog but banfield is open from like "/>
        <s v="horrible horrible service i did everything right on my part even then the food for my cats wasnt shipped in a timely manner despite me calling for it and being told it will be shipped asap multiple times only to be told later it is being delayed then bein"/>
        <s v="i placed an order for treats and a few days later the order was cancelled without any notice the reason given was something flagged a fraud alert however when i called the customer service number they couldnt give me specifics all they suggested was tryin"/>
        <s v="i was very encouraged when i first logged into this site as some of the prices are lower than other sites but just after submitting my first order im being told that half my order isnt available at this time when i logged out and went back into the site e"/>
        <s v="i travel for work and i ordered pet food via your site for the first time with my billing address as my home address and my shipping address as the place i was on location working i travel with my two cats my order was cancelled and i was not notified it "/>
        <s v="apparently my order was canceled by the fraud department id like to know why i spoke to someone on the phone as i wanted  of the item but you only had one no one notified me i ordered  from another company thinking i had  coming from you now your out and "/>
        <s v="i tried using a coupon that said expires  on  and it was already expired"/>
        <s v="i will never ever contact pet flow for anything ever again terrible terrible customer service and failure to deliver told me their fraud division refused to ship item i ordered i contacted my credit card companies and all of them said there was zero issue"/>
        <s v="love petflow site carries my favorite products great prices fast shipping and items arrive in good condition a"/>
        <s v="bimonthly order of dog food that is the best price i can find online"/>
        <s v="shows on website the food i needed for my cat was in stockand it wasnt"/>
        <s v="great products service and website"/>
        <s v="my experience isnt complete because i only received one small piece of the order kind of odd i ordered a case of cat food when i placed the order the site said i was only  away from free shipping so i ordered a small kitty toy for  i got an email on monda"/>
        <s v="half of order delivered as expected other half was on perpetual delay petflow team could not provide update except that all prescription orders were delayed this was obviously not the case as the first half of my order was fine and not delayed that said i"/>
        <s v="i tried twice to order the dog food for my  dogs both times it was cancelled by this company their so called fraud prevention dept i was dumbfounded i called to ask why the woman i talked to had no idea and could not transfer me to anyone to talk to about"/>
        <s v="ordered wrong food contacted company before shipped they said it was too far in the process they told me to deny delivery when they come the delivery company dropped off without notice and they denied my return they lost me as a customer over  i purchased"/>
        <s v="product is good but way too many emails"/>
        <s v="took over two weeks for order to arrive&#10;soft cookies are very hard"/>
        <s v="this place is a real joke seems like they are selling items that they dont have we purchased  dog bowls for our feeders after they was supposed to ship them out we called and they said that they canceled our order due to they thought it was fraud how is m"/>
        <s v="every time i order it takes forever to receive i also have received the wrong product and had to reorder and wait even longer kind of a headache customer service is just ok"/>
        <s v="nice selection of premium reasonably priced highquality cat food shipped and delivered quickly with no hassles"/>
        <s v="website is extremely difficult to navigate and customer service is merely okay&#10;after i was told my order was in stock it wasnt and my order was cancelled no well let you know as soon as it gets in or anything just plain canceled&#10;not gonna bother shopping "/>
        <s v="i place my first order with petflow a few days after placing the order i realized i hadnt received an email with shipping information so i called to find out when my order would be delivered i was informed my order was canceled i asked why it was canceled"/>
        <s v="overall it was easy to order however it took more than a week for me to receive my dog food the fl warehouse was out of stock there was no correspondence to let me know that the food was then coming from the nj warehousei had to call in order to find out "/>
        <s v="my parentsdog loves this pet food it arrived when i was advised it would arrive so that was awesome"/>
        <s v="been ordering pet food from petflow for years now and have had nothing but good experience with the company products i order are the best and at the best prices available shipping has always been super fast great company"/>
        <s v="its too hard to cancel auto ship orders it should be a simple button you can press instead you have to contact customer service which takes time for what should be something i can do myself other than that petflow is always fantastic"/>
        <s v="delivery took longer than i expected after a week and half i had not received an email letting me know my order had shipped i contacted customer service to ask and what do you know my order shipped the next day"/>
        <s v="very good customer service happy with product and delivery prescription treats my dog likes they had in stock"/>
        <s v="claimed a dog food product was in stock and even told me that only one was available not the two that i had in my cart so i purchased the one two weeks later no dog food has arrived but i just got an email stating its out of stock and not known when it wi"/>
        <s v="ordering was simple communication was excellent selection prices were great anf items were shipped promptly no problems were encountered at all"/>
        <s v="petflow had the sensitivity select dog food i needed which is hard to find at a reasonable price i received it within a week great company to deal with"/>
        <s v="order on  called on  to verify prescription received told yes will ship soon no contact from you called again on  told will ship that day i expected to receive by  tracking sent stated expected arrival  was never informed of these delays and my cat has no"/>
        <s v="i ordered hills prescription cd ocean fish wet cat food on the st of september i had no knowledge that is was not in stock prior to ordering as it was not noted on the petflow site i got an acknowledgement email from petflow and that was it to make a long"/>
        <s v="transfering a new hardcopy rx was a bit cumbersome&#10;first i was told that i had to send a new rx via us mail then i was told i could simply upload it so it took almost  weeks to receive the product"/>
        <s v="i had some issues with my order but contacted customer support twice and each time has been reassuring its easy to get a hold of a real person and the team has been very professional and courteous in resolving my issues i will continue making purchases fo"/>
        <s v="very happy experience from petflow&#10;thank you"/>
        <s v="dog food i ordered went out of stock immediately after it allowed me to order i called and i was told they could not give me any idea of when it would be in stock i tried to cancel my subscription with them but they told me they wanted to keep it for now "/>
        <s v="frdex didnt deliver the previous order your customer care rep ordered another fromm sur  turf for me and it was delivered"/>
        <s v="i signed up once for autoship  the order took over a week to reach me since that experience i order when i need it and always receive it within a few days i am a regular"/>
        <s v="i bought the august st havent even received any email with shipping last time i talked to them havent shipped yet last time i called didnt even answer"/>
        <s v="i placed an order about  days go by and i realize i hadnt gotten a shipping confirmation number i called and representative said  oh did no one reach out to you no they didnt long story short nothing happened except they held onto my money i canceled the "/>
        <s v="i placed my order a few days ago i then had to get a prescription from the vet and mail it mail it not fax it or email it but mail it i have yet to get notice that my dog treats have been mailed and it had been days my dog has ibd and these are the only t"/>
        <s v="communication with petflow staff was exceptional and professional i truly believe the staff was interested in helping me with the prescription from my vet for the product and clarification expedited the process well"/>
        <s v="super prompt service which included petflow needing to verify a new prescription with my veterinarian fast shipping too much appreciated"/>
        <s v="petflow website had hills yd canned cat food available i ordered a case they sent me a confirmation  then contacted my vet for the required prescription after receiving it  checking their inventory  then with their distributor notified me they dont have i"/>
        <s v="my order was not processed as it was flagged for fraud however i was not informed of this i had to call  days after placing the order to find out"/>
        <s v="ordered prescription cat food that was in stock never heard anything for  weeks then got an email saying it is now out of stock i looked it up again and it is not out of stock total waste of my time and i dont remember the date exactly"/>
        <s v="had what i was looking for good price and fast shipping great job"/>
        <s v="easy website to navigate customer service both via chat and phone were very helpful when i entered my cc number incorrectly shipping was fast too"/>
        <s v="my order was canceled twice without an email or call this is unacceptable and i will never recommend petflow to anyone"/>
        <s v="i have a rescue and wanted to give petflow a try because they had some great deals i placed an order in my name but used my husbands credit cardsame last namei received a confirmation days later never received it i called and was told my order was cancell"/>
        <s v="the crate arrived so quickly it was way to assemble looks great very pleased "/>
        <s v="i placed an order on  and had not heard anything about it by  so i emailed the company and was told that their fraud protection team suggested that they not fulfill the order when i emailed back for an explanation i was told to call a number which i didnt"/>
        <s v="dog food arrived in good condition dry food it was not broken up like some other places where i have ordered good service"/>
        <s v="this site is legitimate i feed my dog chicken soup for the soul weight care for dogs after checking other places they definitely had the best price so glad i found them shipping was minimal but fast set it up for auto ship"/>
        <s v="good site good site good sitegood site"/>
        <s v="i ordered a prescription diet food for my pet on a saturday that monday i called into customer service and confirmed receipt of my pets prescription i expressed urgency to the rep that we were running low and needed this food asap  days later i received a"/>
        <s v="prescription wasnt approved and i didnt get any food"/>
        <s v="fast very secure service easy and safe method of purchase and excellent products affordable pricing"/>
        <s v="nothing but good to say about petflow they have what i want the prices are fair the delivery is fast"/>
        <s v="excellent customer service i ordered etta says premium elk treats  count one arrived not  just the one i called the rep on the phone was more than polite and sent out an order for the missing  chews again the box arrived with one chew not  i called a seco"/>
        <s v="awesome to do business with received product on time"/>
        <s v="very happy that i found this site for my aging dog who needed prescribed treats that he was on most of his life they contacted my vet for approval and i did not have to wait too long before i got my package"/>
        <s v="i had a wonderful experience with petflow my cat max is on a special hills prescription diet for urinary issues it is very difficult to find cd cat food where i live i found petflow online and ordered chicken stew tuna and ocean fish i uploaded the prescr"/>
        <s v="the ordering process was easy however within one day i received an email saying my item had shipped but after  days with no tracking number i called and was told the item was out of stock shortly after that call i received an email saying the item was out"/>
        <s v="petflow and its fine customer service representatives are always dependable always on time forever and always pronpolished"/>
        <s v="excellent customer service well stocked inventory"/>
        <s v="fast shipping  best price when compared with other delivery companies of same product"/>
        <s v="petflow offers competitive prices compared with other online pet supply companies"/>
        <s v="i tried to order litter boxes for my shelter and my order was canceled without my knowledge and after the order was already supposed to have shipped i contacted the company and they canceled my order because they said it was fraudulent are used paypal whi"/>
        <s v="went from bad to worse&#10;ordered rocks and cat treats my package was lost no one reached out i contacted fed ex several days later and its gone i called petflow to get me my order over night from another location they said a manager would get in touch nothn"/>
        <s v="this is my third time ordering from this company the first two times were very positive however after putting in an order on a saturday morning they are telling me that it might leave their warehouse at some point in the day on a thursday so basically alm"/>
        <s v="everything was great&#10;i unfortunately had to let go of my baby  black lab of almost  years&#10;if when i am ready i would use your services with no questions"/>
        <s v="you offer free shipping for orders over  so i try to meet that requirement but then you offer coupons which are really nice but when i apply a coupon it brings my total below the free shipping mark my choices are to accept the shipping charges or buy more"/>
        <s v="this is my first time ordering from petflow and i am very satisfied my order came quickly and the prices are less than other places i ordered from the type of dog food i buy for my dogs is hard to find and im glad petflow has it it saves me time looking f"/>
        <s v="good service arrived when you said it would i was a little confused by the check out on your website but im old"/>
        <s v="my auto ship sat in processing status for  weeks so i paused it so i could order something else i called and the person acted like they didnt want to help once i placed my new order i received my auto ship order at the same time this was over  at one time"/>
        <s v="im unhappy with your service my vet was out of the prescription diet for my cat so i ordered from your website on friday  you charged my credit card on monday  since you charged my card i thought you had the okay from the vet to get the prescription food "/>
        <s v="two times i tried to order a particular flavor of food for my cat and both times your site said it was in stock about  days later after not hearing anything i contacted petflow only to find out that the product was out of stock&#10;&#10;you do not let customers k"/>
        <s v="this is the first time i used pet flow and i was very happy with the results they got the approval from my vet and shipped the products in a timely manner i will be using them again"/>
        <s v="great customer support and very fair pricing speedy delivery will use again and do rexommend"/>
        <s v="good communication about delivery status"/>
        <s v="i am not paul weiler not only are you asking me to rate my experience you have joined my account with his&#10;&#10;i am dawn martin and have canceled my account im a over  years a customer i hope you take my info off pauls account and vdh versa&#10;&#10;thank you"/>
        <s v="the website said they had the product  days later i received an email stating they were canceling my order they did not have the food i had originally ordered"/>
        <s v="good service ordered dog food and it arrived within couple days"/>
        <s v="my product never made it to my doorstep and i still havent received my money back extremely disappointed with the service of this company"/>
        <s v="prices are a little high but the shipping is outstanding i am able to get my dog what she needs"/>
        <s v="i was happy first time ordered food from this company i usually ordered from chewy and then they sent me the wrong food for my dogs i called they were able to change it and asked me to send back the one i had the wrong one the new order yes it was  but it"/>
        <s v="called twice to check on my order people on phone were pleasant but not very helpful my order was canceled without any communication from pet flow i was told that an email was sent but i did not receive one on the day of cancellation or ever very disappoi"/>
        <s v="the cat food arrived on time once i ordered the wrong flavor great customer service for an exchange of flavors"/>
        <s v="package arrived in timely manner"/>
        <s v="great customer service&#10;&#10;it was so easy to set up an account and get reoccurring deliveries and the prices are right"/>
        <s v="my order arrived promptly and packed well thanks"/>
        <s v="i do like petflow for my dogs food and supplies i found the auto ship to be somewhat confusing while i was determining how much dog food to order as my pup was growing im unsure how much the discount is for auto ship and when does it start i do not see di"/>
        <s v="petflow was so helpful in telling me when i should expect my package and sure enough it came on time i couldnt ask for more"/>
        <s v="good products and prices very disappointed that it took  days for delivery im used to chewy with  day delivery"/>
        <s v="great service also was able to find the prescription food i needed for my cat only here after finding it out of stock at my vet and at other web sites both my precious cat and i are very happy now"/>
        <s v="no one called me to tell me my order was going to be late my husband called and gave his credit card several months ago and i have placed orders with this credit card numerous times but for some reason yall decided not to send this order because our last "/>
        <s v="fast reliable shipping"/>
        <s v="easy to order quick free shipping got veterinary food i needed in the large size pet smart wont sell you the large size which is a much better deal been ordering all of chloes treats from you for several years keep up the good work please get her some mor"/>
        <s v="shipping was fast delivery was not not delivered by estimated day but  days after wish it was more accurate"/>
        <s v="all was good not one complaint "/>
        <s v="shipping was on the slow side but worse boxes were destroyed thankfully dog food bags were not ripped open"/>
        <s v="i am always happy with my orders from petflow i get my food within a couple days"/>
        <s v="placed an order received the order late but was sent a discount coupon to make up for it thats nice"/>
        <s v="the site and purchase was fine but then my order was canceled due to the food being out of stock its a prescriptions food so i was pleased to find somewhere that had it everywhere else has said its on backorder then disappointed when it was unavailable"/>
        <s v="super fast shipping lowest price online"/>
        <s v="i was given a  discount off  purchase my order was split and shipped in  shipments  day apart they removed the discount customer service did give me the discount after i requested it satisfied will probably order from them again provided good price on ite"/>
        <s v="ordered dog food and i was informed that it shipped on the twenty second of august its now the third of september and no dog food they said it would take seven to ten days its now been twelve days"/>
        <s v="the service at pet flow is very reliable and the prices are very competetive"/>
        <s v="all good so far but what can i say about dog food on time and price was probably fair so we will see"/>
        <s v="i would give  stars but i had several issues with the website im sure its working through the kinks technology is great until it doesnt work i will say the online chat was on point with helping i think i was actually texting with a real human and my techn"/>
        <s v="i placed an order with the company for high quality dog food when it arrived it had been expired for nearly  months this was my first order and though they refunded me when i complained i still lost faith in them as a company i expect better than expired "/>
        <s v="my dog needed a prescription diet dog food this company is a joke have us the complete run around for  weeks meanwhile my dog suffered i do not recommend this website or this company to anyone"/>
        <s v="exactly what i ordered and quick delivery time"/>
        <s v="i used to enjoy ordering from pet flow for our cats prescription diet however recently the reliability has been terrible and to make it worse the communication about it has been lacking they were very quick to charge my credit card while they place the or"/>
        <s v="im satisfied with the food but you need to use stronger boxes i order  lb bags every month and they are always opening and falling apart"/>
        <s v="this is the nd time you sent me the wrong cheaper item i called before the last order and you promised i would get the correct item as described and pictured"/>
        <s v="good customer service quick reply from pet flow i highly recommend this website for your pets needs"/>
        <s v="petflow has a great variety of foods my dog food is sometimes hard to find and they carry it their prices are competitive also"/>
        <s v="purchased  cases of dog food and many cans were dented from the delivery otherwise good value and quick delivery"/>
        <s v="horrid experience ordered some cat food on a monday and it wasnt until thursday that i was told that the food was out of stock and they didnt know when they would get more i know that cat food is in short supply but the website could have at least said ou"/>
        <s v="i love my dogs new collars they are nice and strong and very reflective i measured their old collars and ordered what i thought would be a perfect size for them unfortunately the collars are too big by alot im hoping there is something that can be done to"/>
        <s v="fast delivery good quality products"/>
        <s v="you are excellent accommodating and understanding i will buy from you again"/>
        <s v="denemarin available&#10;i was pleasantly surprised to find and purchase the above mentioned without a prescription unable to find chewable tabs for my queensland healer locally thank you thank you&#10;please let me know when you get more in stock"/>
        <s v="pet flow usually arrives in a timely manner however quality control and training are needed for packing our products especially canned and treats arrive dented and in crumbs that couple delivery too&#10;longtime customers should not be forced into auto ship  "/>
        <s v="my vet could not get the prescription wet food for my cat i tried for weeks and petflow finally had the food in stock petflow faxed the prescription to my vet and in a couple days i received the case of the wet food via fedex free shipping and i had a  of"/>
        <s v="i place an ordered on august  and messaged the company on august  since i hadnt received a invoice saying that they shipped i then got a message back saying that it was marked fraudulent and they wouldnt be sending it but they never intended to say anothe"/>
        <s v="this is the first time that i ordered from petflow and so far so good no complaints"/>
        <s v="it was all pretty seamless i am a first time customer and will be back"/>
        <s v="easy to order on line prompt delivery no fee for delivery since it was a large bag i ordered  stars"/>
        <s v="looking all over for prescription wet cat food saw a comparison between pet world petco and petflow it showed petflow had what i was looking for in stock so very excited that you were showing science diet in stock ordered  cases gave my vet a heads up you"/>
        <s v="super fast shipping i placed my order and received it  days later great service"/>
        <s v="i was sceptacle but chose to move forward and sure glad i did very prompt delivery have since ordered mega amounts of my cats favorite food again"/>
        <s v="order was quickly shipped but order was not complete due to inaccurate inventory on website and several items were very dirty when they arrived if it hadnt been for tags i would have thought the items were used somewhat disappointing"/>
        <s v="fraud department is out of control ive never known a company so bent on refusing to allow customers to purchase from them good luck with that business model lol"/>
        <s v="i recently purchased a bag of dog food emails kept me updated about when it would be delivered  it did arrive as scheduled it was a good experience  im very satisfied with the service provided"/>
        <s v="quick service  delivery no problems at all"/>
        <s v="shipping took entirely too long wasnt notified about a shipping delay until after package was due"/>
        <s v="friendly folks poor stock on hands&#10;&#10;this is the second time i attempted to order dog food from you a days after ordering both times i received an email stating that was out of stock this was for hills dd potato and venison it would have been nice to know "/>
        <s v="it took way too long to ship the food i called and canceled order while it was still in the warehouse and not processed  they sent it anyway"/>
        <s v="i ordered product&#10;never received it&#10;later told thru text communication that product was out of stock&#10;if so why was it on your website&#10;nobody advised me"/>
        <s v="fraud depoatment has flagged my account they have been no help to get this corrected i would like to purchase form this compnay but they have been no help in correcting their error about mt information being fraud who can i talk to to get this corrected"/>
        <s v="i had to reach out to find out what was happening with my order after never hearing anything"/>
        <s v="you were unable to fill my order and never let me know until i sent an email asking where it was"/>
        <s v="after making a purchase that exceeded the threshold for free shipping i was not able to add on another item after making a purchase the salesperson could not waive the shipping fee on another item i forgot to add on to my original purchase instead she wan"/>
        <s v="i ordered  bags of hills feline dry metabolic  cd which has been hard to find at alot of stores you listed it as in stock i am the veternarian for my pets and you didnt allow me to upload an image of my prescription you sent my clinic an email to get orde"/>
        <s v="i ordered my cat a specialty cat food which at the time was listed as in stock then the next day i received an email saying it was out of stock&#10;to be fair most if not all places were out of stock but thats why i was excited to finally find a store that ha"/>
        <s v="i called to cancel an order within  hrs of placing it was told it was too late but that i once it arrived i can call and request a prepaid label to return so i called when it arrived and was told that rx dog food cannot be returned and that it states that"/>
        <s v="ive been using petflow for my furry babies for a few years now and am very happy with the ease of the website navigation and managing my autoshipments they also have great customer service"/>
        <s v="i get all of the treats that my dog loves on one site for the best price"/>
        <s v="couldnt be much easier and a great price no one even close"/>
        <s v="good company and they had my babys dog food in stock"/>
        <s v="pet flow has excellent prices on the food i was looking to purchase for my cats their prompt delivery was also superb have shopped here twice and will be doing it again regularly"/>
        <s v="we have discovered some awesome dog treats available at very reasonable prices through this company ten points&#10;when we have questions or order something that is temporarily unavailable we experience stellar communication and feel that we have received exc"/>
        <s v="easy fast delivery  thank you"/>
        <s v="the website was easy to use i like the prices of the cat food and i also like the discounts you offer"/>
        <s v="im pleased with the order process and the shipping was as promised i will be ordering from petflow again"/>
        <s v="great price fast shipping"/>
        <s v="we go where fromm dog food is we move a lot and so far have never had an issue receiving our pet food and supplies from pet flow&#10;the ordering process is easy and the site has everything we need for our pets the only reason  stars is that there is no rewar"/>
        <s v="good prices great selection and excellent service i highly recommend petflow"/>
        <s v="prescription food showed in stock on the website ordered and they got a prescription from my vet the next day only then was i notified that they did not have it and did not know when it would be available as they use a thirdparty vendor that does not upda"/>
        <s v="i ordered my cats prescription food and petflow obtained his prescription frim the vet after not hearing anything for a few days i called petflow to make sure the food was in stock the representative said she would call the supplier and email me to let me"/>
        <s v="my experience with petflow has been great items are delivered when i expect them in great condition auto delivery works just as it should"/>
        <s v="easy to use site  like that you give the option to set up an auto shipment for the date i needed it to shipped instead of order now choose auto ship allowed me to set up when i need the shipment instead of waiting or ending up over stocked "/>
        <s v="my experience was good found the items quickly and without any problems"/>
        <s v="i was amazed that they had the same product i had been getting from amazon for more than  less per item so i figured well there must be a limit to how many i can buy nope so i bought more than  of them i feel like since i have suddenly lost over half of m"/>
        <s v="fast and good service thank you"/>
        <s v="convenient and prices are very good wish the shipping was a bit more urgent but will shop with them again"/>
        <s v="easy to shop great prices i got my pet waste bags quickly and wellpackaged will definitely shop with petflow again"/>
        <s v="i switched to petflow from chewy and so far so good chewy doesnt carry fromm which my dogs like the best decided to give them a try and im very satisfied the food arrived about  or  days after i placed my order the expiration date is more than a year from"/>
        <s v="loved the website  they had what i was looking for  ordering was easy i got my dog food  hours later  i will definitely use pet flow for my ongoing pet needs "/>
        <s v="the prescription cat food wd is out of stock but i was&#10;let to order it as if you had it no one seems to be able to get this its an important prescription for my cat who has a fractured pelvis&#10;arnt the making this anymore is there a substitute that might b"/>
        <s v="this company was able to get the dog food we needed and were having trouble getting elsewhere"/>
        <s v="i have a dog that needs prescription food i searched the internet and your website said you had it in stock i ordered it anticipating the amount of time i had until my dogs food ran out well you took over a week to tell me that you couldnt fulfill the ord"/>
        <s v="easy to order slight delay with the product not available in the closest warehouse but arrived well packaged"/>
        <s v="what i loved was that they told me that their fast delivery was delayed because they had to ship from another supplier without me asking where my package was they took initiative and emailed me about the details of my package"/>
        <s v="no product&#10;xxxxxxxxxcccccccczzzzzzzz"/>
        <s v="i ordered prescription cat food from pet flow however a few days later they stated they were out of stock and would ship it as soon as they received it i had to cancel my order and they were very communicative throughout the process i would definitely sho"/>
        <s v="petflow came through for me again when a kitty food subscription was out of stock ill be sticking with petflow thank you"/>
        <s v="i made an order and canceled  days later customer service told me it was taken care of the charge disappeared and i thought all was well then several more days passed and i received a shipping notice i was told it was now too late to stop my already cance"/>
        <s v="one thing i really love petflow is they always have their products available i dont get a constant on back order  like many other mail order purchases i also appreciate the occasional discounts offered to regular customers"/>
        <s v="was able to order special food for my dog that was not available elsewhere delivered quickly and i was kept uo to date on the delivery"/>
        <s v="placed an order and rx was on file waited a few days and didnt hear anything contacted the company and was told sorryits just sitting in fulfillment for some reason then the customer service person said theyd try to expedite that was almost a week ago and"/>
        <s v="our pet food was delivered promptly"/>
        <s v="timely response and followup timely processing once order details prescription food were in place the one area that needs to be addressed is the contradicting information the site provides during the prescription food order process the site noted that foo"/>
        <s v="after placing an order and receiving the shipment i realized i had ordered the wrong food i had set up auto ship for the food so immediately tried to change the type of food on my auto ship when i couldnt change it myself i emailed and the responder took "/>
        <s v="the box that the bag of food arrived in was open that was probably due to the heavy food bag inside without any protective packing"/>
        <s v="i placed an order and without notice it was canceled and the product never arrived"/>
        <s v=" your site told me that i was required to mail the original prescription for my cats hills md food luckily i had asked my vet for a prescription in june so i had an original to mail i dont like to mail this because i have to get a new one anytime i find a"/>
        <s v="dependable well stocked with helpful phone assistance"/>
        <s v="i bought a  pack of duck and a  pack of salmon usually my dog loves salmon but she did not like the salmon from pet flow it was disintegrated little chunks floating in tons of liquid she left her dish unfinished&#10;on the other hand she gobbled down the duck"/>
        <s v="was looking to get my cats food supply from a smaller company than the giant online pet stores and after researching i found petflow&#10;good prices and fast delivery&#10;very satisfied with petflows customer service as well&#10;totally recommended"/>
        <s v="the instock status of food was inaccurate"/>
        <s v="i have used petflow for a long time they carry some hard to find products which i really enjoy they are usually easy to get ahold of too if you call them&#10;&#10;the only areas i see that could afford growth are these&#10;an auto ship program that can be paused or d"/>
        <s v="first time shopper friendly knowledgeable efficient great service fast delivery i will be back"/>
        <s v="finally found a source for the hills prescription diet gluco support md dry cat food i tried my vets local pet stores and amazon my vet suggested that i try you folks success the food was in stock and shipped in a reasonable length of time happy customer "/>
        <s v="this company has labeled me as fraud after a purchase because my billing address didnt match after i called twice to their customer service department and their rep mallory said i could never buy nothing from pet flow ever again im not going to state what"/>
        <s v="working with petflow was wonderful working with fed ex their shipper was not petflow responded to every call or text that i sent them within a few minutes fed ex was another story things got lost and were late they really need to find a better carrier"/>
        <s v="online order was simple delivery was on time my only comment is that you not use plastic bubble for cushioning and instead biodegradable packing"/>
        <s v="i ordered a prescription diet for my dogi thought i was ordering hills metabolic lamb and rice diet as my dog is allergic to chicken the lamb and rice has been difficult to find and online it said petco and petflow had it available i received an email fro"/>
        <s v="this process was flawless"/>
        <s v="easy to order quick delivery"/>
        <s v="always such quick service and exactly what my ginger girl wanted thanks"/>
        <s v="the website is organized and works well ordering went smoothly and my items arrived promptly and the quality is great"/>
        <s v="i ordered  bags of hills science diet dog food for my  rotts and got a good deal i will be buying more in the future"/>
        <s v="ive been a fan of petflow for several years their service is prompt and professional an added plus is your purchase goes to help an animal in a shelter"/>
        <s v="everything was great order came in a timely manner great price no problems would recommend this company"/>
        <s v="i had issues with my order it was fixed and replaced i thank you for the help and fixing it asap"/>
        <s v="we ordered product and after two days you said it was out of stock after all"/>
        <s v="very disappointed our order was canceled by you because you didnt get your order of the goods i know you cant help it if your supplier doesnt come thru for you but our order was placed middle of july  were just told aug  you cant supply"/>
        <s v="i was so thankful that petflow had my dogs prescription food because they were the only place that did even our local vet couldnt get it as soon as my order was complete they contacted my vet to get the process going in less than  business days i ordered "/>
        <s v="exact product i was looking for and at a great price and wonderful shipping service"/>
        <s v="great product dog loves it"/>
        <s v="this was my first time ordering from somewhere other than chewycom im very pleased with their service and theyre cheaper than chewy for the litter i needed you have a new customer well done ps lets go brandon"/>
        <s v="your shipping time was x as long as quoted we ran out of dog food in the meantime i refer a lot of business your way not sure i can anymore"/>
        <s v="food order took a long time to arrive wasnt aware to order before noon on fridays to ensure order received before weekend so it was a long time before order was even received"/>
        <s v="when i ordered said in stockthen i get email not in stocktakes long time to get and multiple deliveryand you have to add up each delivery to make sure its rightprob wont order again i did twice and happened both times"/>
        <s v="items were just as i ordered and shipping was faster then i expected all good things glad we discovered petflow it was our son who has two pups that made the recommendation thankful for that"/>
        <s v="they accepted an order charged my credit card  and all the while the food which was a prescription food wasnt even in stock the item wasnt listed out of stock or on back order at the time i purchased it it was only nearly a week later after i contacted th"/>
        <s v="i purchased  bags of dog food one came right away the other took a while to be delivered"/>
        <s v="wouldnt allow me to place an order had to order through a family member its a new house but its on maps so idk what the problem is"/>
        <s v="your service by email promised to contact my vet about the order for the prescription you failed to do that and had to cancel the order"/>
        <s v="products were good but delivery took a long time and tracking didnt give updates after day "/>
        <s v="awesome experience pet feeder was bent and email was sent explaining how feeder arrived and new feeder was sent out immediately great customer service well shop here again awesome awesome awesome second feeder arrived in excellent condition and my animals"/>
        <s v="great prices and fast shipping awesome autoship discount as well"/>
        <s v="great customer service i provided some feedback regarding couponpromo codes and received a very nice response quickly i was just offering some feedback in didnt wantexpect anything in return however the rep went above and beyond and provided me with a dis"/>
        <s v="petflow has great pricing and service i signed up for the autoship program for out dogs hills science diet they were priced the most competitively my order shipped as promised and even delivered a day earlier than expected"/>
        <s v="i wasnt happy when they told me they would not charge my card unless the item was available and ready to ship out but unfortunately that wasnt the case when they decided to charge my card even if it was a preauthorization or pending i dont like to see my "/>
        <s v="petflow has the best prices on nice dog pens and wonderful customer service"/>
        <s v="at the time i ordered the product your website said that it was in stock but after about a week later it was no longer in stock and i could not get it at all i was really hoping that i could get this since after much research your website showed that it w"/>
        <s v="ive shopped with petflow for years excellent selection very good customer service too the shipping can be a little slow but thats fedex not them i get aggravated with the auto ship and you have to call in to cancel but otherwise dry happy with them"/>
        <s v="i cant actually manage autoship i always get an error that would prompt me to contact costumer service"/>
        <s v="disappointed in your service was told that you had an item in stock to be mailed when i inquired about status of order i was told an error was made and food was not being mailed out of stock "/>
        <s v="i made my first order for blue buffalo wet food for  cases because the price was great the food cost had suddenly skyrocketed on amazon and chewy shipping was fast and exactly right food had extended expiration dates so i immediately repeated my order and"/>
        <s v="my canned dog came dented one can was so dented that it opened and was so spoiled from being out on delivery that my whole kitchen smelled and i had to throw away about  or  of the cans it was so incredibly disgusting"/>
        <s v="they did not fulfill any of my orders few reliable"/>
        <s v="quick shipping great selection of dog foods"/>
        <s v="best price on dog food and super fast shippinglove pet flow"/>
        <s v="always easy to work with  the best customer service "/>
        <s v="easy ordering they kept me updated about my order order was shipped and delivered quickly great service"/>
        <s v="greatprompt service great product linda ryburn"/>
        <s v="i have ordered twice now and the cat food was delivered quickly and best of all with no damage to any cans im very pleased"/>
        <s v="i love petflow there is great healthy pet food on this site&#10;my pets look forward to their healthy food and snacks"/>
        <s v="my order was shipped on august  it is now august  and it has not shown up i would love to cancel because i had to drive  miles to the nearest pet food supplier to buy food no clue where the shipment is"/>
        <s v="very good product and fast shipping my dogs are happy"/>
        <s v="i dont think i will take a risk ordering from this place ever again i placed an order on saturday for a prescription food for my cat i provided the required information to verify my cats prescription i checked the status on the following tuesday and the o"/>
        <s v="unfortunately i ordered  bowls for our rescue it showed them as in stock and id searched everywhere i paid for it and received confirmation of the order then after a few days i received a email that there were no bowls available they were out of stock and"/>
        <s v="best dog food subscription service i use two different brands for my dogs one is a prescription food petflow has the best prices and always provides excellent customer service when i call my orders always arrive right on time i highly recommend petflow fo"/>
        <s v="horrible experience do not buy from petflow they advertise that they have product in stock and allow you to order it fill out entire order credit card info and everything online and tell you we will let you know when it ships then a week later says oh im "/>
        <s v="my order showed food was in stock email stated pending continued to say pending for a few days called and was told it would be sent asap a couple days after that was told it was out of stick and credited ordered through you because your site said it was a"/>
        <s v="fast reliable shipping high quality products for great competitive prices thank you pet flow"/>
        <s v="it was a very pleasant shopping experience i bought mixed vegetable food for my dogs they liked it very much but there were too few kinds of petflow products which were the fly in the ointment but it doesnt matter i think they will improve and i will supp"/>
        <s v="fast shipping thanks"/>
        <s v="on the website it is too easy to set up multiple auto ships would be nice if there was a confirmation box you already have this item part of an auto ship are you sure you want to add another would be nice if people could delete an autoship order without h"/>
        <s v="placed order got email that one item was out of stock and was cancelled when order came another item was not shipped but i never received another cancel notice for that one"/>
        <s v="i ordered food and was told i needed my vet to prescribe it after some back and forth with the vet that happened then petflow informed me that they didnt have the food in stock and instead of backordering it cancelled my order a lot of wasted time for no "/>
        <s v="fabulous great fantastic worth it affordable"/>
        <s v="i originally spoke with a very helpful employee who helped me place my order i received an email verifying the order i then received another email stating the order was vet approved and would ship aug  i looked up my order to check status and saw it was c"/>
        <s v="i requested my auto ship arrive early and it was shipped on  at that time i requested the next auto ship arrive in i believe it was  or  weeks however it appears that another  bag of food was shipped today i certainly do not need  of dry food hoping petfl"/>
        <s v="prices were good and all items arrived in a timely manner website is easy to use"/>
        <s v="you dont deliver parcels&#10;very disappointed"/>
        <s v="i ordered cat food on july th  days ago it still has not arrived i live in oregon early in this misadventure i received a message that it was being shipped from a more distant place nj because the closer warehouse was out of the brand i chose then i got u"/>
        <s v="you guys suck i couldnt even place an order because of ur fraud dept"/>
        <s v="i had hoped that petflow would be a reliable source to order my cats food especially the prescription food that is critically important unfortunately petflow has failed me multiple times canceling my order five days after i placed it&#10;&#10;sometimes the chat w"/>
        <s v="the shipper had damaged the box of dog food and returned it to petflow i received a nice email saying they were shipping a replacement out right away"/>
        <s v="i use petflow because theyre priced right prompt and have what the cats on prescription need"/>
        <s v="good price fast shipping thanks"/>
        <s v="ive recently moved and i was struggling to find my cats food and i found it on this website but sadly i was put on their fraud list right away i called customer service and they told me theres no way for me to talk to the fraud department to get my name o"/>
        <s v="very helpful service over the phone received just what i ordered fast"/>
        <s v="never heard from you guys said my order was reported as fraudulent &#10;seriously you never even got back to me i think your company is super sketch would never ever order from you again&#10;byeeeeeeee"/>
        <s v="great prices and fast shipping"/>
        <s v="order online was easy&#10;check out offered pay pal and was easy to check out&#10;shipping is quick&#10;pricing was great&#10;customer service is fantastic"/>
        <s v="terrible customer service and company to work with site days  business days delivered from purchase date didnt even ship the product until a week after the order and kept making excuses as to why it wasnt being shipped product was dog food for my puppy th"/>
        <s v="this is a place where they have fair prices fast delivery would buy from again a"/>
        <s v="i asked to be shipped on a monday&#10;my order wasnt shipped until tuesday&#10;the expiration date on the dog treats i this november&#10;when i purchase them from chewy or amazon the expiration date is always at least one year out"/>
        <s v="i am happy with petflow there are some inconsistencies with their warehouse packaging i placed an extra order and they shipped out boxes weighing  lb i dont know how fedex moved them i certainly couldnt i believe they need a little more training and need "/>
        <s v="i called customer service to discuss the possibility of your obtaining more fromm cat food in small bag sizes great conversation"/>
        <s v="all past orders have been good and if there were any issues in the past the staff handled it appropriately and quick however this past problem was a slap in the face and took much needed funds away from my rescues petflow did not take responsibility for a"/>
        <s v="where is the rest of my order&#10;&#10;your website shows the hills prescription metabolic and mobility  bag as being in stock yet it has not been shipped to me i do not know whether i have been charged for it&#10;&#10;please respond to me&#10;carol ann no e  olsen"/>
        <s v="first time order on a pet food i couldnt find anywhere else placed order and received order in  business days which included the time the pharmacy contacted my vet was a mailed and updated as to when my order would be delivered will order again"/>
        <s v="very bothersome you dont instantly charge my card sometimes its a day or two later i turn my credit card on and off as ive had so much fraud it takes me many attempts each month to get my order other companies i do regular&#10;busy with do the transaction imm"/>
        <s v="petflow is amazing best brands fast delivery and fair prices"/>
        <s v="i have been happy with petflow ive been able to get the cases of food that my cats like that i was unable to find elsewhere the website is easy to use and the price is as expected"/>
        <s v="ordering was easy enough shipping was the problem petflow uses fedex an unreliable company the order was split without petflow or me being aware the second portion arrived  days later this is unacceptable no packing slip was available on either shipment s"/>
        <s v="i placed a large order for kitten food credit card processed when i looked to find out shipping date a few days later it had been cancelled no notice to me no email nothing i called and they said when a large order is placed they suspect fraud total bs fi"/>
        <s v="theres no status available to see whether or not my vet has been contacted canceling the autoship is deceiving i can only pause it up to  weeks everything about this website is difficult"/>
        <s v="prices were fair and shipment came in a reasonable time"/>
        <s v="good products at good prices and fast delivery ill be using pet flow again"/>
        <s v="the ease of ordering was great  the shipping was fast"/>
        <s v="petflow carries food that others dont that i want the prices are fair and shipping is good i buy formm and nurti source the treats and toys are great"/>
        <s v="ordered  cases canned dog food eleven cans of food severely damaged  cans actually were broke open&#10;excellent place to shop but not so good packing"/>
        <s v="this is in reference to my order  i ordered  packages of these dog treats that your system said were in stock and confirmed the order via email then i receive a subsequent email advising they were out of stock not a good experience and no way to know how "/>
        <s v="customer service wouldnt help located an order i placed approximately  days ago she referred me to the website disclosures we i told her how to do her job she became upset customer service rep said we all have pets as though it wasnt a big deal my dogs or"/>
        <s v="it was so easy to find what i need for my kitties it was easy to order and it was at a great price and the delivery was very fast petflow is the best"/>
        <s v="ecxellent always helpful"/>
        <s v="my pups really like the dr marty freez dried food&#10;and i like being able to get better pricing from petflow"/>
        <s v="i ordered  boxes of arm and hammer litter i received  yesterday the packing box was not strong enough plus tape was not holding the box had holes plus one of the two boxes had broken open and litter all over the boxes inside i should have  boxes to com so"/>
        <s v="easy to navigate around the site delivery was quick and my items were packaged nicely"/>
        <s v="the food i needed was in stock when i purchased it when i didnt get an email that it had shipped i looked at my account online the account said it was delivered to my address it was not at my house so i called pet flow and was told that my order had been "/>
        <s v="i recently ordered hills science diet feline wd your website indicated that it was in stock however after several days of waiting for shipping info to come through i called to check on the order i was told that it was out of stock then a few days later yo"/>
        <s v="great products fair prices fast service"/>
        <s v="easy toorder and fast to deliver"/>
        <s v="shipping was quick however a food product needed to be exchanged due to manufacturer changed formula and didnt want old formula sold customer service was unbelievably rude and lacking concern completely i wont spend another dollar with them again and i ha"/>
        <s v="started our automatic delivery program it worked flawlessly i was able to correct a mistake in my order without any problem"/>
        <s v="the initial order went great when it came time to reorder our cats diabetic food it was out of stock we waited hoping it would return by the time we needed it but we were sent scrambling to find another source"/>
        <s v="reliable repeat order program at reasonable prices"/>
        <s v="petfow is consistently good overall timely shipping and mostly reasonable in costs any issues ive had were always addressed to satisfaction"/>
        <s v="great prices always in stock and fast delivery excellent customer service"/>
        <s v="i have shopped petflow for years but lately they are having difficulties filling and shipping orders i order when i am about  weeks out from having either dog or cat food they cant ship in a timely manneri have cancelled my last  orders due to shipping i "/>
        <s v="unfortunately the delivery was promised for a specific acceptable date then changed by petflows carrier to the next day and to make your service unusable delayed yet another day&#10;learn to honor your commitments if you want my ongoing business expectations "/>
        <s v="while there were a couple of mishaps in my order petflow went out of its way to make sure everything was made right in fact they went above and beyond ive been recommending them to my friends and family with confidence have ordered and will definitely ord"/>
        <s v="great company very fast shipping prices are competitive"/>
        <s v="petflow has the best price on the dog food i purchase for my dog ordering is simple and delivery is fast"/>
        <s v="excellent product selection and pricing we are so happy that there is a wide variety of pet products customer service is above par"/>
        <s v="the package arrived on time and everything inside was good"/>
        <s v="ordered hills wd wet cat food website said in stock i get a confirmation email and am asked to be patient as they contact my veterinarian for approval about a week later i get an email saying the food is now out of stock veterinarian was prompt in their r"/>
        <s v="nobody including my vet could get this particular rx product it was out of stock everywhere so i was thrilled to see pfs website say it was in stock i did the order arranged the rx and my vet responded to fax the next day i assumed it was all set and plan"/>
        <s v="products arrive on time and are very well packaged"/>
        <s v="my cat only wants a certain brand of talapia for breakfast each morning and since the supply chain issues we havent been able to find it from our usual source its a popular grain free brand and they havent been able to keep this brand in stock in any of t"/>
        <s v="i wish i could give a five star because i love the availability for delivery it did take a little long to receive the order but i didnt like the packaging when i opened the box i cut the bag of dog food even thought i opened it carefully just in case ther"/>
        <s v="cats like food that was ordered yet again the box was partially open when delivered some cans dented what goes"/>
        <s v="easy to use website products desired always in stock so far"/>
        <s v="when i ordered wd canned cat food i know it has to be approved by my vet and that it takes a little longer because it is prescription it was in stock when i ordered it and i thought with my request once it was approved i would get a case believing a case "/>
        <s v="was out of the dogfood that i wanted but i guess that was not their fault they cancelled the order automatically instead of giving me the option for back order or to cancel it myself"/>
        <s v="petflow is fast and accurate at shipping out my order but the packing leaves something to be desired i order two cases of canned dog food with each order and the box usually shows up damaged andor repaired but the cans are ok this time three of the  cans "/>
        <s v="everything was great&#10;&#10;everything was great until the shipping i dont know what happened but it took too long this time and i had to go locally and buy the same things that almost cost me double i cant have my cat who has kidney issues eat anything else bu"/>
        <s v="petflow always processes orders quickly and accurately shipment is excellent"/>
        <s v="extremely poor packaging with using cheap boxes and very little tape that results in receiving damaged products even walmart and amazon use better boxes and more tape for sealing"/>
        <s v="i ordered something out of stock so it was the case they said they would let me know when it came back in the customer service was very fine"/>
        <s v="the profit racks is something like speed bumps to hold me back from completing my purchase i dont like it"/>
        <s v="always have available merchandise the staff is very helpful and friendly"/>
        <s v="petflow has always been great and prompt customer service always friendly the only thing i wish for one day is for fromm products dog to go on sale once in a while  "/>
        <s v="you helped us by getting the dr marty had huge problems we received from you you spent hours trying to get this for our pup it came so fast our dog really to get this we found you by google we now will be getting this from you nice job cindy"/>
        <s v="i recently had a very helpful and pleasant experience with petflow they had left out one item by mistake in my order and also replaced a bag of dog food that came with a small hole in it no questions asked they just said they would replace it no hassle of"/>
        <s v="always easy  convenient to order our dogs food online"/>
        <s v="competitive prices and fast delivery i would order from them again "/>
        <s v="i appreciated the email stating the dog food i ordered would be a few days late im glad they sell fromms its the only dog food my dogs have been used to"/>
        <s v="great to deal with easy ordering and fast delivery thanks petflow"/>
        <s v="really one star is too high of a rating i tried to order hills science prescription diet wd wet food for my cat and saw where petflow had it available petflow verified with my vet that my cat was supposed to have the food and then i got a notice that petf"/>
        <s v="i ordered a prescription canned food for my cat you emailed me asking me to contact my vet because you didnt have approval for the food my vet approved then you canceled my order because you didnt even have the product available what a joke of a process t"/>
        <s v="your website specifically said you had my prescription cat food in stock so i ordered it  twice only after you took all my personal info and told me you were getting ready to ship my order did you inform me the food was out of stock i lost a week of findi"/>
        <s v="petflow is wonderful and always comes to my rescue when other places cannot they contact the veterinarian promptly to verify my cats prescription and the food is delivered in record time im completely satisfied with petflow"/>
        <s v="i just started using petflow for my dogs first prescription food as i found the prices better than competition they even reached out to our vet to get the prescription and in just a few days i had the food on my porch easy peasy"/>
        <s v="shipment arrived right on time thank you"/>
        <s v="very slow delivery&#10;no delivery status report&#10;much slower than chewy"/>
        <s v="first order went overall well need more discounts"/>
        <s v="awesome customer service carolina is professional and always provides fantastic customer service resolved my problem with a smile thanks"/>
        <s v="cats dont like and they dont take returns what do i do with such expensive food took over a week to get when chewy does  day shipping at most"/>
        <s v="placed an order and it was at my door in a couple of days"/>
        <s v="im disappointed with autoship items cant be added if theyre in stock when in stock and added they arent shipped if out of stock that is theyre not reserved when the order is placed why use autoship ive started ordering and buying directly and pay a penalt"/>
        <s v="placed my order on july th  im still waiting for my shipment ive had to buy food locally due to get him by i texted  emailed my concerns  was told its been approved  would be shipping in a few days as of today july th still no shipping notification or why"/>
        <s v="had an issue with a previous order petflow issued a credit for that order so i ordered again and this time everything was great i appreciate a company that makes things right i will be ordering from them again"/>
        <s v="i would say the customer service rep has had the issue i called about many times so she certainly understood the frustration i think petflow as a company leaves a lot to be desired regarding how they handle things the  stars is for the young lady whom i s"/>
        <s v="petflow delivers to my door and not to the post office and the order is accurate and secure i love them"/>
        <s v="i have dealt with pet flow for over a year now  prices very reasonable customer service great very quick delivery  have recommended them to others will continue to use them in the future"/>
        <s v="i still have not received my order or a ship date i ordered two weeks ago and the item was in stock i am out of food and disappointed"/>
        <s v="worst pet online company unreliable delivery service overall horrible pet online company do not use this company for your furry babies i am a very dissatisfied customer"/>
        <s v="customer service was good disappointed that i was able to add an item to my cart check out and process an order only to find out a week later it was not available to order"/>
        <s v="always ship fast worked hard to get my prescription food customer service is very responsive"/>
        <s v="i was very happy to find petflow since they have some products i no longer can get on chewy their ordering was smooth prices fair and i have used them twice now and i will again"/>
        <s v="ordered hard to get dog food  arrived on time as ordered"/>
        <s v="very pleased with your service especially the people that answered the phone i wait only a minute to speak to someone they are very pleasant and professional thank you"/>
        <s v="it to long to get then i only got  order then you tell me i cant get the can foodi differently wont buy from you again"/>
        <s v="still has not yet shipped despite a  day wait on the website ive contacted support via text and despite this my dogs food has not shipped"/>
        <s v="customer service very helpful quick response to text message"/>
        <s v="i would like thank pet flow and especially the young lady i spoke to when i called in about my order i have always been very happy with your service especially now service and customer satisfaction have always been extraordinary"/>
        <s v="they sent me a duplicate order and told me i could return it if i pay the shipping not good business practice lost this customer of a shipping charge that was their fault"/>
        <s v="i ordered a product you listed as in stock&#10;gave info for vet clinic&#10;order was marked shipped in account but no tracking supplied&#10;after a few days i looked on line and account said script denied by clinic&#10;then i received an email saying out of stock and or"/>
        <s v="finding birdfood in  lbs is very hard the order went great and was delivered fast very happy"/>
        <s v="my orders were canceled and i didnt get any email letting me know i had to contact customer service and they told me they were canceled"/>
        <s v="good experience and they had what i wanted and quick delivery ill use you again"/>
        <s v="i think the communication around delivery was good and the prices were good but the separate package i was sent of wet food to fulfill the order had dents along the side which i am reluctant to give to any of the cats we care for so in that regard im unsu"/>
        <s v="only picked your website because of the promised  off first order and it wasnt valid for my products"/>
        <s v="exceptional communication  deliver right on time"/>
        <s v="i ordered specific food was told two to three times just hadnt been packed and shipped vet provided prescription last minute told didnt have in inventory they repeatedly were dishonest caveat emptor"/>
        <s v="my order was canceled by you guys because you didnt have the product"/>
        <s v="appreciative of recent discount offered when purchasing greater than  worth of products i feed approximately  cats so i buy in larger quantities when on sale canned food continues to arrive dented and one can popped open on last delivery but ive already i"/>
        <s v="i am very satisfied with petflow service is great delivery is fast"/>
        <s v="so happy i found this website  they have all my frenchies products  will order again soon"/>
        <s v="i know its a specialty food but i think for the amount of food delivered for the price is still too high"/>
        <s v="order was processed very quickly and website is very easy to navigate"/>
        <s v="excellent service they keep me informed on my orders if there is a problem they inform me in advance good job"/>
        <s v="this was my first order with petflow i ordered a bag of puppy food and fed ex was to deliver i received a notice stating that it was delivered and i checked and it was not there&#10;petflow and fedex were both excellent in finding the dog food&#10;great customer "/>
        <s v="easy to use website ordering  delivery were quick and easy"/>
        <s v="my cat has a very sensitive system and no one had her food except petflow you got it here quickly and it was correct thank you"/>
        <s v="long time returning customer love this company"/>
        <s v="great prices fast shipping"/>
        <s v="fast delivery and better prices than petsmart or petco purchased  lbs of dry blue buffalo"/>
        <s v="first i couldnt remember the name of the dog food replied to one of their ads asking about it immediately they replied that theyd find it sent me the link and bingo ordered it and it came in about  days its the one food dog can eat without scratching his "/>
        <s v="excellent selection of dog food and treats good prices"/>
        <s v="readily replaced an item damaged in shipping very helpful customer service"/>
        <s v="had the quality brands need at best price"/>
        <s v="lately i have a few problems with the items ordered&#10;some chews looked really bad and i ordered some bird items that were damaged&#10;however customer service were very helpful and sent corrected items&#10;these things happen in shipment"/>
        <s v="your site was the only one that had the prescription diet my cat needed also when i went online to look for another option there was no way i could look at the ingredient list i called someone using the number you listed she also was unable to get the lis"/>
        <s v="we have  german shepards who decided to become really picky after ordering this food they eat it right up they love it i have noticed even after just a couple weeks it has also calmed down scoobys scratching some we havent been able to pinpoint why he scr"/>
        <s v="i have been using petflow for over  years their prices are great and shipping is always super fast"/>
        <s v="trustworthy company pet food shipped quickly just as good as competitors i can always rely on them"/>
        <s v="took  days for delivery ran out of dog food in the interim several emails and a phone contact to customer service nobody could tell me where my order was i received several messages none of which could tell me a correct delivery date frustrating"/>
        <s v="delivery is fast my cats love hills cat food great job hills"/>
        <s v="good price on dog food order tracking provided and fast shipping"/>
        <s v="quick customer service a variety of dog foods to choose from"/>
        <s v="i called to change an order for a later date and told her to make sure she keeps the newest date well she cancelled both orders when i called back to find out why the girl was very rude because i was upset and said the earlier call she didnt know what she"/>
        <s v="ordered with a coupon perfect delivery"/>
        <s v="only received half of our order and cannot get the auto ship part to work correctly also a very hard to navigate and unclear website not user friendly"/>
        <s v="my food order was lost in transit and after waiting for  days and having to contact the company they made it up to me by simply sending me a new order while shipping issues may not be the vendors fault communication and customer satisfaction should still "/>
        <s v="placed my first order everything arrived in wonderful condition and was priced at great prices"/>
        <s v="so great and will help if there is a problem with order al ways on time"/>
        <s v="a few things went wrong items shipped from two warehouses which is okay but took an extra few days for shipping didnt ship immediately the first shipment they shorted me a bag of food so since the chat feature wasnt working email stated they are behind on"/>
        <s v="good fast delivery and cat food was in good shape when it got here best price i could find on it too i will definitely use petflow again"/>
        <s v="will order again  stars"/>
        <s v="fast delivery available products&#10;i was able to find a certain dog food that was not available on another pet food website&#10;thanks petflow"/>
        <s v="it was great i will always order my food from here"/>
        <s v="have been using perflow for several years with  standard poodles was nice to have a lb bag of food delivered every month before they ran out plus always good prices on treats dog toothpaste bird food etc my dog gets excited to find out whats in the box"/>
        <s v="product is a little light for  pound dog shipping was quick arrived early and in good shape"/>
        <s v="petflow has always been easy to use and a good source of our pets food i just wish the shipping time was a little faster"/>
        <s v="i had found some bones at a grocery store that my dogs loved i hadnt seen them anywhere else so i saved a wrapper and checked online sure enough petflow had them i literally ordered as box full the price was way better than the store and i got them delive"/>
        <s v="very unhappy with lack of service or effort to fill script for hills diet food for kidney issues we provided the vets prescription along with the vets email which the vet said hed approve the script if petflow would just email him for approval after petfl"/>
        <s v="i am so glad that i found petflow i can get my cats their farmina dry food at a great price with fast service"/>
        <s v="petflow website is very easy to navigate able to place my order quickly and receive product in a short time"/>
        <s v="they sent me an email of monthly coupon codes i used one for  off there were no exclusions listed  it worked in my cart until after i submitted my order when they removed my coupon  my credit card was charged for  more than the total shown when i submitte"/>
        <s v="i have three auto ships over the past three months that were all canceled and i was not notified that they were canceled id call up to find out a week later where they were and they said oh we ran out so i order for the third time and i put the order in l"/>
        <s v="every order i place gets cancelled due to not in stock"/>
        <s v="ordered prescription cat food site accepted order and said available they followed up via email to get vet prescription three days later email me food is out of stock and they were cancelling order"/>
        <s v="pet flow is the worst place to get your pets food i decided to go with then since not everyone has that perticular brand since im on auto ship program it should be shipped every  weeks and first time i didnt get it ive been told there was double order i d"/>
        <s v="the folks at petflow are v nice they responded to my query quite promptly and gave me a credit because my order was delayed in shipping&#10;the notsogood part i didnt find out unril after id placed my order that it would be shipped the following week which fo"/>
        <s v="easy order process and set up of automatic delivery good price"/>
        <s v="delivery on schedule very happy with"/>
        <s v="you had our dog food listed as in stock so we ordered two bags after quite a bit of time you alerted us that it wasnt in stock that put us a week plus behind and we ran out of food this is a special diet food for our dog and not easily found very bad expe"/>
        <s v="im happy with the product that i order however the lack of date of delivery makes it hard for a customer to be able to receive it or plan to schedule to be home ive gotten email notices saying your shipment will be there tomorrow with no actual date but c"/>
        <s v="this is the third time i have ordered this cat food and the order was submitted and accepted leading me to believe i would be receiving the product three or four days later i receive an email that it is out of stock dont keep sending me emails to order it"/>
        <s v="i have been having a hard time finding some pet food faves for the dog and stumbled upon your site and you had those hard to find faves for him yay"/>
        <s v="i ordered my dogs brand of dry food fast and easy to order web site they carry my dogs brand fromm which not many physical stores do fast shipping too"/>
        <s v="your company led me on to beleive the food i ordered was in process of delivery you cancelled the order when i was down to one can at home then i had to struggle to find food for my cat with no advice from you i will not ever order from you again"/>
        <s v="i have ordered before and my order was the same rx cat food even in the middle of covid first time customer and it was fast this time days after ordering it still didnt ship i asked for it to be cancelled and was told they werent sure if it could be but t"/>
        <s v="process was seamless as far as ordering and receiving my order in a timely manner had no issues and would highly recommend petflow to anyone looking for good service and product selection"/>
        <s v="it would be nice to be able to edit your autoship if the item is backorder online i have had the item on backorder twice and the last was canceled i do not like having to make a phone call when it should be easy to make the changes online this goes for th"/>
        <s v="originally my order was to ship on july th then an email said the shipment would be late and would arrive today it currently is pm and i do not have my order"/>
        <s v="petflow had all the items i needed delivered them promptly and quickly responded to questionsconcerns i had"/>
        <s v="fast shipping with sturdy packaging good price user friendly website thanks so much"/>
        <s v="ordered wet dog food came quick and what i ordered"/>
        <s v="easy online ordering and prompt delivery"/>
        <s v="i order my cat food and it arrived quickly cannot ask for anything better&#10;&#10;oscr"/>
        <s v="we needed a certain vet approved cat food petflow faxed my vet for authorization and returned the approval petflow went to work on filling the order unfortunately it was over the th of july holiday  ran into delivery problems but petflow followed up with "/>
        <s v="i suppose i purchased something though i dont recall"/>
        <s v="i love that this site carries fromm gold brand and fast delivery"/>
        <s v="the box arrived half open and crushed and ripped open on one corner but the  bags of prescription dog food were still fine inside i informed petflow and they promptly replied and said they would initiate a complaint with the shipping company as long as th"/>
        <s v="i got what i ordered but it took ten days and a lot of the cans were dented and banged up these days i guess i should be glad that i got my order at all"/>
        <s v="i had never heard of this company but decided to use them for their prices i was amazed at how effectively they communicated how quickly the products arrived and the price was better than their competitors i will shop them again for sure"/>
        <s v="the price was very good but the delivery was sloppy and careless i came home to find the boxes laying on my lower stair step and on the walkway leading to the stairs they couldve easily been stolen as they were so close to the public sidewalk when i order"/>
        <s v="great price but out of stock why take the order in the first place waste of time and effort never coming back"/>
        <s v="i was very disappointed i ordered a case of hills prescription diet cd canine urinary care chicken  vegetable stew canned dog food and all of sudden it was cancelled"/>
        <s v="they had my cats prescription diet in stock when i couldnt find it anyplace else my order was delivered more quickly than anticipated ill use them again"/>
        <s v="the food was in stock when i ordered it took so long for your people to get the prescription from the vet someone even called me thinking they was calling the vets office it was out of stock so i never got my order it was canceled if i could have gave no "/>
        <s v="package wasnt taped very securely many of the cans were dinged or dented and worst of all was the godzilla sized cockroach i had to kill when i opened the package will not be using you again"/>
        <s v="my order arrived on the scheduled date and was complete"/>
        <s v="ive shopped at petflow for years ive always been impressed with the quality of goods the low prices and the fast shipping will do business again"/>
        <s v="it was very disappointing to have my order canceled after the item i purchased was out of stock when i ordered the item it was shown as being in stock a more accurate representation of this would be appreciated considering this is online retail"/>
        <s v="shopping was easy website easy to navigate prices were good"/>
        <s v="i received my shipment of  bags of dry dog food and found the box they were shipped in crawling with ants one of the bags had a small tear in it which caused the ants i called customer service at petflow and they immediately sent me a new bag to replace t"/>
        <s v="never received what i ordered even though i was charged for it"/>
        <s v="i am very happy with the services i receive from pet flo&#10;i do on occasion have difficulty with using the web site it will keep saying my password is in correct"/>
        <s v="i ordered puppy food and was given tracking in less than  days shipment was fast and efficient"/>
        <s v="had what i needed fast shipping"/>
        <s v="i was impressed by how fast i got that items i ordered and that they were available for auto ship now my three babies will never have to be without their chews "/>
        <s v="i have a late shipment of cat litter twice now i know shipping and supplies are messed up in our country so i understand what i dont understand is why you system doesnt alert you that the product is not in stock so you can let me know before my delivery s"/>
        <s v="great price and good product my cat and i are happy thank you"/>
        <s v="i order on a regular basis i receive my order within a couple of days of placing it never disappointed"/>
        <s v="petflow had the prescription dog food that two of my vets could not get shipping was quick and the price competitive"/>
        <s v="i was looking for the cheapest price on our puppy food i came across petflow and was excited you carried both brands of food for our gigi girl and new pup miles and they both can be delivered right to our front door i immediately enrolled in your autoship"/>
        <s v="prices are great and shipping is fast and on time my only criticism is the packing for shipping cans are arriving dented and boxes are often partially opened from not being taped properly overall very happy and will still keep shopping "/>
        <s v="received food promptly well packaged and in good condition"/>
        <s v="petflow has the cat food that i prefer many other vendors do not carry it"/>
        <s v="i found what i needed at cheaper prices and the customer service was superior petflow has a new customer and i highly recommend"/>
        <s v="petflow is always on point with my order never had a bad experience with them"/>
        <s v="i had the perfect petflow experience it took  days to get to me because of delays in middletown which was not there fault will be buying more dog food from them"/>
        <s v="i received my order but shorrt  little clay boxes and some of them with the box open already"/>
        <s v="love the selection and convenience of the auto ship recently added prescription food for one of our dogs and that was just as easy as everything else highly recommend"/>
        <s v="unable to ship a pet food product after leaving me on hold for a week what else can i say "/>
        <s v="petflow consistently meets and exceeds my expectations phone operators are extremely pleasant and helpful and get things done recently there was a sales tax exemption for pet food and the staff gave me a credit for the state tax that was going to be appli"/>
        <s v="i was very pleased buying from petflow honestly i wasnt familiar with them and they were the only ones with inventory of the dog food i was looking for the order process was clean and efficient they contacted my vet was prescription food notices were well"/>
        <s v="reputable company good prices and selection"/>
        <s v="i have consistently had double filled orders delayed orders without notification shipped orders without advance notification orders that started autoshipping that werent supposed tothe past  months has been a disaster this convenient service has become an"/>
        <s v="fast an easy the prices were great"/>
        <s v="i was looking for avoderm canned dog food as my previous supplied has been out for a very long time you have the food and the price is good i ordered it and got it in a few days  no problem with delivery my two dogs are very happy to be back on the food t"/>
        <s v="product was perfect shipping was super fast and customer service was polite helpful and efficient if i need other pet products this will be the first place i check thank you petflow"/>
        <s v="fast easy going price"/>
        <s v="as always my order arrived as scheduled with updates enroute and was well packaged consistently good service"/>
        <s v="i had a question about mixing different proteins using the stella  chewy freeze dried food and got a response much faster than i had anticipated i was able to complete my purchase without having to wait until the next day the food arrived quickly and my r"/>
        <s v="great product selection and order expediently processed and shipped"/>
        <s v="i am not sure about your products coz this was my very first order  i was waiting for my order longtime and when i logged in and checked status showed cancelled&#10;when u send order confirmation email why you cant send the cancellation email"/>
        <s v="petflow is a great company and is one of the few who sell nutrisource dog food that was recommended by our breeder for our pure bred shih tzu at a reasonable price  she has been on this food since she was weaned and is  year old now and very healthy she j"/>
        <s v="trustworthy company i recommend them"/>
        <s v="i am a loyal petflow customer for  years i am so happy to use their website i regularly order food and toys for my dog i place an order online and immediately receive confirmation then amazingly i get the order within  days petflow carries anything you ne"/>
        <s v="sent quickly great experiences so farthank you&#10;judith"/>
        <s v="recommend this vendor the items i wanted were in stock i had a coupon yeah and the checkout was two clicks since i was already registered and my information was stored i received the ahipping information within hours and the  cases of dog food arrived pac"/>
        <s v="had the cat food i needed just before i was about to run out and received quickly"/>
        <s v="always helpful courteous on time delivery"/>
        <s v="delivery was fast in spite of coming all the way across the country  i cannot find the bowls i received in this order with food anywhere else i only see bigger sizes elsewhere since my girls are small i prefer the smaller bowls by ourpets the bowls are st"/>
        <s v="have plenty of choices the shipping speeds are all time high and prices are reasonable for the items that are being sold at the website would buy again for my beloved pet"/>
        <s v="excellent customer service solving an issue with my order"/>
        <s v="everything was great it was definitely time for new dry dog food i only wish i could buy a smaller size everything else is perfect"/>
        <s v="satisfied with nutrisource dry dog food but pricey"/>
        <s v="good service i like how they keep you informed about your order "/>
        <s v="petflow sells the dog food and treats we prefer at a competitive price and the free shipping is so fast we live in a rural area where many items arent available and we really appreciate being able to shop with them"/>
        <s v="fast shipping great products"/>
        <s v="fast efficient quality product that arrives when expected for a reasonable price"/>
        <s v="i love that i can call and they have my account pulled up and bam ordered excellent customer service"/>
        <s v="quick shipment kept me informed good price and will buy from them again"/>
        <s v="i ordered kong squeak ballsm my dog loves them and also loses them so now we have some extras the price was much better than on amazon"/>
        <s v="first time using petflow i received the order nicely packed and delivered on time priced at a good value"/>
        <s v="i just changed vets so if i am still able to buy my special cat food i will return to ordering it from petflow as they are outstanding"/>
        <s v="very easy to order i needed prescription treats  they contacted  got approval from my vet  had my order in just a few days they were also cheaper than other pet mail order companies"/>
        <s v="user friendly website good prices and fast shipping"/>
        <s v="easy website to navigatequick response and deliveryvery satisfied"/>
        <s v="my kitty was diagnosed with kidney disease&#10;petflow helped me get set up on recurring food for his new diet i did have to reach out and communicate with them regarding the rx and i was impressed with the timely response and care they took to help me&#10;thank "/>
        <s v="they had what i was looking for and the delivery was very fast"/>
        <s v="nutrisource small  medium breed puppy chicken  rice dry dog food lb i just got  cairn terriers the breeder said this was the best puppy food pet flow made it so easy to place my order and the price was good i also picked up some nice dog toy"/>
        <s v="the product was available the price was fair but the ordering process kept trying to lock me in to repeating delivery it took me an unreasonable amount of time to navigate the form"/>
        <s v="i like that its compact and doesnt take up much room the food doesnt flow as well as id like but all gravity feeders work about the same the water spout could be lower theres quite a bit of water left the container must be tilted to use all the water simp"/>
        <s v="great selection and prices prefer to shop here"/>
        <s v="in this instance petflow was the only place i could acquire the exact item that i wanted and it arrived in a timely fashion in fact if they are still carrying it i will order more"/>
        <s v="i have been purchasing cat food from you all for over  years  since i got my cat i have not had any problems but my last order was shipped and it was dog food  your mistake i asked for you all to do a rush and you rushed alright you came and picked up the"/>
        <s v="has the products i need quick shipping at no charge over a certain amount packing well down"/>
        <s v="great communications came in short time"/>
        <s v="the company did not ship my pet food canceled the order and failed to notify me the only reason i noticed is because a week had went by and no dog food when i contacted them they advised they needed more information i asked why they didnt request that and"/>
        <s v="i have recently had a bad experience with chewy however i have found you i have  dog and  cats and so far you have their food i will look for other things as they come up so far everything is great"/>
        <s v="easy online ordering and super fast delivery"/>
        <s v="very efficient and convenient to have your unappreciative cats food and litter appear at your front door  highly recommend "/>
        <s v="it has been  days since my order was confirmed and it has not shipped when i contacted petflow i was told that first time rx orders can sometimes take a while to be approved but this feels ridiculous"/>
        <s v="i love petflows auto delivery system its easy to use and i can change the schedule with a couple clicks packages always arrive secure and on time"/>
        <s v="love pet flow great customer service quick shipping highly recommended&#10;have foods others dont"/>
        <s v="i was glad to find what i needed on your site but i was concerned about shipment via federal express in my opinion they are unreliable my shipment was delayed but thankfully arrived before i became worried"/>
        <s v="perfect transaction perfect delivery perfect communication your my store"/>
        <s v="i ordered veterinary dog treats so gave petflow all necessary vetinary info after no emails from them for quite a few days i emailed to see when order would be shipped out they said soon after a couple of days i called back to check to make sure that they"/>
        <s v="we have ordered through petflow a few times now and are very happy with our experiences we will continue to order our dog food and other pet items through them"/>
        <s v="always used chewy but not anymore u guys r really on top of ur game thank you anna sutocky"/>
        <s v="very fast and easy shipment of dog food  five stars&#10;their use of fedex is a problem  one star&#10;fedex drivers repeatedly damage my property repeatedly notified fedex other deliveries like ups or amazon have not had a problem"/>
        <s v="petflow was easy and fast to respond and deliver i was using chewy but it took forever to get approval for the dog food needed and i had trouble with them on every order so petflow was a relief how easily it went thank you for that and i would recommend p"/>
        <s v="my order was correct and received very timely i have no complaints"/>
        <s v="perfect my dogs thank you and extremely fast will absolutely shop here again"/>
        <s v="first fedex lost the package left on a neighbors doorstep might not be such a big deal in the city but in the country thats a game changer neighbor finally brought the package up to the house a couple of days later&#10;&#10;second product was short dated this is "/>
        <s v="this company was there for me when i couldnt find my cats prescription food anywhere thankful to have found it quick script review quick shipping"/>
        <s v="i ordered science diet wd wet cat food from them because their website said they had it in stock about a week later i got an email saying they were cancelling my order because they didnt have any in and didnt know when they would be getting it they didnt "/>
        <s v="reliable good products timely delivery"/>
        <s v="love it&#10;&#10;good products convenient quality communication and on time delivery"/>
        <s v="ive been having a hard time finding this cat food and when i did find it usually the bags were sold out this made it easy and convenient for me to order this online and got it in a couple of days before we ran out"/>
        <s v="easy site to navigate product was originally out of stock but i was notified once the product was available delivered as scheduled my cat loves the product it is a prescription food for diabetic cats hopefully i will see an improvement in his condition"/>
        <s v="the product dog food is excellent my dogs love it looking forward to do more beisness with soon"/>
        <s v="i was impressed by the selection price and delivery time of petflow getting ready to place my second order"/>
        <s v="order was correct and arrived quickly"/>
        <s v="petflow was a company that i had not heard of prior i was in need of hills cat food which was not available anywhere locally or online except at petflow i even ordered more than originally planned for they got the okay from my vet and had the order shippe"/>
        <s v="great delivery  promotions for cheaper food"/>
        <s v="great prices and fast friendly service i will continue making this my goto for pet supplies"/>
        <s v="tired ordering a product that said in stock twice now and both times i get an email a few days later saying my order was cancelled because it cant be fulfilled if it was in stock why cant it be fulfilled"/>
        <s v="this product is excellent i believe for my dogs and they love it this is however the second time i have had a bag ripped open when it arrived and food in the box and not the bag dont know if this is a problem at the packing end or the delivery end wish it"/>
        <s v="easy site to use with great prices and a large variety of options"/>
        <s v="never received my order  fedex lost it no refund or anything at all fedex express that they left it at the front door but how my gate was closed and my cameras capture nothing at all and no one was home i also called fedex several more times with no luck "/>
        <s v="i ordered cat food from petflow it showed in stock and i waited for it to ship for about a week i called customer service and the lady indicated that my order was processed needed vet prescription approval and that i should receive a tracking email that d"/>
        <s v="great way to buy my dogs food products and needs no hassles and comes straight to my door"/>
        <s v="incredible rude and out of touch representatives they didnt have my item in stock and then made me replace a second order for what they did have in stock the next day i get notified that my order was for resale and flagged as fraud even though i placed it"/>
        <s v="i disappointed in the way my packages where sent to me for example when you sent my case of dog food it was put in box that could have fit cases instead of  the rest was filed with packing papers to make it weigh more to charge more"/>
        <s v="reasonably effective but annoyingly disorganized looking for alternatives"/>
        <s v="got my online order very quickly and was pleased with how easy it was will definitely use again"/>
        <s v="after hunting high and low through my usual pet food sources i was able to find the two items that had been back ordered everywhere else delivery was fast and saved me the risk of switching brands with my dogs"/>
        <s v="we needed a shipping kennel large a bed for the kennel a toy a small bed and dog food all that got shipped was the dog food toy and small bed after visiting the pet smart store they had all we needed in stock although a higher price"/>
        <s v="my first order and i was mailed wrong product when second order can it will be out of date in  months i like to know i have a newer product"/>
        <s v="quick easy and better priced than most of the competition definitely an underknown source for pet supplies"/>
        <s v="good time on delivery just mad about the way the box showed up was thrown over my fence and box was damaged and retaped because it was so damaged think about who you ship you packages by the delivery to my house was a fedx driver who did even look to see "/>
        <s v="great choices these days it is so necessary to have a reliable resource especially for our pet family"/>
        <s v="&#10;excellent everything a company"/>
        <s v="i am so happy you carry fromm echo loves it and she gobbles it down i also love that you deliver to my home&#10;&#10;thanks again&#10;joni"/>
        <s v="please dont say you have something in stock if you really do not i was misled then was not even informed that there was a delay until i reached out myself terrible customer service"/>
        <s v="my order was shipped immediately and reasonably got what i ordered and the pooch is thrilled"/>
        <s v="everywhere was out of my pets food ordering from your site was easy and i received my shipment a few days later thanks"/>
        <s v="amazing prices quick shipping"/>
        <s v="just got a new puppy that has to have toy breed puppy proplan its been almost impossible to find it but happily petflow has it  it shipped fast love auto ship so we dont run out price is also good"/>
        <s v="we were notified that our dogs prescription food was out of stock with our usual retailer so i did an internet search and petflow was the only retailer that popped up as having the item in stock i waited for shipping confirmation and never received it so "/>
        <s v="i appreciate finding products at an affordable price at petflow i usually find those products at a better price than other sites shipping was fast and flawless"/>
        <s v="i have have ordered the freeze dried beef treats for a whilethe last two orders have been at least  to  crumbs this is very disappointing and an expensive bag of unusable if this is not corrected i will have to find another source usually i am very please"/>
        <s v="great products and very good customer service"/>
        <s v="fast shipping all items accounted for and in perfect condition"/>
        <s v="petflow has the best prices great communication with me regarding the status of my order  shipping is quick"/>
        <s v="my st package was received missing items after just one phone call everything was handled professionally and a few days later i received my missing items would order again"/>
        <s v="petflow came through for me when i couldnt find my cats food anywhere else im extremely grateful"/>
        <s v="twice now i have ordered preacription food from petflow that was listed as in stock and twice my orders jave been cancelled because the food was not in fact in stock both times i spoke with customer support that was clearly copy pasting replies off of a p"/>
        <s v="excellent service"/>
        <s v="generally ive been very pleased but the last shipment  cases of canned hog food had two damaged and open cans in it not a great response when i raised the issue since i hadnt discovered it until i got to the th of  cans otherwise no complaints"/>
        <s v="my cats food was listed as in stock on the site but my order was cancelled a week later because it was never actually in stock"/>
        <s v="delivery was delayed and this was not acceptable i will utilize another company that can deliver in  dayd"/>
        <s v="as ordered fast shipping i was so happy to be able to get my canned cat food order when chewy and amazon failed me petflow has gained a loyal customer"/>
        <s v="outstanding price for what i ordered i shopped around amazon walmart and numerous websites none even came close to your price package showed up on time excellent experience my cats thank you"/>
        <s v="fast shipping and excellent price&#10;thank you"/>
        <s v="i normally dont write reviews but i hope employees are retrained after seeing this i hadnt ever been on your website or heard of the company but my  year old fell in love with a puppy from a girl i know in utah after adopting the puppy we asked what food "/>
        <s v="the dog food we need is hard to find petflow always has it at a very good price it usually arrives in a day or two great service"/>
        <s v="im a little disappointed with petflow i ordered dog food on june rd maiming because you said it was in stock then a few days later i get an email saying that your local location was out of stock and you had to get it from another location and it was now g"/>
        <s v="fast easy to order prescription products fast shipping fantastic customer service  knowledgeable sympathetic responds quickly range of items to purchase is awesome petflow outdoes all other online pet companies on so many levels they were my saving grace "/>
        <s v="my order was processed very slowly and then canceled i was initially told that the only thing holding up my order of hill prescription diet for my cat was vet approval which i had submitted with my order close to a week elapsed and then i was told that th"/>
        <s v="very reliable when i place an order with petflow i know ill be getting what i ordered on time"/>
        <s v="great customer service had the prescription food my dog needed all the others were out of stock glad i found this site"/>
        <s v="naturvet yellow to green lawn spray  containerscontents were defective&#10;product was diluted to colored water my guess is they froze and thawed somewhere before shipping"/>
        <s v="petflow ran out of dog food in my area so found it in las vegas i got the last  bags"/>
        <s v="i got the food the quickest out of any company including amazon and their customer service gets back to you right away with any questions fabulous job"/>
        <s v="food bags are always intact delivery always on time customer service is excellent"/>
        <s v="great customer service great prices and fast shipping "/>
        <s v="i always order my dog fromm food and treats from you shipping is excellent"/>
        <s v="great price smooth transaction and quick shipping whats not to love"/>
        <s v="waited over  weeks for food to arrive for my new puppy to refill his stock we received from the breeder petflow had a great price and great reviews but when i inquired where my order was i was just told that it didnt ship due to fraud protection and they "/>
        <s v="ive used petflow for my boys food since the very beginning since i adopted him and they always deliver it on time each month they have an excellent selection of pet food available on their website and not to mention they give away  food to  dog in need fo"/>
        <s v="inventory shortage put order in and next day they dont have my babies brand so its not their fault purina discontinued the small bites&#10;now we are playing find the food they care for sorry couldnt give  stars"/>
        <s v="i have been very happy with petflow i am disabled and it is so nice to just have my dogs food show up at my door so far the items i need have been in stock which is pretty incredible in these times"/>
        <s v="i started an auto ship program with this company because cat food was running scarce in the grocery store unfortunately even this company cant keep it in stock either"/>
        <s v="the pups love the new food we found on petflow it was easy to order and arrived in no time being that its large breed formula i just wish it came in bigger chunks so they didnt inhale it at dinner time"/>
        <s v="great service good customer service the only hiccup i can see is shipping  sticks folded over in a  box"/>
        <s v="they had everything in stock and was delivered in a timely manner"/>
        <s v="great place to buy our pet supplies fast service pet flow is the best"/>
        <s v="always great to do business with ease of ordering and easy to return"/>
        <s v="i waited over a week for your pharma dept to reach out to my vet to get scrip for order i finally had to make the call myself with your rep on the line and i got right through your pharma folk really dropped the ball&#10;&#10;all the while my cat was waiting for "/>
        <s v="i was really pleased that u had the food my cat loves he is diabetic and could not find his food anywhere he refused to eat anything else got so thin i found his food through ur company and now he is gaining weight very happy kitty"/>
        <s v="i was in need of food for my cat with diabetes my vet was backordered and even chewy was out of stock but im so glad i happened upon this company and they had the food i needed available i appreciate it so much they were easy and pleasant to work with tha"/>
        <s v="worst experience with pet flow i place order and my shipping and billing address is not same you will add my account to fraud activity and dont proceed order such a unprofessional supports team cant buy in future its last time"/>
        <s v="i never received my purchase you were out of stock of my cats prescription diet even though your website said it was in stock you should keep your website up to date with what is in stock and what is out of stock because i would have never wasted my time "/>
        <s v="fast shipping easy to order and understand web site best prices around&#10;no hassles"/>
        <s v="ordered prescription dog food you said you had in stock but it very clearly was not in stock and almost two weeks later im still waiting for it not cool"/>
        <s v="the shipping box isnt strong and they package my dry dog food with the cans and the cans cut the dry food bag and it spills"/>
        <s v="i placed an order for hills glucosupport for my diabetic cat it was the weekend and i was unable to get all of the vet information directly from the vet hospital itself to place the order so i googled it i placed the order and paid for the order the order"/>
        <s v="this is the second time the cat food that i need said it was available and the second time my order was cancelled because they didnt have it if you dont have it dont say that you do i could have looked for it someplace else instead"/>
        <s v="your phone reps have always been very helpful answered my questions and given me some good advice about purchases were sold"/>
        <s v="great customer service they answered my inquiries so fast and they were super friendly"/>
        <s v="petflow works hard to earn your business and trust had an initial snafu but now orders are working smoothly"/>
        <s v="i requested a  refund after being told by petflow that i needed to renew my vets prescription i wanted to just buy the prescription dog food from my vet petflow said they could give me a credit for  but not a refund this is a classic case of petflow winni"/>
        <s v="i have ordered from petflow twice and both experiences were the same complete trash my cat eats prescription food and it is out of stock everywhere so i am ecstatic to find it on petflow i order and it took two days for my vet approval i get an email that"/>
        <s v="petflow has great prices on fromm products and delivery is great"/>
        <s v="petflows order fulfillment needs to be improved it took  days for the food that i ordered to arrive and that was after i called to see where it was and got the order prioritized for shipping if you are truthful on your website whether the food is being sh"/>
        <s v="your orders have all been fast and with no warning it took a week i will not be using you anymore as you are not dependable"/>
        <s v="great price  fast shipping  great communication"/>
        <s v="better prices than elsewhere called customer service for some assistance and the woman was very helpful will use again"/>
        <s v="wanted to try another pet food home delivery service for a change and decided to give petflow a go they were a great find and im glad i did prices were comparable and delivery was even faster packaged very well with no dented cans"/>
        <s v="prices fair but shipping times have increased"/>
        <s v="i love the variety of high quality products and brands that pet flow offers i also love how quickly they ship my order always arrives within a couple days"/>
        <s v="dont even bother if you order anything they will message you a week later saying its out of stock then the very next day its back in stock again"/>
        <s v="i was excited to see that a particular prescription wet food was back in stock on the website as it has been out of stock for over a month i placed the order online and then followed up  days later as i didnt hear any thing about shipping i was told that "/>
        <s v="cancelled my orders&#10;without telling me"/>
        <s v="very happy with the customer service only issue i had is how long it took to process my order and ship it would pay extra for faster processing and shipping"/>
        <s v="fast  easy and correct "/>
        <s v="its ok it was shipped on june st and an email tuesday said itd arrive today wed after arriving here in portland today at am fedex tracking said at pm that its being delayed a day until tomorrow thursday because of weather it doesnt affect me  i wouldnt ca"/>
        <s v="i ordered prescription pet food for my cat it took them about five days to tell me the order was cancelled because they couldnt get the food they shouldnt have taken the order in the first place"/>
        <s v="this is my third order they have products others dont and at a great price"/>
        <s v="always holds the inventory and deliver in a timely manner"/>
        <s v="worst customer service i tried doing an order twice and they couldnt send it out i will never use this company or recommend it"/>
        <s v="wonderful service i recommend"/>
        <s v="excellent service and the only delay we had was from our veterinarian sending them the prescription"/>
        <s v="i am so impressed with not only how easy ordering was but how quickly it was delivered i would never use anyone else thank you very much"/>
        <s v="i am new to petflow this was my first order website was easy to use and my item arrived promptly"/>
        <s v="disappointed that an item was there to select as available only to find out it was not p"/>
        <s v="i like using petflow and other sites which are similar they are super convenient and reliable however the cost of shipping stops me from only using their service"/>
        <s v="your website said you had the prescription cat food i needed i bothered my vet for the prescription order your company said the order was being filled then im told that it is out of stock&#10;&#10;how does this happen"/>
        <s v="always the highest quality products  superior customer service a"/>
        <s v="petflow had what i needed in special food for my cat i couldnt find it anywhere thank you so much the service was awesome"/>
        <s v="good service and a fair price thank you plan to order again"/>
        <s v="wonderful experience petflow was the only place that had the prescription food i needed for my cat they expedited my order when i expressed my needs sadly my cat passed away saturday but he loved this particular brand of food so i am very grateful that he"/>
        <s v="i have been ordering from petflow for some time now i always have a good experience with fast shipping and easy ordering i have a dog and two cats so i order often great company to do business with&#10;rob"/>
        <s v="petflow is great they processed my kitties prescription quickly and shipped my order promptly"/>
        <s v="shipping is so slow compared to chewy i use chewy whenever possible for that reason"/>
        <s v="i have had nothing but positive experiences with petflow"/>
        <s v="petflow was the only source for prescription food for my cat all local stores and vets all said they were out and it was on back order so petflow was a kitty saver"/>
        <s v="fedex took more than a week to deliver&#10;usps is better even the fedex tracking is not accurate and very slow or sometimes not even up to date"/>
        <s v="customer service was not friendly they charged and shipped me two bags of my dogs food when i only purchased one when i called back to dispute the charge they were not very helpful and kept insisting that i bring the super heavy bag to fedex for return"/>
        <s v="when fed x lost my order i called customer service and the order was replaced without hesitation that is excellent service"/>
        <s v="slow shipping went to order another bag and couldnt find it"/>
        <s v="petflow is a good company to buy cat food from i especially like having it she directly to my door i have to order a prescription type of food for my pet and cannot find it anywhere else petflow has exactly what i need"/>
        <s v="i was able to find what i needed that others didnt have turnaround was quick and order was correct"/>
        <s v="products in stock delivered in timely fashion positive experience"/>
        <s v="great selection had things others were out of great price shipped next day"/>
        <s v="after reading many reviews i cancelled my order before it was shipped many people stated they could not cancel their auto ship and weret happy with the delivery since i dont know this company and didnt know their reputation i cancelled and ordered from ch"/>
        <s v="great price and shipped well and arrived quickly"/>
        <s v="only cools for  minutes at best  not worth it i should have invested more money and got a better product"/>
        <s v="the pharmacy said my dogs food wasnt approved while my vet said it was always approved customer service was awful in fixing the situation didnt get my dogs food for a week discontinued auto ship and wont buy another thing from pet flow horrible customer s"/>
        <s v="i love the fact they carry fromms dog food their web ordering works fine and they deliver in a reasonable amount of time chewy is faster where i live&#10;&#10;however every time i have ordered dog food in cans they come  badly dented i dont mean a little dent her"/>
        <s v="i had the opportunity to subscribe and my pet food came in a timely manner i am very happy"/>
        <s v="shipped quick reasonably priced"/>
        <s v="great variety fast shipping"/>
        <s v="petflow autoship is convenient efficient and economical weve been happy customers for years highly recommend "/>
        <s v="works well but no instructions on how to adjust float"/>
        <s v="great price and quick shipping of the pigeon grains i use"/>
        <s v="easy easy easy the same quality same shipping speed cheapest place"/>
        <s v="great service for the buck and great for your pet fish"/>
        <s v="the most wonderful customer service and the most wonderful products that keep my dog happy"/>
        <s v="i love the company and the fact that they dont support brands that support animal testing its a  start due to shipping always being late and they dont have an app yet but im not leaving them because of that"/>
        <s v="good selection of products but took a long time to receive"/>
        <s v="had the product in stock and they called the vet"/>
        <s v="items not as advertised even after calling customer service described the wrong item picture not correct either that was sent&#10;took way longer than expected not likely to recommend or order again"/>
        <s v="had an issue with my order customer service was rude and terrible will never spend my money with this company again"/>
        <s v="excellent always the best"/>
        <s v="pet flow always has the dog food in stock for my pet all through pandemic they were reliable and supplies on hand and timely delivery"/>
        <s v="customer service was awesome the shipping was very fast and i was very pleased with the variety of food i will definitely order again"/>
        <s v="fromm dog food is so awesome my elderly dogs were on wet dog food and they liked it till i took them to my friends house she had the beef fromm out for her dogs my dogs decided they like that food better than theirs it was a month of trying to get them to"/>
        <s v="poorly packaged for shipment but arrived quickly"/>
        <s v="great customer service i needed my cats prescription cat food asap and they pushed the process faster for me"/>
        <s v="fast deliveries and one of the few places i found farmina dog food now im on auto delivery"/>
        <s v="i ordered cat food on  and fedex has yet to deliver it stating that the address is incorrect when it is not after hours on the phone trying to get this package i am left with no other choice but to request a refund i still dont have the cat food and am ti"/>
        <s v="we love using petflow for our pets needs the prices are competitive and its so easy to changedelaycancel our order"/>
        <s v="shipping was fast my only concern is my dog food best by date is sept  just concerned not fresh maybe older stock"/>
        <s v="petflow is the best hands down great customer service and prices"/>
        <s v="they had the food i had been searching for in stock quick shipping"/>
        <s v="super great company with fast service and great shipping"/>
        <s v="great company with very quick shipping i will be using them from now on"/>
        <s v="excellent products and outstanding service fast delivery"/>
        <s v="good price fast delivery"/>
        <s v="we have been using petflow for many years and always have great service and value"/>
        <s v="petflow has the products i need and gets them to me quickly ive used auto ship and when ive had to switch my schedule they were happy to accommodate and adjust and their customer service is so responsive i have been a loyal client for years and plan to re"/>
        <s v="every one at pet flow was extremely helpful they spent as much time as needed on the phone with me to pick the puppy food i needed when it turned out that my pup did not need the prescription i was told they were unable to take it back but they refunded h"/>
        <s v="when i ordered they knew they were out of stock i called asked questions and didnt get a direct answer"/>
        <s v="i was so happy to find my pet food in stock here actually the maker of the pet food let me know that petflow had the product in stock there was no shipping fee on the  lb bag and it arrived promptly all the way from across the country"/>
        <s v="ordered canned dog food found the price to be competitive and shipping was timely"/>
        <s v="i would advise anyone that has had a poor experience with this website  which appears to be just a website where they drop ship orders but dont actually have a warehouse to contact the attorney general in nevada where this guy or company is located&#10;if the"/>
        <s v="ordered cat food when i ordered it was in stock now saying they have none and that the online allows them to sell bags so long as they at least have  sad"/>
        <s v="i ordered dry cat food that you said you had and waited for you to tell me when it shipped you never told me you were out of it i had to get in touch with you to find out stupidly i checked for that same product a week or so later and same thing your on l"/>
        <s v="ordered md dry cat food and you waited so long to let me know you were&#10;out of it other companies let you know on the site where you are ordering&#10;that they are out wasted time"/>
        <s v="great product fast shipping"/>
        <s v="having to contact support to cancel an auto ship is ridiculous straight from the comcast book of customer service"/>
        <s v="this is the first time using petflow and i loved the experience they have great prices and fast shipping i love the selection of food also"/>
        <s v="scam site they lie and say they have stock of things they know they have no stock for just to get your information"/>
        <s v="i like pet flow and the convenience of buy fromm cat food from them"/>
        <s v="i placed an order for prescription pet food the website stated food prescriptions could be emailed or mailed so i emailed the food prescription using the email address they listed on their website for this purpose this resulted in back and forth with a re"/>
        <s v="i was trying to order prescription cat food that is in short supply your company let me order it sign up for your account contacted my vet for the prescription and went through the whole process and then told me you are out of stock why didnt you tell me "/>
        <s v="i have plenty too much food right now how can i cancel automatic service"/>
        <s v="i trust them they usually have the product that i want and if not they will let me know"/>
        <s v="this place is amazing prices really cannot be beat  and we shop around every time we stock up petflow doesnt carry all of the foods we buy but the ones they do are consistently cheaper than elsewhere including delivery&#10;&#10;i hope petflow will carry more of t"/>
        <s v="my total order was to receive  offhowever my order was split and i only received  off on the lesser item and was taxed on both i may inform my credit card company of this transaction based on your response"/>
        <s v="have always had good service from petflow"/>
        <s v="keep posting that they have hill science diet md when they dont"/>
        <s v="i have only received part of my order that i made on may th it is now the nd and i have still not received the dog food i ordered"/>
        <s v="our saint bernard was recently diagnosed with gastroparesis and needed limited ingredient treats hills makes a line of them that petflow has a great variety of at great prices shipping is super fast"/>
        <s v="excellent service&#10;thank you"/>
        <s v="i have ordered only once from flowpet but so far so good and on that note i will give them  stars there was a good variety with good prices and the order came more quickly than i expected i expect i will be shopping there more"/>
        <s v="fast shipping easy to get in contact with them if you have questions"/>
        <s v="ordered special diet  days and nothing had to order chewy  got it in  days"/>
        <s v="very friendly and knowledgeable people at petflow willing to go the extra mile to help"/>
        <s v="it is easy to change my order the staff is always easy to communicate with they are alice there to help me when i run out of food my goldens sometimes have friends over for the week"/>
        <s v="so happy you carry fromm my dog thrive on this food i love the convenience of delivery to my door the best part is shipping is included"/>
        <s v="i placed my order from canada and dealt with a customer service rep she was very friendly helpful and efficient my order was delivered very quickly to a parcel receiver in bellingham wa i am very satisfied with petflow"/>
        <s v="ms jessie at petflow was extremely helpful in fulfilling my order she was knowledgeable pleasant and very efficient i am very satisfied with the service i got"/>
        <s v="always ships quickly and arrives promptly you can trust petflow to handle your order right"/>
        <s v="took way to long to get here this was a cat food order and im use to getting it at least in a couple days when i order from amazon or chewy not sure ill order from them again"/>
        <s v="this is a great company good selection of products and at fair and reasonable prices including shipping costs delivery is very timely while so many firms are still using the pandemic as an excuse to pricegouge it is so refreshing and a pleasure to deal wi"/>
        <s v="have been waiting in my prescription for a month and still havent received sent in digital and paper copy that still had problem with them verifying and actually sending the prescription so frustrating would not recommend vetsource for pet prescriptions h"/>
        <s v="my dog is on rx dog food hills science diet dd i decided to start getting it from you i order it  changing flavorsprotein because the one i wanted said out or stock a few days later i havent heard anything so i calltext and im told that it is waiting vet "/>
        <s v="i have purchased many milk bone pill pocket packets they usually come in  pouches per box which helps to keep them from being crushed in shipment i usually purchase  boxes at a time shipping is slower then other suppliers"/>
        <s v="cancelled my order saying supply of product from manufacturer was unavailable so i went to another vendor who had no problem filling my order"/>
        <s v="received my product of prescription kitty snacks quickly&#10;thank you"/>
        <s v="pet flow has been very reliable my dogs food arrives as ordered the food is fresh and arrives quickly&#10;i have had a few problems with the website where i could not change an amount on the review your order page which was frustrating however calling custome"/>
        <s v="very good service and fast deliveryi have no complaints"/>
        <s v="items arrived quickly before i was notified that they were shipped one item was missing from the order it took a few days before i received an email that the item was out of stock credit for the item came quickly very pleased with my purchase"/>
        <s v="excellent customer service&#10;petflow inadvertently sent me an extra case of cat food i alternate the types of food so i was fine with keeping the extra food but needed to pay for that one and add another of the alternate kind the gentleman with whom i spoke"/>
        <s v="friendly when i had questions fast delivery easy to order quickly online"/>
        <s v="efficient fast shipping and great customer service&#10;&#10;good selection of animal products"/>
        <s v="very happy with products wish food was a bit cheaper"/>
        <s v="i had been looking for the puppy kibble our breeder has been using for their litter of puppies petflow was the only site that carried it very easy to work with and on time delivery thank you"/>
        <s v="staff is very friendly and helpful there was a prompt response to my question they have a vast selection and great prices they came through when i had trouble finding my finicky cats food they are my go to store"/>
        <s v="the constant urging to use autoship i can understand what i cant understand is the meaningless onetime pittance of a discount as an incentive coupled with an almost forced compliance by changing my selections to include it for me it is the most obnoxious "/>
        <s v="i tried to purchase prescription cat food for my cat on  the vet did not receive communication through you so i emailed and texted in a prescription on  both of which replied and said it was sent to the correct team and should be processed asap then i rec"/>
        <s v="i needed to order a variety of cat food that had been sold out at local shops  online retailers for some time i discovered petflow through a link on the manufacturers website i was skeptical that they could even deliver but ended up being pleasantly surpr"/>
        <s v="easy to navigate site prompt delivery"/>
        <s v="my second order experience was just as great as the first one great business"/>
        <s v="my order is always delivered in a timely manner if there is ever a question i get answers quickly in a professional and friendly way"/>
        <s v="petflow has been my goto for years now for a reason"/>
        <s v="excellent availability of products customer service shipping and communication"/>
        <s v="so easy to order my pets prescription meds on petflow they contact your vet directly for approval which takes all the work out of my hands shipping is quick and its very easy to amend the shipment schedule if needed&#10;thank you petflow for such awesome serv"/>
        <s v="i was searching for a specific food for my new puppy that was not available in many places found it here ordered and had it so fast itd make your head spin  thank you "/>
        <s v="i received my product before the original date i was very impressed since i never heard of them but i will continue to use them i highly recommend them"/>
        <s v="excellent service and product our fur baby loves the butcher block champ bones"/>
        <s v="when the package came everything was so jammed in there that the stella and chewy patties were crushed i purchased  bags of the stella and each bag had broken pieces in there"/>
        <s v="petflow had the dog food that i needed that everyone else was out of it came quickly and without any issues their website was easy to navigate also"/>
        <s v="when other sites were out of the prescription food my dog needs petflow was the only place i could find it and at a good price too delivery was fast also"/>
        <s v="great service competitive pricing"/>
        <s v="petflow had a rocky start with me because it was difficult to get customer service but they have improved so much in that department that a  star is appropriate they are the only pet delivery that has my dogs dry food and they give a years worth of coupon"/>
        <s v="delivery was okay no issues with package or product price okay too"/>
        <s v="great company fast delivery"/>
        <s v="i order  eight pound bags of prescription cat food kept getting emails about it being backordered on the website at tims of purchase it stated they were in stock placed an additional order for two  pounds of same food and that was cancelled by petflow for"/>
        <s v="always helpful and answer my questions and concerns"/>
        <s v="easy to use website and fast shipping"/>
        <s v="my order is always on time and very easy to order"/>
        <s v="i made a large order and you guys cancelled my order saying that it was a fraud there was never a time where i got an email or any contact to see if it was a fraud my dogs are now with no food due to this lack of responsibility i was informed that every t"/>
        <s v="i love the service petflow provides they have a huge variety of products plus they also offer great deals finally i must say customer service is extremely friendly to use through texting theyll help you right away thank you so much"/>
        <s v="i ordered prescription food for my cat a week went by with no shipping information i contacted pet flow and was advised that the food wasnt even in stock even though they got the approval from my vet waste of time that i couldve been searching for this pr"/>
        <s v="ordered prescription food and insulin syringes for my diabetic cat syringes came a few days later the  bags of prescription food did not after  days with no update i called customer service just to find out the food was out of stock i was never notified t"/>
        <s v="great customer service and i really appreciate it"/>
        <s v="great site for dog supplies will continue to use if prices are good"/>
        <s v="i moved over to petflow kicking and screaming from chewy chewy stopped carrying verus and petflow is now my merchant for all my canine needs i could not be happier with the customer service i like getting advance notice that my autoship is preparing to sh"/>
        <s v="with the price of dog food getting more expensive i was looking for the best price for chicken soup for the soul canned dog food pet flow had the best price when compared to other online retailers this was my first time ordering from pet flow the delivery"/>
        <s v="always arriving promptly and the correct products in the order"/>
        <s v="the best place to purchase all of my dogs need excellent service and always fast  love love lovestella loves it too"/>
        <s v="this was my first time using the site usually use a competitors site but this website showed up and i clicked to see what it was&#10;the prices are similar to the site i usually use some of the items were slightly cheaper some more expensive&#10;one huge con was "/>
        <s v="my ordered was submitted then cancelled days later i would have just bought it somewhere else should have just said out of stock now i have to scramble to find food"/>
        <s v="ordered hard to find diabetic cat food the the  lb bags are out of stock at all  companies that carry it petflow shows on the site that the  lb bags are in stock order on may th and vet approved was told that on the th its send to the warehouse for shippi"/>
        <s v="products are good but the ones i wanted were out of stock or very low"/>
        <s v="great product price communication and transaction"/>
        <s v="i was very disappointed i ordered my rx can cat food the payment was made the payment was returned this is the first email from petflow i have not received an email why my payment was returned or why i did not receive my order"/>
        <s v="quick and easy  i just entered the order and the vet details and my order was on its way the next day"/>
        <s v="my cat likes the friskies sensation cat foodi wish petflow has a larger selection of cat and dog food that weigh  lbs or less as i grow older i find it difficult to lift bags over  lbs"/>
        <s v="orders are accurate and delivered on time price is a little high at this time but no higher than other sites are charging for same pet food"/>
        <s v="ive only used petflow once first time but everything was great easy to navigate the site received order quickly packaged safely i had a general question and customer service was very nice and knowledgeable ill be a repeat customer and very glad to have fo"/>
        <s v="frustrated with the lack of customer service regarding my cat food order our vets office personally called to ok a prescription diet for our cat as we could not find it anywhere and we were running out we did not get any official notification that you end"/>
        <s v="my items from petflow always arrive quickly and accurately i enjoy using petflow for my dogs needs i highly recommend"/>
        <s v="trustworthy accommodating and much variety"/>
        <s v="products ordered came quickly and accurately the website makes reordering easy"/>
        <s v="we have shopped with pet flow for about  years and they always provide excellent service and products"/>
        <s v="ready for some captains plate sardines  mackeral now look forward to this against the grain next when they are available for purchase again&#10;&#10;thank you for getting this delivery to us as you were the only pet food company that could provide us with shrimp "/>
        <s v="every order i have placed has been canceled i call to verify everything is ok daily i am told that its being packed to ship i call again the next day and am told its shipping that day both orders have done this usually  hours later the order is canceled b"/>
        <s v="im very disappointed as the item u always order was not in stock and currently remains out of stock"/>
        <s v="fast delivery and they carry what i need"/>
        <s v="petflow was very easy to order from and was shipped out almost immediately the dog food arrived very quickly i would definitely recommend them to pet owners"/>
        <s v="ive used petflow on and for  years the delivery has always been spot on but occasionally a food change required a different vendor glad ive returned"/>
        <s v="i am always skeptical when ordering from an online store for the first time no need to worry about petflow my  bags of dog food came in a timely manner and the packaging was neat there was no crushed bags very happy customer"/>
        <s v="i successfully ordered prescription hills md through you and later you told me you were out of stock you should have known you were out of stock before allowing me to order"/>
        <s v="i had not used petflow before but they were one of the few retailers that had the pet food i needed in stock their turnaround time from order placement to shipping was incredibly quick as was the shipping time they were also very communicative each step o"/>
        <s v="ive always been able to change my scheduled auto shipment when every i need to they are quick to response and send out packages very quickly been using this company for about  years and love their services"/>
        <s v="ive never dealt with an online pet store that was so easy to work with they confirm my dogs food prescriptions and still get the food to me in just a few days im looking forward to buying treats and other supplies from them as well"/>
        <s v="customer service was fine but i could not purchase what i wanted to for my cat i ordered veterinary products and i chose the vet i went to from the search i knew pet flow or vetsource would need to contact the vet but did not know how they would then i go"/>
        <s v="i love the service i receive when i place my order if i have any issues i call and the customer service is the best"/>
        <s v="ordered cat food then received email that the order was cancelled because it was outofstock"/>
        <s v="petflow was a great shopping experience but the shipping information was not accurate on the website i did have to reach out to customer service to get the correct information other than that no complaints will definitely shop with them again"/>
        <s v="good communication and reasonable prices&#10;slow delivery time knocked this review down to four stars"/>
        <s v="it was nice that petflow actually carried the brand of dog food i get i was excited to sign up for autoship so i could stop making my husband pick up the dog food  miles away from me on his way home from work my order took over a week to arrive didnt come"/>
        <s v="great quality of products and super fast shipping"/>
        <s v="perfect&#10;fast&#10;efficient as always"/>
        <s v="when i was given a prescription for my cat that had just gotten a procedure to clear a urinary tract blockage i tried having the prescription filled by my regular vet they were out of stock of what was needed so i turned to petflow all my experience with "/>
        <s v="orders are shipped quickly prices are comparable to other companies"/>
        <s v="timely delivery no glitches and great product"/>
        <s v="the products that i ordered were as described at a fair price and arrived on time&#10; very happy customer"/>
        <s v="i had never ordered from pet flow before their website was easy and the cat food arrived promptly"/>
        <s v="i enjoyed finally finding a website that still has my cotton de tulear food that she has been on her whole life and seems to be selling out everywhere i sure hope this website keeps it in stock for the next time i need to order it"/>
        <s v="i ordered a large pet carrier and was sent a small i did contact customer service and they are suppose to send a large that was a week ago so i am still waiting"/>
        <s v="fast easy great price and i stick of my pups fave food"/>
        <s v="ordered for the first and last time when petflow was the only place that had any of my cats specialty prescription food in stock they said they called the vet office to confirm and approve the prescription but did not call the office i gave them and then "/>
        <s v="i use this site to order tracheas for my  dogsthey are a natural treat and my dogs love them this company has been very good about getting my orders to me in a timely manner so my dogs never have to miss their saturday special treat i know their prices ar"/>
        <s v="im so thankful that i found petflow&#10;its nice to know there are online options for my fur babythe prices are great and the fact that petflow gives back to pups in need makes me feel good&#10;thank you petflow"/>
        <s v="petflow usually has products other sites are out of what relief but stock up as things are getting harder to find petflow delivers quickly and in good shape"/>
        <s v="said an item was in stock when it wasnt i waited a week before being notified that it was even in the warehouse to be shipped in the meantime i was counting on the shipment for my diabetic cat i will never recommend or give the company another try"/>
        <s v="great transaction good price free delivery"/>
        <s v="quality communication and price"/>
        <s v="i have  cats two of them are eating special food for health issues it has been hard to find canned food especially proplan since the pandemic i have to search for cat food every week at the  pet stores in our area which is very stressful i was so glad tha"/>
        <s v="when i had a problem you fixed it fast ty"/>
        <s v="i buy birdseed in  lb quantities theseed quality is excellent the mixes are well balanced and the seed is fresh and viable so i am able to germinate some to use as soft food to my birds the price was reasonable when so many others are using inflation as a"/>
        <s v="ive always had a great experience w petflow i even found a better deal at another site and wanted to cancel my auto ship the customer service rep gave me a discount instead and i kept my auto ship active and its still active today excellent customer reten"/>
        <s v="only place i could get this hills formula dry food for my cat my cat is fussy and wont eat other dry foods"/>
        <s v="petflow customer service agents are efficient yet courteous the company clearly embraces the concept of the customer is always right ive been using this service for five years and have always been pleased"/>
        <s v="service and customer service is excellent"/>
        <s v="this was my first time purchasing from this company i attempted to purchase  items of the  items that i ordered i only received  those  items that i did not receive  were charged to my credit card and then i was notified after the fact that these items we"/>
        <s v="easy to order online  customer service is quick to respond  resolve any issues will order again"/>
        <s v="i love petflow much better than chewy"/>
        <s v="the ease of changing or adding to existing orders could be just a little easier its muchimproved from what it used to be for sure but it still takes far too long to setup an order for autoship make it easy and more efficient please"/>
        <s v="every order is fulfilled quickly and accurately and then shipped really fast i love petflow"/>
        <s v="was very disappointed with shipping time for this order and delivery information was delayed twice"/>
        <s v="while i wish petflow did not use fedex i did not get my package or replacement package petflow was wonderful through an annoying process"/>
        <s v="quick delivery on the dog food i ordered im thankful for petflow because they carry canine caviar which is a hardtofind dog food my french bulldog does great on this food no allergies"/>
        <s v="petflow has great pricing and fast delivery they also have great customer service who do a fabulous job of following up on your order i will definitely be ordering from them again"/>
        <s v="super easy to order from and they shipped our food and treats quickly"/>
        <s v="quick ordering process and they obtained the prescription from my vet just as quick where other sites never completed the process it was smooth and i will order again"/>
        <s v="the petflow site was easy to navigate i found the size of the dog food bag i wanted for the right price the communication was superb including delivery information  i would order from them anytime"/>
        <s v="happy with my order pup got a really cute stuffed llama that i had my eye on for quite a while price was excellent also bella pate not always easy to find in a retail outlet"/>
        <s v="the case of hill id digestive care was delivered damaged when i opened the case three cans were blown and the rest had visual damage to each can i called pet flow to advise and wanted to send the complete case back to them they said prescription dog food "/>
        <s v="i placed an order for a second time with petflow first time was great however this second order never shipped and upon inquiring about the status i was informed that our fraud department suggested we not fill this order take care what"/>
        <s v="quick cat food shipping fair price and easy ordering all good"/>
        <s v="i ordered two packages of dry cat food  hills prescription diet gastrointestinal biome digestive  fiber care chicken dry cat &#10;i used to order it on chewycom or amazoncom for medical reasons my cat needs this food unfortunately and for an unknown reason  t"/>
        <s v="took longer than we thought but it was ok but everything was good"/>
        <s v="this was a remarkable experience i received the wrong order i meant to purchase  bags of lamb and peas large breed i received lamb and rice i called and the same day they shipped the correct  bags i wanted&#10;this is a model example of perfect customer servi"/>
        <s v="ordered my pets food that needs a prescription you said it was in stock i looked for a way to email the prescription to you but couldnt find one on your site&#10;&#10;i gave you all the information you need to verify and order to food from my vet a week later you"/>
        <s v="product packed well great communication"/>
        <s v="easy to order through my vet and super fast shipping no complaints"/>
        <s v="the product came on time and as described cant wait to order from them again"/>
        <s v="we are now  days beyond the promised delivery date when i contacted the company they said i should have planned better im wondering if the company even has this product"/>
        <s v="first time i ordered from pet flow my order was cancelled by petflow because my items were not in stock after i ordered them however i had been charged via pay pal and then had to wait for a refund needless to say i cancelled my auto shipment and will not"/>
        <s v="my pets prescription food has been out of stock everywhere for weeks i was recommended a replacement to help my cat while i tried to find something in stock but then i found his diet in stock on pet flow so i chose to purchase that almost a week later i g"/>
        <s v="i was told to mail in the prescription for the productthan i got an email that they did not have the product and now i dont have the prescription&#10;it would have been a lot easier if i was told they did not have it"/>
        <s v="petflow has always delivered when expected there have been a very few rare occasions when something happened due to the courier service but petflow made it right immediately also the food i buy is hard to find in local stores but is available through petf"/>
        <s v="very happy with the experience customer&#10;service very pleasant and speed of order sorry the food is out of stock still but would order here again once it comes back in thank you"/>
        <s v="though my order was sent to the wrong address the company made it right by resending the product to the correct address quickly and without a hastle"/>
        <s v="easy to order delivery was great"/>
        <s v="quick shipping and responsive staff to customer inquiries"/>
        <s v="seemed to take a long time from order to delivery but mist disappointing was a couple of the cans were dented and leaked all the liquid throughout the box"/>
        <s v="excellent service prompt delivery able to purchase an item i couldnt find anywhere else"/>
        <s v="needed to return a bag of cat food that my cats did not do well on wanted to exchange for two bags of a different food was a simple process involving one phone call received a return label to send back unopened bag of cat food and received my replacement "/>
        <s v="fantastic service quick delivery and the food was unspoiled and not damaged will be coming back for more kitty thanks you too "/>
        <s v="petflow does an outstanding job when it comes to providing timely deliveries they also have a wide variety of products from which to choose thank yu petflow"/>
        <s v="i have discovered petflow to be a resource to depend on&#10;the last shipment of the blue wilderness turkey of which&#10;i usually order the  pack of   oz cans   free&#10;shipping included was received minus  carton a quick call&#10;to petflow with no hassel resolution w"/>
        <s v="they had great products to choose from that arrive on time and fast for all things i have ever bought"/>
        <s v="there was some confusion about what and when my order was to be shipped after a few messages my order was delivered and all was well"/>
        <s v="i went with petflow for our dogs food because they had the cheapest shipping rate my surprise was although it was the cheapest it was also the fastest"/>
        <s v="ordering was very easy and they had a much quicker processing time than other places customer service was very friendly"/>
        <s v="my latest order of two  pound bags of fromm dog food arrived in a box that had been badly damaged and the top bag of food had a four inch slash in it dog food had leaked out all over my porch and entryway and no doubt in the fedex truck&#10;&#10;pet flow immediat"/>
        <s v="prescription product was supposedly in stock until i found out days later"/>
        <s v="my dog food order always arrives exactly when promised and that assurance is why i have been a petflow customer for such a long time"/>
        <s v="have been getting my dog food auto shipped for many years i am very pleased with the delivery always on time and always in perfect condition i have not ever experienced a problem"/>
        <s v="twice in the past week i have ordered cat food that was shown to be in stock only to get an email a few days later telling me that it wasnt available that is very frustrating and quite annoying and doesnt make me want to order from them again"/>
        <s v="excellent customer service and customerfriendly policies&#10;i had ordered ver diet food for my cat i used  can out of the case and it turned out that my cat was allergic to the food&#10;&#10;oi called petflow customer service to see if there was someplace local i co"/>
        <s v="i had never heard of petflow before but after another company i use for pet supplies didnt have a brand i was looking for i did an online search to find where to buy my product petflow came up as being one of the companies that carried it after researchin"/>
        <s v="fast service and delivery i had emailed customer service and they responded quickly"/>
        <s v="everyone was out of a particular flavor of the food my kitties really like i added my name to be notified when it was back in stock and they did that promptly my order experience was wonderful  everything i ordered came thru promptly and in good order can"/>
        <s v="got the wrong product they did reach out but still waiting to see how we go about sending it back and get our refund&#10;fran dolmage"/>
        <s v="i place a large order for dog and cat supplies on wednesday it received an order confirmation with tracking number the following monday i recieved an email saying my order would be delivered tomorrow tuesday by end of day&#10;when my order did not arrive tues"/>
        <s v="website was easy to use but unfortunately it said that one of the items i purchased was in stock but days later i received an email that said that they actually did not have it in stock since its backordered they said i wouldnt be charged until they actua"/>
        <s v="was so happy to find and buy these bowls&#10;needed small ones  &#10;needed stainless steel  &#10;needed weighted bottoms  &#10;pretty fast shipping  &#10;thank you so much petflow"/>
        <s v="prices are reasonable shipping is fast happy with the ordering"/>
        <s v="my order was cancelled because my vet for some reason wouldnt approve the prescription food request from petflow and said i had to give petflow the written prescription i have i could not find a way in petflow systems to upload the prescription form on th"/>
        <s v="you guys really should say that you have products available for purchase if you literally dont have any in stock"/>
        <s v="st order  most cans dented  unusable customer service ordered replacement the replacement got cancelled as they were out of stock i had to call again to get the refund the system didnt know it was a replacement&#10;&#10;a week later their site says in stock so i "/>
        <s v="get my name right i did happen to type it out on my information portion of my account not hard figure out"/>
        <s v="best price service and product"/>
        <s v="great price the shipping was good and everything arrived as expected i will order from petflow again"/>
        <s v="absolutely terrible they list food in stock that they dont actually have they then hold funds for two weeks to then cancel the order&#10;&#10;get organized and be honest about what you really have in stock"/>
        <s v="always get what i order in a timely fashion"/>
        <s v="they executed the order beautifully the box arrived as expected i ordered sealed dog treats so i have not opened fully yet&#10;&#10;this is my second order and they have not done well on both"/>
        <s v="one of the few places that has grain free greenies and can ship them expeditiously"/>
        <s v="the product i ordered was shipped and delivered within  days thats amazing"/>
        <s v="i was lied to from customer service they also implied that i was stupid we live out in the sticks and they tried to convince me that fedex was going to deliver to me on easter sunday i do not appreciate being lied to"/>
        <s v="your delivery is exceptional i am also pleased that you carry fromme&#10;there arent a lot of pet stores that do"/>
        <s v="easy to order great prices fast shipping&#10;thank you petflow"/>
        <s v="always have what i need and receive it in  dsys"/>
        <s v="you take orders for items you dont have available"/>
        <s v="order filled promptly and delivered very timely great service"/>
        <s v="there was a bit of confusion between petflow and the vet i received an email  days after i placed my order saying the vet had yet to respond to the prescription the vet said they had no record of being contacted but after i gave the phone number to the ve"/>
        <s v="shipping quick and correct products excellent and as described"/>
        <s v="easy convenient to use one of the items i ordered was no longer in stock i was notified and refunded immediately there is a wide range of products available to chose from at very competitive prices great service"/>
        <s v="my dog now needs kidney support food i ordered her kibble and pet flow contacted my vet for authorization we had her new food in  days thank you pet flow for being so prompt in responding to my request"/>
        <s v="advertised dog food they didnt have felt i was suckered in to get personal information ordered food twice website said in stock they canceled both orders saying didnt have yet didnt change status on the website had also enrolled in autoship website wouldn"/>
        <s v="i ordered food and have been waiting for a response let you with my vets numbers and even left a text per instructions and nothing im still waiting for any sort of reply"/>
        <s v="i ordered a type of prescription dry cat food made by hills hills said you had i in stock and so did your website i placed my order with veterinary information for prescription approval this probably took one day not more than two but as time went on i re"/>
        <s v="awesome company will definitely be using them moving forward to order my dogs food "/>
        <s v="item showed in stock took almost a week for them to state it wasnt available and to check back for when its in stock yet when i looked at their website they didnt change the items availability so just keep taking peoples information even though its not av"/>
        <s v="when i order it says you have product a week later you say you dont have it and cancel order you need to change this no for sure what is in stock this has happened to me before non way to run a business you dont care about the customer doubt i will order "/>
        <s v="we have ordered dog  puppy food from petflow for many years and always received excellent service on our last order of  bags one of the bags was out of the box it had been torn open and taped shut with clear shipping tape there was a fed ex label on it re"/>
        <s v="easy ordering and perfect delivery"/>
        <s v="product bought as advertised online sales works perfectly shipping was fast this is my second transaction with this company and am very pleased"/>
        <s v="ordered veterinarian prescribed food for diabetic cat and was advised through email it will ship within  days was then emailed  days later with a full order cancellation not being aware of how to fulfill orders due to inventory issues is one thing and und"/>
        <s v="ordered but had to update my credit card thought the order was canceled after several attempts after updating the card all orders went through and were processed now i have three bags of food and spent more than that i intended to"/>
        <s v="placed order based on website saying product was in stock vet approved prescription dog food in one day contacted customer service twice over  days to determine order status finally on day  we received an email saying the product was not in stock and refu"/>
        <s v="the petflow website listed for sale prescription cat food that it turns out was not in stock when i ordered that food apparently no one checked whether it was in stock and my order was processed i then had to jump through a number of hoops to get to them "/>
        <s v="one of the kitty litter bags had small tears in it so about a third of a cup was spilled in the box"/>
        <s v="this was a good experience overall products we wanted were available and reasonably priced we even tried a new product that is now a hit in our household  thank you"/>
        <s v="petflow has everything i was looking for the items i ordered were delivered promptly without any damage to bags of kibble or cans ill definitely keep ordering from petflow"/>
        <s v="never received the product after a couple weeks the order was cancelled since the product was never available to begin with apparently petflow has no idea what their inventory actually is i was never actually charged for the product"/>
        <s v="i love petflowcom because they are not the big guy they are all pet passionate people like me they carry products i trust"/>
        <s v="simple to order and came amazingly fast"/>
        <s v="your customer service was as usual excellent but the delivery service was not up to par because they changed the delivery date a few times tho that may have been due to weather problems which understandably is out of anyones control"/>
        <s v="great competitive pricing the only complaint is they make it difficult to cancel existing programs you have to place a phone call in order to do this they do not make it possible online through your account"/>
        <s v="customer service was easy to get in touch with and very courteous"/>
        <s v="customer service responds quickly very helpful  courteous a pleasure to do business with"/>
        <s v="the item i ordered was  and still is  shown as stock on the website it is not in stock had it been out of stock i would not have placed the order when i called petflow to see if they had inventory they told me they could not check because the prescription"/>
        <s v="mostly all my goods are damaged cans are bent and creased and half the treats are in the bottom of the bag for my rabbit treat sticks"/>
        <s v="i am aware no one can predict the weather but this particular order was important on two separate occasions i was informed my order would arrive  as it is i am still waiting below is the time frame which honestly is ridiculous&#10;your package is&#10;on its way&#10;s"/>
        <s v="i am very satisfied with petflo and the customer service i had to call to make a change with special instructions before my delivery and the representative was able to take care of that for me promptly without any hesitation or any issues i would definite"/>
        <s v="i will start by saying they always have what i need in stock which is a huge plus my two main issues are longer shipping times and the last time i ordered i accidentally ordered the wrong size can of food because the picture was of a smaller can it was my"/>
        <s v="high quality difficult to find dog food at reasonable prices fast delivery with free shipping with minimum purchase of  i believe is the current threshold been ordering fromms gold dry dog food from them for years and it is always fresh and genuine its th"/>
        <s v="i love petflow the site is very userfriendly and customizable&#10;i dont like shopping and their home delivery makes getting my pets food a breeze&#10;and they carry my preferred brands"/>
        <s v="i looked everywhere for this particular hills science diet adult tender chicken dinner canned cat food  to  yrsand you folks were the only online business that carried this product for my cat it arrived safely at my frontgate i live in a very rural area o"/>
        <s v="i have used pet flow foe about  years they have any thing you want&#10;relative to dogs and deliver it quickly they can put you on a program for delivery so you dont have to call them they also can deliver to other addresses if you happen to be out of town fo"/>
        <s v="they kept messing my order up double charged&#10;and one of the phone operators was very aggravating"/>
        <s v="on my first order i ordered one small bag of dog food my dog has a few food allergies and this was a new flavor so a  pound bag would do upon arrival i always check the expiration date on all food i order and noticed this bag was about to expire i wasnt c"/>
        <s v="shipping was not as quick as it said but once i called them they looked into it they made sure it went out that day"/>
        <s v="shipping is fast and dog food is fresh"/>
        <s v="quite frankly my disappointment is because i really didnt order this time my order was processed without me hitting the accept button it was sent any way"/>
        <s v="i chatted with a rep to see if petflow carried taste of the wild wet food it was out of stock and rep asked if id like and email when the product came in they emailed me it was in stock i ordered it and it was delivered my dog is a very happy pup now&#10;than"/>
        <s v="had a difficult time find the dog food and found it here quick delivery"/>
        <s v="you charged me for prescription cat food and for non prescription cat food but only delivered the nonprescription cat food"/>
        <s v="one of the few sites that has fromm dog food quick free delivery i also like your give back to the pet community policy"/>
        <s v="fair prices and very fast free shipping i will shop here again"/>
        <s v="fair prices fast shipping large assortment of products"/>
        <s v="i ordered a prescription dog food that was listed as available then wasted time and attention coordinating with our busy veterinarian was never advised the item was on back order and had to reach out to the company to find out the dog food hadnt been sent"/>
        <s v="easy online ordering usually has what i need but doesnt ship as fast as other companies"/>
        <s v="it has been almost two weeks and i have not received my order i called to inquire where it might bei was told to call fed ex the folks at fed ex told me they couldnt deliver my package because the road was to muddyalthough the mail has been delivered ever"/>
        <s v="ordered two items but only one was available real time inventory to indicate whether stock is available for purchase would help the customer"/>
        <s v="great selection great prices great service"/>
        <s v="i am unable to cancel my automatic shipment why is it so difficult"/>
        <s v="i was able to purchase cat food here that i couldnt find anywhere else delivery was quick"/>
        <s v="my order did not arrive on time and my puppy was getting low on food but their customer service was friendly and willing to do whatever to make it right i appreciate the customer service and how easy it was to connect with someone through text to explain "/>
        <s v="the canned cat food i ordered from petflow was out of stock at other major online pet supply retailers for extended periods of time this special food was less expensive at petflow and arrived quick my order was packed in a sturdy box with adequate packing"/>
        <s v="i have been trusting my pets needs to petflow for several years now my food is on auto delivery and can be changed as needed with no problems the customer service has been excellent i have had a small issue here and there and they take care of it right aw"/>
        <s v="right in time delivery fresh food my gsp thanks yall"/>
        <s v="good company to deal with"/>
        <s v="great user friendly site delivery has been fairly quick too i appreciate the auto order program"/>
        <s v="i placed my order for my dogs kibble it arrived in  days amazing so happy with petflow"/>
        <s v="petflow makes it easy to use their autoship easily change the datesthey let you know when its getting ready so you can speed it up or slow it down and the dog food prices are very competitive plus its delivered to my door"/>
        <s v="excellent service quick delivery"/>
        <s v="i received the wrong size canned dog food they could not help"/>
        <s v="do not buy first order wrong canned food then didnt have inventory to send correct food with no time line then requested refund after i returned wrong food next day to them and still one week later no refund"/>
        <s v="quick and efficient delivery of prescription dog food that was out of stock at other online retailers petflow contacted my veterinarian right away for approval after i placed my order very happy with the customer service"/>
        <s v="excellent customer service and lightning fast shipping the fromms crunchy os are my dogs favorite treats and i couldnt locate them while traveling on our rv i found petflow and stocked up"/>
        <s v="excellent customer service and amazing shipping thanks for making it so easy to order"/>
        <s v="great shipping"/>
        <s v="excellent service fast and friendly"/>
        <s v="the order was shipped quickly and with no problems an easy smooth transaction"/>
        <s v="made the switch from the other options out there about  months ago and could not be more impressed from the selection freshness of product speed of shipping that puts the others to shame  not to mention arriving very securely packed without the dented can"/>
        <s v="i needed an addition to my regular order and it was taken care of efficiently and expeditiously"/>
        <s v="ive been a customer of petflow for  years and they are an excellent reliable company i rarely have an issue and when i have its usually not on their end but more so on the shipping and delivery end nevertheless petflow customer service always makes it rig"/>
        <s v="best company to deal with unbelievable customer service"/>
        <s v="love buying from petflow prices are great and shipping is super fast am a repeat customer"/>
        <s v="great online store&#10;lots of products good prices&#10;and excellent customer service support team"/>
        <s v="i give one star because i never actually received the dog food i ordered i placed an order for prescription dog food received notice there was an issue with the prescription so i called the vet but was told the issue was not on their end then petflow canc"/>
        <s v="i have a legged cat that was shot before i adopted him willie is a special guy on a special diet i was running low several pet food outlets said they had none and werent expecting to get any maybe it was discontinued&#10;i should look for a replacement&#10;i foun"/>
        <s v="products have always been delivered on time website for updatingcanceling orders has had glitches on several occasions"/>
        <s v="i thought it took to long to receive my order"/>
        <s v="hands down the best price in bulk cow ears for my dog a local shop wanted twice as much for the exact same product customer for life here"/>
        <s v="i was looking for a place that sold the food i need for my dogs at a good price and i have found it"/>
        <s v="i have been trying to find a prescription food for my cat and was delighted when petflows website said they had it in stock unfortunately it turns out that its probably not in stock the website should be updated appropriately responses to my emails were q"/>
        <s v="easy to navigate web site fast and efficient online ordering and delivery"/>
        <s v="the shelves were bare for the cat food that i have been feeding my cat and i couldnt find her food anywhere i called the company that makes her food they were out too but i was told of a place to call low and behold they had her food so i bought a case an"/>
        <s v="treats almost expired in a very recent order i purchased multiple bags of merrick dog treats  i just realized they all expired already"/>
        <s v="no other supplier had this cat food and my cat really needed it fast delivery and service ill buy again"/>
        <s v="i am a returning customer pet flows prices and their customers service are exceptional i will not shop anywhere else for my doggie food"/>
        <s v="i couldnt find my yellow lab her food anywhere  im used to it being delivered on a regular basis my vet found you online and let me know thanks to you she has her regular diet "/>
        <s v="petflow provides and delivers product as expected the fourstar rating is because of their return policy which is stricter than the other online pet sites"/>
        <s v="great customer service and very fast delivery thanks"/>
        <s v="petflow has always come through on my orders delivery is prompt only issue is every so often delivery service is a little rough with the package  but thats on them not petflow only once damage was excessive called petflow and they took care of it"/>
        <s v="our cats require a prescription food petflow has always had it in stock when others have been out of stock a real life saver weve never had any issues with petflow"/>
        <s v="our order shipped so fast very happy with you"/>
        <s v="i ordered  cases of canned dog food one case turned out to be something different so i called petflow and they gave me a credit for the wrong food&#10;i donated the case to a local animal shelter and i was happy with their service"/>
        <s v="great price on the right product when i needed help with the order telephone help was easy and effective with no wait time"/>
        <s v="petflow has the products i want at a reasonable price delivery is great"/>
        <s v="very hard to find my dogs prescription food but you had it and sent it to me quickly thanks so much"/>
        <s v="i truly love all the products my dog ginger loves them too you are an excellent company i really love doing business with you you are fast and i have never&#10;had a problem with you thanks connie sower"/>
        <s v="great company to work with provides excellent customer service"/>
        <s v="been very happy with the price i pay for my dog food good selection of other items for my dog fast delivery"/>
        <s v="best customer service calls are actually answered quickly by humans that are always helpful and resolve issues"/>
        <s v="my last order was supposed to be  canine caviar buffalo toothpick dog treats  i was sent one in a box so i was  short not the first time that has happened either the most frustrating part about this time was that when i called customer service they said t"/>
        <s v="vet approved and im a vet "/>
        <s v="i never received my order told my credit card was not valid it was a good credit card there was nothing i could do to correct any info so as a result i will not be using your website sorry i like convenience of shopping on line"/>
        <s v="the entire process of getting my dogs prescription liver support dog food was quick and easy"/>
        <s v="great prices fast shipping and easy to use website whats not to love my new goto place for everything my maltipoo puppy needs"/>
        <s v="your customer service team is fast efficient and respectful thank you for hiring outstanding people"/>
        <s v="whenever ive contacted customer service they have always been very helpful and so nice their pricing is great and shipping is fast"/>
        <s v="i am very satisfied with petflow feed products i find this company dependable while trying to keep costs within reason for the consumer i like the convenience of many products available for dogs as well as cats free shipping is appreciated with prompt and"/>
        <s v="my order was accurate prompt and a good competitive price so thankful we found you we will be reordering for our sweet pups and kitties"/>
        <s v="first shipment of dog food was good second shipment had the wrong food shipped"/>
        <s v="they had what i was looking for  delivery was quick and easy"/>
        <s v="love the selection and the speedy delivery"/>
        <s v="i used amazon subscribe  save for years but in the last couple of years it either is not in stock or shipping takes  days petflow has no supply issues ships immediately and is cheaper needless to say i have switched both subscriptions to petflow"/>
        <s v="my dog needed her prescription dog food my normal supplier had been out for sometime i was in a panic reached out to petflow explained the situation how most pet suppliers were out of stock of the hills id small bites food petflow reassured me that they h"/>
        <s v="petflow never fails to provide quick turnaround times and has the food thats best for my dog their customer service folks are the best"/>
        <s v="they have the dog food i want at a price i like"/>
        <s v="ordered little stinker pads received in record time good price"/>
        <s v="fast ship&#10;great product line"/>
        <s v="i was excited to find petflow i ordered my cat food on march  it is now april   i have yet to receive my order i am waiting and hoping it will come soon"/>
        <s v="petflow had my hard to find dog food in stock ordering was easy and shipping was very fast  days second time ive used them and will continue to do so in the future"/>
        <s v="easy ordering quick delivery great customer service"/>
        <s v="i am pleased with the ease of ordering ive found quick delivery on canned food but the large bags of dry food usually take a lot longer to receive"/>
        <s v="everything went very well&#10;thanks for thst"/>
        <s v="although their losing me as a customer is out of their control im unable to give them a better review&#10;perhaps if their leadership would utilize a more reliable carrier than fedex theyd get my business back&#10;they do have excellent customer service and i lik"/>
        <s v="ordered hills rx dog food item was shown as in stock with anticipated shipping date order was accepted days later i received an email stating food was out of stocki thought good was on its way and it wasnt even in stock not a good experiencefirst and last"/>
        <s v="excellent website that makes ordering pet products a snap especially repeat orders really appreciate the fair prices and reasonable shipping rates"/>
        <s v="web site shows product prescription pet food in stock we ordered it and were charged called to check on order and told it will ship next monday several days later i get an email saying the product is out of stock and my order is being cancelled so now im "/>
        <s v="purchased a cat harness sizing was accurate and quick delivery"/>
        <s v="i like the great service with petflow alot time and time again they have what i need for my pup"/>
        <s v="all went well thank you"/>
        <s v="these ppl are so dumb dont bother with a third party place was with chewy for five years never had a problem had to switch to these  for prescription food been with them for  months and had to call  times in one wk bc they couldnt get anything right its n"/>
        <s v="quick service company had product not available at other sites"/>
        <s v="petflow was the only store i could find that had the cat food i needed in stock their price was competitive and they had free shipping the case of food arrived right on time"/>
        <s v="fast shipping good communication "/>
        <s v="great quick service always reliable"/>
        <s v="excellent customer service i had a problem with one of the items in my order but the issue was quickly resolved i highly recommend pet flow"/>
        <s v="you showed  oz cans in the photo and sent me  oz cans&#10;very misleading"/>
        <s v="this company took my order for prescription dog food and sat on it over a week before canceling my order because it wasnt in stock by then my sick dog had run out of food and i had to order from somewhere else"/>
        <s v="not much to add to the  stars i had to call them about my billing address and they were great to work with  friendly attentive and very helpful"/>
        <s v="i have only done  set of purchases so far but am very pleased petflow had cat food that pretty much all other sites and stores do not and delivered as quickly as chewycom would have"/>
        <s v="petflow had our hills prescription food in stock and shipped it to us in j just a few dayschewy stopped stocking our food a while agothank you petflow"/>
        <s v="product in stock as needed and always shipped promptly"/>
        <s v="we are elderly wonderful that the heavy dog food bags are delivered to our front door"/>
        <s v="you keep on accepting my order and then you later say it is out of stock why not refuse to accept the order that you do not have in stock"/>
        <s v="you asked so even though i know it is horrid times to expect our shipments to to be filled  because it was my dogs only source of food and not to be notified until shipment day you didnt have it wasnt what i would have expected notification so i could fin"/>
        <s v="service was awesome wrote an email asking about my order and it was not even an hour and i heard a response i am a customer for good now"/>
        <s v="i have a cat who has no teeth&#10;finding squeeze treats he likes has been a challenge&#10;my cat loves these treats&#10;plus they are healthy treats"/>
        <s v="good fast service good prices"/>
        <s v="im very satisfied with my order from petflow due to the product i ordered petflow had to notify my pets veterinarian  they did this quickly&#10;therefore i received my order within days&#10;i will definitely be ordering from them again"/>
        <s v="you had what we were searching everywhere for unfortunately  days afterwards the quantity was cut in half  stars for a full order but only  for taking away a bag of rabbit cookies"/>
        <s v="horrible the lack of communication with the company and warehouse i called and was told i would receive a call back and never did they had me counting on a shipment for over a week and canceled it  days later due to no product  and for me to find outi cal"/>
        <s v="excellent service of our favorite dog food fromm is the best food"/>
        <s v="website is easy to navigate great pricing and orders ship out quicklyautoship makes it simple to ensure ms hunter always has her favorite food in her bowl"/>
        <s v="glad i found you shipped order right away you made my dog very happy"/>
        <s v="my  year old diabetic cat was out on a diet of royal canin pv diet absolutely no one had this food i found petflow while surfing the web one night and saw that they had the food i needed i ordered the food there was a bit of a delay with my prescription a"/>
        <s v="petflow is awesome great customer service"/>
        <s v="fantastic customer service great prices fast shipping i am trying to purchase less from large retails like you know who and havent had to for any pet food or most pet supplies since finding petflow"/>
        <s v="dog wont eat the food is so stiff if wont come out of can"/>
        <s v="my second time buying my pet food at petflow  what i like the most is the possibilito buy two packs with a better price the delivery is free and is ok  not to fast but ok  is good to know that it took to  days to delivery than you need to buy in advance"/>
        <s v="the process to order a prescription food is ridiculous the instructions on how to handle the prescription are incredibly unclear and the expected timeline of when your order will be delivered even more confusing i placed my order immediately emailed the p"/>
        <s v="great service you had the cat food i needed when every other place was out of stock prompt delivery thanks so much"/>
        <s v="availability of special diet and fast friendly customer service"/>
        <s v="no problems quick and efficient"/>
        <s v="great customer service always have the products that i need when i need them thank you petflow"/>
        <s v="i have been ordering from petflow for sometime now and i truly love it  its hard to find certain brands like fromm from your local pet stores so i airways shop here did i mention shipping is pretty fast i am happy customer"/>
        <s v="i was able to find the food for my cat herehe has ibd and can only eat certain foods these kind people give great service answered all my questions im very pleased with pet flows service"/>
        <s v="i buy crickets very often i got  and  were dead usually always there are some dead but this time the number was higher not good"/>
        <s v="very satisfied with my order i was notified when the treats my dog eats were available they contacted her vets for the prescription information  sent out immediately"/>
        <s v="ordered prescription food on a time crunch confided x with customer service it was ordered confirmed and waiting to ship and then finally cancelled after a week horrible service"/>
        <s v="my dogs love the buffalo treats great value and service"/>
        <s v="they always have what my parrots need and everything is fairly priced"/>
        <s v="i was able to connect with customer service about issues with my prescription and they took care of it and i received my cat food thank you"/>
        <s v="very user friendly process good variety of product reasonable prices love the free shipping with orders over  keep up the great work"/>
        <s v="good products and good service and delivery"/>
        <s v="my dogs food was not available where i usually purchase it so i tried petflow they had the food and i received it the next day i was so pleased to find a company that stocks the dog food i use and sends it quickly and efficiently i have since used petflow"/>
        <s v="after being informed in the th hour from another site that my auto ship dog food was not in stock and the order could not be filled i went to the pet flow site they had the food i needed and it arrived as promised i was very impressed and grateful"/>
        <s v="first shipment was short contacted customer service via email and a replacement item was shipped immediately great customer service"/>
        <s v="very happy you carry verus delivery is quick&#10;thank you"/>
        <s v="petflow was fantastic food was in stock at a great price  even though bigger companies did not have it claiming supply chain problems delivery was super speedy customer service prompt and friendly highly recommend"/>
        <s v="i was relieved that petflow had the urinary diet food for my cat when other big name pet suppliers were sold out ordering ease and timely shipping were other plus factors"/>
        <s v="my vet recommended this website for my prescription cat food i enjoy the fact that you can add promo codes when they arise for online auto ship orders i am also able to get my cat litter&#10;&#10;the only issue i have is that petflow does not sell multicat tidyca"/>
        <s v="have been a satisfied customer for a while with pet flow&#10;more importantly our dog gets excited when his box with his favorite treats arrive&#10;pet flow has acceptable prices and prompt service on their high quality products"/>
        <s v="they were fast with the shipping and awesome prices"/>
        <s v="i have never had to wait so long for an order from pet flow my poor cat has run out of his special diet food and we have been waiting for i order both canned and dry food for him and his canned food is in back order im disappointed on how long ive had to "/>
        <s v="i do like pet flow as my go to food delivery system sometimes the products are a day or two late one of my deliveries actually contained two  lb bags in one box which i was not happy with also i would appreciate some packing like paper or something to cov"/>
        <s v="fast shipping great price and the dog food we needed we couldnt be happier with the transaction thanks petflow"/>
        <s v="i have purchased the oxbow organic hay before and oxbow is a great company the products were fine and the time it took to get the order out was fast however fedex lost the first order not unusual the customer service rep at your company was kind enough to"/>
        <s v="there is obviously a shortage on royal canin cat food and i called royal canaan and they recommended this site so i ordered a case and when they were filling my order they didnt have any so that was that and and i still dont have any food ordered for her "/>
        <s v="i have used pet flow for years and theyve always done a good job and provided what i needed this time they didnt have what i needed and they were a little late in letting me know but other than that i have no complaints"/>
        <s v="i placed my  order for prescription dog food on a sunday night received someone elses order on thursday called customer service and advised of issue asked that they ship correct order at no charge with overnight delivery was told they wont ship overnight "/>
        <s v="excellent service fast delivery"/>
        <s v="impressed the dog food arrived in perfect condition in a box that fit the bag something that doesnt happen with other companies"/>
        <s v="i love petflow for great customer service fast and reliable service great dog food for my babies in great price&#10;im petflow customer since i became doggy mommy almost  years ago my  golden retrievers are doing amazing on farmina food"/>
        <s v="i adore petflow i love what the company is and stands for and the donations they make unfortunately they just dont have everything i buy for my pets so i find myself going through other companies to get them i would love to see them grow though and offer "/>
        <s v="good service although a bit slower than our other service which may have been due to the vet not responding promptly"/>
        <s v="this was my first time ordering with petflow and i must say it was great it was a prescription food it was faster than ordering with chewy would highly recommend"/>
        <s v="had the product my babies needed when everyone else was out fast and easy checkout and fast shipping"/>
        <s v="quickly received ill be back "/>
        <s v="great service had the items i needed and i love the giving back to needy animals"/>
        <s v="i get the same dog food every time last time i ordered it took longer than expected to receive it but this time it was tracked and arrived earlier than expected totally satisfied"/>
        <s v="great service good prices"/>
        <s v="normally i am very happy with petflow with the exception of some packaging missteps this time it just took too long to get here but everything else was good not sure if that was due to the shipping issues the country is having now or if it was internal by"/>
        <s v="i received a substitute product that would not work in my household of pets i called and immediately the product i had ordered was sent to me from a different warehouse"/>
        <s v="great to deal with fast shipping highly recommend"/>
        <s v="fast shipping not a big selection of fish products but what they do carry have very good prices"/>
        <s v="all of my normal vendors were out of my babys food but i was able to order via petflow and it arrived within  days thank you"/>
        <s v="i am very happy to have found petflow i run a neonatal kitten rescue and it is vital i am able to find the same productsfood i use on a daily basis not being able to find and purchase certain foods is critical for some kittens i only leave one star off be"/>
        <s v="petflow was the only location i could find the prescription food i needed for my cat everybody else was out of stock it took  business days to get the vet approval and to receive the order longer than other vendors but at least they had what i needed over"/>
        <s v="after i gave my credit card info and counted on receiving the shipment i was then told later on that it was out of stock"/>
        <s v="the order process was great as wellas the returns my dog food that i ordered came in a package all tore up delivery by fedex which i have issues with with other shipments from now on i will not be buying anything on line from companys that use fedex"/>
        <s v="waited  months for my cats favorite wet canned food to come in finally got a notification that it was in and would be shipped to me i noticed the address was incorrect  old address so i corrected it after another week i got a notification that it would be"/>
        <s v="i just ordered from petflow for the first time and had a great experience the food i needed was in stock and i was able to get a discount as a firsttimer the package arrived promptly i have no complaints"/>
        <s v="good selection prices and delivery"/>
        <s v="love love petflow they had my cats food in stock when no another vendors have it and shipping is fast thanks again petflow for keeping my cat happy"/>
        <s v="i was grateful to find petflow because they were the only company online or in store that had stock of my furboys prescription food as a pet parent i was panicking they handled contacting our vet for the prescription  had the food to us within a week than"/>
        <s v="well considering i only got part of my order and nobody knew where the rest of it went and they had to reissue it as well as it being prescription food and first time ordering with company id say it didnt go well"/>
        <s v="had competitive prices with other online retailers customer service prompt and pleasant when i called with a question fast shipping all as expected had products when other online retailers were out of stock"/>
        <s v="easy orderinglove getting the discount  really helps in this day and time please continue offering more higher discounts and customers will choose you every time shipping was quick great packaging thanks"/>
        <s v="great prices on fromm dog food fast delivery on a great product"/>
        <s v="i have shopped petflow for years and have always gotten accurate orders fast shipping and very good pricesespecially with autoship"/>
        <s v="i didnt get the flavor cat food i ordered  its my cats favorite and the reason i ordered from you"/>
        <s v="i have ordered from them only a couple of times but i received good service and a timely delivery"/>
        <s v="great service fast delivery "/>
        <s v="petflow shipments are always late will not be ordering from petflow anymore"/>
        <s v="always helpful customer service ive been with them for more than ten years much easier than schlepping to the store every month to buy their food i have five doggies"/>
        <s v="price is reasonable slow on shipping and several of the cans were dented and caved in so will check careful for leaks before i feed my dogs"/>
        <s v="i love the service its so quick and every order is always correct"/>
        <s v="petflow since they came online has been an important part of my supply chain&#10;reliable  good prices  helping animals&#10;thank you"/>
        <s v="petflow took care of my request and shipped my order rapidly this was much apppreciated"/>
        <s v="great product fail on fedex ground delivery&#10;driver didnt delivery on first attempt drove past my house need to address this"/>
        <s v="i was truly in a bind trying to get prescription cat food fast for my cat with a newly diagnosed urinary tract disease the gentleman i spoke with over the phone was compassionate toward my situation and genuinely helpful in quickly getting my prescription"/>
        <s v="petflow has been excellent with every order i have placed i will continue to use this company and products"/>
        <s v="usually a  this was only a  as one of the cans was dented"/>
        <s v="petflow carries the brands of foods i use for our cat  guide puppy in training our guide dog school likes us to use fromm family foods fromm is made in the usa  fromm brand is not carried by many stores or online shops auto ship helps me be sure not to ru"/>
        <s v="fast shipping new customer very happy autoship prices are very good"/>
        <s v="competitive pricing dependable shipping and carries prescription food at better prices than the vets office offers"/>
        <s v="first time using this business and it was a very positive one i ordered a large bag of victor dog food and it was delivered very quickly will use them again"/>
        <s v="very helpful and extremely friendly"/>
        <s v="the only place i can consistently find my dogs brand of food easy to ordrr and fast shipping prices are reasonable as well with autoship the prices are even better"/>
        <s v="i purchased science diet wet puppy food for my new puppy and he refused to eat it i contacted customer service by email and explained my situation that same day i received notification that i was being refunded my purchase price&#10;that is excellent customer"/>
        <s v="i purchased an item online said only two left i ordered two got an email the next day they were our whats the point of having an inventory notice online if its not accurate and other orders are allowed the product you just paid gir disappointing"/>
        <s v="horrible buying experience i will never buy it from you guys again"/>
        <s v="wow customer service fast and genuine  but this is also a rare company that gives back in amazing ways sure they are smaller but thats where usually the care happens thank you petflow"/>
        <s v="since there is a shortage of my dogs prescription diet i called several times to get information on deliveryevery time i had a helpful and friendly employee on the phonethey understood my concerns and did everything possible to helpmy pup got his food tha"/>
        <s v="i would give it  stars except that the flap doesnt quite close otherwise it is a good door for the price that allows my year old great dane not to have to stoop as much as he goes through"/>
        <s v="easy to order and at a great price so impressed that i chose to have a standing order for our beautiful breezy"/>
        <s v="quick response time and friendly customer service"/>
        <s v="i like that pet flow is accurate with the information they share with me and the options i have with my orders thats really important to me id also like to ask that the dm food i get from now on be the savory select cat food instead of the pate which my c"/>
        <s v="happy with the product however when i ordered it said it would ship immediately and  days later it finally shipped i needed the dog food and with that  day delay it made me go purchase a smaller bag to get me through"/>
        <s v="very easy online ordering and pretty fast delivery im not able to purchase fromm dog food where i live i actually found petflow on fromms website"/>
        <s v="very fast delivery"/>
        <s v="i ordered the dog food on march th still waiting delivery its been almost two weeks my orders from pet flow in the past have been delivered quickly"/>
        <s v="shipping takes too long but i can deal with that what is unacceptable is when you have items listed in stock when you really dont specially when it comes to items that need a veterinarian prescription i dont care how big of a company you are thats why the"/>
        <s v="very easy to order prompt delivery of product ordered"/>
        <s v="my order arrived in a timely manner beautifully packed with recyclable materials i received discounts that compare favorably to other online pet suppliers i wanted to order fromm products and fromms familyowned company will only sell through certain compa"/>
        <s v="pet flow was willing to sell me a product they did not have in stock pet flow said that the manufacturer hills science diet had the pet food in their warehouse i telephoned hills science diet and they also report not having the purchased cat food in stock"/>
        <s v="in my last order for dog food to petflow the order was first just later than expected when i called up customer service i was told that orders were piling up at petflow but that the order would be given an expedited designation by the customer service per"/>
        <s v="best company ever ive used them for years theyre dependable and refund your money if your dog reacts badly to a new food or treat etc or if a treat they sold has been recalled by its company which is not petflows fault their prices are even lower than che"/>
        <s v="great service arrived quickly and got exactly what i ordered"/>
        <s v="my dog loves this dog food and it was very quick getting to us thankyou"/>
        <s v="product almost always in stock good variety of the brands my dogs use quick delivery but the packaging always arrives damaged likely because its just too heavy"/>
        <s v="i ordered two bags of dog food and it was delivered in a beat up box and dropped  feet from my covered porch in the rain sure the seller didnt leave it in the rain but are responsible for the safe arrival of the package my star rating is because i contact"/>
        <s v="ive been buying from petflow for years and im very happy with their products and prices the only issues i ever have is with the delivery companies constantly changing the delivery date otherwise i love petflow"/>
        <s v="service was good and efficient price seems a bit high pound bag of dog food was twice the price i would have paid for a  pound bag at walmart but with transportation down would order again"/>
        <s v="petflow always comes through for me no complaints"/>
        <s v="perfect timing to get my prescription food for my kitty"/>
        <s v="until now i have had no issues with petflow  order food for dog  dog food delivered promptly&#10;&#10;this time i ordered the dog food as usual and have waited waited waited for it to be delivered three days after getting this request for a review i have finally "/>
        <s v="this is the only place that has my dogs treats customer service has been great with changing a delivery date due to weather and checking on expiration dates"/>
        <s v="you got always what i need for my pets and more and the shipping is always on time"/>
        <s v="super slow at shipping that makes me not use them often"/>
        <s v="excellent service delivery etc i love petflow"/>
        <s v="im so happy to have found you you will have a customer for life"/>
        <s v="my box was damaged along with the contents inside i emailed explaining what happened and was not satisfied with the customer service will never be ordering from petflow again and will tell everyone i know not to horrific"/>
        <s v="fast excellent service"/>
        <s v="good prices and fast delivery i will continue to order from you all and recommend your site"/>
        <s v="i placed my order and then called tomake sure that the product was in stock i was told the product i wanted  oz can was not available but they would change it to the  oz cans i told the gentleman that it wasnt my first choice but if he promises thatthe pr"/>
        <s v="i love petflow shipping is fast customer service is great and i especially love the fact that they feed shelter animals every time you make a purchase"/>
        <s v="excellent service dependable"/>
        <s v="we are very happy with petflow they always have exactly what we need and we receive all products in a timely manner"/>
        <s v="with petflow i have been able to find good quality pet supplies at exceptional prices and i usually receive my order the next day i have no complaints"/>
        <s v="i contacted petflow about getting food for my dog the representative had the information already on file and was extremely helpful she notified me of the automatic refills and i received the food after three days very efficient and i would recommend this "/>
        <s v="product was great but delivery took  days to long for the premium price"/>
        <s v="you usually deliver quite quickly but this took a week in addition there was just one sheet of brown paper and many of the cans were dented"/>
        <s v="real quick in shipment and correct itemresonable price"/>
        <s v="ive always had good experiences with pet flow but the last order had some issues a bag of dry dog food had a hole in it and some of the cans were dented pretty badly well i contacted their customer service and they sent out a completely new order for free"/>
        <s v=" times i have ordered from your company and each time the shipping has not been what was stated it has each time shipped later than the stated ship date when i would inquire there would be excuses your prices are the same as competitors but their shipping"/>
        <s v="the petflow folks are always helpful great products for my animal kids  thank you"/>
        <s v="would not accept a copy of the prescription for medications wanted it mailed caused further delays other online firms dont require this"/>
        <s v="i am very pleased with petflow  the pet food i was needing was not in stock at a local big box store that normally has the best price petflow had it in stock smaller poundage however with their  off first  autoship orders i was able to get more pounds at "/>
        <s v="had the products i wanted and received items quickly"/>
        <s v="timely delivery and had my cats prescription food when other vendors did not"/>
        <s v="i did not hear from pet flow quickly that they could not fill my order of specific dietary cat food but they cancelled my order and i believe will not show on my credit card i understand there is shortage of pet food right now but their website said in st"/>
        <s v="i ordered a food which my pets really need since it is prescribed it was out of stock but i wasnt told promptly i had to contact support to learn they were out and planned to cancel my order days later "/>
        <s v="great products fast shipping"/>
        <s v="excellent product quality very professional customer service prompt delivery"/>
        <s v="i love petflow they feature my dogs brand of food which he has eaten since birth fromm as well as a good selection of treats and toys ordering is a breeze online and the deliveries are prompt even with all the delays in the supply chain and delivery servi"/>
        <s v="my dog was given dry dog food canned dog food and pet flow dog food all at the same time he rooted around until he found the pet flow that is always his first choice he loves it"/>
        <s v="outstanding company with great service prices and fast shipping"/>
        <s v="they always seem to have our dogs food whereas as certain stores rarely do and im continuously told that its all due to covid which im sick of hearing yet petflow always comes through which is why ill continue to purchase our dogs food through them depend"/>
        <s v="i feel that if you sent the prescription authorization for all  bags of food to my vet they would of be authorized by sending over a script for  bags then another for the remainder bags caused a problem and  script was denied for being a duplicate"/>
        <s v="my products were delivered in a timely fashion and no damage to any of the cans"/>
        <s v="great deal kept me apprised of the status and arrived as promised"/>
        <s v="i have been a customer of perflow for years always happy with the products they carry and their customer service department"/>
        <s v="i was waiting for my order on  shipped on  delay in arizona delay in san diego  delivered on  i dont know the delay problem&#10;felipe lopez"/>
        <s v="website is ease to use service has been good prices reasonable"/>
        <s v="excellent prices fast shipping thank you"/>
        <s v="received fast shipping on product and prompt and courteous customer service from petflow reps"/>
        <s v="petflow had the food that i needed for my dog in stock and less than  hrs of placing the order my vet sent in the script and the food arrived within  days int was great ti be able to find the food that was hard to find on other sites"/>
        <s v="excellent customer service great and fast shipping very pleased"/>
        <s v="we have used petflow for dog food purchases for about a year everything about the service was great however my low rating is based on the customer service interface on their website i discovered i can buy the product cheaper locally and tried to cancel my"/>
        <s v="the beef pizzle steer bully sticks dog treats gave both of my shih tzus terrible diarrhea and i only gave them a small piece"/>
        <s v="i have ordered online for the convenience but your delivery company has made it inconvenient i am sorry but trying to carry a large heavy box from my condo mailboxes to my unit so it is not stolen is too difficult my daughter will pickup the food at her l"/>
        <s v="easy to order and find items on your web site fast delivery and friendly help"/>
        <s v="great prices dependable free shipping"/>
        <s v="my dog food arrived quickly and was just what i ordered will use pedflow again thanks"/>
        <s v="i ordered an instock item which took two weeks to receive and then it was the wrong item first and last time ordering from this company"/>
        <s v="they had the food when no one else did and shipped it quickly happy customer"/>
        <s v="fast delivery of the perfect puppy food for my little baby going to order some more puppy treats so glad to offend you all"/>
        <s v="delivery is a little slow i sent coupons to you but they were never applied to my account they should have been sent back to me thats bad business"/>
        <s v="the prices are comparable to other sites but petflow offers coupons and deals that keep bringing me back to shop here shipping is fast too"/>
        <s v="the lid on my automatic dog feeder and water combo was broke when i got it"/>
        <s v="it was easy to place my order and delivery was in a timely manner i will order again from petflow"/>
        <s v="with shortage of pet food currently challenging all pet owners i appreciate your quick shipping policies i realize that it is hard to keep stock on hand and you certainly helped us secure supplies for our  cats thanks for the prompt service and we look fo"/>
        <s v="prompt when shipping items in stock not so prompt in communicating when items are back ordered and the website shows them still in stock i placed an order my vet approved february  i checked on it february  and was advised the wet food was cancelled becau"/>
        <s v="packaging was poorly done on feed bags needs to send in stronger boxes"/>
        <s v="everything arrived in good shape happy with my purchase"/>
        <s v="great products and fast delivery recipe for success"/>
        <s v="it is helpful to have pet food delivered pet flow gets my order correct and it comes on time thanks"/>
        <s v="thanks for having the food i wanted when no one else did quick delivery too"/>
        <s v="always reliable for stock and fast shipping"/>
        <s v="my order was shipped fast well packed&#10;it was here in a timely manner very pleased with transaction will buy from again h"/>
        <s v="shipping is too long and items arent shipped together"/>
        <s v="great first time buyer experience delivered in a timely manner and in good condition"/>
        <s v="great customer service easy online ordering prompt action and delivery thanks petflow"/>
        <s v="for years i have been happy with petflow"/>
        <s v="petflow prices are very competitive and their shipping speed is excellent i had a question once and received a reply within minutes not hours or days like some other companies very pleased with petflow"/>
        <s v="what a great company fast shipping great products when i searched many sites for my cats favorite brand with no luck i found petflow very happy i did would highly recommend"/>
        <s v="some cans were damaged and dented it would be good if the products are in good shape prior to shipping"/>
        <s v="i was so impressed the package was delivered within just a couple of days impeccable execution"/>
        <s v="not happy back order food reordered and delivered without the discount thinking about switching to chewy"/>
        <s v="hard to give a review when i havent received my order yet because it has been delayed  times i know that times are hard for a lot of companies so im going to keep my fingers crossed and hope the cat food gets here before our cats eat us "/>
        <s v="quality dog food good prices fast delivery"/>
        <s v="they always have what i need in stock at reasonable prices and i usually receive my order within a week great customer service too"/>
        <s v="love it great place to shop"/>
        <s v="every time i reach out to petflow they resolve an issue almost instantaneously my cat food cans came completely dented and partially opened they replaced all of them quickly my  off coupon didnt go through they credited it immediately their customer servi"/>
        <s v="the cat food i bought to help my cat lose weight is inferior to purina products in every measurable metric these varieties contain ingredients that should never be fed to a cat"/>
        <s v="great service great quality great prices"/>
        <s v="the instinct dog food is great howeer the fedex shipping sucks the package sat on the truck for  days being listed as out for delivery as common occurrence i would order from petflow more if they did not use fedex"/>
        <s v="when i order my food is always delivered very quickly without any delay or problem we have been getting our two dogs food from petflow for years now and are very happy with the service we have received"/>
        <s v="i really enjoy petflow you have all the dog food products i need  its delivered in a very timely fashion"/>
        <s v="i wish you could get expiration dates on products before they ship especially on auto ships"/>
        <s v="as a new customer with  cats and a feral family of cats ive been pleased with the product selection and the timely shipping thanks"/>
        <s v="my first order and it was easy and arrived quickly"/>
        <s v="great customer service over the phone as i was concerned about being out of food and they were receptive and put the order as a stat order"/>
        <s v="very happy with the delivery process and how fast it arrived"/>
        <s v="a year ago i would have given you five stars but in the last two months or maybe three you have not been able to deliver the kind of pet food my dog eats honest kitchen turkey or chicken and the last time i ordered stellas beef you sent only a very small "/>
        <s v="i am very satisfied fast delivery discounts "/>
        <s v="great prices communication and follow up always a pleasure to do business with"/>
        <s v="thank you so much for getting charles his food so quickly hes had pancreatitis for almost a year which means he is on a very strict diet of prescription foods only i order on monday and you have charles his food by thursday friday at the latest thank you "/>
        <s v="easy to place an order and quick and timely delivery"/>
        <s v="fast and easy helpful customer service and great products"/>
        <s v="fast delivery and quality product damage that required disposal of some product but unclear if result of shipper or not"/>
        <s v="appreciated the quick turnover and delivery of y prescription dog food and the good communication about timing"/>
        <s v="good price  fast shipping"/>
        <s v="i like the decent prices and fast delivery however every package arrives damaged everytime the contents are often damaged too they would get a higher rating if that is remedied"/>
        <s v="for the last three shipments it ran into several issues&#10;for various reasons my shipments were delayed&#10;i no longer can rely on the fact that my dogs food will be delivered in a timely manner&#10;i am looking into over options"/>
        <s v="great selection received everything quickly on time and as ordered"/>
        <s v="two months in a row they messed my orders up so bad i had too buy dog food to get them through until delivery it caused my dogs upset tummies loose poo and itching doesnt make them or me very happy&#10;&#10;i have had issues before but this is the last time i do "/>
        <s v="got the prescription promptly after poor start now all is well good service fixing the early problem"/>
        <s v="i cannot give a review as yet because my product has been back ordered for some time i am a first time purchaser at pet flow and found the website to be easy to navigate i browsed through the site and found so many good products  products i will definitel"/>
        <s v="great service  fast shipping "/>
        <s v="i was pleasantly surprised at how quick i received it"/>
        <s v="i love ordering from petflow for all my pets needs dog food cat food treats and anything else that my pets need i love that they are a small business and they have great customer service and always keep everything i order fresh i have been buying from pet"/>
        <s v="petflow had what i was looking for and at a good price and the shipping was fast"/>
        <s v="it took way too long to receive my order chewy does a much better job"/>
        <s v="we received our order on time and free delivery was convenient"/>
        <s v="i love petflow easy ordering and quick delivery never any issues at all so glad i found this company"/>
        <s v="love pet flow have used them for over a decade highly recommend any customer service calls are quickly resolved but i have only had  the whole time"/>
        <s v="customer for years pet flow is our favorite dog food center"/>
        <s v="the price is fair and delivery was quick"/>
        <s v="the prices are good shipping was quick and i was kept up to date from the order confirmation through the delivery notification"/>
        <s v="we and our cats loved all the toys we selected and they arrived safely and&#10;in a good amount of shipping time will order more in the future"/>
        <s v="ive ordered twice in the last couple of weeks prescription cat food and nexguard and both times they reached out to my vet in a timely manner and i received my orders within a few days&#10;will definitely use them again"/>
        <s v="good prices fast shipping"/>
        <s v="petflow maintains a huge assortment of animal foods and provides prompt shipment"/>
        <s v="was told shipment would arrive in  days was told on fifth day being delivered between  am and  or  pm didnt arrive until  days later and no one worked over weekend to assist me&#10;&#10;good prices bad info order well in advance of day needed"/>
        <s v="i changed my address  weeks before moving in november placed an order for  weeks after the move and my food was still delivered to the wrong address customer service never fixed it placed another order in feb and it was also delivered to the wrong address"/>
        <s v="pet flow did everything correctly fedex lies and claims they deliver packages when they do not"/>
        <s v="i feed a very good high quality dog food i live in a small town and unfortunately the little store where i purchased my dogs food stopped selling all pet products i was going to have to drive  minutes each way to another city to get dog food a friend in t"/>
        <s v="good selection and prices during a difficult time but i was disappointed that two items i ordered turned out to be out of stock but that was not indicated at the time i placed the order i only found out later when the instock items were shipped and as a r"/>
        <s v="petflow is great they consistently have my pups dog food in stock as well as some cool toys "/>
        <s v="everything is wonderful except for the fact that its difficult to cancel reoccurring orders this shouldnt be made into such a hassle that i have to call for that to be done"/>
        <s v="happy i made the switch&#10;&#10;i recently switch from a competitor to petflow for all my daily pet needs i made this switch because their prices were simply better lower than the leading competitor for same or similar products delivery service is as good if not"/>
        <s v="no problem with company but will only ship with fedex and fedex lost my package so never received my order from petflow and what i ordered has been on backorder ever since"/>
        <s v="bought a case of cat food from petflow as chewy was out of stock at the time and product did not ship for over a week at the end of the week i cancelled the order and emailed customer support which confirmed order would be cancelled two weeks later my acc"/>
        <s v="my order arrived on time in great condition and my pup loves her new food"/>
        <s v="super easy shipping and processing experience they contact the vet directly and deliver incredibly quickly"/>
        <s v="treats were shipped really fast and was a better price and service compared to amazon"/>
        <s v="fast delivery especially good for heavy stuff i just wish there was a wider variety of cat treats and toys the dental treat that i wanted to get was sold out its been sold out for a while hope its restocked soon"/>
        <s v="the ease of ordering and how fast my order arrived was awesome"/>
        <s v="i had the best girl with customer service who was able to secure a nice discount for our auto ship order thank you"/>
        <s v="the system has twice now changed my auto delivery date to a year in the future making it impossible for me to correct it online and schedule an immediate delivery because i am only allowed to select a delivery date after the last delivery which according "/>
        <s v="placed my first order with petflow and had a issue locating my order details i contacted petflow customer service and received a a response within  hours that resolved my issue very impressed with their response to my questions and received my order on ti"/>
        <s v="i love petflows selection and mission please try to have your shipping times better reflect how long it will take with the supply chain issues it would be better to say a package will arrive later and be happily surprised if it arrives early vs saying it "/>
        <s v="petflows shipping was quick and efficient i love that my order is helping others in need im glad that my pets food and supplements are available through pet flow the only thing i ask is to add merrick canned dog food with healthy grains"/>
        <s v="i had a problem and their customer service rectified the problem&#10;very pleased with how it was handled"/>
        <s v="fast shipping product arrives in great shape no holes or banged up boxes auto ship is flexible and ways to edit great notifications for shipping and arrival always fresh food with good dates"/>
        <s v="most of the representatives i spoketexted with were wonderful i was disappointed because while waiting for prescription dog food to ship i was given a few different responses depending on who answered petflow customer service line&#10;but now i received what "/>
        <s v="took a little longer than estimated for it to ship but thats probably the manufacturer availability being what it is right now for pet food i am extremely happy to have found another resource for prescription kibble fast handling  shipping when ready"/>
        <s v="pet flow order came even faster than expected"/>
        <s v="i ordered prescription science diet cd canned food it arrived on time this is the first time i ordered from petflow i hope to order from them later intime"/>
        <s v="my cat winnie loves nutro wet cat food and i was able to find the wet food winnie loves petflow sent it right out to us quickly i am happy i found petflow"/>
        <s v="food is shipped quickly every time and communication is excellent wish theyd get rid of the one button in checkout that makes you check just ship once every time"/>
        <s v="i have relied upon petflow for hard to find foods even from online sources their product delivery is fast and reliable their website is efficient and easy to maneuver no problems have cropped up as happens sometimes on amazon i have always been pleased wi"/>
        <s v="pet flow was the only place that had the prescription food i needed&#10;they were very helpful by making my order a critical ship so that i would have the food in time for my pet to be boarded"/>
        <s v="i have been shopping at petflow and am very pleased with their products price  service they are prompt on shipping and keep you informed if there are any issues with your order my dogs love the bones  beef tendons"/>
        <s v="never received what i ordered  days later they told me it was ever in stock i will never order again from this loser company"/>
        <s v="i appreciated being informed that you were out of an item i was refunded promptly i had ordered  to take advantage of free shipping i inquired if i was going to be charged shipping on the one item it took some time to verify that i wouldnt be charged than"/>
        <s v="no complaints &#10;i got what i wanted and it came soon"/>
        <s v="this company stinks i ordered enough to get free shipping then they email me and say they do not have the dog feeder that was the entire reason for the purchase so i ask them to cancel it it was already shipped so i ask can i return it  they said yes and "/>
        <s v="i ordered prescription cat food said it was in stock but it wasnt after waiting for shipping confirmation that never cae after several emails i was informed that you canceled my order "/>
        <s v="petflow needs some serious work on its autoship program i am supposed to get a shipment of dog food every three weeks my autoship records show my last shipped  and my next ship date  considering this is only february your autoship program needs some serio"/>
        <s v="you provided excellent service my order was shipped when i was told and it was complete i will definitely be reordering thank you"/>
        <s v="fast easy ordering and my dog loves the food"/>
        <s v="petflow is a wonderful place to get everything for your furbaby their prices and stock are superb and they ship immediately im so glad i found them"/>
        <s v="weve ordered from this company many times and have only had one issue which was out of their control canned food arrived badly dented but pet flow immediately issued us a replacement other than that their delivery service is fast and good i would recommen"/>
        <s v="i reached out to customer support they responded very quickly and were very helpful and easy to work with"/>
        <s v="i have not received my order and have not heard back from petflow"/>
        <s v="you had the prescription food i needed when no one else did  thank you"/>
        <s v="i texted petflow with an issue i was having with my account they contacted me shortly afterwards asked for my email address associated with my account and fixed the issue within minutes the associate who helped me was polite informative and a pleasure to "/>
        <s v="shipment was much faster than chewy within my own state whose ship center is only maybe an hour away from where i live thank you as i had ran out of food for my dogs and this shipment was well packaged and super fast"/>
        <s v="i adopted a special needs cat and we rely on hills prescription diet digestive care canned food he came to me with a  can supply and it works really well for him to maintain his weight and keep his tummy happy its the only food he can eat without it comin"/>
        <s v="on time when product is available"/>
        <s v="great product but i knew that glad i could get it deliveredseemed almost twice as expensive as my local source"/>
        <s v="great shoplow pricefast delivery"/>
        <s v="no issues order was received quickly except for the bengals shirt wasnt in time for the game but understand it"/>
        <s v="great deals on dog food with quick delivery"/>
        <s v="this was my first order and was pleased with the entire experience&#10;looking forward to ordering when i need food again"/>
        <s v="i ordered the van ness medium crock heavyweight dishes the dishes were delivered in a timely manor and in excellent condition the price was outstanding we are very happy with petflow and will order again"/>
        <s v="was disappointed in how long it took my order to get here"/>
        <s v="petflow was efficient with excellent customer service will continue to order from this fabulous pet source"/>
        <s v="my order never arrived fed ex said it did but there is no  pound box of dog food anywhere"/>
        <s v="by requiring our vet to set up an account with your company you made it impossible to purchase our cats prescription diet so we went with another company that easily connected with our vet and got the job done your customer service was friendly and easy t"/>
        <s v="i have had my dog food delivered by petflow for several years all was good until the last  mo of  my orders were delayed to the point of having to go to a retail store and purchase dog food on  occasions one order was  days late thankfully as of  things a"/>
        <s v="very angry with you because i could not buy the food for my puppy since you asked the veterinary clinic for a code in the mail that you sent and they did not know what the code was i hope that in the future you will cause fewer problems and help more"/>
        <s v="pet flow never disappoints me or my fur babies my orders are sent quickly and always correct rarely do i have to call customer service and only if i need to make a change to my auto orders i am a very loyal customer and dont plan on changing "/>
        <s v="easy ordering quick delivery makes it so easy thank you"/>
        <s v="i ordered a product&#10;&#10;there was some type of glitch in my credit card process&#10;waited and waited for the delivery&#10;&#10;finally called and then was told of the issue&#10;&#10;no email&#10;no notifications&#10;&#10;just left in the dark&#10;&#10;i ran out of dog food for my dog while at my "/>
        <s v="this was my first order with petflow they had product in stock that i couldnt find elsewhere and they shipped fast very pleased"/>
        <s v="with the problems today about getting pet food it is reassuring to me that when i order food for my cat or dog it is never out of stock well done and thank you"/>
        <s v="the site shows in stock when in fact it is not&#10;when you call customer service they tell you it was just purchased  its now unavailable&#10;yet a few days  now weeks later it still shows it is in stock&#10;this place cannot be trusted"/>
        <s v="ill have an opinion when i confirm the new bag my dogs food came in and more often than not the bags are slicedripped open slipping in the box theyre delivered in resulting in having to get a new bag which costs your company more money your staff needs to"/>
        <s v="use a different shipping company took  days to get to me "/>
        <s v="my cat had emergency surgery for bladder stones i had to immediately switch his food and everything was prescription level i couldnt find it anywhere locally this happened over the weekend the price from pet flow was among the lowest i could find if not t"/>
        <s v="the shipment was packed the best that i have seen no bent cans package was far better than other vendors that i have bought from"/>
        <s v="i have been using auto ship with this company for quite sometime and have liked the product for my dogs recently tho the food we choose has been out of stock and this disappointing hopefully this will be in stock again soon"/>
        <s v="my papillons love fromm duck  veg i mixed it with their old dry food  they would sit  pick out the fromm duck"/>
        <s v="the order was filled as promised i ordered aquarium supplies gravel and lighting and arrived as ordered shipping was a little slow but there were delays due to weather from fedex the new jersey warehouse was out of one of the items i ordered but quickly f"/>
        <s v="petflow provides everything i need for my senior dog nora prices are competitive items are in stock quick delivery and outstanding customer service we are happy and loyal customers"/>
        <s v="i ordered cat food&#10;the order didnt go through  petflow said that the vet didnt think they were a reputable vendor&#10;never heard that before"/>
        <s v="have been using petflow for years&#10;&#10;love the price and free delivery phone staff are always friendly products are what i want for my furrbabbies usually get them a toy great selection"/>
        <s v="website listed my cats prescription cat food as available so i ordered it several days later i receive notice that it is out of stock so now my cat has to go a few days without her prescription cat food this was my first time using your company and it wil"/>
        <s v="very nice company to work with "/>
        <s v="i was very pleased with the order that i received and how promptly it was delivered and i certainly recommend this company for your pets food ordering online was very simple and id say i received my shipment within maybe less than a week after i placed th"/>
        <s v="available inventory and good pricing made this the go to choice to feed my pets"/>
        <s v="i like shopping at petflow have been doing it for over  years and like ordering nutrisource dog food since they are probably the only ones that carry it online lately ive been taking advantage of their  discount on nutrisource but on the negative side my "/>
        <s v="you had my hard to find food&#10;i like your tracking method&#10;arrived timely"/>
        <s v="lady who took my order was very professional knowledgeable helpful and caring she placed my order fast and without any trouble great experience"/>
        <s v="the one thing about petflow is they just get it done you order your product you get instant verification and confirmation to your email and then when shipped you get the tracking number along with any updates from the carrier that might come up this is th"/>
        <s v="i shopped online for royal canin digest sensitive cat food and your website showed you had it in stock i placed  orders each for  cans within  minutes of your website updating that it had stock your email confirmation stated that the first order would shi"/>
        <s v="great company product arrived quickly and not damaged i am a very happy customer"/>
        <s v="very fast and accurate delivery&#10;thank you"/>
        <s v="good price quick delivery good product"/>
        <s v="they have the food i want for my dogs and it arrives quickly"/>
        <s v="i just want to share a wow from petflow i received the collar i purchased but the release button was so difficult to open that i called to ask if easier to just buy a new one or replace it first the guy was sooo nice he said no thats fine we will ship you"/>
        <s v="everything is always prefect packaging and shipping is great"/>
        <s v="love petflow they have the fromm brand i want which is hard to find for delivery&#10;&#10;i sometimes wish packages would come quicker but last delivery was faster than previous&#10;&#10;good prices easy checkout process like that they save previous orders i dont do auto"/>
        <s v="my first time using g pet flow very pleasant experience"/>
        <s v="have a good product selectionprompt delivery and give discounts for long time customers thanks"/>
        <s v="transaction was perfect ordering was easy shipping and handling was completed in a timely manor order was received as ordered henry was thrilled with a new ball pleasant surprise"/>
        <s v="excellent service arrived quickly and very healthy dog food"/>
        <s v="excellent shipping excellent packaging competitive prices easy ordering"/>
        <s v="they have a great selection of foods i love that they help pets in need and they offer rewards for referrals"/>
        <s v="excellent source for my sweet frenchies needs wonderful customer service they very quickly replaced  cases of canned fromms that were damaged in shipping and i enjoy looking thru the site to find special treats and maybe another toy "/>
        <s v="petflow had the brand of dog food i needed and it arrived in  days your online ordering was quick and efficient keep up the great service"/>
        <s v="wonderful company the shipping time was super fast and the customer service team was very helpful i had an issue with my order and when i called customer service they were quick to help solve the issue i have never used petflow before but i will stick wit"/>
        <s v="excellent transaction"/>
        <s v="your company sucks im never buying any thing from you again "/>
        <s v="cat food in stock quick shipping everything in good shape"/>
        <s v="i am very happy with my order from petflow i found cat food on their site that i was unable to find any where else it was shipped quickly great place to shop for pets"/>
        <s v="super fast shipping and easy to deal with processed my dogs prescription food fast with a straightforward process switched from chewy who were awful to deal with"/>
        <s v="i have had a very hard time finding taste of the wild wet dog food anywhere for my dog and pet flow had it i ordered it and they sent it right out their site was easy to use and the ordering process was easy as well i will be using pet flow again"/>
        <s v="petflow has been charging me for dog food they couldnt source they charged my credit card for two bags of dog food but only delivered one i had to call monthly to get the refund after showing them the shipping weight did not equate to the  bags but one i "/>
        <s v="pet flow is doing an excellent job of coping with the shipping issues generated by the pandemic i appreciate that you keep me informed about my orders and shipments as you deal with events that compact my order it enables me to plan for our pet needs than"/>
        <s v="all are ok thank you"/>
        <s v="i am so thrilled with the fast delivery and awesome service thank you for the great job"/>
        <s v="as a new customer to petflow it is worth nothing that their website prices and delivery was outstanding and exceeded my expectation thank you"/>
        <s v="excellent service the price was right and the delivery was super fast"/>
        <s v="hello&#10;what a difficult experience ordered rx food for a very sick kitten on january  th then reached to customer service on the th to enquire about the timelines for a local store was out of stock and was running out of food for the kitten then was reassu"/>
        <s v="freeze dried dog food if handled wrong will arrive as powder order arrived next day in excellent condition thank you"/>
        <s v="ive used petflow for a number of years now and have not been disappointed once  even during the crazy shipping times of covid their site is easy to shop and they provide me with lots of flexibility when i need to adjust my standing dog food shipment if yo"/>
        <s v="easily found the dog food i wanted many other sites and all local stores were out of the royal canin yorkshire terrier loaf in sauce that both my daughter and i feed our yorkies not only did you have it but the delivery was exceptionally quick even ahead "/>
        <s v="finally found a store that has my preferred dog food in stock thanks for your prompt service"/>
        <s v=" wish you had a place where buyers could communicate with shippers upon purchase on where to place packages shipper left package out on stairs in full view of potential thieves packages need to be placed inside of my  ft gate at front door&#10;&#10; several cans "/>
        <s v="petflow online shopping is a great way to shop we live in a rural area not a lot of places to shop at petflow i can get fromme pet food for my pets to eat healthy i also can get healthy treats for my pets if not for pet flow online i would be driving  mil"/>
        <s v="these tail wagers  beef rib bones  are so loved by my dogs but i am only allowed to buy  at a time which i dont like but they are way cheaper than publix which is where i was buying them i will continue to purchase because the dogs love them but i may hav"/>
        <s v="price was good shipping was good but one bag of rabbit food out of about  identical bags in the order was not rabbit food but hampster food to their credit i did not pursue this or notify them of the problem just wasnt worth my time i need things to be co"/>
        <s v="repeat customer  love them"/>
        <s v="it is so nice to have a reliable way to get what i need for my cat"/>
        <s v="first order and didnt have any difficulties or problems"/>
        <s v="i ordered treats for my fur babies i got a great price on them this was the first time i had ordered got the treats in a few days best service thank you"/>
        <s v="product was on time buy packaging was smashed you need to strengthen you packaging"/>
        <s v="enjoyed the prompt service will use them in the future"/>
        <s v="im happy they had the product i need and that theyre willing to do the autoship the only thing is that i requested for it to be delivered by the th and now its going to be five days late so i had to go somewhere else and pay full price in the interim beca"/>
        <s v="delivery is always super fast and much appreciated"/>
        <s v="prompt service and competively priced"/>
        <s v="paid for order to only be refunded days later as it was not in stock though it is not the fault that dog food companies cannot get the ingredients to make the food it is petflows fault that the food appears on the website as being in stock when it is not "/>
        <s v="ordered  products two were out of stock i contacted petfllow multiple times to cancel the two out of stock products one cancelled correctly but the other already shipped so i received a  off inconvenience discount on it then after all that two of the same"/>
        <s v="i ordered prescription dog food and it was listed in stock placed the order and sent in the prescription to the email listed two days later got an email saying they were having difficulty getting the prescription i sent it again and they confirmed receivi"/>
        <s v="local vets out of prescribed cat food  could not find any anywhere on line either even with a popular and well known pet supplier accidentally found pet flow and they had the food out cat needs they got the prescription right away and processed i sent it "/>
        <s v="items shipped wrong twice customer service promised to let me know if the items were discontinued or if they were going to replace them yet again and never emailed or called back terrible customer support still havent been credited back for my items"/>
        <s v="quick service n delivery"/>
        <s v="items arrived promptly im very pleased they offer bones made in the usa which my dogs love"/>
        <s v="i would have preferred to get my items a bit sooner as i have from other pet vendors i also wish i could get the grain version of honest kitchens base mix i had to go elsewhere to do so"/>
        <s v="we started using pet flow a year ago to order pet treatsour regular place was out of stock so i searched around  found pet flowthey are better priced and price doesnt go up and down constantlysuper easy to order but if you need to callcustomer service is "/>
        <s v="i have  macaw parrots so the ae toys i ordered are the same quality i have ordered for  years now from other companies price was reasonable and shipping time very reasonable plus i paid no shipping costs will definitely order again in a couple months"/>
        <s v="very easy to use and very fast shipping thank you i will use you again for my future orders"/>
        <s v="from start to finish my order was handled with professional ease i will continue to purchase from petflow"/>
        <s v="i ordered puppy food through petflow because it was the only place beside amazon that i could get it i was getting a new puppy on tuesday and i chose petflow because it said oneday shipping i didnt choose amazon because theres was twoday and i needed it f"/>
        <s v="i recently ordered  pounds of kibble it was delivered quickly and the next day i found out my puppy had some dietary restrictions i contacted petflow and they were very helpful i was able to return the unopened bag and receive a full refund i am so impres"/>
        <s v="i have ordered from petflow almost  years the service and prices are wonderful your staff is so responsive and knowledgeable best quality of products would never use anyone else im a true fan"/>
        <s v="the right products delivered on a timely basis and in good shape"/>
        <s v="the reason why i did not give  stars because its not vacuum sealed i guess for easy stocking of the product but it wont be fresh anymore who ever is i charged of the stocking the product put a pin hole in each bag tell me if im wrong"/>
        <s v="very happy that what i need for my dog is in stock and it ships in a timely manner&#10;thank you&#10;jean havens"/>
        <s v="i signed up for the automatic order to find this dog food my dog would eat that according to reviews was healthy friday january    am est pet flow wrote order received order    my order did not get a tracking order at first so i confirmed via email the em"/>
        <s v="i placed my order  days ago i still have not been advised when it will be shipped"/>
        <s v="my order was canceled and no one bothered to tell me first time trying to order  not happy with this"/>
        <s v="i found petflow after searching high and low for the royal canin pv wet cat food when the company i usually buy from was out of stock due to the nature of the situation with our cat it was very important we located this food and thanks to petflow and thei"/>
        <s v="sent me the wrong product twice in a row customer service was great in apologizing and refunding my payment after two wrong shipments but i shouldnt have to go through calling them twice for a simple order i think they need to educate their warehouse peop"/>
        <s v="they carry the fromm food our jack russell terriers love great website easy to find what we want reorder function makes shopping easy orders ship quickly been using this site for several years and we are very happy using"/>
        <s v="absolute scam of a company twice now they have sent an autoship that i had paused and charged me then when you call they want you do go and ship it back to them for their mistake instead of sending someone to pick it up&#10;&#10;also you cant cancel autoships on "/>
        <s v="i was running really low on my dog petes dry food&#10;i could not find royal canin adult bulldog food anywhere over the last month even my automatic delivery sevice was out of stock&#10;i looked online and petflow had it in stock yippee&#10;i ordered it with a discou"/>
        <s v="ordered from pet flow for the first time my dogs food arrived quickly and i got a great price on the food wil be ordering again"/>
        <s v="i still havent received my product it was estimated  days for delivery and we are almost  weeks out no updates whatsoever"/>
        <s v="this was my first order with petflow one item arrived in days but the other item is still pending with zero communication if its out of stock as it is in so many places just communicate that"/>
        <s v="i went online to order my dogs prescription food  it showed that it was in stock when i ordered it said that i would receive in about  days when this date past i emailed the response made no mention that it was out of stock  days later i called  was infor"/>
        <s v="order as expected and on time prices great value"/>
        <s v="petflow was literally the only source for my dogs hills hypotreats which are on back order customer service was really helpful and product was delivered on a timely basis with adequate followup"/>
        <s v="always get my order fast and accurate"/>
        <s v="my experience overall has been very positive during the past two years my order is processed and shipped within a reasonable timeframe it has been very convenient to have heavy bags of dog food delivered to my door petflow also helps me to keep from havin"/>
        <s v="fast shipping great pricesamazing customer service"/>
        <s v="website showed the prescription food i needed as available for quite some time since i placed my order i received my shipment of toys and no food was delivered i called on the status of the prescription dog food and was told i would get a response back an"/>
        <s v="i had a problem with a shipment not being delivered petflow solved the problem quickly and kept me informed"/>
        <s v="i am so impressed with every stage in purchasing the cat food i needed i set up auto purchase that gave me a discount but when i went to check out they did not have enough to send so i thought i would lose it no same deal they notified me every step of th"/>
        <s v="always pleased with petflow been with them for years"/>
        <s v="very fast shipping which is really important all the products i need are on this website"/>
        <s v="good food good  and delivered to the front door&#10;great service too"/>
        <s v="this was the first time i ordered from pet flow they were really great i got my order within a few days will definitely order from them again"/>
        <s v="your service has been very good i will continue to use your products"/>
        <s v="have been ordering from petflow for more than  years and have never been disappointed with their service and prices they keep you informed on the progress of your order and items arrive in a timely manor auto ship is the best service they offer"/>
        <s v="always very helpfulprofessionalunderstanding if you have a question or concern or if you need guidance on something willing to match pricing and more than likely do better than competition only down side is they use fed ex who leaves the package somewhere"/>
        <s v="i love this company i have always got what i need from them you should give them a try"/>
        <s v="i like that some of my auto ship order wasnt ready for shipment and you shipped each individual packages automatically without charging me a shipping fee even though the contents of either package didnt meet the cost requirement for free shipping im so ap"/>
        <s v="i have been ordering from petflow for years now even have auto ship it works out great and have recommended it to friends"/>
        <s v="fast convenient delivery never a problem so much easier than shopping at the pet or grocery store love petflow"/>
        <s v="always reliable with super fast shipping and a lot of choices&#10;highly recommend"/>
        <s v="my experience with petflow has been all positive they care about there customers"/>
        <s v="this was my first order it arrived promptly petflow was the only vendor that had the item in stock i would and will order from this vendor again very satisfied with them"/>
        <s v="food came in a timely manner"/>
        <s v="ordered dog food and the food was received in a timely manner never had a problem with petflow"/>
        <s v="ordered a veterinarian prescription diet for my dog the food was delivered promptly in  to  days this was at a time when the food was back ordered and couldnt get it at many other places will now be using petflow as my main supplier been very happy with t"/>
        <s v="perfect  every order"/>
        <s v="although there are supply issues the customer service team is excellent and so helpful i also receive email letting me know they are still on top of my backorder when it comes in"/>
        <s v="i love pet flow the shipping is fast and their prices cant be beat super cute products and a great variety of dog treats"/>
        <s v="petflow not only had what i needed but also at a price that was lower than where i purchase locally my order came in a timely manner and i received free shipping which i was very happy about"/>
        <s v="petflow has always been there wfull answers great delivery no bs about anything"/>
        <s v="petflow makes it easy for me to get a specialty dog food that i am unable to get locally as i live in a rural area so far no damages to any of my shipments and delivery has been fast i also like how they have a variety of toys at reasonable prices"/>
        <s v="ive only used your company once so i cant give an honest opinion of pet flow&#10;what i can see is that you should look at switching which company you ship with or at least give options of other shipping companies fedex is horrible i used u use them at the cl"/>
        <s v="this is the second ordered i placed with you i had hoped it was going to be a lasting relationship sadly it is not in the first case i placed my order only part of the order was shipped when it arrived i was notified that the other item was out of stock t"/>
        <s v="great website glad i found it as an alternative to my usual my usual store was out of a specific food and i was able to find it here for a good price"/>
        <s v="website and order process were both easy shipping was efficient"/>
        <s v="better prices than chewy fast shipping thank you"/>
        <s v="first time buyer impressed by variety and choices of products wonderful service"/>
        <s v="hi for over a week told me food item was in stock and would be shipped shortly called several times and was told the same story yesterday i was emailed a message that it was out of stock and they would let me know when they had it in inventory that doesnt"/>
        <s v="thank you kittys love theirs items"/>
        <s v="i phoned prior to placing an order to verify that my finicky cats food was in stock and informed that it was three days later it still hadnt shipped when i phoned again to ask when it would ship i was informed that it was out of stock&#10;&#10;i should have been "/>
        <s v="so glad i found petflow recently i moved to another city and state and i was having a hard time finding the food that my standard poodle had been eating i ordered from another company when i was getting low however  weeks after my order i still had not re"/>
        <s v="i order a bag of fromm dog food and the process could not have been any smoother the order came very quickly i would definitely order from petflow again"/>
        <s v="i couldnt find the pet food i have been using in stock at all of my regular vendors so i tried petflow because they had it and i have no complaints shipped and arrived on time and i was sent updates along the way which i really appreciate"/>
        <s v="i ordered purina pro plan veterinary diet ha on  it showed that it was in stock and my prescription was verified but as of  still has not shipped"/>
        <s v="placed order by phone on the th was told the order would ship either that evening or monday never received a shipping notice so i finally called on wednesday to check on status was told by recording to leave a message and a rep would get back to me no cal"/>
        <s v="the company carries great products and is quick to respond with customer service if you wish to cancel your auto ship it is cumbersome but it does get done&#10;the biggest drawback is that they use fedex as their shipper and no other option fedex is absolutel"/>
        <s v="your website and customer reps have no idea if products you have are in stock&#10;i place and order thinking you have food for my pets then i get an email stating food is on back order&#10;i need a more reliable company that has food in stock to buy"/>
        <s v="when i order a prescription diet cat food it should not take  phone calls to get it shipped this is not optional food that can be replaced with something else temporarily it is something my cat needs to live on my first phone call i was told the authoriza"/>
        <s v="this was my first time using pet flow i found the site very east to use and the package came earlier than expected with no problem in packaging they deserve a  star"/>
        <s v="i got my exact order very quickly i was impressed because i buy online often and it usually is not what i ordered poor quality shipped in separate boxes andor late as all get out&#10;not petflow all nice quality good condition quick delivery in same box five "/>
        <s v="web site ordering and autoship process is terrible very clunky and has caused problems with orders twice now most recently resulted in receiving double order of  lbs of dog food and charged  different prices texted customer about this almost a week ago an"/>
        <s v="my last order had  items that were out of stock and therefore didnt make my monthly order i received communication regarding one item being shipped upon it being restocked but the nd item was never acknowledged restocked nor substituted for"/>
        <s v="easy to order prices are comparable and shipping right to my door great ive had one order that was messed up i called customer service and the lady was very helpful professional and quickly fixed my issue petflow is fantastic the only issue im having now "/>
        <s v="in a world where cat food is an item on the hard to find list i googled where can i find and discovered your website i am thankful you were able to supply and continue to supply the food my kitties love thank you"/>
        <s v="good selection easy to shop and a good price the only thing i could ask for is a way to check order status if its there i couldnt find it otherwise a very good first experience and ill be back"/>
        <s v="so happy to find yall and be able to order and receive the product a lot of places are out thank you"/>
        <s v="the worst dont buy from them they screw everything up from the spelling of my name my phone number and not telling me they were out of something i paid for and it was an urgent order"/>
        <s v="the pet service i usually use was out of the cat food i needed you had it your service is as good or better than what i usually use you were fast and you kept me aware of its status you have a new customer im very pleased thank you"/>
        <s v="unfortunately my last  ordered have taken over a week to arrive the last order apparently got stuck in the system and sat for a week in order shipping status promoting a phone call to resolve"/>
        <s v="the plus with petflow is that they carry fromm and they dont price the product more than anyone else maybe the company controls that either way that is the plushowevershipping takes way too long that is where chewey excels we are all in a hurry these days"/>
        <s v="very accommodating whenever i have to change my auto order they have no problem changing the date"/>
        <s v="horrible customer service repetitive delays in the purchases and buy with petflow made my life harder it lost the good convenience that i previously had"/>
        <s v="petflow has most of the items that i need for my fur babies fast delivery and good communication if something in my auto ship program isnt available their customer service is the best"/>
        <s v="received text stating it was being shipped that dayth six days later received another text stating was being shipped that dayth"/>
        <s v="i thought i was ordering small  oz cans of dog food based on my item search and photo results however unknown to me the  oz cans were outofstock so the order defaulted to the larger  oz cans which is what was shipped to me these larger cans spoil before i"/>
        <s v="arrived quickly and in good condition just what we needed especially when these are so hard to find"/>
        <s v=" out of my  items were cracked the packing was horrible  and even though i heard from someone finally today  now your out of stock for my items  you did put the money back on my card i really needed those items"/>
        <s v="love petflow been using them for years"/>
        <s v="part of my order was defective and i wrote to tell them so i received a form letter of acknowledgement back but it took  days for an actual response the item is being replaced but has not yet shipped and i think their customer service is pretty poor"/>
        <s v="as soon as i gave him his first taste he wouldnt leave me alone after he ate lol what a great come back"/>
        <s v="great i initially got only two of the four items i ordered  but the rest of the items i ordered came the next day"/>
        <s v="this was my first order from petflow but it wont be my last the dog food that i needed was available the website was easy to navigate and the order arrived on time im a happy customer"/>
        <s v="this would be five stars customers service was fast friendly and helpful i deducted  stars because my order took so long to arrivethis was i m sure due to unforseen circumstances like our recent weathercovid and such however i was told at the time i place"/>
        <s v="ordering dog food and treats online works out great"/>
        <s v="packaging has improved the lb bags i order are finally coming in the proper sized boxes  my last very large order  bags were packed well and the tape helda first your customer service on the phone was awesome luckily for me because i find the website very"/>
        <s v="good selection of pet food easy to order and shipping fast"/>
        <s v="great service quick shipping ive been ordering fromm dog dog food for over  years from petflow and have always been very satisfied with their service"/>
        <s v="my dog is on a prescription dog food and i couldnt find any i called petflow and talked to the sweetest lady who helped me set up my order for recurring so i dont have to worry about it im sorry i cannot remember that ladys name but a big shout out to her"/>
        <s v="i ordered a lb bag of dog food along with a lb of dog food when the delivery day came i only received the small bag so i called pet flow to find out what happened seemed they ran out of my dogs food at the nearest wearhouse and had to send it to me from l"/>
        <s v="great on time delivery box and contents in good condition"/>
        <s v="petflow tries very hard to do what is right i had a code for  off online it took the discount  then on the receipt it was gone i left a message and someone called me back he didnt question the perc and immediately took the  off congrats for returning the "/>
        <s v=" of my deliveries have had slashes in the bag so i havent been able to use the food ive complained and most times they sent me a new bag but very inconvenient"/>
        <s v="ordered nearly two weeks ago rx dog food status was always shipping had to hound no pun them for status finally just gave up and cancelled the order look elsewhere"/>
        <s v="great service prompt delivery"/>
        <s v="good selection and reasonable shipping times always have trouble ordering"/>
        <s v="i was very happy with service from customer service"/>
        <s v="the one reason i placed an order with this company was for a specific item they listed on their web site i had to order another very small item to qualify for free shipping so i did i was later informed the main item was no longer in stock and never had a"/>
        <s v="was disappointed on my order the item i ordered was out of stock and replacement with something else without informing"/>
        <s v="i give one star only because  wasnt an option i placed my order then get an email stating that the product i ordered was unavailable in fact discontinued then i start getting emails saying my payment through paypal wouldnt authorizeworked fine for everyon"/>
        <s v="the box was falling apart i cant imagine how the delivery driver managed to carry it to the porch fortunately the bags of food are intact and not&#10;damaged"/>
        <s v="excellent order on time i will order something soon thank you"/>
        <s v="i really loved my experience with petflow the items i ordered were well packaged and arrived in a timely manner&#10;i plan on continuing to do business with them"/>
        <s v="fabulous website  excellent customer support  service "/>
        <s v="i placed my order on january and did not receive my package until january i was expecting shipping to be sooner and i almost ran out of food for my  working dogs although i appreciate that petflow carries open farm i will not be ordering the dr tims from "/>
        <s v="excellent company i made a mistake and had to cancel an order and it was  no problem fast great service  highly recommend"/>
        <s v="great company to order products wanted since pet store where i normally gets them have quit handling these wonderful treats great service also"/>
        <s v="first order for new puppy food that wasnt available locally process was easy delivery was on time and packaged well will order again"/>
        <s v="horrible customer service i order food for my dog they charged but didnt send it i called them a week later and they said they didnt have it in stock meanwhile they charged it already they sent it later on without a hurry  days later i havent received it "/>
        <s v="i spent a lot of time with my review so i will submit but beware you have to accept certain terms and conditions to submit a review&#10;&#10;everything went fine for a year and a half our dog needs a prescription diet then for the last shipment they said the orde"/>
        <s v="accurate and timely delivery&#10;&#10;thanks"/>
        <s v="ordered prescription cat food my vet approved the prescription in one day waited a week with no delivery called customer service and was told as soon as the pharmacy warehouse sends it out ill get an email after waiting  days with no email or food i cance"/>
        <s v="it has taken too long to receive my order finally got one of the items but cant even download the shipping information for the other item i ordered prescription food for my dog something i needed in a timely manner"/>
        <s v="always there to answer questions and to help out"/>
        <s v="being told it was delivered and it wasnt i di nt receive the shipment until several days later this is not acceptable"/>
        <s v="only received  of rx cat food order placed in december &#10;no way to check on line&#10;calls to customer service have not resulted in any feedback as to status"/>
        <s v="placed order  being advised shipment would be made within  days never received shipment called every few days  continuously received same story  to be shipped within  days now  days later still have received nothing  including an acknowledgement that cann"/>
        <s v="excellent customer service patiently worked with me to solve problem with order"/>
        <s v="generally timely and professional service my major reason for not buying everything through petflow is your use of fedex ground to deliver packages in this area north georgia fedex is terrible most delivery packages in this area go through their austell g"/>
        <s v="my order was fulfilled in two days without hiccups great prices products and shipping"/>
        <s v="petflow is the only supplier i can get the cat food my cat likes from i can get the food he likes in bulk and it is at a good price he eats a can every day of one kind and he is very picky thanks for being there"/>
        <s v="check your bank balances people if youre on autoship even if youre not check your bank balances the food is great my dog loves the food no problems there i bought   lb bags of this dog food for the first time on november  for  so then a week later on dece"/>
        <s v="no problems with the product but shipping was very slow allow  or more days to get your food from them"/>
        <s v="overall i love petflow but in this particular case where my autoship was delayed due to outofstock conditions i feel i was not notified sufficiently quickly enough to react as a result the hills prescription cat food i had ran out and i needed to switch m"/>
        <s v="they make it easy love how they call your vet for prescription food fast deliveries"/>
        <s v="called petflow to see if i could get meow mix they were very helpful and&#10;i ordered a multi pack box i received it right away everybody was very&#10;police and nice will definitely use again"/>
        <s v="have ordered from petflow many have always had fast efficient service"/>
        <s v="my package was stolen and they reached out and provided me with a new bag at no cost"/>
        <s v="petflow helped me out in a pinch when other companies were out of my cats prescription food petflow came through for me i really appreciate that as she is older and needs her special food"/>
        <s v="reasonable prices quick fulfilment and delivery its always like this thanks"/>
        <s v="my order arrived incomplete and it was downhill from there on i dont have time to detail my problems trying to get things straightened out i had been satisfied with my experiences with pet flow in the past but this was a total mess"/>
        <s v="they could not deliver i called and called and received excuse after excuseended up cancelling my order and order through amazon"/>
        <s v="my auto ship from petflow is so easy to use its easy to add or remove products depending on what my animals need that month and if i end up needing something extra i can order and receive it quickly on the rare occasions that something is backordered i ge"/>
        <s v="have ordered my furkids prescription food several times your customer service has always been great"/>
        <s v="pet flow still carries the brands i feed my dogs and at fair prices some outlets dont have the variety and choices i find on pet flow"/>
        <s v="dog gates are sturdy shipped quickly great service"/>
        <s v="the app is difficult i tried to cancel the order and it didnt work i am going to stop the pet flow auto matic orders they are difficult i had a double order the time before too much trouble to change m upotn"/>
        <s v="pet flow shipments are always ontime and there is sometimes a discount"/>
        <s v="great selection ordering was easy and my order arrived quickly and in good order my experience was very positive"/>
        <s v="products have been great with all the limited choices due to allergies i have been great full to find what i need"/>
        <s v="i ordered dog treats from the company my order was delivered within  to  days through the christmas holiday two bags came cracked i called and they redelivered two more bags and didnt charge the customer service was really good it took no time to get the "/>
        <s v="product delivered on time as promised quality is excellent"/>
        <s v="not good service a lot of back and forth and useless waiting"/>
        <s v="i would usually leave  stars but my pups dog food on several occasions has arrived late  so in result  ive had to go to stores to buy the same kibble"/>
        <s v="shipping dates are really slow which can be annoying for thing you cannot get locally they always run  days later than expected it seems when you have  hungry parrots that can be an issue they also have a limited selection of foods for dogs and birds but "/>
        <s v="i placed my order thursday the th asked by chat if saturday is a business dayit isnt because the warehouses that have the supplies dont work weekends fine was told it would ship friday and maybe fedex would deliver saturday but i would have it monday its "/>
        <s v="first time customer&#10;easy online ordering&#10;great price&#10;delivery prompt&#10;ill be sharing this company info without a doubt"/>
        <s v="my two kittens were recently prescribed a hydrolyzed protein diet because of the pandemic the food was next to impossible to find petflow had the products that i needed and quickly processed and delivered my order im so grateful to have found this site th"/>
        <s v="still havent received my order this is an awful experience will be my last"/>
        <s v="reliable and excellent"/>
        <s v="order place has stalled on colorado from vegas on its way to indiana tracking is not being updated and the response time to email is a day or more behind"/>
        <s v="customer service is top notch i love that i can message about my order in an email or text and get a reply quickly great discount for new customers and a constant supply of my pets food thank you pet flow"/>
        <s v="i really like your products the frequency of communication about a shipment and my pets are happy too "/>
        <s v="pricing good i was kept informed of delayed shipment due to weather will buy again"/>
        <s v="i was luckily to find what i needed at a great orice shipping was fast and because i met the minimum i got free shipping will shop again"/>
        <s v="been with petflow going on  years now they always help me if i need specialty food or just basic pet food so many choices and the treats too thank you for meeting my expectations in each box i receive fan for life&#10;&#10;denice"/>
        <s v="delivery was quick and im very happy with the red gravel red gravel is hard to find"/>
        <s v=" discount on quality dog food&#10;is perfect"/>
        <s v="petflow falsely advertised a food as in stock then withheld the funds they took from my account i was diligent thankfully but despite my best efforts it still took  calls to customer service to get my money back each cs rep provided conflicting info with "/>
        <s v="very fast service great deals on the food i purchase"/>
        <s v="placed an order for a prescription dog food on  which your web site said was in stock which was a surprise because all other pet stores were out of stock received a confirmation with an order number pending charge on our credit card pending charge dropped"/>
        <s v="would really like invoice included with shipment would alleviate one step in filing claims"/>
        <s v="great customer service an order was placed and an item was missing i sent an email to report it and they sent the item out immediately no questions asked will continue to be a customer"/>
        <s v="easy to order great price and fast shipping"/>
        <s v="petflow came through when other trusted online pet food providers dropped the ball even with the order itself and managing fedex  they kept engaged until the entire was completely fulfilled and delivered service is tough to put a price tag on thx petflow"/>
        <s v="horrible communication useless customer service promised emails never received in stock item still not received after  days new tracking number refers to item already delivered not item still waiting for this was my first and last order"/>
        <s v="they have the dog food i use but not the cat food they are slower to deliver than other sites"/>
        <s v="good fast service"/>
        <s v="pet flow staff have been knowledgeable polite and able to meet my needs every time i have called the products carried are high quality and competitively priced"/>
        <s v="great to do business with very fast delivery will use again"/>
        <s v="each order comes as anticipated and very timely"/>
        <s v="first time ordering from petflow the online ordering process was quick and easy and we received the order very promptly highly recommend pet flow"/>
        <s v="petflow has a great selection and affordable prices on a variety of dog and cat foods they ship quickly and always send notifications on the status of your order"/>
        <s v="ordered three bags of dog food one was delivered promptly the other almost two weeks to arrive and when it did one of the bags had opened and spilled kibble all over the box"/>
        <s v="ive ordered from petflow for over  years&#10;ordered always delivered on time prices are righteous highly recommend"/>
        <s v="never did get my order and it took  days for you to let me know it was out of stock"/>
        <s v="my dog hannah absolutely loves this new pet food she smells it from the other end of my house and comes running waiting impatiently only to devour it in no time plus the delivery was prompt thank you so much"/>
        <s v="very fast delivery great discount &#10;thanks"/>
        <s v="my order arrived on time and complete one product i wanted to order was out of stock but theres an option to get an email notification when its available which is extremely helpful"/>
        <s v="im very happy with petflow they were great with me and my vet to get the vet to prescribe canine tds my vet was not so nice"/>
        <s v="been a customer for several years now reliable shipping and excellent email notice to help me adjust my autoship if needed excellent customer service by phone when needed"/>
        <s v="out of the last ten orders three were messed up and did not deliver on time one of which required our cat sitter to go to a specialty pet shop to get food while we were on vacation"/>
        <s v="my recent order was delayed due to weather and the shipping company when i spoke with the petflow customer service they were helpful tracking the package and keeping me posted on when it would be received i appreciate this help"/>
        <s v="i didnt get my delivery but when i talked to the customer service man we discovered i hadnt changed my address at petflow since i moved in may it got sent to the old house but he went ahead and sent a replacement to my new address he was very kind even wh"/>
        <s v="i have received numerous orders from this company and they are always accurate and timely thats why i will continue to order from them"/>
        <s v="quick response to my order with delivery time kept me updated"/>
        <s v="my order came in good time i have been unable to locate hill science diet food through my usual sources however petflow came through with flying colors not only was i able to obtain some of the wet food i normally feed my cats but i was able to obtain com"/>
        <s v="very good company with a wide selection of products timely delivery and easy to order i like this site very much"/>
        <s v="great selection of product i have always found my selections in stock deliver is unbelievably fast"/>
        <s v="coupons never are useable for purchase of fromm dog food&#10;&#10;delivery is by fedex in a word fedex is lousy i realize this is another company but they are making petflow look bad and they chose them"/>
        <s v="my buddy loves the treats from petflow on my last order one item he dearly loves was left off because it was out of stock to my surprise when petflows new shipment arrived they sent the item sopleased never has that happen with any company that is strictl"/>
        <s v="competitive prices great delivery honest and trustworthy"/>
        <s v="overflow consistently delivers high quality cat food to my house what could be better"/>
        <s v="my cat passed away unexpectedly a couple days after ordering her prescription food online i contacted customer service via text  very convenient option they were not able to return the food because it had already shipped but when i shared my situation the"/>
        <s v="i love the convenience but petflows online ordering setup is sooooo difficult to use result ive had multiple unwanted shipments no matter what i do&#10;&#10;for months ive tried to get rid of an extra autoship program i cancelled chat reps cancelled finally a pho"/>
        <s v="love the extensive variety of pet foods especially the better brands prices are comparable to or better than others delivery is quick only one constructive feedback is the shopping cart view i would prefer it could be full screen"/>
        <s v="i still havent received my order&#10;&#10;i ordered some dog food and a  chinchilla chew to get free shipping&#10;&#10;the chinchilla toy came quickly and it was in a huge box that could have fit the bag of dog food that i ordered as well&#10;&#10;the dog food still has not come"/>
        <s v="ive been buying quality pet food from petflow for about three years they carry quality brands they have excellent customer service and their website is easy to navigate i like the autoship option which is also easy to edit so i have only great things to s"/>
        <s v="on time and best price good by amazon"/>
        <s v="i had trouble finding my cats prescription food customer service was marvelous and ultimately i was able to secure a bag for her"/>
        <s v="place the order  days ago and still no shipment yet call them a few days ago and was informed that it was ready to ship but still no info whatsoever"/>
        <s v="very timely service thanks"/>
        <s v="great  quick delivery thanks"/>
        <s v="one of the few places i could find what i needed at a great price was the cherry on top it shipped quickly and got here fast i now have some happy cory catfish"/>
        <s v="always get my order quickly and good prices too"/>
        <s v="i was pleasantly surprised that petflow had the special canned cat food that i was looking for and couldnt find locally additionally the shipment was very well packed and arrived quickly this was my first time to order from petflow and i was impressed wil"/>
        <s v="everything came to my home in time before i ran out of dog food the one toy was slow but it all still made it to my home so the dog could enjoy it"/>
        <s v="love this company always have what i order&#10;shipment comes really fast&#10;never had a problem with petflow"/>
        <s v="great products&#10;great prices&#10;fast shipping&#10;employees on phone are so courteoushelpful and knowledgeable&#10;exceptional place to shop"/>
        <s v="easy website layout and good selection of pet food i love the fromm dry cat food selection and my cat loves his treats too my cat approves petflow"/>
        <s v="excellent quick delivery with best pricing  will definitely be a returning customer"/>
        <s v="my initial shipment was damaged but the csr was extremely helpful and sent me a replacement promptly"/>
        <s v="its been over two weeks and i have yet to receive a shipping confirmation will likely dispute order"/>
        <s v="received exactly what i ordered and in excellent condition thank you"/>
        <s v="i love using petflow they have wonderful options for my dog and good communication on orders highly recommend"/>
        <s v="very nice better than expected we purchased it for ferrell cats to stay warm we set it up in our house and our cat thinks its his new house he loves it"/>
        <s v="petflows customer service is exceptional the website is easy to navigate and check out super fast shipping"/>
        <s v="pet flow continues to carry the special dog food that i require for my pet at a good price and they ship it super fast very satisfied with their service"/>
        <s v="petflow offers a wide variety of limited ingredient snacks for my dogs and the prices are very reasonable"/>
        <s v="i was sucked in by the promise of a discount in exchange for my email address then i couldnt use the discount because it had a previously undisclosed minimum order requirement which was extremely high i felt tricked i would normally order  bag of dog food"/>
        <s v="service extremely quick and they seem to have a supply over and above what other entities have on hand first time with petflow but will certainly look to them as an option in the future"/>
        <s v="ive used petflow for years and have always received top notch service i love the enormous variety of products available for my  dogs and ive easily found the best products for each  is  and the other is  they also include the sources for the products whic"/>
        <s v="pet flow is wonderful but the delivery leaves much to be desired fed ex refuses to bring my packages to my front door instead they are left in the street"/>
        <s v="petflow has been fine not stellar with occasional hiccoughs on prescription food authorization lately theyve been completely unreliable as a retailer causing us to cancel our subscriptions and move to chewy"/>
        <s v="wide variety of products and fast service on orders even if they are specialty items"/>
        <s v="the product was good and well packaged but it was a week late and required me to go all over the local area multiple times to supplement the food until me order got here id be perfectly happy and would definitely order things again if pet flow would stop "/>
        <s v="my dog food took  week and  to arrive to me"/>
        <s v="petflow is great you call and always get a live person right away ive been with them for years cant beat their customer service"/>
        <s v="i thought i had cancelled one order to order a different food it turned out i got both orders i was told it would be fine to keep them both and use them and just set a later date for my auto shipping"/>
        <s v="petflow delivers quickly they have an autoship program you can change your auto ship as many times as you want and they have the best prices for the quality of products"/>
        <s v="my order of dog food was shipped on a monday said friday delivery and did not come till the next monday with that delay i had to go get dog food i didnt want to in order to get by until my order came chewy takes  days i guess ill go back there"/>
        <s v="i purchased some hard to find puppy food because no stores in my area carry it i found it in stock with petflow i ordered it and they use fedex as their shipping carrier i have had numerous problems with getting my packages late via fedex i emailed petflo"/>
        <s v="great selection and easy to check out shipment came in a timely manner"/>
        <s v="petflow is efficient and speedy i never worry that my product will arrive on time"/>
        <s v="petflow is fast and accurate they beat amazon on delivery time the prices are on target and no complaints about the product from stanley or bruski very glad we found them thank you"/>
        <s v="love the quick shipping love the cost of foods ie royal canin love that items are in stock and love the customer service&#10;what else is there"/>
        <s v="i made an order from petflow awhile back never received the order when i checked the order it had been canceled due to an error by the veterinarian unfortunately no one told me it was cancelled i called the veterinarian and their internal communications g"/>
        <s v="i received my complete order it was a few days later than usual but that was to be expected at christmas time the problem was that a bottle of white dog shampoo had opened up inside the box and covered a  pound bag of dog food and a raincoat with a whole "/>
        <s v="my one complaint is that you cannot cancel an order on your online account had to call numerous times to get a customer service agent to fix a mistake on ordering very frustrating hope they make changes with online ordering"/>
        <s v="so much care was placed into packing my order it was wonderful there was a lot of cushion in the box so the cans didnt arrive all bent i will definitely place another order soon"/>
        <s v="they shipped my wet catfood over a week after i placed the order scheduling it to be delivered the nd of december and could do nothing to delay or cancel the order even before ups had it so my food is going to freeze over and over again while we are gone "/>
        <s v="prompt shipping i ordered dr marty for my fussy dog and he likes it so i will order again"/>
        <s v="petflow is a class act&#10;always have my product in stock and fast free shipping&#10;a"/>
        <s v="i have been buying my dog food from petflow for years now it has always arrived quickly and fresh and my dog is happy"/>
        <s v="very reliable auto ship and quick with off cycle purchases"/>
        <s v="excellent service with competitive pricing"/>
        <s v="dented dog food cans at times sent concern about this five days ago and have yet to receive a response"/>
        <s v="there was a mistake in the order and they didnt hesitate to make it right great customer service great product"/>
        <s v="great products offered with fast delivery thank you"/>
        <s v="the price was right and the quality was great that along with fast shipping gives petflow  stars"/>
        <s v="great site i discovered it by accident after chewy was out of my cats food i gave it a try and was pleasantly surprised how wonderful petflow was the delivery was very fast the product fresh and well packaged they saved the day now i ordered again and thi"/>
        <s v="i discovered petflow when another major retailer had no inventory of my cats preferred flavor of prescription food i enjoyed the experience and fresh inventory so much that ive been buying from petflow ever since"/>
        <s v="i searched at least six different retailers to find this special canned pt food specially formulated for my small breed senior picky eater with only  remaining teeth to no avail i was desperate as my little yr old girl turns away from nearly all other sim"/>
        <s v="never had a problem have recommended"/>
        <s v="order was easy to place and delivery was prompt thank you"/>
        <s v="thank you for the ease of ordering  the speed of getting my order delivered also i am very impressed with your website"/>
        <s v="i have been ordering my dogs food from petflow for a few years they always have a quick turn around from order being placed to delivery my dogs eat fromms large breed dog food which can only be purchased in specialty stores petflow has been wonderful to o"/>
        <s v="i have had a great experience with petflow only once i had a packagedelivery that was stuck somewhere unknown customer service immediately sent it to me again without question i was grateful and impressed&#10;also when you place an order with petflow you need"/>
        <s v="always quality items from pet flow and they are recieved in a timely manner"/>
        <s v="i like this company they have a great selection of dog foods that are difficult to find other places their prices are comparable to other sites although they may be a few dollars higher i like that they say they do note food to animal shelters"/>
        <s v="false info on delivery date  no follow up  product seems to be stuck in transit in a black hole in neighboring state product is over a week delayed from promised date with no follow up status update  will never deal with pet flow again  not a well run bus"/>
        <s v="great communication speedy service and delivery even when supplies are low thank you"/>
        <s v="very pleasant experience good customer service&#10;fast delivery prices are ok"/>
        <s v="placed order and received item earlier than anticipated will definitely us this vendor again considering we have four bernese mountain dogs they do eat"/>
        <s v="im still waiting for my dog food delivery or even an update no news since it reached my local distribution center  days ago "/>
        <s v="things came well packaged and timely no complaints"/>
        <s v="took  days in transit the packaging was taped and retaped the treats were on each side of the package front and back no doubt they will be dust when i open them this company needs to step up there game in the shipping department"/>
        <s v="prices were good product availability was good shipping was good and free im happy with them"/>
        <s v="petflow is responsive to clients with good prices and discounts fast shipping"/>
        <s v="except for a blip on the refund all is well will continue to get my fog food here"/>
        <s v="what i wanted quickly received with terrific phone support"/>
        <s v="huge variety of pet supplies and fast shipping"/>
        <s v="i couldnt find my cats favorite food in any of major stores or any of the major online store but petflow had it and was able to get fast and easy"/>
        <s v="great service shipped my order out quickly they had a cat food i have been searching for but was out of stock everywhere luckily they had it in abundance thank you so much "/>
        <s v="very prompt and courteous and take care to answer emails"/>
        <s v="had product and delivered in a timely manner"/>
        <s v="quick and easy"/>
        <s v="i changed my delivery date and the shipment still came"/>
        <s v="received the wrong items messaged  hrs ago and no response"/>
        <s v="fast delivery and great product as usual package came undamaged"/>
        <s v="best offer i could find for the price delivered promptly and just when needed i will be using petflow in the future"/>
        <s v="super service for shipping my fromm gold dog food highly recommend"/>
        <s v="the store itself has great prices and selection however the shipping of those products has been a nightmare placed an order on the morning of  spoke to someone on the phone inquiring as to the location from which the products were coming from i was told t"/>
        <s v="shipped fast and had the items in stock that others didnt what more can you ask for"/>
        <s v="excellent service and the best pricing so glad i found you thanks "/>
        <s v="very pleased with pet flows service and products"/>
        <s v="great prices and selections of high rated dog foods shipping free over  and fast"/>
        <s v="petflow has the best prices for pet food and deliveries are reliable sometimes my cats wet food is not in stock but when that happens it is not in stock anywhere"/>
        <s v="every time i order from here they always double my order i ordered one big bag of dog food and i received two and charged for two instead of one this is the second time they did this i will not order from them again"/>
        <s v="great dog food my maltese acts like a pup and she is  she has been eating salmon a la veg for  yrs"/>
        <s v="excellent service best dog food ever would not feed my dog anything else then natural balance"/>
        <s v="staff were very good at listening and finding a solution that would help me"/>
        <s v="excellent customer service and fast shipping"/>
        <s v="my delivery isnt not comingvery very slowly"/>
        <s v="i was very pleased with my order i found an item for my birds that i couldnt find anywhere else for a cheaper price and it arrived very quickly"/>
        <s v="petflow apparently doesnt put in packing so i got all of cans dented up petflow needs to protect the cans"/>
        <s v="been ordering from petflow for along timequick shippingcompetitive priceshas the brand of dogfood we wantwish they offered prescription medications"/>
        <s v="i was with this company for many years but repeated mix ups with my food delays and supply issues took a toll moved my business to chewy didnt want to buy my fur babies have to eat"/>
        <s v="we ordered pet food on nov  and received it today dec  way to long i have three emails telling me earlier dates probably our last order from pet flow"/>
        <s v="you need to improve on your customer service on the phone you also need to improve on your deliveries services meaning when customers ordered products from your website&#10;it needs to be more accurate in the amount of products you have online website store t"/>
        <s v="i am very happy with my purchase of cat food from petflow the only issue i had was trying to find out on the web site how i could check out otherwise great"/>
        <s v="they have great customer service and they try very hard to please their customers they also have a wide variety of pet foods"/>
        <s v="love this company great to work with and carry alot of different foods"/>
        <s v="very few notices of what was going on i finally sent  emails and made a phone call joseph was very kind it took  days to get here wonder if it would come i had to buy dog food in the meantime not happy product was good and why did it come from new jersy n"/>
        <s v="i wouldve given a  star review however with my last order it wouldve been nice if i was informed that my order for dog food was not available from where it is usually shipped i usually get it within a week but since it was coming from much farther away it"/>
        <s v="only half my order arrived so far fedex dropped the busted box in the middle of the front yard and left i wonder if the second half will show up or if fedex will make it disappear like last order"/>
        <s v="great service as usual even over the holiday weekend order was accurate and delivered on time"/>
        <s v="website easy appreciate the discount&#10;other places were sold out of the dog food i need so thankful it was in stock and delivered in a decent timeframe"/>
        <s v="thanks for having the food in stock now its get to him to actually eat the food"/>
        <s v="great experience&#10;fast shipping and great communication with seller"/>
        <s v="shipping not according to what was indicated at the time the order was placed"/>
        <s v="excellent transaction  will shop again"/>
        <s v="petsmart stopped carrying the avoderm brand then petsmart followed&#10;im very frustrated with them since they still advertise the products yet not in stock or not available&#10;i contacted avoderm and they recommend petflow&#10;my initial purchase took longer that e"/>
        <s v="my hund loves the chow we ordered from petflow"/>
        <s v="i always get what i need in a quick turnaround for my  year old hound"/>
        <s v="great product great price"/>
        <s v="the folks at petflow were kind enough to give me a  credit for fedexs deplorable delivery service they held my shipment hostage in their distribution center for   days&#10;my shipment was correct  sent out as quickly as they received the approval from my vet"/>
        <s v="great and prompt service and delivery the bag charge was a bit of a surprise though might be wise to hide that under one of the other headings"/>
        <s v="i placed orders during weekends the return email said my order would be placed the following monday and email would be sent of when to expect delivery i have had to call customer service a couple times and order was finally put thru my dogs do better when"/>
        <s v="i thought that the price was high compared to the vets office other than that the experience was good"/>
        <s v="i had a very frustrating experience with petflow my original order was scheduled for nextday delivery however it took close to a week from getting the cat food i ordered petflow misled me on my delivery date this is the only food my cat can digest  so it "/>
        <s v="very happy with my purchase experience excellent help thank you"/>
        <s v="i paid for a package of food for my chihuahua that needed a recipe from the vet but we could not get it so i would like to have my money back"/>
        <s v="i wrote to the company regarding a complaint about customer service claiming that i didnt have funds to pay for an order that was an auto ship and said backordered and after ordering something else i got billed for it not knowing what this charge was i ca"/>
        <s v="petflow carries our dogs preferred high quality food  treats we auto order and receive our shipments quickly"/>
        <s v="i like petflow i have ordered from them before this time it took way too long to get my order and the only reason i got it when i did is because i called and complained then they showed it being shipped right away but it still took  days after complaining"/>
        <s v="the whole reason why i ordered from petflow is because of their quick shipping in  days it took over a week for my food to arrive i had tobuy another brand of food that upset all of my dogs stomachs never again"/>
        <s v="i was very happy to be able to find a food item that i needed that was sold out on chewy amazon and all of my local pet supply stores the only reason for the  stars instead of  was the delivery notifications i understand delivery delays especially right n"/>
        <s v="very impressed with being able to get what i need for my furbabies special food so far its always been in stock unlike the competitor sites and various pet stores prices are a smidgen lower than everywhere ive normally gone delivery is  at this point my f"/>
        <s v="easy website to navigate fair prices and fast shipping"/>
        <s v="customer service has definitely declined website keeps changing making it difficult to order when you want iused to order  different products at  different times of the month and still get the auto ship discount now i get nothingbeen a member since &#10;looki"/>
        <s v="third time they have got the order wrong "/>
        <s v="i have been pleased in the past with available dog foods treats toys etc and delivery i have experienced a lot of out of stock items that i have on autoship i have had to buy these items on my own else where"/>
        <s v="fast delivery"/>
        <s v="great discount on hill science canned food for my dopey cat its becoming difficult to find the chicken n rice flavor so it was a relief that you had it"/>
        <s v="you carry the dog food that my puppy needs for his first year the prices are reasonable and affordable"/>
        <s v="i tried to switch my monthly orders for food treats meds and flea collars to petflow it was a disaster i get how the economy is currently but your communication is terrible i cant work with a company that takes days to acknowledge a request and i see all "/>
        <s v="can someone contact me&#10;"/>
        <s v="excellent product delivered quickly competitive pricing"/>
        <s v="need a better way to let people know that their order was shipped with a tracking number had to text you to find out when my order was to be shipped when i received an email telling my that it was shipped and there was no tracking info available need to l"/>
        <s v="i was able to get my dogs food from you when no other retailer had it thank you"/>
        <s v="product was as advertisedworks great arrival was fastprice was good service was friendly and professional great company"/>
        <s v=" days after i should have recieved my order i called because i did not know why or where it waswell was told by a very rude lady she would send an e mail to hurry up my order at another warehouse because they had none i asked why they didnot notify me it "/>
        <s v="fast service good prices arrived in great condition has follow up emails"/>
        <s v="chewys orders always arrived within  days i decided to give petflow a try after close to a week i had to call petflow to ask where the dog food order was they said they delayed getting the order through  waited until the next day to initiate the order and"/>
        <s v="i love that my choice of dog food is always ready to deliver to our door when we need it auto ship is great and not having to lug the big bags home from the store is even better"/>
        <s v="the products i ordered arrived quickly and website was easy to navigate"/>
        <s v="disappointed i created my first order on  and order still hasnt even shipped  no communication updates either uggh"/>
        <s v="very happy with my purchase shipping is fast and communication is excellent"/>
        <s v="it was supper easy to place my order shipping was quick"/>
        <s v="good job sending package on timely basis thank you"/>
        <s v="always super fast shipping and great packaging"/>
        <s v="always good condition of cat bagged food arrived in great shape and the order was correcttimely order"/>
        <s v="had products i couldnt find any other site"/>
        <s v="dog food was listed in stock at time of placing order after a few days of showing shipped ends up order wasnt shipped i called and was informed that it was out of stock in the warehouse"/>
        <s v="never received my order in over a month and spoke to over  customer service people dont buy from this company "/>
        <s v="order placing was easy great site set up like the autoship offer too already referred them to my neighbor"/>
        <s v="ordering was easy and my purchases arrived quickly which is wonderful during these times&#10;i give this site a  instead of  because i was unable to read reviews on the products i bought my cats are not eating one of them and would like to know what other buy"/>
        <s v="saved from having my kitten upset i have been unable to find the food my kitten eats after several trips to pet store with no luck went online to royal canin site and pet flow was a recommended store to order from fortunately for my kitten yall had plenty"/>
        <s v="i liked the prices and the toys and treats available but several of the items that i ordered sold out and were removed from my order after id checked out and paid for them however i will be giving them another chance when the supply chain problems are bet"/>
        <s v="good service"/>
        <s v="fast shipping and great inventory of cheap toys"/>
        <s v="we use auto ship for most of the products we buy online i found pet flows autoship program to be extremely difficult to manage and no longer use it as a result i often buy pet products from other suppliers we have  pets and buy a lot of pet products"/>
        <s v="speedy delivery stuff usually comes within  or  days good customer service i called to ask a question about my product and they answered quickly and with good telephone manner i just signed up for autoship well see how that goes i just wished they carried"/>
        <s v="we love the convenience of auto shipping we were surprised at how easy it is to add or delete items for a specific auto ship or for future orders the prices are fantastic and i like that i can still find fromm products here"/>
        <s v="very smooth experience good price and reasonable and quick shipping"/>
        <s v="order and paid for dry dog food and  cans of wet dog food the day they shipped it i got an email saying they will refund me cause they are all of sudden out of that particular wet dog food i then had to run everywhere to find it at the last minute&#10;when th"/>
        <s v="everything went very smoothly from ordering all the way to delivery i was very happy and will use them again"/>
        <s v="delivery was delayed  times said  day delivery i got it in days not satisfied with delivery"/>
        <s v="ordered prescription dog food but got nothing but excuses for over a week their reps made one excuse after another as to why my dogs food was not shipped"/>
        <s v="excellent service im a happy customer"/>
        <s v="i am totally impressed with petflow they deliver product quickly and have the pet food in stock and if they are out of stock they will send email to let you know that it is back in stock they are now the only one that carries my dogs food and i hope they "/>
        <s v="i have been&#10;using petflow for several years because they carry the type of dog food i want my dogs to have and no stores anywhere near me have it in fact trying to get high quality dog food id have to travel an hour one way so it is very convenient to hav"/>
        <s v="very fast shipping they sell good quality items"/>
        <s v="very good customer service contacted my vet for prescription diet food and shipped out immediately highly recommend"/>
        <s v="great products and service that excels more than satisfied consumer from maryland "/>
        <s v="i spoke with a very helpful woman who checked with supply  found a case of hills savory cat food our local petsmart had been out of it for a while my  year old cat loves that particular food and takes her meds with itshe has hyperthyroidism the food arriv"/>
        <s v="i placed an order on  received an email saying i would get a shipping confirmation when it shipped when not received by  i reached out to customer service and was told it was delivered on  as of  i still have no food  was forced to order elsewhere your cu"/>
        <s v="my husband shopped here last christmas and gave it  stars i like the site because they have unusual things and make great gift items"/>
        <s v="i requested the heavy package be left at the garage door under the overhang but it was left at the front door instead otherwise very easy convenient efficient order and delivery"/>
        <s v="excellent service and everything packed with care"/>
        <s v="currently waiting to receive order know distribution system is messed up i will try to explain to my hungry miniature doxie would have been helpful if at the point of order for petflow to made a statement that delivery could take up to x weeks or more and"/>
        <s v="i love the quick delivery when we order our dogs food so convenient"/>
        <s v="good cat loved it"/>
        <s v="ordered dog food for the first from petflow the ordering was simple easy website navigation and the product arrived in a timely manner"/>
        <s v="they let me order food and charged me and called my vet to confirm the prescription and they didnt even have the food in stock in these times of cat food shortages wasting my entire week thinking i had found food for my cat was detrimental to my finding m"/>
        <s v="very good customer service&#10;they work with you to get you just what you want"/>
        <s v="ive used petflow for a year now and love it the orders are easy to complete and quick to deliver&#10;i had to call customer service to change my order and quickly received the credit on my card i switched dog food brand and mistakenly forgot to cancel my auto"/>
        <s v="package was a week late but i believe that was fedex fault when i contacted petflow about the delay the response came relatively quickly and they let me know they contacted fedex to figure out the issue i received the package the next day the customer ser"/>
        <s v="great pricing however i wasnt able to use my  on my second order as promised i did rate the company a  star however after reading the other  star ratings i feel im just another customer that was mislead"/>
        <s v="very slow to ship resulted in poor arrival time i thought  days was enough time but was wrong"/>
        <s v="i spoke with somebody in chat and i canceled this order i was told that my order was canceled i asked for confirmation that my order was canceled to an email they told me we dont do that two days later i had two of my  lids show up at my door after it was"/>
        <s v="although i have had great success with using petflow in the past currently their service is quite poor i had a older cat is needs vet prescribed food after ordering food recently petflow informed me the vet indicated i have no relationship with them ok i "/>
        <s v="petflow has cat food that i cant find elsewhere which is nice i like their automatic programs except for not being able to edit them ive been sent products that i cant use and have to contribute to the humane society delivery is always fast and well packa"/>
        <s v="my dog food always arrives on time they always correct if a mistake happens we are happy with the service"/>
        <s v="this gate is working very well at our house the twoway open door is terrific we are very happy"/>
        <s v="great prices selection fast shipping love petflow"/>
        <s v="excellent selection of items and their delivery was spot on and timely i tried them when chewy did not have the brand of food that i was looking for i learned that since chewy was purchased by petsmart they no longer carry fromms dog food"/>
        <s v="thank you so much petflow you have the prescription wetfood available for my halo"/>
        <s v="the delivery of our canned dog food was quick we had a problem with one of the cases due to the shipper and petflow customer service was excellent"/>
        <s v="never received the dog food i ordered nor did anyone follow up after i called them inquiring about the missing order super disappointing untrustworthy and poor customer service"/>
        <s v="petflow is a great company to do my on line buying from the customer service persons are the best"/>
        <s v="like the quick service and available products i have only had one problem since using petflow ordered pill pouches and they arrived smashed good company that i have recommended"/>
        <s v="always get my pups treats and food from petflow great service and super quick delivery with updates"/>
        <s v="on oct th after not being able to obtain the prescription canned dog food needed through normal online pet care provider for over  days i found the petflow website which showed the food was in stock to be sure i called the same day  spoke to an agent who "/>
        <s v="customer service is excellent what they sayhappens and quickly delivery is fast packaged very well notifications of shipment delays when to expect delivery are outstanding&#10;love this companythey genuinely understand how important our fur babies are to us b"/>
        <s v="i had a hard time finding what i wanted and petflow had it fair price fair shipping cost and timely i will be a repeat customer"/>
        <s v="always what they promised great deals"/>
        <s v="i ordered a few items using an account credit when one of the items was out of stock at one warehouse and had to be shipped from a different warehouse they charged my paypal account without my consent for this item that was already paid for using the acco"/>
        <s v="great prices easy to order and prompt delivery im a convert"/>
        <s v="i have ordered the  pack of bully sticks from petflow several times they are an expensive item anywhere and the cost keeps going up as with everything these days their prices are fair and their shipping is fast one thing i have noticed is that the total a"/>
        <s v="ordered online instead of my local store who is almost always out of stock i just order when the old bag is halfway empty  food comes within a couple of days usually no issues"/>
        <s v="my order was filled shortly after it was placed but  days after it was due to be delivered only of  boxes has been the other two boxes are sitting at a fed ex center waiting to be loaded onto the delivery truck the petflow customer service people were ver"/>
        <s v="i ordered my dogs food and had it within a couple days and free delivery to boot"/>
        <s v="our order was delivered very fast  the price was reasonable the website is easy to use"/>
        <s v="came on time and exactly what i needed couldnt find it anywhere else thanks"/>
        <s v="placed order and received it in less than one week"/>
        <s v="what a mess this company is i thought chewy was annoying&#10;&#10;i will never use petflow again"/>
        <s v="when i received my order the box and the bag of dog food had been ripped open i called customer service and they had a new bag out the same day awesome customer service thank you very much"/>
        <s v="outstanding well trained smart friendly  knowledgable customer service and i depend heavily on the autoship program"/>
        <s v="ordered everything i have a chew everything puppy i placed my order then received an email for a couple items not in the warehouse that was fine but never received either an email or receipt for my items or what my final cost was they did state i wouldnt "/>
        <s v="i love petflow they always have what i need for my dog  and ship it out fast a service every order"/>
        <s v="everyone at petflow seems to be familiar with their inventory  very helpful great place to shop for your pets needs"/>
        <s v="the treats were perfect and fast shipping thank you"/>
        <s v="petflow was recommended by my girlfriend and i switched dog food and my dog loves it and i have no complaints  recommend and i can set up times of delivery between bags"/>
        <s v="just started auto ship of a cat food for skin allergies made by hills and once i know how much i will need of blue buffalos i will make it auto ship the hills i am running into availability of just ordering when i need it or at the vets it was even a prob"/>
        <s v="love pet flow very kind and friendly customer service they always have my cat bff weruva in and the  off is always a plus"/>
        <s v="i have been pleased with petflow customer service has been great products are good the only problem i have had is using your website to cancel autoship i have only been able to pause it i dont know if this is intentional or an oversight i know i can call "/>
        <s v="my doggies food comes so quickly after i order its always in perfect condition"/>
        <s v="always an easy transaction we order our dog food from here regularly"/>
        <s v="didnt have my order in stock and canceled my shipment with a puppy it is hard to just up and switch food when an order doesnt arrive as expected so had to go to extra lengths to find the specific food"/>
        <s v="awesome as usual  always on time great customer service and fantastic product"/>
        <s v="our toy poodle has been permanently put on hills canned stew due to health issues but we found it was not available due to a supply shortage then we turned to petflow and found her entire supply with fast delivery petflow looks out for our furry kids and "/>
        <s v="i love the autoship option for my cat items purchases in particular i order large containersboxes of cat litterpetflow does an excellent job of packing it and it always arrives undamaged they also keep me informed of any shipment delays etc"/>
        <s v="i began using petflow several years ago i love them because&#10; i can speak to a real american born person who always helps me&#10; they carry brands from small companies such as fromm&#10; somehow they get fedex to deliver to my house on time fedex usually does not"/>
        <s v="product was delivered quickly on time with no damage"/>
        <s v="excellent communication and reliable timely deliveries customer service is the best ive ever worked with my goto supplier for quality pet food"/>
        <s v="excellent customer service and easy auto ship options"/>
        <s v="good service selection prices"/>
        <s v="customer service has always been polite and helpful but unfortunately i have needed to use them frequently with my autoship orders i had  pets getting prescription diets but they kept sending the requests for refill to the incorrect veterinarian then some"/>
        <s v="the item i ordered turned out to be unavailable i received an email a few days after ordering which informed me of that fact i dont know why you cant update your website so someone doesnt end up ordering something you dont actually have thankfully i was a"/>
        <s v="i placed an order and had to cancel i was shocked how quickly my text message was received and taken care of not entirely trusting the text system i called customer service and the lady was courteous and confirmed order was already canceled customer servi"/>
        <s v="petflow is wonderful the lady i spoke with taking my order was terrific my pet food all arrived quickly and in good condition delivered right to my front door  thank you petflow "/>
        <s v="i wish i had known about you sooner i order my pups dog food  it arrives the next day thank you for such great service"/>
        <s v="products are great good selection could have been better communication on the order status and shipping times compared to other companier i order from taking  or  days to prepare an order to ship is too slow especially with little to no communication from"/>
        <s v="i was pleasantly surprised that petflow had products that chewy had out of stock and they shipped it free and fast good work petflow i will definitely buy from you again"/>
        <s v="always great service and excellent selection"/>
        <s v="have been waiting for almost  weeks for the dog food i ordered they said it got lost"/>
        <s v="i really like pet flow and would order from them more but it seems like they are frequently out of stock of the products i want so i am then forced to go elsewhere and shop"/>
        <s v="great price and item was shipped out in timely fashion"/>
        <s v="petflow has excellent customer service i ordered a case of canned dog food and it once again came with almost all the cans dented i called to let them know and they sent me a new case of cans without dents would have liked the original shipment to have co"/>
        <s v="when it comes to the phone reps i have always had friendly and competent service from petflow however the inadequacies of the website have me at the point of switching companies i have set up autoship for rx cat food when i log in there is just no way for"/>
        <s v="customer service was great but i was disappointed in the bully sticks they were the right length but very small around not what i expected"/>
        <s v="i liked the idea that at petflow i can get fromm dog food and treats delivered right to my door with free shipping"/>
        <s v="can you wait til i receive my order so far your premature review begging is a turn off"/>
        <s v="great site lots of items i couldnt find elsewhere especially limited ingredient feline canned shipping was fast will buy again for sure"/>
        <s v="i am so very pleased with petflow every shipment arrives on time prices are fair customer service is outstanding and shipments arrive properly packed have never had anything broken"/>
        <s v="i have  cats for whom the chickennnreast is a regular morning treat they all look forward to it every day"/>
        <s v="delivery of my product arrived timely but i needed to cancel my autoship when you select to cancel there is no option to cancel only pause i had to wait until the next day to call and and speak with someone to cancel and when asked why i had to share with"/>
        <s v="my experience with petflow was excellent their pricing and availability of products is very good the kept me informed of my order status from start to finish they were the only company that had what i needed and i received my order promptly i will continu"/>
        <s v="bad experience took forever to acknowledge receipt of pet rx all the while losing time to secure the limited supply of product i ordered by the time they confirmed receipt of the script and acknowledged the order the supply dwindled and i lost the product"/>
        <s v="always fast shipping and great products "/>
        <s v="products are fine website is fine but i have a problem with auto ship set up it is impossible to cancel auto ship program i can delay and change the date of shipment but cannot cancel without calling the office and because of this have received duplicate "/>
        <s v="my puppy and cat love it&#10;i love how big the bowl and reserve tank are and how quite the motor is as well as the way the water circulates in the bowl no splashing i had the large original drinkwell pet fountain and so far i prefer this one a lot over the d"/>
        <s v="this was the very first time i ever purchased from the site and i was a little nervous in the beginning but that was all changed when i found out that they shipped on the day they said they were going to and i received it when i needed it i am very happy "/>
        <s v="its been weeks and i havent received the good yet i cant believe they are asking my opinion of an item that hasnt arrived yet"/>
        <s v="the orders are always late the customer service rep was rude and unhelpful i had to speak to the manager to get some resolve"/>
        <s v="because as a customer petflow mislead me  petflow sold me merchandise and the sold it to another customer then sent me a message that they were now out of stock  and petflow still has not refunded my money  we will never shop with petflow again  ta"/>
        <s v="first time ordering with this company placed the order on  by  still hadnt received it i called and apparently the shipment got lost employee offered to send out another order but declined to give any type of promo code or discount even though i told her "/>
        <s v="unfortunately when i placed my order my items were in stock then i got an email saying they were out of stock and i was refunded havent order again"/>
        <s v="very punctual and nice but the fedex delivery person did not do his job left the box near the mail box and not at the door i am senior and cannot pick up this heave box"/>
        <s v="petflow came through for me with a prescription order when chewy could not hours on the phone with chewy and multiple customer service agents and chewy failed  they have problems over there i contacted petflow and they took my prescription and had my cat "/>
        <s v="love the convenience of not having to shop and hoist large bags of food"/>
        <s v="i ordered treats that showed in stock they never came so i emailed they said they were now out of stock and would notify me when in stock they ended up cancelling my order  not a good experience for first time customer"/>
        <s v="great fast service great intro prices for new customers when you do autoship"/>
        <s v="horrible customer service keeps lying to me about when my order is going to come in every time i looked it up it was supposed to be delivered today at at  in the morning now too and it never showed up and i cant seem to find the damn email to tell me wher"/>
        <s v="most anything i was looking for i was available on petflow and at a good price"/>
        <s v="received mats exceptionally quickly for a very good price"/>
        <s v="fast order great packaging great price"/>
        <s v="i love the service however  bags of dog food i have received had busted bags and dog food all in the boxes"/>
        <s v="i used to use other wellknown online mail pet services but they stopped carrying the brand of dog food i have given my beloved english singer spaniel for  years i then discovered petflow carried this brand they are courteous professional and most importan"/>
        <s v="i ordered a product that said it was in stock only to be told  days later it was out of stock the website is misleading"/>
        <s v="great prices products and customer service"/>
        <s v="the kitty litter box split and was all over the box"/>
        <s v="fast carefully packed service"/>
        <s v="this is a fantastic gate it looks divine and was easy to assemble perfect for my maltese thank you"/>
        <s v="you take orders knowing products not available no trust ever again"/>
        <s v="petflow has a good selection of products they are almost always in stock the have competitive pricing and they deliver quickly usually  days"/>
        <s v="reliable product easy ordering process dependable delivery thanks petflow"/>
        <s v="i have place  orders with petflow both orders shipped out on the same day packages arrived quickly excellent company highly recommend"/>
        <s v="great selection of products  emphasis on very healthy items good price points  delivery is always on time  in good condition"/>
        <s v="thank you for carrying my dogs prescription dog food hills metabolic your website was the only trustworthy site in stock my dog beau says thanks for his food too"/>
        <s v="i ordered food for my dog on the petflow website my first order took a little while because they needed to verify with my vet since it was a prescription food my second order was shipped the next day and arrived a day later at my house excellent service t"/>
        <s v="great customer service quick  courteous"/>
        <s v="ive been using petflow for years for my dogs food subcritical platform the customer service is outstanding the product diversity is unbeatable"/>
        <s v="placed order for dog food that i needed asap then days later petflow cancelled order and wont refund my payment for  to  days i had to then find a physical store that sold my brand of food so aggravated didnt they know my order wouldnt be fulfilled when t"/>
        <s v="all item sent even if it took more than one box for same free shipping"/>
        <s v="products ordered  stars ease of ordering  stars speed of shipping which may or may not be petflows issue  stars my order included dog food i was only given  tracking number and unfortunately that tracking number was for the items shipped separately from t"/>
        <s v="ordered butcher block bones and a box of dog biscuits at checkout there was no information that the bones were out of stock you shipped only the dog biscuits i cancelled order you said it already shipped and we could just go ahead and keep the biscuits or"/>
        <s v="i was impressed with how quickly my order arrived it was protected in a strong box very professional thank you"/>
        <s v="i ordered a new flexi leash for my canine having carefully researched various sites and noting petflow for my first time decided to have a go and was pleasantly surprised at the pricing service and delivery they run out of the leash but notified me immedi"/>
        <s v="product that is not available elsewhere is available on petflow which i appreciate with supply issues from the manufacturer petflow provides another option to find the pet food im looking for&#10;&#10;shipping time is slower that other online sites so i need to p"/>
        <s v="first time using will use again"/>
        <s v="your selection and prices are good i also appreciate the discounts available only thing i have a problem with is fedex delivery but since i eventually get my order ill be okay with it"/>
        <s v="excellent service however now i can not find the product anymore&#10;vital essentials relief hemp dog chews relieves inflammation"/>
        <s v="i have been trying to find the special urinary diet treats for my fur baby for months i finally found them on your site only to be told weeks later whoops you dont have them well put it on your website then that they are unavailable"/>
        <s v="great selection and services&#10;happy dogs"/>
        <s v="everything from locating products on the website to check out was very easy i wish that some kind of summary or packing slip was included with the delivery but other than that everything went as smoothly as it could thank you"/>
        <s v="petflow has the products i need and if they dont they can explain to me why they dont and why i cant find the product anywhere else something might be happening at the manufatcurers end or with the distributer etc they are always very helpful if i have to"/>
        <s v="it seems a bit difficult to delete an autoship maybe its me"/>
        <s v="not very long shipping from the date of the order prices same as vet"/>
        <s v="ordered on  prescription approved the same day item was in stock estimated delivery oct   days for a prescription assuming it arrives on the th and no update at all unacceptable and the same thing happened the last time i ordered terrible service they als"/>
        <s v="i get all my dog food and treats from you usually all is good and no problemshowever last order the  lb bag of their nutrisource weight management bag was torn and kibble leaked out into delivery box i do not like giving my pups any food or treats where t"/>
        <s v="petflow always has the prescription diet dog food in stock my dog requires i dont have to wait for them to ship thank you for your service"/>
        <s v="ive used this company twice and both calls were speedy and user friendly ive also used chewy and those calls tend to be cumbersome nice people at both companies ex chewy asks lots of questions before i can place my order i believe petflow just needed my p"/>
        <s v="love the products and ease of ordering my problem is with the actual shippingpackaging of items being sent to my house often everything no matter what size or weight is thrown into the same weakly sealed one strip of packing tape thin cardboard box by the"/>
        <s v="my purchase was delivered in a timely manner&#10;prices are fabulous just  at any other retail store is  ish&#10;&#10;once im finally moved into my new house i will start automatic shipping "/>
        <s v="always correct  timely a bit of delay due to getting items further than nv to az end point but that is expected in the shipping issues across all businesses"/>
        <s v="so far so good&#10;petsmart has let me down with late shipping not in stock and lb bags of dog food with way too much powder they refuse to ship in boxes that match the large bags and simple will not use any kind of packing&#10;fthat we be dun wit does mfers&#10;petf"/>
        <s v="first time ordering autoship for dog food so far so good"/>
        <s v="quick delivery and always coupons to be found"/>
        <s v="quick dependable service with diverse item selection most companies now offer free shipping on all orders which should be a consideration here"/>
        <s v="great product the company you use for shipping is horrible boxes opened when delivered bags of food broke open from throwing it down on the ground poor shipping"/>
        <s v="great prices and products in stock ready to ship i will definitely order again"/>
        <s v="great service and fast delivery excellent "/>
        <s v="always a pleasure shopping with pet flow"/>
        <s v="great company quick shipping i order dog food from them all the time but was disappointed on the last dog toy i bought this time my little dog that doesnt really destroy toys had this stuffed pizza toy destroyed after  minutes i probably wont order any mo"/>
        <s v="always got what my cats want and always delivered on time petflow gives me one less thing i have to worry about with there auto ship"/>
        <s v="great company with excellent customer service"/>
        <s v="great prices excellent shipping time thank you"/>
        <s v="nd time ordering from petflow and i am a very happy customer i read a lot of bad reviews online about this company and was a bit concerned but honestly ive had an excellent experience with them so far the order was accurate and i received the products in "/>
        <s v="excellent customer service very professional and accommodating&#10;thank you"/>
        <s v="petflows prices are good and the delivery is super fast"/>
        <s v="i ordered prescription food from them which needed my vets approval spent over  at first the food order was put on hold until january   i contacted the customer service and they were able to get rid of the pause but they still had to contact my vet before"/>
        <s v="competitive pricing product availability and fast shipping thank you petflow"/>
        <s v="gave petflow a chance because chewy was out of stock on one of the items i needed and petflow showed it in stock after placing and paying for the order i got an email stating one of my items was out of stock turns out it was the same one chewy was out of "/>
        <s v="i think im going to like this sifting litter box that i just bought its different from anything i ever used before but its simple enough to figure out"/>
        <s v="i loved the selection and ease of checkout on petflow the one time i dealt with customer service was completely painless and i would recommend this company to any pet owner the only improvement that i can think of would be to have a way to save items for "/>
        <s v="competitive price&#10;fast delivery"/>
        <s v="good pricing great variety quick service need i say more"/>
        <s v="the first time i ordered my dogs canned food the experience was pretty negative as none of my requests were taken care of it was if they just ignored me the second time was a better experience"/>
        <s v="ordered item  weeks ago web site said in stock  called twice did not receive any real answers or satisfaction said it was problem at he suppliers warehouse update just received email that product just shipped all is good"/>
        <s v="first i was told my food order was on its way and shipped then told it was on back ordered and cant be delivered  i want to cancel my order but have no where to call or know how to do it&#10;but company sends constant emails &#10;also i ordered toys based on my d"/>
        <s v="they have products of dog food i cant find anywhere else"/>
        <s v="products are great service was great the packaging for shipment was terrible both boxes were broken open due to poor lack of packing material it was amazing items ordered were still in the boxes"/>
        <s v="my dogs are happy and so am i with the services on delivery of their foodsand my cats are happy too"/>
        <s v="there no price gauging my order was received quickly and packaged perfectly i will order through them again"/>
        <s v="respond to emails very quickly take care of a problem pronto"/>
        <s v="it is difficult at times to get dog food during this pandemic petflow is dependable thank you"/>
        <s v="excellent service and delivery selection of products is probably the best that ive yet to find shipping has been on time pricing is very competitive thank you for a positive experience"/>
        <s v="the replacement squeakers i purchased were supposed to be large unfortunately they were medium sized merely passed off as large they were barely bigger than the small squeakers i also purchased"/>
        <s v="it was supposed to be here thursday it is now wednesday almost a week late and no estimated delivery date i was hoping this would be convenient however now its way worse than just driving  minutes to the pet store"/>
        <s v="overall the service is good but i have a routine shipping monthly on the th unfortunately my order of prescription dog food was not picked up by fedex until the th and not shipped until the th now it looks like i will run out of food a day early not good"/>
        <s v="prices are good however shipping time not so good my items took about  days to arrive when using other company  days tops this probably why i will not shop with pet flow again"/>
        <s v="love the delivery its heavy for me to carry to the trunk and then into my house plus the food is great and so are the treats thanks"/>
        <s v="ordered several teddy bear toys  enough to get free shipping arrived so quick my dog loves these toys  they are quite durable and shes quite a chewer ive got enough to last for a while got a good price too not dependent upon quantity  better than petsmart"/>
        <s v="ordered fromms pate canned food for my dogs upcoming surgery promptly shipped but delivery was held up with no updates contacted pet flow to see if they could get any information aimee quickly responded that she would contact the shipper and would get a f"/>
        <s v="great service reasonable prices good quality will definitely buy again"/>
        <s v="usually we have a great experience with petflow this time however was a real struggle i was told over and over by petflow that they reached out to our vet for food approval but my vet told me they never received any contact from them i even went to my vet"/>
        <s v="i contacted customer service because i received the wrong dog food and they immediately resolved the situation and sent me a return shipping label this company has some of the best and quickest customer service agents ive ever dealt with"/>
        <s v="excellent fast service"/>
        <s v="very easy ordering only site that had the wet food i needed took a little longer to ship but was received in an acceptable period of time"/>
        <s v="i have been a returning customer for a while now petflow has always had excellent service it is most appreciated thank you"/>
        <s v="petflow had the specialty prescription dog food my vet could not get they made the buying process easy and shipped quickly i will keep shopping with petflow"/>
        <s v="great customer service their text option is awesome"/>
        <s v="my order was well wrapped and delivered in a timely fashion i will continue to use pet flow and highly recommend them"/>
        <s v="love this company so easy to work with"/>
        <s v="excellent service i would recommend"/>
        <s v="amazing service the prescription dog food i needed was back ordered by the manufacturer i explained to the petflow customer service that that was the only food my dog could eat they did an online search and found it and had it shipped to me this was not t"/>
        <s v="i appreciate how fast my orders are delivered and that they have exactly what i am looking for"/>
        <s v="see csr file"/>
        <s v="easy to order form the site order shipped and arrived quickly"/>
        <s v="ordered lb bag of dog food and order was processed immediately and delivery was quick"/>
        <s v="found this vendor on line  they were one of the only sites that had the prescription dog food i needed none of the local pet stores had this food in stock i ordered the food from them at a reasonable price and received the shipment in a timely manner well"/>
        <s v="i have no idea what i bought from your site but all my online cat food orders have been prompt and the requested product was the one i received but if this was the royal canin cat food order  my god the price not you the manufacturer lee hoffman"/>
        <s v="my cats eat a pretty particular food that can be hard to find found it on petflow and for an affordable price everything arrived safely and quickly you can contact them directly by text and email i did to check on shipment status and a real person got bac"/>
        <s v="ordered dog food which they said was in stock  prescription food for my dog after paying for it the next day they tell me  oh we are out of that this is the only food he can eat prescribed "/>
        <s v="great service great value"/>
        <s v="great selection of in stock items and shipping is quick and dependable"/>
        <s v="petflow had what i needed in cat food that i couldnt find anywhere else however it took nearly a week to ship although they were several days ahead of their shipping estimate the long shipping may be mostly due to supply chain problemshard to tell now"/>
        <s v="when our vet said he wanted our aussies food changed i had to cancel our standing order  order the new food i contacted petflow by email  received an immediate reply i am so impressed by the ease  speed with which my problem was handled thanks for the gre"/>
        <s v="you need to allow electronic upload of prescriptions for pet food i had to mail the hard copy and then wait for you to get approval from my vet after you received it this took about  days and why would you even need approval when i mailed you the actual o"/>
        <s v="this place is da bomb they have very fast very nice customer service and that is far and few between these days do not hesitate do it do it u will not regret i was using chewy and pet smart and im out with those as long as they keep my dogs in stock im a "/>
        <s v="great experience will use them again"/>
        <s v="easy to find exactly what i was looking for quick delivery"/>
        <s v="i was very happy with my experience i placed an order for my cats food it shipped quickly and i got it within two days of being shipped the cans were excellently packed and the price for food was great i was and am satisfied with my experience and will co"/>
        <s v="friendly staff good selection of dog food"/>
        <s v="wrong food sent now i have to return it&#10;redbox it drive to fedx haul in in"/>
        <s v="we and our  german shorthair pups think your quick service and price are excellent"/>
        <s v="i ordered id chicken stew after two weeks i called you and you said your order is out of stock but still shows available"/>
        <s v="i always feel as though they truly want to make their customers feel satisfied i appreciate that very much"/>
        <s v="rder email confirmation was delayed and the email notification that shipment will be delayed was also late customer service needs improvement"/>
        <s v="super convenient great selection of grain free options prompt delivery"/>
        <s v="couldnt locate my brand of food in new state n city where i now reside found your website and luckily i now have my dogs favorite brands of food best part same price as it was in minnesota at chuck n dons store better it was delivered to my door i will be"/>
        <s v="i was forced to buy two items to get to the minimal amount only one was shipped not the one i wanted"/>
        <s v="couldnt find our dogs food anywhere you were the only place we found and you got it to us so fast and even contacted our vet for approval"/>
        <s v="i have been ordering from petflow for several years now and have always been satisfied with the products and the delivery recently they went above and beyond on an order that was delivered damaged the customer service was excellent and i was totally satis"/>
        <s v="great phone help on getting oscars rx for science diet in and the food shipped quickly"/>
        <s v="petflow had a prescription food in stock for my pet that other sites did not they also had a great promotion for new autoship customers and a separate promotion that saved me money on my prescription food when i had trouble applying the coupon code at che"/>
        <s v="petflow has excellent prices and a great variety of items their customer service is exellent also however it does take a bit longer than competitors to receive the ordered items and they shipped us the wrong item twice they did pay for the returned shippi"/>
        <s v="petflow was a great find with all the shortages and difficulties getting our cats hills science diet and with the price gouging at competitor sites it was certainly gratifying to find what i was looking for at petflow our cats are finicky and spoiled and "/>
        <s v="each time i placed an order of what was supposed to be in stock the company took my order and my credit card information and then days later told me the product was no longer available it really felt like a bait and switch after it happened  times really "/>
        <s v="specialty food said available on website called to be sure available too emailed a week later on backorder very poor customer service"/>
        <s v="i still havent received my dog food fedex keeps saying exception and attempted delivery that never occurred"/>
        <s v="i couldnt find this prescription treat for my dog anywhere but petflow had it in stock my dog is happy she can have a couple of treats a day now thanks to petflow"/>
        <s v="fast delivery  easy to use website&#10;thank you&#10;laura"/>
        <s v="fast service as usual product in good condition well packaged"/>
        <s v="wonderful product arrived as promised good company to do business with"/>
        <s v="ordered rx catcase cansblue wu on  vet contacted on  responded same day on  still no confirmation that order had shipped&#10;&#10;  had made calls earlyon to check to see if everything had been approved processed and had specifically asked when placing the order "/>
        <s v="as usual everything arrived timely and accurately"/>
        <s v="i ordered the prescription dogfood i needed nothing happened i called customer service and they told me they would expedite getting it shipped&#10;a day later i got an email saying it was out of stock this should not have happened now i am hunting for the foo"/>
        <s v="discount was removed by site after checkout ordered from different supplier will not buy from petflow again"/>
        <s v="i have been satisfied with all orders placed"/>
        <s v="received my delivery on the day it was promised"/>
        <s v="the quality if your products is what keeps me coming back also you have a few things i have never seen anywhere else i would purchase a lot more from petflow if you had discounts or rewards for loyal customers i spend a ton of money on my dogs most of it "/>
        <s v="love the service they try to make sure my order is filled every month"/>
        <s v="i ordered online a specialty food product that generally has been in short supply but the order was canceled soon after i placed it when i called customer service to clarify the rep did a search of warehouse inventory and at first found the product was ou"/>
        <s v="products are good just shipping a heavy bag of aquarium gravel with a plastic container of cat food in the same package is asking for disaster i understand it saves on shipping costs but its inconvenient to pickup hundreds of food pebbles"/>
        <s v="they advertised a product that they never had&#10;i paid for it and waited along time for responses"/>
        <s v="i ordered food for my dog almost  weeks ago and have never received it i called  todays after placing the order and was told it would be shipped out the next day that was two weeks ago friday i called back again and was told they were looking into it and "/>
        <s v="i was told by hills prescriptions dog food that you had id chicken stew  ounces on your website for delivery i ordered  cases and had my vet send a prescription to your company after not receiving my food after  days i called your customer service dept wh"/>
        <m/>
      </sharedItems>
    </cacheField>
    <cacheField name="processes_review" numFmtId="0">
      <sharedItems containsBlank="1">
        <s v="i shopped product milk bone pill pouches several weeks our dog on holistic herbal supplements dosing requires about five pouches a day petflow hands down a best price retailer my target product great value consumer customer service prompt courteous effici"/>
        <s v="arm hammer litter dust free clumpingseal which difficult find i used wear a mask handling other litter not necessary now no smell i have it on auto ship which makes it convenient it less expensive than buying in store"/>
        <s v="i have been with them since my orders are on time when there was a delay during covid they were sending out notices updates i had an issue with my fed ex people taking my dog food company immediately send another order out me they are wonderful always res"/>
        <s v="petflow was able ship an important dog food product that was not available from other online merchants it was frustrating contacting usual sources until petflow showed up on a browser search we had not heard of petflow before we will not forget them"/>
        <s v="i received a damaged pet food bag customer service people were so responsive wonderful i received a replacement bag immediately i always prefer petflow because your shipping always professional with no loose food or mess i always promote you my pet friend"/>
        <s v="this second time i have received rancid dog food from this company first time they finally answered my email said they would resend order they resent order item was wrong they then ignored my email didnt respond my phone call&#10;as of right now they are igno"/>
        <s v="company was very responsive problems i had manoeuvering their site shipping was well within reasonable expectations&#10;my only issue has do with site not being easy me actually mazelike in its degree of difficulty i wish it would be more customer friendly pe"/>
        <s v="ordered dog food days later no shipment no contact have call cancel order delete your payment method pretty much a fake joke site"/>
        <s v="people there if contacted go up beyond answer questions help orders are processed in record time shipped out fast&#10;very happy with switch over using them very satisfied customer"/>
        <s v="this was my first purchase from petflow i am impressed first when i set up my my new account i had issues with logging in i received email with digit security code but when i used link use it i wasnt sent page enter after multiple trys i gave up monday mo"/>
        <s v="firsttime customer i ordered canned cat food because of good price free shippinggood timely deliverygood&#10;however packaging was terrible both boxes split open from one box cans had popped open spilling liquid throughout three other cans were so badly dente"/>
        <s v="ive discovered petflow because i searched best value i could find bully sticks my dogs ive been really happy with my purchases will look them other pet supplies in future"/>
        <s v="good product but it would have been easier if these bags were boxed separately being a little old lady its hard manage both of them together but its all good"/>
        <s v="i have had a great experience with petflow they carry fromm dog food which can be hard find good prices website easy use i can adjust date of my subscription as needed"/>
        <s v="i had change my password past three times i attempted place an order everytime i ended up having call customer service place order when i tried tell agent what was happening with order app i kept getting replies that basically called me a liar what was ha"/>
        <s v="i was surprised be able talk an actual person whenever i called support one of few places i can buy best food my dog"/>
        <s v="quality fromm dog food treats that can not be found on other sites exceptional service"/>
        <s v="i placed a large order my nd one petflow was running a good special unfortunately they had some internet issues which delayed my order however it arrived fairly quickly giving issues one of dry food bags had a puncture hole in it when i spoke a representa"/>
        <s v="shipping usually pretty fast which much appreciated there seems be an issue with using my credit card on petflow page but now i just use paypal that seems work out fine"/>
        <s v="one of best things i love besides great pet product selection how petflow ships orders if something heavy being shipped with something that can easily be crushed there a u shaped piece of cardboard inserted in box create a protective space easily crushed "/>
        <s v="had a technical problem with my account had call help your rep was very helpful got food ordered delivered quickly"/>
        <s v="really pleasant helpful people on phones lowest price by far of any fast n free shipping great experience"/>
        <s v="i have used pet flow in past many years ago with success dont remember having same issues ive had recently when i started using there company again a dog food called rockster which produced in europe only sold via a couple store fronts petflow where i liv"/>
        <s v="my first experience was terrible i placed an order on may th on may th it was not even being processed i cancelled it placed an order in chewycom got it at same day&#10;i will not use petflow anymore"/>
        <s v="cannot cancel an auto ship online cannot update expired credit card on auto ship online had call nobody available until am eastern finally pause auto ship place new order do not ever set up any auto ship"/>
        <s v="first transaction auto ship went well cheaper than chewy all downhill after that cant log into account change or cancel autoship tried password reset never get email checked junk email as well contact support ok well send you a password reset email umm co"/>
        <s v="i placed an order on may thupdates tracking with fedex did not occur past second day ultimately an agent ordered a replacement order on may on may th shipment was on a truck delivery but did not arrivethe site still said it would be delivered by end of da"/>
        <s v="i just discovered petflow great selection prices just like or better than online retailer named after a jungle i usually get my order in days using standard shipping will continue shopping here"/>
        <s v="items i ordered were exactly what i wanted they were delivered in a timely manner"/>
        <s v="my delivery was very delayed then showed up even a day later than it was supposed very dissatisfied with this past order petflow wouldnt even offer expedite shipping even though delay was on their end didnt even offed a discount a future order"/>
        <s v="when i called order anything customer service representatives that represent your company they are so so nice very knowledgeable just i just love them theyre great"/>
        <s v="product ordered needed be shipped from a further destination fedex gave an arrival date of monday may then changed their arrival date sunday may it actually arrived on tuesday may i had go store buy some dry food see me through tuesday"/>
        <s v="we purchased canned dog food from petflow their prices were lowest we were able find as this brand was hard find elsewhere ordering was very easy shipping was quick flawless we will continue purchase from petflow"/>
        <s v="petflow only place i can find fromm dog food their prices are reasonable they ship quickly"/>
        <s v="it was able order easily delivery was prompt products had good variety"/>
        <s v="i find best price on my preferred cat food at petflow everything also packaged neatly arrived in perfect shape petflow has been great only criticism would be that it took nearly a week receive order but now i factor this in when i place an order ill absol"/>
        <s v="i have shopped at a couple of different online pet sites only be disappointed frustrated when i found petflow say least i was skeptical but my surprise petflow came through as promised not only did they process my order quickly it was shipped just as fast"/>
        <s v="items were received in a timely manner were packaged well descriptions on your website were accurate very detailed this was very helpful"/>
        <s v="i love your fast shipping fact that you use boxes that are strong enough hold contents you carry bags of dr kelseys kitty litter instead of new lb boxes boxes are too heavy me but i can handle pound bags your prices are best"/>
        <s v="i had a very friendly young lady help me order my cat food her name savannah it was a pleasure having her help me today&#10;&#10;today at bottom of this page some unknown reason someone chose type in date as may not so"/>
        <s v="customer service outstanding always kind helpful courteous professional petflow often has special discounts ive applied my purchases can be counted on have special brand flavor of dog food my admittedly spoiled princess dog eats when i cant find it anywhe"/>
        <s v="this second time that ive been sent two shipments system said i needed update my credit card i did then it was double charged foible shipped"/>
        <s v="there was an issue with shipping petflow team resolved it within hours ive been a customer of petflow several years they always come through my kiddos me thank you"/>
        <s v="i had an issue with shipping damage they fixed problem right away a"/>
        <s v="i placed my order on rd of may after a number of phone calls my order hadnt been shipped on th of may i asked my money be refunded i more than understand business small my account stated that my order was shipped on rd when in actuality it never shipped a"/>
        <s v="just discovered this company great price super fast shipping will definitely be back highly recommend"/>
        <s v="petflow has always been great with wonderful customer service support my only issue that they dont protect their canned food deliveries very well i always end up with a few dented cans they do offer make it right i just wish it wasnt every time"/>
        <s v="my order arrived later than expected some of items were damaged leading a frustrating return process petflow has its pros cons i would advise potential customers weigh them carefully before making a purchase"/>
        <s v="person was very kind but as soon as i hung up phone my order was delivered it seems me she should have been able tell it was shipped i never received an email stating my order was shipped"/>
        <s v="great prices great customer service really fast delivery"/>
        <s v="we can count on petflow delivery ontime with autoship like this easy way ordering my dogs food"/>
        <s v="very good prices product arrived in about a week we are perhaps spoiled by next day two day delivery but thankfully i had anticipated running out of dog food"/>
        <s v="great customer service whoever i speak with always helps me with my issue"/>
        <s v="nice quality collar with a quick release snap i love this beautiful blue collar matching leash petflow best"/>
        <s v="i arrived at site via a link that promised a discount discount appeared on checkout page i checked out with discount applied however discount was not included in final billing so i feel i was cheated"/>
        <s v="you bet everyone elses prices your delivery was great order was correct"/>
        <s v="web site difficult navigate it takes several attempts order a bag of dog food"/>
        <s v="petflow had dog food product i was looking i had spent a long time searching other various web sites not having any luck petflow was very good with communications shippingdelivery of my order very excited find them"/>
        <s v="start order did not go through after attempts using my debit card point of me being highly suspicious about a scam it was not until i called phone number because rep in chat text were dismissal that i was notified there was a problem with companys system "/>
        <s v="days since i placed my order online called verify that my order was coming from nj warehouse im in nj about an hr away from warehouse i still dont even have a comfirmation that my order has even shipped"/>
        <s v="they canceled an order without telling me when i sent an email asking what happened response was a little on snarky side i asked a follow up question never received a reply i thought id try this out but its not worththe headache rudeness ill never stray f"/>
        <s v="shipping took way longer than chewys box that fedex eventually delivered was in horrible shape"/>
        <s v="my credit card always getting flagged fraud with this site site itself has good selection with great prices but if i want continue using it i have make a paypal acct"/>
        <s v="price was right time receive product was fast only issue was packaging lbs of cat food lbs littler in a box that could not handle weight cat littler box broke open we had little everywhere"/>
        <s v="all items arrived within a few days well packed&#10;ordered dog food was a bit worried about possibly getting a short expiration date&#10;the food had an expiration date of over a year&#10;very pleased"/>
        <s v="did not like how mostly everything i looked was out of stock&#10;did not like how i was charged an extra not told prior my order came from a different warehouse so i was charged differently this should not have been my fault i shouldve only paid what i origin"/>
        <s v="i called ask a few questions rep could not answer anything luckily i called back got a rep who could basic questions also once when i was a prior customer then with my last order i called assistance was assured my issues would be handled they werent i wou"/>
        <s v="i have had two auto shipments of dog food messed up in less than months first of all i do auto ship with you i order bags of victor nutrapro every weeks my first problem was an order of two bags sent me one was not in a box was taped shut where it had bee"/>
        <s v="shipping was by slow boat very disappointed in that"/>
        <s v="always fair price prompt shipping great products choices"/>
        <s v="it was very helpful have that special with off of purchase its hard me as a senior on a fixed income"/>
        <s v="easy transaction good selection good prices quick shipment"/>
        <s v="shipping literally always late i know that out of your control but it would be worth talking fed ex about it im sure you are losing return business"/>
        <s v="quick delivery of a hardtofind product my dog loves"/>
        <s v="petflow has good prices if you have&#10;coupon codes use google incognito"/>
        <s v="i ordered a case of cans of dog food when it came cans were severely dented i called company they did send out a new case very quickly when new set of came were damaged unusable this isnt cheap dog food packagingshrink wrapping wasnt messed up so im not s"/>
        <s v="online ordering easy product selection great delivery fast good customer service boot"/>
        <s v="we needed dog food asap so petflow rescue plus their subscription program gets food us on time without having wait order we love it"/>
        <s v="easy order delivered in a timely matter when i had a problem with a delivery as crushed cans or a torn bag of dry dog food it was taken care of"/>
        <s v="sure easy navigate experience was quick they have good deals ill definitely be back recommend others"/>
        <s v="good prices selections fast delivery"/>
        <s v="i made a mistake on my order customer service immediately corrected it me"/>
        <s v="always willing put up with my constant changes"/>
        <s v="accurate timely i depend on them every month"/>
        <s v="shipped from nevada ohio then back california it took days get food"/>
        <s v="i love connivence of having my dogs food delivered directly my home it so easy have auto ship if i want choose additional products i just go on line"/>
        <s v="great customer service love your sales i order litter use pharmacy great products"/>
        <s v="very helpful friendly support staff reliable shipping"/>
        <s v="prices are awesome super fast shipping"/>
        <s v="i love selection of products offered my dogs loved treats they received prices are amazing"/>
        <s v="everything was great as alwaysvery courteous helpful"/>
        <s v="extremely fast processing delivery i placed my order night time april food my dog left at my door april pm truly greyhound speed thank you perflow"/>
        <s v="i did not get my dog food i asked fed ex about it it lost i got cat food litter but not dog food&#10;&#10;can you resend it"/>
        <s v="i love pet flow toys are always best quality have a lot of options great service"/>
        <s v="i bought large bags of open farm food from you but now you only sell small bags"/>
        <s v="i love this food my schipperke it has great ingredients delivery very fast i would have recommend fromms friends"/>
        <s v="websites very easy use product arrived promptly product arrived in great shape product that arrived was exactly what was ordered no complaints"/>
        <s v="reasonably priced fromm dry dog food&#10;easy website browse place an order shipping was on time&#10;&#10;will order from this site again"/>
        <s v="petflow had product i needed would rate a star but product took an excessive time ship recieve"/>
        <s v="none"/>
        <s v="quick&#10;easy&#10;kept you informed&#10;open communication"/>
        <s v="a very smooth seamless process secure my spot in breeders upcoming litter"/>
        <s v="easy order i received correct shipment"/>
        <s v="hard find dog food at a good price e quick free shipping"/>
        <s v="easy order wide variety of product choices great prices"/>
        <s v="ordering was easy delivery was fast i found what i wanted"/>
        <s v="cant beat prices very convenient service"/>
        <s v="great prices loved free shipping"/>
        <s v="highly recommended thank you guys providing absolutely phenomenal service"/>
        <s v="my shipment reached grand junction co which close where i live then it was shipped back nevada then back grand junction this second time this has happened all of cans were damaged when i received my shipment"/>
        <s v="love how tall it isand lookjust what i was looking forwas shipped very fast"/>
        <s v="pet flow was very good about my special order they had reach out my vet get script dog food did so i received my order right after that thank you"/>
        <s v="had a problem with my order duplicate customer service fixed right away answered phone with a person i could understand super plus that"/>
        <s v="my order came with cans dented out of this not first time"/>
        <s v="good company order better prices"/>
        <s v="you had items i wanted at a good price my order was filled shipped as advertised ill use your service again thank you"/>
        <s v="ive always had good reliable service from petflow im very happy with experience"/>
        <s v="my card number failed go through properly i didnt know it so i finally called company when i didnt get my product they explained me what had happened i said oh lets go ahead use number again when i went ahead they give me discount my trouble you cant beat"/>
        <s v="always get anything i order on a timely basis"/>
        <s v="prices were extremely competitive everything arrived without a problem delivery was fast"/>
        <s v="i have yet get my order it was easy ordering"/>
        <s v="best value bully sticks nobody comes close every place way more expensive"/>
        <s v="i received what i ordered pronto great prices compared petco i saved compared petco"/>
        <s v="had everything i needed ordering was quick easy speedy delivery"/>
        <s v="furkids love treats customer service was top notch great communication"/>
        <s v="quick shipping a great price i will be a returning customer"/>
        <s v="super fast shipping awesome fantastic prices"/>
        <s v="great communication with frequent updates on my order tracking"/>
        <s v="wish there were more options length of time dog food ordering"/>
        <s v="experience was great shipping was fast very happy with my purchase"/>
        <s v="its a great product family dog loves it"/>
        <s v="lured in by low pricing i ordered a case of a new dog food canned try it out i ended up converting my dog over about days onto this new food i then ordered more cases with petflow of same food i had auditioned transitioned my dog onto&#10;&#10;what a nightmare th"/>
        <s v="order came just as promised very quick shipping"/>
        <s v="best price fast delivery"/>
        <s v="i think you provide good service deliver your products on a timely basis"/>
        <s v="good prices large selection fast delivery good response questions"/>
        <s v="super fast shipping competitive pricing accurate order delivered"/>
        <s v="as i said before a mistake was made with my order customer service immediately fixed it"/>
        <s v="wonderful find natural balance venison canned food in stock delivereddelivered"/>
        <s v="package was never delivered days after order"/>
        <s v="they had what i needed hardtofind item in stock shipped quickly"/>
        <s v="very easy navigate website excellent prices great selection just an overall best experience second none"/>
        <s v="i received my order promptly these people are on their game sure"/>
        <s v="user friendly online shopping experience very good prices"/>
        <s v="i was pleased with prices products at petflow"/>
        <s v="quick delivery on great product at a great price"/>
        <s v="great prices good service"/>
        <s v="got what i ordered it was delivered on time"/>
        <s v="pet flow had an out of stock item we have been looking over months my dogs are so happy"/>
        <s v="great prices free fast shipping awesome"/>
        <s v="higgins parrots feed"/>
        <s v="fast shipping great fresh seed brands i use higgins"/>
        <s v="easy place an order great prices fast shipping"/>
        <s v="good customer service great prices"/>
        <s v="i always get good service at a good price in a very good time"/>
        <s v="good price on pigeon feed shipped with no damage"/>
        <s v="company affordable customer service exceptional"/>
        <s v="everything was perfect thank you"/>
        <s v="great prices prompt delivery"/>
        <s v="ordered you didnt have in stock still waiting"/>
        <s v="easy order at a fair price this day age"/>
        <s v="easy place order delivered on time"/>
        <s v="good price timely delivery"/>
        <s v="they get my stuff i ordered me within a few days"/>
        <s v="love product very fast serviceshipping"/>
        <s v="like always quick reliable"/>
        <s v="good i will purchase again"/>
        <s v="you had what i wanted you got it me quickly"/>
        <s v="you had product that i needed it was shipped quickly"/>
        <s v="great shipping speed bones i ordered are great"/>
        <s v="good price fast shipping"/>
        <s v="fast efficient service"/>
        <s v="easy ordering experience good products"/>
        <s v="my dog loves it"/>
        <s v="fast easy&#10;good price"/>
        <s v="i order in no time my order delivered staff also quite helpful with advice customer service"/>
        <s v="i am committed feeding my cat required ingredients suggested by my vet give tammy quality of life as she grows older because of cost of prescription diet food i have shop around best affordable prices which petflow has provided my number one choice price "/>
        <s v="i needed a prescription food you say you stock your instructions were mail prescription in this seems bazaar in online world after a few days you emailed me saying that i could email a scanned in image of prescirption&#10;&#10;why didnt you provide this right up "/>
        <s v="always fast service good prices"/>
        <s v="best price on kmr liquid powder"/>
        <s v="great service pricing&#10;&#10;thank you"/>
        <s v="first petflow shipped my product wrong address even though they confirmed via email text that address would be updated correct address shipment secondly do not rely on their autoship they have constant delays so it not dependable like everything else abou"/>
        <s v="great service&#10;easy order&#10;shipped quickly&#10;thanks"/>
        <s v="excellent customer service thank you"/>
        <s v="i found what i needed quickly not many shippers carry nutrisource i also got a significant discount through my capital one addon so i bought bags get free delivery they were delivered very quickly as well i am disappointed that they dont participate in fr"/>
        <s v="easy navigate website lots of name brand foods at reasonable prices"/>
        <s v="best prices anywhere great communication from petflow received food four days after ordered pet flow notified me on day order was delayed one day in st paul location but was quicker delivery time than other companies i have used so was very happy find pet"/>
        <s v="shipment was received in a timely manner however cost of canned food i purchased almost can i would have expected a little bit of packaging material in box almost all of cans have big dents in them from being shipped i am glad that though that they carry "/>
        <s v="due shipping restrictions i was unable reroute delivery via my fedex delivery manager this a big issue me because i live in an apartment complex with a lot of theft having my cats expensive food stolen too much of a risk take when ordering from petflow"/>
        <s v="website very easy navigate our purchases were shipped arrived quickly our home prices are best ive found all these things have added up me be a repeat customer"/>
        <s v="easy order quick shipping makes petflow a winner in my book"/>
        <s v="good selection of cat foods good quality fast shipping with fair prices"/>
        <s v="product a case less than competitors&#10;shipping time relatively timely they product came in manageable size boxes not one oversized heavy box"/>
        <s v="they are very responsive an item was missing from my shipment it was reshipped within a day or two"/>
        <s v="fedex failed deliver package even though it was shown as delivered boxes of milk bones one call petflow sent a replacement one week later fedex package showed up most likely dropped off by a neighbor called petflow they said keep treats donate a pet shelt"/>
        <s v="timely orders great communication wonderful products"/>
        <s v="they gave me a credit because something i ordered was no longer in stock new items came very fast"/>
        <s v="it was my second order second time it was easy with high expectations&#10;thank you nice service"/>
        <s v="tried chewy but there no comparison pet flow your service far above them my order always delivered quickly customer service department great helpful i am a returning customer pet flow best"/>
        <s v="prompt services delivery competitive pricing"/>
        <s v="lowest price i could find fast shipping knowledgeable polite customer serviceone small flaw wasnt able use paypal no biggie"/>
        <s v="always good products always good prices repeat customer many times over"/>
        <s v="i received packages in good shape as promised with little delay products were as described much appreciated thank you petflow"/>
        <s v="had call in because of recent c card change efficient quick delivery thank you"/>
        <s v="petflow offers items my dog at lower prices than other pet supply websites there arent as many choices as bigger websites but i look at petflow first when i need something because of their good prices my order shipped quickly accurately"/>
        <s v="i can change order they always catch up with changes"/>
        <s v="that it got delivered in time your price fare"/>
        <s v="they got my order out me in a timely matter a good price"/>
        <s v="we needed small litter pans were able find them at petflow not only were we able buy quantity we required but these were also lowest price available online thank you petflow"/>
        <s v="easy use website i found product i wanted notifications sent through whole process after purchase was made product arrived when specified in whole undamaged form well packed"/>
        <s v="i am very happy with fast delivery also knowing that my ordered items are available im still learning how navigate auto shipment with petflows system there are too many shipment options on page i have accidentally double ordered because of how auto shipme"/>
        <s v="we appreciate your efforts keep orijen products in stock past five years our puppy has been alive you get them us fast thanks"/>
        <s v="great customer service chews need be long lasting"/>
        <s v="this was first time i had use a prescription food staff was on ball got taken care right of way shipped me in days"/>
        <s v="auto ship a lifesaver prices are comparable store prices but never having worry about running out fantastic they are always on time as promised"/>
        <s v="they are still bothering my vet a prescription on an i order i canceled annoying"/>
        <s v="best prices fast free delivery you can get cashbak with rakuten"/>
        <s v="i got what i order when was suppost be deliver"/>
        <s v="reliable easy ordering quick shipping their prices fish food we use best you can find&#10;dont hesitate use petflow&#10;theyre outstanding"/>
        <s v="always great finds at great prices on your site"/>
        <s v="i was very pleased about shipping that it came on day it said it would also i like price a lot of people in amazon are price gouging so this nice thank you"/>
        <s v="fast shipping was provided as i was running low on canned dog food only problem was some of cans were smashed they still were able be opened but tough get all food oyt"/>
        <s v="love large guinea pig house she loves cloth ones without a bottom petflow was only place i could find them so happy they had them i will absolutely continue order from them"/>
        <s v="quick shipping easy websitecost up tho"/>
        <s v="rapid response&#10;personal interchange&#10;human contact"/>
        <s v="first time customer ordered prescription food so it had be approved by my vet still had my order in less than a week thanks speedy delivery"/>
        <s v="this was my first time purchasing products available my cockatiels while limited were good quality issue i have with packaging of pounds of millet they need be put in a bag first prevent seeds from spilling out into larger box it creates wasteage a mess b"/>
        <s v="very professional my orders are always right on time"/>
        <s v="i have a been a long time chewy customer you beat their price on one of items then with autoship you beat price on other item so i gave you a try you delivered&#10;&#10;i am new plan stay"/>
        <s v="timely delivery wide choice of product at a competitive price"/>
        <s v="original order on damaged in transit heard nothing a week after i called replacement order initiated supposed be delivered on its now order still showing intransit from nj with no additional info as eta or when my order should be delivered very poor perfo"/>
        <s v="a better value than their competitors fast service thank you"/>
        <s v="had my product in stock great price payed shipping thank you"/>
        <s v="always fast friendly service"/>
        <s v="fast delivery cans not dented price"/>
        <s v="my order was processed shipped promptly at a very good price"/>
        <s v="prices are comparable free delivery great"/>
        <s v="so happy get my very hard find dog food"/>
        <s v="we like ordering from petflow orders come quick it easy get what we need our babies"/>
        <s v="easy order it shipped quickly pup enjoying toys"/>
        <s v="so easy order online was quickly delivered my home"/>
        <s v="i like that i was able find food my dog that hard locate in pet stores my order was received within five days my pup was very happy i will definitely make more purchases from petflow"/>
        <s v="i have used pet flow a number of times they are usually on time get things shipped timely"/>
        <s v="what can i sayevery order on delivered in a very reasonable time selection of products as well as price spot on"/>
        <s v="great wish they had an app wish shipping was faster"/>
        <s v="never no discount or coupon fromm food spend dollars a month on from food"/>
        <s v="you see brands of dog food other companies do not"/>
        <s v="love sales that petflow sometimes has i always get what i ordered as expected in a timely manner easy check out too"/>
        <s v="i called help with an order agent wanted me be schooled on how add an auto order i just wanted her help me delete start new order she said in a not nice way that if i didnt learn i would call each time im staying with chewy best service always helpful che"/>
        <s v="name brand item at good price there was a problem with my credit card being accepted i called talked a real human being was helped promptly&#10;customer service with real people getting either rare today"/>
        <s v="whenever i have a problem its always taken care of immediately"/>
        <s v="company easy work with helpful when i have had problems easy work with resolve any issues shipping timely also"/>
        <s v="i got my order on time it was less expensive than any other place"/>
        <s v="fast easy shop order plus customer service was great answering my questions via email"/>
        <s v="you have a toy that my dog loves i have trouble finding it but you have it so thank you"/>
        <s v="customer service nonexistent shipping takes forever"/>
        <s v="better prices than chewy shipping a bit slower but worth it if you just plan ahead&#10;&#10;first order with them took about a week get second larger order only took a few days from east west coast not bad at all good selection of products also"/>
        <s v="prices good fast leaning a but much on subscribing my cat an animal things need be flexible not locked into same food delivered regularly cant i get a discount without subscribing"/>
        <s v="ordered twice order was canceled with no explanation finally called they said my cardorder was suspicious that i needed call i went ahead ordered from petco instead they had no issues with my payment then i asked them take me off their mailing list which "/>
        <s v="i ordered dog food it was delivered next day"/>
        <s v="when item was ordered i didnt receive any communication as when it would arrive that was accurate after email stating that it was ordered also initially form of payment used was incorrect company didnt notify me or communicate with me so that i could corr"/>
        <s v="always have fromm dog food in stock always received my order within days great service"/>
        <s v="you ship so fast i really appreciate plus your products prices are really good affordable i can count on my dogs getting exactly what they need thank you"/>
        <s v="great customer service when an issue arises"/>
        <s v="petflows customer service great always someone helpful answer phone solve issues"/>
        <s v="ordering from their website easy they have good prices fast shipping"/>
        <s v="well it all started with me not noticing that shipping address was wron i didnt notice it until order was done so i sent an email a test if i remember correctly i then received a phone call discussed wrong shipping address with someone who assured me that"/>
        <s v="i had been shopping from another company but prices were just getting steep i found petflowcom have reasonable prices all products i needed my fur babies customer service has been great i recommend pet flow all parents up fur babies"/>
        <s v="i searched internet petflow had best price blue buffalo brand delivery was quick we are very satisfied"/>
        <s v="if i could give a rating of zero stars i would i order two different times both were immediately cancelled no reason given i texted emailed you company with no response i have since started using a different pet company my needs&#10;no customer service at all"/>
        <s v="easy use website food arrived on time"/>
        <s v="you offer fast shipping my fussy cat who only eats three things i appreciate your quick turnaround time"/>
        <s v="delivery was delayed i was expecting it friday it got pushed until monday this was my first time ordering so ill be wary if i order again be mindful of delays not sure if this experience those on auto ship have"/>
        <s v="excellent telephone info easy buyreceive what our pets needed qualityprice were best i could find also"/>
        <s v="my dog had dental surgery i needed more royal canin canned food my usual stores out of stock i discovered petflow online great price super fast ship my new go store i recommended many friends"/>
        <s v="easy order on line quick delivery when i called customer service they were exceptional"/>
        <s v="only place i can get smallbreed dog food i need fairly fast shipping very helpful customer service"/>
        <s v="petflow has lost me has a customer weve been ordering on a consistent basis since july so just shy of years this final straw has been last two months when we decided order all our food month in one large order we have been told we are fraudulent then petf"/>
        <s v="ive been ordering from my chihuahua since he was a puppy hes now two years old everything so quick prompt best company ive ever dealt with when it comes my dogs thank you"/>
        <s v="amazing company that im glad i found your prices are great your customer service super friendly helpful"/>
        <s v="petflow had best overall price with shipping i could find anywhere on items i needed shipping took a few days but only one company offers next day delivery their goods prices are increasing"/>
        <s v="no problems fast shipping"/>
        <s v="we never received this order&#10;we have received several emails that say our order was delivered but it has not arrived"/>
        <s v="product arrived quickly as i was running low"/>
        <s v="my order my precious pets arrived promptly in good condition my dogs have loved food treats i have been pleasantly surprised so much that i have made a second order"/>
        <s v="i ordered kong toys my pitbull just loves them squeaker a prolonged one so it really keeps him entertained&#10;i would recommend these anyone who has a curious pup&#10;as petflow they have a vast array of items experience was a pleasant one i would recommend doin"/>
        <s v="fast delivery fairpriced excellent service my chessie thank you"/>
        <s v="petflow had all information from a purchase from some time ago&#10;immediately filled order sent pet food which arrived in no time&#10;smooth"/>
        <s v="i ordered well over a week ago still have not received it"/>
        <s v="product was just what i was looking we have three large dogs they enjoy big bones chew on local store that we use purchase them from no longer carries them i told vet this she suggested go online i found petflow was very happy find same bones a a great pr"/>
        <s v="easy order fast delivery"/>
        <s v="amazingly fast shipping our dog has allergies so getting right dog food consistently important petflow has come through twice now us"/>
        <s v="pet flows price science diet was less expensive than other online suppliers i checked with i received my order within two days of ordering overall i was happy with my shopping experience"/>
        <s v="convenience of having products delivered my door a big plus dog food always fresh if when i have call assistance everyone friendly helpful"/>
        <s v="order was filled quickly shipped right my door i know from experience that if i had a problem with my order it would be worked out it a great company"/>
        <s v="items i needed were in stock when i couldnt find them elsewhere i have switched my subscription service petflow fast shipping too"/>
        <s v="part of my order was incorrect but they promptly took care of it arranging pick up incorrect items delivering correct ones"/>
        <s v="i found dog food i needed an excellent price it was delivered quickly"/>
        <s v="i was hesitant after i made purchase as i looked at comments saw how people had trouble with shipping i was grateful have not experienced this i immediately received a tracking number my order arrived on time"/>
        <s v="fast shipping lower prices than many other places ive bought my dogs favorite brand of food"/>
        <s v="i received a broke cracked pet carrier they shipped a new one very next day it arrived in good condition"/>
        <s v="easy ordering fast shipping"/>
        <s v="wrong dog bowls were sent then they wanted me return them by fedex would send me correct ones but when they did that they sent them by fedex ground they would not have arrived in time when i called they said there was nothing they could do except cancel i"/>
        <s v="i am a first time customer of pet flow representative was available upon calling ask a few questions rep was very courteous knowledgeable answer all my questions able track order which arrived in two days yes i will order again"/>
        <s v="i love that my dogs favorite dog food i order gets delivered right my front door in a matter of two days whats better than that"/>
        <s v="prompt delivery product just as described arrived without damage"/>
        <s v="came timely it was easy order"/>
        <s v="ordered prescription food my diabetic dog first time with petflow transaction was handled smoothly correctly order arrived on time as expected"/>
        <s v="wonderful company great selection of products super quick shipping very reasonable prices outstanding customer service"/>
        <s v="great pricing free shipping acceptable shipping time"/>
        <s v="ordering was easy shipping was fast"/>
        <s v="petflow always in stock ships immediately my pet supplies arrive in perfect condition no complaints here"/>
        <s v="petflow website easy navigate my order was processed shipped quickly accurately"/>
        <s v="sitejabber website reviews complaints&#10;thanks your review was successfully submitted woo hoo &#10;our internal mod team will take a look notify you when its posted&#10;&#10;thumbnail of user ardigoc&#10;ardigo c&#10; reviews helpful votes&#10;whew&#10;april th &#10;i ordered a few items "/>
        <s v="fast delivery always have what i want at reasonable prices"/>
        <s v="i ordered my dogs food it came right in time"/>
        <s v="was happy get our new puppy food we were looking at a good deal however dog food bag had a hole in it food was scattered everywhere box was falling apart which was not a big deal except that our food bag had a hole in it"/>
        <s v="fast easy service timely delivery easy return well be back order again in future"/>
        <s v="my order was correct came quickly was as advertised my doggos love love love this food i loved ordering experience"/>
        <s v="my order hasnt been shipped after over a week when i reached out i was told i had call management im glad i received a prompt response but i dont want call anyone i didnt want wait any longer so i went back chewy although your prices were a fraction bette"/>
        <s v="excellent items packing was also excellent fast shipping will order again"/>
        <s v="most items are always in stock reasonably priced my orders are shipped promptly keep up great work"/>
        <s v="very nice quick with my order unlike some other companies who delay my package love it coupons please send more because we in a recession thank you"/>
        <s v="been ordering from petflow a few years now they have fast shipping always get my order correct i also like that they have many different foods products choose from"/>
        <s v="my first time with petflow it was a fluke how i heard about them glad i did wonderful website easy use im not a tech savvy person love autodelivery discount variety they have my little ones flavor of pure vita dog food hard find online but petflow had it "/>
        <s v="always a positive experience quick delivery has always resolved promptly if there are any issues"/>
        <s v="quick delivery good prices trustworthy we always get what we ordered thank you"/>
        <s v="representatives are very understanding easy work with"/>
        <s v="i had a little trouble placing order initially but that was apparently me rather than site once order was placed i received an email stating that one of items was out of stock would ship from another location i went website found that on remaining parts o"/>
        <s v="you have decent prices quality products i am a customer life"/>
        <s v="both times that we have ordered we have gotten out purchase when promised&#10;only thing i have that may need be worked on ordering site it took me like times finally fulfill my order"/>
        <s v="love pet flowbeen using them years now"/>
        <s v="ive never heard of this company they sent me an order confirmation wouldnt tell me what credit card was used but apparently someone targeting them gain what i have no idea how does using a stolen credit card ship something someone who didnt order going be"/>
        <s v="petflow amazing dog food i ordered was out of stock from other company i have used so i was so pleased petflow had it in stock it got me quickly which surprised me since it came fed ex who i have not had a great experience with speedy delivery so thrilled"/>
        <s v="all of my experiences with petflow are amazing"/>
        <s v="first attempt pay failed due a fraud control with my credit card after i approved it website did not let me retry payment it was some glitch i attempted calling petflow during business hours but i was put on an endless wait of over minutes i ended up canc"/>
        <s v="very quick delivery high quality products i really appreciated how good they were at communicating status of order as well will definitely shop with them again"/>
        <s v="you should have known when i placed my order that you did not have it in stock"/>
        <s v="easy shopping great products comparable prices fast shipping"/>
        <s v="shipping was quick order was right prices are getting awful high but i guess that due our rotten economy"/>
        <s v="if i could give you a star i would i was a new customer i purchased a bag of dog food my dog that has a super sensitive stomach i waited days food never arrived so i had call customer service them finally tell me that i was flagged fraud so my dog had no "/>
        <s v="buyer beware petflow had so many excuses as why they couldnt ship my prescription order cc wouldnt work vet clinic wasnt on record it was my account was flagged fraudinformed fraud dept would reach out me never happened then my order of hard find food wen"/>
        <s v="quick service easy use"/>
        <s v="i buy canned dog food i should have split my order into two because i could have taken advantage of two discounts that way it was an expensive order but i only used one discount my fault it cost me&#10;petflow has best price on dog food that i buy i tell peop"/>
        <s v="web site needs be a little eiser use i have a hard time adjusting auto ship without out deleting product resubmitted increase or decrease amount of product&#10;&#10;also i need pigeon grit be added sale i also use versa laga grit red stone"/>
        <s v="petflow has food toys my dogs love website easy use my orders arrive quickly"/>
        <s v="customer service awesome ordering online quick easy my dog loves these treats"/>
        <s v="super delivered my home price good"/>
        <s v="very helpful polite phone staff prompt delivery a positive shopper experience will continue shop my cats rx food from petflow"/>
        <s v="i placed an order my card was charged then credited a day or so later then i was locked out of my account i created another account same thing happened all no reason my orders were never shipped it was a waste of my time i dont understand what problem was"/>
        <s v="well you know what they say about st impressions&#10;the csrs are never on same page when asked same questions when csrs were asked when will i receive my shipment answers varied between csrs&#10;one csr said everything will ship on monday while yet another said "/>
        <s v="delivery slower than chewy occasionally items are sold out"/>
        <s v="it only recently that we came back petflow after a period of being away no particular reason this we are very pleased with experience will be coming back as a customer meanwhile we had been doing business with a major competitor of yours their customer se"/>
        <s v="my dogs were having an allergy attack you gave me ideas on what do what buy allergies it really helped"/>
        <s v="shipping was superfast koko got her favorite food at a price that left me amazed not mention a bit piqued at myself paying so much more from other major online stores last several years note that this wasnt any kind of sale it was petflows regular price s"/>
        <s v="pet flow always gets my order right delivers in a couple of days"/>
        <s v="they had product i needed at a great price fast shipping too"/>
        <s v="place order first time on petflow a difficult product find on after almost two weeks i attempted log in my account on website which had been deleted my payment had post via my bank on no refund so i called customer service was told my order had been cance"/>
        <s v="ordering was very easy cost was less than most places shipping time was outstanding days that was over a weekend"/>
        <s v="i had some issues on broken items due poor packaging i let pet flow know they took care of it i have been using pet flow a long time this my first problem yes i will keep purchasing from pet flow"/>
        <s v="my order was canceled i was given no notification about cancellation additionally when i talked a customer service person inquire they were not helpful either they couldnt tell me what caused cancellation because payment done through a third party it was "/>
        <s v="products i needed were very reasonably priced delivered my door step quickly"/>
        <s v="shame on petflow&#10;&#10;the shipment of dog food year old dogs failed be shipped&#10;&#10;ordered on i was informed my vet had approved hills prescription wd canned dog food&#10;&#10;on petflow informed me due uncertain times were currently delayed on email too busy fulfill an"/>
        <s v="good product good service"/>
        <s v="first time purchase two orders were cancelled no reasons i called customer service they said they will investigate send me an explanation email received no explanation nothingand agent attitude was terrible one of order refund has not been issued until i "/>
        <s v="i did not order anything but received multiple emails about an order being delivered my name my address&#10;i didnt receive anything&#10;something seriously amiss here"/>
        <s v="overrall experience with this online vendor excellent however they frequently run out of products often sometimes they delay thr shipments&#10;the possitive that they try help clients when they call on phone"/>
        <s v="petflow my first choice dog supplies great customer service friendly people who genuinely care about their customers"/>
        <s v="i never placed an order with you but my credit card was charged by someone else"/>
        <s v="prices are very competitive shipment arrived very quickly"/>
        <s v="great price with opportunity get free shipping fast accurate shipping order filling they had dog food i was looking"/>
        <s v="i still havent received my order&#10;it took over two weeks receive a call from petflow after placing my order evidently they didnt have my full address that has been at least a week still have not received a shipping notification i ordered puppy food because"/>
        <s v="good company nice people that can be reached by phone right away no robots&#10;&#10;good selection of products very helpful do not rush you&#10;&#10;petflow carries my favorite cat dog food orijen"/>
        <s v="i ordered boxes of pound cat litter i got a great deal hr shipping an easy shopping experience plus raukten had cash back this was a better deal than chewycom which usually best i am very happy"/>
        <s v="fast delivery&#10;accurate order"/>
        <s v="good products at good prices delivered timely"/>
        <s v="very good service thank you"/>
        <s v="every time i order from petflow i get fast service its nice know when i need food or treats or toys they are on their way quickly i also like receiving tracking information keep in loop"/>
        <s v="order canceled no reason or notice given"/>
        <s v="great prices fast delivery almost everything taking care of your pets"/>
        <s v="did not like that i buy a membership in order save on my purchasevery disappointed with that part of checkout"/>
        <s v="left product out by street in rainit was covered in plasticbut still by street bad news"/>
        <s v="i ordered some guinea pig food price was better than any other place it shipped out fast company did a great job emailing when it shipped out with tracking products arrived perfectly packaged in a box that was just right size shipment nothing was damaged "/>
        <s v="i have ordered twice now from this company fast shipping boxes arrived in tact no problems"/>
        <s v="i had been looking best auto ship on wet cat food found petflow be best they ship quickly whole experience just great"/>
        <s v="good prices great customer service you also carry brands that mainstream stores do not"/>
        <s v="i ordered dog food be sent my daughters while she keeping my dog you evidently canceled my order was not advised by petflow"/>
        <s v="i always did love petflow only switched after years of buying from them because it took a bit longer receive product than was convenient after finding out that they carry a product i was not able get at my current pet food company i decided try again it s"/>
        <s v="account flagged as fraud long wait time customer service had give credit card info over phone cant get a password email reset even though you recognize my email address so cant access account"/>
        <s v="petflow published an anniversary discount of orders over i was so frustrated when my order wouldnt accept discount i called petflow spoke a real person bonus points better still customer service rep was apologetic friendly worked with me get discount appl"/>
        <s v="website takes too long navigate&#10;shipping takes too long&#10; days from order delivery"/>
        <s v="great prices fast shipping only compliant several cans were dented but they were still sealed"/>
        <s v="this a fake account i already called my bank you a few weeks ago someone using my email address an old card that already marked fraudulent purchase cat supplies i dont even own a cat i have unsubscribed continue get these emails from your company when i c"/>
        <s v="friendly competent person that took care of my problem quickly"/>
        <s v="star may or may not be fair but its make a point i have not prior history or account with petflow i randomly started receiving multiple daily emails from petflow regarding multiple orders made including order updates multiple people in multiple states i s"/>
        <s v="i ordered cat food when it didnt come i was just running out i called they didnt even bother tell me that it had been cancelled because they couldnt verify that order was from a real person"/>
        <s v="round cat scratcher fitted perfectly inside a round woven basket that my cats love i had remove cardboard supports which was easy do&#10;many thanks"/>
        <s v="not sure why but i had a monthly subscription set up with my name old address some credit card i dont own not sure what caused it website wouldnt let me cancel anything so i had call in talk with someone get them cancel it person was really helpful but it"/>
        <s v="easy online ordering product came as promised with no issues"/>
        <s v="pricing ease of using your website"/>
        <s v="we received a shipment from petflow never made an order when we contacted petflow customer service rescinded order sent a notice fedex pick up package we were supposed leave package outdoors after days we contacted customer service again pick up package f"/>
        <s v="i keep getting emails about orders i did not submit showing a shipping address in mexico ny i am reluctant click on any link in their email message will not call number listed as this appears be a scam"/>
        <s v="excellent service super fast delivery"/>
        <s v="first time i used automatic dog bowl it leaks around fitting"/>
        <s v="my purchased was flagged canceledi have called twice no one can tell me whyi am pissed"/>
        <s v="ordered times from petflow great customer service every time they answer calls respond emails honestly do everything you would want from a company not mention affordable prices"/>
        <s v="lb bags of dog food in one box too heavy i cant move it"/>
        <s v="i am getting emails about orders i did not place i have replied back numerous times i am not jeff i have not placed any orders with you based on this experience i never will i would like you leave me alone"/>
        <s v="delivery time product wasnt as promised it was completely unacceptable"/>
        <s v="amazing experience&#10;my package was delivered on time very fast"/>
        <s v="product was delivered as promised"/>
        <s v="pet flow always has my dogs food in stock it arrives very quickly"/>
        <s v="easy use app ordering always quick delivery also if i order a large bag of food my dog i get free shipping"/>
        <s v="have had very good experience with petflow&#10;good products with great shipping&#10;will order more"/>
        <s v="price was much better than most other places that i have purchased i reached out you about changing my shipment response was great i will continue purchase from this company"/>
        <s v="quick reliable service ive been with them a while now sometimes it takes longer in winter"/>
        <s v="i love convenience of petflow i live in a rural area they are best price value having my dogs specialty food shipped they make it easy with auto shipments even when i need change dates its very easy shipping always as expected as well"/>
        <s v="i have never shopped with you guys remove my email from your marketing emails company"/>
        <s v="first time purchasing beats amazon prices"/>
        <s v="i always find a great selection of products competitive pricing"/>
        <s v="all was well with initial service product problem with your packaging of two large bags of dog food in one box box quality mediocre at best dog food too heavy too large box box broke open this could be foreseen also many seniors order from you boxes are t"/>
        <s v="i am happily impressed with personal service speed of delivery from petflow as long as petflow carries pet food i use i will continue shop petflow"/>
        <s v="exceedingly expensive&#10;if i oculd attach a screen print id show prove it you look at price same item from chewy most other reputable companies i put chewys link here but trust pilot doesnt allow links too bad because it was proof&#10;chewy oz cans of medley&#10;an"/>
        <s v="ive been buying from petflow several years every order has been carefully packaged timely delivered shop with confidence"/>
        <s v="what i ordered was in stock order fulfilled promptly"/>
        <s v="great quality products very quick shipping"/>
        <s v="i bought kong monster balls our beagle her second set of them she loves them so much she hardly plays with any of her other toys"/>
        <s v="your two representatives tristan ryan were knowledgeable professional courteous they helped me through process of creating a subscription account"/>
        <s v="good prices delivered as expected"/>
        <s v="you cancelled my order because i made it while traveling abroad dont worry i will never visit your website again"/>
        <s v="my dogs most favorite treats are impossible find thankfully petflow has them in stock regularly no more rationing their favorites always fast shipping arrives in great condition"/>
        <s v="prices of blues buffalo wilderness canned dog food was good delivery was late bc it was out of stock which was fine however six of cans were dented which i wont use"/>
        <s v="fast shipping prices in line with other companies"/>
        <s v="great prices fast delivery"/>
        <s v="great selection price fast delivery"/>
        <s v="had never heard of this company before was planning use chewy our order but found this company in an online search they offered a coupon so i opted give them a try our order was prescription dog food so we had go through mailing in script same every compa"/>
        <s v="easy navigate website you had food both my pets"/>
        <s v="very pleased with purchase price was great better than amazon free shipping over certain amount fast also very well packaged often from a it looks like it rode behind truck not in it very happy with petflow they be my new goto supplier thank you petflow"/>
        <s v="my first order was cancelled in error by merchant they were quick resolve this when i called unfortunately same thing happened again when i ordered other merchandise again they were quick resolve this with a phone call customer service folks are excellent"/>
        <s v="easy me order package showed up in a very timely manner"/>
        <s v="prices are good&#10;wish delivery was faster"/>
        <s v="i added a few things my cart left a bit get some lunch i came back several emails telling me about contents of my cart coupons on such it had been like minutes yall was already bugging me calm hell down&#10;&#10;further i had off coupon so i applied that but beca"/>
        <s v="i have sent in prescription several times my order still has not been filled it way too time consuming"/>
        <s v="i havent received order after two weeks i havent received a reply from help desk about when its coming"/>
        <s v="petflow definitely had best price on this item that i could find including prompt free shipping"/>
        <s v="fast great prices great selection super customer service"/>
        <s v="best prices that ive found great customer service shipped my order promptly"/>
        <s v="found pet flow purely by accident when looking a specific dog food kibble online made my first order which was shipped promptly arrived in a few days i also noticed that prices are very competitive shipping free over a purchase"/>
        <s v="i know that road conditions my order were difficult but delay was minimal"/>
        <s v="likes good pricing fast shipping&#10;dislikes not disclosing all information about pet food ingredients lack of customer support"/>
        <s v="my first experience was excellentfrom quality of productmy dog loves chicken treatsto customer service sale was a great way me become acquainted as i do live on a budget"/>
        <s v="your website very intrusive hard navigate all i wanted do was look up availability choose pay it invariably brings up prior views goes all over even signed me up recurring deliveries decided leave shop somewhere else"/>
        <s v="i have been using this company years will continue do so they carry highquality product have a great customer service fast shipping"/>
        <s v="petflow has such a variety of options your pet i have a very picky cat cant always find her choice of food at pet store thankfully i discovered petflow they were way less expensive than store i normally shop at had exactly what i needed food arrived in pa"/>
        <s v="price was good product was received promptly ordering was easy only issue was that most of cans in one case were severely dented customer service responded quickly provided a new case"/>
        <s v="ive ordered several times from petflow&#10;they have excellent products easy website navigate good customer service"/>
        <s v="low prices fast shipping"/>
        <s v="quick delivery when everyone else so slow or delayed accurate orders petflow cares about animals by donating a portion of profits"/>
        <s v="i received dog food i ordered in a timely manner they offer a wide variety of food"/>
        <s v="fast shipping on hard find item thanks"/>
        <s v="i order from petflow a lot never been disappointed"/>
        <s v="upon placing order i received email from petflowasking me allow a couple of days while vet contacted around middle of week food was delivered as promised with no hassles my cat can not conusme any other food this veterinerian prescribed diet seems so far "/>
        <s v="i had call customer service regarding an auto ship that i needed sooner somehow i had an extra bag of cat food arrive i may have made error but when i called petflow representative they were willing take bag back however i wanted keep it as product has ke"/>
        <s v="food arrives quickly well packaged they carry fromm dog food which chewy petco dont carry"/>
        <s v="item was priced very fairly shipping was soo fast just an excellent experience"/>
        <s v="when i got my package i found that i was only sent half of my order i called customer service got ready go rounds with someone telling me they were sorry but it wasnt like that at all i was immediately sent another shipment no fuss or hassle me it service"/>
        <s v="i already reported that this my email not dale leonards i was told that dales account was removed from your records please remove my email from your records&#10;thank you&#10;d beatson"/>
        <s v="lots of finger pointing between my vet petflow im not sure what problem was but vet said he never heard from&#10;petflow vet so preset want processed first time in last year ive had any issues with process on prescription dog food anyways once i stirred pot l"/>
        <s v="it was easy find product place order shipping was super speedy which my cats appreciated"/>
        <s v="it arrived in time no delays or hiccups in delivery"/>
        <s v="its always great great low price super fast shipping great experience all way aroundlove pet flowthanks"/>
        <s v="pedros mom allison was attentive helpful pleasant shes a truly a professional customer service agent"/>
        <s v="thank you excellent customer service"/>
        <s v="constant account hacks i would be recommend"/>
        <s v="my account was hacked my credit card information was mixed in with at least one other strangers information when i advised petflow about problem i was merely told i had been victim of some outsiders actions start a new account with a different email addre"/>
        <s v="easy use website fast easy shipping great products it would be nice if free shipping limit was lowered"/>
        <s v="very cool customer service quick shipping price high but puppies love it"/>
        <s v="wrong product was shipped petflow immediately sent out correct food my dog great customer service will definitely buy from then again"/>
        <s v="pet flow most awesome online pet food provider in market even w trivial issues we incurred they prevailed as winner so did we thanks"/>
        <s v="package order was ok just left at wrong house i did not see any notice of delivery"/>
        <s v="i have always had good service from petflow i have received damaged cans they have always taken care of me i donate damaged cans shelter customer service reps have always been very friendly professional i love that they also donate shelters rescues it mea"/>
        <s v="just switched over you from many years with chewycom ongoing out of stock our prescription food then far too many cute apologies&#10;&#10;came you fill you had inventory twice actually now i am on auto with you&#10;&#10;thank you"/>
        <s v="i ordered items one never shipped both items were coming out of same warehouse shipping st item took days when my order arrived i called tell them my nd item never came customer service was great said they would rush that item out since it was their fault"/>
        <s v="very hard work with even though i had a prescription from veterinarian office which they never contacted carolina beach kept sending me same message if you have a copy of your prescription please email a clear copy along with your order number we may be a"/>
        <s v="ease of ordering modifying my auto ship order"/>
        <s v="all of information you need fill my order you have on file which helps things go very smoothly"/>
        <s v="i tried ordering dog food twice both my orders were cancelled some reason never received an email saying it was canceled just never reviewed package had log onto my account check what was going on both times ended up having get dog food that my dog has ne"/>
        <s v="everything came quickly but bird treat sticks came all broken up i wish there was a better way send them"/>
        <s v="i am getting emails telling me that my order on its way or its delivered i did not order anything recently please get this straight&#10;nothing being charged on my credit card i just get emails saying my order on its way some address i dont even recognize in "/>
        <s v="no issues will order again"/>
        <s v="i placed an order with no explanation or email they canceled it i logged on my account see why it was taking so long deliver it just said order canceled i called customer support waited on hold minutes then it just hung up on me worst customer service eve"/>
        <s v="every time i have called everyone very respectful answers my questions"/>
        <s v="order came fast&#10;staff answered my email quickly helpfully&#10;this company actually has real people who answer phone are sp pleasant helpful&#10;prices are good"/>
        <s v="always works perfectlyorder online what i ordered delivers in a few days"/>
        <s v="it was real fast service get bag of pet food our puppy appreciated it"/>
        <s v="it was great receive dog food in three days delivered my door lowest price"/>
        <s v="i ordered two cases of merrick grain free chunky pappys pot roast canned dog food i received one case of correct item one of another food one of my dogs has a chicken allergy so we checked ingredients on cans we didnt order they had chicken in them i call"/>
        <s v="although i received an email stating my order needed be fulfilled by a further distanced warehouse that my order could take up extra days this company was able deliver my goods on original date&#10;&#10;this was important because no one in my area had this certai"/>
        <s v="it was easy place order online it came quickly"/>
        <s v="great service ships on time have purchased multiple times"/>
        <s v="this account was supposed be closed as it fraudulent still getting emails it looks like their purchase went though please close this account"/>
        <s v="very good prices on dog food we need also fast shipping"/>
        <s v="my e mail bein used through your website without being verified by myself i am not using your website at all"/>
        <s v="fast efficient delivery of a difficult find product"/>
        <s v="my account was hacked charges were made then i was told times they restarted my autoship but never did then locked my account meanwhile im expected my dogs food that i cant get around town"/>
        <s v="great prices i texted with a request was answered within hours with a nicely stated response"/>
        <s v="i have been dealing with your company a very long time just love doing so all of representatives are so friendly helpful a quality that seems lost in these times"/>
        <s v="two of things i ordered were out of stock but there was no indication when i placed order that they were so i was quite disappointed when i opened box two items were not inlcuded"/>
        <s v="mr bigdog samson loves cranberry treats parmesan treats best hell eat both but picks out cranberry first art"/>
        <s v="outstanding customer service reps they are very knowledgeable helpful thank you"/>
        <s v="what a great place shop dog food"/>
        <s v="there a glitch in your system my account kept going auto fill even though i cancelled it back in i should not have a problem now that i asked have my account deleted"/>
        <s v="prices were great orders were sent right away"/>
        <s v="great service ultrafast delivery"/>
        <s v="twice now ive relied on petflow send me my blue wilderness but its been out of stock very disappointing"/>
        <s v="my order was canceled i wasnt notified when i called find out why i was told it was flagged as fraud due quality in my order i explained it was not fraud it was less than a month of food my two dogs i was told they would reach out team that blocked order "/>
        <s v="my login was hacked a fraudulent order was placed using my account even after i asked petflow cancel order fully delete my account they still sent me a request review order on trustpilot seriously"/>
        <s v="petflow always has best pricing fast shipping auto ship wonderful never forgetting all your pets needs its also customizable would definitely recommend petflow"/>
        <s v="great selection ontime shopping"/>
        <s v="prices speedy shipping best feeding hungry dogs even better"/>
        <s v="prices are generally same as amazon service better prefer support a private company when possible they sell fromm products"/>
        <s v="petflow a great place that offers best bang your buck&#10;toys were as described pups were very happy"/>
        <s v="i screwed up my order mikaila fixed it without a problem my items arrived quickly i appreciated new customer discount as well"/>
        <s v="we have used petflow years through course of many dogs have always found them very informative caring a company that we do buisness with monthy between petflow chewy there no better fullservice animal food etc provider"/>
        <s v="petflow always responsive great at filling our monthly auto ship order happy do business with them"/>
        <s v="even though i have complained before petflow continues package two lb bags of food on one box resulting in gedex carrier drop box contents inside burst open"/>
        <s v="i got a great deal on a great product i was worried because i had never shopped with petflow before i received my order in a timely fashion i received plenty of notification about status of my order particular dog feeder i was looking was out of stock oth"/>
        <s v="easy ordering process my only complaint that it would be more convenient see past orders order again or edit an order as having go thru search products needed my cat on special diet just need be able order his food in a quick easy fashion"/>
        <s v="easy fast reasonable"/>
        <s v="easy place order items arrived as described when expected very happy with everything"/>
        <s v="i love that you donate a meal a homeless animal with my purchase its a wonderful way help them not forget them also your shipping exemplary i wish more companies were like pet flow"/>
        <s v="petflows phone wraps are very pleasant knowledgeable on how help you my english cream golden retriever walter needs a veterinarian prescription dry dog food i used get it through chewy but lately theyve been having a hard time keeping it stocked when it w"/>
        <s v="order was cancelled i had call email weeks calls emails&#10;&#10;supposedly due some unknown reason my account was flagged as fraudulent no real explanation&#10;&#10;i was told a few times reset my pw however my account has been disabled&#10;&#10;i was told several times an emai"/>
        <s v="shipping seems take a bit longer than it used but i suppose its a common problem petflow does update their delivery date notifications though"/>
        <s v="i live in florida my email was used order twice shipments went texas probably using a stolen credit card i was not charged talked petflo representative last week with information"/>
        <s v="im so glad you asked i will be back process was simple professional unbelievably fast thank you"/>
        <s v="mallory was awesome&#10;she deserves a raise&#10;only issue still waiting&#10;been billed finally got notification it shipped possibly because it had go vet&#10;anyway again i will ask mallory next time"/>
        <s v="this first time ive ordered from this outfit i was totally pleased with transaction their price for&#10;the dogfood i ordered was reasonable they shipped quickly rocco dog a happy camper"/>
        <s v="love fact its cheaper comes right my door no shipping cost great deals"/>
        <s v="i was looking that specific dog food our new puppy petflow was only online store that i could find verus brand"/>
        <s v="i found food i was looking price high but industry standard i liked option purchase a large bag of them thanks"/>
        <s v="pet flow way go i order my fur baby food all time from pet flow my delivery on time that why they are best&#10;thank you pet flow all of team that works there shadow said woof"/>
        <s v="you send me a survey link yet i still havent received items surely you know this communication terrible takes several days any response hopefully ill get items soon i understand weather delay but my items have basically gone nowhere i ordered from another"/>
        <s v="while prices at petflow may be good there are severe problems with having products in stock it seems that no matter what i order wet or dry cat food cat litter its out of stock or has come from a further away location it didnt use be like this petflow was"/>
        <s v="reliable great choices"/>
        <s v="everything i order was right i get fast delivery"/>
        <s v="easy ordering fast delivery competitive prices&#10;&#10;my only complaint too many texts emails"/>
        <s v="i had recently ordered food from pat flow with no issue a couple of times my card was compromised i had an issue with it resolved it but recently some reason no one will give me an explanation of why i am not able order food from you even if my card uptod"/>
        <s v="you carry quality products i feed my dogs cat fromm annamaet wellness in addition you deliver these foods in a timely fashion i am a very satisfied customer i recommend you all my animal stewards"/>
        <s v="there no option cancel an auto ship so beware when you sign up one i am still trying cancel it there only a pause option online i can not get a support person contact me"/>
        <s v="your fast delivery customer service packaging excellent"/>
        <s v="my dog food that on automatic order size i usually get was out of stock so i was told unable ship received no food however that same dog food was available in a larger size noone took time let me know that not very good customer service"/>
        <s v="it took over one week get my order delivered"/>
        <s v="i requested few times add more selections of versele laga pigeon feeds grits like gerrymandering champion black label ic start etc pls pls pls"/>
        <s v="very easy order products arrived quickly in great shape thank you"/>
        <s v="i experienced a problem with my order not their fault customer service was so quick help me fix it really appreciate immediate response care that was given my order then arrived safely packed well"/>
        <s v="besides canned dog food i ordered bags of rather fragile treats they arrived a little crushed company quickly shipped four new bags of treats they arrived in very good condition i was impressed at how quickly easily customer service agent handled this"/>
        <s v="still not delivered on th&#10; days ago&#10;terrible"/>
        <s v="i did not place this order i have already notified you about this what going on with these correspondences"/>
        <s v="quick shipping unfortunately cans of dog food were badly dented"/>
        <s v="shipping so inconsistent took almost days receive my dog food this happens about every months hard foresee when i need order leaving my pets without food so im forced buy dog food elsewhere"/>
        <s v="canceled my needed vet cat food order because email doesnt match when i literally called them asking them what was going on here wouldnt send out my cat food horrible service will look do business elsewhere unless they have some killer deals"/>
        <s v="this was our first time buying on here i found what i needed at a great price it was easy order arrived quickly thank you"/>
        <s v="you had product that i needed at a fair price plus your shipping was on time"/>
        <s v="fast shipping great product even better price what i purchased&#10;i have made my second order will continue do so with petflow"/>
        <s v="good selection of high quality products shipped promptly authentic product from approved distributor packaged securely shipping"/>
        <s v="great customer service&#10;very prompt fix slight problem"/>
        <s v="great as usual easy quick reliable&#10;thanks"/>
        <s v="i called because my order was delayed twice gentleman i spoke with was very condescending i told him that nowhere on website does it state how long or how your purchase will take or ve shipped i explained him that i have dogs it hard me get an exact time "/>
        <s v="after a little confusion on your website about autoship i was helped along by a pleasant customer svc lady smooth transaction great price on what i needed usually purchased at chewy more came in days in a roomy box that my senior cat vinnie played in days"/>
        <s v="experience with pet flow always so great i love customer service how helpful everyone"/>
        <s v="great service lots of dog food choices"/>
        <s v="ordering was easy delivery was quick"/>
        <s v="they worked with me very well when my cat refused eat brand of prescription food id bought"/>
        <s v="service was great combined with best price you cant go wrong"/>
        <s v="i really appreciate that petflow carries fromm its difficult get petflow delivers quickly"/>
        <s v="i would give a star getting dog food in a timely matter fedex worse by far ill have find a local shop in my town buy as shipping rates a minus"/>
        <s v="company canceled my order tines with no notification bad company bad customer service zero stars ill keep shopping with chewycom"/>
        <s v="my order went wrong address wasnt delivered thank you replacing it"/>
        <s v="excellent pet products at bargain prices"/>
        <s v="products were shipped quick a great price i was searching bird toys budgie there were plenty of toys pick from on site"/>
        <s v="orders arrive on time prices are good i recommend"/>
        <s v="my orders are always delivered within days great service price"/>
        <s v="they always have items i am looking at a great price check out easy delivery fast"/>
        <s v="this company was awful deal with they never sent my product gave me a hard time about my refund"/>
        <s v="although fedex most miserable pos low life carrier your agent putting deliver porch actually worked they usually just kick it out door on way past ill buy from you again"/>
        <s v="its nice get a heads up before a shipment goes out in case i need adjust contents or timing shipping always prompt selection of food treats etc quite amazing"/>
        <s v="i ordered roaches not one of them was dead everyone of them was alive healthy&#10;very fast shipping very fair price&#10;i will definitely be doing more business with petflow"/>
        <s v="great plentiful selection of pet supplies prompt delivery excellent customer service"/>
        <s v="website has alot of choices delivery was on time"/>
        <s v="i mostly order kibble bull sticks i order it always comes quickly"/>
        <s v="petflow ships promptly every time we order our fromm dog food from them excellent customer service"/>
        <s v="i ordered cat food my fur babies it always arrives on time petflow has great communication with its costumersi like extra help if i cant find somethingnice people"/>
        <s v="tried place large order using off but ran into out of stock items making it difficult once order was finally placed got another out of stock notice if petflow be depended on supply pet needs shouldnt they have items in stock"/>
        <s v="petflow has been good me my dog elsahappy with productsprice shipping"/>
        <s v="great company deal with they notify you when your next shipment coming you can adjust that date if needed good prices too"/>
        <s v="easy ordering quick shipping"/>
        <s v="products arrived undamaged with heavy cans that great"/>
        <s v="had food in stock promptly shipped"/>
        <s v="i received my first bully sticks from my dogs breeder when my bernese mountain dog treated them like candy doc suggested i only order natures own grass feed steer service price reliability have been excellent i am am auto ship customer now"/>
        <s v="i changed suppliers of canned dog food got same product a substantially reduced price&#10;im happy"/>
        <s v="great prices great service"/>
        <s v="phone reps were great on both occasions this month they worked diligently get my order dates changed on lb bag of catfood ferals got it shipped out same day"/>
        <s v="while checkout experience was decent i was able save money with a coupon this all made me happy once my package was delivered i was not happy i bought bags of dog treats my boys of those bags of same kindflavor all expire next month they will not be eaten"/>
        <s v="you are reliable honest efficient timely"/>
        <s v="filters search were not fluid or user friendly so many items out of stock but that was not known making it time consuming i nearly gave up twice because of experience not sure how rest of site as i only searched cat food a dog bone"/>
        <s v="order process easy great service corresponding with our vet"/>
        <s v="easy find what i needed at a good price&#10;thanks"/>
        <s v="shipment always delayed customer service never responds email"/>
        <s v="i ordered by wet dog food from pet flow several reasons those being price difference between a competing online dog food distributor ease of ordering friendliness helpfulness of agent i spoke with fast delivery of product&#10;&#10;the price difference with or wit"/>
        <s v="item i needed was in stock process was very easy i had my order within days on time i will continue order through petflow"/>
        <s v="i was waiting notification that my prescription had been verified by vet andor that my order had been shipped after several days i contacted petflow ask what was up i got an email saying order was cancelled out of concern fraud i was a longtime customer o"/>
        <s v="my orders were cancelled without notification twice"/>
        <s v="i have had a horrible experience which still date not resolved placed an order not a first time customer my vet was contacted sent back approval prescription food internal petflow issue isnt adjuticating approval noone will help me or call me back after m"/>
        <s v="easy begin auto ship has special dog food we were searching that highly rated having ingredients important long lives of optimal health shipment notices sent keep us informed of when expect order received order in timely manner with zero problems"/>
        <s v="shipment was quick product was packaged well"/>
        <s v="solid reliable company purchase from customer service seems supportive if anything beyond a typical order needed"/>
        <s v="great website excellent prices quick deliveries i will only get my dogs food from petflow going forward"/>
        <s v="best price fast shipping my hungry dogs"/>
        <s v="had just what i needed at a great price very quick shipping had trouble getting order through a couple of times but i persisted am glad i did will definitely tell my local shelter about them i am a cat socializer they might be interested in purchasing fro"/>
        <s v="awesome servicegreat packaginggreat pricesvery convenient"/>
        <s v="pleased with all my purchases people are helpful"/>
        <s v="auto ship does not work advance notice of order was supposed come but does not auto ship does not take changed scheduled when modified days before shipment date will not use auto ship or this company again order dog food"/>
        <s v="my order was canceled i was never notified i only discovered that it was cancelled after i logged onto my account find out when my order would be delivered i called was given no explanation cancellation or when dog food would be delivered never again"/>
        <s v="they are doing a great job left chewy them havent looked back since"/>
        <s v="easy website me always a pleasure speak customer service if you need them auto ship easy changing ship date products a breeze you get a nice discount too"/>
        <s v="quick shipping competitive prices thank you"/>
        <s v="shipping was faster than i expected best of all items were in perfect condition no dented cans or boxes which has not always been case so i especially appreciate it"/>
        <s v="product was in stock added cart quick checkout process meant i was in out in less than five minutes"/>
        <s v="i have now ordered a couple of times i am satisfied orders are correct well packaged on time if not early i will be ordering on a regular basis from this company i have nothing but praise them excellent"/>
        <s v="i called customer service because my order had not shipped after several days woman i spoke with in customer service was very polite helpful my order was shipped out next day i received notifications of shipping status throughout process my order arrived "/>
        <s v="very fast shipping had my order in a few days i was able saveoney as well great company"/>
        <s v="i placed an order called three days later make sure it was coming that day i was then told that my order was cancelled possible fraud i was never notified by a phone call or email that this happened she couldnt place a new order because it would still go "/>
        <s v="prices are good delivery timely my problem has been with ordering from your website system cannot seem store my credit card information properly last time it was so bad i had have one of your staff order me"/>
        <s v="petflow reps are always helpful make good on any issues you have"/>
        <s v="too long shipment had keep emailing when order would ship items were in stock dont know what hold up was"/>
        <s v="great company quick delivery have all pet products we need"/>
        <s v="petflow had brands that i have difficulty obtaining elsewhere their prices are good food i ordered my dog with allergies arrived in good condition"/>
        <s v="great price on chinchilla food that purchased i always shop away petflow had best price i received it super quick"/>
        <s v="firsttime experience"/>
        <s v="i changed address delivery it got mailed twice one went wrong address but i still had pay it"/>
        <s v="i ordered canned prescription royal canin wet food at a cost of most of cans were dented on top bottom it could be bad my cat eat what a waste i usually order from chewycom but they were out of stock"/>
        <s v="discovered petflow due chewy being out of stock several weeks of my dogs prescription canned dog food i got name of petflow from a trusted dog friend food arrived quickly thank you"/>
        <s v="willingness help me through ordering process first timei was having some technical difficulty"/>
        <s v="excellent service very quick delivery"/>
        <s v="never had a bad experience prices are extremely reasonable customer services awesome"/>
        <s v="customer service extraordinary any problem ive had was corrected swiftly expertly cheerfully these people seem genuinely interested in taking care of our pets"/>
        <s v="good price fast service"/>
        <s v="it was my first time ordering with this company it will be my last one they canceled my order didnt notify me when i called them they said it was flagged fraud had be canceled i asked why they said they cant give me any additional info my order wasnt big "/>
        <s v="i didnt even place order that triggered this review pop up it was fraud im still dealing with canceling of my credit card because your website wasnt secure&#10;&#10;also even on this page my name coming up as james shearer that not my name honestly im not going g"/>
        <s v="carries brand not found in most pet stores efficient fast delivery"/>
        <s v="awesome professional support with timely shipping great prices as well"/>
        <s v="prompt response when i had a problem with my order they gave me a credit because my dog will not eat food i ordered"/>
        <s v="great experience on website delivery"/>
        <s v="excellent pricing shipping notification packing of order just wished they had more selection available"/>
        <s v="im was technologically inept on computer had call company order my product person who answered phone was so courteous helpful because of her i will continue order my dogs food from petflow"/>
        <s v="everything i was looking was in stock delivery was quick"/>
        <s v="whole process went smooth&#10;fast shipping&#10;very satisfied"/>
        <s v="using petflow was easy i was able find substrate my tortoise that was not available near me i also ordered wet cat food it was trouble with fedex that will make me reconsider using petflow again my catfood was shipped all over place arrived a week later t"/>
        <s v="two reasons terrific customer service product pricing simply put they earned my business sometimes low pricing actually best price i could find means low quality customer service but not at petflow my first order from petflow arrived damaged due knife cut"/>
        <s v="ordered prescription dog food no email telling me you got order i called they said it would be coming out of a warehouse did not know from where or when still no email had go buy food locally which i am disabled it was alot of work extra money after about"/>
        <s v="i was looking better pricing my dogs food that how i found pet flow i want feed them a better dog food than what in most grocery stores i was happy find pet flow they have good customer service great prices with dogs i need a good price i will be ordering"/>
        <s v="they always have what i am looking at a fair price in particular i order fromms dog food they are one of few places that carry it shipping quick as well"/>
        <s v="easy awesome new pet products online orderdelivery company recommended all pet parents"/>
        <s v="they had what i needed in stock it came fast"/>
        <s v="website was easy navigate shipping was fast compared prices petflow was best by far will definitely order again"/>
        <s v="after deciding what brand of dog food i wanted my new puppy i did a search best price&#10;petflow had best price"/>
        <s v="recieved last product i ordered i called your company let you know product was damaged bent i told person box was not damaged so product had have been put in box damaged&#10;he didnt want hear it was really rude"/>
        <s v="this was a new company me with a good buy on products i needed so i decided give them a try i am very disappointed i never received an order confirmation email as stated checked my spam was rather referred my email provider immediately without even offeri"/>
        <s v="everything was quick easy custer service rep was knowledgeable professional pleasant"/>
        <s v="could not pay with paypal some reason kept getting message problem with connection"/>
        <s v="i appreciate their communication with me in regards orders delivery"/>
        <s v="i can always find products i want my dogs at really good prices"/>
        <s v="there was a delay in shipping order had be split but throughout everything they kept me highly informed of everything going on best part me customer service representative who responded my email was kind helpful informative"/>
        <s v="great fast service plenty of communication you cant ask more"/>
        <s v="i had get a specialty cat food our cat who has dietary restrictions i was unable use a coupon that had been sent me i called immediately it was taken care of i was able use that coupon they quickly confirmed prescription with our vet delivered in a timely"/>
        <s v="easy use fast cheaper than other pet supply companies"/>
        <s v="over last year there has been significant shipping delays with my autoship order issue seems be primarily with nj warehouse where they dont work night weekends etc there a discconnect between product forecasting order entry supply chain these operations a"/>
        <s v="petflow always gets my order correct has great prices i never have worry about running out of food my dogs cats"/>
        <s v="my cat would not eat several differert canned cat foods i tried one stomach hair she has not thrown up since you now have a returning customer thanks"/>
        <s v="shipment on time customer service great"/>
        <s v="not a good experience at all i choose your company because of a discount you offered me fir being a first time customer i never got discount because your ad was misleading i was only going get discount if i signed up auto refills that was not mentioned wi"/>
        <s v="fast shipping&#10;had food i needed happy have a promo code as well &#10;great communication with shipping delivery"/>
        <s v="exact product i was buying locally at petsmart a prescription cat food but in a larger economy bag about less shipped free on time ill be a regular customer now"/>
        <s v="very happy with product way it was pack got it in time frame i was told whats more important my cat love it you guys where only place who have it in stock thank you so much"/>
        <s v="ten business days after placing my order being charged order product has yet ship business days after placing order i contacted customer service who indicated they would check with supplier get back me i was told it could take up business days my order sh"/>
        <s v="trouble free delivery arrived when expected as expected no complaints at all would recommend"/>
        <s v="tried ordering twiceboth times orders got cancelled by their team neither time did they reach out me inform me they were cancelled it was just after waiting days a shipping confirmation after getting an email they were fulfilling order i had reach out ask"/>
        <s v="got what i ordered delivered quickly"/>
        <s v="although i had never purchased from petflow before they delivered quick on time product was exactly as advertised"/>
        <s v="had dog food i used processed my order quickly i received it quickly&#10;only problem i had was box that it was shipped in was totally broken luckily dog food wasnt"/>
        <s v="good selection of products pricing was very competitive shipping was super fast"/>
        <s v="good service competitive prices products arrive in good condition in a timely manner"/>
        <s v="they went above beyond call ensure satisfaction after carrier had lost a shipment i highly recommend petflow anyone looking quality goods at a fair price"/>
        <s v="could not buy cat food without a prescriptionlike what hell that about its all so veterinarians can get paid its total b absolutely uncalled"/>
        <s v="availability&#10;&#10;good price&#10;&#10;easy scheduling"/>
        <s v="good products quality excellent customer service"/>
        <s v="ordering needed vet diet my dog has been easy more communication regarding order when it shipped will be delivered would make it a perfect transaction"/>
        <s v="you falsely advertised an item you advertised item was in stock then when it was supposed ship i receive an email stating was out of stock but on your website it still this day states it in stock now i cant cancel auto ship i can only delay it im unable r"/>
        <s v="extremely friendly helpful customer service quality items always available shipping always quick they donate a bowl of food with your order winwin"/>
        <s v="very happy i ordered food one day received it next"/>
        <s v="i have received my puppys food in a timely manner he loves it thanks"/>
        <s v="of cans were extremely dented one of seven damaged cans was leaking"/>
        <s v="super quick response time when i accidently ordered a toy i didnt want&#10;website user friendly huge amount of items choose from&#10;i used shop a chewy but i needed a prescription it was easier pick my vet from you list than going through all of chewys site als"/>
        <s v="petflow wonderful many varieties of food your pets my only gripe that after placing an order i got a thank you email wa picture on it saying review yr item get back they gave it me only one of my reviews very good sweet customer service reps have never fo"/>
        <s v="customer service has been great but shipping practices need work i have complained on multiple occasions that my shipment of canned dog food arrives damaged they pack too many flats of cans in same box dont use any packing materials prevent against damage"/>
        <s v="after ordering i did not get a tracking number or shipping confirmation even after getting a notice that food was shipped my paypal payment was taken right away&#10;i also was put on autopay without my permission&#10;i had manually cancel an autopsy i didnt agree"/>
        <s v="ive been overcharged my orders since mid august due incorrect sales tax i informed company of this explaining why we were overcharged including documentation from state proving correct rate but was continuously blown off disregarded i shouldnt have prove "/>
        <s v="concerned about package that i ordered weeks ago that still has not arrived im running out of canned food my dogs"/>
        <s v="i have a recurring order needed modify tried messed it up ended up having two recurring orders called customer service a very friendly person helped me navigate delete one"/>
        <s v="overall a good experience i am not a fan of website could be a bit more user friendly shipping takes too long orders take a while process availability of products ok pricessales could be better"/>
        <s v="first time ordering prescription food order my pup customer service was so helpful track order deliver as soon possible very helpful trustworthy"/>
        <s v="as advertised product with timely service"/>
        <s v="was on time order right thank you"/>
        <s v="hi i live mile off county roadfed x only delivery outfit that will come up here in winter you shipped my food with them so i got it in a short time way go tim"/>
        <s v="need tape top bottom end edges just middle not enough on large bags"/>
        <s v="its extremely easy order anything&#10;i really appreciate that its always on time when they say youll receive it&#10;they also give you a tracking number so you can keep track of your order&#10;its a great company so easy ordering what you need"/>
        <s v="deliveries arrive in good condition on time"/>
        <s v="petflow carries particular brands of food my pups that i are most nutritious made by family run companies in us"/>
        <s v="i have been using this service over years i have never had a bad experience with either product or customer service everyone i have dealt with has been friendly knowledgeable professional"/>
        <s v="shipment arrived torn from stem stern keel meager attempts at retaping most likely by carrier packaging too light weight in box amazed that all product was still in box even tho box was near total destruction i notified pet flow get zero response im think"/>
        <s v="apparently when i placed my order item was in stock my card was charged i expected shipment soon a couple days later i got a refund of my purchase with no explanation explanation came a couple days later that they were out of stock seems a bit odd that it"/>
        <s v="usually i dont have any issues this time shipment of cat food was all over place cans were not secure in case many were severely dented almost like someone just threw case in box"/>
        <s v="responsive customer support"/>
        <s v="price prompt delivery"/>
        <s v="i found this company online when place i usually order from was out ordered three bags on saturday product shipped on monday arrived my home on wednesday i live in a very rural area as well would definitely recommend"/>
        <s v="quick shipping helpful customer support quality cat food purchase best price too thank you"/>
        <s v="there was a bit of confusion with customer service rep when i called regarding prescription diet food my dog i had already sent script customer support but when i called let them know it was there she said i needed send it customer support better listenin"/>
        <s v="i ordered tetracolor xl tropical granules fish food my fish thank you i got it just in time as i ran out of days servings left speedy delivery great price"/>
        <s v="my package was delivered damaged they quickly replaced it without questions"/>
        <s v="has what i needed delivered it in good time"/>
        <s v="easy navigate website found dog food i was looking with discounts applied by petflow was able get lowest price i could find anywhere"/>
        <s v="this was first time i had shopped with petflow found it be very easy find what i needed"/>
        <s v="i will never order anything from this company again they do not have food i ordered but its on back order now they are holding my credit card hostage wont cancel my order"/>
        <s v="my orders are always punctual good this time was especially essential that my order was expedited faster than usual as my dog sitter who was taking care of my dog during a family death over holidays didnt tell me he was almost out of food thank you sendin"/>
        <s v="my account showed a backorder order more product then got a bunch of products good months"/>
        <s v="i needed find a specific prescription food my diabetic dog they had it along with some other options that my vet would approve if my dog didnt like this one they got in touch with my vet immediately verify his prescription shipped food me within hours"/>
        <s v="petflow has a great selection of products great prices fast shipping i buy nulo cod lentils weight management dog food my guys love it"/>
        <s v="cheaper then other places fast shipping i was very pleased"/>
        <s v="all of my dealings with pet have been positive my dog food always delivered in a timely manner"/>
        <s v="easy order competitive prices orders arrive fast"/>
        <s v="i purchased milk bone pill pockets this was a really good price they shipped my order quick ill definitely be back"/>
        <s v="fast shipping almost always have foods i am looking in stock immediate shipment"/>
        <s v="quick service good packing good prices"/>
        <s v="cumbersome internet system caused two orders register rather than one canceling orders immediately still did not stop an extra bag of dog food from arriving causing multiple emails finally return"/>
        <s v="i received this order so quickly which i really appreciated it surprised me it was so fast"/>
        <s v="took days order arrive multiple erroneous ails re expected arrival had go buy at store andorder was delivered after i left area"/>
        <s v="this has be my th or more times that i have either purchased dog cat food from petflow delivery service excellent also selection wonderful price just same or less than in stores its so nice come home your fur babies food here"/>
        <s v="was kept informed about items back ordered other items shipped separately"/>
        <s v="petflow a great place pet products at reasonable prices delivery reliable as well"/>
        <s v="ive ordered bulk cat litter from petflow several times now they offer a great price great products quick shipping will be ordering again"/>
        <s v="website was easy navigate checkout was quick easy track shipping delivery within a short period of time"/>
        <s v="i can count on petflow carry food that my furry babies like"/>
        <s v="incredibly fast service perfect packaging everything absolutely wonderful"/>
        <s v="i love petflow there are always so helpful easy order i love how i get free shipping theyre always on time customer service great i have definitely recommended petflow friends family"/>
        <s v="i have ordered from petflow several times my items always arrived without issues prices are lowest in every store online site that i could find i had a small issue it was taken care of immediately customer service was quick assist super friendly helpful"/>
        <s v="offer quality dog food treats&#10;fast order filling shipping&#10;reasonable prices great clearances"/>
        <s v="ease of ordering product better than described costs are reasonable very prompt shipping"/>
        <s v="petflow delivers treats my dog prefers with pandemic we werent always able get her treats at store thats how we found petflow yay"/>
        <s v="always have great order takers fast efficient"/>
        <s v="confirmed my order dog food did not ship it nor contact me i ran out of food my dog unacceptable harm my dog or anyones pet will never do business with a company that disregards health of their real customers apparently this issue not isolated my experien"/>
        <s v="website was easy use checkout was quick"/>
        <s v="easy ordering very fast delivery"/>
        <s v="great product quick service will definitely buy from them again"/>
        <s v="timely delivery large selection of products notification of products arrival that had been out of stock great web thank you petflow"/>
        <s v="i ordered trays of special vet approved canned dog food it arrived quickly well packaged no delays even though they had confirm with vet"/>
        <s v="more often than not my dogs food backordered so then i have scramble find her food then days later backordered item ships i then have bags of food that i didnt budget"/>
        <s v="i have used petflow a few years every order has been filled accurately timely communications regarding order status has been excellent i would give a five star rating except minimum order size shipping costs"/>
        <s v="i love products i feel shipping takes a long time much longer than other companies i buy from"/>
        <s v="awesome website many brands choose from easy ordering dog food canine cuisine loved by all furry friends definitely recommend petflowcom"/>
        <s v="i dont like that orders were placed only charged i still dont have either of orders"/>
        <s v="easy make a order a good delivery"/>
        <s v="shipping used be very quick but now it seems although items show in stock it takes a week items ship it disappointing as i grew accustomed fast service"/>
        <s v="i was able find what i needed at a good price shipping delivery was very timely too"/>
        <s v="petflow has consistently met my expectations even when having ship from nevada what normally ships from new jersey"/>
        <s v="first time purchasing from pet flow ordered dr martys small breed food a bag of treats great fast shipping my dog likes food"/>
        <s v="all online ordered prescribed cat food they took care of rest they confirmed with vet bam day later food was at my door"/>
        <s v="representative was super friendly easy work with quick resolve my issue"/>
        <s v="great price very quick shipping great talk"/>
        <s v="everything was so easy&#10;&#10;placing order shipment just delivery time was a bit slower than chewy"/>
        <s v="i never received a notification that i had an upcoming subscription order being processed i was unable edit delivery date when i reached out customer service several times i got zero response&#10;the day i was notified i had this order being processed within "/>
        <s v="your prices were best we could find quick delivery"/>
        <s v="i had trouble finding verus dog food anywhere else but petfow had it delivered at a good price"/>
        <s v="easy ordering product in stock cheapest price among other sales outlets reliable shipping delivery"/>
        <s v="ive placed multiple orders with petflow each time its delivered really fast with great prices an excellent service"/>
        <s v="my order never arrived i ordered tear stain tablets two different treats please send me my order or credit my account"/>
        <s v="on time delivery"/>
        <s v="pet flow was fast with shipping delivered when promised merchandise was excellent condition exactly as pictured very pleased"/>
        <s v="greatest part was followup when my package got damaged you all replaced it my only criticism that your tape doesnt hold especially in harsh rain"/>
        <s v="ordering was easy delivery was prompt customer service exemplary"/>
        <s v="my product order was in stock i received in a timely fashion"/>
        <s v="i ordered a product on january still have not received it ive written petflow inquiring about this never received a response"/>
        <s v="i can always count on my pet food delivery be on time well packaged"/>
        <s v="in last year service has gone from fantastic spectacularly frustrating my last interactions have been frustrating point of closing my account i have a hospitalized friend in another state i was purchasing food his dogs having petflow deliver it his home t"/>
        <s v="love carrier it was easy get my cat in through top door was just right size will fit my pound cat as well had it within a few days of ordering it"/>
        <s v="cancelled my order claimed it was fraud refused sell me"/>
        <s v="you carry my product but took awhile arrive"/>
        <s v="product i ordered was out of stock yet system still allowed me order it even though it was out of stock i cannot trust system give me correct stocking of this item"/>
        <s v="shipping was fast i saved a lot with coupon they sent a first time shopper got heated mats our dogs"/>
        <s v="pet flow a great place your pet needs we have been very satisfied"/>
        <s v="flagged my purchases as fraud then refused allow me repurchase"/>
        <s v="we were counting on our fromm dog food autoship order be shipped on date that petflow said they would ship according them they got very busy during holidays this order did not ship until following week as a result we had just enough food mixswitch another"/>
        <s v="product was in stock order was filled correctly quickly"/>
        <s v="delivery was on time at a better cost than other merchants"/>
        <s v="dog food was delivered family members home it arrived quickly in good condition"/>
        <s v="i placed my order online easily i did receive an email stating shipping would be delayed but they kept communication open it was only delayed by days i received my items as expected"/>
        <s v="company delivered when promised with exact items ordered my only complaint its a little one that it was difficult follow order once it was in system so that i could see where it stood"/>
        <s v="overall petflow has good service competitive pricing products they handle website could be much more user friendly adjust an order or make changes a saved order can be very confusing"/>
        <s v="carry brand i was seeking"/>
        <s v="i was low on food my dog because i forgot order so it got here pretty quickly i was down pretty low i called see when it was going arrive spoke a very lovely helpful woman in their customer service"/>
        <s v="a large variety of pet food products choose from package arrives intact an animal gets a bowl of food with my purchase&#10;thank you"/>
        <s v="they were very friendly they would take your phone calls if your computer wasnt working delivery was always on time i appreciate that thank you"/>
        <s v="quality of pet food fact that you carry fromm cant get it many places its a trusted brand by me my family"/>
        <s v="competitive prices shipped well with no damage"/>
        <s v="petflow only online source that seems be able maintain stock of particular taste of wild canned variety that we prefer feed our guys shipping free above or so since we get multiple cases no problem shipping fedex so order traceable too we have ordered mul"/>
        <s v="where begin first inventory on their site isnt real in my case veterinary dog food i ordered was be shipped from manufacturer who was out of stock second rather than them inform me i called order status three times first two i was told orders processing t"/>
        <s v="i didnt make an order someone hacked my account tried set up an auto ship order an address that not mine"/>
        <s v="this was my first order from petflow i found out my dog has some pretty extensive allergies with each passing day i had no choice but feed him stuff he was allergic until my new food arrived from petflow i regret switching from my usual provider i was giv"/>
        <s v="i was told when i ordered days arrival it took days i have a kennel of puppies needed food&#10;will never order again from you it has happened several times"/>
        <s v="everything went smooth i had ask help using sight received it well"/>
        <s v="petflow website easy navigate their autoship easy too i appreciate getting notices that it will be shipping that i need make changes if any by a certain date i also get emails keeping me up date on my orders"/>
        <s v="didnt help at all basically said i can not order item move on"/>
        <s v="reasonable prices very good communication notification system only con that some products are not always available back ordered"/>
        <s v="petflow great because they sell dry food i feed my cat it isnt around anywhere else i also want say thank you receiving my order days after i ordered it often it can take up a week"/>
        <s v="great company great service great products"/>
        <s v="i couldnt access my account because i couldnt remember my password your account recovery system not very good at all"/>
        <s v="order was wrong i called young lady that answered was very professional efficient she took care of problem i could hear smile in her voice"/>
        <s v="order took almost a week reach me when i called check where it was i was told you were experiencing delays it would have been good customer service tell me that via email before i called"/>
        <s v="i absolutely love petflow i am thankful fast shipping fact they work so well with my vet get my diabetic dog food she needs"/>
        <s v="i ordered lb bags of dog food one bag was damaged on arrival they replaced entire order sending replacement bags more than made up it one thing replacement boxes actually had more packaging material hold up better in shipment that first shipment with dama"/>
        <s v="impossible website entry customer service didnt answer my questions delivery late i dont have my shipment yet"/>
        <s v="i have ordered from petflow a few years nownever had a problem my last order was a total nightmare dealing with your customer service reps rude condescending passive aggressive emails sent me when all i asked was wheres my dog food i ordered on dec st ful"/>
        <s v="i have used these folks a couple of years they have best price product i buy delivery quite prompt"/>
        <s v="slow on getting order outhard understand ordering system"/>
        <s v="easy use find items with quick delivery"/>
        <s v="intuitive site allows me easily order reorder dog food varieties i need good electronic notifications confirming orders tracking shipping projected order arrivals i like easy"/>
        <s v="it took a little long receive items due product availability this not st timewhen i did receive it tge order was fine"/>
        <s v="always get a great deal with coupons food arrives exactly when they told you will be ordering again soon"/>
        <s v="customer service terrible i will not order from you again"/>
        <s v="i loved petflow they used be really good with getting my orders out right away i placed an order on called a few days later as my order still was not sent out customer service said they were noting that my items needed be sent out asap still were not ship"/>
        <s v="communication regarding shipping was lacking in past ship dates estimated arrival times were closer reality"/>
        <s v="my order was cancelled without them letting me know i received lousy customer service trying figure out why placed my order again but of course price of one of my items has gone up customer service will not help"/>
        <s v="i was cents short free shipping so i added treats that never got added order got charged shipping package was so heavy fedex dumped it in wrong lobby not even bothering drop it at my door&#10;you make us order so much not give free shipping when with tax my o"/>
        <s v="it took a very very long time get my house ive switched chewy because their shipments get me in one days"/>
        <s v="havent received product you want a review ordered on needing it no later than wont receive it until th if lucky but still asked review maybe make your automated emails review tied delivery of items would be nice"/>
        <s v="package came in good condition when it was running late i have a coupon next order that they sent"/>
        <s v="ive been with petflow many years product alway delivered promptly no damage if you do have a damaged can they make it good love this company"/>
        <s v="ryan was exceptionally helpful because of his assistance i will continue shop at petflow"/>
        <s v="years doing business with you petflow&#10;poor resolve item i have been buying from you years&#10;&#10;i will look forward discussing this with senior corporate manager&#10;&#10;with years in corporate myself with customer support responsibilities pehaps i could assist getti"/>
        <s v="they always have what i need in stock at a great price especially with use of coupon options"/>
        <s v="if i could give petflow stars i would their customer service awful awful awful they take forever ship items on offchance that they actually have items available will require a huge waste of time on your part rectify issues that they create they consistent"/>
        <s v="my order was placed december i still dont have it two weeks just too long ordering from petflow just too unpredictable sometimes its days sometimes its weeks i had buy from another source"/>
        <s v="please give alerts or notifications when you cant fulfill an auto ship order i have find out by checking my account after expected shipment date has passed im out of my cats prescription kd food have voiced my concerns multiple times over phone that notic"/>
        <s v="delivers as promised checks that it was received i am thrilled that i found petflow"/>
        <s v="i like that you sent food price was lower than most other places i did not like not being able order food because it seemed automatically turn on auto shipping that i didnt want i couldnt find a way turn off auto shipping so i couldnt order food"/>
        <s v="made an order just like i have several times before they canceled order but did not let us know no email no phone call nothing we bought from petco will from now on"/>
        <s v="i have tried use petflow a few times their monthly shipment of dog food i have always come across issues first order my first bag of dog food was delivered on time second order of dog food was delivered with tape all around it i removed tape see that bag "/>
        <s v="still havent received our order so ordered from received in two days which good so our senior dogs do not have eat puppy chow"/>
        <s v="order not shipped from warehouse about a week still shows as not picked up i had check status call cancel it after days"/>
        <s v="no follow up regarding status of order no order received very disappointed"/>
        <s v="like others my order was canceled without notice i only found out when i checked my order online after days a rep at petflow said that they automatically cancel orders because of fraud concerns if shipping address different than billing address even thoug"/>
        <s v="where my order which was oredered on order bergen k cafe"/>
        <s v="my orders are taking longer longer get its taking about a week in beginning they came in a few days i have ended up going only location nearby that carries fromm dog food while waiting my dogs food a week ahead of time should be enough time but it hasnt b"/>
        <s v="love convenience customer service"/>
        <s v="everything ships quickly&#10;was disappointed that i couldnt find one medication through petflow"/>
        <s v="placed an order dog food waited over a week without updates so i followed up only find out my order was canceled but i was never notified this caused such a delay with getting food that i am currently out of had order from somewhere else still waiting"/>
        <s v="easy reorder shipping fast free"/>
        <s v="great experience fast shipping i havent been able order my cats food from anywhere else because it was out of stock petflow got it me"/>
        <s v="ordering online was easy shipping was fast had an item that was out of stock they let me know then shipped it when it was back in stock great do business with"/>
        <s v="great selection of products carry name brand at a reasonable price quick shipping quick response from customer service if something wrong with your order they correct it in a timely manner very happy with my service from petflow will definitely recommend "/>
        <s v="my order was cancelled by fraud department without any notice m i wouldnt recommend petflow my worst enemy i have tried reset my password correct problem but when they say they sent a password reset i never receive it"/>
        <s v="sorry not sure if its my phone or your website used always order online but last few times i cant seem get all way through place order ill have go back calling my orders in"/>
        <s v="best prices fast shipping very happy"/>
        <s v="i have dogs not one of them would play with it they totally ignored it"/>
        <s v="horrible company ordered food my dog got an email saying we received your order called a week later as never received my order or an email saying it shipped they said they cancelled my order could not say why as they are not allowed seriously you can not "/>
        <s v="company absolutely awsomanother company sent me petfkow im so happy they did i will contiune shop at petflow thank you being petflow"/>
        <s v="great prices fast delivery we we were using chewy which great but they dont carry food we need new dog i am very happy with my recent petflow experience"/>
        <s v="communications correspondences via email was better than most pet stores"/>
        <s v="i am very impressed that my order was received before expected none of cans of food were damaged food very fresh price right petflow now my goto from now on zignature kangaroo formula canned dog food thanks being so on top of things"/>
        <s v="terrible just terrible not helpful at all still waiting my dogs medication its going on weeks now i keep getting run around from everyone i speak im over this company yall need get ur stufftogether"/>
        <s v="ordering can be made easier delivery took longer than ecpected"/>
        <s v="first was excellent selection offered at a fair price then there was delivery no easy challenge since ihe order was placed over holiday we had a major snow storm guess what buddyholley my bearded collie was enjoying his food treats earlier than excepted w"/>
        <s v="i have a dog who allergic everything basically so i used online chat customer service person helped me locate a food treats that basically only have duck one of only things shes not allergic"/>
        <s v="delivered on time was able brands i wanted not available on other sites like chewey"/>
        <s v="fast shipping fair prices excellent customer service"/>
        <s v="had products in stock quick delivery great customer service"/>
        <s v="easy navigate website items shipped fast"/>
        <s v="petflow always delivers good products in a timely manner they are also only online provider of my dogs food"/>
        <s v="twice my order has been canceled due fear of fraud no one ever reaches out me ask im frustrated that a week later when my order isnt received i call find out it was canceled they have my email phone number"/>
        <s v="i placed an order recently from petflow they had best price on items i was searching i didnt need items right away i appreciated that i could request date i would like items shipped me highly recommend petflow"/>
        <s v="fast shipping great prices accurate order"/>
        <s v="i had put numerous orders in this product in past two years order got canceled many times i was told i would be notified when they came in i was never notified i just happened come back your site see that you had them in stock otherwise good product we ha"/>
        <s v="in past customer service was always exceptional my last phone call pertaining a delivery delay was met with indifference a lack of resolution ill continue shop at petflow but will think twice before inquiring about a problem"/>
        <s v="my dog food took foreverrrrr get here each time i called customer service it rang about times phone would hang up i emailed them it took days them get back me rep said they are overwhelmed because they are a small company id say hire more people because t"/>
        <s v="i contacted customer support online cancel my auto ship i accidently set a second one while trying cancel i had auto ship orders i made it clear i wanted them both canceled because my order increased by almost too pricey i found my order cheaper somewhere"/>
        <s v="package arrived late again&#10;&#10;fed ex should not be your carrier"/>
        <s v="easy order i love automatic ordering"/>
        <s v="terrible customer service worst company ever do business with even supervisors are rude they constantly hang up without addressing any of your issues"/>
        <s v="i placed an order which was received by petflow with a ship date of dec th dec th still had not heard a word called customer service who told me petflow had canceled order because it was flagged as fraudulent by them not my bank i will never use this comp"/>
        <s v="easy order process quick response order"/>
        <s v="i stopped using chewy when company was bought by petsmart im glad i chose petflo"/>
        <s v="i placed my order on received an email that my order would ship on i contacted petflow on about my order not shipping yet when i received a response next day i was informed due stock issues my order was cancelled but yet i wasnt notified until i reached o"/>
        <s v="dog food i ordered came quickly i didnt have pay shipping food i ordered changed look of bag so i thought i was sent wrong food petflow responded immediately my issue"/>
        <s v="even with your promos ex current promo pft off amazon still better priced i get better sizes better autoship deals we are working with tough times folks you need step up your game on competition or get left behind not trying be rude its just facts"/>
        <s v="i have an account at petflow since june &#10;unfortunately my order of cat food was cancelled without any notificationsuch an unexpected behavior of company customer service when i called them explain order was blocked by fraud prevention department without a"/>
        <s v="youre fine dont be so insecure i used you once ive gotten like emails from you its too much now you want be rated its coming off very needy insecure keep having lowest prices i will keep using you stop with all email or im gone seriously"/>
        <s v="had product i was looking for my cat fast service"/>
        <s v="our beloved newfie died a day or so after we received his auto shipment of food from perflow we had not even opened box allison from petflow offered hers petflows sincere condolences she said just set unopen box outside on porch she would have fedex pick "/>
        <s v="actually i am writing see if i can return an unopened bag of food winnie did not like it back on her original food"/>
        <s v="best price on dog food i buy very quick shipping"/>
        <s v="good sales on good products fast shipping"/>
        <s v="my beloved dog passed away unexpectedly just after i had received a large shipment of food supplies i contacted petflow they arranged have products picked up right away closed out my auto ship orders so i would not have do that ive used petflow more than "/>
        <s v="what made my experience great was finding product i wanted a little more getting it ordered quickly easily got what i needed in just a few days before running out of product at home excellent service great products"/>
        <s v="i wanted purchase a item on your website but item only showed one color blue i contacted you about wanting item in gray you person went out in whrs found that you had it in gray told me order it email order number her she would make sure i received gray l"/>
        <s v="i got a good price on tillys treasures beef liver chunks my dog loves them"/>
        <s v="easy order great delivery great product"/>
        <s v="i used love petflow because prices were reasonable with quality items dependable shipping i have a small house so i cannot stockpile dog food so i order close finishing a bag well now when things used arrive in about days of ordering it can be weeks or da"/>
        <s v="i have been buying my dogs pet food from them years they are very reasonably priced are flexible enough allow me change my order depending on dogs we have"/>
        <s v="my delivery address really complicated caused a few issues when i attempted place my order but customer service was quick respond my messages they handled situation effectively efficiently once shipped order reached me in a very reasonable amount of time&#10;"/>
        <s v="prices selection were great shipping was fast received emails regarding status of order shipping"/>
        <s v="toy was so little shampoo was expensive but worth it"/>
        <s v="my auto ship easy convenient arrives quickly after it ships food always in stock so i never have worry"/>
        <s v="i tried change what we are receiving on recurring order instead of changing item it sent me an additional bag of dog food"/>
        <s v="great prices on kong squeez ball"/>
        <s v="beware pet flow can accuse you of theft cat food value from them&#10;absolutely terrible experience with my order number &#10;after receiving order confirmation from petflow&#10;i was expect receiving tracking number shipment but when i login my account order status "/>
        <s v="good quality products cheaper prices fast shipping"/>
        <s v="ive struggled purchasing food my fiv cat because her vet under my partners name but im one buying chewy specifically made my life hell thank you petflow i appreciate yall im great full my kitty gets her special food now"/>
        <s v="with cost of this pet food increasing every year i decided switch petflow away from my usual supplier because of discount making my dogs food more affordable really helped a lot im hoping this company continues offer competitive pricing"/>
        <s v="i always get my dogs food on time"/>
        <s v="i have had a good relationship w petflow up until my last text message was ignored natural balance canned dog food was discontinued supposedly due supply issues i researched other foods decided on nutrisource which petflow carries i ordered cases confirma"/>
        <s v="great customer service quick shipping"/>
        <s v="great quality shipping was very fast definitely will be ordering from them again"/>
        <s v="liked that ordering easy i did not like how very long it took receive order"/>
        <s v="my order never arrived i called your company person i spoke was incredibly unprofessional sounding i asked why my order hasnt shown up he said it was canceled by their fraud department i asked why or what triggered this was told he couldnt tell me why the"/>
        <s v="you were only company that had product i needed my special needs cat"/>
        <s v="first customer service rep wasnt nearly has helpful as second one i talked with third person was reassuring now wait refund"/>
        <s v="i was really happy with pet flow until two things happened one i found some thing i could only buy at chewy their customer service light years beyond petflow&#10;&#10;the other that petflow wanted a profile of me my pets names things in a way that made me feel li"/>
        <s v="fast accurate shipping fair prices have ordered twice will continue order"/>
        <s v="was great i enjoyed it a lot song made me feel special"/>
        <s v="always fast shipments i order two pound bags of food at a time only concern packaging needs more tape on box or they need be shipped in two boxes last shipment tape had broke someone carrier must have retaped it there was clear package tape on top of orig"/>
        <s v="prices are high food i feed i realize it may not be petflows fault but there was a huge increase in cost in just a few months also delivery seems take a week with fedex seems long me"/>
        <s v="my orders are taking longer longer arrive last order was over days until i received it i order early so my boy doesnt run out but these times are ridiculous currently looking another provider"/>
        <s v="wonderful products my cats can ask assistance should i need it great ontime deliveries my purchases very good service from petflow folks that do great jobs me my kitties"/>
        <s v="where do i begin i order tennis balls then yall wanna chancel my order fraudulent because your customer service person over phone says why would you buy tennis balls im sorry i have multiple dogs like wth worse part i had call yall days after my order fig"/>
        <s v="quick friendly people help with an easy phone call dependable deliveries updates i really like their customer satisfaction approach business"/>
        <s v="i had a major issue with my package being held up on fedex side i emailed into petflow support see if they could help i didnt hear back however i called a few days later person that answered was so kind helpful they reshipped product i left call crying ju"/>
        <s v="received food in timely manner good price"/>
        <s v="great prices&#10;fast delivery&#10;a place count on"/>
        <s v="even though this litter was out of stock no date when available they kept me informed of my in order status i did end up of canceling they were in great about be this too"/>
        <s v="awesome company with good deals prompt service delivered right your door i would highly recommend petflow all your pets needs"/>
        <s v="what your company needs work your delivery time your company takes way long from date of purchase get product your customer company chewy gets it me in hours learn their method"/>
        <s v="great selection of dog foods snacks great customer service order arrive in just a few days"/>
        <s v="great price quick shipping delivery"/>
        <s v="love prices quick service my only concern i cant seem apply auto ship discount"/>
        <s v="name brand products fast shipping great couponsdeals"/>
        <s v="first i was sent wrong items i called was told they would ship right ones out asap next am i spent over on dog treats bags original delivery took a week customer service emailed me a fed ex label ship wrong treats back i had drive a fed ex drop off do it "/>
        <s v="ordered natures logic food at a great price delivered quickly shipping free&#10;what not like about this"/>
        <s v="difficult make an accurate credit card charge"/>
        <s v="my shipping box came damaged nearly falling apart when it arrived at my door&#10;&#10;plus my bag of dr marty food was cut with a razor food was inside shipping box i have a picture if needed&#10;&#10;and finally it took nearly days i ordered early sunday morning product"/>
        <s v="very good customer service package arrived on time everything that i asked was in box complete"/>
        <s v="i needed a bag of dog food proceeded with buy it now when i received order confirmation i saw that an item i had previously purchased was still in my cart they said they would not remove an item from my order immediately after i wasnt happy with item when"/>
        <s v="products available competitive pricing delivery delay not too bad considering holidays"/>
        <s v="appreciate great selection of fromm dry dog food service great very fast shipping"/>
        <s v="we have been using petflow years they are consistently fast with shipping if there are any issues maybe x in years they are responsive it gets resolved fast thank you"/>
        <s v="ordered on line less than in stores it was delivered me"/>
        <s v="lack of availability of specific treats i was looking was only reason i did not leave a star rating otherwise prices delivery time correctness of order was great thanks luka remi are headoverheels with their tasty treats"/>
        <s v="i spoke with customer service weeks ago my concern was not addressed&#10;my original account was under my personal gmail i had an auto ship on there years a few months ago my password did not work when i tried repeatedly reset it i never received reset emailn"/>
        <s v="when i started really look around petflow offers best price especially since it comes right my door in rural vermont dog food has become crazy expensive"/>
        <s v="i have used petflow several years they are a quality organization i recently had an issue with a delivery a return both issues were resolved quickly one via phone other through email they also took time follow up make sure i was satisfied"/>
        <s v="website was easy maneuver great product selection good prices along with fast delivery time"/>
        <s v="your products are healthy reasonable in price i also received my purchases in days paid no shipping due buying more in merchandise i also get pleasure help animals in need thanks being there"/>
        <s v="found it odd that a very popular item on internet was discontinued i ordered but only got one they refunded my other one fast made&#10;it look like they were selling them too low stopped so they didnt have keep filling orders"/>
        <s v="i like ordering online dont like getting out delivered my door"/>
        <s v="shipping time awful when i placed order it said it will ship next two days it didnt ship a whole weeks"/>
        <s v="very reliable when ordering a product even if on backorder you are kept informed impressive"/>
        <s v="best prices around initially we will see if they continue offering these deals i have referred a few friends so im hoping they dont disappoint"/>
        <s v="slow shipping slow answer e mails dont have items in stock"/>
        <s v="im still waiting on my last order i am out of kidney can food i have dogs i supplement dog treats through amazon as they deliver way quicker but prescription kidney food i cannot as i tracked my last order it showed its been sitting in homestead fed ex de"/>
        <s v="i just started using you a few months ago was a little concerned because of some of your reviews but i liked your prices thought id give you a try glad i did you have totally delivered me ive had several large orders dog cat products star"/>
        <s v="ive been a client some time i had just bought a lb bag of merrick senior dog food vet said that my year old dog reacted badly ingredients in senior food which caused severe diarrhea go back what i had been doing person who answered my call credited my acc"/>
        <s v="i found this company a couple months ago wow very impressed product line outstanding prices are best ive seen last but not least shipping super fast ive had such a wonderful experience with their easy online ordering system ive never had contact customer "/>
        <s v="order was easy place delivery updates were all great"/>
        <s v="i received no notice of canceled order or assistance in correcting order"/>
        <s v="we have ordered over a year from pet flow have never experienced any issues what they promise we get i will be staying with them"/>
        <s v="cheaper price takes a little longer shipping though"/>
        <s v="great service products i use my pets"/>
        <s v="i have had a subscription dogfood on file years that prescription most of time it delayed or outright cancelled then i have call change a different flavor in order get dog food last time this happened i had change flavor twice request a new order times be"/>
        <s v="i placed ab order first time product was not going arrive over a week that was unexceptable your competition chewy it arrives usually in two days i cancelled my order o my auto ship"/>
        <s v="reliable delivery dels autoship"/>
        <s v="fast delivery great prices what else could anyone want"/>
        <s v="always get excellent customer service if there an issue vert easy deal with"/>
        <s v="ordered product it never shipped i had call customer service get it shipped"/>
        <s v="after my order being cancelled i dont know maybe three times i emailed them get it cleared up i explain i moved got married mention perhaps its my maiden name ryan tells me fraud says not process so first i ask okay whats reason do i need call ryan says t"/>
        <s v="i appreciated ease of ordering but was not really happy with shipping time it took too long come"/>
        <s v="petflow great fast efficient customer service helpful"/>
        <s v="i switched pet flow from chewy bc their prices got high their customer service dramatically declined prices auto ship discounts are much better at pet flow their customer service personnel are superior chewys only reason i gave stars bc they dont carry pe"/>
        <s v="as promised so delivered"/>
        <s v="when i place my order i can relax it arrives quickly always fresh ready my two senior dogs i am so happy that i have this service dont have lug heavy bags of questionable freshness"/>
        <s v="i placed an order your company took money out of my account days went by with no tracking or anything so i called see what was going on your tech support told me she didnt know when i would be getting my order so i canceled it than after i canceled your c"/>
        <s v="my order was easy place arrived quickly will order from you again would recommend"/>
        <s v="my dogs went crazy over all these treats very happy"/>
        <s v="representative was understanding of my situation was quick resolve issue very nice patient"/>
        <s v="great company work withalways responsivewith quick delivery but costs seem continue escalate over last two years as everything"/>
        <s v="my dog a senior with a heart condition must have a special lowsodium diet when her food doesnt arrive on time her diet condition compromised typically i receive orders in days i need depend this reliability my last order took days arrive when i called inq"/>
        <s v="my little maltese loves small bites beef frittata i wish you had other flavors in small bites small breed dogs"/>
        <s v="shipping as surprisingly slow"/>
        <s v="so when ordering food my canaries theres been times in shipping process bad experiences two times orders get returned due poor packaging petflow uses dont really understand why lb bags are shipped in thin big box without any protection inside that reason "/>
        <s v="first time using pet flow my dog food was ordered in time arrive three days before a big trip it was delayed came day after i left customer service had been called several times&#10;i asked a refund was told i would get a credit im going back chewy until pet "/>
        <s v="i always order our dogs regular food diet petflow as well as a subscription all items arrive well"/>
        <s v="great service i can always depend on pet flow"/>
        <s v="an excellent company with wonderful customer service orders are shipped efficiently with care an added plus their charitable donation policy"/>
        <s v="took over a week before product even got prepared shipping zero communication"/>
        <s v="instead of a usual delivery of business days after my orders placement it took business days two calls your service"/>
        <s v="while prices are much better than chewys shipping slow only reason we wait so long it arrive because of money we save"/>
        <s v="i placed an order cat food that petflow cancelled with no notice after wondering why it hadnt arrived yet i checked on status was told it had been cancelled because they thought my email was fraudulent if i wanted place a new order it would have be with a"/>
        <s v="super friendly staff wonderful company"/>
        <s v="had a problem with password was locked out when i called they said too bad you have wait time out they did not reset it or help any further"/>
        <s v="absolutely worst company i have ever used date delivery of our dog food will never use them again they like use excuse that its holidays theyre backed up deliveries&#10;&#10;then shut your doors stop taking orders until you can deliver dont waste my time with you"/>
        <s v="ordered dog food with a few toys on wednesday night if youre a pet store somebody orders dog food well before weekend you ship it out before weekend right never again with these people have fun losing money on this order what an absolute joke of a pet sup"/>
        <s v="i generally like pet flow but i find website very confusing my cat has prescription food i sent script in with first order when reordered however it asks this information again i had call find out that it isnt necessary"/>
        <s v="shipment quick notified timely of any deviation shipping of order reasonable price"/>
        <s v="it was a great experience overall ordering was easy it was delivered quickly price was great"/>
        <s v="willingness listen my issue try work out a solution"/>
        <s v="delivery on time or close scheduled time"/>
        <s v="best price anywhere in fact i bought what other shops were selling same price one fast quick shipping totally satisfied customer"/>
        <s v="excellent selection pet food product came quickly enjoyed quality communication throughout experience"/>
        <s v="shipping times amount of available products"/>
        <s v="customer service was excellent"/>
        <s v="super fast shipping good selection of dog foods good prices"/>
        <s v="tried get my auto shipment moved up a few days sooner instead they cancelled it when they finally shipped it appeared that i was only being charged instead of i figured bc of mixup when i checked later in day was added back emailing about it has gotten ze"/>
        <s v="bryan was great he explained things followed up right away im thankful i connected with him about my issue"/>
        <s v="always fast shipping always have what i need"/>
        <s v="switched over from chewy because natures logic dry dog food was a bit cheaper but shipping very slow last package arrived opened bully stick sizing inconsistent seems foul"/>
        <s v="i have no complaints about company other than you using fedex as your shipper i seem have issues with them every time always changing delivery dates this time they left boxes in plain sight in front of my garage allowing them get wet in rain before i coul"/>
        <s v="treats had small fine bones in them"/>
        <s v="i honestly have never done a review ever well i have ordered twice from this company each time there was issues first time help people were amazing rushed fix it right away so obviously i ordered again but this time omg i had make a new email because it l"/>
        <s v="didnt receive an acknowledgement from pet flow on line order placed on a sunday i called monday morning asking a tracking number idea of when i could expect pounds of dog food i got a snarky no reply never did receive from pet flow any documentation of or"/>
        <s v="dry kibble ordered on nov still has not arrived supposed be delivered today they are very responsive emails communications good company but need soem updated shipping procedures bw"/>
        <s v="service rep said business days it took days had go local store buy food get by mailing system slow lately"/>
        <s v="i had a concern with my orderthe customer service was outstanding far better than i expected my problem was taken care of very quickly i will be ordering again soon"/>
        <s v="it took a very long time multiple emails customer service see why my order didnt ship i ordered two items only received one no explanation where other item"/>
        <s v="again so many products out of stocknot available which means i have go other sources get what i need"/>
        <s v="she was extremely helpful very kind situation i had"/>
        <s v="company was prompt in getting my order out door it took delivery service some extra time"/>
        <s v="five stars&#10;i highly recommend this company their selection excellent they are competitively priced"/>
        <s v="my pomsky years old loves fromm dog food from petflow&#10;its always fresh duck her favorite she likes salmon too&#10;food always shipped quickly&#10;i havent needed customer service but sure they are great too"/>
        <s v="representatives very helpful friendly great bonuses"/>
        <s v="i can order fromm dog food website easy use delivery fast"/>
        <s v="having product i needed fast shipping"/>
        <s v="always dependable shipped everything on time let you change dates on your auto ship just a great company customer service also awesome"/>
        <s v="listen my concern fixed issue quickly"/>
        <s v="have been a client years only issue tons of promotions sent via text never on froms which only product we buy"/>
        <s v="shipping was delayed straight days whilst i was told repeatedly that item would ship next day generally i would give petflow stars however this last experience was less than stellar&#10;&#10;i want be fair mindful that warehouse working conditions are difficult p"/>
        <s v="first time order puppy food our sons puppy price was fantastic with free super fast delivery was very impressed i am a seasoned value shopper highly recommend will definitely order from here again"/>
        <s v="most of my experiences have been excellent unfortunately my last order of fussie cat dry food was less than good i normal order lbs bag ive had no issues cats love it last order i purchased lbs bag my cats refuse eat it i did call pet flow inquire if they"/>
        <s v="shippingsecond order fr youfirst order completely messed up you can check your logs see second order said delivery day of supposed delivery it was still in new jersey got all items both times but not easy process except ordering paying wellll second time "/>
        <s v="ive been buying from petflow years now been very happy with them prices are competitive items are usually in stock or quickly restocked shipping prompt one time i called customer service as i wanted add a bag of food id forgotten include in an order peopl"/>
        <s v="i placed an order dog food when i noticed it hadnt shipped after a week i reached out customer service no reply back over a week later looked up my order status it showed that it was cancelled was never notified&#10;will never use this company again now im bu"/>
        <s v="our cats have been put on a sensitive diet petflow had best price what we needed online ordering was simple shipping was fast will definitely order from them again"/>
        <s v="exceptionally responsive customer service also good products"/>
        <s v="easy order prompt shipping competitive prices great service"/>
        <s v="when i received a case of blue buffalo cans in a very damaged box with cans being severely dented i was immediately sent a full replacement i also ordered lights my dogs collar only works im hoping receive replacements those as well"/>
        <s v="i love that you donate pet charities carry nutrisource"/>
        <s v="quick shipping product works barking has decreased markedly"/>
        <s v="we needed order prescription food our cat it kept getting cancelled&#10;each time it got cancelled we called got a different answer fraud dept credit card company etc&#10;each time person on phone said they would take care of it&#10;finally someone must of actually t"/>
        <s v="bad customer service overpriced poor quality food shop somewhere else"/>
        <s v="my mind blown they wont fill my order dumb useless took almost two weeks respond me never seen a company who didnt want business last time ill shop there"/>
        <s v="petflow a great company they go above beyond provide excellent customer service"/>
        <s v="ive been ordering from petflow years i used order from chewy but petflow offered better discounts so i switched them most things my only issue with petflow shipping thats just such a minor issue that it really isnt even review worthy doesnt occur often i "/>
        <s v="you stopped part of my order without telling me at all took me all kinds of communications find out what problem was i was not am not a happy customer check your records my order it should tell you what went wrong&#10;&#10;how dare you now try lecture me about wh"/>
        <s v="my first order was cancelled with no notice&#10;my second order was placed but sent wrong address via fed ex then i received an email saying that they cant process my order it was already processed so when i called see what this was about i was told i would n"/>
        <s v="was available sent promptly"/>
        <s v="product great so far issue that i have that clumps from urine are heavier than any other product that ive used in past years"/>
        <s v="only issue i have that there not count in bottle was given only five dollars off my next order"/>
        <s v="took almost gays get puppy food which i ordered a week before getting puppy then when it did arrive bag was not properly sealed food had spilled out all in box"/>
        <s v="competitive prices great customer service excellent packaging of products fast delivery easy website navigate get all you are looking what more can you ask i highly recommend this company"/>
        <s v="i ordered dog food on line never received a confirmation a few days later i called was told warehouse was working on it three days later i called again they said it was in warehouse with stiff competition on line pet food supplies i dont feel that i need "/>
        <s v="liked convenience of getting our pet food delivered what i dislike time it takes get delivery we were down our last kibble when package arrived not sure service dependable enough"/>
        <s v="thank you this opportunity provide constructive feedback on my experience&#10;when i received my pet barriers i had ordered two they came on separate days which fine but they were both in horrible shape on arrival both boxes open on both or one end some taped"/>
        <s v="it would be nice get some discounts items that are less than"/>
        <s v="i ordered my pet supplies on monday did not receive it"/>
        <s v="ive purchased from petflow many years usually dog treats food always good products good service highly recommend"/>
        <s v="easy use website quick delivery"/>
        <s v="great service good prices quality products"/>
        <s v="great company always on time with my order"/>
        <s v="orders are correct intact upon delivery which always fast any issues or delays are quickly communicated tone of communication always congenial helpful me i can buy my dogs healthier preferred foods that bigbox stores do not carry i also like that sizes of"/>
        <s v="i love how fast they ship but im annoyed my first order products were expiring in weeks so i had use bags of sweet potato fries before they expired that didnt happen they seemed okay so i used them until they were gone&#10;this latest order fries dont expire "/>
        <s v="good products service price only problem you are out of stock too often"/>
        <s v="petflow has provided exceptional service great prices very good selection of products foods my pets about years i highly recommend this company"/>
        <s v="ordering easy shipping always fast my favorite site ordering cat food supplies"/>
        <s v="shipping has been so fast each time ive ordered excellent customer service great selection of pet food items theyve won my business"/>
        <s v="easy order delivery was good as well"/>
        <s v="not as familiar with navigating your website thus found it confusing confusing perhaps as i use it more ill become better with it products are excellent prices are excellent too"/>
        <s v="easy website delivery updates promptness of delivery"/>
        <s v="i never received my package have been waiting about weeks since order i would recommend petco or something like that"/>
        <s v="a great place get pet food that quality my gigi girl"/>
        <s v="great experience from ordering delivery"/>
        <s v="order has been cancelled by petflow i was not even notified thankfully chewy had my back"/>
        <s v="i placed a order on i sent a text on asking when my order would arrive i was told my order was flagged never shipped person didnt know why or what that meant why wouldnt i get a email or a call if a problem was encountered you have all my contact informat"/>
        <s v="fast shipping always consistent with supply my shih tzu approves a happy baby thank you pet flow"/>
        <s v="your prevention protection not accurate please fix it"/>
        <s v="shipped me very fast no damage packaged well enough prevent damage i wish fromm allowed discounts auto ship but i understand it up them allow that not petflows fault at all"/>
        <s v="i appreciated receiving an email when item i needed was back in stock i waited buy it from petflow because their price was so much more affordable this service was so helpful"/>
        <s v="second time ordering prescription food told its in stock a week later they cancel order stating its not in stock never again"/>
        <s v="i have ordered twice each time delivery has been delayed order this time was not properly packaged box was literally falling apart patched together with more tape than cardboard i am surprised entire order made it here i wondered why you are able sell fan"/>
        <s v="sales experience was fine delivery not so much again their chosen delivery company left my very heavy package sitting in front of my garage all see with no knock or ring at door let me know it was there thankfully it wasnt raining that day i am not sure i"/>
        <s v="dog food came quickly"/>
        <s v="ordered boxes of arm hammer fragrance free super scoop cat litter two weeks ago never received it"/>
        <s v="numerous choices at excellent prices fast shipping excellent customer service highly recommend"/>
        <s v="i was told i would receive a tracking number my package i placed on friday i did not so i called days later on tuesday at i understand company doesnt work on weekends brian answered phone he was very rude when i asked a tracking number saying why would th"/>
        <s v="i ordered a prescription cat food where website indicated that it was in stock when i had not received a status update after a few days i sent an email inquiring about status was told that it was out of stock which i had suspected since it was out of stoc"/>
        <s v="website doesnt work right horrible navigate i got food i didnt order whats with that shipping was fast prices were good"/>
        <s v="purchased toys my red squirrel he loves them that r safe durable costumer service truly customer service helpful polite this company a joy deal with"/>
        <s v="great service people thank you"/>
        <s v="i ordered cat food delivery on i am still waiting it be shipped me there has been no update"/>
        <s v="i love products they carry i love communication only negative that they are out of my items a lot however i know that probably has more do with company who makes it than them"/>
        <s v="products were in stock website was easy use prices were comparable other things online retailers"/>
        <s v="great products fresh free shipping&#10;great pricing"/>
        <s v="even though delivery company brought my package a day later than they predicted it was still earlier than estimated date i got when i placed my order all items arrived in good condition i got a very reasonable price"/>
        <s v="food my pet needs was listed on your website so i placed an order then a few days later received a message my order could not be filled items should not be listed or show as out of stock if unavailable"/>
        <s v="my order got canceled without any notification me on separate occasions i found out by checking website on status of my order"/>
        <s v="i am extremely happy with ease of ordering from you"/>
        <s v="ordered two times both times it was stated in stock after placing order i was notified sorry out of stock worst website ever if you dont have it in stock ready ship then dont state in stock"/>
        <s v="id never heard of petflow before they came up in a google search very glad they did i was able buy some blue buffalo kitten food at a lower price than petsmart petco chewy&#10;&#10;i also got a bunch of my kittens favorite clicker training treats at a reasonable "/>
        <s v="good communication shipped fast great product"/>
        <s v="i ordered item was not in stock but it doesnt say that online then when i try reach out find out ifwhen item will be in stock communication was minimal none"/>
        <s v="customer service awesome i was having trouble using a couopon woman i talked with took care of it its important me that my purchase will feed a doggie"/>
        <s v="your website said wet cat food was in stock i never received my order because you are out of food"/>
        <s v="always satisfied with service i have gotten at pet flow delivered in a timely manner packaged well in good shape when it arrives products we use are always available"/>
        <s v="great prices timely delivery great products"/>
        <s v="package arrived promptly was wellpacked ordering was easy product just what my cats love too its hard find"/>
        <s v="prices great selectiondeals appealing preparation shipping could be quicker customer service agent was snarky&#10;still choosing over chewy"/>
        <s v="speedy service with a personal touch they also carry some brands we cant get elsewhere they are lifesavers"/>
        <s v="very quick service on fromm dog food our new puppy we were not able find this brand elsewhere happily pet flow was able keep him on his regular brand"/>
        <s v="fraud team kept flagging my credit card cancelling my shipment even though ive purchased here many times there was no issue with my bank"/>
        <s v="variety of flavors fancy feast wet cat food limited right now but i was able find what i wanted at a great price at pet flow shipping was fast"/>
        <s v="order i placed arrived on time i question whether this product was actual item from original product made by another company my beagle would not eat this brand but ate real brand from manufacturer dog food didnt even look like real food"/>
        <s v="love science diet pet food love their price"/>
        <s v="happy with petflow good prices delivered timely packaged well"/>
        <s v="my dog loves petflow pet food taste very good logistics also very fast nutrition very balanced"/>
        <s v="products are great customer service excellent shipping fast thank you very much"/>
        <s v="pros very wide selection of dog cat items i think you could probably find what you would get at any other petretailer comparable prices website was easy enough navigate there were discount codes available&#10;cons autoship that i set up did not get shipped un"/>
        <s v="i will forever be a customer food gets here fast helps other dogs in need every time you purchase plus i prefer support a small business highly recommend have passed on friends"/>
        <s v="was able place my order easily only issue was a slight delay in delivery due warehouse stocking i was quickly notified that my delivery would arrive a day later i was delighted when it did"/>
        <s v="i placed an order two days later i received an email from you saying something like your fraud review team advised you not fill my order no explanation ive never had anything like this happen me before"/>
        <s v="my orders are always on time if not im promptly notified expectations are properly set"/>
        <s v="i love company but communication bad ive had a standing order a long time they where unable fill dog food there was no communication or replacement i had place this order on my own very disappointed"/>
        <s v="order was processed as always however i was surprised it took so long receive i used order get it within days this time it took"/>
        <s v="on time delivery ease of use website"/>
        <s v="product i was looking was available was able place my order without a hassle"/>
        <s v="it was great service my stuff was delivered quickly"/>
        <s v="i just recently discovered petflow they provided me with best price customer service speedy delivery item that i was looking i will definitely choose petflow future purchases"/>
        <s v="great customer service dog food arrived on time"/>
        <s v="shipping was quick my order was accurate customer service fantastic"/>
        <s v="terribly disappointed with this retailer order was confirmed yet i never received a shipping notification when i requested a status update was told their fraud prevention team suggested not filling order what a load of crap i use identical payment source "/>
        <s v="easy order i received everything very fastwith free shipping im planning on buying more pet items from this site sure its rare that you receive ordered things within days from most pet sites free unless you pay"/>
        <s v="i needed get my prescription pet food that was sold out everywhere this was only place that had it submitting my vet info prescription was easy food arrived quickly"/>
        <s v="company was great in fulfilling my order of hills rx derm complete dry dog food although a delay between veterinarian petflow in timeliness of my order some of that was beyond petflows control once things were in order order came as expected overall i was"/>
        <s v="competitive prices good selection of bird food quick shipping"/>
        <s v="my order constantly being canceled why cant i stay on a list until product back in stock so it can be shipped me"/>
        <s v="over a year i have an autosubscribe food order price went up on food i reached out see if you would honor a competitors price without hesitation you did thank you so much your superior customer service quick seamless orderdelivery"/>
        <s v="web site easy use great deals on all pet supplies wide variety of pet foods especially what i need my cavalier i recommended petflow all my pet parents"/>
        <s v="ordered cat food on sale cases received email item was out of stock very disappointed should have been offered sale price when item returned stock"/>
        <s v="wonderful fast fast"/>
        <s v="had inquire whether or not my order had shipped which it hadnt inquired twice was told both times had not been shipped on second inquiry i also asked that if it was not going be shipped today cancel interestingly it has been shipped today"/>
        <s v="i have a difficult time finding this product petflow had what i needed fast delivery"/>
        <s v="great prices fast shipping they actually have dog food i need in right size bag that i cant find anywhere else so glad i stumbled upon this company"/>
        <s v="ordered food got message later that it was out of stock so website isnt accurately updated waited as they said they would ship as soon as they got it in stock then i got a message that they canceled my order so this was first last time i will try this sit"/>
        <s v="quick quick delivery after several deliveries of same order lb bag of prescription dry cat food shipping box holding bag has become more compact instead of a foot long of brown packing paper crumpled wrapped around bag fend off damage makes a great tail c"/>
        <s v="i love petflow i prefer them chewy petsmart i feel like they are geared more towards consumer their pets not political posturing i buy my pets want a company committed my pets"/>
        <s v="csr told me my card was fraudulent my order would not ship i bought dog food from another place then i notice petflow had shipped my order after telling me it was cancelled i wont shop here again"/>
        <s v="easy order&#10;my order was a repeat order site made it easy identify previous order&#10;the site facilitated scanning coupons which gave me a discount&#10;communications regarding order placement shipping delivery were timely accurate&#10;the item delivered was as order"/>
        <s v="weve been using petflow many years now every aspect of their service has always been amazing premium kibble reasonable price product arrives quickly"/>
        <s v="always delivered quickly you carry high quality cat food thank you"/>
        <s v="i ordered a couple hundred dollars worth of stuff all but items were unable be shipped on backorder why do they have items listened that they clearly dont have in stock one or two items ok but pretty much my entire order you might want call ask if they ha"/>
        <s v="main complaint damaged cans over over again&#10;&#10;i have been told call requests additional packing additional boxes email notifications on auto ship status i do all these things still petflow comes up short&#10;&#10;if something out of stock at time of shipping not a"/>
        <s v="spoke with a rep named ryan he was extremely rude hung up after saying have a good day because he couldnt answer my questions about a product pet flow says they have in stock"/>
        <s v="products were damaged petflow replaced them immediately l"/>
        <s v="everything as described fast service"/>
        <s v="i like that shipment can happen same same day as order date delivery fast packaging can be better as ive gotten several dented cans"/>
        <s v="this company has very quickly response nice servicepeople are very friendly helpful"/>
        <s v="i ordered prescription food my sick cat submitted my vets prescription with order made payment my vet confirmed it was approved same day its not on backorder but it has now been two weeks my order still hasnt shipped or been delivered i havent received an"/>
        <s v="having dog food delivered takes a large load off my schedule delivery people are very courteous friendly"/>
        <s v="i had paused my auto ship then ordered what i needed weeks later i have another shipment of lbs of dog food"/>
        <s v="petflow unfortunately very inconsistent with their delivery we recently received orders within days after not getting anything approximately weeks"/>
        <s v="great service had product i needed shipped received in very reasonable time i will shop with petflow again"/>
        <s v="two orders placed at different times showed in stock gave all my billing info got confirmation of order a week later got an email order canceled due no stock my cat needed this food asap was quite disappointed that it took a week notify me two times they "/>
        <s v="as usual many of cans were dented in shipping i assume makes it difficult stack store&#10;may not order again"/>
        <s v="i had a issue with my picky cat he would not eat food i purchased i contacted them they helped me out"/>
        <s v="great product shipping was fast they communicated every step of way will definitely order from them again"/>
        <s v="discount on my order order itself delivery time are all star&#10;&#10; maybe you should change name from petflow star"/>
        <s v="i appreciate that i can quickly reach a customer service representative on phone when i have a question about a product or an order im glad that petflow donates food needy animals i also like that petflow not connected companies that sell live animals how"/>
        <s v="while i needed this product was up on its delivery time id like pre notification of sending this allows me plan about being home etc"/>
        <s v="i ordered a prescription diet my cat accidentally typed incorrect vet in prescription referral one that has a very similar name as that of my vet petflow emailed me that vet didnt have any records of my cat i when contacted them confused i found out why&#10;&#10;"/>
        <s v="your website needs be better maintained i ordered product listed as being in stock got a confirmation email then two days later ordercwas cancelled with no explanation i called only reason you got stars customer support was so nice however product i was t"/>
        <s v="items that were on backorder were listed as in stock on website customer service wasnt helpful couldnt say when items might be back in stock called back cancel order after finding items cheaper on amazon was told that items were already back in stock were"/>
        <s v="i have tried order cat food at least times this year from petflow they have canceled every order due supply shortages even though when i placed my orders food showed on website as in stock it has been very frustrating i am tired of wasting my time orderin"/>
        <s v="i placed an order signedup ongoing orders but next email i received was one offering a discount that was never offered me until after i ordered signed on reapeat orders&#10;thats terrible &#10;that not a way do business with repeat customers"/>
        <s v="both times that i have ordered from petflow my orders had delayed shipping dispite me calling emailing them"/>
        <s v="i placed an order online because it showed item in stock i didnt receive any notifications that it wasnt in stock until i emailed in a query at that point all i received was a notification that my order was canceled again with no reason as why very frustr"/>
        <s v="i would not have provided my personal information if i had known you dont have what i need not happy"/>
        <s v="petflow has grown on me i have used their competitor a long time but tried petflow when i initiated a food change i have found petflow be responsive helpful quite honestly i feel their service has continued improve over time i have been using them they"/>
        <s v="great product shipping times im so happy have found this company"/>
        <s v="very knowledgeable helpful assistance over phone quality product prices cant be beat"/>
        <s v="item i needed was in stock priced better than competition arrived timely as needed"/>
        <s v="recently i ordered over in treats they came in one large box half of treats raw freeze dried had turned dust in their packages it was likely due rough handling during shipping that had never happened before ive been ordering treats from petflow years i ca"/>
        <s v="i guess my card was declined my second order of fromms cat food cases but instead of telling me by text email call i was just ignored when i was down one lonely can wondering where my cat food wasi emailed no response my question just a well get back you "/>
        <s v="your website lied said a product was in stock when it wasnt we ordered it heard nothing from you i had call several times then i was finally told my order was canceled because it was back ordered so was it never in stock begin with ill never order or atte"/>
        <s v="i had a slight issue with a couple of cans that were shipped customer service representative said they would issue a credit on my next order very professional courteous service"/>
        <s v="my order was cancelled i did not know it no email nothing i had log into my account find out i have reordered hopefully product will be sent"/>
        <s v="everything i always need personal help with my orders which usually include a prescription my cat prescription i have a open one that i usually have send a picture of petflow seems only online site that will talk me personally in order get this done as op"/>
        <s v="people on phone are friendly helpful"/>
        <s v="what a great business work with when i made an error ordered wrong food customer service was happy take it back get me right food&#10;what a pleasure work with such nice helpful staff a most unusual treat today"/>
        <s v="i originally ordered a can case of cd chicken stew a can case of cd tuna stew was told that they were both in stock about a week later i got case of chicken stew but but still am waiting case of tuna stew i just called a little while ago see why case ot t"/>
        <s v="excellent product ive been buying from them years fast service"/>
        <s v="i ordered cases of hills cd wet can food one stew one fish i only received stew my invoice shows that i was charged both&#10;but no explanation on why i didnt get full order"/>
        <s v="wanted order dog kibble but price on select description page was but when i started processing order cart jumped it i called explained problem guy hung up on me i called again second guy also hung up on me petflow will never see another order anything fro"/>
        <s v="would give this company zero stars if possible have ordered from chewy petco pet nirvana vetsource with absolutely no issues whatsoever using same credit card i used petflow however twice petflow cancelled my order with no notice i didnt discover until i "/>
        <s v="i have tried order food my cat times each time order being cancelled because they did not have product in stock i didnt understand why would show a product in stock when in fact they didnt have it"/>
        <s v="great product exactly how it was described&#10;works great my dogs"/>
        <s v="so glad i found this company products in stock ships quickly appreciate great service"/>
        <s v="i was never told you did not have product instock i ordered it my debit card was charged three days later i was told you were out of stock refunded me next time tell me you were out of stock dont make me go through process of ordering something you clearl"/>
        <s v="both orders was delivered on time petflow provides a tracker number so that you can track your order items in both boxes came spillproof dog food bags were tightly sealed petflow also offered me off both of my boxed items thusfar our house yorkipoo maltes"/>
        <s v="it nice product"/>
        <s v="pet flow kept canceling my order asking me resubmit it even though it was out of stock they gave me deep discounts on order but they were never able deliver it this a serious situation because my cat cannot live without her prescription food they said a m"/>
        <s v="hello&#10;i really enjoyed experience of shopping with petflow&#10;at first purchase was cancelled because product was out of stock pet flow solved issue i was informed at every step prices are very competitive&#10;i can say that petflow my favorite store now"/>
        <s v="customer service great delivery a bit slow order shipped september its september th i still do have my item"/>
        <s v="cheapest place purchase my dogs fromm dog food it always arrives on my doorstep fresh i feel confident in purchasing with petflow"/>
        <s v="i was pleased find what i needed at a good price but also saw a number of things that were much higher than on other sites my order was shipped within hrs arrived in good condition i appreciate messages keeping me informed every step of way there are good"/>
        <s v="thank goodness petflow i needed prescription treats i could not find any where even my vets office was out i had not heard of petflow before you came me my lab bellas rescue fast shipping thank you we appreciate you so much we will be back"/>
        <s v="an honest informative explanation my cats appreciate it please send me your list of us cat food manufacturers i fiddled with your email until i couldnt view it or print it&#10;&#10;thanks"/>
        <s v="love this cat tower my girls have a great time climbing lounging its very sturdy was delivered promptly thank you"/>
        <s v="great products reviews that help pet parents too bad items dont ship during weekend great products resources thanks"/>
        <s v="they were very helpful my cat food was delivered on time"/>
        <s v="it took longer that buying it directly or with other companies"/>
        <s v="i have been getting auto deliveries many years recently went on line order set up a new auto delivery new puppy my ship address was no longer correct i fixed it went order food it flipped back bill address i fixed it but order still shipped wrong address "/>
        <s v="petflow great i place my order within days i have dog food sooo convenient have it shipped right your door ive been doing business with them now years will continue"/>
        <s v="if i could give it zero i would they never contacted vet despite giving them fax phone email contacting them on multiple occasions i have a prescription same dog food but i tried ordering snacks i have a prescription dog food it works snacks as well accor"/>
        <s v="fast shipping good prices hard find dog food"/>
        <s v="great selection timely shipping boxes are still crap they show up half open beaten up sometimes too small bags of food causing them be ripped open if i could get nutrisource food somewhere convenient i would not use petflow"/>
        <s v="i ordered some thing order was approved by vet because it was a prescription then i found out five days later that order was not being fulfilled because it was out of stock it seems as if company should know what it has doesnt have in stock before it acce"/>
        <s v="have spoken people get an order of dry dog food on auto ship no avail process started late aug with everyone saying it would ship asap i still do not have it i dont understand what problem"/>
        <s v="my cat needs prescription hills yd after going thru verification process stopping my search i was told you couldnt source it wasted time waiting i was informed after fact wish i had known in beginning"/>
        <s v="ive been using petflow quite a while now have had nothing but positive experiences generally i receive my order in about four days or less"/>
        <s v="ordered on received via fedex&#10;&#10;the box it came in was trashed more than likely from shipping handling i would suggest using sturdier or reinforced boxes but that probably would add more cost one of bags was leaking food it seems bag was not sealed properl"/>
        <s v="delivery of product was sloppy&#10;it was raining box was left outside where there a dry place available"/>
        <s v="my only complaint that bags of dogfood were not packed properly instead of big pound bag being in usual big boxes that it usually arrives in pound bag was crammed into same size box as pound bag with result that box arrived in damaged condition had been t"/>
        <s v="great prices of several items we use thank you"/>
        <s v="best prices in stock merchandise quick shipping would use them again"/>
        <s v="petflow carries fromm healthy weight senior dogs bandit loves it bandits favorite treat inch pizzle chews he has have them"/>
        <s v="my order was cancelled without any notification it was a sizeable order on a brand new account but not providing notification was both inconvenient has left me scrambling&#10;&#10;the prices will result in me trying order from petflow again but experienced servic"/>
        <s v="i appreciate discount sales offered your large selection of product my items arrive carefully packed i have yet receive one dented can or damaged item keep doing what your doing"/>
        <s v="stop accepting orders items you do not have in stock this has happened twice now"/>
        <s v="always a great experience with petflow product of great quality ships fast only place i can find these ears in bulk"/>
        <s v="my dog food order arrived with exploded dented cans petflows email reply was tell me they will credit my card today my card has yet be credited i am not happy about this order number placed on"/>
        <s v="first time using petflow im happy with service i now have autoship with them used chewy autoship in past but their service has become unreliable in past few months petflow was able supply prescription food that was out of stock at chewy"/>
        <s v="products pricing are wonderful shipping slow compared chewy thats only downfall"/>
        <s v="orders are not packed properly arrive dented this not first time customer service did in fact send me a new oder"/>
        <s v="it was entirely on me send a prescription order was sat on weeks eventually was cancelled without me asking it now your site shows its out of stock just literally worst order ive tried place prescription food which my cat has had go without because i kept"/>
        <s v="after receiving an email requesting i contact my vet facilitate getting required prescription my dog my vet had received no such request i called customer service requesting another prescription be submitted i was treated with arrogance disrespect unprofe"/>
        <s v="thumbs down its my order was supposed arrive today i was told fraud department canceled my order reasons they wont disclose they didnt tell me order was canceled i was simply left waiting when i attempted reorder payment they said fish food was that out o"/>
        <s v="good service fast delivery"/>
        <s v="i have purchased from petflow regularly a number of years they have good prices often best they ship quickly ive never had an issue whats not love"/>
        <s v="my scooters food got here in a very timely manner he loves this food it hard find in our area cost reasonable though it would be nice if there was ever a sale on it thank you petflow helping me provide best my fur baby"/>
        <s v="i was very disappointed with my experience i was looking everywhere prescription cat food my furbaby needs petflow was only place that showed having it in stock but by time they finally got around contacting my vet nearly a week after i placed my order it"/>
        <s v="ziggy went nuts over treats its his crack cocaine will definitely order again"/>
        <s v="your service products have always been excellent only glitch was on my last autoship i never received notice that my order was getting ready ship if i had i would have pushed it a week later its not a big deal but i like having advance notice in case i wa"/>
        <s v="i believe your website was corrupted my account breached leading several orders that i did not authorize there was faulty information shown example website showed order xzy was just placed today but when i asked your rep about that order number he told me"/>
        <s v="good food cheap easy"/>
        <s v="i placed a subscription order prescription food my pet petflow claimed they had it in stock i was wondering where my order was so i logged into my account find that order was canceled because they did not have it in stock did not cancel my autoshipment ju"/>
        <s v="it would be nice get some of discount codes nonauto ship orders frequent order customers&#10;thanks petflow"/>
        <s v="website advertised canned yd thyroid cat food so we ordered a case after a week we were told it wasnt available which left us scrambling thyroid food our cat"/>
        <s v="i gave you a top score because we ordered food from you guys all time this time i didnt get any emails i looked in my junk folder there was nothing there i had call twice figure out what was going on i hope you can improve this process"/>
        <s v="have enjoyed using this site help take care of our babies great selection decent pricesdelivery on time"/>
        <s v="our girls love dreambone peanut butter sticks they are always out or extra expensive on other sites this price great"/>
        <s v="i had a good experience with this company i ordered my dogs food received a great price order arrived in time frame condition expected i will be reordering as needed&#10;thank you"/>
        <s v="my pups love all of toys we ordered from petflow most of toys we ordered are made by kong toys are great our young aggressive chewer as well as our fairly active year old senior pup ordering was easy prices are great"/>
        <s v="i submitted a signed prescription from my vet through email orders kept receiving emails from this vendor telling me they couldnt ship until prescription verified then more emails saying they would approve it if i would submit a prescription from my vet i"/>
        <s v="great communication free fast shipping they carry an item thats out of stock everywhere"/>
        <s v="im really happy with all my purchases from petflow affordable prices fast shipping"/>
        <s v="i have gotten myias can food before from you but this time every single can was dented up not quality i expect price of hills prescription food"/>
        <s v="worst spoke with a customer service rep ryan he was courteous yet at same time completely unhelpful unwilling do what it takes resolve issue he was very passiveaggressive so i him suck a bag of diks etc etc&#10;my problem was getting an uploaded prescription "/>
        <s v="no issues with shipment or product easy ordering"/>
        <s v="my experience was very positive i was able get some dog treats that i had not been able purchase quite some time thank you"/>
        <s v="fast shipping good price"/>
        <s v="my puppy lola has had allergy skin issues she hates all food treats until i cane across hills prescription hypo pet flow was so nice work with great service great prices variety wonderful thank you so much"/>
        <s v="you are asking me rate something that hasnt yet been delivered i just tracked it see that it expected be delivered tomorrow well see if that happens&#10;&#10;by way i ordered from your competitor about days later than this order it was delivered last week sohow w"/>
        <s v="i am pet flow subscriber i love it my cat food always arrives on time if i order an item before it only takes days arrive or maybe less"/>
        <s v="i appreciate delivery your prices are fair but it took a longer time get food i used get food from you in days this was days which doesnt seem too bad but long if you expect it in days"/>
        <s v="something went wrong with one of my first orders with your company it was either dried beef lung or a chew toy but either way no notification was sent explain why i drive a truck safewayalbertsons a living so i understand supply chain delays but what i do"/>
        <s v="scam i tried order bowls they sent an email stating they were supposed ship on that i would get a tracking number in my email i never got tracking number so i called they said my order was canceled because of fraud they cant tell me why or how but they so"/>
        <s v="placed an order dogfood from petflow st time not only was delivery quick but price was way better than where i usually purchase will definitely order from petflow again"/>
        <s v="we are a small chihuahua breeding program it most convenient have our dogfood deliveredwith free shipping"/>
        <s v="i ordered my cats prescription canned food called check on it several days later was told my order was being processed then received an email a week after my order date stating my order could not be fulfilled as it was out of stock by that time i was out "/>
        <s v="soooo disappointed here needed still need rx canned cat food said it was in stock our vet sent rx right away then i didnt hear anything checked on it a week later they said oops out of stock we have cancel your order whaaat"/>
        <s v="im usually pretty pleased with petflows delivery system but some reason this time it took almost a week me get my product usually its in within a day or two so i just hope he gets a little bit more through delivery service other than that its ok i know ev"/>
        <s v="was very pleased with fast courteous service"/>
        <s v="you allowed an order be placed rx food when it was not available i had call get a cancellation email it was nearly a week later before that was sent"/>
        <s v="i was very pleased with my purchase experience with petflow i ordered a hills prescription diet dry cat food that ive been having a lot of trouble finding i bought it a better than average price it arrived earlier than quoted in good condition"/>
        <s v="very good service i love play pen i order"/>
        <s v="easy use of website ordering you have always delivered this hard find food on time ive come depend on your consistent service thank you"/>
        <s v="ordering quick easy product arrives in days"/>
        <s v="every one was helpful i am sorry not be able get my at food"/>
        <s v="petflow made it easy my food was delivered quickly with no problems my dogs love their new food auto ship makes it hasslefree"/>
        <s v="first time buyer ordered one product which needed vet approval once obtained shipping took a while poor communication as there was none on their part unless i called repeatedly"/>
        <s v="ive been using petflow years now never had an issue till recently this time around i received a package before i received shipping notification upon receiving my partial order because one item was on backorder there was item missing other than backordered"/>
        <s v="i ordered two cases of food i provided prescription two cases were ready be shipped i followed up next two days i was told was due prior holiday weekend but two cases were ready be shipped however two days later i was told that product was out of stock bu"/>
        <s v="very well made excellent quality of product"/>
        <s v="never received product nor heard that it could not be fulfilled item was listed as in stock when purchased"/>
        <s v="always reliable a great price thank you"/>
        <s v="absolutely friendly staff helped me right away helped me find perfect alternative same price"/>
        <s v="it was cheaper than anywhere else fast delivery customer service was also fast friendly"/>
        <s v="i ordered my dog food almost two weeks ago im still waiting it be shipped or get a refund i have received multiple emails about them not being able reach banfield pet hospital get my prescription my dog but banfield open from like am pm everyday"/>
        <s v="horrible horrible service i did everything right on my part even then food my cats wasnt shipped in a timely manner despite me calling it being told it will be shipped asap multiple times only be told later it being delayed then being offered have it get "/>
        <s v="i placed an order treats a few days later order was cancelled without any notice reason given was something flagged a fraud alert however when i called customer service number they couldnt give me specifics all they suggested was trying place order again "/>
        <s v="i was very encouraged when i first logged into this site as some of prices are lower than other sites but just after submitting my first order im being told that half my order isnt available at this time when i logged out went back into site everything i "/>
        <s v="i travel work i ordered pet food via your site first time with my billing address as my home address my shipping address as place i was on location working i travel with my two cats my order was cancelled i was not notified it was cancelled fraud when i c"/>
        <s v="apparently my order was canceled by fraud department id like know why i spoke someone on phone as i wanted of item but you only had one no one notified me i ordered from another company thinking i had coming from you now your out i will have pay more than"/>
        <s v="i tried using a coupon that said expires on it was already expired"/>
        <s v="i will never ever contact pet flow anything ever again terrible terrible customer service failure deliver told me their fraud division refused ship item i ordered i contacted my credit card companies all of them said there was zero issues with any of my c"/>
        <s v="love petflow site carries my favorite products great prices fast shipping items arrive in good condition a"/>
        <s v="bimonthly order of dog food that best price i can find online"/>
        <s v="shows on website food i needed my cat was in stockand it wasnt"/>
        <s v="great products service website"/>
        <s v="my experience isnt complete because i only received one small piece of order kind of odd i ordered a case of cat food when i placed order site said i was only away from free shipping so i ordered a small kitty toy i got an email on monday that my order ha"/>
        <s v="half of order delivered as expected other half was on perpetual delay petflow team could not provide update except that all prescription orders were delayed this was obviously not case as first half of my order was fine not delayed that said if they antic"/>
        <s v="i tried twice order dog food my dogs both times it was cancelled by this company their so called fraud prevention dept i was dumbfounded i called ask why woman i talked had no idea could not transfer me anyone talk about it i got an email from another per"/>
        <s v="ordered wrong food contacted company before shipped they said it was too far in process they told me deny delivery when they come delivery company dropped off without notice they denied my return they lost me as a customer over i purchased bag of food fro"/>
        <s v="product good but way too many emails"/>
        <s v="took over two weeks order arrive&#10;soft cookies are very hard"/>
        <s v="this place a real joke seems like they are selling items that they dont have we purchased dog bowls our feeders after they was supposed ship them out we called they said that they canceled our order due they thought it was fraud how making a purchase a fr"/>
        <s v="every time i order it takes forever receive i also have received wrong product had reorder wait even longer kind of a headache customer service just ok"/>
        <s v="nice selection of premium reasonably priced highquality cat food shipped delivered quickly with no hassles"/>
        <s v="website extremely difficult navigate customer service merely okay&#10;after i was told my order was in stock it wasnt my order was cancelled no well let you know as soon as it gets in or anything just plain canceled&#10;not gonna bother shopping here again"/>
        <s v="i place my first order with petflow a few days after placing order i realized i hadnt received an email with shipping information so i called find out when my order would be delivered i was informed my order was canceled i asked why it was canceled was to"/>
        <s v="overall it was easy order however it took more than a week me receive my dog food fl warehouse was out of stock there was no correspondence let me know that food was then coming from nj warehousei had call in order find out when my order was being deliver"/>
        <s v="my parentsdog loves this pet food it arrived when i was advised it would arrive so that was awesome"/>
        <s v="been ordering pet food from petflow years now have had nothing but good experience with company products i order are best at best prices available shipping has always been super fast great company"/>
        <s v="its too hard cancel auto ship orders it should be a simple button you can press instead you have contact customer service which takes time what should be something i can do myself other than that petflow always fantastic"/>
        <s v="delivery took longer than i expected after a week half i had not received an email letting me know my order had shipped i contacted customer service ask what do you know my order shipped next day"/>
        <s v="very good customer service happy with product delivery prescription treats my dog likes they had in stock"/>
        <s v="claimed a dog food product was in stock even told me that only one was available not two that i had in my cart so i purchased one two weeks later no dog food has arrived but i just got an email stating its out of stock not known when it will be in decepti"/>
        <s v="ordering was simple communication was excellent selection prices were great anf items were shipped promptly no problems were encountered at all"/>
        <s v="petflow had sensitivity select dog food i needed which hard find at a reasonable price i received it within a week great company deal with"/>
        <s v="order on called on verify prescription received told yes will ship soon no contact from you called again on told will ship that day i expected receive by tracking sent stated expected arrival was never informed of these delays my cat has now run out of fo"/>
        <s v="i ordered hills prescription cd ocean fish wet cat food on st of september i had no knowledge that was not in stock prior ordering as it was not noted on petflow site i got an acknowledgement email from petflow that was it make a long tedious story short "/>
        <s v="transfering a new hardcopy rx was a bit cumbersome&#10;first i was told that i had send a new rx via us mail then i was told i could simply upload it so it took almost weeks receive product"/>
        <s v="i had some issues with my order but contacted customer support twice each time has been reassuring its easy get a hold of a real person team has been very professional courteous in resolving my issues i will continue making purchases my fourlegged friends"/>
        <s v="very happy experience from petflow&#10;thank you"/>
        <s v="dog food i ordered went out of stock immediately after it allowed me order i called i was told they could not give me any idea of when it would be in stock i tried cancel my subscription with them but they told me they wanted keep it now i am calling agai"/>
        <s v="frdex didnt deliver previous order your customer care rep ordered another fromm sur turf me it was delivered"/>
        <s v="i signed up once autoship order took over a week reach me since that experience i order when i need it always receive it within a few days i am a regular"/>
        <s v="i bought august st havent even received any email with shipping last time i talked them havent shipped yet last time i called didnt even answer"/>
        <s v="i placed an order about days go by i realize i hadnt gotten a shipping confirmation number i called representative said oh did no one reach out you no they didnt long story short nothing happened except they held onto my money i canceled order now im wait"/>
        <s v="i placed my order a few days ago i then had get a prescription from vet mail it mail it not fax it or email it but mail it i have yet get notice that my dog treats have been mailed it had been days my dog has ibd these are only treats she can have so im a"/>
        <s v="communication with petflow staff was exceptional professional i truly believe staff was interested in helping me with prescription from my vet product clarification expedited process well"/>
        <s v="super prompt service which included petflow needing verify a new prescription with my veterinarian fast shipping too much appreciated"/>
        <s v="petflow website had hills yd canned cat food available i ordered a case they sent me a confirmation then contacted my vet required prescription after receiving it checking their inventory then with their distributor notified me they dont have it wouldnt i"/>
        <s v="my order was not processed as it was flagged fraud however i was not informed of this i had call days after placing order find out"/>
        <s v="ordered prescription cat food that was in stock never heard anything weeks then got an email saying it now out of stock i looked it up again it not out of stock total waste of my time i dont remember date exactly"/>
        <s v="had what i was looking good price fast shipping great job"/>
        <s v="easy website navigate customer service both via chat phone were very helpful when i entered my cc number incorrectly shipping was fast too"/>
        <s v="my order was canceled twice without an email or call this unacceptable i will never recommend petflow anyone"/>
        <s v="i have a rescue wanted give petflow a try because they had some great deals i placed an order in my name but used my husbands credit cardsame last namei received a confirmation days later never received it i called was told my order was cancelled because "/>
        <s v="crate arrived so quickly it was way assemble looks great very pleased"/>
        <s v="i placed an order on had not heard anything about it by so i emailed company was told that their fraud protection team suggested that they not fulfill order when i emailed back an explanation i was told call a number which i didnt do but i think i should "/>
        <s v="dog food arrived in good condition dry food it was not broken up like some other places where i have ordered good service"/>
        <s v="this site legitimate i feed my dog chicken soup soul weight care dogs after checking other places they definitely had best price so glad i found them shipping was minimal but fast set it up auto ship"/>
        <s v="good site good site good sitegood site"/>
        <s v="i ordered a prescription diet food my pet on a saturday that monday i called into customer service confirmed receipt of my pets prescription i expressed urgency rep that we were running low needed this food asap days later i received an email canceling my"/>
        <s v="prescription wasnt approved i didnt get any food"/>
        <s v="fast very secure service easy safe method of purchase excellent products affordable pricing"/>
        <s v="nothing but good say about petflow they have what i want prices are fair delivery fast"/>
        <s v="excellent customer service i ordered etta says premium elk treats count one arrived not just one i called rep on phone was more than polite sent out an order missing chews again box arrived with one chew not i called a second time again rep was very kind "/>
        <s v="awesome do business with received product on time"/>
        <s v="very happy that i found this site my aging dog who needed prescribed treats that he was on most of his life they contacted my vet approval i did not have wait too long before i got my package"/>
        <s v="i had a wonderful experience with petflow my cat max on a special hills prescription diet urinary issues it very difficult find cd cat food where i live i found petflow online ordered chicken stew tuna ocean fish i uploaded prescription from my vet food w"/>
        <s v="ordering process was easy however within one day i received an email saying my item had shipped but after days with no tracking number i called was told item was out of stock shortly after that call i received an email saying item was out of stock not goo"/>
        <s v="petflow its fine customer service representatives are always dependable always on time forever always pronpolished"/>
        <s v="excellent customer service well stocked inventory"/>
        <s v="fast shipping best price when compared with other delivery companies of same product"/>
        <s v="petflow offers competitive prices compared with other online pet supply companies"/>
        <s v="i tried order litter boxes my shelter my order was canceled without my knowledge after order was already supposed have shipped i contacted company they canceled my order because they said it was fraudulent are used paypal which a secure account they could"/>
        <s v="went from bad worse&#10;ordered rocks cat treats my package was lost no one reached out i contacted fed ex several days later its gone i called petflow get me my order over night from another location they said a manager would get in touch nothng i ordered fr"/>
        <s v="this my third time ordering from this company first two times were very positive however after putting in an order on a saturday morning they are telling me that it might leave their warehouse at some point in day on a thursday so basically almost a week "/>
        <s v="everything was great&#10;i unfortunately had let go of my baby black lab of almost years&#10;if when i am ready i would use your services with no questions"/>
        <s v="you offer free shipping orders over so i try meet that requirement but then you offer coupons which are really nice but when i apply a coupon it brings my total below free shipping mark my choices are accept shipping charges or buy more bring value back a"/>
        <s v="this my first time ordering from petflow i am very satisfied my order came quickly prices are less than other places i ordered from type of dog food i buy my dogs hard find im glad petflow has it it saves me time looking it"/>
        <s v="good service arrived when you said it would i was a little confused by check out on your website but im old"/>
        <s v="my auto ship sat in processing status weeks so i paused it so i could order something else i called person acted like they didnt want help once i placed my new order i received my auto ship order at same time this was over at one time very frustrating wil"/>
        <s v="im unhappy with your service my vet was out of prescription diet my cat so i ordered from your website on friday you charged my credit card on monday since you charged my card i thought you had okay from vet get prescription food me i thought it would be "/>
        <s v="two times i tried order a particular flavor of food my cat both times your site said it was in stock about days later after not hearing anything i contacted petflow only find out that product was out of stock&#10;&#10;you do not let customers know that an item ou"/>
        <s v="this first time i used pet flow i was very happy with results they got approval from my vet shipped products in a timely manner i will be using them again"/>
        <s v="great customer support very fair pricing speedy delivery will use again do rexommend"/>
        <s v="good communication about delivery status"/>
        <s v="i am not paul weiler not only are you asking me rate my experience you have joined my account with his&#10;&#10;i am dawn martin have canceled my account im a over years a customer i hope you take my info off pauls account vdh versa&#10;&#10;thank you"/>
        <s v="website said they had product days later i received an email stating they were canceling my order they did not have food i had originally ordered"/>
        <s v="good service ordered dog food it arrived within couple days"/>
        <s v="my product never made it my doorstep i still havent received my money back extremely disappointed with service of this company"/>
        <s v="prices are a little high but shipping outstanding i am able get my dog what she needs"/>
        <s v="i was happy first time ordered food from this company i usually ordered from chewy then they sent me wrong food my dogs i called they were able change it asked me send back one i had wrong one new order yes it was but its still not here as of yet leaving "/>
        <s v="called twice check on my order people on phone were pleasant but not very helpful my order was canceled without any communication from pet flow i was told that an email was sent but i did not receive one on day of cancellation or ever very disappointed di"/>
        <s v="cat food arrived on time once i ordered wrong flavor great customer service an exchange of flavors"/>
        <s v="package arrived in timely manner"/>
        <s v="great customer service&#10;&#10;it was so easy set up an account get reoccurring deliveries prices are right"/>
        <s v="my order arrived promptly packed well thanks"/>
        <s v="i do like petflow my dogs food supplies i found auto ship be somewhat confusing while i was determining how much dog food order as my pup was growing im unsure how much discount auto ship when does it start i do not see discount auto ship on orders also a"/>
        <s v="petflow was so helpful in telling me when i should expect my package sure enough it came on time i couldnt ask more"/>
        <s v="good products prices very disappointed that it took days delivery im used chewy with day delivery"/>
        <s v="great service also was able find prescription food i needed my cat only here after finding it out of stock at my vet at other web sites both my precious cat i are very happy now"/>
        <s v="no one called me tell me my order was going be late my husband called gave his credit card several months ago i have placed orders with this credit card numerous times but some reason yall decided not send this order because our last names are not same so"/>
        <s v="fast reliable shipping"/>
        <s v="easy order quick free shipping got veterinary food i needed in large size pet smart wont sell you large size which a much better deal been ordering all of chloes treats from you several years keep up good work please get her some more piggy sticksthanks"/>
        <s v="shipping was fast delivery was not not delivered by estimated day but days after wish it was more accurate"/>
        <s v="all was good not one complaint"/>
        <s v="shipping was on slow side but worse boxes were destroyed thankfully dog food bags were not ripped open"/>
        <s v="i am always happy with my orders from petflow i get my food within a couple days"/>
        <s v="placed an order received order late but was sent a discount coupon make up it thats nice"/>
        <s v="site purchase was fine but then my order was canceled due food being out of stock its a prescriptions food so i was pleased find somewhere that had it everywhere else has said its on backorder then disappointed when it was unavailable"/>
        <s v="super fast shipping lowest price online"/>
        <s v="i was given a discount off purchase my order was split shipped in shipments day apart they removed discount customer service did give me discount after i requested it satisfied will probably order from them again provided good price on item needed"/>
        <s v="ordered dog food i was informed that it shipped on twenty second of august its now third of september no dog food they said it would take seven ten days its now been twelve days"/>
        <s v="service at pet flow very reliable prices are very competetive"/>
        <s v="all good so far but what can i say about dog food on time price was probably fair so we will see"/>
        <s v="i would give stars but i had several issues with website im sure its working through kinks technology great until it doesnt work i will say online chat was on point with helping i think i was actually texting with a real human my technical issues were sol"/>
        <s v="i placed an order with company high quality dog food when it arrived it had been expired nearly months this was my first order though they refunded me when i complained i still lost faith in them as a company i expect better than expired food there prices"/>
        <s v="my dog needed a prescription diet dog food this company a joke have us complete run around weeks meanwhile my dog suffered i do not recommend this website or this company anyone"/>
        <s v="exactly what i ordered quick delivery time"/>
        <s v="i used enjoy ordering from pet flow our cats prescription diet however recently reliability has been terrible make it worse communication about it has been lacking they were very quick charge my credit card while they place order then several days later e"/>
        <s v="im satisfied with food but you need use stronger boxes i order lb bags every month they are always opening falling apart"/>
        <s v="this nd time you sent me wrong cheaper item i called before last order you promised i would get correct item as described pictured"/>
        <s v="good customer service quick reply from pet flow i highly recommend this website your pets needs"/>
        <s v="petflow has a great variety of foods my dog food sometimes hard find they carry it their prices are competitive also"/>
        <s v="purchased cases of dog food many cans were dented from delivery otherwise good value quick delivery"/>
        <s v="horrid experience ordered some cat food on a monday it wasnt until thursday that i was told that food was out of stock they didnt know when they would get more i know that cat food in short supply but website could have at least said out of stock like oth"/>
        <s v="i love my dogs new collars they are nice strong very reflective i measured their old collars ordered what i thought would be a perfect size them unfortunately collars are too big by alot im hoping there something that can be done correct this matter"/>
        <s v="fast delivery good quality products"/>
        <s v="you are excellent accommodating understanding i will buy from you again"/>
        <s v="denemarin available&#10;i was pleasantly surprised find purchase above mentioned without a prescription unable find chewable tabs my queensland healer locally thank you thank you&#10;please let me know when you get more in stock"/>
        <s v="pet flow usually arrives in a timely manner however quality control training are needed packing our products especially canned treats arrive dented in crumbs that couple delivery too&#10;longtime customers should not be forced into auto ship offered same disc"/>
        <s v="my vet could not get prescription wet food my cat i tried weeks petflow finally had food in stock petflow faxed prescription my vet in a couple days i received case of wet food via fedex free shipping i had a off coupon from my online coupon locator my ca"/>
        <s v="i place an ordered on august messaged company on august since i hadnt received a invoice saying that they shipped i then got a message back saying that it was marked fraudulent they wouldnt be sending it but they never intended say another email saying so"/>
        <s v="this first time that i ordered from petflow so far so good no complaints"/>
        <s v="it was all pretty seamless i am a first time customer will be back"/>
        <s v="easy order on line prompt delivery no fee delivery since it was a large bag i ordered stars"/>
        <s v="looking all over prescription wet cat food saw a comparison between pet world petco petflow it showed petflow had what i was looking in stock so very excited that you were showing science diet in stock ordered cases gave my vet a heads up youd be contacti"/>
        <s v="super fast shipping i placed my order received it days later great service"/>
        <s v="i was sceptacle but chose move forward sure glad i did very prompt delivery have since ordered mega amounts of my cats favorite food again"/>
        <s v="order was quickly shipped but order was not complete due inaccurate inventory on website several items were very dirty when they arrived if it hadnt been tags i would have thought items were used somewhat disappointing"/>
        <s v="fraud department out of control ive never known a company so bent on refusing allow customers purchase from them good luck with that business model lol"/>
        <s v="i recently purchased a bag of dog food emails kept me updated about when it would be delivered it did arrive as scheduled it was a good experience im very satisfied with service provided"/>
        <s v="quick service delivery no problems at all"/>
        <s v="shipping took entirely too long wasnt notified about a shipping delay until after package was due"/>
        <s v="friendly folks poor stock on hands&#10;&#10;this second time i attempted order dog food from you a days after ordering both times i received an email stating that was out of stock this was hills dd potato venison it would have been nice know that this item was ou"/>
        <s v="it took way too long ship food i called canceled order while it was still in warehouse not processed they sent it anyway"/>
        <s v="i ordered product&#10;never received it&#10;later told thru text communication that product was out of stock&#10;if so why was it on your website&#10;nobody advised me"/>
        <s v="fraud depoatment has flagged my account they have been no help get this corrected i would like purchase form this compnay but they have been no help in correcting their error about mt information being fraud who can i talk to get this corrected"/>
        <s v="i had reach out find out what was happening with my order after never hearing anything"/>
        <s v="you were unable fill my order never let me know until i sent an email asking where it was"/>
        <s v="after making a purchase that exceeded threshold free shipping i was not able add on another item after making a purchase salesperson could not waive shipping fee on another item i forgot add on my original purchase instead she wanted me purchase more item"/>
        <s v="i ordered bags of hills feline dry metabolic cd which has been hard find at alot of stores you listed it as in stock i am veternarian my pets you didnt allow me upload an image of my prescription you sent my clinic an email get order approved same day sen"/>
        <s v="i ordered my cat a specialty cat food which at time was listed as in stock then next day i received an email saying it was out of stock&#10;to be fair most if not all places were out of stock but thats why i was excited finally find a store that had it availa"/>
        <s v="i called cancel an order within hrs of placing it was told it was too late but that i once it arrived i can call request a prepaid label return so i called when it arrived was told that rx dog food cannot be returned that it states that on website i said "/>
        <s v="ive been using petflow my furry babies a few years now am very happy with ease of website navigation managing my autoshipments they also have great customer service"/>
        <s v="i get all of treats that my dog loves on one site best price"/>
        <s v="couldnt be much easier a great price no one even close"/>
        <s v="good company they had my babys dog food in stock"/>
        <s v="pet flow has excellent prices on food i was looking purchase my cats their prompt delivery was also superb have shopped here twice will be doing it again regularly"/>
        <s v="we have discovered some awesome dog treats available at very reasonable prices through this company ten points&#10;when we have questions or order something that temporarily unavailable we experience stellar communication feel that we have received excellent "/>
        <s v="easy fast delivery thank you"/>
        <s v="website was easy use i like prices of cat food i also like discounts you offer"/>
        <s v="im pleased with order process shipping was as promised i will be ordering from petflow again"/>
        <s v="great price fast shipping"/>
        <s v="we go where fromm dog food we move a lot so far have never had an issue receiving our pet food supplies from pet flow&#10;the ordering process easy site has everything we need our pets only reason stars that there no rewards program otherwise as long as they "/>
        <s v="good prices great selection excellent service i highly recommend petflow"/>
        <s v="prescription food showed in stock on website ordered they got a prescription from my vet next day only then was i notified that they did not have it did not know when it would be available as they use a thirdparty vendor that does not update their site wa"/>
        <s v="i ordered my cats prescription food petflow obtained his prescription frim vet after not hearing anything a few days i called petflow make sure food was in stock representative said she would call supplier email me let me know i received an email saying f"/>
        <s v="my experience with petflow has been great items are delivered when i expect them in great condition auto delivery works just as it should"/>
        <s v="easy use site like that you give option set up an auto shipment date i needed it shipped instead of order now choose auto ship allowed me set up when i need shipment instead of waiting or ending up over stocked"/>
        <s v="my experience was good found items quickly without any problems"/>
        <s v="i was amazed that they had same product i had been getting from amazon more than less per item so i figured well there must be a limit how many i can buy nope so i bought more than of them i feel like since i have suddenly lost over half of my income due "/>
        <s v="fast good service thank you"/>
        <s v="convenient prices are very good wish shipping was a bit more urgent but will shop with them again"/>
        <s v="easy shop great prices i got my pet waste bags quickly wellpackaged will definitely shop with petflow again"/>
        <s v="i switched petflow from chewy so far so good chewy doesnt carry fromm which my dogs like best decided give them a try im very satisfied food arrived about or days after i placed my order expiration date more than a year from now so food fresh not outdated"/>
        <s v="loved website they had what i was looking ordering was easy i got my dog food hours later i will definitely use pet flow my ongoing pet needs"/>
        <s v="prescription cat food wd out of stock but i was&#10;let order it as if you had it no one seems be able get this its an important prescription my cat who has a fractured pelvis&#10;arnt making this anymore there a substitute that might be ok like one of other hill"/>
        <s v="this company was able get dog food we needed were having trouble getting elsewhere"/>
        <s v="i have a dog that needs prescription food i searched internet your website said you had it in stock i ordered it anticipating amount of time i had until my dogs food ran out well you took over a week tell me that you couldnt fulfill order leaving me scram"/>
        <s v="easy order slight delay with product not available in closest warehouse but arrived well packaged"/>
        <s v="what i loved was that they told me that their fast delivery was delayed because they had ship from another supplier without me asking where my package was they took initiative emailed me about details of my package"/>
        <s v="no product&#10;xxxxxxxxxcccccccczzzzzzzz"/>
        <s v="i ordered prescription cat food from pet flow however a few days later they stated they were out of stock would ship it as soon as they received it i had cancel my order they were very communicative throughout process i would definitely shop with them aga"/>
        <s v="petflow came through me again when a kitty food subscription was out of stock ill be sticking with petflow thank you"/>
        <s v="i made an order canceled days later customer service told me it was taken care of charge disappeared i thought all was well then several more days passed i received a shipping notice i was told it was now too late stop my already canceled order i am not a"/>
        <s v="one thing i really love petflow they always have their products available i dont get a constant on back order like many other mail order purchases i also appreciate occasional discounts offered regular customers"/>
        <s v="was able order special food my dog that was not available elsewhere delivered quickly i was kept uo date on delivery"/>
        <s v="placed an order rx was on file waited a few days didnt hear anything contacted company was told sorryits just sitting in fulfillment some reason then customer service person said theyd try expedite that was almost a week ago still no order or communicatio"/>
        <s v="our pet food was delivered promptly"/>
        <s v="timely response followup timely processing once order details prescription food were in place one area that needs be addressed contradicting information site provides during prescription food order process site noted that food nonmedicine prescriptions ca"/>
        <s v="after placing an order receiving shipment i realized i had ordered wrong food i had set up auto ship food so immediately tried change type of food on my auto ship when i couldnt change it myself i emailed responder took care of issue me changed product fo"/>
        <s v="box that bag of food arrived in was open that was probably due heavy food bag inside without any protective packing"/>
        <s v="i placed an order without notice it was canceled product never arrived"/>
        <s v="your site told me that i was required mail original prescription my cats hills md food luckily i had asked my vet a prescription in june so i had an original mail i dont like mail this because i have get a new one anytime i find a better price somewhere e"/>
        <s v="dependable well stocked with helpful phone assistance"/>
        <s v="i bought a pack of duck a pack of salmon usually my dog loves salmon but she did not like salmon from pet flow it was disintegrated little chunks floating in tons of liquid she left her dish unfinished&#10;on other hand she gobbled down duck"/>
        <s v="was looking get my cats food supply from a smaller company than giant online pet stores after researching i found petflow&#10;good prices fast delivery&#10;very satisfied with petflows customer service as well&#10;totally recommended"/>
        <s v="instock status of food was inaccurate"/>
        <s v="i have used petflow a long time they carry some hard find products which i really enjoy they are usually easy get ahold of too if you call them&#10;&#10;the only areas i see that could afford growth are these&#10;an auto ship program that can be paused or deleted by "/>
        <s v="first time shopper friendly knowledgeable efficient great service fast delivery i will be back"/>
        <s v="finally found a source hills prescription diet gluco support md dry cat food i tried my vets local pet stores amazon my vet suggested that i try you folks success food was in stock shipped in a reasonable length of time happy customer cat thank you appare"/>
        <s v="this company has labeled me as fraud after a purchase because my billing address didnt match after i called twice their customer service department their rep mallory said i could never buy nothing from pet flow ever again im not going state what i do a li"/>
        <s v="working with petflow was wonderful working with fed ex their shipper was not petflow responded every call or text that i sent them within a few minutes fed ex was another story things got lost were late they really need find a better carrier"/>
        <s v="online order was simple delivery was on time my only comment that you not use plastic bubble cushioning instead biodegradable packing"/>
        <s v="i ordered a prescription diet my dogi thought i was ordering hills metabolic lamb rice diet as my dog allergic chicken lamb rice has been difficult find online it said petco petflow had it available i received an email from petflow indicating order was on"/>
        <s v="this process was flawless"/>
        <s v="easy order quick delivery"/>
        <s v="always such quick service exactly what my ginger girl wanted thanks"/>
        <s v="website organized works well ordering went smoothly my items arrived promptly quality great"/>
        <s v="i ordered bags of hills science diet dog food my rotts got a good deal i will be buying more in future"/>
        <s v="ive been a fan of petflow several years their service prompt professional an added plus your purchase goes help an animal in a shelter"/>
        <s v="everything was great order came in a timely manner great price no problems would recommend this company"/>
        <s v="i had issues with my order it was fixed replaced i thank you help fixing it asap"/>
        <s v="we ordered product after two days you said it was out of stock after all"/>
        <s v="very disappointed our order was canceled by you because you didnt get your order of goods i know you cant help it if your supplier doesnt come thru you but our order was placed middle of july were just told aug you cant supply"/>
        <s v="i was so thankful that petflow had my dogs prescription food because they were only place that did even our local vet couldnt get it as soon as my order was complete they contacted my vet get process going in less than business days i ordered got approval"/>
        <s v="exact product i was looking at a great price wonderful shipping service"/>
        <s v="great product dog loves it"/>
        <s v="this was my first time ordering from somewhere other than chewycom im very pleased with their service theyre cheaper than chewy litter i needed you have a new customer well done ps lets go brandon"/>
        <s v="your shipping time was x as long as quoted we ran out of dog food in meantime i refer a lot of business your way not sure i can anymore"/>
        <s v="food order took a long time arrive wasnt aware order before noon on fridays ensure order received before weekend so it was a long time before order was even received"/>
        <s v="when i ordered said in stockthen i get email not in stocktakes long time get multiple deliveryand you have add up each delivery make sure its rightprob wont order again i did twice happened both times"/>
        <s v="items were just as i ordered shipping was faster then i expected all good things glad we discovered petflow it was our son who has two pups that made recommendation thankful that"/>
        <s v="they accepted an order charged my credit card all while food which was a prescription food wasnt even in stock item wasnt listed out of stock or on back order at time i purchased it it was only nearly a week later after i contacted them regarding order af"/>
        <s v="i purchased bags of dog food one came right away other took a while be delivered"/>
        <s v="wouldnt allow me place an order had order through a family member its a new house but its on maps so idk what problem"/>
        <s v="your service by email promised contact my vet about order prescription you failed do that had cancel order"/>
        <s v="products were good but delivery took a long time tracking didnt give updates after day"/>
        <s v="awesome experience pet feeder was bent email was sent explaining how feeder arrived new feeder was sent out immediately great customer service well shop here again awesome awesome awesome second feeder arrived in excellent condition my animals are in love"/>
        <s v="great prices fast shipping awesome autoship discount as well"/>
        <s v="great customer service i provided some feedback regarding couponpromo codes received a very nice response quickly i was just offering some feedback in didnt wantexpect anything in return however rep went above beyond provided me with a discount wonderful "/>
        <s v="petflow has great pricing service i signed up autoship program out dogs hills science diet they were priced most competitively my order shipped as promised even delivered a day earlier than expected"/>
        <s v="i wasnt happy when they told me they would not charge my card unless item was available ready ship out but unfortunately that wasnt case when they decided charge my card even if it was a preauthorization or pending i dont like see my balance increase unle"/>
        <s v="petflow has best prices on nice dog pens wonderful customer service"/>
        <s v="at time i ordered product your website said that it was in stock but after about a week later it was no longer in stock i could not get it at all i was really hoping that i could get this since after much research your website showed that it was available"/>
        <s v="ive shopped with petflow years excellent selection very good customer service too shipping can be a little slow but thats fedex not them i get aggravated with auto ship you have call in cancel but otherwise dry happy with them"/>
        <s v="i cant actually manage autoship i always get an error that would prompt me contact costumer service"/>
        <s v="disappointed in your service was told that you had an item in stock be mailed when i inquired about status of order i was told an error was made food was not being mailed out of stock"/>
        <s v="i made my first order blue buffalo wet food cases because price was great food cost had suddenly skyrocketed on amazon chewy shipping was fast exactly right food had extended expiration dates so i immediately repeated my order had same great experience im"/>
        <s v="my canned dog came dented one can was so dented that it opened was so spoiled from being out on delivery that my whole kitchen smelled i had throw away about or of cans it was so incredibly disgusting"/>
        <s v="they did not fulfill any of my orders few reliable"/>
        <s v="quick shipping great selection of dog foods"/>
        <s v="best price on dog food super fast shippinglove pet flow"/>
        <s v="always easy work with best customer service"/>
        <s v="easy ordering they kept me updated about my order order was shipped delivered quickly great service"/>
        <s v="greatprompt service great product linda ryburn"/>
        <s v="i have ordered twice now cat food was delivered quickly best of all with no damage any cans im very pleased"/>
        <s v="i love petflow there great healthy pet food on this site&#10;my pets look forward their healthy food snacks"/>
        <s v="my order was shipped on august it now august it has not shown up i would love cancel because i had drive miles nearest pet food supplier buy food no clue where shipment"/>
        <s v="very good product fast shipping my dogs are happy"/>
        <s v="i dont think i will take a risk ordering from this place ever again i placed an order on saturday a prescription food my cat i provided required information verify my cats prescription i checked status on following tuesday order status was shipping a coup"/>
        <s v="unfortunately i ordered bowls our rescue it showed them as in stock id searched everywhere i paid it received confirmation of order then after a few days i received a email that there were no bowls available they were out of stock i wouldnt be receiving m"/>
        <s v="best dog food subscription service i use two different brands my dogs one a prescription food petflow has best prices always provides excellent customer service when i call my orders always arrive right on time i highly recommend petflow all of your pets "/>
        <s v="horrible experience do not buy from petflow they advertise that they have product in stock allow you order it fill out entire order credit card info everything online tell you we will let you know when it ships then a week later says oh im sorry we dont a"/>
        <s v="my order showed food was in stock email stated pending continued say pending a few days called was told it would be sent asap a couple days after that was told it was out of stick credited ordered through you because your site said it was available when n"/>
        <s v="fast reliable shipping high quality products great competitive prices thank you pet flow"/>
        <s v="it was a very pleasant shopping experience i bought mixed vegetable food my dogs they liked it very much but there were too few kinds of petflow products which were fly in ointment but it doesnt matter i think they will improve i will support them"/>
        <s v="fast shipping thanks"/>
        <s v="on website it too easy set up multiple auto ships would be nice if there was a confirmation box you already have this item part of an auto ship are you sure you want add another would be nice if people could delete an autoship order without have call cust"/>
        <s v="placed order got email that one item was out of stock was cancelled when order came another item was not shipped but i never received another cancel notice that one"/>
        <s v="i ordered food was told i needed my vet prescribe it after some back forth with vet that happened then petflow informed me that they didnt have food in stock instead of backordering it cancelled my order a lot of wasted time no result"/>
        <s v="fabulous great fantastic worth it affordable"/>
        <s v="i originally spoke with a very helpful employee who helped me place my order i received an email verifying order i then received another email stating order was vet approved would ship aug i looked up my order check status saw it was canceled i called was"/>
        <s v="i requested my auto ship arrive early it was shipped on at that time i requested next auto ship arrive in i believe it was or weeks however it appears that another bag of food was shipped today i certainly do not need of dry food hoping petflow will help "/>
        <s v="prices were good all items arrived in a timely manner website easy use"/>
        <s v="you dont deliver parcels&#10;very disappointed"/>
        <s v="i ordered cat food on july th days ago it still has not arrived i live in oregon early in this misadventure i received a message that it was being shipped from a more distant place nj because closer warehouse was out of brand i chose then i got updates th"/>
        <s v="you guys suck i couldnt even place an order because of ur fraud dept"/>
        <s v="i had hoped that petflow would be a reliable source order my cats food especially prescription food that critically important unfortunately petflow has failed me multiple times canceling my order five days after i placed it&#10;&#10;sometimes chat window on their"/>
        <s v="shipper had damaged box of dog food returned it petflow i received a nice email saying they were shipping a replacement out right away"/>
        <s v="i use petflow because theyre priced right prompt have what cats on prescription need"/>
        <s v="good price fast shipping thanks"/>
        <s v="ive recently moved i was struggling find my cats food i found it on this website but sadly i was put on their fraud list right away i called customer service they told me theres no way me talk fraud department get my name off of list so i never got actual"/>
        <s v="very helpful service over phone received just what i ordered fast"/>
        <s v="never heard from you guys said my order was reported as fraudulent &#10;seriously you never even got back me i think your company super sketch would never ever order from you again&#10;byeeeeeeee"/>
        <s v="great prices fast shipping"/>
        <s v="order online was easy&#10;check out offered pay pal was easy check out&#10;shipping quick&#10;pricing was great&#10;customer service fantastic"/>
        <s v="terrible customer service company work with site days business days delivered from purchase date didnt even ship product until a week after order kept making excuses as why it wasnt being shipped product was dog food my puppy that could only be ordered on"/>
        <s v="this a place where they have fair prices fast delivery would buy from again a"/>
        <s v="i asked be shipped on a monday&#10;my order wasnt shipped until tuesday&#10;the expiration date on dog treats i this november&#10;when i purchase them from chewy or amazon expiration date always at least one year out"/>
        <s v="i am happy with petflow there are some inconsistencies with their warehouse packaging i placed an extra order they shipped out boxes weighing lb i dont know how fedex moved them i certainly couldnt i believe they need a little more training need use commo"/>
        <s v="i called customer service discuss possibility of your obtaining more fromm cat food in small bag sizes great conversation"/>
        <s v="all past orders have been good if there were any issues in past staff handled it appropriately quick however this past problem was a slap in face took much needed funds away from my rescues petflow did not take responsibility a screw up on an order i was "/>
        <s v="where rest of my order&#10;&#10;your website shows hills prescription metabolic mobility bag as being in stock yet it has not been shipped me i do not know whether i have been charged it&#10;&#10;please respond me&#10;carol ann no e olsen"/>
        <s v="first time order on a pet food i couldnt find anywhere else placed order received order in business days which included time pharmacy contacted my vet was a mailed updated as when my order would be delivered will order again"/>
        <s v="very bothersome you dont instantly charge my card sometimes its a day or two later i turn my credit card on off as ive had so much fraud it takes me many attempts each month get my order other companies i do regular&#10;busy with do transaction immediately su"/>
        <s v="petflow amazing best brands fast delivery fair prices"/>
        <s v="i have been happy with petflow ive been able get cases of food that my cats like that i was unable find elsewhere website easy use price as expected"/>
        <s v="ordering was easy enough shipping was problem petflow uses fedex an unreliable company order was split without petflow or me being aware second portion arrived days later this unacceptable no packing slip was available on either shipment so no information"/>
        <s v="i placed a large order kitten food credit card processed when i looked find out shipping date a few days later it had been cancelled no notice me no email nothing i called they said when a large order placed they suspect fraud total bs first only time you"/>
        <s v="theres no status available see whether or not my vet has been contacted canceling autoship deceiving i can only pause it up weeks everything about this website difficult"/>
        <s v="prices were fair shipment came in a reasonable time"/>
        <s v="good products at good prices fast delivery ill be using pet flow again"/>
        <s v="ease of ordering was great shipping was fast"/>
        <s v="petflow carries food that others dont that i want prices are fair shipping good i buy formm nurti source treats toys are great"/>
        <s v="ordered cases canned dog food eleven cans of food severely damaged cans actually were broke open&#10;excellent place shop but not so good packing"/>
        <s v="this in reference my order i ordered packages of these dog treats that your system said were in stock confirmed order via email then i receive a subsequent email advising they were out of stock not a good experience no way know how long before i can recei"/>
        <s v="customer service wouldnt help located an order i placed approximately days ago she referred me website disclosures we i told her how do her job she became upset customer service rep said we all have pets as though it wasnt a big deal my dogs order had no "/>
        <s v="it was so easy find what i need my kitties it was easy order it was at a great price delivery was very fast petflow best"/>
        <s v="ecxellent always helpful"/>
        <s v="my pups really like dr marty freez dried food&#10;and i like being able get better pricing from petflow"/>
        <s v="i ordered boxes of arm hammer litter i received yesterday packing box was not strong enough plus tape was not holding box had holes plus one of two boxes had broken open litter all over boxes inside i should have boxes com soon you did notify me that some"/>
        <s v="easy navigate around site delivery was quick my items were packaged nicely"/>
        <s v="food i needed was in stock when i purchased it when i didnt get an email that it had shipped i looked at my account online account said it was delivered my address it was not at my house so i called pet flow was told that my order had been cancelled becau"/>
        <s v="i recently ordered hills science diet feline wd your website indicated that it was in stock however after several days of waiting shipping info come through i called check on order i was told that it was out of stock then a few days later you canceled my "/>
        <s v="great products fair prices fast service"/>
        <s v="easy toorder fast deliver"/>
        <s v="shipping was quick however a food product needed be exchanged due manufacturer changed formula didnt want old formula sold customer service was unbelievably rude lacking concern completely i wont spend another dollar with them again i have told all pet pa"/>
        <s v="started our automatic delivery program it worked flawlessly i was able correct a mistake in my order without any problem"/>
        <s v="initial order went great when it came time reorder our cats diabetic food it was out of stock we waited hoping it would return by time we needed it but we were sent scrambling find another source"/>
        <s v="reliable repeat order program at reasonable prices"/>
        <s v="petfow consistently good overall timely shipping mostly reasonable in costs any issues ive had were always addressed satisfaction"/>
        <s v="great prices always in stock fast delivery excellent customer service"/>
        <s v="i have shopped petflow years but lately they are having difficulties filling shipping orders i order when i am about weeks out from having either dog or cat food they cant ship in a timely manneri have cancelled my last orders due shipping i will wait try"/>
        <s v="unfortunately delivery was promised a specific acceptable date then changed by petflows carrier next day make your service unusable delayed yet another day&#10;learn honor your commitments if you want my ongoing business expectations saturday do not mean mond"/>
        <s v="while there were a couple of mishaps in my order petflow went out of its way make sure everything was made right in fact they went above beyond ive been recommending them my friends family with confidence have ordered will definitely order again thanks es"/>
        <s v="great company very fast shipping prices are competitive"/>
        <s v="petflow has best price on dog food i purchase my dog ordering simple delivery fast"/>
        <s v="excellent product selection pricing we are so happy that there a wide variety of pet products customer service above par"/>
        <s v="package arrived on time everything inside was good"/>
        <s v="ordered hills wd wet cat food website said in stock i get a confirmation email am asked be patient as they contact my veterinarian approval about a week later i get an email saying food now out of stock veterinarian was prompt in their response so unfortu"/>
        <s v="nobody including my vet could get this particular rx product it was out of stock everywhere so i was thrilled see pfs website say it was in stock i did order arranged rx my vet responded fax next day i assumed it was all set planned around it shipping soo"/>
        <s v="products arrive on time are very well packaged"/>
        <s v="my cat only wants a certain brand of talapia breakfast each morning since supply chain issues we havent been able find it from our usual source its a popular grain free brand they havent been able keep this brand in stock in any of their stores that also "/>
        <s v="i wish i could give a five star because i love availability delivery it did take a little long receive order but i didnt like packaging when i opened box i cut bag of dog food even thought i opened it carefully just in case there should be some type of pr"/>
        <s v="cats like food that was ordered yet again box was partially open when delivered some cans dented what goes"/>
        <s v="easy use website products desired always in stock so far"/>
        <s v="when i ordered wd canned cat food i know it has be approved by my vet that it takes a little longer because it prescription it was in stock when i ordered it i thought with my request once it was approved i would get a case believing a case was held my or"/>
        <s v="was out of dogfood that i wanted but i guess that was not their fault they cancelled order automatically instead of giving me option back order or cancel it myself"/>
        <s v="petflow fast accurate at shipping out my order but packing leaves something be desired i order two cases of canned dog food with each order box usually shows up damaged andor repaired but cans are ok this time three of cans where bent with one actually cr"/>
        <s v="everything was great&#10;&#10;everything was great until shipping i dont know what happened but it took too long this time i had go locally buy same things that almost cost me double i cant have my cat who has kidney issues eat anything else but this brand of can"/>
        <s v="petflow always processes orders quickly accurately shipment excellent"/>
        <s v="extremely poor packaging with using cheap boxes very little tape that results in receiving damaged products even walmart amazon use better boxes more tape sealing"/>
        <s v="i ordered something out of stock so it was case they said they would let me know when it came back in customer service was very fine"/>
        <s v="profit racks something like speed bumps hold me back from completing my purchase i dont like it"/>
        <s v="always have available merchandise staff very helpful friendly"/>
        <s v="petflow has always been great prompt customer service always friendly only thing i wish one day fromm products dog go on sale once in a while"/>
        <s v="you helped us by getting dr marty had huge problems we received from you you spent hours trying get this our pup it came so fast our dog really get this we found you by google we now will be getting this from you nice job cindy"/>
        <s v="i recently had a very helpful pleasant experience with petflow they had left out one item by mistake in my order also replaced a bag of dog food that came with a small hole in it no questions asked they just said they would replace it no hassle of fuss ve"/>
        <s v="always easy convenient order our dogs food online"/>
        <s v="competitive prices fast delivery i would order from them again"/>
        <s v="i appreciated email stating dog food i ordered would be a few days late im glad they sell fromms its only dog food my dogs have been used"/>
        <s v="great deal with easy ordering fast delivery thanks petflow"/>
        <s v="really one star too high of a rating i tried order hills science prescription diet wd wet food my cat saw where petflow had it available petflow verified with my vet that my cat was supposed have food then i got a notice that petflow cancelled my order be"/>
        <s v="i ordered a prescription canned food my cat you emailed me asking me contact my vet because you didnt have approval food my vet approved then you canceled my order because you didnt even have product available what a joke of a process thanks wasting every"/>
        <s v="your website specifically said you had my prescription cat food in stock so i ordered it twice only after you took all my personal info told me you were getting ready ship my order did you inform me food was out of stock i lost a week of finding food my p"/>
        <s v="petflow wonderful always comes my rescue when other places cannot they contact veterinarian promptly verify my cats prescription food delivered in record time im completely satisfied with petflow"/>
        <s v="i just started using petflow my dogs first prescription food as i found prices better than competition they even reached out our vet get prescription in just a few days i had food on my porch easy peasy"/>
        <s v="shipment arrived right on time thank you"/>
        <s v="very slow delivery&#10;no delivery status report&#10;much slower than chewy"/>
        <s v="first order went overall well need more discounts"/>
        <s v="awesome customer service carolina professional always provides fantastic customer service resolved my problem with a smile thanks"/>
        <s v="cats dont like they dont take returns what do i do with such expensive food took over a week get when chewy does day shipping at most"/>
        <s v="placed an order it was at my door in a couple of days"/>
        <s v="im disappointed with autoship items cant be added if theyre in stock when in stock added they arent shipped if out of stock that theyre not reserved when order placed why use autoship ive started ordering buying directly pay a penalty doing that"/>
        <s v="placed my order on july th im still waiting my shipment ive had buy food locally due get him by i texted emailed my concerns was told its been approved would be shipping in a few days as of today july th still no shipping notification or why there a delay"/>
        <s v="had an issue with a previous order petflow issued a credit that order so i ordered again this time everything was great i appreciate a company that makes things right i will be ordering from them again"/>
        <s v="i would say customer service rep has had issue i called about many times so she certainly understood frustration i think petflow as a company leaves a lot be desired regarding how they handle things stars young lady whom i spoke with"/>
        <s v="petflow delivers my door not post office order accurate secure i love them"/>
        <s v="i have dealt with pet flow over a year now prices very reasonable customer service great very quick delivery have recommended them others will continue use them in future"/>
        <s v="i still have not received my order or a ship date i ordered two weeks ago item was in stock i am out of food disappointed"/>
        <s v="worst pet online company unreliable delivery service overall horrible pet online company do not use this company your furry babies i am a very dissatisfied customer"/>
        <s v="customer service was good disappointed that i was able add an item my cart check out process an order only find out a week later it was not available order"/>
        <s v="always ship fast worked hard get my prescription food customer service very responsive"/>
        <s v="i was very happy find petflow since they have some products i no longer can get on chewy their ordering was smooth prices fair i have used them twice now i will again"/>
        <s v="ordered hard get dog food arrived on time as ordered"/>
        <s v="very pleased with your service especially people that answered phone i wait only a minute speak someone they are very pleasant professional thank you"/>
        <s v="it long get then i only got order then you tell me i cant get can foodi differently wont buy from you again"/>
        <s v="still has not yet shipped despite a day wait on website ive contacted support via text despite this my dogs food has not shipped"/>
        <s v="customer service very helpful quick response text message"/>
        <s v="i would like thank pet flow especially young lady i spoke when i called in about my order i have always been very happy with your service especially now service customer satisfaction have always been extraordinary"/>
        <s v="they sent me a duplicate order told me i could return it if i pay shipping not good business practice lost this customer of a shipping charge that was their fault"/>
        <s v="i ordered a product you listed as in stock&#10;gave info vet clinic&#10;order was marked shipped in account but no tracking supplied&#10;after a few days i looked on line account said script denied by clinic&#10;then i received an email saying out of stock order cancelle"/>
        <s v="finding birdfood in lbs very hard order went great was delivered fast very happy"/>
        <s v="my orders were canceled i didnt get any email letting me know i had contact customer service they told me they were canceled"/>
        <s v="good experience they had what i wanted quick delivery ill use you again"/>
        <s v="i think communication around delivery was good prices were good but separate package i was sent of wet food fulfill order had dents along side which i am reluctant give any of cats we care so in that regard im unsure of whether ask a partial refund andor "/>
        <s v="only picked your website because of promised off first order it wasnt valid my products"/>
        <s v="exceptional communication deliver right on time"/>
        <s v="i ordered specific food was told two three times just hadnt been packed shipped vet provided prescription last minute told didnt have in inventory they repeatedly were dishonest caveat emptor"/>
        <s v="my order was canceled by you guys because you didnt have product"/>
        <s v="appreciative of recent discount offered when purchasing greater than worth of products i feed approximately cats so i buy in larger quantities when on sale canned food continues arrive dented one can popped open on last delivery but ive already informed y"/>
        <s v="i am very satisfied with petflow service great delivery fast"/>
        <s v="so happy i found this website they have all my frenchies products will order again soon"/>
        <s v="i know its a specialty food but i think amount of food delivered price still too high"/>
        <s v="order was processed very quickly website very easy navigate"/>
        <s v="excellent service they keep me informed on my orders if there a problem they inform me in advance good job"/>
        <s v="this was my first order with petflow i ordered a bag of puppy food fed ex was deliver i received a notice stating that it was delivered i checked it was not there&#10;petflow fedex were both excellent in finding dog food&#10;great customer service"/>
        <s v="easy use website ordering delivery were quick easy"/>
        <s v="my cat has a very sensitive system no one had her food except petflow you got it here quickly it was correct thank you"/>
        <s v="long time returning customer love this company"/>
        <s v="fast delivery better prices than petsmart or petco purchased lbs of dry blue buffalo"/>
        <s v="first i couldnt remember name of dog food replied one of their ads asking about it immediately they replied that theyd find it sent me link bingo ordered it it came in about days its one food dog can eat without scratching his hide off lovely be it"/>
        <s v="excellent selection of dog food treats good prices"/>
        <s v="readily replaced an item damaged in shipping very helpful customer service"/>
        <s v="had quality brands need at best price"/>
        <s v="lately i have a few problems with items ordered&#10;some chews looked really bad i ordered some bird items that were damaged&#10;however customer service were very helpful sent corrected items&#10;these things happen in shipment"/>
        <s v="your site was only one that had prescription diet my cat needed also when i went online look another option there was no way i could look at ingredient list i called someone using number you listed she also was unable get list of ingredients but told me s"/>
        <s v="we have german shepards who decided become really picky after ordering this food they eat it right up they love it i have noticed even after just a couple weeks it has also calmed down scoobys scratching some we havent been able pinpoint why he scratches "/>
        <s v="i have been using petflow over years their prices are great shipping always super fast"/>
        <s v="trustworthy company pet food shipped quickly just as good as competitors i can always rely on them"/>
        <s v="took days delivery ran out of dog food in interim several emails a phone contact customer service nobody could tell me where my order was i received several messages none of which could tell me a correct delivery date frustrating"/>
        <s v="delivery fast my cats love hills cat food great job hills"/>
        <s v="good price on dog food order tracking provided fast shipping"/>
        <s v="quick customer service a variety of dog foods choose from"/>
        <s v="i called change an order a later date told her make sure she keeps newest date well she cancelled both orders when i called back find out why girl was very rude because i was upset said earlier call she didnt know what she was doing i may just switch back"/>
        <s v="ordered with a coupon perfect delivery"/>
        <s v="only received half of our order cannot get auto ship part work correctly also a very hard navigate unclear website not user friendly"/>
        <s v="my food order was lost in transit after waiting days having contact company they made it up me by simply sending me a new order while shipping issues may not be vendors fault communication customer satisfaction should still matter"/>
        <s v="placed my first order everything arrived in wonderful condition was priced at great prices"/>
        <s v="so great will help if there a problem with order al ways on time"/>
        <s v="a few things went wrong items shipped from two warehouses which okay but took an extra few days shipping didnt ship immediately first shipment they shorted me a bag of food so since chat feature wasnt working email stated they are behind on answering so i"/>
        <s v="good fast delivery cat food was in good shape when it got here best price i could find on it too i will definitely use petflow again"/>
        <s v="will order again stars"/>
        <s v="fast delivery available products&#10;i was able find a certain dog food that was not available on another pet food website&#10;thanks petflow"/>
        <s v="it was great i will always order my food from here"/>
        <s v="have been using perflow several years with standard poodles was nice have a lb bag of food delivered every month before they ran out plus always good prices on treats dog toothpaste bird food etc my dog gets excited find out whats in box"/>
        <s v="product a little light pound dog shipping was quick arrived early in good shape"/>
        <s v="petflow has always been easy use a good source of our pets food i just wish shipping time was a little faster"/>
        <s v="i had found some bones at a grocery store that my dogs loved i hadnt seen them anywhere else so i saved a wrapper checked online sure enough petflow had them i literally ordered as box full price was way better than store i got them delivered what could b"/>
        <s v="very unhappy with lack of service or effort fill script hills diet food kidney issues we provided vets prescription along with vets email which vet said hed approve script if petflow would just email him approval after petflow related they could not reach"/>
        <s v="i am so glad that i found petflow i can get my cats their farmina dry food at a great price with fast service"/>
        <s v="petflow website very easy navigate able place my order quickly receive product in a short time"/>
        <s v="they sent me an email of monthly coupon codes i used one off there were no exclusions listed it worked in my cart until after i submitted my order when they removed my coupon my credit card was charged more than total shown when i submitted order when i c"/>
        <s v="i have three auto ships over past three months that were all canceled i was not notified that they were canceled id call up find out a week later where they were they said oh we ran out so i order third time i put order in last friday tomorrow morning fri"/>
        <s v="every order i place gets cancelled due not in stock"/>
        <s v="ordered prescription cat food site accepted order said available they followed up via email get vet prescription three days later email me food out of stock they were cancelling order"/>
        <s v="pet flow worst place get your pets food i decided go with then since not everyone has that perticular brand since im on auto ship program it should be shipped every weeks first time i didnt get it ive been told there was double order i didnt get it again "/>
        <s v="folks at petflow are v nice they responded my query quite promptly gave me a credit because my order was delayed in shipping&#10;the notsogood part i didnt find out unril after id placed my order that it would be shipped following week which forced me scrambl"/>
        <s v="easy order process set up of automatic delivery good price"/>
        <s v="delivery on schedule very happy with"/>
        <s v="you had our dog food listed as in stock so we ordered two bags after quite a bit of time you alerted us that it wasnt in stock that put us a week plus behind we ran out of food this a special diet food our dog not easily found very bad experience we wont "/>
        <s v="im happy with product that i order however lack of date of delivery makes it hard a customer be able receive it or plan schedule be home ive gotten email notices saying your shipment will be there tomorrow with no actual date but comes a couple of days la"/>
        <s v="this third time i have ordered this cat food order was submitted accepted leading me believe i would be receiving product three or four days later i receive an email that it out of stock dont keep sending me emails order it if it out of stock"/>
        <s v="i have been having a hard time finding some pet food faves dog stumbled upon your site you had those hard find faves him yay"/>
        <s v="i ordered my dogs brand of dry food fast easy order web site they carry my dogs brand fromm which not many physical stores do fast shipping too"/>
        <s v="your company led me on beleive food i ordered was in process of delivery you cancelled order when i was down one can at home then i had struggle find food my cat with no advice from you i will not ever order from you again"/>
        <s v="i have ordered before my order was same rx cat food even in middle of covid first time customer it was fast this time days after ordering it still didnt ship i asked it be cancelled was told they werent sure if it could be but they would let me know days "/>
        <s v="process was seamless as far as ordering receiving my order in a timely manner had no issues would highly recommend petflow anyone looking good service product selection"/>
        <s v="it would be nice be able edit your autoship if item backorder online i have had item on backorder twice last was canceled i do not like having make a phone call when it should be easy make changes online this goes cancelation of an autosgip as well"/>
        <s v="originally my order was ship on july th then an email said shipment would be late would arrive today it currently pm i do not have my order"/>
        <s v="petflow had all items i needed delivered them promptly quickly responded questionsconcerns i had"/>
        <s v="fast shipping with sturdy packaging good price user friendly website thanks so much"/>
        <s v="ordered wet dog food came quick what i ordered"/>
        <s v="easy online ordering prompt delivery"/>
        <s v="i order my cat food it arrived quickly cannot ask anything better&#10;&#10;oscr"/>
        <s v="we needed a certain vet approved cat food petflow faxed my vet authorization returned approval petflow went work on filling order unfortunately it was over th of july holiday ran into delivery problems but petflow followed up with carrier petflow monitore"/>
        <s v="i suppose i purchased something though i dont recall"/>
        <s v="i love that this site carries fromm gold brand fast delivery"/>
        <s v="box arrived half open crushed ripped open on one corner but bags of prescription dog food were still fine inside i informed petflow they promptly replied said they would initiate a complaint with shipping company as long as food was fine nothing else need"/>
        <s v="i got what i ordered but it took ten days a lot of cans were dented banged up these days i guess i should be glad that i got my order at all"/>
        <s v="i had never heard of this company but decided use them their prices i was amazed at how effectively they communicated how quickly products arrived price was better than their competitors i will shop them again sure"/>
        <s v="price was very good but delivery was sloppy careless i came home find boxes laying on my lower stair step on walkway leading stairs they couldve easily been stolen as they were so close public sidewalk when i order from other companies they have courtesy "/>
        <s v="great price but out of stock why take order in first place waste of time effort never coming back"/>
        <s v="i was very disappointed i ordered a case of hills prescription diet cd canine urinary care chicken vegetable stew canned dog food all of sudden it was cancelled"/>
        <s v="they had my cats prescription diet in stock when i couldnt find it anyplace else my order was delivered more quickly than anticipated ill use them again"/>
        <s v="food was in stock when i ordered it took so long your people get prescription from vet someone even called me thinking they was calling vets office it was out of stock so i never got my order it was canceled if i could have gave no stars i would of do you"/>
        <s v="package wasnt taped very securely many of cans were dinged or dented worst of all was godzilla sized cockroach i had kill when i opened package will not be using you again"/>
        <s v="my order arrived on scheduled date was complete"/>
        <s v="ive shopped at petflow years ive always been impressed with quality of goods low prices fast shipping will do business again"/>
        <s v="it was very disappointing have my order canceled after item i purchased was out of stock when i ordered item it was shown as being in stock a more accurate representation of this would be appreciated considering this online retail"/>
        <s v="shopping was easy website easy navigate prices were good"/>
        <s v="i received my shipment of bags of dry dog food found box they were shipped in crawling with ants one of bags had a small tear in it which caused ants i called customer service at petflow they immediately sent me a new bag replace damaged one i did not hav"/>
        <s v="never received what i ordered even though i was charged it"/>
        <s v="i am very happy with services i receive from pet flo&#10;i do on occasion have difficulty with using web site it will keep saying my password in correct"/>
        <s v="i ordered puppy food was given tracking in less than days shipment was fast efficient"/>
        <s v="had what i needed fast shipping"/>
        <s v="i was impressed by how fast i got that items i ordered that they were available auto ship now my three babies will never have be without their chews"/>
        <s v="i have a late shipment of cat litter twice now i know shipping supplies are messed up in our country so i understand what i dont understand why you system doesnt alert you that product not in stock so you can let me know before my delivery should be here "/>
        <s v="great price good product my cat i are happy thank you"/>
        <s v="i order on a regular basis i receive my order within a couple of days of placing it never disappointed"/>
        <s v="petflow had prescription dog food that two of my vets could not get shipping was quick price competitive"/>
        <s v="i was looking cheapest price on our puppy food i came across petflow was excited you carried both brands of food our gigi girl new pup miles they both can be delivered right our front door i immediately enrolled in your autoship i also love that you are a"/>
        <s v="prices are great shipping fast on time my only criticism packing shipping cans are arriving dented boxes are often partially opened from not being taped properly overall very happy will still keep shopping"/>
        <s v="received food promptly well packaged in good condition"/>
        <s v="petflow has cat food that i prefer many other vendors do not carry it"/>
        <s v="i found what i needed at cheaper prices customer service was superior petflow has a new customer i highly recommend"/>
        <s v="petflow always on point with my order never had a bad experience with them"/>
        <s v="i had perfect petflow experience it took days get me because of delays in middletown which was not there fault will be buying more dog food from them"/>
        <s v="i received my order but shorrt little clay boxes some of them with box open already"/>
        <s v="love selection convenience of auto ship recently added prescription food one of our dogs that was just as easy as everything else highly recommend"/>
        <s v="unable ship a pet food product after leaving me on hold a week what else can i say"/>
        <s v="petflow consistently meets exceeds my expectations phone operators are extremely pleasant helpful get things done recently there was a sales tax exemption pet food staff gave me a credit state tax that was going be applied order keep up good work"/>
        <s v="i was very pleased buying from petflow honestly i wasnt familiar with them they were only ones with inventory of dog food i was looking order process was clean efficient they contacted my vet was prescription food notices were well timed delivery as expec"/>
        <s v="reputable company good prices selection"/>
        <s v="i have consistently had double filled orders delayed orders without notification shipped orders without advance notification orders that started autoshipping that werent supposed tothe past months has been a disaster this convenient service has become any"/>
        <s v="fast an easy prices were great"/>
        <s v="i was looking avoderm canned dog food as my previous supplied has been out a very long time you have food price good i ordered it got it in a few days no problem with delivery my two dogs are very happy be back on food they ate years i will be ordering as"/>
        <s v="product was perfect shipping was super fast customer service was polite helpful efficient if i need other pet products this will be first place i check thank you petflow"/>
        <s v="fast easy going price"/>
        <s v="as always my order arrived as scheduled with updates enroute was well packaged consistently good service"/>
        <s v="i had a question about mixing different proteins using stella chewy freeze dried food got a response much faster than i had anticipated i was able complete my purchase without having wait until next day food arrived quickly my rosie loves it will definite"/>
        <s v="great product selection order expediently processed shipped"/>
        <s v="i am not sure about your products coz this was my very first order i was waiting my order longtime when i logged in checked status showed cancelled&#10;when u send order confirmation email why you cant send cancellation email"/>
        <s v="petflow a great company one of few who sell nutrisource dog food that was recommended by our breeder our pure bred shih tzu at a reasonable price she has been on this food since she was weaned year old now very healthy she just loves it&#10;thanks petflow"/>
        <s v="trustworthy company i recommend them"/>
        <s v="i am a loyal petflow customer years i am so happy use their website i regularly order food toys my dog i place an order online immediately receive confirmation then amazingly i get order within days petflow carries anything you need your pet a wonderful c"/>
        <s v="sent quickly great experiences so farthank you&#10;judith"/>
        <s v="recommend this vendor items i wanted were in stock i had a coupon yeah checkout was two clicks since i was already registered my information was stored i received ahipping information within hours cases of dog food arrived packaged welland with no dents i"/>
        <s v="had cat food i needed just before i was about run out received quickly"/>
        <s v="always helpful courteous on time delivery"/>
        <s v="delivery was fast in spite of coming all way across country i cannot find bowls i received in this order with food anywhere else i only see bigger sizes elsewhere since my girls are small i prefer smaller bowls by ourpets bowls are sturdy nonskid a good s"/>
        <s v="have plenty of choices shipping speeds are all time high prices are reasonable items that are being sold at website would buy again my beloved pet"/>
        <s v="excellent customer service solving an issue with my order"/>
        <s v="everything was great it was definitely time new dry dog food i only wish i could buy a smaller size everything else perfect"/>
        <s v="satisfied with nutrisource dry dog food but pricey"/>
        <s v="good service i like how they keep you informed about your order"/>
        <s v="petflow sells dog food treats we prefer at a competitive price free shipping so fast we live in a rural area where many items arent available we really appreciate being able shop with them"/>
        <s v="fast shipping great products"/>
        <s v="fast efficient quality product that arrives when expected a reasonable price"/>
        <s v="i love that i can call they have my account pulled up bam ordered excellent customer service"/>
        <s v="quick shipment kept me informed good price will buy from them again"/>
        <s v="i ordered kong squeak ballsm my dog loves them also loses them so now we have some extras price was much better than on amazon"/>
        <s v="first time using petflow i received order nicely packed delivered on time priced at a good value"/>
        <s v="i just changed vets so if i am still able buy my special cat food i will return ordering it from petflow as they are outstanding"/>
        <s v="very easy order i needed prescription treats they contacted got approval from my vet had my order in just a few days they were also cheaper than other pet mail order companies"/>
        <s v="user friendly website good prices fast shipping"/>
        <s v="easy website navigatequick response deliveryvery satisfied"/>
        <s v="my kitty was diagnosed with kidney disease&#10;petflow helped me get set up on recurring food his new diet i did have reach out communicate with them regarding rx i was impressed with timely response care they took help me&#10;thank you"/>
        <s v="they had what i was looking delivery was very fast"/>
        <s v="nutrisource small medium breed puppy chicken rice dry dog food lb i just got cairn terriers breeder said this was best puppy food pet flow made it so easy place my order price was good i also picked up some nice dog toy"/>
        <s v="product was available price was fair but ordering process kept trying lock me in repeating delivery it took me an unreasonable amount of time navigate form"/>
        <s v="i like that its compact doesnt take up much room food doesnt flow as well as id like but all gravity feeders work about same water spout could be lower theres quite a bit of water left container must be tilted use all water simple fix would be raise one s"/>
        <s v="great selection prices prefer shop here"/>
        <s v="in this instance petflow was only place i could acquire exact item that i wanted it arrived in a timely fashion in fact if they are still carrying it i will order more"/>
        <s v="i have been purchasing cat food from you all over years since i got my cat i have not had any problems but my last order was shipped it was dog food your mistake i asked you all do a rush you rushed alright you came picked up dog food mean while my cat st"/>
        <s v="has products i need quick shipping at no charge over a certain amount packing well down"/>
        <s v="great communications came in short time"/>
        <s v="company did not ship my pet food canceled order failed notify me only reason i noticed because a week had went by no dog food when i contacted them they advised they needed more information i asked why they didnt request that notify me answer i received w"/>
        <s v="i have recently had a bad experience with chewy however i have found you i have dog cats so far you have their food i will look other things as they come up so far everything great"/>
        <s v="easy online ordering super fast delivery"/>
        <s v="very efficient convenient have your unappreciative cats food litter appear at your front door highly recommend"/>
        <s v="it has been days since my order was confirmed it has not shipped when i contacted petflow i was told that first time rx orders can sometimes take a while be approved but this feels ridiculous"/>
        <s v="i love petflows auto delivery system its easy use i can change schedule with a couple clicks packages always arrive secure on time"/>
        <s v="love pet flow great customer service quick shipping highly recommended&#10;have foods others dont"/>
        <s v="i was glad find what i needed on your site but i was concerned about shipment via federal express in my opinion they are unreliable my shipment was delayed but thankfully arrived before i became worried"/>
        <s v="perfect transaction perfect delivery perfect communication your my store"/>
        <s v="i ordered veterinary dog treats so gave petflow all necessary vetinary info after no emails from them quite a few days i emailed see when order would be shipped out they said soon after a couple of days i called back check make sure that they had item in "/>
        <s v="we have ordered through petflow a few times now are very happy with our experiences we will continue order our dog food other pet items through them"/>
        <s v="always used chewy but not anymore u guys r really on top of ur game thank you anna sutocky"/>
        <s v="very fast easy shipment of dog food five stars&#10;their use of fedex a problem one star&#10;fedex drivers repeatedly damage my property repeatedly notified fedex other deliveries like ups or amazon have not had a problem"/>
        <s v="petflow was easy fast respond deliver i was using chewy but it took forever get approval dog food needed i had trouble with them on every order so petflow was a relief how easily it went thank you that i would recommend petflow everyone with pet"/>
        <s v="my order was correct received very timely i have no complaints"/>
        <s v="perfect my dogs thank you extremely fast will absolutely shop here again"/>
        <s v="first fedex lost package left on a neighbors doorstep might not be such a big deal in city but in country thats a game changer neighbor finally brought package up house a couple of days later&#10;&#10;second product was short dated this midjune of product has bbd"/>
        <s v="this company was there me when i couldnt find my cats prescription food anywhere thankful have found it quick script review quick shipping"/>
        <s v="i ordered science diet wd wet cat food from them because their website said they had it in stock about a week later i got an email saying they were cancelling my order because they didnt have any in didnt know when they would be getting it they didnt char"/>
        <s v="reliable good products timely delivery"/>
        <s v="love it&#10;&#10;good products convenient quality communication on time delivery"/>
        <s v="ive been having a hard time finding this cat food when i did find it usually bags were sold out this made it easy convenient me order this online got it in a couple of days before we ran out"/>
        <s v="easy site navigate product was originally out of stock but i was notified once product was available delivered as scheduled my cat loves product it a prescription food diabetic cats hopefully i will see an improvement in his condition"/>
        <s v="product dog food excellent my dogs love it looking forward do more beisness with soon"/>
        <s v="i was impressed by selection price delivery time of petflow getting ready place my second order"/>
        <s v="order was correct arrived quickly"/>
        <s v="petflow was a company that i had not heard of prior i was in need of hills cat food which was not available anywhere locally or online except at petflow i even ordered more than originally planned they got okay from my vet had order shipped my home within"/>
        <s v="great delivery promotions cheaper food"/>
        <s v="great prices fast friendly service i will continue making this my goto pet supplies"/>
        <s v="tired ordering a product that said in stock twice now both times i get an email a few days later saying my order was cancelled because it cant be fulfilled if it was in stock why cant it be fulfilled"/>
        <s v="this product excellent i believe my dogs they love it this however second time i have had a bag ripped open when it arrived food in box not bag dont know if this a problem at packing end or delivery end wish it wouldnt happen again"/>
        <s v="easy site use with great prices a large variety of options"/>
        <s v="never received my order fedex lost it no refund or anything at all fedex express that they left it at front door but how my gate was closed my cameras capture nothing at all no one was home i also called fedex several more times with no luck they say they"/>
        <s v="i ordered cat food from petflow it showed in stock i waited it ship about a week i called customer service lady indicated that my order was processed needed vet prescription approval that i should receive a tracking email that day or following did not rec"/>
        <s v="great way buy my dogs food products needs no hassles comes straight my door"/>
        <s v="incredible rude out of touch representatives they didnt have my item in stock then made me replace a second order what they did have in stock next day i get notified that my order was resale flagged as fraud even though i placed it through them explained "/>
        <s v="i disappointed in way my packages where sent me example when you sent my case of dog food it was put in box that could have fit cases instead of rest was filed with packing papers make it weigh more charge more"/>
        <s v="reasonably effective but annoyingly disorganized looking alternatives"/>
        <s v="got my online order very quickly was pleased with how easy it was will definitely use again"/>
        <s v="after hunting high low through my usual pet food sources i was able find two items that had been back ordered everywhere else delivery was fast saved me risk of switching brands with my dogs"/>
        <s v="we needed a shipping kennel large a bed kennel a toy a small bed dog food all that got shipped was dog food toy small bed after visiting pet smart store they had all we needed in stock although a higher price"/>
        <s v="my first order i was mailed wrong product when second order can it will be out of date in months i like know i have a newer product"/>
        <s v="quick easy better priced than most of competition definitely an underknown source pet supplies"/>
        <s v="good time on delivery just mad about way box showed up was thrown over my fence box was damaged retaped because it was so damaged think about who you ship you packages by delivery my house was a fedx driver who did even look see if this was spot deliver j"/>
        <s v="great choices these days it so necessary have a reliable resource especially our pet family"/>
        <s v="excellent everything a company"/>
        <s v="i am so happy you carry fromm echo loves it she gobbles it down i also love that you deliver my home&#10;&#10;thanks again&#10;joni"/>
        <s v="please dont say you have something in stock if you really do not i was misled then was not even informed that there was a delay until i reached out myself terrible customer service"/>
        <s v="my order was shipped immediately reasonably got what i ordered pooch thrilled"/>
        <s v="everywhere was out of my pets food ordering from your site was easy i received my shipment a few days later thanks"/>
        <s v="amazing prices quick shipping"/>
        <s v="just got a new puppy that has have toy breed puppy proplan its been almost impossible find it but happily petflow has it it shipped fast love auto ship so we dont run out price also good"/>
        <s v="we were notified that our dogs prescription food was out of stock with our usual retailer so i did an internet search petflow was only retailer that popped up as having item in stock i waited shipping confirmation never received it so i contacted petflow "/>
        <s v="i appreciate finding products at an affordable price at petflow i usually find those products at a better price than other sites shipping was fast flawless"/>
        <s v="i have have ordered freeze dried beef treats a whilethe last two orders have been at least crumbs this very disappointing an expensive bag of unusable if this not corrected i will have find another source usually i am very pleased with petflow recommend t"/>
        <s v="great products very good customer service"/>
        <s v="fast shipping all items accounted in perfect condition"/>
        <s v="petflow has best prices great communication with me regarding status of my order shipping quick"/>
        <s v="my st package was received missing items after just one phone call everything was handled professionally a few days later i received my missing items would order again"/>
        <s v="petflow came through me when i couldnt find my cats food anywhere else im extremely grateful"/>
        <s v="twice now i have ordered preacription food from petflow that was listed as in stock twice my orders jave been cancelled because food was not in fact in stock both times i spoke with customer support that was clearly copy pasting replies off of a pdf since"/>
        <s v="excellent service"/>
        <s v="generally ive been very pleased but last shipment cases of canned hog food had two damaged open cans in it not a great response when i raised issue since i hadnt discovered it until i got th of cans otherwise no complaints"/>
        <s v="my cats food was listed as in stock on site but my order was cancelled a week later because it was never actually in stock"/>
        <s v="delivery was delayed this was not acceptable i will utilize another company that can deliver in dayd"/>
        <s v="as ordered fast shipping i was so happy be able get my canned cat food order when chewy amazon failed me petflow has gained a loyal customer"/>
        <s v="outstanding price what i ordered i shopped around amazon walmart numerous websites none even came close your price package showed up on time excellent experience my cats thank you"/>
        <s v="fast shipping excellent price&#10;thank you"/>
        <s v="i normally dont write reviews but i hope employees are retrained after seeing this i hadnt ever been on your website or heard of company but my year old fell in love with a puppy from a girl i know in utah after adopting puppy we asked what food she was a"/>
        <s v="dog food we need hard find petflow always has it at a very good price it usually arrives in a day or two great service"/>
        <s v="im a little disappointed with petflow i ordered dog food on june rd maiming because you said it was in stock then a few days later i get an email saying that your local location was out of stock you had get it from another location it was now going be del"/>
        <s v="fast easy order prescription products fast shipping fantastic customer service knowledgeable sympathetic responds quickly range of items purchase awesome petflow outdoes all other online pet companies on so many levels they were my saving grace during cov"/>
        <s v="my order was processed very slowly then canceled i was initially told that only thing holding up my order of hill prescription diet my cat was vet approval which i had submitted with my order close a week elapsed then i was told that supplier could not pr"/>
        <s v="very reliable when i place an order with petflow i know ill be getting what i ordered on time"/>
        <s v="great customer service had prescription food my dog needed all others were out of stock glad i found this site"/>
        <s v="naturvet yellow green lawn spray containerscontents were defective&#10;product was diluted colored water my guess they froze thawed somewhere before shipping"/>
        <s v="petflow ran out of dog food in my area so found it in las vegas i got last bags"/>
        <s v="i got food quickest out of any company including amazon their customer service gets back you right away with any questions fabulous job"/>
        <s v="food bags are always intact delivery always on time customer service excellent"/>
        <s v="great customer service great prices fast shipping"/>
        <s v="i always order my dog fromm food treats from you shipping excellent"/>
        <s v="great price smooth transaction quick shipping whats not love"/>
        <s v="waited over weeks food arrive my new puppy refill his stock we received from breeder petflow had a great price great reviews but when i inquired where my order was i was just told that it didnt ship due fraud protection they refused discuss further yes i "/>
        <s v="ive used petflow my boys food since very beginning since i adopted him they always deliver it on time each month they have an excellent selection of pet food available on their website not mention they give away food dog in need each food purchase we make"/>
        <s v="inventory shortage put order in next day they dont have my babies brand so its not their fault purina discontinued small bites&#10;now we are playing find food they care sorry couldnt give stars"/>
        <s v="i have been very happy with petflow i am disabled it so nice just have my dogs food show up at my door so far items i need have been in stock which pretty incredible in these times"/>
        <s v="i started an auto ship program with this company because cat food was running scarce in grocery store unfortunately even this company cant keep it in stock either"/>
        <s v="pups love new food we found on petflow it was easy order arrived in no time being that its large breed formula i just wish it came in bigger chunks so they didnt inhale it at dinner time"/>
        <s v="great service good customer service only hiccup i can see shipping sticks folded over in a box"/>
        <s v="they had everything in stock was delivered in a timely manner"/>
        <s v="great place buy our pet supplies fast service pet flow best"/>
        <s v="always great do business with ease of ordering easy return"/>
        <s v="i waited over a week your pharma dept reach out my vet get scrip order i finally had make call myself with your rep on line i got right through your pharma folk really dropped ball&#10;&#10;all while my cat was waiting her special food"/>
        <s v="i was really pleased that u had food my cat loves he diabetic could not find his food anywhere he refused eat anything else got so thin i found his food through ur company now he gaining weight very happy kitty"/>
        <s v="i was in need of food my cat with diabetes my vet was backordered even chewy was out of stock but im so glad i happened upon this company they had food i needed available i appreciate it so much they were easy pleasant work with thanks petflow"/>
        <s v="worst experience with pet flow i place order my shipping billing address not same you will add my account fraud activity dont proceed order such a unprofessional supports team cant buy in future its last time"/>
        <s v="i never received my purchase you were out of stock of my cats prescription diet even though your website said it was in stock you should keep your website up date with what in stock what out of stock because i would have never wasted my time ordering it i"/>
        <s v="fast shipping easy order understand web site best prices around&#10;no hassles"/>
        <s v="ordered prescription dog food you said you had in stock but it very clearly was not in stock almost two weeks later im still waiting it not cool"/>
        <s v="shipping box isnt strong they package my dry dog food with cans cans cut dry food bag it spills"/>
        <s v="i placed an order hills glucosupport my diabetic cat it was weekend i was unable get all of vet information directly from vet hospital itself place order so i googled it i placed order paid order order was cancelled by your company as something in informa"/>
        <s v="this second time cat food that i need said it was available second time my order was cancelled because they didnt have it if you dont have it dont say that you do i could have looked it someplace else instead"/>
        <s v="your phone reps have always been very helpful answered my questions given me some good advice about purchases were sold"/>
        <s v="great customer service they answered my inquiries so fast they were super friendly"/>
        <s v="petflow works hard earn your business trust had an initial snafu but now orders are working smoothly"/>
        <s v="i requested a refund after being told by petflow that i needed renew my vets prescription i wanted just buy prescription dog food from my vet petflow said they could give me a credit but not a refund this a classic case of petflow winning battle losing wa"/>
        <s v="i have ordered from petflow twice both experiences were same complete trash my cat eats prescription food it out of stock everywhere so i am ecstatic find it on petflow i order it took two days my vet approval i get an email that now food sold out my orde"/>
        <s v="petflow has great prices on fromm products delivery great"/>
        <s v="petflows order fulfillment needs be improved it took days food that i ordered arrive that was after i called see where it was got order prioritized shipping if you are truthful on your website whether food being shipped from nj or nv warehouses then i can"/>
        <s v="your orders have all been fast with no warning it took a week i will not be using you anymore as you are not dependable"/>
        <s v="great price fast shipping great communication"/>
        <s v="better prices than elsewhere called customer service some assistance woman was very helpful will use again"/>
        <s v="wanted try another pet food home delivery service a change decided give petflow a go they were a great find im glad i did prices were comparable delivery was even faster packaged very well with no dented cans"/>
        <s v="prices fair but shipping times have increased"/>
        <s v="i love variety of high quality products brands that pet flow offers i also love how quickly they ship my order always arrives within a couple days"/>
        <s v="dont even bother if you order anything they will message you a week later saying its out of stock then very next day its back in stock again"/>
        <s v="i was excited see that a particular prescription wet food was back in stock on website as it has been out of stock over a month i placed order online then followed up days later as i didnt hear any thing about shipping i was told that they just received a"/>
        <s v="cancelled my orders&#10;without telling me"/>
        <s v="very happy with customer service only issue i had how long it took process my order ship it would pay extra faster processing shipping"/>
        <s v="fast easy correct"/>
        <s v="its ok it was shipped on june st an email tuesday said itd arrive today wed after arriving here in portland today at am fedex tracking said at pm that its being delayed a day until tomorrow thursday because of weather it doesnt affect me i wouldnt care ot"/>
        <s v="i ordered prescription pet food my cat it took them about five days tell me order was cancelled because they couldnt get food they shouldnt have taken order in first place"/>
        <s v="this my third order they have products others dont at a great price"/>
        <s v="always holds inventory deliver in a timely manner"/>
        <s v="worst customer service i tried doing an order twice they couldnt send it out i will never use this company or recommend it"/>
        <s v="wonderful service i recommend"/>
        <s v="excellent service only delay we had was from our veterinarian sending them prescription"/>
        <s v="i am so impressed with not only how easy ordering was but how quickly it was delivered i would never use anyone else thank you very much"/>
        <s v="i am new petflow this was my first order website was easy use my item arrived promptly"/>
        <s v="disappointed that an item was there select as available only find out it was not p"/>
        <s v="i like using petflow other sites which are similar they are super convenient reliable however cost of shipping stops me from only using their service"/>
        <s v="your website said you had prescription cat food i needed i bothered my vet prescription order your company said order was being filled then im told that it out of stock&#10;&#10;how does this happen"/>
        <s v="always highest quality products superior customer service a"/>
        <s v="petflow had what i needed in special food my cat i couldnt find it anywhere thank you so much service was awesome"/>
        <s v="good service a fair price thank you plan order again"/>
        <s v="wonderful experience petflow was only place that had prescription food i needed my cat they expedited my order when i expressed my needs sadly my cat passed away saturday but he loved this particular brand of food so i am very grateful that he had a coupl"/>
        <s v="i have been ordering from petflow some time now i always have a good experience with fast shipping easy ordering i have a dog two cats so i order often great company do business with&#10;rob"/>
        <s v="petflow great they processed my kitties prescription quickly shipped my order promptly"/>
        <s v="shipping so slow compared chewy i use chewy whenever possible that reason"/>
        <s v="i have had nothing but positive experiences with petflow"/>
        <s v="petflow was only source prescription food my cat all local stores vets all said they were out it was on back order so petflow was a kitty saver"/>
        <s v="fedex took more than a week deliver&#10;usps better even fedex tracking not accurate very slow or sometimes not even up date"/>
        <s v="customer service was not friendly they charged shipped me two bags of my dogs food when i only purchased one when i called back dispute charge they were not very helpful kept insisting that i bring super heavy bag fedex return"/>
        <s v="when fed x lost my order i called customer service order was replaced without hesitation that excellent service"/>
        <s v="slow shipping went order another bag couldnt find it"/>
        <s v="petflow a good company buy cat food from i especially like having it she directly my door i have order a prescription type of food my pet cannot find it anywhere else petflow has exactly what i need"/>
        <s v="i was able find what i needed that others didnt have turnaround was quick order was correct"/>
        <s v="products in stock delivered in timely fashion positive experience"/>
        <s v="great selection had things others were out of great price shipped next day"/>
        <s v="after reading many reviews i cancelled my order before it was shipped many people stated they could not cancel their auto ship weret happy with delivery since i dont know this company didnt know their reputation i cancelled ordered from chewy now i cant g"/>
        <s v="great price shipped well arrived quickly"/>
        <s v="only cools minutes at best not worth it i should have invested more money got a better product"/>
        <s v="pharmacy said my dogs food wasnt approved while my vet said it was always approved customer service was awful in fixing situation didnt get my dogs food a week discontinued auto ship wont buy another thing from pet flow horrible customer service"/>
        <s v="i love fact they carry fromms dog food their web ordering works fine they deliver in a reasonable amount of time chewy faster where i live&#10;&#10;however every time i have ordered dog food in cans they come badly dented i dont mean a little dent here there that"/>
        <s v="i had opportunity subscribe my pet food came in a timely manner i am very happy"/>
        <s v="shipped quick reasonably priced"/>
        <s v="great variety fast shipping"/>
        <s v="petflow autoship convenient efficient economical weve been happy customers years highly recommend"/>
        <s v="works well but no instructions on how adjust float"/>
        <s v="great price quick shipping of pigeon grains i use"/>
        <s v="easy easy easy same quality same shipping speed cheapest place"/>
        <s v="great service buck great your pet fish"/>
        <s v="most wonderful customer service most wonderful products that keep my dog happy"/>
        <s v="i love company fact that they dont support brands that support animal testing its a start due shipping always being late they dont have an app yet but im not leaving them because of that"/>
        <s v="good selection of products but took a long time receive"/>
        <s v="had product in stock they called vet"/>
        <s v="items not as advertised even after calling customer service described wrong item picture not correct either that was sent&#10;took way longer than expected not likely recommend or order again"/>
        <s v="had an issue with my order customer service was rude terrible will never spend my money with this company again"/>
        <s v="excellent always best"/>
        <s v="pet flow always has dog food in stock my pet all through pandemic they were reliable supplies on hand timely delivery"/>
        <s v="customer service was awesome shipping was very fast i was very pleased with variety of food i will definitely order again"/>
        <s v="fromm dog food so awesome my elderly dogs were on wet dog food they liked it till i took them my friends house she had beef fromm out her dogs my dogs decided they like that food better than theirs it was a month of trying get them eat their food i asked "/>
        <s v="poorly packaged shipment but arrived quickly"/>
        <s v="great customer service i needed my cats prescription cat food asap they pushed process faster me"/>
        <s v="fast deliveries one of few places i found farmina dog food now im on auto delivery"/>
        <s v="i ordered cat food on fedex has yet deliver it stating that address incorrect when it not after hours on phone trying get this package i am left with no other choice but request a refund i still dont have cat food am tired of wasting hours talking low lev"/>
        <s v="we love using petflow our pets needs prices are competitive its so easy changedelaycancel our order"/>
        <s v="shipping was fast my only concern my dog food best by date sept just concerned not fresh maybe older stock"/>
        <s v="petflow best hands down great customer service prices"/>
        <s v="they had food i had been searching in stock quick shipping"/>
        <s v="super great company with fast service great shipping"/>
        <s v="great company with very quick shipping i will be using them from now on"/>
        <s v="excellent products outstanding service fast delivery"/>
        <s v="good price fast delivery"/>
        <s v="we have been using petflow many years always have great service value"/>
        <s v="petflow has products i need gets them me quickly ive used auto ship when ive had switch my schedule they were happy accommodate adjust their customer service so responsive i have been a loyal client years plan remain one"/>
        <s v="every one at pet flow was extremely helpful they spent as much time as needed on phone with me pick puppy food i needed when it turned out that my pup did not need prescription i was told they were unable take it back but they refunded half cost"/>
        <s v="when i ordered they knew they were out of stock i called asked questions didnt get a direct answer"/>
        <s v="i was so happy find my pet food in stock here actually maker of pet food let me know that petflow had product in stock there was no shipping fee on lb bag it arrived promptly all way from across country"/>
        <s v="ordered canned dog food found price be competitive shipping was timely"/>
        <s v="i would advise anyone that has had a poor experience with this website which appears be just a website where they drop ship orders but dont actually have a warehouse contact attorney general in nevada where this guy or company located&#10;if they are pretendi"/>
        <s v="ordered cat food when i ordered it was in stock now saying they have none that online allows them sell bags so long as they at least have sad"/>
        <s v="i ordered dry cat food that you said you had waited you tell me when it shipped you never told me you were out of it i had get in touch with you find out stupidly i checked that same product a week or so later same thing your on line app said you had it i"/>
        <s v="ordered md dry cat food you waited so long let me know you were&#10;out of it other companies let you know on site where you are ordering&#10;that they are out wasted time"/>
        <s v="great product fast shipping"/>
        <s v="having contact support cancel an auto ship ridiculous straight from comcast book of customer service"/>
        <s v="this first time using petflow i loved experience they have great prices fast shipping i love selection of food also"/>
        <s v="scam site they lie say they have stock of things they know they have no stock just get your information"/>
        <s v="i like pet flow convenience of buy fromm cat food from them"/>
        <s v="i placed an order prescription pet food website stated food prescriptions could be emailed or mailed so i emailed food prescription using email address they listed on their website this purpose this resulted in back forth with a representative who conveye"/>
        <s v="i was trying order prescription cat food that in short supply your company let me order it sign up your account contacted my vet prescription went through whole process then told me you are out of stock why didnt you tell me up front you were out of stock"/>
        <s v="i have plenty too much food right now how can i cancel automatic service"/>
        <s v="i trust them they usually have product that i want if not they will let me know"/>
        <s v="this place amazing prices really cannot be beat we shop around every time we stock up petflow doesnt carry all of foods we buy but ones they do are consistently cheaper than elsewhere including delivery&#10;&#10;i hope petflow will carry more of vegetarian canned"/>
        <s v="my total order was receive offhowever my order was split i only received off on lesser item was taxed on both i may inform my credit card company of this transaction based on your response"/>
        <s v="have always had good service from petflow"/>
        <s v="keep posting that they have hill science diet md when they dont"/>
        <s v="i have only received part of my order that i made on may th it now nd i have still not received dog food i ordered"/>
        <s v="our saint bernard was recently diagnosed with gastroparesis needed limited ingredient treats hills makes a line of them that petflow has a great variety of at great prices shipping super fast"/>
        <s v="excellent service&#10;thank you"/>
        <s v="i have ordered only once from flowpet but so far so good on that note i will give them stars there was a good variety with good prices order came more quickly than i expected i expect i will be shopping there more"/>
        <s v="fast shipping easy get in contact with them if you have questions"/>
        <s v="ordered special diet days nothing had order chewy got it in days"/>
        <s v="very friendly knowledgeable people at petflow willing go extra mile help"/>
        <s v="it easy change my order staff always easy communicate with they are alice there help me when i run out of food my goldens sometimes have friends over week"/>
        <s v="so happy you carry fromm my dog thrive on this food i love convenience of delivery my door best part shipping included"/>
        <s v="i placed my order from canada dealt with a customer service rep she was very friendly helpful efficient my order was delivered very quickly a parcel receiver in bellingham wa i am very satisfied with petflow"/>
        <s v="ms jessie at petflow was extremely helpful in fulfilling my order she was knowledgeable pleasant very efficient i am very satisfied with service i got"/>
        <s v="always ships quickly arrives promptly you can trust petflow handle your order right"/>
        <s v="took way long get here this was a cat food order im use getting it at least in a couple days when i order from amazon or chewy not sure ill order from them again"/>
        <s v="this a great company good selection of products at fair reasonable prices including shipping costs delivery very timely while so many firms are still using pandemic as an excuse pricegouge it so refreshing a pleasure deal with petflow this only company i "/>
        <s v="have been waiting in my prescription a month still havent received sent in digital paper copy that still had problem with them verifying actually sending prescription so frustrating would not recommend vetsource pet prescriptions hoping get my order one d"/>
        <s v="my dog on rx dog food hills science diet dd i decided start getting it from you i order it changing flavorsprotein because one i wanted said out or stock a few days later i havent heard anything so i calltext im told that it waiting vet authorization i ca"/>
        <s v="i have purchased many milk bone pill pocket packets they usually come in pouches per box which helps keep them from being crushed in shipment i usually purchase boxes at a time shipping slower then other suppliers"/>
        <s v="cancelled my order saying supply of product from manufacturer was unavailable so i went another vendor who had no problem filling my order"/>
        <s v="received my product of prescription kitty snacks quickly&#10;thank you"/>
        <s v="pet flow has been very reliable my dogs food arrives as ordered food fresh arrives quickly&#10;i have had a few problems with website where i could not change an amount on review your order page which was frustrating however calling customer service resolved "/>
        <s v="very good service fast deliveryi have no complaints"/>
        <s v="items arrived quickly before i was notified that they were shipped one item was missing from order it took a few days before i received an email that item was out of stock credit item came quickly very pleased with my purchase"/>
        <s v="excellent customer service&#10;petflow inadvertently sent me an extra case of cat food i alternate types of food so i was fine with keeping extra food but needed pay that one add another of alternate kind gentleman with whom i spoke straighten everything out "/>
        <s v="friendly when i had questions fast delivery easy order quickly online"/>
        <s v="efficient fast shipping great customer service&#10;&#10;good selection of animal products"/>
        <s v="very happy with products wish food was a bit cheaper"/>
        <s v="i had been looking puppy kibble our breeder has been using their litter of puppies petflow was only site that carried it very easy work with on time delivery thank you"/>
        <s v="staff very friendly helpful there was a prompt response my question they have a vast selection great prices they came through when i had trouble finding my finicky cats food they are my go store"/>
        <s v="constant urging use autoship i can understand what i cant understand meaningless onetime pittance of a discount as an incentive coupled with an almost forced compliance by changing my selections include it me it most obnoxious pushy waste of my time i may"/>
        <s v="i tried purchase prescription cat food my cat on vet did not receive communication through you so i emailed texted in a prescription on both of which replied said it was sent correct team should be processed asap then i received an email on stating you we"/>
        <s v="i needed order a variety of cat food that had been sold out at local shops online retailers some time i discovered petflow through a link on manufacturers website i was skeptical that they could even deliver but ended up being pleasantly surprised ive sin"/>
        <s v="easy navigate site prompt delivery"/>
        <s v="my second order experience was just as great as first one great business"/>
        <s v="my order always delivered in a timely manner if there ever a question i get answers quickly in a professional friendly way"/>
        <s v="petflow has been my goto years now a reason"/>
        <s v="excellent availability of products customer service shipping communication"/>
        <s v="so easy order my pets prescription meds on petflow they contact your vet directly approval which takes all work out of my hands shipping quick its very easy amend shipment schedule if needed&#10;thank you petflow such awesome service"/>
        <s v="i was searching a specific food my new puppy that was not available in many places found it here ordered had it so fast itd make your head spin thank you"/>
        <s v="i received my product before original date i was very impressed since i never heard of them but i will continue use them i highly recommend them"/>
        <s v="excellent service product our fur baby loves butcher block champ bones"/>
        <s v="when package came everything was so jammed in there that stella chewy patties were crushed i purchased bags of stella each bag had broken pieces in there"/>
        <s v="petflow had dog food that i needed that everyone else was out of it came quickly without any issues their website was easy navigate also"/>
        <s v="when other sites were out of prescription food my dog needs petflow was only place i could find it at a good price too delivery was fast also"/>
        <s v="great service competitive pricing"/>
        <s v="petflow had a rocky start with me because it was difficult get customer service but they have improved so much in that department that a star appropriate they are only pet delivery that has my dogs dry food they give a years worth of coupons offset expens"/>
        <s v="delivery was okay no issues with package or product price okay too"/>
        <s v="great company fast delivery"/>
        <s v="i order eight pound bags of prescription cat food kept getting emails about it being backordered on website at tims of purchase it stated they were in stock placed an additional order two pounds of same food that was cancelled by petflow not being in stoc"/>
        <s v="always helpful answer my questions concerns"/>
        <s v="easy use website fast shipping"/>
        <s v="my order always on time very easy order"/>
        <s v="i made a large order you guys cancelled my order saying that it was a fraud there was never a time where i got an email or any contact see if it was a fraud my dogs are now with no food due this lack of responsibility i was informed that every time i make"/>
        <s v="i love service petflow provides they have a huge variety of products plus they also offer great deals finally i must say customer service extremely friendly use through texting theyll help you right away thank you so much"/>
        <s v="i ordered prescription food my cat a week went by with no shipping information i contacted pet flow was advised that food wasnt even in stock even though they got approval from my vet waste of time that i couldve been searching this prescription food else"/>
        <s v="ordered prescription food insulin syringes my diabetic cat syringes came a few days later bags of prescription food did not after days with no update i called customer service just find out food was out of stock i was never notified that it was out of sto"/>
        <s v="great customer service i really appreciate it"/>
        <s v="great site dog supplies will continue use if prices are good"/>
        <s v="i moved over petflow kicking screaming from chewy chewy stopped carrying verus petflow now my merchant all my canine needs i could not be happier with customer service i like getting advance notice that my autoship preparing ship i like updates when there"/>
        <s v="with price of dog food getting more expensive i was looking best price chicken soup soul canned dog food pet flow had best price when compared other online retailers this was my first time ordering from pet flow delivery was fast items were received in pe"/>
        <s v="always arriving promptly correct products in order"/>
        <s v="best place purchase all of my dogs need excellent service always fast love love lovestella loves it too"/>
        <s v="this was my first time using site usually use a competitors site but this website showed up i clicked see what it was&#10;the prices are similar site i usually use some of items were slightly cheaper some more expensive&#10;one huge con was that i spent an hour f"/>
        <s v="my ordered was submitted then cancelled days later i would have just bought it somewhere else should have just said out of stock now i have scramble find food"/>
        <s v="ordered hard find diabetic cat food the lb bags are out of stock at all companies that carry it petflow shows on site that lb bags are in stock order on may th vet approved was told that on th its send warehouse shipping called on th see why ive not got a"/>
        <s v="products are good but ones i wanted were out of stock or very low"/>
        <s v="great product price communication transaction"/>
        <s v="i was very disappointed i ordered my rx can cat food payment was made payment was returned this first email from petflow i have not received an email why my payment was returned or why i did not receive my order"/>
        <s v="quick easy i just entered order vet details my order was on its way next day"/>
        <s v="my cat likes friskies sensation cat foodi wish petflow has a larger selection of cat dog food that weigh lbs or less as i grow older i find it difficult lift bags over lbs"/>
        <s v="orders are accurate delivered on time price a little high at this time but no higher than other sites are charging same pet food"/>
        <s v="ive only used petflow once first time but everything was great easy navigate site received order quickly packaged safely i had a general question customer service was very nice knowledgeable ill be a repeat customer very glad have found petflow"/>
        <s v="frustrated with lack of customer service regarding my cat food order our vets office personally called ok a prescription diet our cat as we could not find it anywhere we were running out we did not get any official notification that you ended up being out"/>
        <s v="my items from petflow always arrive quickly accurately i enjoy using petflow my dogs needs i highly recommend"/>
        <s v="trustworthy accommodating much variety"/>
        <s v="products ordered came quickly accurately website makes reordering easy"/>
        <s v="we have shopped with pet flow about years they always provide excellent service products"/>
        <s v="ready some captains plate sardines mackeral now look forward this against grain next when they are available purchase again&#10;&#10;thank you getting this delivery us as you were only pet food company that could provide us with shrimp daddy our cats thank you ve"/>
        <s v="every order i have placed has been canceled i call verify everything ok daily i am told that its being packed ship i call again next day am told its shipping that day both orders have done this usually hours later order canceled by you i have never receiv"/>
        <s v="im very disappointed as item u always order was not in stock currently remains out of stock"/>
        <s v="fast delivery they carry what i need"/>
        <s v="petflow was very easy order from was shipped out almost immediately dog food arrived very quickly i would definitely recommend them pet owners"/>
        <s v="ive used petflow on years delivery has always been spot on but occasionally a food change required a different vendor glad ive returned"/>
        <s v="i am always skeptical when ordering from an online store first time no need worry about petflow my bags of dog food came in a timely manner packaging was neat there was no crushed bags very happy customer"/>
        <s v="i successfully ordered prescription hills md through you later you told me you were out of stock you should have known you were out of stock before allowing me order"/>
        <s v="i had not used petflow before but they were one of few retailers that had pet food i needed in stock their turnaround time from order placement shipping was incredibly quick as was shipping time they were also very communicative each step of way&#10;&#10;i will b"/>
        <s v="ive always been able change my scheduled auto shipment when every i need they are quick response send out packages very quickly been using this company about years love their services"/>
        <s v="ive never dealt with an online pet store that was so easy work with they confirm my dogs food prescriptions still get food me in just a few days im looking forward buying treats other supplies from them as well"/>
        <s v="customer service was fine but i could not purchase what i wanted my cat i ordered veterinary products i chose vet i went from search i knew pet flow or vetsource would need contact vet but did not know how they would then i got an email that pet flow coul"/>
        <s v="i love service i receive when i place my order if i have any issues i call customer service best"/>
        <s v="ordered cat food then received email that order was cancelled because it was outofstock"/>
        <s v="petflow was a great shopping experience but shipping information was not accurate on website i did have reach out customer service get correct information other than that no complaints will definitely shop with them again"/>
        <s v="good communication reasonable prices&#10;slow delivery time knocked this review down four stars"/>
        <s v="it was nice that petflow actually carried brand of dog food i get i was excited sign up autoship so i could stop making my husband pick up dog food miles away from me on his way home from work my order took over a week arrive didnt come when it said it wo"/>
        <s v="great quality of products super fast shipping"/>
        <s v="perfect&#10;fast&#10;efficient as always"/>
        <s v="when i was given a prescription my cat that had just gotten a procedure clear a urinary tract blockage i tried having prescription filled by my regular vet they were out of stock of what was needed so i turned petflow all my experience with petflow has be"/>
        <s v="orders are shipped quickly prices are comparable other companies"/>
        <s v="timely delivery no glitches great product"/>
        <s v="products that i ordered were as described at a fair price arrived on time&#10; very happy customer"/>
        <s v="i had never ordered from pet flow before their website was easy cat food arrived promptly"/>
        <s v="i enjoyed finally finding a website that still has my cotton de tulear food that she has been on her whole life seems be selling out everywhere i sure hope this website keeps it in stock next time i need order it"/>
        <s v="i ordered a large pet carrier was sent a small i did contact customer service they are suppose send a large that was a week ago so i am still waiting"/>
        <s v="fast easy great price i stick of my pups fave food"/>
        <s v="ordered first last time when petflow was only place that had any of my cats specialty prescription food in stock they said they called vet office confirm approve prescription but did not call office i gave them then canceled order i tried reorder within h"/>
        <s v="i use this site order tracheas my dogsthey are a natural treat my dogs love them this company has been very good about getting my orders me in a timely manner so my dogs never have miss their saturday special treat i know their prices are great because i "/>
        <s v="im so thankful that i found petflow&#10;its nice know there are online options my fur babythe prices are great fact that petflow gives back pups in need makes me feel good&#10;thank you petflow"/>
        <s v="petflow usually has products other sites are out of what relief but stock up as things are getting harder find petflow delivers quickly in good shape"/>
        <s v="said an item was in stock when it wasnt i waited a week before being notified that it was even in warehouse be shipped in meantime i was counting on shipment my diabetic cat i will never recommend or give company another try"/>
        <s v="great transaction good price free delivery"/>
        <s v="quality communication price"/>
        <s v="i have cats two of them are eating special food health issues it has been hard find canned food especially proplan since pandemic i have search cat food every week at pet stores in our area which very stressful i was so glad that i found petflow on line s"/>
        <s v="when i had a problem you fixed it fast ty"/>
        <s v="i buy birdseed in lb quantities theseed quality excellent mixes are well balanced seed fresh viable so i am able germinate some use as soft food my birds price was reasonable when so many others are using inflation as an excuse profiteering it was shipped"/>
        <s v="ive always had a great experience w petflow i even found a better deal at another site wanted cancel my auto ship customer service rep gave me a discount instead i kept my auto ship active its still active today excellent customer retention greatly apprec"/>
        <s v="only place i could get this hills formula dry food my cat my cat fussy wont eat other dry foods"/>
        <s v="petflow customer service agents are efficient yet courteous company clearly embraces concept of customer always right ive been using this service five years have always been pleased"/>
        <s v="service customer service excellent"/>
        <s v="this was my first time purchasing from this company i attempted purchase items of items that i ordered i only received those items that i did not receive were charged my credit card then i was notified after fact that these items were out of stock that my"/>
        <s v="easy order online customer service quick respond resolve any issues will order again"/>
        <s v="i love petflow much better than chewy"/>
        <s v="ease of changing or adding existing orders could be just a little easier its muchimproved from what it used be sure but it still takes far too long setup an order autoship make it easy more efficient please"/>
        <s v="every order fulfilled quickly accurately then shipped really fast i love petflow"/>
        <s v="was very disappointed with shipping time this order delivery information was delayed twice"/>
        <s v="while i wish petflow did not use fedex i did not get my package or replacement package petflow was wonderful through an annoying process"/>
        <s v="quick delivery on dog food i ordered im thankful petflow because they carry canine caviar which a hardtofind dog food my french bulldog does great on this food no allergies"/>
        <s v="petflow has great pricing fast delivery they also have great customer service who do a fabulous job of following up on your order i will definitely be ordering from them again"/>
        <s v="super easy order from they shipped our food treats quickly"/>
        <s v="quick ordering process they obtained prescription from my vet just as quick where other sites never completed process it was smooth i will order again"/>
        <s v="petflow site was easy navigate i found size of dog food bag i wanted right price communication was superb including delivery information i would order from them anytime"/>
        <s v="happy with my order pup got a really cute stuffed llama that i had my eye on quite a while price was excellent also bella pate not always easy find in a retail outlet"/>
        <s v="case of hill id digestive care was delivered damaged when i opened case three cans were blown rest had visual damage each can i called pet flow advise wanted send complete case back them they said prescription dog food cannot be returned he representative"/>
        <s v="i placed an order a second time with petflow first time was great however this second order never shipped upon inquiring about status i was informed that our fraud department suggested we not fill this order take care what"/>
        <s v="quick cat food shipping fair price easy ordering all good"/>
        <s v="i ordered two packages of dry cat food hills prescription diet gastrointestinal biome digestive fiber care chicken dry cat &#10;i used order it on chewycom or amazoncom medical reasons my cat needs this food unfortunately an unknown reason this cat food tempo"/>
        <s v="took longer than we thought but it was ok but everything was good"/>
        <s v="this was a remarkable experience i received wrong order i meant purchase bags of lamb peas large breed i received lamb rice i called same day they shipped correct bags i wanted&#10;this a model example of perfect customer service"/>
        <s v="ordered my pets food that needs a prescription you said it was in stock i looked a way email prescription you but couldnt find one on your site&#10;&#10;i gave you all information you need verify order food from my vet a week later you canceled order a week i kno"/>
        <s v="product packed well great communication"/>
        <s v="easy order through my vet super fast shipping no complaints"/>
        <s v="product came on time as described cant wait order from them again"/>
        <s v="we are now days beyond promised delivery date when i contacted company they said i should have planned better im wondering if company even has this product"/>
        <s v="first time i ordered from pet flow my order was cancelled by petflow because my items were not in stock after i ordered them however i had been charged via pay pal then had wait a refund needless say i cancelled my auto shipment will not order from petflo"/>
        <s v="my pets prescription food has been out of stock everywhere weeks i was recommended a replacement help my cat while i tried find something in stock but then i found his diet in stock on pet flow so i chose purchase that almost a week later i got an email f"/>
        <s v="i was told mail in prescription productthan i got an email that they did not have product now i dont have prescription&#10;it would have been a lot easier if i was told they did not have it"/>
        <s v="petflow has always delivered when expected there have been a very few rare occasions when something happened due courier service but petflow made it right immediately also food i buy hard find in local stores but available through petflow i love convenien"/>
        <s v="very happy with experience customer&#10;service very pleasant speed of order sorry food out of stock still but would order here again once it comes back in thank you"/>
        <s v="though my order was sent wrong address company made it right by resending product correct address quickly without a hastle"/>
        <s v="easy order delivery was great"/>
        <s v="quick shipping responsive staff customer inquiries"/>
        <s v="seemed take a long time from order delivery but mist disappointing was a couple of cans were dented leaked all liquid throughout box"/>
        <s v="excellent service prompt delivery able purchase an item i couldnt find anywhere else"/>
        <s v="needed return a bag of cat food that my cats did not do well on wanted exchange two bags of a different food was a simple process involving one phone call received a return label send back unopened bag of cat food received my replacement food within i bel"/>
        <s v="fantastic service quick delivery food was unspoiled not damaged will be coming back more kitty thanks you too"/>
        <s v="petflow does an outstanding job when it comes providing timely deliveries they also have a wide variety of products from which choose thank yu petflow"/>
        <s v="i have discovered petflow be a resource depend on&#10;the last shipment of blue wilderness turkey of which&#10;i usually order pack of oz cans free&#10;shipping included was received minus carton a quick call&#10;to petflow with no hassel resolution was what i expected&#10;a"/>
        <s v="they had great products choose from that arrive on time fast all things i have ever bought"/>
        <s v="there was some confusion about what when my order was be shipped after a few messages my order was delivered all was well"/>
        <s v="i went with petflow our dogs food because they had cheapest shipping rate my surprise was although it was cheapest it was also fastest"/>
        <s v="ordering was very easy they had a much quicker processing time than other places customer service was very friendly"/>
        <s v="my latest order of two pound bags of fromm dog food arrived in a box that had been badly damaged top bag of food had a four inch slash in it dog food had leaked out all over my porch entryway no doubt in fedex truck&#10;&#10;pet flow immediately sent me another b"/>
        <s v="prescription product was supposedly in stock until i found out days later"/>
        <s v="my dog food order always arrives exactly when promised that assurance why i have been a petflow customer such a long time"/>
        <s v="have been getting my dog food auto shipped many years i am very pleased with delivery always on time always in perfect condition i have not ever experienced a problem"/>
        <s v="twice in past week i have ordered cat food that was shown be in stock only get an email a few days later telling me that it wasnt available that very frustrating quite annoying doesnt make me want order from them again"/>
        <s v="excellent customer service customerfriendly policies&#10;i had ordered ver diet food my cat i used can out of case it turned out that my cat was allergic food&#10;&#10;oi called petflow customer service see if there was someplace local i could return remaining cans i"/>
        <s v="i had never heard of petflow before but after another company i use pet supplies didnt have a brand i was looking i did an online search find where buy my product petflow came up as being one of companies that carried it after researching company reading "/>
        <s v="fast service delivery i had emailed customer service they responded quickly"/>
        <s v="everyone was out of a particular flavor of food my kitties really like i added my name be notified when it was back in stock they did that promptly my order experience was wonderful everything i ordered came thru promptly in good order cant ask better ser"/>
        <s v="got wrong product they did reach out but still waiting see how we go about sending it back get our refund&#10;fran dolmage"/>
        <s v="i place a large order dog cat supplies on wednesday it received an order confirmation with tracking number following monday i recieved an email saying my order would be delivered tomorrow tuesday by end of day&#10;when my order did not arrive tuesday evening "/>
        <s v="website was easy use but unfortunately it said that one of items i purchased was in stock but days later i received an email that said that they actually did not have it in stock since its backordered they said i wouldnt be charged until they actually shi"/>
        <s v="was so happy find buy these bowls&#10;needed small ones &#10;needed stainless steel &#10;needed weighted bottoms &#10;pretty fast shipping &#10;thank you so much petflow"/>
        <s v="prices are reasonable shipping fast happy with ordering"/>
        <s v="my order was cancelled because my vet some reason wouldnt approve prescription food request from petflow said i had give petflow written prescription i have i could not find a way in petflow systems upload prescription form on their site frustrating becau"/>
        <s v="you guys really should say that you have products available purchase if you literally dont have any in stock"/>
        <s v="st order most cans dented unusable customer service ordered replacement replacement got cancelled as they were out of stock i had call again get refund system didnt know it was a replacement&#10;&#10;a week later their site says in stock so i try ordering more ve"/>
        <s v="get my name right i did happen type it out on my information portion of my account not hard figure out"/>
        <s v="best price service product"/>
        <s v="great price shipping was good everything arrived as expected i will order from petflow again"/>
        <s v="absolutely terrible they list food in stock that they dont actually have they then hold funds two weeks then cancel order&#10;&#10;get organized be honest about what you really have in stock"/>
        <s v="always get what i order in a timely fashion"/>
        <s v="they executed order beautifully box arrived as expected i ordered sealed dog treats so i have not opened fully yet&#10;&#10;this my second order they have not done well on both"/>
        <s v="one of few places that has grain free greenies can ship them expeditiously"/>
        <s v="product i ordered was shipped delivered within days thats amazing"/>
        <s v="i was lied from customer service they also implied that i was stupid we live out in sticks they tried convince me that fedex was going deliver me on easter sunday i do not appreciate being lied"/>
        <s v="your delivery exceptional i am also pleased that you carry fromme&#10;there arent a lot of pet stores that do"/>
        <s v="easy order great prices fast shipping&#10;thank you petflow"/>
        <s v="always have what i need receive it in dsys"/>
        <s v="you take orders items you dont have available"/>
        <s v="order filled promptly delivered very timely great service"/>
        <s v="there was a bit of confusion between petflow vet i received an email days after i placed my order saying vet had yet respond prescription vet said they had no record of being contacted but after i gave phone number vet call petflow they were told that ord"/>
        <s v="shipping quick correct products excellent as described"/>
        <s v="easy convenient use one of items i ordered was no longer in stock i was notified refunded immediately there a wide range of products available chose from at very competitive prices great service"/>
        <s v="my dog now needs kidney support food i ordered her kibble pet flow contacted my vet authorization we had her new food in days thank you pet flow being so prompt in responding my request"/>
        <s v="advertised dog food they didnt have felt i was suckered in get personal information ordered food twice website said in stock they canceled both orders saying didnt have yet didnt change status on website had also enrolled in autoship website wouldnt let m"/>
        <s v="i ordered food have been waiting a response let you with my vets numbers even left a text per instructions nothing im still waiting any sort of reply"/>
        <s v="i ordered a type of prescription dry cat food made by hills hills said you had i in stock so did your website i placed my order with veterinary information prescription approval this probably took one day not more than two but as time went on i received n"/>
        <s v="awesome company will definitely be using them moving forward order my dogs food"/>
        <s v="item showed in stock took almost a week them state it wasnt available check back when its in stock yet when i looked at their website they didnt change items availability so just keep taking peoples information even though its not available this a poor bu"/>
        <s v="when i order it says you have product a week later you say you dont have it cancel order you need change this no sure what in stock this has happened me before non way run a business you dont care about customer doubt i will order with you sgain"/>
        <s v="we have ordered dog puppy food from petflow many years always received excellent service on our last order of bags one of bags was out of box it had been torn open taped shut with clear shipping tape there was a fed ex label on it reading repackaged&#10;we we"/>
        <s v="easy ordering perfect delivery"/>
        <s v="product bought as advertised online sales works perfectly shipping was fast this my second transaction with this company am very pleased"/>
        <s v="ordered veterinarian prescribed food diabetic cat was advised through email it will ship within days was then emailed days later with a full order cancellation not being aware of how fulfill orders due inventory issues one thing understandable not being a"/>
        <s v="ordered but had update my credit card thought order was canceled after several attempts after updating card all orders went through were processed now i have three bags of food spent more than that i intended"/>
        <s v="placed order based on website saying product was in stock vet approved prescription dog food in one day contacted customer service twice over days determine order status finally on day we received an email saying product was not in stock refunded order i "/>
        <s v="petflow website listed sale prescription cat food that it turns out was not in stock when i ordered that food apparently no one checked whether it was in stock my order was processed i then had jump through a number of hoops get them a prescription from v"/>
        <s v="one of kitty litter bags had small tears in it so about a third of a cup was spilled in box"/>
        <s v="this was a good experience overall products we wanted were available reasonably priced we even tried a new product that now a hit in our household thank you"/>
        <s v="petflow has everything i was looking items i ordered were delivered promptly without any damage bags of kibble or cans ill definitely keep ordering from petflow"/>
        <s v="never received product after a couple weeks order was cancelled since product was never available begin with apparently petflow has no idea what their inventory actually i was never actually charged product"/>
        <s v="i love petflowcom because they are not big guy they are all pet passionate people like me they carry products i trust"/>
        <s v="simple order came amazingly fast"/>
        <s v="your customer service was as usual excellent but delivery service was not up par because they changed delivery date a few times tho that may have been due weather problems which understandably out of anyones control"/>
        <s v="great competitive pricing only complaint they make it difficult cancel existing programs you have place a phone call in order do this they do not make it possible online through your account"/>
        <s v="customer service was easy get in touch with very courteous"/>
        <s v="customer service responds quickly very helpful courteous a pleasure do business with"/>
        <s v="item i ordered was still shown as stock on website it not in stock had it been out of stock i would not have placed order when i called petflow see if they had inventory they told me they could not check because prescription diet was inventoried in anothe"/>
        <s v="mostly all my goods are damaged cans are bent creased half treats are in bottom of bag my rabbit treat sticks"/>
        <s v="i am aware no one can predict weather but this particular order was important on two separate occasions i was informed my order would arrive as it i am still waiting below time frame which honestly ridiculous&#10;your package is&#10;on its way&#10;shipping historyhid"/>
        <s v="i am very satisfied with petflo customer service i had call make a change with special instructions before my delivery representative was able take care of that me promptly without any hesitation or any issues i would definitely order from them again"/>
        <s v="i will start by saying they always have what i need in stock which a huge plus my two main issues are longer shipping times last time i ordered i accidentally ordered wrong size can of food because picture was of a smaller can it was my fault but picture "/>
        <s v="high quality difficult find dog food at reasonable prices fast delivery with free shipping with minimum purchase of i believe current threshold been ordering fromms gold dry dog food from them years it always fresh genuine its only food i feed my lb dog h"/>
        <s v="i love petflow site very userfriendly customizable&#10;i dont like shopping their home delivery makes getting my pets food a breeze&#10;and they carry my preferred brands"/>
        <s v="i looked everywhere this particular hills science diet adult tender chicken dinner canned cat food yrsand you folks were only online business that carried this product my cat it arrived safely at my frontgate i live in a very rural area of southern califo"/>
        <s v="i have used pet flow foe about years they have any thing you want&#10;relative dogs deliver it quickly they can put you on a program delivery so you dont have call them they also can deliver other addresses if you happen be out of town a period they accuratel"/>
        <s v="they kept messing my order up double charged&#10;and one of phone operators was very aggravating"/>
        <s v="on my first order i ordered one small bag of dog food my dog has a few food allergies this was a new flavor so a pound bag would do upon arrival i always check expiration date on all food i order noticed this bag was about expire i wasnt comfortable feedi"/>
        <s v="shipping was not as quick as it said but once i called them they looked into it they made sure it went out that day"/>
        <s v="shipping fast dog food fresh"/>
        <s v="quite frankly my disappointment because i really didnt order this time my order was processed without me hitting accept button it was sent any way"/>
        <s v="i chatted with a rep see if petflow carried taste of wild wet food it was out of stock rep asked if id like email when product came in they emailed me it was in stock i ordered it it was delivered my dog a very happy pup now&#10;thank you your prompt service"/>
        <s v="had a difficult time find dog food found it here quick delivery"/>
        <s v="you charged me prescription cat food non prescription cat food but only delivered nonprescription cat food"/>
        <s v="one of few sites that has fromm dog food quick free delivery i also like your give back pet community policy"/>
        <s v="fair prices very fast free shipping i will shop here again"/>
        <s v="fair prices fast shipping large assortment of products"/>
        <s v="i ordered a prescription dog food that was listed as available then wasted time attention coordinating with our busy veterinarian was never advised item was on back order had reach out company find out dog food hadnt been sent"/>
        <s v="easy online ordering usually has what i need but doesnt ship as fast as other companies"/>
        <s v="it has been almost two weeks i have not received my order i called inquire where it might bei was told call fed ex folks at fed ex told me they couldnt deliver my package because road was muddyalthough mail has been delivered every daythe school bus has r"/>
        <s v="ordered two items but only one was available real time inventory indicate whether stock available purchase would help customer"/>
        <s v="great selection great prices great service"/>
        <s v="i am unable cancel my automatic shipment why it so difficult"/>
        <s v="i was able purchase cat food here that i couldnt find anywhere else delivery was quick"/>
        <s v="my order did not arrive on time my puppy was getting low on food but their customer service was friendly willing do whatever make it right i appreciate customer service how easy it was connect with someone through text explain issue"/>
        <s v="canned cat food i ordered from petflow was out of stock at other major online pet supply retailers extended periods of time this special food was less expensive at petflow arrived quick my order was packed in a sturdy box with adequate packing material ca"/>
        <s v="i have been trusting my pets needs petflow several years now my food on auto delivery can be changed as needed with no problems customer service has been excellent i have had a small issue here there they take care of it right away i also use petflow send"/>
        <s v="right in time delivery fresh food my gsp thanks yall"/>
        <s v="good company deal with"/>
        <s v="great user friendly site delivery has been fairly quick too i appreciate auto order program"/>
        <s v="i placed my order my dogs kibble it arrived in days amazing so happy with petflow"/>
        <s v="petflow makes it easy use their autoship easily change datesthey let you know when its getting ready so you can speed it up or slow it down dog food prices are very competitive plus its delivered my door"/>
        <s v="excellent service quick delivery"/>
        <s v="i received wrong size canned dog food they could not help"/>
        <s v="do not buy first order wrong canned food then didnt have inventory send correct food with no time line then requested refund after i returned wrong food next day them still one week later no refund"/>
        <s v="quick efficient delivery of prescription dog food that was out of stock at other online retailers petflow contacted my veterinarian right away approval after i placed my order very happy with customer service"/>
        <s v="excellent customer service lightning fast shipping fromms crunchy os are my dogs favorite treats i couldnt locate them while traveling on our rv i found petflow stocked up"/>
        <s v="excellent customer service amazing shipping thanks making it so easy order"/>
        <s v="great shipping"/>
        <s v="excellent service fast friendly"/>
        <s v="order was shipped quickly with no problems an easy smooth transaction"/>
        <s v="made switch from other options out there about months ago could not be more impressed from selection freshness of product speed of shipping that puts others shame not mention arriving very securely packed without dented cans that have become norm at amzn "/>
        <s v="i needed an addition my regular order it was taken care of efficiently expeditiously"/>
        <s v="ive been a customer of petflow years they are an excellent reliable company i rarely have an issue when i have its usually not on their end but more so on shipping delivery end nevertheless petflow customer service always makes it right"/>
        <s v="best company deal with unbelievable customer service"/>
        <s v="love buying from petflow prices are great shipping super fast am a repeat customer"/>
        <s v="great online store&#10;lots of products good prices&#10;and excellent customer service support team"/>
        <s v="i give one star because i never actually received dog food i ordered i placed an order prescription dog food received notice there was an issue with prescription so i called vet but was told issue was not on their end then petflow cancelled my order so i "/>
        <s v="i have a legged cat that was shot before i adopted him willie a special guy on a special diet i was running low several pet food outlets said they had none werent expecting get any maybe it was discontinued&#10;i should look a replacement&#10;i found pet flow onl"/>
        <s v="products have always been delivered on time website updatingcanceling orders has had glitches on several occasions"/>
        <s v="i thought it took long receive my order"/>
        <s v="hands down best price in bulk cow ears my dog a local shop wanted twice as much exact same product customer life here"/>
        <s v="i was looking a place that sold food i need my dogs at a good price i have found it"/>
        <s v="i have been trying find a prescription food my cat was delighted when petflows website said they had it in stock unfortunately it turns out that its probably not in stock website should be updated appropriately responses my emails were quick but were cann"/>
        <s v="easy navigate web site fast efficient online ordering delivery"/>
        <s v="shelves were bare cat food that i have been feeding my cat i couldnt find her food anywhere i called company that makes her food they were out too but i was told of a place call low behold they had her food so i bought a case it would be shipped asap we a"/>
        <s v="treats almost expired in a very recent order i purchased multiple bags of merrick dog treats i just realized they all expired already"/>
        <s v="no other supplier had this cat food my cat really needed it fast delivery service ill buy again"/>
        <s v="i am a returning customer pet flows prices their customers service are exceptional i will not shop anywhere else my doggie food"/>
        <s v="i couldnt find my yellow lab her food anywhere im used it being delivered on a regular basis my vet found you online let me know thanks you she has her regular diet"/>
        <s v="petflow provides delivers product as expected fourstar rating because of their return policy which stricter than other online pet sites"/>
        <s v="great customer service very fast delivery thanks"/>
        <s v="petflow has always come through on my orders delivery prompt only issue every so often delivery service a little rough with package but thats on them not petflow only once damage was excessive called petflow they took care of it"/>
        <s v="our cats require a prescription food petflow has always had it in stock when others have been out of stock a real life saver weve never had any issues with petflow"/>
        <s v="our order shipped so fast very happy with you"/>
        <s v="i ordered cases of canned dog food one case turned out be something different so i called petflow they gave me a credit wrong food&#10;i donated case a local animal shelter i was happy with their service"/>
        <s v="great price on right product when i needed help with order telephone help was easy effective with no wait time"/>
        <s v="petflow has products i want at a reasonable price delivery great"/>
        <s v="very hard find my dogs prescription food but you had it sent it me quickly thanks so much"/>
        <s v="i truly love all products my dog ginger loves them too you are an excellent company i really love doing business with you you are fast i have never&#10;had a problem with you thanks connie sower"/>
        <s v="great company work with provides excellent customer service"/>
        <s v="been very happy with price i pay my dog food good selection of other items my dog fast delivery"/>
        <s v="best customer service calls are actually answered quickly by humans that are always helpful resolve issues"/>
        <s v="my last order was supposed be canine caviar buffalo toothpick dog treats i was sent one in a box so i was short not first time that has happened either most frustrating part about this time was that when i called customer service they said they were going"/>
        <s v="vet approved im a vet"/>
        <s v="i never received my order told my credit card was not valid it was a good credit card there was nothing i could do correct any info so as a result i will not be using your website sorry i like convenience of shopping on line"/>
        <s v="entire process of getting my dogs prescription liver support dog food was quick easy"/>
        <s v="great prices fast shipping easy use website whats not love my new goto place everything my maltipoo puppy needs"/>
        <s v="your customer service team fast efficient respectful thank you hiring outstanding people"/>
        <s v="whenever ive contacted customer service they have always been very helpful so nice their pricing great shipping fast"/>
        <s v="i am very satisfied with petflow feed products i find this company dependable while trying keep costs within reason consumer i like convenience of many products available dogs as well as cats free shipping appreciated with prompt reliable service i find w"/>
        <s v="my order was accurate prompt a good competitive price so thankful we found you we will be reordering our sweet pups kitties"/>
        <s v="first shipment of dog food was good second shipment had wrong food shipped"/>
        <s v="they had what i was looking delivery was quick easy"/>
        <s v="love selection speedy delivery"/>
        <s v="i used amazon subscribe save years but in last couple of years it either not in stock or shipping takes days petflow has no supply issues ships immediately cheaper needless say i have switched both subscriptions petflow"/>
        <s v="my dog needed her prescription dog food my normal supplier had been out sometime i was in a panic reached out petflow explained situation how most pet suppliers were out of stock of hills id small bites food petflow reassured me that they has product in s"/>
        <s v="petflow never fails provide quick turnaround times has food thats best my dog their customer service folks are best"/>
        <s v="they have dog food i want at a price i like"/>
        <s v="ordered little stinker pads received in record time good price"/>
        <s v="fast ship&#10;great product line"/>
        <s v="i was excited find petflow i ordered my cat food on march it now april i have yet receive my order i am waiting hoping it will come soon"/>
        <s v="petflow had my hard find dog food in stock ordering was easy shipping was very fast days second time ive used them will continue do so in future"/>
        <s v="easy ordering quick delivery great customer service"/>
        <s v="i am pleased with ease of ordering ive found quick delivery on canned food but large bags of dry food usually take a lot longer receive"/>
        <s v="everything went very well&#10;thanks thst"/>
        <s v="although their losing me as a customer out of their control im unable give them a better review&#10;perhaps if their leadership would utilize a more reliable carrier than fedex theyd get my business back&#10;they do have excellent customer service i like fact the"/>
        <s v="ordered hills rx dog food item was shown as in stock with anticipated shipping date order was accepted days later i received an email stating food was out of stocki thought good was on its way it wasnt even in stock not a good experiencefirst last time i "/>
        <s v="excellent website that makes ordering pet products a snap especially repeat orders really appreciate fair prices reasonable shipping rates"/>
        <s v="web site shows product prescription pet food in stock we ordered it were charged called check on order told it will ship next monday several days later i get an email saying product out of stock my order being cancelled so now im a week closer running out"/>
        <s v="purchased a cat harness sizing was accurate quick delivery"/>
        <s v="i like great service with petflow alot time time again they have what i need my pup"/>
        <s v="all went well thank you"/>
        <s v="these ppl are so dumb dont bother with a third party place was with chewy five years never had a problem had switch these prescription food been with them months had call times in one wk bc they couldnt get anything right its not like i can get a prescrip"/>
        <s v="quick service company had product not available at other sites"/>
        <s v="petflow was only store i could find that had cat food i needed in stock their price was competitive they had free shipping case of food arrived right on time"/>
        <s v="fast shipping good communication"/>
        <s v="great quick service always reliable"/>
        <s v="excellent customer service i had a problem with one of items in my order but issue was quickly resolved i highly recommend pet flow"/>
        <s v="you showed oz cans in photo sent me oz cans&#10;very misleading"/>
        <s v="this company took my order prescription dog food sat on it over a week before canceling my order because it wasnt in stock by then my sick dog had run out of food i had order from somewhere else"/>
        <s v="not much add stars i had call them about my billing address they were great work with friendly attentive very helpful"/>
        <s v="i have only done set of purchases so far but am very pleased petflow had cat food that pretty much all other sites stores do not delivered as quickly as chewycom would have"/>
        <s v="petflow had our hills prescription food in stock shipped it us in j just a few dayschewy stopped stocking our food a while agothank you petflow"/>
        <s v="product in stock as needed always shipped promptly"/>
        <s v="we are elderly wonderful that heavy dog food bags are delivered our front door"/>
        <s v="you keep on accepting my order then you later say it out of stock why not refuse accept order that you do not have in stock"/>
        <s v="you asked so even though i know it horrid times expect our shipments to be filled because it was my dogs only source of food not be notified until shipment day you didnt have it wasnt what i would have expected notification so i could find it elsewhere ah"/>
        <s v="service was awesome wrote an email asking about my order it was not even an hour i heard a response i am a customer good now"/>
        <s v="i have a cat who has no teeth&#10;finding squeeze treats he likes has been a challenge&#10;my cat loves these treats&#10;plus they are healthy treats"/>
        <s v="good fast service good prices"/>
        <s v="im very satisfied with my order from petflow due product i ordered petflow had notify my pets veterinarian they did this quickly&#10;therefore i received my order within days&#10;i will definitely be ordering from them again"/>
        <s v="you had what we were searching everywhere unfortunately days afterwards quantity was cut in half stars a full order but only taking away a bag of rabbit cookies"/>
        <s v="horrible lack of communication with company warehouse i called was told i would receive a call back never did they had me counting on a shipment over a week canceled it days later due no product me find outi called them"/>
        <s v="excellent service of our favorite dog food fromm best food"/>
        <s v="website easy navigate great pricing orders ship out quicklyautoship makes it simple ensure ms hunter always has her favorite food in her bowl"/>
        <s v="glad i found you shipped order right away you made my dog very happy"/>
        <s v="my year old diabetic cat was out on a diet of royal canin pv diet absolutely no one had this food i found petflow while surfing web one night saw that they had food i needed i ordered food there was a bit of a delay with my prescription its readability bu"/>
        <s v="petflow awesome great customer service"/>
        <s v="fantastic customer service great prices fast shipping i am trying purchase less from large retails like you know who havent had any pet food or most pet supplies since finding petflow"/>
        <s v="dog wont eat food so stiff if wont come out of can"/>
        <s v="my second time buying my pet food at petflow what i like most possibilito buy two packs with a better price delivery free ok not fast but ok good know that it took days delivery than you need buy in advance"/>
        <s v="process order a prescription food ridiculous instructions on how handle prescription are incredibly unclear expected timeline of when your order will be delivered even more confusing i placed my order immediately emailed prescription almost a week late th"/>
        <s v="great service you had cat food i needed when every other place was out of stock prompt delivery thanks so much"/>
        <s v="availability of special diet fast friendly customer service"/>
        <s v="no problems quick efficient"/>
        <s v="great customer service always have products that i need when i need them thank you petflow"/>
        <s v="i have been ordering from petflow sometime now i truly love it its hard find certain brands like fromm from your local pet stores so i airways shop here did i mention shipping pretty fast i am happy customer"/>
        <s v="i was able find food my cat herehe has ibd can only eat certain foods these kind people give great service answered all my questions im very pleased with pet flows service"/>
        <s v="i buy crickets very often i got were dead usually always there are some dead but this time number was higher not good"/>
        <s v="very satisfied with my order i was notified when treats my dog eats were available they contacted her vets prescription information sent out immediately"/>
        <s v="ordered prescription food on a time crunch confided x with customer service it was ordered confirmed waiting ship then finally cancelled after a week horrible service"/>
        <s v="my dogs love buffalo treats great value service"/>
        <s v="they always have what my parrots need everything fairly priced"/>
        <s v="i was able connect with customer service about issues with my prescription they took care of it i received my cat food thank you"/>
        <s v="very user friendly process good variety of product reasonable prices love free shipping with orders over keep up great work"/>
        <s v="good products good service delivery"/>
        <s v="my dogs food was not available where i usually purchase it so i tried petflow they had food i received it next day i was so pleased find a company that stocks dog food i use sends it quickly efficiently i have since used petflow treats other doggie goodie"/>
        <s v="after being informed in th hour from another site that my auto ship dog food was not in stock order could not be filled i went pet flow site they had food i needed it arrived as promised i was very impressed grateful"/>
        <s v="first shipment was short contacted customer service via email a replacement item was shipped immediately great customer service"/>
        <s v="very happy you carry verus delivery quick&#10;thank you"/>
        <s v="petflow was fantastic food was in stock at a great price even though bigger companies did not have it claiming supply chain problems delivery was super speedy customer service prompt friendly highly recommend"/>
        <s v="i was relieved that petflow had urinary diet food my cat when other big name pet suppliers were sold out ordering ease timely shipping were other plus factors"/>
        <s v="my vet recommended this website my prescription cat food i enjoy fact that you can add promo codes when they arise online auto ship orders i am also able get my cat litter&#10;&#10;the only issue i have that petflow does not sell multicat tidycat breeze pee pads "/>
        <s v="have been a satisfied customer a while with pet flow&#10;more importantly our dog gets excited when his box with his favorite treats arrive&#10;pet flow has acceptable prices prompt service on their high quality products"/>
        <s v="they were fast with shipping awesome prices"/>
        <s v="i have never had wait so long an order from pet flow my poor cat has run out of his special diet food we have been waiting i order both canned dry food him his canned food in back order im disappointed on how long ive had wait my cats food"/>
        <s v="i do like pet flow as my go food delivery system sometimes products are a day or two late one of my deliveries actually contained two lb bags in one box which i was not happy with also i would appreciate some packing like paper or something cover dog food"/>
        <s v="fast shipping great price dog food we needed we couldnt be happier with transaction thanks petflow"/>
        <s v="i have purchased oxbow organic hay before oxbow a great company products were fine time it took get order out was fast however fedex lost first order not unusual customer service rep at your company was kind enough replace order i like your company but i "/>
        <s v="there obviously a shortage on royal canin cat food i called royal canaan they recommended this site so i ordered a case when they were filling my order they didnt have any so that was that and i still dont have any food ordered her i dont know whats going"/>
        <s v="i have used pet flow years theyve always done a good job provided what i needed this time they didnt have what i needed they were a little late in letting me know but other than that i have no complaints"/>
        <s v="i placed my order prescription dog food on a sunday night received someone elses order on thursday called customer service advised of issue asked that they ship correct order at no charge with overnight delivery was told they wont ship overnight on friday"/>
        <s v="excellent service fast delivery"/>
        <s v="impressed dog food arrived in perfect condition in a box that fit bag something that doesnt happen with other companies"/>
        <s v="i love petflow great customer service fast reliable service great dog food my babies in great price&#10;im petflow customer since i became doggy mommy almost years ago my golden retrievers are doing amazing on farmina food"/>
        <s v="i adore petflow i love what company stands donations they make unfortunately they just dont have everything i buy my pets so i find myself going through other companies get them i would love see them grow though offer more what i can find or even find a r"/>
        <s v="good service although a bit slower than our other service which may have been due vet not responding promptly"/>
        <s v="this was my first time ordering with petflow i must say it was great it was a prescription food it was faster than ordering with chewy would highly recommend"/>
        <s v="had product my babies needed when everyone else was out fast easy checkout fast shipping"/>
        <s v="quickly received ill be back"/>
        <s v="great service had items i needed i love giving back needy animals"/>
        <s v="i get same dog food every time last time i ordered it took longer than expected receive it but this time it was tracked arrived earlier than expected totally satisfied"/>
        <s v="great service good prices"/>
        <s v="normally i am very happy with petflow with exception of some packaging missteps this time it just took too long get here but everything else was good not sure if that was due shipping issues country having now or if it was internal by shipping out later t"/>
        <s v="i received a substitute product that would not work in my household of pets i called immediately product i had ordered was sent me from a different warehouse"/>
        <s v="great deal with fast shipping highly recommend"/>
        <s v="fast shipping not a big selection of fish products but what they do carry have very good prices"/>
        <s v="all of my normal vendors were out of my babys food but i was able order via petflow it arrived within days thank you"/>
        <s v="i am very happy have found petflow i run a neonatal kitten rescue it vital i am able find same productsfood i use on a daily basis not being able find purchase certain foods critical some kittens i only leave one star off because of amount of time it take"/>
        <s v="petflow was only location i could find prescription food i needed my cat everybody else was out of stock it took business days get vet approval receive order longer than other vendors but at least they had what i needed overall pleased with this purchase"/>
        <s v="after i gave my credit card info counted on receiving shipment i was then told later on that it was out of stock"/>
        <s v="order process was great as wellas returns my dog food that i ordered came in a package all tore up delivery by fedex which i have issues with with other shipments from now on i will not be buying anything on line from companys that use fedex"/>
        <s v="waited months my cats favorite wet canned food come in finally got a notification that it was in would be shipped me i noticed address was incorrect old address so i corrected it after another week i got a notification that it would be delivered tomorrow "/>
        <s v="i just ordered from petflow first time had a great experience food i needed was in stock i was able get a discount as a firsttimer package arrived promptly i have no complaints"/>
        <s v="good selection prices delivery"/>
        <s v="love love petflow they had my cats food in stock when no another vendors have it shipping fast thanks again petflow keeping my cat happy"/>
        <s v="i was grateful find petflow because they were only company online or in store that had stock of my furboys prescription food as a pet parent i was panicking they handled contacting our vet prescription had food us within a week thank you petflow"/>
        <s v="well considering i only got part of my order nobody knew where rest of it went they had reissue it as well as it being prescription food first time ordering with company id say it didnt go well"/>
        <s v="had competitive prices with other online retailers customer service prompt pleasant when i called with a question fast shipping all as expected had products when other online retailers were out of stock"/>
        <s v="easy orderinglove getting discount really helps in this day time please continue offering more higher discounts customers will choose you every time shipping was quick great packaging thanks"/>
        <s v="great prices on fromm dog food fast delivery on a great product"/>
        <s v="i have shopped petflow years have always gotten accurate orders fast shipping very good pricesespecially with autoship"/>
        <s v="i didnt get flavor cat food i ordered its my cats favorite reason i ordered from you"/>
        <s v="i have ordered from them only a couple of times but i received good service a timely delivery"/>
        <s v="great service fast delivery"/>
        <s v="petflow shipments are always late will not be ordering from petflow anymore"/>
        <s v="always helpful customer service ive been with them more than ten years much easier than schlepping store every month buy their food i have five doggies"/>
        <s v="price reasonable slow on shipping several of cans were dented caved in so will check careful leaks before i feed my dogs"/>
        <s v="i love service its so quick every order always correct"/>
        <s v="petflow since they came online has been an important part of my supply chain&#10;reliable good prices helping animals&#10;thank you"/>
        <s v="petflow took care of my request shipped my order rapidly this was much apppreciated"/>
        <s v="great product fail on fedex ground delivery&#10;driver didnt delivery on first attempt drove past my house need address this"/>
        <s v="i was truly in a bind trying get prescription cat food fast my cat with a newly diagnosed urinary tract disease gentleman i spoke with over phone was compassionate toward my situation genuinely helpful in quickly getting my prescription verified by vet my"/>
        <s v="petflow has been excellent with every order i have placed i will continue use this company products"/>
        <s v="usually a this was only a as one of cans was dented"/>
        <s v="petflow carries brands of foods i use our cat guide puppy in training our guide dog school likes us use fromm family foods fromm made in usa fromm brand not carried by many stores or online shops auto ship helps me be sure not run out&#10;only negative i find"/>
        <s v="fast shipping new customer very happy autoship prices are very good"/>
        <s v="competitive pricing dependable shipping carries prescription food at better prices than vets office offers"/>
        <s v="first time using this business it was a very positive one i ordered a large bag of victor dog food it was delivered very quickly will use them again"/>
        <s v="very helpful extremely friendly"/>
        <s v="only place i can consistently find my dogs brand of food easy ordrr fast shipping prices are reasonable as well with autoship prices are even better"/>
        <s v="i purchased science diet wet puppy food my new puppy he refused eat it i contacted customer service by email explained my situation that same day i received notification that i was being refunded my purchase price&#10;that excellent customer service that stan"/>
        <s v="i purchased an item online said only two left i ordered two got an email next day they were our whats point of having an inventory notice online if its not accurate other orders are allowed product you just paid gir disappointing"/>
        <s v="horrible buying experience i will never buy it from you guys again"/>
        <s v="wow customer service fast genuine but this also a rare company that gives back in amazing ways sure they are smaller but thats where usually care happens thank you petflow"/>
        <s v="since there a shortage of my dogs prescription diet i called several times get information on deliveryevery time i had a helpful friendly employee on phonethey understood my concerns did everything possible helpmy pup got his food thanks petflow directly "/>
        <s v="i would give it stars except that flap doesnt quite close otherwise it a good door price that allows my year old great dane not have stoop as much as he goes through"/>
        <s v="easy order at a great price so impressed that i chose have a standing order our beautiful breezy"/>
        <s v="quick response time friendly customer service"/>
        <s v="i like that pet flow accurate with information they share with me options i have with my orders thats really important me id also like ask that dm food i get from now on be savory select cat food instead of pate which my cat wont eat thank you"/>
        <s v="happy with product however when i ordered it said it would ship immediately days later it finally shipped i needed dog food with that day delay it made me go purchase a smaller bag get me through"/>
        <s v="very easy online ordering pretty fast delivery im not able purchase fromm dog food where i live i actually found petflow on fromms website"/>
        <s v="very fast delivery"/>
        <s v="i ordered dog food on march th still waiting delivery its been almost two weeks my orders from pet flow in past have been delivered quickly"/>
        <s v="shipping takes too long but i can deal with that what unacceptable when you have items listed in stock when you really dont specially when it comes items that need a veterinarian prescription i dont care how big of a company you are thats why they have co"/>
        <s v="very easy order prompt delivery of product ordered"/>
        <s v="my order arrived in a timely manner beautifully packed with recyclable materials i received discounts that compare favorably other online pet suppliers i wanted order fromm products fromms familyowned company will only sell through certain companies that "/>
        <s v="pet flow was willing sell me a product they did not have in stock pet flow said that manufacturer hills science diet had pet food in their warehouse i telephoned hills science diet they also report not having purchased cat food in stock"/>
        <s v="in my last order dog food petflow order was first just later than expected when i called up customer service i was told that orders were piling up at petflow but that order would be given an expedited designation by customer service person day after that "/>
        <s v="best company ever ive used them years theyre dependable refund your money if your dog reacts badly a new food or treat etc or if a treat they sold has been recalled by its company which not petflows fault their prices are even lower than chewyi tell peopl"/>
        <s v="great service arrived quickly got exactly what i ordered"/>
        <s v="my dog loves this dog food it was very quick getting us thankyou"/>
        <s v="product almost always in stock good variety of brands my dogs use quick delivery but packaging always arrives damaged likely because its just too heavy"/>
        <s v="i ordered two bags of dog food it was delivered in a beat up box dropped feet from my covered porch in rain sure seller didnt leave it in rain but are responsible safe arrival of package my star rating because i contacted customer no service with photos o"/>
        <s v="ive been buying from petflow years im very happy with their products prices only issues i ever have with delivery companies constantly changing delivery date otherwise i love petflow"/>
        <s v="service was good efficient price seems a bit high pound bag of dog food was twice price i would have paid a pound bag at walmart but with transportation down would order again"/>
        <s v="petflow always comes through me no complaints"/>
        <s v="perfect timing get my prescription food my kitty"/>
        <s v="until now i have had no issues with petflow order food dog dog food delivered promptly&#10;&#10;this time i ordered dog food as usual have waited waited waited it be delivered three days after getting this request a review i have finally gotten an email stating t"/>
        <s v="this only place that has my dogs treats customer service has been great with changing a delivery date due weather checking on expiration dates"/>
        <s v="you got always what i need my pets more shipping always on time"/>
        <s v="super slow at shipping that makes me not use them often"/>
        <s v="excellent service delivery etc i love petflow"/>
        <s v="im so happy have found you you will have a customer life"/>
        <s v="my box was damaged along with contents inside i emailed explaining what happened was not satisfied with customer service will never be ordering from petflow again will tell everyone i know not horrific"/>
        <s v="fast excellent service"/>
        <s v="good prices fast delivery i will continue order from you all recommend your site"/>
        <s v="i placed my order then called tomake sure that product was in stock i was told product i wanted oz can was not available but they would change it oz cans i told gentleman that it wasnt my first choice but if he promises thatthe product was available then "/>
        <s v="i love petflow shipping fast customer service great i especially love fact that they feed shelter animals every time you make a purchase"/>
        <s v="excellent service dependable"/>
        <s v="we are very happy with petflow they always have exactly what we need we receive all products in a timely manner"/>
        <s v="with petflow i have been able find good quality pet supplies at exceptional prices i usually receive my order next day i have no complaints"/>
        <s v="i contacted petflow about getting food my dog representative had information already on file was extremely helpful she notified me of automatic refills i received food after three days very efficient i would recommend this company all my friends dog owner"/>
        <s v="product was great but delivery took days long premium price"/>
        <s v="you usually deliver quite quickly but this took a week in addition there was just one sheet of brown paper many of cans were dented"/>
        <s v="real quick in shipment correct itemresonable price"/>
        <s v="ive always had good experiences with pet flow but last order had some issues a bag of dry dog food had a hole in it some of cans were dented pretty badly well i contacted their customer service they sent out a completely new order free so they really made"/>
        <s v="times i have ordered from your company each time shipping has not been what was stated it has each time shipped later than stated ship date when i would inquire there would be excuses your prices are same as competitors but their shipping much more reliab"/>
        <s v="petflow folks are always helpful great products my animal kids thank you"/>
        <s v="would not accept a copy of prescription medications wanted it mailed caused further delays other online firms dont require this"/>
        <s v="i am very pleased with petflow pet food i was needing was not in stock at a local big box store that normally has best price petflow had it in stock smaller poundage however with their off first autoship orders i was able get more pounds at a cheaper cost"/>
        <s v="had products i wanted received items quickly"/>
        <s v="timely delivery had my cats prescription food when other vendors did not"/>
        <s v="i did not hear from pet flow quickly that they could not fill my order of specific dietary cat food but they cancelled my order i believe will not show on my credit card i understand there shortage of pet food right now but their website said in stock&#10;&#10;go"/>
        <s v="i ordered a food which my pets really need since it prescribed it was out of stock but i wasnt told promptly i had contact support learn they were out planned cancel my order days later"/>
        <s v="great products fast shipping"/>
        <s v="excellent product quality very professional customer service prompt delivery"/>
        <s v="i love petflow they feature my dogs brand of food which he has eaten since birth fromm as well as a good selection of treats toys ordering a breeze online deliveries are prompt even with all delays in supply chain delivery services thoughtfully packed thi"/>
        <s v="my dog was given dry dog food canned dog food pet flow dog food all at same time he rooted around until he found pet flow that always his first choice he loves it"/>
        <s v="outstanding company with great service prices fast shipping"/>
        <s v="they always seem have our dogs food whereas as certain stores rarely do im continuously told that its all due covid which im sick of hearing yet petflow always comes through which why ill continue purchase our dogs food through them dependable punctual wi"/>
        <s v="i feel that if you sent prescription authorization all bags of food my vet they would of be authorized by sending over a script bags then another remainder bags caused a problem script was denied being a duplicate"/>
        <s v="my products were delivered in a timely fashion no damage any of cans"/>
        <s v="great deal kept me apprised of status arrived as promised"/>
        <s v="i have been a customer of perflow years always happy with products they carry their customer service department"/>
        <s v="i was waiting my order on shipped on delay in arizona delay in san diego delivered on i dont know delay problem&#10;felipe lopez"/>
        <s v="website ease use service has been good prices reasonable"/>
        <s v="excellent prices fast shipping thank you"/>
        <s v="received fast shipping on product prompt courteous customer service from petflow reps"/>
        <s v="petflow had food that i needed my dog in stock less than hrs of placing order my vet sent in script food arrived within days int was great ti be able find food that was hard find on other sites"/>
        <s v="excellent customer service great fast shipping very pleased"/>
        <s v="we have used petflow dog food purchases about a year everything about service was great however my low rating based on customer service interface on their website i discovered i can buy product cheaper locally tried cancel my autoship order when clicking "/>
        <s v="beef pizzle steer bully sticks dog treats gave both of my shih tzus terrible diarrhea i only gave them a small piece"/>
        <s v="i have ordered online convenience but your delivery company has made it inconvenient i am sorry but trying carry a large heavy box from my condo mailboxes my unit so it not stolen too difficult my daughter will pickup food at her local pet store bring it "/>
        <s v="easy order find items on your web site fast delivery friendly help"/>
        <s v="great prices dependable free shipping"/>
        <s v="my dog food arrived quickly was just what i ordered will use pedflow again thanks"/>
        <s v="i ordered an instock item which took two weeks receive then it was wrong item first last time ordering from this company"/>
        <s v="they had food when no one else did shipped it quickly happy customer"/>
        <s v="fast delivery of perfect puppy food my little baby going order some more puppy treats so glad offend you all"/>
        <s v="delivery a little slow i sent coupons you but they were never applied my account they should have been sent back me thats bad business"/>
        <s v="prices are comparable other sites but petflow offers coupons deals that keep bringing me back shop here shipping fast too"/>
        <s v="lid on my automatic dog feeder water combo was broke when i got it"/>
        <s v="it was easy place my order delivery was in a timely manner i will order again from petflow"/>
        <s v="with shortage of pet food currently challenging all pet owners i appreciate your quick shipping policies i realize that it hard keep stock on hand you certainly helped us secure supplies our cats thanks prompt service we look forward future purchases than"/>
        <s v="prompt when shipping items in stock not so prompt in communicating when items are back ordered website shows them still in stock i placed an order my vet approved february i checked on it february was advised wet food was cancelled because my vet turned i"/>
        <s v="packaging was poorly done on feed bags needs send in stronger boxes"/>
        <s v="everything arrived in good shape happy with my purchase"/>
        <s v="great products fast delivery recipe success"/>
        <s v="it helpful have pet food delivered pet flow gets my order correct it comes on time thanks"/>
        <s v="thanks having food i wanted when no one else did quick delivery too"/>
        <s v="always reliable stock fast shipping"/>
        <s v="my order was shipped fast well packed&#10;it was here in a timely manner very pleased with transaction will buy from again h"/>
        <s v="shipping too long items arent shipped together"/>
        <s v="great first time buyer experience delivered in a timely manner in good condition"/>
        <s v="great customer service easy online ordering prompt action delivery thanks petflow"/>
        <s v="years i have been happy with petflow"/>
        <s v="petflow prices are very competitive their shipping speed excellent i had a question once received a reply within minutes not hours or days like some other companies very pleased with petflow"/>
        <s v="what a great company fast shipping great products when i searched many sites my cats favorite brand with no luck i found petflow very happy i did would highly recommend"/>
        <s v="some cans were damaged dented it would be good if products are in good shape prior shipping"/>
        <s v="i was so impressed package was delivered within just a couple of days impeccable execution"/>
        <s v="not happy back order food reordered delivered without discount thinking about switching chewy"/>
        <s v="hard give a review when i havent received my order yet because it has been delayed times i know that times are hard a lot of companies so im going keep my fingers crossed hope cat food gets here before our cats eat us"/>
        <s v="quality dog food good prices fast delivery"/>
        <s v="they always have what i need in stock at reasonable prices i usually receive my order within a week great customer service too"/>
        <s v="love it great place shop"/>
        <s v="every time i reach out petflow they resolve an issue almost instantaneously my cat food cans came completely dented partially opened they replaced all of them quickly my off coupon didnt go through they credited it immediately their customer service best"/>
        <s v="cat food i bought help my cat lose weight inferior purina products in every measurable metric these varieties contain ingredients that should never be fed a cat"/>
        <s v="great service great quality great prices"/>
        <s v="instinct dog food great howeer fedex shipping sucks package sat on truck days being listed as out delivery as common occurrence i would order from petflow more if they did not use fedex"/>
        <s v="when i order my food always delivered very quickly without any delay or problem we have been getting our two dogs food from petflow years now are very happy with service we have received"/>
        <s v="i really enjoy petflow you have all dog food products i need its delivered in a very timely fashion"/>
        <s v="i wish you could get expiration dates on products before they ship especially on auto ships"/>
        <s v="as a new customer with cats a feral family of cats ive been pleased with product selection timely shipping thanks"/>
        <s v="my first order it was easy arrived quickly"/>
        <s v="great customer service over phone as i was concerned about being out of food they were receptive put order as a stat order"/>
        <s v="very happy with delivery process how fast it arrived"/>
        <s v="a year ago i would have given you five stars but in last two months or maybe three you have not been able deliver kind of pet food my dog eats honest kitchen turkey or chicken last time i ordered stellas beef you sent only a very small package&#10;&#10;i havent r"/>
        <s v="i am very satisfied fast delivery discounts"/>
        <s v="great prices communication follow up always a pleasure do business with"/>
        <s v="thank you so much getting charles his food so quickly hes had pancreatitis almost a year which means he on a very strict diet of prescription foods only i order on monday you have charles his food by thursday friday at latest thank you once again"/>
        <s v="easy place an order quick timely delivery"/>
        <s v="fast easy helpful customer service great products"/>
        <s v="fast delivery quality product damage that required disposal of some product but unclear if result of shipper or not"/>
        <s v="appreciated quick turnover delivery of y prescription dog food good communication about timing"/>
        <s v="i like decent prices fast delivery however every package arrives damaged everytime contents are often damaged too they would get a higher rating if that remedied"/>
        <s v="last three shipments it ran into several issues&#10;for various reasons my shipments were delayed&#10;i no longer can rely on fact that my dogs food will be delivered in a timely manner&#10;i am looking into over options"/>
        <s v="great selection received everything quickly on time as ordered"/>
        <s v="two months in a row they messed my orders up so bad i had too buy dog food get them through until delivery it caused my dogs upset tummies loose poo itching doesnt make them or me very happy&#10;&#10;i have had issues before but this last time i do not recommend "/>
        <s v="got prescription promptly after poor start now all well good service fixing early problem"/>
        <s v="i cannot give a review as yet because my product has been back ordered some time i am a first time purchaser at pet flow found website be easy navigate i browsed through site found so many good products products i will definitely use my husky on a prescri"/>
        <s v="great service fast shipping"/>
        <s v="i was pleasantly surprised at how quick i received it"/>
        <s v="i love ordering from petflow all my pets needs dog food cat food treats anything else that my pets need i love that they are a small business they have great customer service always keep everything i order fresh i have been buying from petflow so many yea"/>
        <s v="petflow had what i was looking at a good price shipping was fast"/>
        <s v="it took way too long receive my order chewy does a much better job"/>
        <s v="we received our order on time free delivery was convenient"/>
        <s v="i love petflow easy ordering quick delivery never any issues at all so glad i found this company"/>
        <s v="love pet flow have used them over a decade highly recommend any customer service calls are quickly resolved but i have only had whole time"/>
        <s v="customer years pet flow our favorite dog food center"/>
        <s v="price fair delivery was quick"/>
        <s v="prices are good shipping was quick i was kept up date from order confirmation through delivery notification"/>
        <s v="we our cats loved all toys we selected they arrived safely and&#10;in a good amount of shipping time will order more in future"/>
        <s v="ive ordered twice in last couple of weeks prescription cat food nexguard both times they reached out my vet in a timely manner i received my orders within a few days&#10;will definitely use them again"/>
        <s v="good prices fast shipping"/>
        <s v="petflow maintains a huge assortment of animal foods provides prompt shipment"/>
        <s v="was told shipment would arrive in days was told on fifth day being delivered between am or pm didnt arrive until days later no one worked over weekend assist me&#10;&#10;good prices bad info order well in advance of day needed"/>
        <s v="i changed my address weeks before moving in november placed an order weeks after move my food was still delivered wrong address customer service never fixed it placed another order in feb it was also delivered wrong address customer svc finally gave me a "/>
        <s v="pet flow did everything correctly fedex lies claims they deliver packages when they do not"/>
        <s v="i feed a very good high quality dog food i live in a small town unfortunately little store where i purchased my dogs food stopped selling all pet products i was going have drive minutes each way another city get dog food a friend in dog rescue world told "/>
        <s v="good selection prices during a difficult time but i was disappointed that two items i ordered turned out be out of stock but that was not indicated at time i placed order i only found out later when instock items were shipped as a result i missed out on c"/>
        <s v="petflow great they consistently have my pups dog food in stock as well as some cool toys"/>
        <s v="everything wonderful except fact that its difficult cancel reoccurring orders this shouldnt be made into such a hassle that i have call that be done"/>
        <s v="happy i made switch&#10;&#10;i recently switch from a competitor petflow all my daily pet needs i made this switch because their prices were simply better lower than leading competitor same or similar products delivery service as good if not better that my previo"/>
        <s v="no problem with company but will only ship with fedex fedex lost my package so never received my order from petflow what i ordered has been on backorder ever since"/>
        <s v="bought a case of cat food from petflow as chewy was out of stock at time product did not ship over a week at end of week i cancelled order emailed customer support which confirmed order would be cancelled two weeks later my account charged ordered that wa"/>
        <s v="my order arrived on time in great condition my pup loves her new food"/>
        <s v="super easy shipping processing experience they contact vet directly deliver incredibly quickly"/>
        <s v="treats were shipped really fast was a better price service compared amazon"/>
        <s v="fast delivery especially good heavy stuff i just wish there was a wider variety of cat treats toys dental treat that i wanted get was sold out its been sold out a while hope its restocked soon"/>
        <s v="ease of ordering how fast my order arrived was awesome"/>
        <s v="i had best girl with customer service who was able secure a nice discount our auto ship order thank you"/>
        <s v="system has twice now changed my auto delivery date a year in future making it impossible me correct it online schedule an immediate delivery because i am only allowed select a delivery date after last delivery which according their system was months from "/>
        <s v="placed my first order with petflow had a issue locating my order details i contacted petflow customer service received a a response within hours that resolved my issue very impressed with their response my questions received my order on time would purchas"/>
        <s v="i love petflows selection mission please try have your shipping times better reflect how long it will take with supply chain issues it would be better say a package will arrive later be happily surprised if it arrives early vs saying it will arrive early "/>
        <s v="petflows shipping was quick efficient i love that my order helping others in need im glad that my pets food supplements are available through pet flow only thing i ask add merrick canned dog food with healthy grains"/>
        <s v="i had a problem their customer service rectified problem&#10;very pleased with how it was handled"/>
        <s v="fast shipping product arrives in great shape no holes or banged up boxes auto ship flexible ways edit great notifications shipping arrival always fresh food with good dates"/>
        <s v="most of representatives i spoketexted with were wonderful i was disappointed because while waiting prescription dog food ship i was given a few different responses depending on who answered petflow customer service line&#10;but now i received what was needed "/>
        <s v="took a little longer than estimated it ship but thats probably manufacturer availability being what it right now pet food i am extremely happy have found another resource prescription kibble fast handling shipping when ready"/>
        <s v="pet flow order came even faster than expected"/>
        <s v="i ordered prescription science diet cd canned food it arrived on time this first time i ordered from petflow i hope order from them later intime"/>
        <s v="my cat winnie loves nutro wet cat food i was able find wet food winnie loves petflow sent it right out us quickly i am happy i found petflow"/>
        <s v="food shipped quickly every time communication excellent wish theyd get rid of one button in checkout that makes you check just ship once every time"/>
        <s v="i have relied upon petflow hard find foods even from online sources their product delivery fast reliable their website efficient easy maneuver no problems have cropped up as happens sometimes on amazon i have always been pleased with my experiences with p"/>
        <s v="pet flow was only place that had prescription food i needed&#10;they were very helpful by making my order a critical ship so that i would have food in time my pet be boarded"/>
        <s v="i have been shopping at petflow am very pleased with their products price service they are prompt on shipping keep you informed if there are any issues with your order my dogs love bones beef tendons"/>
        <s v="never received what i ordered days later they told me it was ever in stock i will never order again from this loser company"/>
        <s v="i appreciated being informed that you were out of an item i was refunded promptly i had ordered take advantage of free shipping i inquired if i was going be charged shipping on one item it took some time verify that i wouldnt be charged thank you but i wa"/>
        <s v="no complaints &#10;i got what i wanted it came soon"/>
        <s v="this company stinks i ordered enough get free shipping then they email me say they do not have dog feeder that was entire reason purchase so i ask them cancel it it was already shipped so i ask can i return it they said yes sent me shipping label then sai"/>
        <s v="i ordered prescription cat food said it was in stock but it wasnt after waiting shipping confirmation that never cae after several emails i was informed that you canceled my order"/>
        <s v="petflow needs some serious work on its autoship program i am supposed get a shipment of dog food every three weeks my autoship records show my last shipped my next ship date considering this only february your autoship program needs some serious work"/>
        <s v="you provided excellent service my order was shipped when i was told it was complete i will definitely be reordering thank you"/>
        <s v="fast easy ordering my dog loves food"/>
        <s v="petflow a wonderful place get everything your furbaby their prices stock are superb they ship immediately im so glad i found them"/>
        <s v="weve ordered from this company many times have only had one issue which was out of their control canned food arrived badly dented but pet flow immediately issued us a replacement other than that their delivery service fast good i would recommend this comp"/>
        <s v="i reached out customer support they responded very quickly were very helpful easy work with"/>
        <s v="i have not received my order have not heard back from petflow"/>
        <s v="you had prescription food i needed when no one else did thank you"/>
        <s v="i texted petflow with an issue i was having with my account they contacted me shortly afterwards asked my email address associated with my account fixed issue within minutes associate who helped me was polite informative a pleasure communicate with about "/>
        <s v="shipment was much faster than chewy within my own state whose ship center only maybe an hour away from where i live thank you as i had ran out of food my dogs this shipment was well packaged super fast"/>
        <s v="i adopted a special needs cat we rely on hills prescription diet digestive care canned food he came me with a can supply it works really well him maintain his weight keep his tummy happy its only food he can eat without it coming back up if you know what "/>
        <s v="on time when product available"/>
        <s v="great product but i knew that glad i could get it deliveredseemed almost twice as expensive as my local source"/>
        <s v="great shoplow pricefast delivery"/>
        <s v="no issues order was received quickly except bengals shirt wasnt in time game but understand it"/>
        <s v="great deals on dog food with quick delivery"/>
        <s v="this was my first order was pleased with entire experience&#10;looking forward ordering when i need food again"/>
        <s v="i ordered van ness medium crock heavyweight dishes dishes were delivered in a timely manor in excellent condition price was outstanding we are very happy with petflow will order again"/>
        <s v="was disappointed in how long it took my order get here"/>
        <s v="petflow was efficient with excellent customer service will continue order from this fabulous pet source"/>
        <s v="my order never arrived fed ex said it did but there no pound box of dog food anywhere"/>
        <s v="by requiring our vet set up an account with your company you made it impossible purchase our cats prescription diet so we went with another company that easily connected with our vet got job done your customer service was friendly easy communicate with"/>
        <s v="i have had my dog food delivered by petflow several years all was good until last mo of my orders were delayed point of having go a retail store purchase dog food on occasions one order was days late thankfully as of things are looking upknock on wood hap"/>
        <s v="very angry with you because i could not buy food my puppy since you asked veterinary clinic a code in mail that you sent they did not know what code was i hope that in future you will cause fewer problems help more"/>
        <s v="pet flow never disappoints me or my fur babies my orders are sent quickly always correct rarely do i have call customer service only if i need make a change my auto orders i am a very loyal customer dont plan on changing"/>
        <s v="easy ordering quick delivery makes it so easy thank you"/>
        <s v="i ordered a product&#10;&#10;there was some type of glitch in my credit card process&#10;waited waited delivery&#10;&#10;finally called then was told of issue&#10;&#10;no email&#10;no notifications&#10;&#10;just left in dark&#10;&#10;i ran out of dog food my dog while at my home in new hampshire&#10;had dr"/>
        <s v="this was my first order with petflow they had product in stock that i couldnt find elsewhere they shipped fast very pleased"/>
        <s v="with problems today about getting pet food it reassuring me that when i order food my cat or dog it never out of stock well done thank you"/>
        <s v="site shows in stock when in fact it not&#10;when you call customer service they tell you it was just purchased its now unavailable&#10;yet a few days now weeks later it still shows it in stock&#10;this place cannot be trusted"/>
        <s v="ill have an opinion when i confirm new bag my dogs food came in more often than not bags are slicedripped open slipping in box theyre delivered in resulting in having get a new bag which costs your company more money your staff needs get with program its "/>
        <s v="use a different shipping company took days get me"/>
        <s v="my cat had emergency surgery bladder stones i had immediately switch his food everything was prescription level i couldnt find it anywhere locally this happened over weekend price from pet flow was among lowest i could find if not exact same as competitor"/>
        <s v="shipment was packed best that i have seen no bent cans package was far better than other vendors that i have bought from"/>
        <s v="i have been using auto ship with this company quite sometime have liked product my dogs recently tho food we choose has been out of stock this disappointing hopefully this will be in stock again soon"/>
        <s v="my papillons love fromm duck veg i mixed it with their old dry food they would sit pick out fromm duck"/>
        <s v="order was filled as promised i ordered aquarium supplies gravel lighting arrived as ordered shipping was a little slow but there were delays due weather from fedex new jersey warehouse was out of one of items i ordered but quickly filled order via las veg"/>
        <s v="petflow provides everything i need my senior dog nora prices are competitive items are in stock quick delivery outstanding customer service we are happy loyal customers"/>
        <s v="i ordered cat food&#10;the order didnt go through petflow said that vet didnt think they were a reputable vendor&#10;never heard that before"/>
        <s v="have been using petflow years&#10;&#10;love price free delivery phone staff are always friendly products are what i want my furrbabbies usually get them a toy great selection"/>
        <s v="website listed my cats prescription cat food as available so i ordered it several days later i receive notice that it out of stock so now my cat has go a few days without her prescription cat food this was my first time using your company it will most lik"/>
        <s v="very nice company work with"/>
        <s v="i was very pleased with order that i received how promptly it was delivered i certainly recommend this company your pets food ordering online was very simple id say i received my shipment within maybe less than a week after i placed order theyre a pleasur"/>
        <s v="available inventory good pricing made this go choice feed my pets"/>
        <s v="i like shopping at petflow have been doing it over years like ordering nutrisource dog food since they are probably only ones that carry it online lately ive been taking advantage of their discount on nutrisource but on negative side my last bag came with"/>
        <s v="you had my hard find food&#10;i like your tracking method&#10;arrived timely"/>
        <s v="lady who took my order was very professional knowledgeable helpful caring she placed my order fast without any trouble great experience"/>
        <s v="one thing about petflow they just get it done you order your product you get instant verification confirmation your email then when shipped you get tracking number along with any updates from carrier that might come up this main reason i use them above an"/>
        <s v="i shopped online royal canin digest sensitive cat food your website showed you had it in stock i placed orders each cans within minutes of your website updating that it had stock your email confirmation stated that first order would ship out same day seco"/>
        <s v="great company product arrived quickly not damaged i am a very happy customer"/>
        <s v="very fast accurate delivery&#10;thank you"/>
        <s v="good price quick delivery good product"/>
        <s v="they have food i want my dogs it arrives quickly"/>
        <s v="i just want share a wow from petflow i received collar i purchased but release button was so difficult open that i called ask if easier just buy a new one or replace it first guy was sooo nice he said no thats fine we will ship you a new one just throw ou"/>
        <s v="everything always prefect packaging shipping great"/>
        <s v="love petflow they have fromm brand i want which hard find delivery&#10;&#10;i sometimes wish packages would come quicker but last delivery was faster than previous&#10;&#10;good prices easy checkout process like that they save previous orders i dont do automated because "/>
        <s v="my first time using g pet flow very pleasant experience"/>
        <s v="have a good product selectionprompt delivery give discounts long time customers thanks"/>
        <s v="transaction was perfect ordering was easy shipping handling was completed in a timely manor order was received as ordered henry was thrilled with a new ball pleasant surprise"/>
        <s v="excellent service arrived quickly very healthy dog food"/>
        <s v="excellent shipping excellent packaging competitive prices easy ordering"/>
        <s v="they have a great selection of foods i love that they help pets in need they offer rewards referrals"/>
        <s v="excellent source my sweet frenchies needs wonderful customer service they very quickly replaced cases of canned fromms that were damaged in shipping i enjoy looking thru site find special treats maybe another toy"/>
        <s v="petflow had brand of dog food i needed it arrived in days your online ordering was quick efficient keep up great service"/>
        <s v="wonderful company shipping time was super fast customer service team was very helpful i had an issue with my order when i called customer service they were quick help solve issue i have never used petflow before but i will stick with them going forward"/>
        <s v="excellent transaction"/>
        <s v="your company sucks im never buying any thing from you again"/>
        <s v="cat food in stock quick shipping everything in good shape"/>
        <s v="i am very happy with my order from petflow i found cat food on their site that i was unable find any where else it was shipped quickly great place shop pets"/>
        <s v="super fast shipping easy deal with processed my dogs prescription food fast with a straightforward process switched from chewy who were awful deal with"/>
        <s v="i have had a very hard time finding taste of wild wet dog food anywhere my dog pet flow had it i ordered it they sent it right out their site was easy use ordering process was easy as well i will be using pet flow again"/>
        <s v="petflow has been charging me dog food they couldnt source they charged my credit card two bags of dog food but only delivered one i had call monthly get refund after showing them shipping weight did not equate bags but one i missed a few calls now theyve "/>
        <s v="pet flow doing an excellent job of coping with shipping issues generated by pandemic i appreciate that you keep me informed about my orders shipments as you deal with events that compact my order it enables me plan our pet needs thanks so much&#10;&#10;gunnys gra"/>
        <s v="all are ok thank you"/>
        <s v="i am so thrilled with fast delivery awesome service thank you great job"/>
        <s v="as a new customer petflow it worth nothing that their website prices delivery was outstanding exceeded my expectation thank you"/>
        <s v="excellent service price was right delivery was super fast"/>
        <s v="hello&#10;what a difficult experience ordered rx food a very sick kitten on january th then reached customer service on th enquire about timelines a local store was out of stock was running out of food kitten then was reassured that purchase would be shipped "/>
        <s v="freeze dried dog food if handled wrong will arrive as powder order arrived next day in excellent condition thank you"/>
        <s v="ive used petflow a number of years now have not been disappointed once even during crazy shipping times of covid their site easy shop they provide me with lots of flexibility when i need adjust my standing dog food shipment if youre looking a friendly alt"/>
        <s v="easily found dog food i wanted many other sites all local stores were out of royal canin yorkshire terrier loaf in sauce that both my daughter i feed our yorkies not only did you have it but delivery was exceptionally quick even ahead of your predicted da"/>
        <s v="finally found a store that has my preferred dog food in stock thanks your prompt service"/>
        <s v="wish you had a place where buyers could communicate with shippers upon purchase on where place packages shipper left package out on stairs in full view of potential thieves packages need be placed inside of my ft gate at front door&#10;&#10; several cans are dama"/>
        <s v="petflow online shopping a great way shop we live in a rural area not a lot of places shop at petflow i can get fromme pet food my pets eat healthy i also can get healthy treats my pets if not pet flow online i would be driving miles one way shop in stores"/>
        <s v="these tail wagers beef rib bones are so loved by my dogs but i am only allowed buy at a time which i dont like but they are way cheaper than publix which where i was buying them i will continue purchase because dogs love them but i may have found a replac"/>
        <s v="price was good shipping was good but one bag of rabbit food out of about identical bags in order was not rabbit food but hampster food their credit i did not pursue this or notify them of problem just wasnt worth my time i need things be correct first tim"/>
        <s v="repeat customer love them"/>
        <s v="it so nice have a reliable way get what i need my cat"/>
        <s v="first order didnt have any difficulties or problems"/>
        <s v="i ordered treats my fur babies i got a great price on them this was first time i had ordered got treats in a few days best service thank you"/>
        <s v="product was on time buy packaging was smashed you need strengthen you packaging"/>
        <s v="enjoyed prompt service will use them in future"/>
        <s v="im happy they had product i need that theyre willing do autoship only thing that i requested it be delivered by th now its going be five days late so i had go somewhere else pay full price in interim because they didnt ship at all in time period that i re"/>
        <s v="delivery always super fast much appreciated"/>
        <s v="prompt service competively priced"/>
        <s v="paid order only be refunded days later as it was not in stock though it not fault that dog food companies cannot get ingredients make food it petflows fault that food appears on website as being in stock when it not dont sell things you dont actually have"/>
        <s v="ordered products two were out of stock i contacted petfllow multiple times cancel two out of stock products one cancelled correctly but other already shipped so i received a off inconvenience discount on it then after all that two of same product was ship"/>
        <s v="i ordered prescription dog food it was listed in stock placed order sent in prescription email listed two days later got an email saying they were having difficulty getting prescription i sent it again they confirmed receiving it five days later no dog fo"/>
        <s v="local vets out of prescribed cat food could not find any anywhere on line either even with a popular well known pet supplier accidentally found pet flow they had food out cat needs they got prescription right away processed i sent it it arrived when we we"/>
        <s v="items shipped wrong twice customer service promised let me know if items were discontinued or if they were going replace them yet again never emailed or called back terrible customer support still havent been credited back my items"/>
        <s v="quick service n delivery"/>
        <s v="items arrived promptly im very pleased they offer bones made in usa which my dogs love"/>
        <s v="i would have preferred get my items a bit sooner as i have from other pet vendors i also wish i could get grain version of honest kitchens base mix i had go elsewhere do so"/>
        <s v="we started using pet flow a year ago order pet treatsour regular place was out of stock so i searched around found pet flowthey are better priced price doesnt go up down constantlysuper easy order but if you need callcustomer service greatthey also have a"/>
        <s v="i have macaw parrots so ae toys i ordered are same quality i have ordered years now from other companies price was reasonable shipping time very reasonable plus i paid no shipping costs will definitely order again in a couple months"/>
        <s v="very easy use very fast shipping thank you i will use you again my future orders"/>
        <s v="from start finish my order was handled with professional ease i will continue purchase from petflow"/>
        <s v="i ordered puppy food through petflow because it was only place beside amazon that i could get it i was getting a new puppy on tuesday i chose petflow because it said oneday shipping i didnt choose amazon because theres was twoday i needed it faster than t"/>
        <s v="i recently ordered pounds of kibble it was delivered quickly next day i found out my puppy had some dietary restrictions i contacted petflow they were very helpful i was able return unopened bag receive a full refund i am so impressed with this kind of cu"/>
        <s v="i have ordered from petflow almost years service prices are wonderful your staff so responsive knowledgeable best quality of products would never use anyone else im a true fan"/>
        <s v="right products delivered on a timely basis in good shape"/>
        <s v="reason why i did not give stars because its not vacuum sealed i guess easy stocking of product but it wont be fresh anymore who ever i charged of stocking product put a pin hole in each bag tell me if im wrong"/>
        <s v="very happy that what i need my dog in stock it ships in a timely manner&#10;thank you&#10;jean havens"/>
        <s v="i signed up automatic order find this dog food my dog would eat that according reviews was healthy friday january am est pet flow wrote order received order my order did not get a tracking order at first so i confirmed via email email was apologetic offer"/>
        <s v="i placed my order days ago i still have not been advised when it will be shipped"/>
        <s v="my order was canceled no one bothered tell me first time trying order not happy with this"/>
        <s v="i found petflow after searching high low royal canin pv wet cat food when company i usually buy from was out of stock due nature of situation with our cat it was very important we located this food thanks petflow their customer service they exceeded my ex"/>
        <s v="sent me wrong product twice in a row customer service was great in apologizing refunding my payment after two wrong shipments but i shouldnt have go through calling them twice a simple order i think they need educate their warehouse people wont be orderin"/>
        <s v="they carry fromm food our jack russell terriers love great website easy find what we want reorder function makes shopping easy orders ship quickly been using this site several years we are very happy using"/>
        <s v="absolute scam of a company twice now they have sent an autoship that i had paused charged me then when you call they want you do go ship it back them their mistake instead of sending someone pick it up&#10;&#10;also you cant cancel autoships on website you have p"/>
        <s v="i was running really low on my dog petes dry food&#10;i could not find royal canin adult bulldog food anywhere over last month even my automatic delivery sevice was out of stock&#10;i looked online petflow had it in stock yippee&#10;i ordered it with a discount it ar"/>
        <s v="ordered from pet flow first time my dogs food arrived quickly i got a great price on food wil be ordering again"/>
        <s v="i still havent received my product it was estimated days delivery we are almost weeks out no updates whatsoever"/>
        <s v="this was my first order with petflow one item arrived in days but other item still pending with zero communication if its out of stock as it in so many places just communicate that"/>
        <s v="i went online order my dogs prescription food it showed that it was in stock when i ordered it said that i would receive in about days when this date past i emailed response made no mention that it was out of stock days later i called was informed that it"/>
        <s v="order as expected on time prices great value"/>
        <s v="petflow was literally only source my dogs hills hypotreats which are on back order customer service was really helpful product was delivered on a timely basis with adequate followup"/>
        <s v="always get my order fast accurate"/>
        <s v="my experience overall has been very positive during past two years my order processed shipped within a reasonable timeframe it has been very convenient have heavy bags of dog food delivered my door petflow also helps me keep from having stop at pet store "/>
        <s v="fast shipping great pricesamazing customer service"/>
        <s v="website showed prescription food i needed as available quite some time since i placed my order i received my shipment of toys no food was delivered i called on status of prescription dog food was told i would get a response back did not i was told by repr"/>
        <s v="i had a problem with a shipment not being delivered petflow solved problem quickly kept me informed"/>
        <s v="i am so impressed with every stage in purchasing cat food i needed i set up auto purchase that gave me a discount but when i went check out they did not have enough send so i thought i would lose it no same deal they notified me every step of way made sur"/>
        <s v="always pleased with petflow been with them years"/>
        <s v="very fast shipping which really important all products i need are on this website"/>
        <s v="good food good delivered front door&#10;great service too"/>
        <s v="this was first time i ordered from pet flow they were really great i got my order within a few days will definitely order from them again"/>
        <s v="your service has been very good i will continue use your products"/>
        <s v="have been ordering from petflow more than years have never been disappointed with their service prices they keep you informed on progress of your order items arrive in a timely manor auto ship best service they offer"/>
        <s v="always very helpfulprofessionalunderstanding if you have a question or concern or if you need guidance on something willing match pricing more than likely do better than competition only down side they use fed ex who leaves package somewhere in vicinity o"/>
        <s v="i love this company i have always got what i need from them you should give them a try"/>
        <s v="i like that some of my auto ship order wasnt ready shipment you shipped each individual packages automatically without charging me a shipping fee even though contents of either package didnt meet cost requirement free shipping im so appreciative i didnt h"/>
        <s v="i have been ordering from petflow years now even have auto ship it works out great have recommended it friends"/>
        <s v="fast convenient delivery never a problem so much easier than shopping at pet or grocery store love petflow"/>
        <s v="always reliable with super fast shipping a lot of choices&#10;highly recommend"/>
        <s v="my experience with petflow has been all positive they care about there customers"/>
        <s v="this was my first order it arrived promptly petflow was only vendor that had item in stock i would will order from this vendor again very satisfied with them"/>
        <s v="food came in a timely manner"/>
        <s v="ordered dog food food was received in a timely manner never had a problem with petflow"/>
        <s v="ordered a veterinarian prescription diet my dog food was delivered promptly in days this was at a time when food was back ordered couldnt get it at many other places will now be using petflow as my main supplier been very happy with them"/>
        <s v="perfect every order"/>
        <s v="although there are supply issues customer service team excellent so helpful i also receive email letting me know they are still on top of my backorder when it comes in"/>
        <s v="i love pet flow shipping fast their prices cant be beat super cute products a great variety of dog treats"/>
        <s v="petflow not only had what i needed but also at a price that was lower than where i purchase locally my order came in a timely manner i received free shipping which i was very happy about"/>
        <s v="petflow has always been there wfull answers great delivery no bs about anything"/>
        <s v="petflow makes it easy me get a specialty dog food that i am unable get locally as i live in a rural area so far no damages any of my shipments delivery has been fast i also like how they have a variety of toys at reasonable prices"/>
        <s v="ive only used your company once so i cant give an honest opinion of pet flow&#10;what i can see that you should look at switching which company you ship with or at least give options of other shipping companies fedex horrible i used u use them at clinic i wor"/>
        <s v="this second ordered i placed with you i had hoped it was going be a lasting relationship sadly it not in first case i placed my order only part of order was shipped when it arrived i was notified that other item was out of stock this happened again recent"/>
        <s v="great website glad i found it as an alternative my usual my usual store was out of a specific food i was able find it here a good price"/>
        <s v="website order process were both easy shipping was efficient"/>
        <s v="better prices than chewy fast shipping thank you"/>
        <s v="first time buyer impressed by variety choices of products wonderful service"/>
        <s v="hi over a week told me food item was in stock would be shipped shortly called several times was told same story yesterday i was emailed a message that it was out of stock they would let me know when they had it in inventory that doesnt work when it food y"/>
        <s v="thank you kittys love theirs items"/>
        <s v="i phoned prior placing an order verify that my finicky cats food was in stock informed that it was three days later it still hadnt shipped when i phoned again ask when it would ship i was informed that it was out of stock&#10;&#10;i should have been notified of t"/>
        <s v="so glad i found petflow recently i moved another city state i was having a hard time finding food that my standard poodle had been eating i ordered from another company when i was getting low however weeks after my order i still had not received it i orde"/>
        <s v="i order a bag of fromm dog food process could not have been any smoother order came very quickly i would definitely order from petflow again"/>
        <s v="i couldnt find pet food i have been using in stock at all of my regular vendors so i tried petflow because they had it i have no complaints shipped arrived on time i was sent updates along way which i really appreciate"/>
        <s v="i ordered purina pro plan veterinary diet ha on it showed that it was in stock my prescription was verified but as of still has not shipped"/>
        <s v="placed order by phone on th was told order would ship either that evening or monday never received a shipping notice so i finally called on wednesday check on status was told by recording leave a message a rep would get back me no call just received an em"/>
        <s v="company carries great products quick respond with customer service if you wish cancel your auto ship it cumbersome but it does get done&#10;the biggest drawback that they use fedex as their shipper no other option fedex absolutely terrible their customer serv"/>
        <s v="your website customer reps have no idea if products you have are in stock&#10;i place order thinking you have food my pets then i get an email stating food on back order&#10;i need a more reliable company that has food in stock buy"/>
        <s v="when i order a prescription diet cat food it should not take phone calls get it shipped this not optional food that can be replaced with something else temporarily it something my cat needs live on my first phone call i was told authorization from my vet "/>
        <s v="this was my first time using pet flow i found site very east use package came earlier than expected with no problem in packaging they deserve a star"/>
        <s v="i got my exact order very quickly i was impressed because i buy online often it usually not what i ordered poor quality shipped in separate boxes andor late as all get out&#10;not petflow all nice quality good condition quick delivery in same box five stars"/>
        <s v="web site ordering autoship process terrible very clunky has caused problems with orders twice now most recently resulted in receiving double order of lbs of dog food charged different prices texted customer about this almost a week ago have not heard a wo"/>
        <s v="my last order had items that were out of stock therefore didnt make my monthly order i received communication regarding one item being shipped upon it being restocked but nd item was never acknowledged restocked nor substituted"/>
        <s v="easy order prices are comparable shipping right my door great ive had one order that was messed up i called customer service lady was very helpful professional quickly fixed my issue petflow fantastic only issue im having now backordered products but that"/>
        <s v="in a world where cat food an item on hard find list i googled where can i find discovered your website i am thankful you were able supply continue supply food my kitties love thank you"/>
        <s v="good selection easy shop a good price only thing i could ask a way check order status if its there i couldnt find it otherwise a very good first experience ill be back"/>
        <s v="so happy find yall be able order receive product a lot of places are out thank you"/>
        <s v="worst dont buy from them they screw everything up from spelling of my name my phone number not telling me they were out of something i paid it was an urgent order"/>
        <s v="pet service i usually use was out of cat food i needed you had it your service as good or better than what i usually use you were fast you kept me aware of its status you have a new customer im very pleased thank you"/>
        <s v="unfortunately my last ordered have taken over a week arrive last order apparently got stuck in system sat a week in order shipping status promoting a phone call resolve"/>
        <s v="plus with petflow that they carry fromm they dont price product more than anyone else maybe company controls that either way that plushowevershipping takes way too long that where chewey excels we are all in a hurry these days including me i look receive "/>
        <s v="very accommodating whenever i have change my auto order they have no problem changing date"/>
        <s v="horrible customer service repetitive delays in purchases buy with petflow made my life harder it lost good convenience that i previously had"/>
        <s v="petflow has most of items that i need my fur babies fast delivery good communication if something in my auto ship program isnt available their customer service best"/>
        <s v="received text stating it was being shipped that dayth six days later received another text stating was being shipped that dayth"/>
        <s v="i thought i was ordering small oz cans of dog food based on my item search photo results however unknown me oz cans were outofstock so order defaulted larger oz cans which what was shipped me these larger cans spoil before i can finish them as i have a sm"/>
        <s v="arrived quickly in good condition just what we needed especially when these are so hard find"/>
        <s v="out of my items were cracked packing was horrible even though i heard from someone finally today now your out of stock my items you did put money back on my card i really needed those items"/>
        <s v="love petflow been using them years"/>
        <s v="part of my order was defective i wrote tell them so i received a form letter of acknowledgement back but it took days an actual response item being replaced but has not yet shipped i think their customer service pretty poor"/>
        <s v="as soon as i gave him his first taste he wouldnt leave me alone after he ate lol what a great come back"/>
        <s v="great i initially got only two of four items i ordered but rest of items i ordered came next day"/>
        <s v="this was my first order from petflow but it wont be my last dog food that i needed was available website was easy navigate order arrived on time im a happy customer"/>
        <s v="this would be five stars customers service was fast friendly helpful i deducted stars because my order took so long arrivethis was i m sure due unforseen circumstances like our recent weathercovid such however i was told at time i placed my order that it "/>
        <s v="ordering dog food treats online works out great"/>
        <s v="packaging has improved lb bags i order are finally coming in proper sized boxes my last very large order bags were packed well tape helda first your customer service on phone was awesome luckily me because i find website very cumbersome when good savings "/>
        <s v="good selection of pet food easy order shipping fast"/>
        <s v="great service quick shipping ive been ordering fromm dog dog food over years from petflow have always been very satisfied with their service"/>
        <s v="my dog on a prescription dog food i couldnt find any i called petflow talked sweetest lady who helped me set up my order recurring so i dont have worry about it im sorry i cannot remember that ladys name but a big shout out her all her advice patience wit"/>
        <s v="i ordered a lb bag of dog food along with a lb of dog food when delivery day came i only received small bag so i called pet flow find out what happened seemed they ran out of my dogs food at nearest wearhouse had send it me from las vegas they had sent me"/>
        <s v="great on time delivery box contents in good condition"/>
        <s v="petflow tries very hard do what right i had a code off online it took discount then on receipt it was gone i left a message someone called me back he didnt question perc immediately took off congrats returning call giving no arguments it was refreshing"/>
        <s v="of my deliveries have had slashes in bag so i havent been able use food ive complained most times they sent me a new bag but very inconvenient"/>
        <s v="ordered nearly two weeks ago rx dog food status was always shipping had hound no pun them status finally just gave up cancelled order look elsewhere"/>
        <s v="great service prompt delivery"/>
        <s v="good selection reasonable shipping times always have trouble ordering"/>
        <s v="i was very happy with service from customer service"/>
        <s v="one reason i placed an order with this company was a specific item they listed on their web site i had order another very small item qualify free shipping so i did i was later informed main item was no longer in stock never had an option cancel other smal"/>
        <s v="was disappointed on my order item i ordered was out of stock replacement with something else without informing"/>
        <s v="i give one star only because wasnt an option i placed my order then get an email stating that product i ordered was unavailable in fact discontinued then i start getting emails saying my payment through paypal wouldnt authorizeworked fine everyone else bu"/>
        <s v="box was falling apart i cant imagine how delivery driver managed carry it porch fortunately bags of food are intact not&#10;damaged"/>
        <s v="excellent order on time i will order something soon thank you"/>
        <s v="i really loved my experience with petflow items i ordered were well packaged arrived in a timely manner&#10;i plan on continuing do business with them"/>
        <s v="fabulous website excellent customer support service"/>
        <s v="i placed my order on january did not receive my package until january i was expecting shipping be sooner i almost ran out of food my working dogs although i appreciate that petflow carries open farm i will not be ordering dr tims from petflow any longer w"/>
        <s v="excellent company i made a mistake had cancel an order it was no problem fast great service highly recommend"/>
        <s v="great company order products wanted since pet store where i normally gets them have quit handling these wonderful treats great service also"/>
        <s v="first order new puppy food that wasnt available locally process was easy delivery was on time packaged well will order again"/>
        <s v="horrible customer service i order food my dog they charged but didnt send it i called them a week later they said they didnt have it in stock meanwhile they charged it already they sent it later on without a hurry days later i havent received it yet i don"/>
        <s v="i spent a lot of time with my review so i will submit but beware you have accept certain terms conditions submit a review&#10;&#10;everything went fine a year a half our dog needs a prescription diet then last shipment they said order was submitted then a few day"/>
        <s v="accurate timely delivery&#10;&#10;thanks"/>
        <s v="ordered prescription cat food my vet approved prescription in one day waited a week with no delivery called customer service was told as soon as pharmacy warehouse sends it out ill get an email after waiting days with no email or food i canceled order bou"/>
        <s v="it has taken too long receive my order finally got one of items but cant even download shipping information other item i ordered prescription food my dog something i needed in a timely manner"/>
        <s v="always there answer questions help out"/>
        <s v="being told it was delivered it wasnt i di nt receive shipment until several days later this not acceptable"/>
        <s v="only received of rx cat food order placed in december &#10;no way check on line&#10;calls customer service have not resulted in any feedback as status"/>
        <s v="placed order being advised shipment would be made within days never received shipment called every few days continuously received same story be shipped within days now days later still have received nothing including an acknowledgement that cannot ship wh"/>
        <s v="excellent customer service patiently worked with me solve problem with order"/>
        <s v="generally timely professional service my major reason not buying everything through petflow your use of fedex ground deliver packages in this area north georgia fedex terrible most delivery packages in this area go through their austell ga facility austel"/>
        <s v="my order was fulfilled in two days without hiccups great prices products shipping"/>
        <s v="petflow only supplier i can get cat food my cat likes from i can get food he likes in bulk it at a good price he eats a can every day of one kind he very picky thanks being there"/>
        <s v="check your bank balances people if youre on autoship even if youre not check your bank balances food great my dog loves food no problems there i bought lb bags of this dog food first time on november so then a week later on december they had a off sale so"/>
        <s v="no problems with product but shipping was very slow allow or more days get your food from them"/>
        <s v="overall i love petflow but in this particular case where my autoship was delayed due outofstock conditions i feel i was not notified sufficiently quickly enough react as a result hills prescription cat food i had ran out i needed switch my girls temporari"/>
        <s v="they make it easy love how they call your vet prescription food fast deliveries"/>
        <s v="called petflow see if i could get meow mix they were very helpful and&#10;i ordered a multi pack box i received it right away everybody was very&#10;police nice will definitely use again"/>
        <s v="have ordered from petflow many have always had fast efficient service"/>
        <s v="my package was stolen they reached out provided me with a new bag at no cost"/>
        <s v="petflow helped me out in a pinch when other companies were out of my cats prescription food petflow came through me i really appreciate that as she older needs her special food"/>
        <s v="reasonable prices quick fulfilment delivery its always like this thanks"/>
        <s v="my order arrived incomplete it was downhill from there on i dont have time detail my problems trying get things straightened out i had been satisfied with my experiences with pet flow in past but this was a total mess"/>
        <s v="they could not deliver i called called received excuse after excuseended up cancelling my order order through amazon"/>
        <s v="my auto ship from petflow so easy use its easy add or remove products depending on what my animals need that month if i end up needing something extra i can order receive it quickly on rare occasions that something backordered i get excellent communicatio"/>
        <s v="have ordered my furkids prescription food several times your customer service has always been great"/>
        <s v="pet flow still carries brands i feed my dogs at fair prices some outlets dont have variety choices i find on pet flow"/>
        <s v="dog gates are sturdy shipped quickly great service"/>
        <s v="app difficult i tried cancel order it didnt work i am going stop pet flow auto matic orders they are difficult i had a double order time before too much trouble change m upotn"/>
        <s v="pet flow shipments are always ontime there sometimes a discount"/>
        <s v="great selection ordering was easy my order arrived quickly in good order my experience was very positive"/>
        <s v="products have been great with all limited choices due allergies i have been great full find what i need"/>
        <s v="i ordered dog treats from company my order was delivered within days through christmas holiday two bags came cracked i called they redelivered two more bags didnt charge customer service was really good it took no time get other two bags also i will defin"/>
        <s v="product delivered on time as promised quality excellent"/>
        <s v="not good service a lot of back forth useless waiting"/>
        <s v="i would usually leave stars but my pups dog food on several occasions has arrived late so in result ive had go stores buy same kibble"/>
        <s v="shipping dates are really slow which can be annoying thing you cannot get locally they always run days later than expected it seems when you have hungry parrots that can be an issue they also have a limited selection of foods dogs birds but what they do h"/>
        <s v="i placed my order thursday th asked by chat if saturday a business dayit isnt because warehouses that have supplies dont work weekends fine was told it would ship friday maybe fedex would deliver saturday but i would have it monday its shipping from nj ky"/>
        <s v="first time customer&#10;easy online ordering&#10;great price&#10;delivery prompt&#10;ill be sharing this company info without a doubt"/>
        <s v="my two kittens were recently prescribed a hydrolyzed protein diet because of pandemic food was next impossible find petflow had products that i needed quickly processed delivered my order im so grateful have found this site theyre amazing"/>
        <s v="still havent received my order this an awful experience will be my last"/>
        <s v="reliable excellent"/>
        <s v="order place has stalled on colorado from vegas on its way indiana tracking not being updated response time email a day or more behind"/>
        <s v="customer service top notch i love that i can message about my order in an email or text get a reply quickly great discount new customers a constant supply of my pets food thank you pet flow"/>
        <s v="i really like your products frequency of communication about a shipment my pets are happy too"/>
        <s v="pricing good i was kept informed of delayed shipment due weather will buy again"/>
        <s v="i was luckily find what i needed at a great orice shipping was fast because i met minimum i got free shipping will shop again"/>
        <s v="been with petflow going on years now they always help me if i need specialty food or just basic pet food so many choices treats too thank you meeting my expectations in each box i receive fan life&#10;&#10;denice"/>
        <s v="delivery was quick im very happy with red gravel red gravel hard find"/>
        <s v="discount on quality dog food&#10;is perfect"/>
        <s v="petflow falsely advertised a food as in stock then withheld funds they took from my account i was diligent thankfully but despite my best efforts it still took calls customer service get my money back each cs rep provided conflicting info with previous re"/>
        <s v="very fast service great deals on food i purchase"/>
        <s v="placed an order a prescription dog food on which your web site said was in stock which was a surprise because all other pet stores were out of stock received a confirmation with an order number pending charge on our credit card pending charge dropped off "/>
        <s v="would really like invoice included with shipment would alleviate one step in filing claims"/>
        <s v="great customer service an order was placed an item was missing i sent an email report it they sent item out immediately no questions asked will continue be a customer"/>
        <s v="easy order great price fast shipping"/>
        <s v="petflow came through when other trusted online pet food providers dropped ball even with order itself managing fedex they kept engaged until entire was completely fulfilled delivered service tough put a price tag on thx petflow"/>
        <s v="horrible communication useless customer service promised emails never received in stock item still not received after days new tracking number refers item already delivered not item still waiting this was my first last order"/>
        <s v="they have dog food i use but not cat food they are slower deliver than other sites"/>
        <s v="good fast service"/>
        <s v="pet flow staff have been knowledgeable polite able meet my needs every time i have called products carried are high quality competitively priced"/>
        <s v="great do business with very fast delivery will use again"/>
        <s v="each order comes as anticipated very timely"/>
        <s v="first time ordering from petflow online ordering process was quick easy we received order very promptly highly recommend pet flow"/>
        <s v="petflow has a great selection affordable prices on a variety of dog cat foods they ship quickly always send notifications on status of your order"/>
        <s v="ordered three bags of dog food one was delivered promptly other almost two weeks arrive when it did one of bags had opened spilled kibble all over box"/>
        <s v="ive ordered from petflow over years&#10;ordered always delivered on time prices are righteous highly recommend"/>
        <s v="never did get my order it took days you let me know it was out of stock"/>
        <s v="my dog hannah absolutely loves this new pet food she smells it from other end of my house comes running waiting impatiently only devour it in no time plus delivery was prompt thank you so much"/>
        <s v="very fast delivery great discount &#10;thanks"/>
        <s v="my order arrived on time complete one product i wanted order was out of stock but theres an option get an email notification when its available which extremely helpful"/>
        <s v="im very happy with petflow they were great with me my vet get vet prescribe canine tds my vet was not so nice"/>
        <s v="been a customer several years now reliable shipping excellent email notice help me adjust my autoship if needed excellent customer service by phone when needed"/>
        <s v="out of last ten orders three were messed up did not deliver on time one of which required our cat sitter go a specialty pet shop get food while we were on vacation"/>
        <s v="my recent order was delayed due weather shipping company when i spoke with petflow customer service they were helpful tracking package keeping me posted on when it would be received i appreciate this help"/>
        <s v="i didnt get my delivery but when i talked customer service man we discovered i hadnt changed my address at petflow since i moved in may it got sent old house but he went ahead sent a replacement my new address he was very kind even when it was my fault"/>
        <s v="i have received numerous orders from this company they are always accurate timely thats why i will continue order from them"/>
        <s v="quick response my order with delivery time kept me updated"/>
        <s v="my order came in good time i have been unable locate hill science diet food through my usual sources however petflow came through with flying colors not only was i able obtain some of wet food i normally feed my cats but i was able obtain comparable choic"/>
        <s v="very good company with a wide selection of products timely delivery easy order i like this site very much"/>
        <s v="great selection of product i have always found my selections in stock deliver unbelievably fast"/>
        <s v="coupons never are useable purchase of fromm dog food&#10;&#10;delivery by fedex in a word fedex lousy i realize this another company but they are making petflow look bad they chose them"/>
        <s v="my buddy loves treats from petflow on my last order one item he dearly loves was left off because it was out of stock my surprise when petflows new shipment arrived they sent item sopleased never has that happen with any company that strictly pets before"/>
        <s v="competitive prices great delivery honest trustworthy"/>
        <s v="overflow consistently delivers high quality cat food my house what could be better"/>
        <s v="my cat passed away unexpectedly a couple days after ordering her prescription food online i contacted customer service via text very convenient option they were not able return food because it had already shipped but when i shared my situation they refund"/>
        <s v="i love convenience but petflows online ordering setup sooooo difficult use result ive had multiple unwanted shipments no matter what i do&#10;&#10;for months ive tried get rid of an extra autoship program i cancelled chat reps cancelled finally a phone call seeme"/>
        <s v="love extensive variety of pet foods especially better brands prices are comparable or better than others delivery quick only one constructive feedback shopping cart view i would prefer it could be full screen"/>
        <s v="i still havent received my order&#10;&#10;i ordered some dog food a chinchilla chew get free shipping&#10;&#10;the chinchilla toy came quickly it was in a huge box that could have fit bag of dog food that i ordered as well&#10;&#10;the dog food still has not come yes it might be"/>
        <s v="ive been buying quality pet food from petflow about three years they carry quality brands they have excellent customer service their website easy navigate i like autoship option which also easy edit so i have only great things say about this company thank"/>
        <s v="on time best price good by amazon"/>
        <s v="i had trouble finding my cats prescription food customer service was marvelous ultimately i was able secure a bag her"/>
        <s v="place order days ago still no shipment yet call them a few days ago was informed that it was ready ship but still no info whatsoever"/>
        <s v="very timely service thanks"/>
        <s v="great quick delivery thanks"/>
        <s v="one of few places i could find what i needed at a great price was cherry on top it shipped quickly got here fast i now have some happy cory catfish"/>
        <s v="always get my order quickly good prices too"/>
        <s v="i was pleasantly surprised that petflow had special canned cat food that i was looking couldnt find locally additionally shipment was very well packed arrived quickly this was my first time order from petflow i was impressed will definitely order again"/>
        <s v="everything came my home in time before i ran out of dog food one toy was slow but it all still made it my home so dog could enjoy it"/>
        <s v="love this company always have what i order&#10;shipment comes really fast&#10;never had a problem with petflow"/>
        <s v="great products&#10;great prices&#10;fast shipping&#10;employees on phone are so courteoushelpful knowledgeable&#10;exceptional place shop"/>
        <s v="easy website layout good selection of pet food i love fromm dry cat food selection my cat loves his treats too my cat approves petflow"/>
        <s v="excellent quick delivery with best pricing will definitely be a returning customer"/>
        <s v="my initial shipment was damaged but csr was extremely helpful sent me a replacement promptly"/>
        <s v="its been over two weeks i have yet receive a shipping confirmation will likely dispute order"/>
        <s v="received exactly what i ordered in excellent condition thank you"/>
        <s v="i love using petflow they have wonderful options my dog good communication on orders highly recommend"/>
        <s v="very nice better than expected we purchased it ferrell cats stay warm we set it up in our house our cat thinks its his new house he loves it"/>
        <s v="petflows customer service exceptional website easy navigate check out super fast shipping"/>
        <s v="pet flow continues carry special dog food that i require my pet at a good price they ship it super fast very satisfied with their service"/>
        <s v="petflow offers a wide variety of limited ingredient snacks my dogs prices are very reasonable"/>
        <s v="i was sucked in by promise of a discount in exchange my email address then i couldnt use discount because it had a previously undisclosed minimum order requirement which was extremely high i felt tricked i would normally order bag of dog food at a time bu"/>
        <s v="service extremely quick they seem have a supply over above what other entities have on hand first time with petflow but will certainly look them as an option in future"/>
        <s v="ive used petflow years have always received top notch service i love enormous variety of products available my dogs ive easily found best products each other they also include sources products which i find very important deliveries have always been on tim"/>
        <s v="pet flow wonderful but delivery leaves much be desired fed ex refuses bring my packages my front door instead they are left in street"/>
        <s v="petflow has been fine not stellar with occasional hiccoughs on prescription food authorization lately theyve been completely unreliable as a retailer causing us cancel our subscriptions move chewy"/>
        <s v="wide variety of products fast service on orders even if they are specialty items"/>
        <s v="product was good well packaged but it was a week late required me go all over local area multiple times supplement food until me order got here id be perfectly happy would definitely order things again if pet flow would stop using fedex their shipper"/>
        <s v="my dog food took week arrive me"/>
        <s v="petflow great you call always get a live person right away ive been with them years cant beat their customer service"/>
        <s v="i thought i had cancelled one order order a different food it turned out i got both orders i was told it would be fine keep them both use them just set a later date my auto shipping"/>
        <s v="petflow delivers quickly they have an autoship program you can change your auto ship as many times as you want they have best prices quality of products"/>
        <s v="my order of dog food was shipped on a monday said friday delivery did not come till next monday with that delay i had go get dog food i didnt want in order get by until my order came chewy takes days i guess ill go back there"/>
        <s v="i purchased some hard find puppy food because no stores in my area carry it i found it in stock with petflow i ordered it they use fedex as their shipping carrier i have had numerous problems with getting my packages late via fedex i emailed petflow give "/>
        <s v="great selection easy check out shipment came in a timely manner"/>
        <s v="petflow efficient speedy i never worry that my product will arrive on time"/>
        <s v="petflow fast accurate they beat amazon on delivery time prices are on target no complaints about product from stanley or bruski very glad we found them thank you"/>
        <s v="love quick shipping love cost of foods ie royal canin love that items are in stock love customer service&#10;what else there"/>
        <s v="i made an order from petflow awhile back never received order when i checked order it had been canceled due an error by veterinarian unfortunately no one told me it was cancelled i called veterinarian their internal communications got confused that why th"/>
        <s v="i received my complete order it was a few days later than usual but that was be expected at christmas time problem was that a bottle of white dog shampoo had opened up inside box covered a pound bag of dog food a raincoat with a whole bottle of blue shamp"/>
        <s v="my one complaint that you cannot cancel an order on your online account had call numerous times get a customer service agent fix a mistake on ordering very frustrating hope they make changes with online ordering"/>
        <s v="so much care was placed into packing my order it was wonderful there was a lot of cushion in box so cans didnt arrive all bent i will definitely place another order soon"/>
        <s v="they shipped my wet catfood over a week after i placed order scheduling it be delivered nd of december could do nothing delay or cancel order even before ups had it so my food going freeze over over again while we are gone christmas if i dont pay a big fe"/>
        <s v="prompt shipping i ordered dr marty my fussy dog he likes it so i will order again"/>
        <s v="petflow a class act&#10;always have my product in stock fast free shipping&#10;a"/>
        <s v="i have been buying my dog food from petflow years now it has always arrived quickly fresh my dog happy"/>
        <s v="very reliable auto ship quick with off cycle purchases"/>
        <s v="excellent service with competitive pricing"/>
        <s v="dented dog food cans at times sent concern about this five days ago have yet receive a response"/>
        <s v="there was a mistake in order they didnt hesitate make it right great customer service great product"/>
        <s v="great products offered with fast delivery thank you"/>
        <s v="price was right quality was great that along with fast shipping gives petflow stars"/>
        <s v="great site i discovered it by accident after chewy was out of my cats food i gave it a try was pleasantly surprised how wonderful petflow was delivery was very fast product fresh well packaged they saved day now i ordered again this time price was great o"/>
        <s v="i discovered petflow when another major retailer had no inventory of my cats preferred flavor of prescription food i enjoyed experience fresh inventory so much that ive been buying from petflow ever since"/>
        <s v="i searched at least six different retailers find this special canned pt food specially formulated my small breed senior picky eater with only remaining teeth no avail i was desperate as my little yr old girl turns away from nearly all other similar produc"/>
        <s v="never had a problem have recommended"/>
        <s v="order was easy place delivery was prompt thank you"/>
        <s v="thank you ease of ordering speed of getting my order delivered also i am very impressed with your website"/>
        <s v="i have been ordering my dogs food from petflow a few years they always have a quick turn around from order being placed delivery my dogs eat fromms large breed dog food which can only be purchased in specialty stores petflow has been wonderful order food "/>
        <s v="i have had a great experience with petflow only once i had a packagedelivery that was stuck somewhere unknown customer service immediately sent it me again without question i was grateful impressed&#10;also when you place an order with petflow you need stand "/>
        <s v="always quality items from pet flow they are recieved in a timely manner"/>
        <s v="i like this company they have a great selection of dog foods that are difficult find other places their prices are comparable other sites although they may be a few dollars higher i like that they say they do note food animal shelters"/>
        <s v="false info on delivery date no follow up product seems be stuck in transit in a black hole in neighboring state product over a week delayed from promised date with no follow up status update will never deal with pet flow again not a well run business"/>
        <s v="great communication speedy service delivery even when supplies are low thank you"/>
        <s v="very pleasant experience good customer service&#10;fast delivery prices are ok"/>
        <s v="placed order received item earlier than anticipated will definitely us this vendor again considering we have four bernese mountain dogs they do eat"/>
        <s v="im still waiting my dog food delivery or even an update no news since it reached my local distribution center days ago"/>
        <s v="things came well packaged timely no complaints"/>
        <s v="took days in transit packaging was taped retaped treats were on each side of package front back no doubt they will be dust when i open them this company needs step up there game in shipping department"/>
        <s v="prices were good product availability was good shipping was good free im happy with them"/>
        <s v="petflow responsive clients with good prices discounts fast shipping"/>
        <s v="except a blip on refund all well will continue get my fog food here"/>
        <s v="what i wanted quickly received with terrific phone support"/>
        <s v="huge variety of pet supplies fast shipping"/>
        <s v="i couldnt find my cats favorite food in any of major stores or any of major online store but petflow had it was able get fast easy"/>
        <s v="great service shipped my order out quickly they had a cat food i have been searching but was out of stock everywhere luckily they had it in abundance thank you so much"/>
        <s v="very prompt courteous take care answer emails"/>
        <s v="had product delivered in a timely manner"/>
        <s v="quick easy"/>
        <s v="i changed my delivery date shipment still came"/>
        <s v="received wrong items messaged hrs ago no response"/>
        <s v="fast delivery great product as usual package came undamaged"/>
        <s v="best offer i could find price delivered promptly just when needed i will be using petflow in future"/>
        <s v="super service shipping my fromm gold dog food highly recommend"/>
        <s v="store itself has great prices selection however shipping of those products has been a nightmare placed an order on morning of spoke someone on phone inquiring as location from which products were coming from i was told that my order was being packaged wou"/>
        <s v="shipped fast had items in stock that others didnt what more can you ask"/>
        <s v="excellent service best pricing so glad i found you thanks"/>
        <s v="very pleased with pet flows service products"/>
        <s v="great prices selections of high rated dog foods shipping free over fast"/>
        <s v="petflow has best prices pet food deliveries are reliable sometimes my cats wet food not in stock but when that happens it not in stock anywhere"/>
        <s v="every time i order from here they always double my order i ordered one big bag of dog food i received two charged two instead of one this second time they did this i will not order from them again"/>
        <s v="great dog food my maltese acts like a pup she she has been eating salmon a la veg yrs"/>
        <s v="excellent service best dog food ever would not feed my dog anything else then natural balance"/>
        <s v="staff were very good at listening finding a solution that would help me"/>
        <s v="excellent customer service fast shipping"/>
        <s v="my delivery isnt not comingvery very slowly"/>
        <s v="i was very pleased with my order i found an item my birds that i couldnt find anywhere else a cheaper price it arrived very quickly"/>
        <s v="petflow apparently doesnt put in packing so i got all of cans dented up petflow needs protect cans"/>
        <s v="been ordering from petflow along timequick shippingcompetitive priceshas brand of dogfood we wantwish they offered prescription medications"/>
        <s v="i was with this company many years but repeated mix ups with my food delays supply issues took a toll moved my business chewy didnt want buy my fur babies have eat"/>
        <s v="we ordered pet food on nov received it today dec way long i have three emails telling me earlier dates probably our last order from pet flow"/>
        <s v="you need improve on your customer service on phone you also need improve on your deliveries services meaning when customers ordered products from your website&#10;it needs be more accurate in amount of products you have online website store amount of products"/>
        <s v="i am very happy with my purchase of cat food from petflow only issue i had was trying find out on web site how i could check out otherwise great"/>
        <s v="they have great customer service they try very hard please their customers they also have a wide variety of pet foods"/>
        <s v="love this company great work with carry alot of different foods"/>
        <s v="very few notices of what was going on i finally sent emails made a phone call joseph was very kind it took days get here wonder if it would come i had buy dog food in meantime not happy product was good why did it come from new jersy nevada closer"/>
        <s v="i wouldve given a star review however with my last order it wouldve been nice if i was informed that my order dog food was not available from where it usually shipped i usually get it within a week but since it was coming from much farther away it took da"/>
        <s v="only half my order arrived so far fedex dropped busted box in middle of front yard left i wonder if second half will show up or if fedex will make it disappear like last order"/>
        <s v="great service as usual even over holiday weekend order was accurate delivered on time"/>
        <s v="website easy appreciate discount&#10;other places were sold out of dog food i need so thankful it was in stock delivered in a decent timeframe"/>
        <s v="thanks having food in stock now its get him actually eat food"/>
        <s v="great experience&#10;fast shipping great communication with seller"/>
        <s v="shipping not according what was indicated at time order was placed"/>
        <s v="excellent transaction will shop again"/>
        <s v="petsmart stopped carrying avoderm brand then petsmart followed&#10;im very frustrated with them since they still advertise products yet not in stock or not available&#10;i contacted avoderm they recommend petflow&#10;my initial purchase took longer that expected howe"/>
        <s v="my hund loves chow we ordered from petflow"/>
        <s v="i always get what i need in a quick turnaround my year old hound"/>
        <s v="great product great price"/>
        <s v="folks at petflow were kind enough give me a credit fedexs deplorable delivery service they held my shipment hostage in their distribution center days&#10;my shipment was correct sent out as quickly as they received approval from my vet"/>
        <s v="great prompt service delivery bag charge was a bit of a surprise though might be wise hide that under one of other headings"/>
        <s v="i placed orders during weekends return email said my order would be placed following monday email would be sent of when expect delivery i have had call customer service a couple times order was finally put thru my dogs do better when their food isnt chang"/>
        <s v="i thought that price was high compared vets office other than that experience was good"/>
        <s v="i had a very frustrating experience with petflow my original order was scheduled nextday delivery however it took close a week from getting cat food i ordered petflow misled me on my delivery date this only food my cat can digest so it became an emergency"/>
        <s v="very happy with my purchase experience excellent help thank you"/>
        <s v="i paid a package of food my chihuahua that needed a recipe from vet but we could not get it so i would like have my money back"/>
        <s v="i wrote company regarding a complaint about customer service claiming that i didnt have funds pay an order that was an auto ship said backordered after ordering something else i got billed it not knowing what this charge was i called in find out customer "/>
        <s v="petflow carries our dogs preferred high quality food treats we auto order receive our shipments quickly"/>
        <s v="i like petflow i have ordered from them before this time it took way too long get my order only reason i got it when i did because i called complained then they showed it being shipped right away but it still took days after complaining i needed dog food "/>
        <s v="whole reason why i ordered from petflow because of their quick shipping in days it took over a week my food arrive i had tobuy another brand of food that upset all of my dogs stomachs never again"/>
        <s v="i was very happy be able find a food item that i needed that was sold out on chewy amazon all of my local pet supply stores only reason stars instead of was delivery notifications i understand delivery delays especially right now but i received different "/>
        <s v="very impressed with being able get what i need my furbabies special food so far its always been in stock unlike competitor sites various pet stores prices are a smidgen lower than everywhere ive normally gone delivery at this point my first order came wit"/>
        <s v="easy website navigate fair prices fast shipping"/>
        <s v="customer service has definitely declined website keeps changing making it difficult order when you want iused order different products at different times of month still get auto ship discount now i get nothingbeen a member since &#10;looking around a better d"/>
        <s v="third time they have got order wrong"/>
        <s v="i have been pleased in past with available dog foods treats toys etc delivery i have experienced a lot of out of stock items that i have on autoship i have had buy these items on my own else where"/>
        <s v="fast delivery"/>
        <s v="great discount on hill science canned food my dopey cat its becoming difficult find chicken n rice flavor so it was a relief that you had it"/>
        <s v="you carry dog food that my puppy needs his first year prices are reasonable affordable"/>
        <s v="i tried switch my monthly orders food treats meds flea collars petflow it was a disaster i get how economy currently but your communication terrible i cant work with a company that takes days acknowledge a request i see all bbb complaints your concept gre"/>
        <s v="can someone contact me"/>
        <s v="excellent product delivered quickly competitive pricing"/>
        <s v="need a better way let people know that their order was shipped with a tracking number had text you find out when my order was be shipped when i received an email telling my that it was shipped there was no tracking info available need let people know actu"/>
        <s v="i was able get my dogs food from you when no other retailer had it thank you"/>
        <s v="product was as advertisedworks great arrival was fastprice was good service was friendly professional great company"/>
        <s v="days after i should have recieved my order i called because i did not know why or where it waswell was told by a very rude lady she would send an e mail hurry up my order at another warehouse because they had none i asked why they didnot notify me it was "/>
        <s v="fast service good prices arrived in great condition has follow up emails"/>
        <s v="chewys orders always arrived within days i decided give petflow a try after close a week i had call petflow ask where dog food order was they said they delayed getting order through waited until next day initiate order then they were short staffed then ma"/>
        <s v="i love that my choice of dog food always ready deliver our door when we need it auto ship great not having lug big bags home from store even better"/>
        <s v="products i ordered arrived quickly website was easy navigate"/>
        <s v="disappointed i created my first order on order still hasnt even shipped no communication updates either uggh"/>
        <s v="very happy with my purchase shipping fast communication excellent"/>
        <s v="it was supper easy place my order shipping was quick"/>
        <s v="good job sending package on timely basis thank you"/>
        <s v="always super fast shipping great packaging"/>
        <s v="always good condition of cat bagged food arrived in great shape order was correcttimely order"/>
        <s v="had products i couldnt find any other site"/>
        <s v="dog food was listed in stock at time of placing order after a few days of showing shipped ends up order wasnt shipped i called was informed that it was out of stock in warehouse"/>
        <s v="never received my order in over a month spoke over customer service people dont buy from this company"/>
        <s v="order placing was easy great site set up like autoship offer too already referred them my neighbor"/>
        <s v="ordering was easy my purchases arrived quickly which wonderful during these times&#10;i give this site a instead of because i was unable read reviews on products i bought my cats are not eating one of them would like know what other buyers said or if they add"/>
        <s v="saved from having my kitten upset i have been unable find food my kitten eats after several trips pet store with no luck went online royal canin site pet flow was a recommended store order from fortunately my kitten yall had plenty of cans me order very s"/>
        <s v="i liked prices toys treats available but several of items that i ordered sold out were removed from my order after id checked out paid them however i will be giving them another chance when supply chain problems are better"/>
        <s v="good service"/>
        <s v="fast shipping great inventory of cheap toys"/>
        <s v="we use auto ship most of products we buy online i found pet flows autoship program be extremely difficult manage no longer use it as a result i often buy pet products from other suppliers we have pets buy a lot of pet products"/>
        <s v="speedy delivery stuff usually comes within or days good customer service i called ask a question about my product they answered quickly with good telephone manner i just signed up autoship well see how that goes i just wished they carried fancy feast gril"/>
        <s v="we love convenience of auto shipping we were surprised at how easy it add or delete items a specific auto ship or future orders prices are fantastic i like that i can still find fromm products here"/>
        <s v="very smooth experience good price reasonable quick shipping"/>
        <s v="order paid dry dog food cans of wet dog food day they shipped it i got an email saying they will refund me cause they are all of sudden out of that particular wet dog food i then had run everywhere find it at last minute&#10;when lb victor dry dog food arrive"/>
        <s v="everything went very smoothly from ordering all way delivery i was very happy will use them again"/>
        <s v="delivery was delayed times said day delivery i got it in days not satisfied with delivery"/>
        <s v="ordered prescription dog food but got nothing but excuses over a week their reps made one excuse after another as why my dogs food was not shipped"/>
        <s v="excellent service im a happy customer"/>
        <s v="i am totally impressed with petflow they deliver product quickly have pet food in stock if they are out of stock they will send email let you know that it back in stock they are now only one that carries my dogs food i hope they always will thank you petf"/>
        <s v="i have been&#10;using petflow several years because they carry type of dog food i want my dogs have no stores anywhere near me have it in fact trying get high quality dog food id have travel an hour one way so it very convenient have it shipped directly my ho"/>
        <s v="very fast shipping they sell good quality items"/>
        <s v="very good customer service contacted my vet prescription diet food shipped out immediately highly recommend"/>
        <s v="great products service that excels more than satisfied consumer from maryland"/>
        <s v="i spoke with a very helpful woman who checked with supply found a case of hills savory cat food our local petsmart had been out of it a while my year old cat loves that particular food takes her meds with itshe has hyperthyroidism food arrived as promised"/>
        <s v="i placed an order on received an email saying i would get a shipping confirmation when it shipped when not received by i reached out customer service was told it was delivered on as of i still have no food was forced order elsewhere your customer service "/>
        <s v="my husband shopped here last christmas gave it stars i like site because they have unusual things make great gift items"/>
        <s v="i requested heavy package be left at garage door under overhang but it was left at front door instead otherwise very easy convenient efficient order delivery"/>
        <s v="excellent service everything packed with care"/>
        <s v="currently waiting receive order know distribution system messed up i will try explain my hungry miniature doxie would have been helpful if at point of order petflow made a statement that delivery could take up x weeks or more if that unacceptable cancel o"/>
        <s v="i love quick delivery when we order our dogs food so convenient"/>
        <s v="good cat loved it"/>
        <s v="ordered dog food first from petflow ordering was simple easy website navigation product arrived in a timely manner"/>
        <s v="they let me order food charged me called my vet confirm prescription they didnt even have food in stock in these times of cat food shortages wasting my entire week thinking i had found food my cat was detrimental my finding more in a timely fashion shame "/>
        <s v="very good customer service&#10;they work with you get you just what you want"/>
        <s v="ive used petflow a year now love it orders are easy complete quick deliver&#10;i had call customer service change my order quickly received credit on my card i switched dog food brand mistakenly forgot cancel my automatic refill order great customer service"/>
        <s v="package was a week late but i believe that was fedex fault when i contacted petflow about delay response came relatively quickly they let me know they contacted fedex figure out issue i received package next day customer service was friendly helpful"/>
        <s v="great pricing however i wasnt able use my on my second order as promised i did rate company a star however after reading other star ratings i feel im just another customer that was mislead"/>
        <s v="very slow ship resulted in poor arrival time i thought days was enough time but was wrong"/>
        <s v="i spoke with somebody in chat i canceled this order i was told that my order was canceled i asked confirmation that my order was canceled an email they told me we dont do that two days later i had two of my lids show up at my door after it was canceled i "/>
        <s v="although i have had great success with using petflow in past currently their service quite poor i had a older cat needs vet prescribed food after ordering food recently petflow informed me vet indicated i have no relationship with them ok i called vet the"/>
        <s v="petflow has cat food that i cant find elsewhere which nice i like their automatic programs except not being able edit them ive been sent products that i cant use have contribute humane society delivery always fast well packaged"/>
        <s v="my dog food always arrives on time they always correct if a mistake happens we are happy with service"/>
        <s v="this gate working very well at our house twoway open door terrific we are very happy"/>
        <s v="great prices selection fast shipping love petflow"/>
        <s v="excellent selection of items their delivery was spot on timely i tried them when chewy did not have brand of food that i was looking i learned that since chewy was purchased by petsmart they no longer carry fromms dog food"/>
        <s v="thank you so much petflow you have prescription wetfood available my halo"/>
        <s v="delivery of our canned dog food was quick we had a problem with one of cases due shipper petflow customer service was excellent"/>
        <s v="never received dog food i ordered nor did anyone follow up after i called them inquiring about missing order super disappointing untrustworthy poor customer service"/>
        <s v="petflow a great company do my on line buying from customer service persons are best"/>
        <s v="like quick service available products i have only had one problem since using petflow ordered pill pouches they arrived smashed good company that i have recommended"/>
        <s v="always get my pups treats food from petflow great service super quick delivery with updates"/>
        <s v="on oct th after not being able obtain prescription canned dog food needed through normal online pet care provider over days i found petflow website which showed food was in stock be sure i called same day spoke an agent who confirmed their database did in"/>
        <s v="customer service excellent what they sayhappens quickly delivery fast packaged very well notifications of shipment delays when expect delivery are outstanding&#10;love this companythey genuinely understand how important our fur babies are us bravo pet flow"/>
        <s v="i had a hard time finding what i wanted petflow had it fair price fair shipping cost timely i will be a repeat customer"/>
        <s v="always what they promised great deals"/>
        <s v="i ordered a few items using an account credit when one of items was out of stock at one warehouse had be shipped from a different warehouse they charged my paypal account without my consent this item that was already paid using account credit i will never"/>
        <s v="great prices easy order prompt delivery im a convert"/>
        <s v="i have ordered pack of bully sticks from petflow several times they are an expensive item anywhere cost keeps going up as with everything these days their prices are fair their shipping fast one thing i have noticed that total amount that my receipt says "/>
        <s v="ordered online instead of my local store who almost always out of stock i just order when old bag halfway empty food comes within a couple of days usually no issues"/>
        <s v="my order was filled shortly after it was placed but days after it was due be delivered only of boxes has been other two boxes are sitting at a fed ex center waiting be loaded onto delivery truck petflow customer service people were very kind pleasant work"/>
        <s v="i ordered my dogs food had it within a couple days free delivery boot"/>
        <s v="our order was delivered very fast price was reasonable website easy use"/>
        <s v="came on time exactly what i needed couldnt find it anywhere else thanks"/>
        <s v="placed order received it in less than one week"/>
        <s v="what a mess this company i thought chewy was annoying&#10;&#10;i will never use petflow again"/>
        <s v="when i received my order box bag of dog food had been ripped open i called customer service they had a new bag out same day awesome customer service thank you very much"/>
        <s v="outstanding well trained smart friendly knowledgable customer service i depend heavily on autoship program"/>
        <s v="ordered everything i have a chew everything puppy i placed my order then received an email a couple items not in warehouse that was fine but never received either an email or receipt my items or what my final cost was they did state i wouldnt be charged i"/>
        <s v="i love petflow they always have what i need my dog ship it out fast a service every order"/>
        <s v="everyone at petflow seems be familiar with their inventory very helpful great place shop your pets needs"/>
        <s v="treats were perfect fast shipping thank you"/>
        <s v="petflow was recommended by my girlfriend i switched dog food my dog loves it i have no complaints recommend i can set up times of delivery between bags"/>
        <s v="just started auto ship of a cat food skin allergies made by hills once i know how much i will need of blue buffalos i will make it auto ship hills i am running into availability of just ordering when i need it or at vets it was even a problem before pande"/>
        <s v="love pet flow very kind friendly customer service they always have my cat bff weruva in off always a plus"/>
        <s v="i have been pleased with petflow customer service has been great products are good only problem i have had using your website cancel autoship i have only been able pause it i dont know if this intentional or an oversight i know i can call cancel but it mo"/>
        <s v="my doggies food comes so quickly after i order its always in perfect condition"/>
        <s v="always an easy transaction we order our dog food from here regularly"/>
        <s v="didnt have my order in stock canceled my shipment with a puppy it hard just up switch food when an order doesnt arrive as expected so had go extra lengths find specific food"/>
        <s v="awesome as usual always on time great customer service fantastic product"/>
        <s v="our toy poodle has been permanently put on hills canned stew due health issues but we found it was not available due a supply shortage then we turned petflow found her entire supply with fast delivery petflow looks out our furry kids that we are very grat"/>
        <s v="i love autoship option my cat items purchases in particular i order large containersboxes of cat litterpetflow does an excellent job of packing it it always arrives undamaged they also keep me informed of any shipment delays etc"/>
        <s v="i began using petflow several years ago i love them because&#10; i can speak a real american born person who always helps me&#10; they carry brands from small companies such as fromm&#10; somehow they get fedex deliver my house on time fedex usually does not deliver "/>
        <s v="product was delivered quickly on time with no damage"/>
        <s v="excellent communication reliable timely deliveries customer service best ive ever worked with my goto supplier quality pet food"/>
        <s v="excellent customer service easy auto ship options"/>
        <s v="good service selection prices"/>
        <s v="customer service has always been polite helpful but unfortunately i have needed use them frequently with my autoship orders i had pets getting prescription diets but they kept sending requests refill incorrect veterinarian then somehow changed pet names t"/>
        <s v="item i ordered turned out be unavailable i received an email a few days after ordering which informed me of that fact i dont know why you cant update your website so someone doesnt end up ordering something you dont actually have thankfully i was able fin"/>
        <s v="i placed an order had cancel i was shocked how quickly my text message was received taken care of not entirely trusting text system i called customer service lady was courteous confirmed order was already canceled customer service a lost art these days bu"/>
        <s v="petflow wonderful lady i spoke with taking my order was terrific my pet food all arrived quickly in good condition delivered right my front door thank you petflow"/>
        <s v="i wish i had known about you sooner i order my pups dog food it arrives next day thank you such great service"/>
        <s v="products are great good selection could have been better communication on order status shipping times compared other companier i order from taking or days prepare an order ship too slow especially with little no communication from you as when order will b"/>
        <s v="i was pleasantly surprised that petflow had products that chewy had out of stock they shipped it free fast good work petflow i will definitely buy from you again"/>
        <s v="always great service excellent selection"/>
        <s v="have been waiting almost weeks dog food i ordered they said it got lost"/>
        <s v="i really like pet flow would order from them more but it seems like they are frequently out of stock of products i want so i am then forced go elsewhere shop"/>
        <s v="great price item was shipped out in timely fashion"/>
        <s v="petflow has excellent customer service i ordered a case of canned dog food it once again came with almost all cans dented i called let them know they sent me a new case of cans without dents would have liked original shipment have come not damaged"/>
        <s v="when it comes phone reps i have always had friendly competent service from petflow however inadequacies of website have me at point of switching companies i have set up autoship rx cat food when i log in there just no way me add extra items my order take "/>
        <s v="customer service was great but i was disappointed in bully sticks they were right length but very small around not what i expected"/>
        <s v="i liked idea that at petflow i can get fromm dog food treats delivered right my door with free shipping"/>
        <s v="can you wait til i receive my order so far your premature review begging a turn off"/>
        <s v="great site lots of items i couldnt find elsewhere especially limited ingredient feline canned shipping was fast will buy again sure"/>
        <s v="i am so very pleased with petflow every shipment arrives on time prices are fair customer service outstanding shipments arrive properly packed have never had anything broken"/>
        <s v="i have cats whom chickennnreast a regular morning treat they all look forward it every day"/>
        <s v="delivery of my product arrived timely but i needed cancel my autoship when you select cancel there no option cancel only pause i had wait until next day call and speak with someone cancel when asked why i had share with a complete stranger that my furbaby"/>
        <s v="my experience with petflow was excellent their pricing availability of products very good kept me informed of my order status from start finish they were only company that had what i needed i received my order promptly i will continue buying prescription "/>
        <s v="bad experience took forever acknowledge receipt of pet rx all while losing time secure limited supply of product i ordered by time they confirmed receipt of script acknowledged order supply dwindled i lost product mind you that took days days yet my debit"/>
        <s v="always fast shipping great products"/>
        <s v="products are fine website fine but i have a problem with auto ship set up it impossible cancel auto ship program i can delay change date of shipment but cannot cancel without calling office because of this have received duplicate shipments"/>
        <s v="my puppy cat love it&#10;i love how big bowl reserve tank are how quite motor as well as way water circulates in bowl no splashing i had large original drinkwell pet fountain so far i prefer this one a lot over drinkwell"/>
        <s v="this was very first time i ever purchased from site i was a little nervous in beginning but that was all changed when i found out that they shipped on day they said they were going i received it when i needed it i am very happy with service will use it ag"/>
        <s v="its been weeks i havent received good yet i cant believe they are asking my opinion of an item that hasnt arrived yet"/>
        <s v="orders are always late customer service rep was rude unhelpful i had speak manager get some resolve"/>
        <s v="because as a customer petflow mislead me petflow sold me merchandise sold it another customer then sent me a message that they were now out of stock petflow still has not refunded my money we will never shop with petflow again ta"/>
        <s v="first time ordering with this company placed order on by still hadnt received it i called apparently shipment got lost employee offered send out another order but declined give any type of promo code or discount even though i told her i had go out an purc"/>
        <s v="unfortunately when i placed my order my items were in stock then i got an email saying they were out of stock i was refunded havent order again"/>
        <s v="very punctual nice but fedex delivery person did not do his job left box near mail box not at door i am senior cannot pick up this heave box"/>
        <s v="petflow came through me with a prescription order when chewy could not hours on phone with chewy multiple customer service agents chewy failed they have problems over there i contacted petflow they took my prescription had my cat food shipped me arriving "/>
        <s v="love convenience of not having shop hoist large bags of food"/>
        <s v="i ordered treats that showed in stock they never came so i emailed they said they were now out of stock would notify me when in stock they ended up cancelling my order not a good experience first time customer"/>
        <s v="great fast service great intro prices new customers when you do autoship"/>
        <s v="horrible customer service keeps lying me about when my order going come in every time i looked it up it was supposed be delivered today at at in morning now too it never showed up i cant seem find damn email tell me where hell my order then i call at your"/>
        <s v="most anything i was looking i was available on petflow at a good price"/>
        <s v="received mats exceptionally quickly a very good price"/>
        <s v="fast order great packaging great price"/>
        <s v="i love service however bags of dog food i have received had busted bags dog food all in boxes"/>
        <s v="i used use other wellknown online mail pet services but they stopped carrying brand of dog food i have given my beloved english singer spaniel years i then discovered petflow carried this brand they are courteous professional most importantly quick delive"/>
        <s v="i ordered a product that said it was in stock only be told days later it was out of stock website misleading"/>
        <s v="great prices products customer service"/>
        <s v="kitty litter box split was all over box"/>
        <s v="fast carefully packed service"/>
        <s v="this a fantastic gate it looks divine was easy assemble perfect my maltese thank you"/>
        <s v="you take orders knowing products not available no trust ever again"/>
        <s v="petflow has a good selection of products they are almost always in stock have competitive pricing they deliver quickly usually days"/>
        <s v="reliable product easy ordering process dependable delivery thanks petflow"/>
        <s v="i have place orders with petflow both orders shipped out on same day packages arrived quickly excellent company highly recommend"/>
        <s v="great selection of products emphasis on very healthy items good price points delivery always on time in good condition"/>
        <s v="thank you carrying my dogs prescription dog food hills metabolic your website was only trustworthy site in stock my dog beau says thanks his food too"/>
        <s v="i ordered food my dog on petflow website my first order took a little while because they needed verify with my vet since it was a prescription food my second order was shipped next day arrived a day later at my house excellent service thank you"/>
        <s v="great customer service quick courteous"/>
        <s v="ive been using petflow years my dogs food subcritical platform customer service outstanding product diversity unbeatable"/>
        <s v="placed order dog food that i needed asap then days later petflow cancelled order wont refund my payment days i had then find a physical store that sold my brand of food so aggravated didnt they know my order wouldnt be fulfilled when they took payment"/>
        <s v="all item sent even if it took more than one box same free shipping"/>
        <s v="products ordered stars ease of ordering stars speed of shipping which may or may not be petflows issue stars my order included dog food i was only given tracking number unfortunately that tracking number was items shipped separately from dog food i never "/>
        <s v="ordered butcher block bones a box of dog biscuits at checkout there was no information that bones were out of stock you shipped only dog biscuits i cancelled order you said it already shipped we could just go ahead keep biscuits or donate them that was ni"/>
        <s v="i was impressed with how quickly my order arrived it was protected in a strong box very professional thank you"/>
        <s v="i ordered a new flexi leash my canine having carefully researched various sites noting petflow my first time decided have a go was pleasantly surprised at pricing service delivery they run out of leash but notified me immediately they would get it back in"/>
        <s v="product that not available elsewhere available on petflow which i appreciate with supply issues from manufacturer petflow provides another option find pet food im looking for&#10;&#10;shipping time slower that other online sites so i need plan further ahead recei"/>
        <s v="first time using will use again"/>
        <s v="your selection prices are good i also appreciate discounts available only thing i have a problem with fedex delivery but since i eventually get my order ill be okay with it"/>
        <s v="excellent service however now i can not find product anymore&#10;vital essentials relief hemp dog chews relieves inflammation"/>
        <s v="i have been trying find special urinary diet treats my fur baby months i finally found them on your site only be told weeks later whoops you dont have them well put it on your website then that they are unavailable"/>
        <s v="great selection services&#10;happy dogs"/>
        <s v="everything from locating products on website check out was very easy i wish that some kind of summary or packing slip was included with delivery but other than that everything went as smoothly as it could thank you"/>
        <s v="petflow has products i need if they dont they can explain me why they dont why i cant find product anywhere else something might be happening at manufatcurers end or with distributer etc they are always very helpful if i have call them on phone too help p"/>
        <s v="it seems a bit difficult delete an autoship maybe its me"/>
        <s v="not very long shipping from date of order prices same as vet"/>
        <s v="ordered on prescription approved same day item was in stock estimated delivery oct days a prescription assuming it arrives on th no update at all unacceptable same thing happened last time i ordered terrible service they also promised update me twice when"/>
        <s v="i get all my dog food treats from you usually all good no problemshowever last order lb bag of their nutrisource weight management bag was torn kibble leaked out into delivery box i do not like giving my pups any food or treats where container has been op"/>
        <s v="petflow always has prescription diet dog food in stock my dog requires i dont have wait them ship thank you your service"/>
        <s v="ive used this company twice both calls were speedy user friendly ive also used chewy those calls tend be cumbersome nice people at both companies ex chewy asks lots of questions before i can place my order i believe petflow just needed my phone number fas"/>
        <s v="love products ease of ordering my problem with actual shippingpackaging of items being sent my house often everything no matter what size or weight thrown into same weakly sealed one strip of packing tape thin cardboard box by time it arrives at my house "/>
        <s v="my purchase was delivered in a timely manner&#10;prices are fabulous just at any other retail store ish&#10;&#10;once im finally moved into my new house i will start automatic shipping"/>
        <s v="always correct timely a bit of delay due getting items further than nv az end point but that expected in shipping issues across all businesses"/>
        <s v="so far so good&#10;petsmart has let me down with late shipping not in stock lb bags of dog food with way too much powder they refuse ship in boxes that match large bags simple will not use any kind of packing&#10;fthat we be dun wit does mfers&#10;petflow met our nee"/>
        <s v="first time ordering autoship dog food so far so good"/>
        <s v="quick delivery always coupons be found"/>
        <s v="quick dependable service with diverse item selection most companies now offer free shipping on all orders which should be a consideration here"/>
        <s v="great product company you use shipping horrible boxes opened when delivered bags of food broke open from throwing it down on ground poor shipping"/>
        <s v="great prices products in stock ready ship i will definitely order again"/>
        <s v="great service fast delivery excellent"/>
        <s v="always a pleasure shopping with pet flow"/>
        <s v="great company quick shipping i order dog food from them all time but was disappointed on last dog toy i bought this time my little dog that doesnt really destroy toys had this stuffed pizza toy destroyed after minutes i probably wont order any more stuffe"/>
        <s v="always got what my cats want always delivered on time petflow gives me one less thing i have worry about with there auto ship"/>
        <s v="great company with excellent customer service"/>
        <s v="great prices excellent shipping time thank you"/>
        <s v="nd time ordering from petflow i am a very happy customer i read a lot of bad reviews online about this company was a bit concerned but honestly ive had an excellent experience with them so far order was accurate i received products in days thats amazing e"/>
        <s v="excellent customer service very professional accommodating&#10;thank you"/>
        <s v="petflows prices are good delivery super fast"/>
        <s v="i ordered prescription food from them which needed my vets approval spent over at first food order was put on hold until january i contacted customer service they were able get rid of pause but they still had contact my vet before shipping order me i had "/>
        <s v="competitive pricing product availability fast shipping thank you petflow"/>
        <s v="gave petflow a chance because chewy was out of stock on one of items i needed petflow showed it in stock after placing paying order i got an email stating one of my items was out of stock turns out it was same one chewy was out of stock on if i cant trust"/>
        <s v="i think im going like this sifting litter box that i just bought its different from anything i ever used before but its simple enough figure out"/>
        <s v="i loved selection ease of checkout on petflow one time i dealt with customer service was completely painless i would recommend this company any pet owner only improvement that i can think of would be have a way save items future purchase"/>
        <s v="competitive price&#10;fast delivery"/>
        <s v="good pricing great variety quick service need i say more"/>
        <s v="first time i ordered my dogs canned food experience was pretty negative as none of my requests were taken care of it was if they just ignored me second time was a better experience"/>
        <s v="ordered item weeks ago web site said in stock called twice did not receive any real answers or satisfaction said it was problem at he suppliers warehouse update just received email that product just shipped all good"/>
        <s v="first i was told my food order was on its way shipped then told it was on back ordered cant be delivered i want cancel my order but have no where call or know how do it&#10;but company sends constant emails &#10;also i ordered toys based on my dogs weight but the"/>
        <s v="they have products of dog food i cant find anywhere else"/>
        <s v="products are great service was great packaging shipment was terrible both boxes were broken open due poor lack of packing material it was amazing items ordered were still in boxes"/>
        <s v="my dogs are happy so am i with services on delivery of their foodsand my cats are happy too"/>
        <s v="there no price gauging my order was received quickly packaged perfectly i will order through them again"/>
        <s v="respond emails very quickly take care of a problem pronto"/>
        <s v="it difficult at times get dog food during this pandemic petflow dependable thank you"/>
        <s v="excellent service delivery selection of products probably best that ive yet find shipping has been on time pricing very competitive thank you a positive experience"/>
        <s v="replacement squeakers i purchased were supposed be large unfortunately they were medium sized merely passed off as large they were barely bigger than small squeakers i also purchased"/>
        <s v="it was supposed be here thursday it now wednesday almost a week late no estimated delivery date i was hoping this would be convenient however now its way worse than just driving minutes pet store"/>
        <s v="overall service good but i have a routine shipping monthly on th unfortunately my order of prescription dog food was not picked up by fedex until th not shipped until th now it looks like i will run out of food a day early not good"/>
        <s v="prices are good however shipping time not so good my items took about days arrive when using other company days tops this probably why i will not shop with pet flow again"/>
        <s v="love delivery its heavy me carry trunk then into my house plus food great so are treats thanks"/>
        <s v="ordered several teddy bear toys enough get free shipping arrived so quick my dog loves these toys they are quite durable shes quite a chewer ive got enough last a while got a good price too not dependent upon quantity better than petsmart highly recommend"/>
        <s v="ordered fromms pate canned food my dogs upcoming surgery promptly shipped but delivery was held up with no updates contacted pet flow see if they could get any information aimee quickly responded that she would contact shipper would get a free replacement"/>
        <s v="great service reasonable prices good quality will definitely buy again"/>
        <s v="usually we have a great experience with petflow this time however was a real struggle i was told over over by petflow that they reached out our vet food approval but my vet told me they never received any contact from them i even went my vet twice get the"/>
        <s v="i contacted customer service because i received wrong dog food they immediately resolved situation sent me a return shipping label this company has some of best quickest customer service agents ive ever dealt with"/>
        <s v="excellent fast service"/>
        <s v="very easy ordering only site that had wet food i needed took a little longer ship but was received in an acceptable period of time"/>
        <s v="i have been a returning customer a while now petflow has always had excellent service it most appreciated thank you"/>
        <s v="petflow had specialty prescription dog food my vet could not get they made buying process easy shipped quickly i will keep shopping with petflow"/>
        <s v="great customer service their text option awesome"/>
        <s v="my order was well wrapped delivered in a timely fashion i will continue use pet flow highly recommend them"/>
        <s v="love this company so easy work with"/>
        <s v="excellent service i would recommend"/>
        <s v="amazing service prescription dog food i needed was back ordered by manufacturer i explained petflow customer service that that was only food my dog could eat they did an online search found it had it shipped me this was not service i was expecting due lac"/>
        <s v="i appreciate how fast my orders are delivered that they have exactly what i am looking"/>
        <s v="see csr file"/>
        <s v="easy order form site order shipped arrived quickly"/>
        <s v="ordered lb bag of dog food order was processed immediately delivery was quick"/>
        <s v="found this vendor on line they were one of only sites that had prescription dog food i needed none of local pet stores had this food in stock i ordered food from them at a reasonable price received shipment in a timely manner well done"/>
        <s v="i have no idea what i bought from your site but all my online cat food orders have been prompt requested product was one i received but if this was royal canin cat food order my god price not you manufacturer lee hoffman"/>
        <s v="my cats eat a pretty particular food that can be hard find found it on petflow an affordable price everything arrived safely quickly you can contact them directly by text email i did check on shipment status a real person got back me quickly ill definitel"/>
        <s v="ordered dog food which they said was in stock prescription food my dog after paying it next day they tell me oh we are out of that this only food he can eat prescribed"/>
        <s v="great service great value"/>
        <s v="great selection of in stock items shipping quick dependable"/>
        <s v="petflow had what i needed in cat food that i couldnt find anywhere else however it took nearly a week ship although they were several days ahead of their shipping estimate long shipping may be mostly due supply chain problemshard tell now"/>
        <s v="when our vet said he wanted our aussies food changed i had cancel our standing order order new food i contacted petflow by email received an immediate reply i am so impressed by ease speed with which my problem was handled thanks great customer service"/>
        <s v="you need allow electronic upload of prescriptions pet food i had mail hard copy then wait you get approval from my vet after you received it this took about days why would you even need approval when i mailed you actual original script anyway whole proces"/>
        <s v="this place da bomb they have very fast very nice customer service that far few between these days do not hesitate do it do it u will not regret i was using chewy pet smart im out with those as long as they keep my dogs in stock im a life long petflow cust"/>
        <s v="great experience will use them again"/>
        <s v="easy find exactly what i was looking quick delivery"/>
        <s v="i was very happy with my experience i placed an order my cats food it shipped quickly i got it within two days of being shipped cans were excellently packed price food was great i was am satisfied with my experience will continue shop here"/>
        <s v="friendly staff good selection of dog food"/>
        <s v="wrong food sent now i have return it&#10;redbox it drive fedx haul in in"/>
        <s v="we our german shorthair pups think your quick service price are excellent"/>
        <s v="i ordered id chicken stew after two weeks i called you you said your order out of stock but still shows available"/>
        <s v="i always feel as though they truly want make their customers feel satisfied i appreciate that very much"/>
        <s v="rder email confirmation was delayed email notification that shipment will be delayed was also late customer service needs improvement"/>
        <s v="super convenient great selection of grain free options prompt delivery"/>
        <s v="couldnt locate my brand of food in new state n city where i now reside found your website luckily i now have my dogs favorite brands of food best part same price as it was in minnesota at chuck n dons store better it was delivered my door i will be orderi"/>
        <s v="i was forced buy two items get minimal amount only one was shipped not one i wanted"/>
        <s v="couldnt find our dogs food anywhere you were only place we found you got it us so fast even contacted our vet approval"/>
        <s v="i have been ordering from petflow several years now have always been satisfied with products delivery recently they went above beyond on an order that was delivered damaged customer service was excellent i was totally satisfied with how quickly completely"/>
        <s v="great phone help on getting oscars rx science diet in food shipped quickly"/>
        <s v="petflow had a prescription food in stock my pet that other sites did not they also had a great promotion new autoship customers a separate promotion that saved me money on my prescription food when i had trouble applying coupon code at checkout due a syst"/>
        <s v="petflow has excellent prices a great variety of items their customer service exellent also however it does take a bit longer than competitors receive ordered items they shipped us wrong item twice they did pay returned shipping made arrangements items be "/>
        <s v="petflow was a great find with all shortages difficulties getting our cats hills science diet with price gouging at competitor sites it was certainly gratifying find what i was looking at petflow our cats are finicky spoiled they love their hills pandemic "/>
        <s v="each time i placed an order of what was supposed be in stock company took my order my credit card information then days later told me product was no longer available it really felt like a bait switch after it happened times really bad business practices"/>
        <s v="specialty food said available on website called be sure available too emailed a week later on backorder very poor customer service"/>
        <s v="i still havent received my dog food fedex keeps saying exception attempted delivery that never occurred"/>
        <s v="i couldnt find this prescription treat my dog anywhere but petflow had it in stock my dog happy she can have a couple of treats a day now thanks petflow"/>
        <s v="fast delivery easy use website&#10;thank you&#10;laura"/>
        <s v="fast service as usual product in good condition well packaged"/>
        <s v="wonderful product arrived as promised good company do business with"/>
        <s v="ordered rx catcase cansblue wu on vet contacted on responded same day on still no confirmation that order had shipped&#10;&#10; had made calls earlyon check see if everything had been approved processed had specifically asked when placing order having any issues "/>
        <s v="as usual everything arrived timely accurately"/>
        <s v="i ordered prescription dogfood i needed nothing happened i called customer service they told me they would expedite getting it shipped&#10;a day later i got an email saying it was out of stock this should not have happened now i am hunting food my dog needs"/>
        <s v="discount was removed by site after checkout ordered from different supplier will not buy from petflow again"/>
        <s v="i have been satisfied with all orders placed"/>
        <s v="received my delivery on day it was promised"/>
        <s v="quality if your products what keeps me coming back also you have a few things i have never seen anywhere else i would purchase a lot more from petflow if you had discounts or rewards loyal customers i spend a ton of money on my dogs most of it spent at ch"/>
        <s v="love service they try make sure my order filled every month"/>
        <s v="i ordered online a specialty food product that generally has been in short supply but order was canceled soon after i placed it when i called customer service clarify rep did a search of warehouse inventory at first found product was out of stock it was u"/>
        <s v="products are good just shipping a heavy bag of aquarium gravel with a plastic container of cat food in same package asking disaster i understand it saves on shipping costs but its inconvenient pickup hundreds of food pebbles"/>
        <s v="they advertised a product that they never had&#10;i paid it waited along time responses"/>
        <s v="i ordered food my dog almost weeks ago have never received it i called todays after placing order was told it would be shipped out next day that was two weeks ago friday i called back again was told they were looking into it would receive email or a call "/>
        <s v="i was told by hills prescriptions dog food that you had id chicken stew ounces on your website delivery i ordered cases had my vet send a prescription your company after not receiving my food after days i called your customer service dept who told be you "/>
        <m/>
      </sharedItems>
    </cacheField>
    <cacheField name="word_count" numFmtId="0">
      <sharedItems containsSemiMixedTypes="0" containsString="0" containsNumber="1" containsInteger="1">
        <n v="40.0"/>
        <n v="39.0"/>
        <n v="50.0"/>
        <n v="43.0"/>
        <n v="44.0"/>
        <n v="52.0"/>
        <n v="80.0"/>
        <n v="23.0"/>
        <n v="28.0"/>
        <n v="73.0"/>
        <n v="61.0"/>
        <n v="30.0"/>
        <n v="32.0"/>
        <n v="63.0"/>
        <n v="24.0"/>
        <n v="15.0"/>
        <n v="83.0"/>
        <n v="31.0"/>
        <n v="58.0"/>
        <n v="20.0"/>
        <n v="18.0"/>
        <n v="157.0"/>
        <n v="37.0"/>
        <n v="124.0"/>
        <n v="305.0"/>
        <n v="26.0"/>
        <n v="42.0"/>
        <n v="36.0"/>
        <n v="16.0"/>
        <n v="12.0"/>
        <n v="53.0"/>
        <n v="68.0"/>
        <n v="22.0"/>
        <n v="41.0"/>
        <n v="29.0"/>
        <n v="13.0"/>
        <n v="82.0"/>
        <n v="45.0"/>
        <n v="33.0"/>
        <n v="38.0"/>
        <n v="8.0"/>
        <n v="17.0"/>
        <n v="14.0"/>
        <n v="120.0"/>
        <n v="35.0"/>
        <n v="65.0"/>
        <n v="190.0"/>
        <n v="9.0"/>
        <n v="21.0"/>
        <n v="11.0"/>
        <n v="70.0"/>
        <n v="5.0"/>
        <n v="7.0"/>
        <n v="6.0"/>
        <n v="27.0"/>
        <n v="19.0"/>
        <n v="1.0"/>
        <n v="4.0"/>
        <n v="54.0"/>
        <n v="10.0"/>
        <n v="623.0"/>
        <n v="3.0"/>
        <n v="67.0"/>
        <n v="71.0"/>
        <n v="49.0"/>
        <n v="46.0"/>
        <n v="77.0"/>
        <n v="64.0"/>
        <n v="34.0"/>
        <n v="56.0"/>
        <n v="94.0"/>
        <n v="174.0"/>
        <n v="118.0"/>
        <n v="189.0"/>
        <n v="47.0"/>
        <n v="78.0"/>
        <n v="142.0"/>
        <n v="66.0"/>
        <n v="95.0"/>
        <n v="51.0"/>
        <n v="57.0"/>
        <n v="355.0"/>
        <n v="97.0"/>
        <n v="60.0"/>
        <n v="160.0"/>
        <n v="59.0"/>
        <n v="72.0"/>
        <n v="121.0"/>
        <n v="163.0"/>
        <n v="62.0"/>
        <n v="69.0"/>
        <n v="113.0"/>
        <n v="106.0"/>
        <n v="84.0"/>
        <n v="87.0"/>
        <n v="75.0"/>
        <n v="25.0"/>
        <n v="108.0"/>
        <n v="55.0"/>
        <n v="123.0"/>
        <n v="109.0"/>
        <n v="98.0"/>
        <n v="2.0"/>
        <n v="101.0"/>
        <n v="89.0"/>
        <n v="232.0"/>
        <n v="79.0"/>
        <n v="88.0"/>
        <n v="81.0"/>
        <n v="169.0"/>
        <n v="91.0"/>
        <n v="74.0"/>
        <n v="105.0"/>
        <n v="127.0"/>
        <n v="296.0"/>
        <n v="85.0"/>
        <n v="104.0"/>
        <n v="99.0"/>
        <n v="48.0"/>
        <n v="290.0"/>
        <n v="103.0"/>
        <n v="90.0"/>
        <n v="76.0"/>
        <n v="136.0"/>
        <n v="143.0"/>
        <n v="129.0"/>
        <n v="212.0"/>
        <n v="235.0"/>
        <n v="145.0"/>
        <n v="153.0"/>
        <n v="110.0"/>
        <n v="93.0"/>
        <n v="213.0"/>
        <n v="137.0"/>
        <n v="180.0"/>
        <n v="166.0"/>
        <n v="111.0"/>
        <n v="96.0"/>
        <n v="100.0"/>
        <n v="114.0"/>
        <n v="102.0"/>
        <n v="86.0"/>
        <n v="117.0"/>
        <n v="226.0"/>
        <n v="132.0"/>
        <n v="138.0"/>
        <n v="151.0"/>
        <n v="116.0"/>
        <n v="119.0"/>
        <n v="158.0"/>
        <n v="141.0"/>
        <n v="234.0"/>
        <n v="107.0"/>
        <n v="122.0"/>
        <n v="178.0"/>
        <n v="170.0"/>
        <n v="282.0"/>
        <n v="271.0"/>
        <n v="128.0"/>
        <n v="176.0"/>
        <n v="186.0"/>
        <n v="126.0"/>
        <n v="149.0"/>
        <n v="115.0"/>
        <n v="162.0"/>
        <n v="168.0"/>
        <n v="173.0"/>
        <n v="125.0"/>
        <n v="146.0"/>
        <n v="172.0"/>
        <n v="230.0"/>
        <n v="112.0"/>
        <n v="139.0"/>
        <n v="156.0"/>
        <n v="92.0"/>
        <n v="155.0"/>
        <n v="144.0"/>
        <n v="133.0"/>
        <n v="140.0"/>
        <n v="131.0"/>
        <n v="248.0"/>
        <n v="311.0"/>
        <n v="291.0"/>
        <n v="373.0"/>
      </sharedItems>
    </cacheField>
    <cacheField name="positive_count">
      <sharedItems containsMixedTypes="1" containsNumber="1" containsInteger="1">
        <n v="5.0"/>
        <n v="4.0"/>
        <n v="3.0"/>
        <n v="2.0"/>
        <n v="0.0"/>
        <n v="9.0"/>
        <n v="1.0"/>
        <n v="6.0"/>
        <s v=""/>
      </sharedItems>
    </cacheField>
    <cacheField name="negative_count">
      <sharedItems containsMixedTypes="1" containsNumber="1" containsInteger="1">
        <n v="1.0"/>
        <n v="0.0"/>
        <n v="2.0"/>
        <n v="5.0"/>
        <n v="3.0"/>
        <n v="4.0"/>
        <s v=""/>
      </sharedItems>
    </cacheField>
    <cacheField name="sentiment_theme" numFmtId="0">
      <sharedItems>
        <s v="Customer Support"/>
        <s v="Value &amp; Convenience"/>
        <s v="Fulfillment &amp; Shipping"/>
        <s v="Account &amp; Website"/>
        <s v="Food Safety"/>
        <s v="Other"/>
        <s v="Trust &amp; Experience"/>
        <s v="Service Recovery"/>
        <s v="Availability"/>
      </sharedItems>
    </cacheField>
    <cacheField name="sentiment" numFmtId="0">
      <sharedItems>
        <s v="Positive"/>
        <s v="Negative"/>
        <s v="Neutral"/>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3724" sheet="Trustpilot_Full Review"/>
  </cacheSource>
  <cacheFields>
    <cacheField name="org name" numFmtId="0">
      <sharedItems>
        <s v="PetFlow"/>
      </sharedItems>
    </cacheField>
    <cacheField name="reviewer">
      <sharedItems containsMixedTypes="1" containsNumber="1" containsInteger="1">
        <s v="George Romer"/>
        <s v="DEBORAH HELFER"/>
        <s v="Sam Walker"/>
        <s v="Janie"/>
        <s v="VANESSA HOWARD"/>
        <s v="Judith l Williams"/>
        <s v="Nan R."/>
        <s v="dave minnich"/>
        <s v="Cynde S R"/>
        <s v="CATHERINE NOCELLA"/>
        <s v="customer"/>
        <s v="M. K. MULLENBACH"/>
        <s v="Julie B."/>
        <s v="Anne"/>
        <s v="Joe P Chavez"/>
        <s v="Josh"/>
        <s v="Gary"/>
        <s v="Ann"/>
        <s v="KEN L."/>
        <s v="Theresa Patzke Guiver"/>
        <s v="Linda Lee"/>
        <s v="Barbara Tierney"/>
        <s v="Daniel Faflik"/>
        <s v="Eduardo"/>
        <s v="Packoffour"/>
        <s v="Mel"/>
        <s v="NANCY MADIGAN"/>
        <s v="DAVID J"/>
        <s v="Kimberly"/>
        <s v="MELINDA JEWART"/>
        <s v="Gracie Wierbinski"/>
        <s v="Vicki"/>
        <s v="LINDA W. Oviedo, FL"/>
        <s v="RENEE FRANK"/>
        <s v="PATRICIA CONNORS"/>
        <s v="MARIA M"/>
        <s v="Jack Hammer - The Electric Radio Show"/>
        <s v="CAROL GANSER"/>
        <s v="K JOHNSON"/>
        <s v="CAROL COLE"/>
        <s v="KAREN CLARK"/>
        <s v="Tammmy Mackai"/>
        <s v="PATRICK LITTERER"/>
        <s v="Tactical Ant"/>
        <s v="CeCe Moore"/>
        <s v="DIANE L"/>
        <s v="DEBRA ZBOROWSKI"/>
        <s v="Ana Arellano"/>
        <s v="NANCY VALETT"/>
        <s v="B Stroup"/>
        <s v="VIRGINIA DUNK"/>
        <s v="STEVEN SELTZER"/>
        <s v="Natalie"/>
        <s v="JOYCE"/>
        <s v="JK"/>
        <s v="Donna Beckner"/>
        <s v="DAWN DOWLING"/>
        <s v="WB"/>
        <s v="WILLIAM CARDONA"/>
        <s v="DIANNE WILEY"/>
        <s v="Laura Shigemitsu"/>
        <s v="CARA MOORE"/>
        <s v="Linda"/>
        <s v="Monti"/>
        <s v="CHARLENE GIORADNO"/>
        <s v="MARIA PERRONE"/>
        <s v="Sue"/>
        <s v="LARRY HOGUE"/>
        <s v="rired"/>
        <s v="KC Jenkins"/>
        <s v="SUSAN ANDERSON"/>
        <s v="Deanna F"/>
        <s v="ALLISON CRYER"/>
        <s v="Lisa"/>
        <s v="Barb' Bichons"/>
        <s v="NIKKI PARSON"/>
        <s v="Alex G"/>
        <s v="LINDA CROSTIC"/>
        <s v="CHRISTINE FLOWERS"/>
        <s v="BAILLEE"/>
        <s v="Paul"/>
        <s v="LINDA CONVERSA"/>
        <s v="DONNA QUANTE"/>
        <s v="Deb."/>
        <s v="AMANDA GARNER"/>
        <s v="RUTH"/>
        <s v="DEBBIE TRIGG"/>
        <s v="OLshopper"/>
        <s v="Nicole Tabbert"/>
        <s v="ANIA LOVELESS"/>
        <s v="LARRY THOMPSON"/>
        <s v="TOM KULPINSKI"/>
        <s v="KAREN SALAY"/>
        <s v="Yadi govea"/>
        <s v="AUDREY SCRUGGS"/>
        <s v="COLLEEN THOMPSON"/>
        <s v="DONNA LA ROCCO"/>
        <s v="Aussie Lover"/>
        <s v="Elyse"/>
        <s v="ARMANDO LOPEZ"/>
        <s v="Julio Rodriguez"/>
        <s v="HELAINE DIETZ"/>
        <s v="Lex"/>
        <s v="Bessie"/>
        <s v="Vickie"/>
        <s v="Kelly"/>
        <s v="Dave B"/>
        <s v="Lana"/>
        <s v="THEODORE FRANK"/>
        <s v="Mom of 8 fur babies"/>
        <s v="Vivian Parker"/>
        <s v="JEANNINE THEAKOS"/>
        <s v="GAIL MACGILLIVRAY"/>
        <s v="EULISES R ANTON"/>
        <s v="CATHERINE CLARK"/>
        <s v="Ken B."/>
        <s v="JEFFREY BREWSTER"/>
        <s v="DONALD BRUMFIELD"/>
        <s v="PENELOPE SMITH"/>
        <s v="ELLEN HURWITCH"/>
        <s v="KAREN LANZ"/>
        <s v="Llemmon"/>
        <s v="Richard Vernon"/>
        <s v="Terria Bryant"/>
        <s v="Kidsarek9"/>
        <s v="CHERYL MCCOY"/>
        <s v="MARIA KLEIN"/>
        <s v="MM"/>
        <s v="MICHAEL GIBSON"/>
        <s v="ANDREA ULLON"/>
        <s v="Jennifer Carver"/>
        <s v="JANET GREY"/>
        <s v="Happy Customer"/>
        <s v="ALYSON MCDONALD"/>
        <s v="BENJAMIN KIING"/>
        <s v="JEAN"/>
        <s v="NextAdvisor Reader"/>
        <s v="JULIE L"/>
        <s v="ANN MCCOY"/>
        <s v="David"/>
        <s v="Anonymous"/>
        <s v="WALTER WININGER"/>
        <s v="Siham Ayoub"/>
        <s v="Joe Pick"/>
        <s v="TOM S"/>
        <s v="LAURA M"/>
        <s v="Barbara Anderson"/>
        <s v="Rick East"/>
        <s v="JENNIFER TAYLOR"/>
        <s v="DANIEL GRACE"/>
        <s v="Dennis Felicio"/>
        <s v="MARK JACKSON"/>
        <s v="MARGARET PALMER"/>
        <s v="SUSAN BORLAND"/>
        <s v="TMOT"/>
        <s v="ROBERT"/>
        <s v="ANDREA SCHULTHEIS"/>
        <s v="JANET"/>
        <s v="N LUFFEY"/>
        <s v="OTMANE HATTANI"/>
        <s v="Kenneth"/>
        <s v="JOHN KIMBER"/>
        <s v="JACKIE FRASCATORE"/>
        <s v="JOHN WU"/>
        <s v="Richard Nuzman"/>
        <s v="WANDA HARRIS"/>
        <s v="HAROLD TALBOT"/>
        <s v="DIANNE"/>
        <s v="Donna Peterson"/>
        <s v="DrGSD"/>
        <s v="MINA SEYMOUR"/>
        <s v="ELLEN ENNIS"/>
        <s v="RONDA DAUS"/>
        <s v="Baron Eike Von Lincoln"/>
        <s v="Betty Jo Lesonsky"/>
        <s v="DONNA BIONDI"/>
        <s v="TUYEN NGUYEN"/>
        <s v="ANDRANEA ALEXANDER"/>
        <s v="ERIC RIDGEWAY"/>
        <s v="Julia B"/>
        <s v="Katherine Sidon"/>
        <s v="NordVPN Customer"/>
        <s v="DONA JOERGER"/>
        <s v="SHIRLEY HARRIS"/>
        <s v="Al DiSante"/>
        <s v="ELWOOD SMITH"/>
        <s v="LINDA KLEMKA-WALDEN"/>
        <s v="Anthony Cuccaro"/>
        <s v="Carrie"/>
        <s v="ROSI WALSH"/>
        <s v="Anthony Williams"/>
        <s v="DEWAYNE LOVELL"/>
        <s v="Ahmmed Patwary"/>
        <s v="Andrea"/>
        <s v="Terry Anderson"/>
        <s v="sylvia bl"/>
        <s v="VALERIE FOX"/>
        <s v="ROCH MALZAC"/>
        <s v="ERIC BELL"/>
        <s v="PHILLIP MANLEY"/>
        <s v="LINDA SFORZA"/>
        <s v="LISA ROSSELLI"/>
        <s v="Karen Ivers"/>
        <s v="Crystal Brown"/>
        <s v="Greg"/>
        <s v="Renee P."/>
        <s v="MARY"/>
        <s v="Dacatsparky"/>
        <s v="Troy Arenz"/>
        <s v="Amy C"/>
        <s v="Ariana"/>
        <s v="Gail B."/>
        <s v="LAURA ROMANO"/>
        <s v="Jack"/>
        <s v="Furrykid mom"/>
        <s v="JOHN DEFEO"/>
        <s v="Bobbi helms"/>
        <s v="KB"/>
        <s v="Maria"/>
        <s v="NANCY POPE"/>
        <s v="LARYSA MUZHANOVA"/>
        <s v="Marian"/>
        <s v="MARIE HUTCHINGS"/>
        <s v="SHERYL BILUS"/>
        <s v="philip"/>
        <s v="SVETLANA LITVINSKI"/>
        <s v="GRACE"/>
        <s v="Nora"/>
        <s v="MEW"/>
        <s v="BARBARA BOWEN BAER"/>
        <s v="Dr. C"/>
        <s v="DEBBIE GOOD"/>
        <s v="Moe"/>
        <s v="NANCY FONT"/>
        <s v="EDGARDO GONZALEZ"/>
        <s v="Eugene Woodard"/>
        <s v="WRESTLING MAMA"/>
        <s v="LF"/>
        <s v="Dr. Brenda Luther"/>
        <s v="ANN WEINRICH"/>
        <s v="RONALD MROFCZA"/>
        <s v="Terri"/>
        <s v="PETER J CAPPELLO"/>
        <s v="KEVIN BENEDICT"/>
        <s v="MARY BUSBY"/>
        <s v="CRYSTAL ORTIZ"/>
        <s v="jack paul"/>
        <s v="Barbara Coleman"/>
        <s v="MARY BALLOGG"/>
        <s v="ARNOLD GRAD"/>
        <s v="AMANDA"/>
        <s v="RANJANA BHATTACHARYA"/>
        <s v="Susan Thomas"/>
        <s v="Andy"/>
        <s v="CRAIG"/>
        <s v="Jim"/>
        <s v="Rhonda Peyton"/>
        <s v="TROY HARIMON"/>
        <s v="LAURA KOTLAR"/>
        <s v="MAUREEN MEIL"/>
        <s v="JOSEPH J PUIIA JR"/>
        <s v="MONICA COLVILLE"/>
        <s v="Donna Sullivan"/>
        <s v="OD"/>
        <s v="Michelle Currey"/>
        <s v="Cynthia E Day"/>
        <s v="ROSE MOORE"/>
        <s v="Alicia Patterson"/>
        <s v="KEVIN KOCHENOUR"/>
        <s v="JOSEPH CAMPE"/>
        <s v="LORI"/>
        <s v="MARIA MIRELES"/>
        <s v="Mary Lopez"/>
        <s v="Sheba"/>
        <s v="GINNY STENOIEN"/>
        <s v="Kei"/>
        <s v="MICHELE ALLEN"/>
        <s v="Karen Doman"/>
        <s v="KSzymo"/>
        <s v="nismoman"/>
        <s v="Michael Lord"/>
        <s v="SARA LENTZ"/>
        <s v="PM"/>
        <s v="WALTER WILLIAMS"/>
        <s v="Caldwell"/>
        <s v="JEANNETT WASICEK"/>
        <s v="MARY AYALA"/>
        <s v="JOEYC"/>
        <s v="Helen"/>
        <s v="Carmello"/>
        <s v="THERESE KASCHULUK"/>
        <s v="Veronica Villanueva"/>
        <s v="Ron C."/>
        <s v="CHRISTINE SMITH"/>
        <s v="Rachel"/>
        <s v="GINA"/>
        <s v="Mayra"/>
        <s v="LISA Hall"/>
        <s v="DONNA S."/>
        <s v="Peter Di"/>
        <s v="FRANK KENDRICK"/>
        <s v="Christina Clark"/>
        <s v="Vickie Hancock"/>
        <s v="MIKE SEISS"/>
        <s v="DEANA WOODRUFF"/>
        <s v="Marktrimarc"/>
        <s v="CHRIS W"/>
        <s v="Karen Armer"/>
        <s v="STEVEN S"/>
        <s v="MACHACA"/>
        <s v="ROBIN LAWSON"/>
        <s v="LYNDA CLAVER"/>
        <s v="TED WIATEROWSKI"/>
        <s v="TAMMY WIGGINS"/>
        <s v="Jheri"/>
        <s v="HANNAH SUSAN SELZNICK"/>
        <s v="JAMES HEIDEBRECHT"/>
        <s v="Tammy Cox"/>
        <s v="JB Walter"/>
        <s v="Bill D"/>
        <s v="WR"/>
        <s v="CHERYL HARPER"/>
        <s v="MARILYN SMITH"/>
        <s v="Stacia Travis"/>
        <s v="DebNVA"/>
        <s v="ASHLEY"/>
        <s v="SORAYA F."/>
        <s v="BOBBIE MCGEE"/>
        <s v="MEG WHIPPLE"/>
        <s v="ARIELLA"/>
        <s v="Ann marie Peskowski"/>
        <s v="colleen annes"/>
        <s v="TONYA DEITRICK"/>
        <s v="Lois Schwechtje"/>
        <s v="Doug"/>
        <s v="Canine Mom"/>
        <s v="BERNIE HAMBLIN"/>
        <s v="Cheryl Robinson"/>
        <s v="MARILYN KEMPINSKI"/>
        <s v="KATHERINE GISMONDI"/>
        <s v="PAULETTE VOCU"/>
        <s v="Harold"/>
        <s v="GORDON BRYANT"/>
        <s v="MARION MOHR"/>
        <s v="WA"/>
        <s v="RAY VITALE"/>
        <s v="BARBARA SWANSON"/>
        <s v="EL ROAKE"/>
        <s v="MCKEONE, ALONNA"/>
        <s v="ALEXANDRA MENDIZABAL"/>
        <s v="Barb W.customer"/>
        <s v="Pamela M"/>
        <s v="VH"/>
        <s v="ALLEN KAROL"/>
        <s v="shellie hall"/>
        <s v="MARYANN KURTZ"/>
        <s v="LISA PEAK"/>
        <s v="Donald Coffman"/>
        <s v="DRU hofmann"/>
        <s v="LEYLA DAVIS"/>
        <s v="LESLIE SEELEY"/>
        <s v="Scammed User"/>
        <s v="Jane Collier"/>
        <s v="SporeSharon R. Goltz"/>
        <s v="ANTONIO POPJORDANOV"/>
        <s v="Linda Croll Howell"/>
        <s v="SUSAN LANGMAN"/>
        <s v="Mike Miller"/>
        <s v="JennaK"/>
        <s v="Linda Rucker"/>
        <s v="BRENDA PEREZ-GOODRUM"/>
        <s v="Daniel Hollingsworth"/>
        <s v="PG"/>
        <s v="JEFF"/>
        <s v="Karen"/>
        <s v="MARY BETH DIDION"/>
        <s v="Joannie Maheux"/>
        <s v="NANCY ADDESSO"/>
        <s v="HAILEY SUMPTER"/>
        <s v="MICHAEL MOORE"/>
        <s v="Jerry Divijak"/>
        <s v="ANDRE HENDERSON"/>
        <s v="DONNA PEREZ"/>
        <s v="MURRAY RITLAND"/>
        <s v="KRISTINA DUROCHER"/>
        <s v="Diane Stewart"/>
        <s v="DELAINE ENDL"/>
        <s v="SHEILA ROBBINS"/>
        <s v="GARY ROLD"/>
        <s v="Dian"/>
        <s v="KIMBERLY COLEMAN"/>
        <s v="VERA WILSON"/>
        <s v="Mully"/>
        <s v="TARA OLSON"/>
        <s v="GA Dog Lover"/>
        <s v="B E Gunbye"/>
        <s v="Daniel Gotten"/>
        <s v="XS"/>
        <s v="kathleen armstrong"/>
        <s v="MARTHA KROGSTAD"/>
        <s v="Leisure world"/>
        <s v="TERRY RICHARDSON"/>
        <s v="MOLLY B"/>
        <s v="Keith Dugas"/>
        <s v="DARREN MAGUIRE"/>
        <s v="VICKIE NELSON"/>
        <s v="Matt C"/>
        <s v="Sheryl S"/>
        <s v="Jeffrey B"/>
        <s v="Taylor Smith"/>
        <s v="STEFANIE ROSENTHAL"/>
        <s v="Brenda M"/>
        <s v="Tim"/>
        <s v="FRANK W"/>
        <s v="DANA FEHSAL"/>
        <s v="Stella"/>
        <s v="Mary Schings"/>
        <s v="Smileyone"/>
        <s v="Catgirl"/>
        <s v="Edmond Kachurak"/>
        <s v="NANCY HARVEY"/>
        <s v="Huckabee's Place"/>
        <s v="ALBERTA WALKER"/>
        <s v="Lisa Mitchell"/>
        <s v="SANDY SPENCER"/>
        <s v="ROBERT THRUSH"/>
        <s v="HEATHER"/>
        <s v="PATRICK KELLEY"/>
        <s v="BRENT NEW"/>
        <s v="Cat Mom"/>
        <s v="Sho En Kan Nei"/>
        <s v="DANIEL MERRILL"/>
        <s v="Nina"/>
        <s v="Carol Lloyd"/>
        <s v="DAVID GROVES"/>
        <s v="Bob Johnson"/>
        <s v="PETER NGUYEN"/>
        <s v="ALYSSA HARA"/>
        <s v="BRANDON PHILLIPS"/>
        <s v="ANNE JENNINGS"/>
        <s v="Kyle"/>
        <s v="Andrew Stevenson"/>
        <s v="Victoria"/>
        <s v="Consumer"/>
        <s v="Alessandra Caltabiano"/>
        <s v="JESSE WITT"/>
        <s v="ALICIA"/>
        <s v="MONICA CLONINGER"/>
        <s v="Eddie Hales"/>
        <s v="KP"/>
        <s v="WildSpaniels"/>
        <s v="KYRIAKA EHRENSBERGER"/>
        <s v="VIRHA PATE"/>
        <s v="S BLAKE"/>
        <s v="Mark A."/>
        <s v="KAREN ARNOLD"/>
        <s v="Karen Gregory"/>
        <s v="mxf"/>
        <s v="Judith Lustgarten"/>
        <s v="Ellen Eaton"/>
        <s v="Julieggeno"/>
        <s v="CLAUDIA KLECZKOWSKI"/>
        <s v="Marcy"/>
        <s v="SARAH SAPPINGTON"/>
        <s v="RICHARD SYKES"/>
        <s v="Cris E"/>
        <s v="SHAY LEE"/>
        <s v="Joel Rappaport"/>
        <s v="CHERYL PASZKIEWICZ"/>
        <s v="JENNIE DUNLAP"/>
        <s v="CAROLE PAULSEN"/>
        <s v="Gene W."/>
        <s v="KIM GIFFORD"/>
        <s v="ANDREW G"/>
        <s v="MIKE KOECK"/>
        <s v="DONNA BELDERRAIN"/>
        <s v="Rose O’Neil"/>
        <s v="JOANN FRY"/>
        <s v="MICHAEL BACA"/>
        <s v="SAMANTHA ROLDAN"/>
        <s v="PAMELA GENOVESI MACDONALD"/>
        <s v="SARAH SAALFIELD"/>
        <s v="RPF"/>
        <s v="Kathy"/>
        <s v="DARREN PARKER"/>
        <s v="STEVEN MILLER SR."/>
        <s v="Alice Burke"/>
        <s v="JOHN"/>
        <s v="RACHELLE MARPLE"/>
        <s v="TERI VAILLANCOURT"/>
        <s v="maria guillermo"/>
        <s v="MICHELE"/>
        <s v="Debbie"/>
        <s v="GORDON CELLIERS"/>
        <s v="Lisa Kelly"/>
        <s v="Deborah Ann"/>
        <s v="SandyN"/>
        <s v="ANITA HUDNALL"/>
        <s v="Darlene Scheuermann"/>
        <s v="Daniel Jarovisky"/>
        <s v="SHEILA G"/>
        <s v="ABINA COHEN"/>
        <s v="THERESE"/>
        <s v="michael"/>
        <s v="DONNA HILLIARD"/>
        <s v="DEBRA"/>
        <s v="Jayme K"/>
        <s v="Darlene Dali-jon"/>
        <s v="ANTHONY KELLY"/>
        <s v="John Rodriguez"/>
        <s v="Steven RIchardson"/>
        <s v="ANTHONY REID"/>
        <s v="BROOKE MARSH"/>
        <s v="CHARLOTTA"/>
        <s v="JG"/>
        <s v="JEAN GERMANO"/>
        <s v="LYNN"/>
        <s v="WILLIAM COBERLY"/>
        <s v="RUBY KILGORE"/>
        <s v="MARIA DETOMMASO"/>
        <s v="DONNA HEASTON"/>
        <s v="Gena Berkebile"/>
        <s v="Jeffrey Brenner"/>
        <s v="LARRY GRUETZMACHER"/>
        <s v="BONNIE VOHDEN"/>
        <s v="Vicki K Boyles"/>
        <s v="KAREN W"/>
        <s v="DONALD MORAVICK"/>
        <s v="Nate"/>
        <s v="Barbara Smith"/>
        <s v="Rod Ferrand"/>
        <s v="Mike"/>
        <s v="Edward"/>
        <s v="JANE ROBERTS"/>
        <s v="SIMONE"/>
        <s v="Rickie Rabourn"/>
        <s v="MARY-JANE CARLISLE"/>
        <s v="Rebecca"/>
        <s v="ANNE DEMSKY"/>
        <s v="Clare Longo"/>
        <s v="skwa"/>
        <s v="Lorraine Swanson"/>
        <s v="Caucus"/>
        <s v="Deborah"/>
        <s v="Andy Johnson"/>
        <s v="REBECCA BERGWALL"/>
        <s v="SMB"/>
        <s v="Brooke"/>
        <s v="Rita"/>
        <s v="KIM AMOIA-POST"/>
        <s v="KRISTIN HETLAND"/>
        <s v="ART CONTRESTANO"/>
        <s v="Julie McManus"/>
        <s v="Carol Zingler"/>
        <s v="Jennifer"/>
        <s v="HELEN LAMAGNA"/>
        <s v="Pete"/>
        <s v="LAWRENCE OTIS"/>
        <s v="Jb"/>
        <s v="JS"/>
        <s v="SANDRA WAGONER"/>
        <s v="Bergen County NJ home buyer"/>
        <s v="Rick Cianflone"/>
        <s v="SHIRLEY DUFRANE"/>
        <s v="IMRAN KHAN"/>
        <s v="WILLIAM"/>
        <s v="EVAN DEMARR"/>
        <s v="ROBERTA WORKMAN"/>
        <s v="Desert Skies Kennel"/>
        <s v="JMR"/>
        <s v="Richard Rippon"/>
        <s v="NATHANIEL DEARINGER"/>
        <s v="CAROL KARVOSKY"/>
        <s v="ROBERT COOK"/>
        <s v="JUDITH PATTERSON"/>
        <s v="NORA BAGA"/>
        <s v="Cathy Karabetsos"/>
        <s v="Doodlebug"/>
        <s v="RONALD STRAUB"/>
        <s v="A WORTHAM"/>
        <s v="JERRI CARROLL"/>
        <s v="(c/o sierra glass distributors)"/>
        <s v="SONYA ROBINSON"/>
        <s v="ERICA"/>
        <s v="LAURIE S"/>
        <s v="THERESA"/>
        <s v="LIBBY ALLEN"/>
        <s v="JANET TENNISON"/>
        <s v="Patricia"/>
        <s v="Jay Eldredge"/>
        <s v="MARY MADECO-SMTIH"/>
        <s v="ROBERTO RIOS RUIZ"/>
        <s v="Jenny Drastura"/>
        <s v="ROBERT SHORT"/>
        <s v="Sherry Hardwick Thomas"/>
        <s v="LC"/>
        <s v="A Krutsch"/>
        <s v="LORI KIESOW"/>
        <s v="PEGGY HITCHINGS"/>
        <s v="JOSEPH SOBREMONTE"/>
        <s v="sandra halpin"/>
        <s v="KATHARYN S"/>
        <s v="RICHARD WEISS"/>
        <s v="jaqueline cormier"/>
        <s v="James"/>
        <s v="CATHERINE WARNER"/>
        <s v="Shasta Sowards"/>
        <s v="Jonathan"/>
        <s v="Festive"/>
        <s v="Patty"/>
        <s v="CHRISTIAN LEWIS"/>
        <s v="SUSAN WISZ"/>
        <s v="Amy K"/>
        <s v="Anon"/>
        <s v="C Santana"/>
        <s v="SUSAN MANNING"/>
        <s v="KIM BULKOWSKI"/>
        <s v="Ginny Bee"/>
        <s v="MICHELE SAGE"/>
        <s v="Brenda (Brendy Pugs)"/>
        <s v="Samantha"/>
        <s v="Virginia Welsh"/>
        <s v="SHELLEY"/>
        <s v="Christine Whittinghill"/>
        <s v="LYNN HUIZINGA"/>
        <s v="DENISE KOCHICK"/>
        <s v="DANIEL NEUMANN"/>
        <s v="Pamela"/>
        <s v="BRADLEY SERLIS"/>
        <s v="Skeeter"/>
        <s v="MINDY REED"/>
        <s v="FABIOLA V."/>
        <s v="KIMBERLY GUIDI"/>
        <s v="Valentine"/>
        <s v="RON KNIGHT"/>
        <s v="HELEN CORYELL"/>
        <s v="BRIAN WARD"/>
        <s v="WILLARD D MEYER"/>
        <s v="JUAN AZCONA"/>
        <s v="Diane"/>
        <s v="crystalballing"/>
        <s v="TERRESA HOLMES"/>
        <s v="tmh"/>
        <s v="TRACY WIGHT"/>
        <s v="Steven"/>
        <s v="GAIL MORRISON"/>
        <s v="ANGIE HUTCHINS"/>
        <s v="BRIAN OHEARN"/>
        <s v="JOHN OROKE"/>
        <s v="JJ"/>
        <s v="Spike Cover"/>
        <s v="Richard qQ"/>
        <s v="DAVID HANSEN"/>
        <s v="CAMBREA HENDRICKS"/>
        <s v="LAUREL LONG"/>
        <s v="MHan"/>
        <s v="customer ellen"/>
        <s v="Shelly G"/>
        <s v="mohammad abdi"/>
        <s v="PATRICK VALENTINE"/>
        <s v="J Howe"/>
        <s v="ADRIANA CULMONE"/>
        <s v="OLGA INTSKIRVELI"/>
        <s v="PAMELA COOPER"/>
        <s v="Renea Justice"/>
        <s v="JANE GETSLA"/>
        <s v="ERIN MURPHY"/>
        <s v="Katherine Forbes"/>
        <s v="CARL SIMONIAN"/>
        <s v="ROSCOE WHITE"/>
        <s v="Linda Hatcher"/>
        <s v="HERB LOWRANCE"/>
        <s v="NANCY HOUGH"/>
        <s v="rajan girdhar"/>
        <s v="Name withheld"/>
        <s v="rossermond"/>
        <s v="Risa"/>
        <s v="Mauricio"/>
        <s v="SONJA ALLEN"/>
        <s v="Frances Drake"/>
        <s v="AJ Bon"/>
        <s v="AP"/>
        <s v="TERESA BRACE"/>
        <s v="CHRISTINA KAELIN"/>
        <s v="CLIFFORD HEATER"/>
        <s v="PAMELA DOHERTY"/>
        <s v="GEORGE CRAFTS"/>
        <s v="JEAN QUIGLEY"/>
        <s v="CONSTANCE ANTONELLI"/>
        <s v="CNM"/>
        <s v="Kristin"/>
        <s v="Diane Langlois"/>
        <s v="ED COAN"/>
        <s v="SUSAN TASHIRO"/>
        <s v="Robert Adams"/>
        <s v="Botti"/>
        <s v="Sharon Hazelrigg"/>
        <s v="JODY WARDER302 NEWPORT DR 1506NAPLES, FL 34114"/>
        <s v="MARY JANE"/>
        <s v="Denise Fergusson"/>
        <s v="Stephen"/>
        <s v="Portland customer"/>
        <s v="Yulia B"/>
        <s v="JAMES SHEARER"/>
        <s v="ARDEN LARSEN"/>
        <s v="Rob"/>
        <s v="KAREN COSTELLO"/>
        <s v="AMY"/>
        <s v="APRIL WOODRUFF"/>
        <s v="Marcelino"/>
        <s v="GARY FULLER"/>
        <s v="KG"/>
        <s v="Kevin"/>
        <s v="Linda Lou"/>
        <s v="Cynthia Greene"/>
        <s v="MARYANNE"/>
        <s v="DENNITTA HILL"/>
        <s v="JILL JOHNSON"/>
        <s v="GREG BISI"/>
        <s v="SONG LEE"/>
        <s v="PAULINE HAMASAKI"/>
        <s v="LAST NAME Ranney"/>
        <s v="Anita"/>
        <s v="STEPHEN BECKETT"/>
        <s v="SARA &amp; CHRISTY HANSHEW"/>
        <s v="Olga Abella"/>
        <s v="SHALENE H."/>
        <s v="Georgia"/>
        <s v="Heidi McCain"/>
        <s v="Joy"/>
        <s v="cb"/>
        <s v="CustomerMsMarianne"/>
        <s v="JULIA JOHNSON"/>
        <s v="Gregory Gigantiello"/>
        <s v="CHRISTINE ROBINSON"/>
        <s v="Marylou"/>
        <s v="pam l"/>
        <s v="Jim Damm"/>
        <s v="ODALYS CRUZ"/>
        <s v="JESSICA FRIEDMAN"/>
        <s v="Tammy Borell"/>
        <s v="NK"/>
        <s v="DEBBIE LATTIN"/>
        <s v="Matthew"/>
        <s v="Et"/>
        <s v="STEVE W."/>
        <s v="SCOTT BILOT"/>
        <s v="STEVEN HARRINGTON"/>
        <s v="ROXANNE M KITZMAN"/>
        <s v="Diana L"/>
        <s v="Unhappy member"/>
        <s v="Stephanie P"/>
        <s v="JEAN SILVER"/>
        <s v="Frank viola"/>
        <s v="JULIE WAYMIRE"/>
        <s v="Chanel Silva"/>
        <s v="ROBERT NAYLIS"/>
        <s v="Kriss M."/>
        <s v="GRANDMA RINK"/>
        <s v="DON PETERS"/>
        <s v="LESLIE FEARING"/>
        <s v="deirdre santoscoy"/>
        <s v="MELONIE ESO"/>
        <s v="Donna Ross"/>
        <s v="Paul Auger"/>
        <s v="Steve Sell"/>
        <s v="michael ri"/>
        <s v="Julie"/>
        <s v="Customer Timothy"/>
        <s v="Bruce"/>
        <s v="DEBBIE REYES"/>
        <s v="KathyN"/>
        <s v="BubblesLaTour47"/>
        <s v="CHERYL RENSHAW"/>
        <s v="Marilyn Cole"/>
        <s v="DEBORA MCNAMARA"/>
        <s v="NORA WADE-SCHULTZ"/>
        <s v="A. Iannotta"/>
        <s v="Mary Hommel"/>
        <s v="ROSS HARRISON"/>
        <s v="richard wilson"/>
        <s v="Sue Evans"/>
        <s v="SUZANNE"/>
        <s v="Pa Jo"/>
        <s v="Arizona Customer"/>
        <s v="BETTY GIBBS"/>
        <s v="Susan Ostby"/>
        <s v="K8VL"/>
        <s v="JODY HUTH"/>
        <s v="DIANE CAMPOCHIARO"/>
        <s v="THOMAS SMITH"/>
        <s v="Abbey’s parents"/>
        <s v="DON URBIELEWICZ"/>
        <s v="KIMBERLY JENSEN"/>
        <s v="Rhonda Williams"/>
        <s v="Mamichellr"/>
        <s v="DONNA GREENE"/>
        <s v="TXCJG"/>
        <s v="ELIZABETH CARTER"/>
        <s v="SCOTT L"/>
        <s v="Travis"/>
        <s v="ALAN PETERS"/>
        <s v="DELORES BECKETT-PASTIRCHAK"/>
        <s v="MARY RUSSELL"/>
        <s v="JANE BREYER"/>
        <s v="Sheri Gittinger"/>
        <s v="Kayan Eplett"/>
        <s v="Kathy K-"/>
        <s v="WANDA KLING"/>
        <s v="CAROL GREENBERG"/>
        <s v="Christopher Weaver"/>
        <s v="PAULA GODINA"/>
        <s v="DEE"/>
        <s v="Suzanne HILL-TRIPP"/>
        <s v="MRJ"/>
        <s v="Suzann"/>
        <s v="MARILYN SHARP"/>
        <s v="Ziva"/>
        <s v="PETER TEDONE"/>
        <s v="Angela"/>
        <s v="KRISTEN MULLIN"/>
        <s v="Donna"/>
        <s v="Ted’s Mom"/>
        <s v="MONICA MOORE"/>
        <s v="STEVEN KIMPTON"/>
        <s v="TERENCE SHUBECK"/>
        <s v="Mark Kelley"/>
        <s v="EVE STANGOR"/>
        <s v="Ana Ramos"/>
        <s v="safr"/>
        <s v="ANDREA PAQUETTE"/>
        <s v="Kathleen Smith"/>
        <s v="Mattman."/>
        <s v="SARAH"/>
        <s v="OWLEN SCAGGS"/>
        <s v="Eileen Portelli"/>
        <s v="HF"/>
        <s v="DONNA KENNY"/>
        <s v="DUSTIN MURDOCK"/>
        <s v="MP"/>
        <s v="meshelle eicher"/>
        <s v="DIANE AMONO"/>
        <s v="ARTHUR BUCKLEY"/>
        <s v="MommaWinks"/>
        <s v="KAREN SHARKEY"/>
        <s v="TOM WIECK"/>
        <s v="kathleen holmes"/>
        <s v="CustomerNancy Ullrich"/>
        <s v="NANCY LEWIS"/>
        <s v="TINA SPRING"/>
        <s v="MARGARET"/>
        <s v="SUSAN LATCHAM"/>
        <s v="Renee Breeden"/>
        <s v="RONALD STOUT"/>
        <s v="Linda Wutz"/>
        <s v="Kim"/>
        <s v="Guest"/>
        <s v="Maureen Doran Kocka"/>
        <s v="Em"/>
        <s v="scouter63"/>
        <s v="Tom Lindemann"/>
        <s v="LOIS FERGUSON SMITH"/>
        <s v="DEBBIE THOMPSON"/>
        <s v="LOURDES."/>
        <s v="Susan"/>
        <s v="ROBERT NELSON"/>
        <s v="Tina"/>
        <s v="Kim Phillips"/>
        <s v="ELLENP"/>
        <s v="Chuck"/>
        <s v="Barry H"/>
        <s v="TYSON STEIGERS"/>
        <s v="CHRISTINA L"/>
        <s v="MUNROE CHAPIN"/>
        <s v="Rebecca Smith"/>
        <s v="CAROLYN W SHAFFER"/>
        <s v="ROIX"/>
        <s v="JEANETTE G."/>
        <s v="AL LARSON"/>
        <s v="April"/>
        <s v="JUDY SMITH"/>
        <s v="SUSAN LOVE"/>
        <s v="Crystal Riley"/>
        <s v="NICK"/>
        <s v="HILARY BURNS"/>
        <s v="BKO"/>
        <s v="GIL G"/>
        <s v="TIM FREYTAG"/>
        <s v="Gail"/>
        <s v="CASEY FLETCHER"/>
        <s v="JONATHAN LUECKE"/>
        <s v="DDBrown"/>
        <s v="J. HAMU"/>
        <s v="Alexa"/>
        <s v="DAVID EICHORN"/>
        <s v="KM"/>
        <s v="MiuMiu's Mom"/>
        <s v="Barbara"/>
        <s v="Cheri Collins"/>
        <s v="Frank Lucero"/>
        <s v="Debi"/>
        <s v="ALLEN M FELDMAN"/>
        <s v="Richard"/>
        <s v="S I-P"/>
        <s v="DAVE DUFOUR"/>
        <s v="Julia"/>
        <s v="Kenneth Tuffern"/>
        <s v="Bethann Baer"/>
        <s v="Shelley Lloyd"/>
        <s v="KIRT KOON"/>
        <s v="Geoff"/>
        <s v="FELIX GAN"/>
        <s v="Raine Tyler"/>
        <s v="Rebecca D Cintron"/>
        <s v="Melvin Check"/>
        <s v="Ann Sabin"/>
        <s v="Linda Schmidt"/>
        <s v="LORI LAVINE"/>
        <s v="MINDY SAETERN"/>
        <s v="John Toner"/>
        <s v="BRENDA"/>
        <s v="LINDA SOKOLOWSKI"/>
        <s v="MARTHA VASI"/>
        <s v="RICHARD RINER"/>
        <s v="LINDA RUFFING"/>
        <s v="Mary Hawks"/>
        <s v="LAURIE GREEAR"/>
        <s v="Jill M"/>
        <s v="Mandisa Henry"/>
        <s v="Lesli Kelsey"/>
        <s v="Melissa"/>
        <s v="FREDERICK PISANI"/>
        <s v="AMcc"/>
        <s v="BEN LEVER"/>
        <s v="rmc"/>
        <s v="D P"/>
        <s v="SHEILA W"/>
        <s v="DAVE LAWSON"/>
        <s v="KATHY DURGIN-LEIGHTON"/>
        <s v="Christine"/>
        <s v="CIndyNC"/>
        <s v="CLAIRE TURNBULL"/>
        <s v="HOPE-CAROLYN QUENTZEL"/>
        <s v="Eva"/>
        <s v="GLENDA LAUBHAN"/>
        <s v="ELIZABETH DEKARSKE"/>
        <s v="C Machleit"/>
        <s v="SANDRA"/>
        <s v="James Lallman"/>
        <s v="Joe Smith"/>
        <s v="PHIL THOMAS"/>
        <s v="MARY BATES"/>
        <s v="Vanessa"/>
        <s v="MICHAEL DEL MASTO"/>
        <s v="Yury K"/>
        <s v="MICHAEL MOREHEAD"/>
        <s v="T Ward"/>
        <s v="ALBERT EGAN"/>
        <s v="MICHELLE RUE"/>
        <s v="BOB and ANNE BLAICHER"/>
        <s v="Helene"/>
        <s v="JENNIFER K"/>
        <s v="Tammy"/>
        <s v="STEVEN NEVADA"/>
        <s v="JOHN ANDERSON"/>
        <s v="Barbara Rice"/>
        <s v="Wheels"/>
        <s v="JENNY O'BRIEN"/>
        <s v="Peter Utrata"/>
        <s v="Jenna"/>
        <s v="Michael G"/>
        <s v="NLB"/>
        <s v="PAUL VERZOSA"/>
        <s v="Kathryn Johnson"/>
        <s v="Lh"/>
        <s v="PAUL GUEVARA"/>
        <s v="KIM M"/>
        <s v="VIVIANA K."/>
        <s v="Brad Galusha"/>
        <s v="THERESA VAN VELS"/>
        <s v="TIFFANY"/>
        <s v="LAURA CYPHERS"/>
        <s v="JANA ANDERSON"/>
        <s v="LINDA B"/>
        <s v="josephine vollkommer"/>
        <s v="John Toto"/>
        <s v="STEPHANIE CARPENTER"/>
        <s v="Melinda"/>
        <s v="Tracy"/>
        <s v="Chris S"/>
        <s v="SUZANNE CAMPBELL"/>
        <s v="MARK L"/>
        <s v="TagandLink"/>
        <s v="Monica Loeffler"/>
        <s v="Earl Mullett Jr"/>
        <s v="Gretchen"/>
        <s v="Justin"/>
        <s v="JUDY MITCHELL"/>
        <s v="Kelli S."/>
        <s v="Kathryn"/>
        <s v="XIMENA RAMOS"/>
        <s v="Linda S"/>
        <s v="PHYLLIS YAEGER"/>
        <s v="Linda Clark"/>
        <s v="ROGER RAY"/>
        <s v="DAWN"/>
        <s v="LKM"/>
        <s v="CAROLYNN GALAVIZ"/>
        <s v="KELLY LAFRANCE"/>
        <s v="Bennett"/>
        <s v="JEFF WARMOUTH"/>
        <s v="customer Robert Elgin"/>
        <s v="SHAGGY PHIPPS"/>
        <s v="TERRY SCHNITTER"/>
        <s v="GLENYCE ROSS"/>
        <s v="Denali"/>
        <s v="ROBIN CROCE"/>
        <s v="FRED HARRAH"/>
        <s v="Mary Ann"/>
        <s v="DORY RODRIGUEZ"/>
        <s v="Robert Danforth"/>
        <s v="KERRY OHAGEN"/>
        <s v="Rick Cantu"/>
        <s v="loretta vacek"/>
        <s v="Wilma McCoy"/>
        <s v="Mm Nava"/>
        <s v="KAREN FORSEE"/>
        <s v="Jeff Burke"/>
        <s v="JOAN GINARD"/>
        <s v="SANDRA HERNANDEZ"/>
        <s v="RustyBritt"/>
        <s v="CRISTINA MEDNICK"/>
        <s v="Janice"/>
        <s v="CMS"/>
        <s v="NANCY GIBBS"/>
        <s v="TRAVIS SHERMAN"/>
        <s v="Mel M."/>
        <s v="KYLE POLLOCK"/>
        <s v="HOLLY HENRY WEST"/>
        <s v="KAREN HARPER"/>
        <s v="KATHY HARVEY-JONES"/>
        <s v="BRUCE MALICKI"/>
        <s v="JEFF BOAK"/>
        <s v="Suzanne L Fraccaroli"/>
        <s v="Spencer"/>
        <s v="CHRIS MARMO"/>
        <s v="Amber S"/>
        <s v="PB"/>
        <s v="TY STRAWHECKER"/>
        <s v="Anna"/>
        <s v="DS"/>
        <s v="Thomas"/>
        <s v="Doggiemistress"/>
        <s v="LYNN KALUHIOKALANI"/>
        <s v="Molly McMurray"/>
        <s v="alicia savino"/>
        <s v="Rebecca O"/>
        <s v="Victoria Schulze"/>
        <s v="LINA COLELLA"/>
        <s v="Laurel Cole"/>
        <s v="ALEX MARTINEZ"/>
        <s v="SHARON ELLIS"/>
        <s v="KAREN KUNS"/>
        <s v="MARY SUGGS"/>
        <s v="Richard W"/>
        <s v="STANLEY"/>
        <s v="DAVID ADAMS"/>
        <s v="Robin"/>
        <s v="Sdo"/>
        <s v="Larry"/>
        <s v="This company SUCKS"/>
        <s v="MALENA PORTER"/>
        <s v="Carole"/>
        <s v="Raven 654"/>
        <s v="CRISTINA CONKLIN"/>
        <s v="THOMAS WILLIAMS"/>
        <s v="marky"/>
        <s v="Debra H"/>
        <s v="susan bjurstrom"/>
        <s v="Danny Tang"/>
        <s v="MES"/>
        <s v="SHIRLEY"/>
        <s v="LUKE ROSE"/>
        <s v="Susanna S."/>
        <s v="LISA CHAPPELL"/>
        <s v="LACEY"/>
        <s v="Teresa Mads"/>
        <s v="Hien"/>
        <s v="GLEN CASSELLS"/>
        <s v="JOBYNA"/>
        <s v="Sue H."/>
        <s v="Brian"/>
        <s v="SANDRA O'DELL"/>
        <s v="Darlene"/>
        <s v="MELINDA THEIDE"/>
        <s v="JORDAN"/>
        <s v="TAMI COMETTE"/>
        <s v="Shelley Malin"/>
        <s v="DENISE"/>
        <s v="JACK KRAUT"/>
        <s v="Mary Forsythe"/>
        <s v="TAMMY ROSS"/>
        <s v="HENRY CHANDLER"/>
        <s v="Rescue an Animal Save your Sou"/>
        <s v="casey bradshaw"/>
        <s v="NJLuvs2Shop!"/>
        <s v="JAMES BARNETT"/>
        <s v="MIKE BERTRAND"/>
        <s v="Stevens Rosemary"/>
        <s v="CHRISTINE P"/>
        <s v="Cathy in New York"/>
        <s v="Stop spamming me!!!"/>
        <s v="PAMELA KELLY"/>
        <s v="JERI POWELL"/>
        <s v="Sasciee"/>
        <s v="Elizabeth Dahl"/>
        <s v="Sally"/>
        <s v="JULIE ALMS"/>
        <s v="C Junior"/>
        <s v="Annoyed"/>
        <s v="KELLY VIGIL"/>
        <s v="TEIMURAZ BANDZAVA"/>
        <s v="Kathryn Riddle"/>
        <s v="K."/>
        <s v="Ann R"/>
        <s v="VICKI BUTLER"/>
        <s v="Eric Fisher"/>
        <s v="Peter Jurich"/>
        <s v="Mary L Smith"/>
        <s v="JERI BOSWELL"/>
        <s v="K. Neely"/>
        <s v="Catlover"/>
        <s v="Beth Miranda"/>
        <s v="SAL ITALIANO"/>
        <s v="Raymond Butts"/>
        <s v="GEORGE HACKNEY"/>
        <s v="MARK MARZINO"/>
        <s v="Joye Thomas"/>
        <s v="Kristie"/>
        <s v="Erin Leigh"/>
        <s v="LAURA GARVIN"/>
        <s v="KAREN WAXMAN"/>
        <s v="SUSAN MCCLAIN"/>
        <s v="PAOLA BELLI"/>
        <s v="Ohiodoglover"/>
        <s v="ANGELA PLUMLEY"/>
        <s v="George T"/>
        <s v="CECILy"/>
        <s v="PENNY GOODIN"/>
        <s v="S STAVRO"/>
        <s v="SHARON"/>
        <s v="JEFF HALE"/>
        <s v="MARILYN ROTH"/>
        <s v="THOMAS CARRAN"/>
        <s v="ETHEL HOUMAN"/>
        <s v="Pat"/>
        <s v="Alla Ruchkina"/>
        <s v="CHRISTINA M."/>
        <s v="MICHAEL BIRCHALL"/>
        <s v="DANIEL SAMARDZICH"/>
        <s v="FELICIA SISK"/>
        <s v="JT"/>
        <s v="MARIAN M"/>
        <s v="Disappointing"/>
        <s v="Bergie"/>
        <s v="Ga B"/>
        <s v="JUDY BUTTON"/>
        <s v="MAKAYLA BRAIN"/>
        <s v="DENISE ANGELO"/>
        <s v="Starr Herscovitch"/>
        <s v="Cassidy Craig"/>
        <s v="SUSAN VAZ"/>
        <s v="LINDA CRANE"/>
        <s v="Karen Reed"/>
        <s v="A.Q."/>
        <s v="ANDREW RAMSEYER"/>
        <s v="Nicole"/>
        <s v="Gail Pray"/>
        <s v="DOUGLAS ALLAN"/>
        <s v="REBECCA BROGAN"/>
        <s v="MML"/>
        <s v="ART HILER"/>
        <s v="CHARLENE"/>
        <s v="REBECCA ALDERMAN"/>
        <s v="Cary Brenchley"/>
        <s v="LANAY SAMUELSON"/>
        <s v="CAROL BRONSON"/>
        <s v="AMBUR M"/>
        <s v="DAN MARCH"/>
        <s v="WENDY STELMACK"/>
        <s v="ROBIN MUNSON"/>
        <s v="LilNLu’s ma"/>
        <s v="Frederick Irwin"/>
        <s v="Gourmet Gal"/>
        <s v="MICHAEL PRINCIPE"/>
        <s v="Monica Feagan"/>
        <s v="LaDonna Swaim"/>
        <s v="MICHAEL JAMES"/>
        <s v="Jordan Rogers"/>
        <s v="Shelly"/>
        <s v="ASHLEY P."/>
        <s v="bobbi"/>
        <s v="SOPHIE BROOKS"/>
        <s v="ROMAN BOWSSER"/>
        <s v="REYVONNA WHITE"/>
        <s v="MO"/>
        <s v="RH"/>
        <s v="Yvette"/>
        <s v="PERLA BUCHSBAUM"/>
        <s v="Paula Brock"/>
        <s v="STEVEN C."/>
        <s v="Donna Grubbs"/>
        <s v="HappyCamper"/>
        <s v="NAJA AYERS"/>
        <s v="Randi K"/>
        <s v="CHRISTINE SWISZCZ"/>
        <s v="Anja Metz"/>
        <s v="REBECCA SOTO"/>
        <s v="JULIE HAGEN-CHURCHMAN"/>
        <s v="JEANNE MARIE THALLMAYER"/>
        <s v="ROBIN SCHMINCKE"/>
        <s v="Candy and Brian"/>
        <s v="Valerie"/>
        <s v="JOYCE BARBER"/>
        <s v="JENNIFER H"/>
        <s v="ron henderson"/>
        <s v="sal quintero"/>
        <s v="brent mccaig"/>
        <s v="Richard Beard"/>
        <s v="Christopher Munns"/>
        <s v="JULIE R."/>
        <s v="MARY LEADER"/>
        <s v="Jasmine Williams"/>
        <s v="DobetterBIleave"/>
        <s v="KHAIRUL ALAM"/>
        <s v="KATHRYN MARSHBURN"/>
        <s v="Anatoly Tokar"/>
        <s v="Mia’s Mommy Nunez"/>
        <s v="IRAIDA TRUSOVA"/>
        <s v="Lily"/>
        <s v="Phyllis Beasley"/>
        <s v="CAROL CLARKE"/>
        <s v="M. Savage"/>
        <s v="ANGELA WHITE"/>
        <s v="P. Rick"/>
        <s v="WILLIAM BAUMGARTNER"/>
        <s v="TraM"/>
        <s v="MIKE L."/>
        <s v="CHRISTINE J"/>
        <s v="SANDRA BOYAS"/>
        <s v="DIANE R"/>
        <s v="GINA ANDREWS"/>
        <s v="JOHN AMBROSE"/>
        <s v="MJ"/>
        <s v="N. Lucci"/>
        <s v="MELISSA RICHARD"/>
        <s v="CARRIE ROBERTS"/>
        <s v="DENISE ANDERSON"/>
        <s v="Jane"/>
        <s v="HEATHER THACKER"/>
        <s v="TOM W"/>
        <s v="Miss Christine"/>
        <s v="Jim Russo"/>
        <s v="NELSON TIBURCIO"/>
        <s v="LINDA RANKIN"/>
        <s v="PHIL DAHLQUIST"/>
        <s v="Russ"/>
        <s v="NOEL HIRSCH"/>
        <s v="Gene Smith"/>
        <s v="A.H.(Chico)Tose"/>
        <s v="Maitri Libellule"/>
        <s v="Pauly"/>
        <s v="HR Teel"/>
        <s v="Happy Camper"/>
        <s v="Marcela Reilly"/>
        <s v="Vickie Mullins"/>
        <s v="KIMBERLY MCBRIDE"/>
        <s v="Tam"/>
        <s v="MAHMOUD ALNAJAR"/>
        <s v="RITA DEFRANCO"/>
        <s v="JAQUELINE BUGALLO PASCUCCI"/>
        <s v="Janesa Calone"/>
        <s v="D. C."/>
        <s v="ROSE H., Arkansas"/>
        <s v="LEROY FHLUG"/>
        <s v="CHARLENE GALLARDO"/>
        <s v="WALT HUNT"/>
        <s v="Daniel Glunt"/>
        <s v="SUE MOGLE"/>
        <s v="ADA FRASCA"/>
        <s v="MARSHA MUELLER"/>
        <s v="Jill"/>
        <s v="RIA"/>
        <s v="RONALD GARLICK"/>
        <s v="Rick"/>
        <s v="Jennifer Abbott-Walker"/>
        <s v="CANDEE ZENKLUSEN"/>
        <s v="TIMMY BJORKQUIST"/>
        <s v="WILLIAM G"/>
        <s v="Captain Stumpy"/>
        <s v="ALEXANDRA PARRA"/>
        <s v="Frederic Steinhardt"/>
        <s v="Jacqui"/>
        <s v="hofty"/>
        <s v="Kimberley Lightcap"/>
        <s v="BRENDA MITCHELL"/>
        <s v="HMa"/>
        <s v="Siameez"/>
        <s v="STEVEN GANUNG"/>
        <s v="JENNIFER SCHILLING"/>
        <s v="Donna M."/>
        <s v="Jborine"/>
        <s v="DEBBIE FLORES"/>
        <s v="PATTI MARTINEZ"/>
        <s v="DREW NELSON"/>
        <s v="Geraldine Hagan"/>
        <s v="ELIZABETH CUNNINGHAM"/>
        <s v="Carlos G"/>
        <s v="Lara M"/>
        <s v="Elizabeth Jackson"/>
        <s v="BARBARA JONES"/>
        <s v="KATHY WESOLOWSKI"/>
        <s v="Dan"/>
        <s v="Jaclyn Koester"/>
        <s v="Phillip Lavery"/>
        <s v="Z C W"/>
        <s v="DAVID BLAKE"/>
        <s v="Kathie Potega"/>
        <s v="Barb"/>
        <s v="SheliaJ"/>
        <s v="EightBlueEyes"/>
        <s v="Ellen Solis-Cohen"/>
        <s v="Katarina"/>
        <s v="M.clem"/>
        <s v="MICHELE BOWERS"/>
        <s v="James B."/>
        <s v="Ed"/>
        <s v="Marmy"/>
        <s v="KIM FRAZIER"/>
        <s v="DONNA AUGUSTINE"/>
        <s v="Mary Chalaire"/>
        <s v="GINNY B"/>
        <s v="Buddha / Opalina"/>
        <s v="RHONDA"/>
        <s v="stanleychavez"/>
        <s v="Honey Flavorz"/>
        <s v="Stephanie Lucas"/>
        <s v="Smw"/>
        <s v="Annie LaVigne"/>
        <s v="AUDREY EICHWALD"/>
        <s v="JOYCE BERRY"/>
        <s v="BRIANNA SCHUMAKER NGUYEN"/>
        <s v="REBECCA LOPEZ"/>
        <s v="LAK"/>
        <s v="GERA WILLIAMS"/>
        <s v="FRANK WESSINGER"/>
        <s v="MAYME WILHEM"/>
        <s v="LANIER WATSON"/>
        <s v="Rebecca Wickstrom"/>
        <s v="Susan Jay"/>
        <s v="DIANE ESCOBAR"/>
        <s v="DEBBIE ROBERTS"/>
        <s v="MARGARET S WARNER"/>
        <s v="Max’s mom"/>
        <s v="MYRON"/>
        <s v="TANJINA"/>
        <s v="STEVE KARMAN"/>
        <s v="LINDA KELLER"/>
        <s v="ALISE SAUNDERS"/>
        <s v="ANITA SAINT CLAIR"/>
        <s v="Andrina DaCar"/>
        <s v="Ronnie Hoffman"/>
        <s v="berkshires"/>
        <s v="Christopher"/>
        <s v="VERLA E ORDING"/>
        <s v="Angela Bowen"/>
        <s v="DAN W"/>
        <s v="ADRIENNE B"/>
        <s v="Wendy Morrey"/>
        <s v="STEPHEN HELD"/>
        <s v="B Bradford"/>
        <s v="MARILYN BADGER"/>
        <s v="RodB"/>
        <s v="Melissa Susino-Nussbaum"/>
        <s v="William Matthews"/>
        <s v="ELIZABETH CUMBERBATCH"/>
        <s v="JESSE CLARK"/>
        <s v="MICHELLE UNGER"/>
        <s v="L.RIVERA"/>
        <s v="EBONY PARKER WAUGH"/>
        <s v="SCD"/>
        <s v="DOGMOM"/>
        <s v="William Gallop"/>
        <s v="Zar's Mom"/>
        <s v="FREDERICK BROUGH III"/>
        <s v="Carla Trujillo"/>
        <s v="CAROL K"/>
        <s v="Joseph"/>
        <s v="MarkO"/>
        <s v="PAMELA YEH"/>
        <s v="JILL CLARKE"/>
        <s v="Don Walters"/>
        <s v="Kathi"/>
        <s v="INDIANA DILAN"/>
        <s v="ROBERT ANDERSON"/>
        <s v="No happy"/>
        <s v="STACEY M."/>
        <s v="YOLANDA GRIFFITHS"/>
        <s v="michelle berentz"/>
        <s v="Renee &amp; Bee"/>
        <s v="Judith Lewis"/>
        <s v="NANCY CLASEN"/>
        <s v="Laura"/>
        <s v="WENDY MANN"/>
        <s v="S Tate"/>
        <s v="TAMMIE Y"/>
        <s v="Beckley Van Cleave"/>
        <s v="DENISE ARCHER"/>
        <s v="LARRY BENTLEY"/>
        <s v="M. Quick"/>
        <s v="Ted"/>
        <s v="VIKKI FLAHERTY"/>
        <s v="DAWN SCHAFFER"/>
        <s v="SHEFFIELD LARRY"/>
        <s v="DENNIS HOFFBUHR"/>
        <s v="ELYSE D."/>
        <s v="KAY"/>
        <s v="Bob Kobashigawa"/>
        <s v="LOUI MARRA"/>
        <s v="Chris Cassner"/>
        <s v="BELINDA HARLOW"/>
        <s v="MIA LAVERGNE"/>
        <s v="Agnes"/>
        <s v="NANCY"/>
        <s v="Judy Kathleen Thompson"/>
        <s v="Cynthia Gould"/>
        <s v="LINDA MEEHAN"/>
        <s v="LISA SHAFFER"/>
        <s v="Barrie"/>
        <s v="Yas"/>
        <s v="T M BUCKMAN"/>
        <s v="Duane Neuerburg"/>
        <s v="Eva Fresquez"/>
        <s v="ROLLIN BAIRD"/>
        <s v="TRACY WESTMORELAND"/>
        <s v="Penny"/>
        <s v="JUDITH TAYLOR"/>
        <s v="Joel Goldin"/>
        <s v="DB"/>
        <s v="PAUL WEILER"/>
        <s v="Charlie"/>
        <s v="JOHN HEITZMAN"/>
        <s v="KALLIE DAVISCOURT"/>
        <s v="Eric"/>
        <s v="NANCY CAMACHO"/>
        <s v="SANDRA HERSOM"/>
        <s v="MARTHA GARLICK"/>
        <s v="JENNIFER FRAIN"/>
        <s v="Steven Poster"/>
        <s v="Tom P"/>
        <s v="Deberoh Gruver"/>
        <s v="Cathy K"/>
        <s v="Biscuit"/>
        <s v="JOSE ARAUJO"/>
        <s v="bomarkat"/>
        <s v="Carole Springer"/>
        <s v="Daniel"/>
        <s v="LON CARNEY"/>
        <s v="KADY TETZLAFF"/>
        <s v="Peggy Jo Gustis"/>
        <s v="MAUREEN WATSON"/>
        <s v="CORINNE BROWN"/>
        <s v="LAURA BISHOP"/>
        <s v="Feniix"/>
        <s v="Beth V"/>
        <s v="SYNDEE F."/>
        <s v="KSJ"/>
        <s v="Don Land"/>
        <s v="DAWN MORDICA"/>
        <s v="Linda J Larson"/>
        <s v="All seeing Isaac"/>
        <s v="CAROLINE HALDER"/>
        <s v="THAD S"/>
        <s v="BEVERLY DELAET"/>
        <s v="DALE T"/>
        <s v="JOSEPH G."/>
        <s v="DHK"/>
        <s v="Joy to the world"/>
        <s v="GAIL HUGHES"/>
        <s v="Eessam Ammouri"/>
        <s v="SUSAN ABEEL"/>
        <s v="Maureen"/>
        <s v="ROZ DORF"/>
        <s v="JEANETTE ZGLOBICKI"/>
        <s v="PAULETTE TARDIO"/>
        <s v="MICHAEL PAGLIANTI"/>
        <s v="ROBERT EARHART"/>
        <s v="AMY NASH"/>
        <s v="MARIE"/>
        <s v="Anya Spielberg"/>
        <s v="KLaurie"/>
        <s v="MEGAN R"/>
        <s v="Sharen"/>
        <s v="ELLEN CHILDS"/>
        <s v="JENNIFER HOFFMAN"/>
        <s v="DAVID COHEN"/>
        <s v="LOIS SUSSMAN"/>
        <s v="JUDITH ENDEAN"/>
        <s v="WHITNEY CHIRDON"/>
        <s v="Sami's mom"/>
        <s v="Pet Lover"/>
        <s v="Lck"/>
        <s v="LISA DENNY"/>
        <s v="VW"/>
        <s v="vicki thornborough"/>
        <s v="CRAIG LETRICH"/>
        <s v="NILDA BERRIOS"/>
        <s v="PATRICIA MULQUEEN"/>
        <s v="Cathy"/>
        <s v="ANNETTE"/>
        <s v="KAYE OWENS"/>
        <s v="JOSE DIAZ"/>
        <s v="ANTOINETTE PELKEY"/>
        <s v="Jennifer Daly"/>
        <s v="TnE"/>
        <s v="MAUREEN R."/>
        <s v="MARC EISEN"/>
        <s v="Jackie"/>
        <s v="BRENDA HACH"/>
        <s v="Denise Moll"/>
        <s v="rk"/>
        <s v="SHELIA"/>
        <s v="SHARON WAINWRIGHT"/>
        <s v="Nura Cue"/>
        <s v="JOHN HAWTHORNE"/>
        <s v="Marietta Pup Mom"/>
        <s v="Andrew Cohen"/>
        <s v="Cynthia"/>
        <s v="JOANNE BEIGER"/>
        <s v="Carol"/>
        <s v="MATTHEW ATHERLEY"/>
        <s v="AMY SENSTAD"/>
        <s v="SHERYL MCLEAN"/>
        <s v="Ronda Raye"/>
        <s v="LESLIE ZELKOWITZ"/>
        <s v="WENDY GANSER"/>
        <s v="AL T."/>
        <s v="MONICA"/>
        <s v="Ian"/>
        <s v="KATHY KLEIST"/>
        <s v="Suzanne Fleischmann"/>
        <s v="ANDRES"/>
        <s v="B Sillwell"/>
        <s v="KENNETH KANTOR"/>
        <s v="MS"/>
        <s v="LEE BARTHEL"/>
        <s v="PHILIP M"/>
        <s v="Disappointed"/>
        <s v="Violet Ahrenholtz"/>
        <s v="Virginia Buxton"/>
        <s v="Johaen B Nunez"/>
        <s v="ROBERT HERNANDEZ"/>
        <s v="JANET PATACCA"/>
        <s v="EVELYN WHITE"/>
        <s v="DEANNA MEYER"/>
        <s v="JEANNIE"/>
        <s v="JEAN WINANS"/>
        <s v="RHONA HAMMOCK"/>
        <s v="Irina"/>
        <s v="Ginger’s mom"/>
        <s v="LINDA SHINNEMAN"/>
        <s v="Rexford Nichols"/>
        <s v="Joann Shepherd"/>
        <s v="KATIE"/>
        <s v="CHARLOTTE COOPER"/>
        <s v="Jean Kandel"/>
        <s v="LETA WELLS"/>
        <s v="SHANNON MOLLOY"/>
        <s v="Leo"/>
        <s v="RICHARD K FALKE"/>
        <s v="Mary Boyle"/>
        <s v="ANGELA SEVERE"/>
        <s v="HEATHER PARCHMAN"/>
        <s v="patrick"/>
        <s v="ROBERT VANMETER"/>
        <s v="Herb"/>
        <s v="Nick V."/>
        <s v="MONICA ABEYTA"/>
        <s v="MARK STEVENS"/>
        <s v="TIMOTHY COOPER"/>
        <s v="DENNIS"/>
        <s v="STEPHANIE WALKER"/>
        <s v="cam"/>
        <s v="ANGELA ROMBACH"/>
        <s v="DESIREE ZAMBRANA"/>
        <s v="LLB52"/>
        <s v="JOSEPH GONZALES"/>
        <s v="RON"/>
        <s v="BRENDA KEISTER"/>
        <s v="LINDA MURPHY"/>
        <s v="HAt"/>
        <s v="MARGARET FINNEGAN"/>
        <s v="RICHARD DAVILA"/>
        <s v="Susan Ross"/>
        <s v="TERRYN"/>
        <s v="PATRICIA SOSA"/>
        <s v="LORRIE CANDLER"/>
        <s v="Linda Ryburn"/>
        <s v="Klossau"/>
        <s v="FEO"/>
        <s v="SABLE JAK"/>
        <s v="Naioma Emanuel"/>
        <s v="Hilary"/>
        <s v="Kim B."/>
        <s v="Victoria K"/>
        <s v="KIMBERLY REED"/>
        <s v="ROSE G"/>
        <s v="ANDREA MENZER-FEEBECK"/>
        <s v="TRACIE OSBORNE"/>
        <s v="RLL"/>
        <s v="BOB HERBERT HSU"/>
        <s v="delphiguy"/>
        <s v="FYNN MORELAND"/>
        <s v="Terry Wolverton"/>
        <s v="Ljudice"/>
        <s v="Mary Griswold"/>
        <s v="Kathy J."/>
        <s v="ALEXIS ROEBER"/>
        <s v="Purrfectly Contented Pat"/>
        <s v="TARA NOSICH"/>
        <s v="Kitty Mama"/>
        <s v="GLENN DONOFRI"/>
        <s v="Jim D"/>
        <s v="NATALIYA KUTYEPOVA"/>
        <s v="CHRISTY"/>
        <s v="Ruth Butler"/>
        <s v="JANET ALLI"/>
        <s v="ken123"/>
        <s v="Gator"/>
        <s v="Ben Szilagy"/>
        <s v="Deborah h"/>
        <s v="BETSY RAYLE"/>
        <s v="Tyrone Morgan"/>
        <s v="LBrotkin"/>
        <s v="STACY BOVE-FULGENZI"/>
        <s v="CAROL ANNE OLSEN"/>
        <s v="Deb"/>
        <s v="Robert William"/>
        <s v="Kaybar"/>
        <s v="LB"/>
        <s v="Elissa Rogovin"/>
        <s v="KATHLEEN HALE"/>
        <s v="PATRICK WOOD"/>
        <s v="SUZIE MCLEOD"/>
        <s v="MEGAN J"/>
        <s v="KAREN GOOD"/>
        <s v="Kim Bartley"/>
        <s v="NANCY ROBERTS"/>
        <s v="carl mcHenry"/>
        <s v="RICHARD ARVONIO"/>
        <s v="Valued Customer"/>
        <s v="martha"/>
        <s v="Faye Robinson"/>
        <s v="Judy Sander"/>
        <s v="LISA GREEN"/>
        <s v="Francesca"/>
        <s v="JOHN FEZIO"/>
        <s v="DIANE Tempe Az"/>
        <s v="RICHARD BOTT"/>
        <s v="CORNELIS BOUDEWIJN"/>
        <s v="SCOTT HOLDER"/>
        <s v="HOWARD LOW"/>
        <s v="Scott"/>
        <s v="K Rom"/>
        <s v="JOYCE CURTIS"/>
        <s v="RICHARD K."/>
        <s v="Denise Kramer"/>
        <s v="JOHN B"/>
        <s v="COURTNEY FRALEY"/>
        <s v="MEGAN"/>
        <s v="CAP"/>
        <s v="Ellen"/>
        <s v="JAILALL RAMLAGAN"/>
        <s v="LYANNE LOPEZ"/>
        <s v="RUTH ROTHMAN"/>
        <s v="CCole"/>
        <s v="Kathy Huber"/>
        <s v="Barb S"/>
        <s v="ZooFmly"/>
        <s v="JOHN DOWN"/>
        <s v="MARK ELIASOFF"/>
        <s v="AUDREY EPSTEIN"/>
        <s v="ROBERT EWING"/>
        <s v="DIANE ALDRETE"/>
        <s v="LORI DIGIOVANNI"/>
        <s v="charles"/>
        <s v="Sandra F"/>
        <s v="Pet friend"/>
        <s v="LANCE YOUNG"/>
        <s v="PATRICIA LLOYD"/>
        <s v="Robert Stoff"/>
        <s v="WILSON"/>
        <s v="PATRICIA WALLEY"/>
        <s v="STEPHENY TAYS"/>
        <s v="Banteaux"/>
        <s v="Angie Tracy"/>
        <s v="Mrs. Bill"/>
        <s v="Sheila Brooks"/>
        <s v="Crystal Shackleford"/>
        <s v="Elizabeth Moody"/>
        <s v="DOREEN BARNAS"/>
        <s v="jsmom"/>
        <s v="CANTWELL, JOANNE"/>
        <s v="RILEY MCINTIRE"/>
        <s v="Gloria"/>
        <s v="DEBORAH TREADWAY"/>
        <s v="LISA HERNDON"/>
        <s v="Dl"/>
        <s v="RIKI ORELLANA"/>
        <s v="Linda Schulz"/>
        <s v="KEITH SCHWARTZ SCHWARTZ"/>
        <s v="ERIN ANSELM"/>
        <s v="TRINIDAD MAGNO"/>
        <s v="Kam"/>
        <s v="KARA MILLER"/>
        <s v="Lydia Theys"/>
        <s v="BARBARA GROSSI"/>
        <s v="RICHARD BAUMGARTNER"/>
        <s v="Aaron Schott"/>
        <s v="PATTY JABLONOWSKI"/>
        <s v="RICHARD RITCHEY"/>
        <s v="RICHARD CECCACCI JR"/>
        <s v="ROBIN ELDER"/>
        <s v="LAURA ANNE WELCH"/>
        <s v="dorecia wilde"/>
        <s v="CHRISTINE BONHAM"/>
        <s v="DOUGLAS VERGARA"/>
        <s v="bwheeler"/>
        <s v="Roy Chen"/>
        <s v="SUSAN WINTER"/>
        <s v="John Dustin"/>
        <s v="LAZARO PEREZ"/>
        <s v="JEN PETSU"/>
        <s v="Mildred Crawford"/>
        <s v="Erica A"/>
        <s v="VICKI HARTSBURG"/>
        <s v="Stan"/>
        <s v="VIRGINIA SUNDIN"/>
        <s v="Steven Kellerman"/>
        <s v="nelfudge"/>
        <s v="JENN"/>
        <s v="DEIDRA ECKERD"/>
        <s v="Gems Mom"/>
        <s v="Alicia P"/>
        <s v="Txbear"/>
        <s v="JOAN"/>
        <s v="CYNTHIA MCMAHAN"/>
        <s v="CARTER FARMER"/>
        <s v="Marilyn Thorson"/>
        <s v="Jane Smiley"/>
        <s v="JC"/>
        <s v="MJ."/>
        <s v="JERRY SCOTT"/>
        <s v="Dave G."/>
        <s v="Breewynd Labradors"/>
        <s v="JOHN BOSTER"/>
        <s v="MNTX"/>
        <s v="LINDA MIVILLE"/>
        <s v="Janet Moore"/>
        <s v="SARAH MCANALLY"/>
        <s v="CFrick"/>
        <s v="CLEMENTINE MAUREEN L PARADISE"/>
        <s v="customer Brenda"/>
        <s v="Kika"/>
        <s v="Cheryl"/>
        <s v="MORGAN BRIGGS"/>
        <s v="Suzy Osum"/>
        <s v="DUB CROFFORD"/>
        <s v="Randi Buslik"/>
        <s v="SANDRA N"/>
        <s v="Maureen Whyte"/>
        <s v="RUTH MONZEL"/>
        <s v="KERIN ANTHONY"/>
        <s v="Lisa Kleiner"/>
        <s v="S SHAY"/>
        <s v="Virginia"/>
        <s v="Galina Moliboga"/>
        <s v="Maria Plochocki"/>
        <s v="DAMIEN HORST"/>
        <s v="DuWi"/>
        <s v="ADO ZOHOROVIC"/>
        <s v="DAVE REIK"/>
        <s v="JILL GREER"/>
        <s v="Kitty Queen"/>
        <s v="SHERI GARRISON"/>
        <s v="DEBRA LOPER"/>
        <s v="Mary Henry"/>
        <s v="TIFFANY DRISCOLL"/>
        <s v="DAVE PINNER"/>
        <s v="TAMMY KRAUSS"/>
        <s v="JUDITH JONES"/>
        <s v="Cat Appreciator from SE NY"/>
        <s v="G.O."/>
        <s v="CHUCK HOWARD"/>
        <s v="MR"/>
        <s v="OSCAR RINGNESS"/>
        <s v="William Hroch"/>
        <s v="Ubaldo Morales"/>
        <s v="Sandi Lynn Dupuy"/>
        <s v="Hayley"/>
        <s v="Caitlin R."/>
        <s v="RENATO FABBRO"/>
        <s v="Rick Doctor"/>
        <s v="JAMES BADACZEWSKI"/>
        <s v="Jennotjenn"/>
        <s v="LISA THOMPSON"/>
        <s v="ANNE RAINEY"/>
        <s v="C. Thomas"/>
        <s v="NORMA MURPHY"/>
        <s v="JASON DIEHL"/>
        <s v="BARBARA CHIAPETTA"/>
        <s v="JL"/>
        <s v="CR SIMMONS"/>
        <s v="Pam Schiller"/>
        <s v="Eileen"/>
        <s v="CATHY ALIRE"/>
        <s v="Glenn Singer"/>
        <s v="LINDA SCHUHMACHER"/>
        <s v="CAROLYNF"/>
        <s v="Ana"/>
        <s v="SHIRLEY ALEXANDER"/>
        <s v="CHERYL CORBEAN"/>
        <s v="PATRICK RYAN"/>
        <s v="SARA ANN STOCKER"/>
        <s v="LAN ZHAO"/>
        <s v="LISA WOTTRICH"/>
        <s v="Loren"/>
        <s v="DOLORES LIBERTI"/>
        <s v="Daniel Culbert"/>
        <s v="Carol Staten Clark"/>
        <s v="LYNN CATHEY"/>
        <s v="DANE"/>
        <s v="CAROLA"/>
        <s v="Dusty"/>
        <s v="LEE HARVIE"/>
        <s v="quokka"/>
        <s v="Paula G."/>
        <s v="MICHAEL NEYHART"/>
        <s v="SK SOURCE"/>
        <s v="Molly"/>
        <s v="JOE BUFFA"/>
        <s v="AN"/>
        <s v="LISA INGRAM"/>
        <s v="JUDITH HARRIS"/>
        <s v="chris"/>
        <s v="VICKY BROWN"/>
        <s v="customerJeannie"/>
        <s v="Alyssa Jolley"/>
        <s v="Lidia &amp; Antoni Ljubic"/>
        <s v="Chelsey Hutchings"/>
        <s v="R MEYER"/>
        <s v="MARIBEL PADILLA"/>
        <s v="Susan Gibson"/>
        <s v="aqualiz"/>
        <s v="SAM B"/>
        <s v="BARBARA MOOSE"/>
        <s v="DEBORAH STUMM"/>
        <s v="Lilly"/>
        <s v="TG"/>
        <s v="MORGAN BAILEY"/>
        <s v="DIANE WENDTE"/>
        <s v="PHYLLIS SNOOK"/>
        <s v="MARILYNN ESTES"/>
        <s v="SHIRLEY NEWMONT"/>
        <s v="Mary Ann Salomone"/>
        <s v="TIMOTHY EISCHENS"/>
        <s v="Joan L"/>
        <s v="Mel Givison"/>
        <s v="JOANNE LARSEN"/>
        <s v="CONNIE BOREE"/>
        <s v="Frenchie Mom"/>
        <s v="JEFFREY DREISIN"/>
        <s v="Laketa"/>
        <s v="John Hofker"/>
        <s v="Montana Hayes"/>
        <s v="ZAHRA TAPPOUNI"/>
        <s v="Sara"/>
        <s v="HEIDI RIPKE-CURCIO"/>
        <s v="sad cat"/>
        <s v="Denise A Hobson"/>
        <s v="JENNY LADD"/>
        <s v="LISA TIMM"/>
        <s v="annie marie"/>
        <s v="customerDebra"/>
        <s v="Rollie Bennett"/>
        <s v="DEVON LEWIS"/>
        <s v="ANNA SUTOCKY"/>
        <s v="Walter L Zych"/>
        <s v="RICHARD in SC"/>
        <s v="RANDY SHELBY"/>
        <s v="CATHERINE BURNS"/>
        <s v="Taira Naiomy"/>
        <s v="DANI"/>
        <s v="HELEN HEGARTY"/>
        <s v="Rita Krause"/>
        <s v="RENEE GUTIERREZ-KINZ"/>
        <s v="Mrs Wicked Dragonfly"/>
        <s v="Roger Martinez"/>
        <s v="KYLE L"/>
        <s v="GWEN"/>
        <s v="LAUREN S"/>
        <s v="Mary Dalton"/>
        <s v="DEBORAH PERRY"/>
        <s v="Jay S"/>
        <s v="Alejandro"/>
        <s v="DESIREE RACQER"/>
        <s v="Marcus TwoTime"/>
        <s v="SANDRA MAYES"/>
        <s v="CINDY FLATT"/>
        <s v="Brian Aderer"/>
        <s v="JAN BERTI"/>
        <s v="LISA MEYERS"/>
        <s v="Rafe H Schindler"/>
        <s v="RANDY HOLLOWAY"/>
        <s v="LANETTE WILKE"/>
        <s v="JOSEPH STEELE"/>
        <s v="WES TANAKA"/>
        <s v="Rick V."/>
        <s v="JOAN MCDANIEL"/>
        <s v="Peter"/>
        <s v="JANE PIMENTEL"/>
        <s v="Shea"/>
        <s v="BRANT STANDRIDGE"/>
        <s v="S. DALTON"/>
        <s v="Peggy R"/>
        <s v="Code"/>
        <s v="THERESA MOSSBERG"/>
        <s v="Lynne Wilson"/>
        <s v="LYNN SURDOW"/>
        <s v="ELKE"/>
        <s v="Lucy's Mom"/>
        <s v="TAMMIE DAZEY"/>
        <s v="Ben"/>
        <s v="DUWAYNE WENGER"/>
        <s v="Kenneth I Hamilton"/>
        <s v="Kevin Charles"/>
        <s v="AMANDA HATFIELD"/>
        <s v="KAREN RILEY"/>
        <s v="Siskin"/>
        <s v="Florida Pet Owner"/>
        <s v="frank giuliano"/>
        <s v="Ken"/>
        <s v="GLORIA NAVARRO"/>
        <s v="HR"/>
        <s v="Frank Marmolejo"/>
        <s v="mmaynard119"/>
        <s v="DAVID CROYLE"/>
        <s v="DEBORAH CAUDILL"/>
        <s v="ERIC GREENE"/>
        <s v="SHERRY BISHOP"/>
        <s v="PAUL ROCHA"/>
        <s v="Pat in Rochester, NY"/>
        <s v="Sarah Gabbard"/>
        <s v="EIRENE A."/>
        <s v="TERRY CLARK"/>
        <s v="Cindy L Stanbery"/>
        <s v="ROBERT CLARK"/>
        <s v="DJ"/>
        <s v="Shawn"/>
        <s v="Noel Truty"/>
        <s v="BILL LOH"/>
        <s v="pdo"/>
        <s v="JO"/>
        <s v="Candice Boggs"/>
        <s v="Stewart Smith"/>
        <s v="JODI"/>
        <s v="MARY ANNE BRUESEWITZ"/>
        <s v="Christina"/>
        <s v="RICHARD LUCAS"/>
        <s v="melissa wilhelm"/>
        <s v="PATRICK ST JOHN"/>
        <s v="JustAnswer Customer"/>
        <s v="D. W."/>
        <s v="MICHELLE B."/>
        <s v="Need Food at Least within a We"/>
        <s v="BOBBI MCRAE"/>
        <s v="KK"/>
        <s v="LSW"/>
        <s v="STEVEN/DINA LEWIS"/>
        <s v="DONALD RALPH"/>
        <s v="Ol"/>
        <s v="Sharlene Manore"/>
        <s v="sngfever"/>
        <s v="BeePaloma"/>
        <s v="MIKE STONE"/>
        <s v="MIKE WARDER"/>
        <s v="Richard Scalzo"/>
        <s v="HARUMI JOHNSON"/>
        <s v="ASHLEY YOUNGER"/>
        <s v="BRUCE CORCORAN"/>
        <s v="Karen Denike"/>
        <s v="adrienne bates"/>
        <s v="Carla Reed"/>
        <s v="M Miller"/>
        <s v="DOROTHY ZEIGLER"/>
        <s v="DEBBY OYLER"/>
        <s v="LISA WIESENAUER"/>
        <s v="JAM"/>
        <s v="ALBERT FRANZONE"/>
        <s v="RONALD VERHAGEN"/>
        <s v="Anthony"/>
        <s v="Brian Ensign"/>
        <s v="SHARON COKER"/>
        <s v="Dave Teague"/>
        <s v="Barbara Hughes Sell"/>
        <s v="Georgia A."/>
        <s v="DINA SHACKELFORD"/>
        <s v="AMY TALBERT"/>
        <s v="ROBERT BOWSER"/>
        <s v="John Mikash"/>
        <s v="Valeria"/>
        <s v="Joseph Layne"/>
        <s v="DIANA DECKER"/>
        <s v="STEVE WERDA"/>
        <s v="THOMAS BECK"/>
        <s v="SCOTT GELLMAN"/>
        <s v="Shelley Khoury"/>
        <s v="SIERRA CAGLE"/>
        <s v="LeeAnn Harmening"/>
        <s v="maggie"/>
        <s v="Hyun Whyte"/>
        <s v="William Ludewig, Cave Creek, AZ"/>
        <s v="Rosalie"/>
        <s v="Patricia Hawks"/>
        <s v="TAMMY BROWN"/>
        <s v="ivaluem"/>
        <s v="MONICA SNAPE"/>
        <s v="Michelle"/>
        <s v="KIM HILAND"/>
        <s v="JOYCE SHIPMAN"/>
        <s v="Wendy Call"/>
        <s v="Allison Baird"/>
        <s v="Thomas Popp"/>
        <s v="Eilene B"/>
        <s v="GreenFlyingDragon"/>
        <s v="VIVIAN M"/>
        <s v="MERYL DATTOLICO"/>
        <s v="NANCY ALVEY"/>
        <s v="SUSAN B MUELLER"/>
        <s v="Patti"/>
        <s v="Reviewer"/>
        <s v="REBECCA EIMERMAN"/>
        <s v="Sarita Miller"/>
        <s v="KELLI DOUGLASS"/>
        <s v="RG THOMAS"/>
        <s v="BETTY SHAFFER"/>
        <s v="Tammy A. Bayes"/>
        <s v="Gm"/>
        <s v="TODD TWEDT"/>
        <s v="LYNNEA DALE"/>
        <s v="SH"/>
        <s v="MARIANNE GURAN"/>
        <s v="Mcintyre, Linda"/>
        <s v="Lorraine Castelain"/>
        <s v="Amanda B."/>
        <s v="MARK BROWN"/>
        <s v="RONNIE"/>
        <s v="SHIRLEY MOSES"/>
        <s v="Stacey Bauman"/>
        <s v="ANN KNAUER"/>
        <s v="Georgann"/>
        <s v="KATE KENNER"/>
        <s v="SAMANTHA POUSSON"/>
        <s v="Jeff Thomas"/>
        <s v="MICHELLE DAOUST"/>
        <s v="Colleen Wagoner"/>
        <s v="MARCELLINE FREDETTE"/>
        <s v="Betsy"/>
        <s v="K CARPENTER"/>
        <s v="Linda Nichols"/>
        <s v="LINDA HENSLEY"/>
        <s v="JULIE TRUETT"/>
        <s v="Michelle Day"/>
        <s v="GIDGET"/>
        <s v="Grams"/>
        <s v="GAEL DIDLOFF"/>
        <s v="MICHAEL S."/>
        <s v="JHR"/>
        <s v="KEVIN WALSH"/>
        <s v="Bonnie Sparmblack"/>
        <s v="BETH ANDERSON"/>
        <s v="VINCIE SOYARS"/>
        <s v="magdala cruz"/>
        <s v="The Phone Guy"/>
        <s v="JESSICA CHILDERS"/>
        <s v="Denise M."/>
        <s v="Rhea"/>
        <s v="CAROL BERDAR"/>
        <s v="Crystelyn Guererri"/>
        <s v="SKIP WOODRUFF"/>
        <s v="Not a happy customer"/>
        <s v="Sandra Sturgeon"/>
        <s v="JENNIFER NELSON"/>
        <s v="ks"/>
        <s v="NANCY CARRINGTON"/>
        <s v="DEBORAH MAY DUNN"/>
        <s v="TOM HYNES"/>
        <s v="HEATHER HUNT"/>
        <s v="Wooly"/>
        <s v="SR"/>
        <s v="Veronica"/>
        <s v="ELISETE AMARAL"/>
        <s v="ESTEFANIA CANTERO"/>
        <s v="Suzanne Mattiello"/>
        <s v="ASHLEY E"/>
        <s v="Eugene ORourke"/>
        <s v="SUSANNA BJORNSSON"/>
        <s v="JACK A."/>
        <s v="frani C., New Jersey"/>
        <s v="Sharon Hubert"/>
        <s v="AMY BURRIS"/>
        <s v="Lakelady"/>
        <s v="Claire A"/>
        <s v="BARRON BASZTO"/>
        <s v="Kim Surber Hacker"/>
        <s v="Mellie"/>
        <s v="CINDY"/>
        <s v="EP"/>
        <s v="Albert Buys"/>
        <s v="JAKE ONEILL"/>
        <s v="Michele Heile"/>
        <s v="TERI LISPI"/>
        <s v="DEBORAH J-B"/>
        <s v="PJ"/>
        <s v="JEB"/>
        <s v="JUDY BARRICK"/>
        <s v="RENEE NEACE"/>
        <s v="Karrie"/>
        <s v="Kate Shearer"/>
        <s v="A.M."/>
        <s v="IRENE"/>
        <s v="for your order"/>
        <s v="Sacajawea"/>
        <s v="Rosa"/>
        <s v="Cheryl Appel"/>
        <s v="DIANE GAIDRY"/>
        <s v="Qismat Sherani"/>
        <s v="TOKIO KUNIYOSHI"/>
        <s v="THERESA ESPEY"/>
        <s v="AIXA BRINER"/>
        <s v="R.P."/>
        <s v="ED BERTARELLI"/>
        <s v="Natalie J"/>
        <s v="BRENDA FERNANDEZ"/>
        <s v="Wynn Wasinger"/>
        <s v="DAN SPIVEY"/>
        <s v="Sharon Viellenave"/>
        <s v="CAROL GREENFIELD"/>
        <s v="MARK KUTSCHINSKI"/>
        <s v="CINDY ALOI"/>
        <s v="NATALIE GREEN"/>
        <s v="Brenda Grimmett"/>
        <s v="MIMI CREVELLO"/>
        <s v="ANITA LEAKEY"/>
        <s v="Ralph Burton"/>
        <s v="DALE NEWBY"/>
        <s v="A KING"/>
        <s v="Judie"/>
        <s v="DAna"/>
        <s v="Jerry Marshall"/>
        <s v="STEPHEN ADDO JR."/>
        <s v="Stow Cat Mom"/>
        <s v="azkas"/>
        <s v="Coop"/>
        <s v="JILL EAGLES"/>
        <s v="CECELIA ROMAN"/>
        <s v="BRADLEY SMITH"/>
        <s v="LP"/>
        <s v="WENDY RAPOSA"/>
        <s v="KARI GORZNY"/>
        <s v="K. Hechinger"/>
        <s v="MAGGIE C"/>
        <s v="DIANA TSCHANTRE"/>
        <s v="Kc Dee"/>
        <s v="JOANNA S"/>
        <s v="PAUL LALENA"/>
        <s v="Njdeb"/>
        <s v="ANNA HOMER"/>
        <s v="KPabst"/>
        <s v="laurie"/>
        <s v="Delilah Vohnoutka"/>
        <s v="ALVIN"/>
        <s v="IGOR MITROVIC"/>
        <s v="FlipTide"/>
        <s v="Katty"/>
        <s v="A consumer"/>
        <s v="NEIL ROWAN"/>
        <s v="RALPH PASTOR"/>
        <s v="TRACY SPLAIN"/>
        <s v="Lish"/>
        <s v="HANNAH CURRIE"/>
        <s v="RAYDIAS BOX HILDRETH"/>
        <s v="Bob"/>
        <s v="Dolores Davis"/>
        <s v="arnold gerber"/>
        <s v="LISA GONZALEZ"/>
        <s v="JBaj"/>
        <s v="Jerome Loewenstein"/>
        <s v="Ginger"/>
        <s v="Marcie Garn"/>
        <s v="Claire Goodwin"/>
        <s v="Patricia Nissenbaum/Don Childs"/>
        <s v="beans"/>
        <s v="dgi"/>
        <s v="RICHARD BUCKWALTER"/>
        <s v="FRAN DAVIS"/>
        <s v="Ktrekker"/>
        <s v="Charlene R. Glover"/>
        <s v="C B"/>
        <s v="VICKIE BYRNE"/>
        <s v="MARISA BERNAL"/>
        <s v="GLO WILLIAMS"/>
        <s v="KATHERINE SAMPSON"/>
        <s v="SB"/>
        <s v="Trace W"/>
        <s v="Krissy"/>
        <s v="Noella"/>
        <s v="FRANCES DOLMAGE"/>
        <s v="John Plato"/>
        <s v="Johanna Jimenez"/>
        <s v="PRISCILLA BASHINSKI"/>
        <s v="Mass Cat Mom"/>
        <s v="Sam"/>
        <s v="BRIAN SANTISTEFAN"/>
        <s v="RICHARD FINE"/>
        <s v="L GRAY"/>
        <s v="AG"/>
        <s v="KERRI SIVITS"/>
        <s v="Christopher Newman"/>
        <s v="Walter Baile"/>
        <s v="DAVID BROWN"/>
        <s v="Charles Dodge"/>
        <s v="JINE GLEASON"/>
        <s v="Timothy John"/>
        <s v="DIANE MCNAMANON"/>
        <s v="Mario Barros"/>
        <s v="Sonja .Norberg-Sanchez"/>
        <s v="Stacey Dorenfeld"/>
        <s v="Best Buddies Dog Training LLC"/>
        <s v="MARGARET PIERSON"/>
        <s v="GERALD GILMORE"/>
        <s v="JOE LOZANO"/>
        <s v="CHIPIS"/>
        <s v="Kellie"/>
        <s v="SHARON BIONE"/>
        <s v="Jean McAdams"/>
        <s v="CHRISTINE G."/>
        <s v="David Y"/>
        <s v="KATHERINE HUH"/>
        <s v="MAXINE STANLEY"/>
        <s v="An owner of an elderly cat"/>
        <s v="BARBARA HOLTZ"/>
        <s v="ROBERTO FRADERA"/>
        <s v="JOE"/>
        <s v="Jessica"/>
        <s v="Denica Luger"/>
        <s v="Barb Skaer"/>
        <s v="Rudi"/>
        <s v="EVAN J"/>
        <s v="DORIS S."/>
        <s v="Lotsokats"/>
        <s v="MICHELLE RAMDEHOLL"/>
        <s v="PETER O'NEIL"/>
        <s v="LAURA COMO"/>
        <s v="HAYLEY S"/>
        <s v="Susan D"/>
        <s v="DEBBY"/>
        <s v="Jen"/>
        <s v="LEOLA ADCOCK"/>
        <s v="JOHN DEAN"/>
        <s v="Bonnie Brock"/>
        <s v="LEYLA KOCAOGLU"/>
        <s v="TAMMI BERTO"/>
        <s v="LAURIE DOUTHIT"/>
        <n v="988091.0"/>
        <s v="DENISE SIERPUTOWSKI"/>
        <s v="S McG"/>
        <s v="LORI WILLIAMS"/>
        <s v="SHark"/>
        <s v="Tom H."/>
        <s v="LYNN FLETCHER"/>
        <s v="CAROL TSCHIDA"/>
        <s v="DAVID SCHMITZ"/>
        <s v="Dobermom"/>
        <s v="Bob Sordyl"/>
        <s v="Michael Novak"/>
        <s v="CHARLES MACDONALD"/>
        <s v="Karen Riveros"/>
        <s v="SUSAN BARTON"/>
        <s v="A customer"/>
        <s v="Yvonne"/>
        <s v="Barbara Granger"/>
        <s v="TAMYIE WILSON"/>
        <s v="IAN SEALEY"/>
        <s v="NANCY MCDONALD"/>
        <s v="DEBORAH NUTTING"/>
        <s v="Nuni"/>
        <s v="AMY JAMES"/>
        <s v="Karen Heroy"/>
        <s v="JEANETTE BARTRAM"/>
        <s v="THOMAS MAURO"/>
        <s v="Betty"/>
        <s v="Jyen"/>
        <s v="Wendy"/>
        <s v="SARAH WILLIAMS"/>
        <s v="STEPHANIE BARNARD"/>
        <s v="KATHLEEN RAPP"/>
        <s v="LNZ BUSINESS COMPANY LLC"/>
        <s v="Elizabeth Alvarez-Chan"/>
        <s v="Susan Carson"/>
        <s v="Wanda Casey-Dicks"/>
        <s v="NANCY STEINBACH"/>
        <s v="MARY ANN LEIBOWITZ"/>
        <s v="Brandee"/>
        <s v="LRS"/>
        <s v="DONNA OSTLER"/>
        <s v="KAREN DIEHL"/>
        <s v="Lisamarie bernardo"/>
        <s v="NANCY BELLIA"/>
        <s v="Pam Whitehead"/>
        <s v="Wayne Reux"/>
        <s v="nek"/>
        <s v="CAROL LEVIN"/>
        <s v="JOHN SHAW"/>
        <s v="LENORE NEWSOM"/>
        <s v="R. Neil Wolford Jr."/>
        <s v="bob N"/>
        <s v="ALVIN BOYD"/>
        <s v="Connie"/>
        <s v="Kimberly Senackerib"/>
        <s v="LINDA WILLEY"/>
        <s v="Marcia Randazzo"/>
        <s v="CHRISTINE B"/>
        <s v="LAURA CLARK"/>
        <s v="jana dickey"/>
        <s v="PATRICIA BOWMAN"/>
        <s v="David Lease"/>
        <s v="EILEEN K."/>
        <s v="TONE THORSTENSON"/>
        <s v="LINDA STIMSON"/>
        <s v="JACQUELINE HUNTER"/>
        <s v="Becky Sparks"/>
        <s v="James D"/>
        <s v="RHINA PEREA"/>
        <s v="ARDATH ALBIZO"/>
        <s v="Cathy Thomas"/>
        <s v="HOPE PAYAN"/>
        <s v="DEBRA PATTERSON"/>
        <s v="DENISE RUSSELL"/>
        <s v="Carol Stewart"/>
        <s v="JW"/>
        <s v="SARAH LITCHFIELD"/>
        <s v="Dave"/>
        <s v="MARY JO MOOR"/>
        <s v="Dolores"/>
        <s v="PAMF"/>
        <s v="Beth Mirsky"/>
        <s v="SUSAN MONDIE"/>
        <s v="ANDREW"/>
        <s v="MICKEY"/>
        <s v="JAMES SMITH"/>
        <s v="LANI NOLAN"/>
        <s v="Tracy West"/>
        <s v="Sugar"/>
        <s v="E THOMAS"/>
        <s v="CINDA DAVIS"/>
        <s v="Cilia Lopez"/>
        <s v="BARBARA TRAPASSO"/>
        <s v="Edmund Dibenedetto"/>
        <s v="Susanne"/>
        <s v="Carolyn"/>
        <s v="mary wachenheim"/>
        <s v="RONALD IZZO"/>
        <s v="JEAN HIRSCH"/>
        <s v="S Lucas"/>
        <s v="Antony Mercer"/>
        <s v="LAR"/>
        <s v="Otis’s Mom"/>
        <s v="Karen.Frongello, San Diego, CA"/>
        <s v="GLENDA LEDFORD"/>
        <s v="Nancy+Green"/>
        <s v="NANCY BALDWIN"/>
        <s v="Jenn Alling"/>
        <s v="Peggy"/>
        <s v="DUSTEE COPENHAVER"/>
        <s v="AW"/>
        <s v="Patricia Netzer"/>
        <s v="HALEY METZLER"/>
        <s v="Rob Galanakis"/>
        <s v="Lorene Perotti"/>
        <s v="Meaghan V"/>
        <s v="Thomas Oswald"/>
        <s v="LYNN ERICKSON"/>
        <s v="ESTHER FREEMAN"/>
        <s v="JAY HANKIN"/>
        <s v="PAM BELTZ"/>
        <s v="CARRIE MCLAUGHLIN"/>
        <s v="JENNIFER SMITH-LUM"/>
        <s v="BRUCE WHITE"/>
        <s v="MARIA ANAYA"/>
        <s v="David Guldenstern"/>
        <s v="Renee"/>
        <s v="WILLIAM PHEE"/>
        <s v="KATHERINE DECKER"/>
        <s v="HC"/>
        <s v="Brian Drinkwine"/>
        <s v="Destiny W."/>
        <s v="Doggie"/>
        <s v="Angie"/>
        <s v="MARYANN LEWIS"/>
        <s v="SHARON MACDERMOTT"/>
        <s v="Oscar"/>
        <s v="Keith Morgan"/>
        <s v="CAMILLE BARTCZAK"/>
        <s v="ahmad abudiab"/>
        <s v="Happy Shopper"/>
        <s v="Szeleziatko"/>
        <s v="Nichole"/>
        <s v="MOLLY ANDERSON"/>
        <s v="CHRISTINE CINAGLIA"/>
        <s v="Madelaine Sutphin"/>
        <s v="NISHAT HOSSAIN"/>
        <s v="TRUDY BAUER"/>
        <s v="Rene"/>
        <s v="LYNN AGOSTI"/>
        <s v="SHARMAN CASEY"/>
        <s v="Ronald B Reid"/>
        <s v="HEATHER SPRUILL"/>
        <s v="TAMARA EISELE"/>
        <s v="EDGAR MCKENNEY"/>
        <s v="JANET RESSEGUIE-SAHL"/>
        <s v="PRESTON ADAMS"/>
        <s v="MARGRET C"/>
        <s v="ED CILUMBRELLO"/>
        <s v="WENDY B"/>
        <s v="Sheila Sherok Dandurand-Williams"/>
        <s v="CASSIDY"/>
        <s v="DOLORES LEWIS-WELLMAN"/>
        <s v="Baxter"/>
        <s v="HOWARD WARDEN"/>
        <s v="SAFFRON'S CAT-MOM"/>
        <s v="Lucila Cedron"/>
        <s v="COLLEEN MARTIN"/>
        <s v="JAMES ADEN"/>
        <s v="Steve K."/>
        <s v="DONNA PAGE"/>
        <s v="Keith"/>
        <s v="RONALD COHEN"/>
        <s v="MOLLY GORMAN"/>
        <s v="JENNIFER HOWE"/>
        <s v="P S."/>
        <s v="Pixie"/>
        <s v="Loyal Petflow Customer"/>
        <s v="Bonnie"/>
        <s v="R. Baker"/>
        <s v="Lisa Henderson"/>
        <s v="Sherry M"/>
        <s v="K. B."/>
        <s v="RENZO CASAFRANCA"/>
        <s v="Vila in Frisco, TX"/>
        <s v="NORMAN"/>
        <s v="JACQUELINE DIAZ"/>
        <s v="LYNN-JO CANTOR"/>
        <s v="CARA FREEMAN"/>
        <s v="MARI ESCHENBAUM"/>
        <s v="SUSAN LEVINSOHN"/>
        <s v="LEO VIDES"/>
        <s v="Susan peters"/>
        <s v="Hanne's Mama"/>
        <s v="Jory"/>
        <s v="Prefer to remain anonymous"/>
        <s v="Ceil"/>
        <s v="JULIE BYRNES"/>
        <s v="PATRICIA CHRISTENSON"/>
        <s v="INGRID STECKER"/>
        <s v="JASON"/>
        <s v="MICHELLE DEPIETRO"/>
        <s v="WILLIAM ALEXANDER"/>
        <s v="JENNIFER PEOPLES"/>
        <s v="JOSHUA SHELTON"/>
        <s v="GINNY P."/>
        <s v="Kimberly A Meyers"/>
        <s v="JEANETH RINCON"/>
        <s v="HEATHER BISHOP"/>
        <s v="LEL"/>
        <s v="SANDY MASON"/>
        <s v="Rachel Sheedy"/>
        <s v="DANNY WAGNER"/>
        <s v="jeanie johnson"/>
        <s v="Mary Ellen Graves"/>
        <s v="JEAN COSTANZI"/>
        <s v="TRINI V"/>
        <s v="ANTHONY DELUCA"/>
        <s v="CARL ACKERMANN"/>
        <s v="Lynne Rudwick"/>
        <s v="William Vonderohe"/>
        <s v="BARBARA WEGNER"/>
        <s v="Lori Antz Doyle"/>
        <s v="MADELiNE"/>
        <s v="GB"/>
        <s v="AnnaHope"/>
        <s v="MURIEL SAARI"/>
        <s v="tjm"/>
        <s v="Suzin"/>
        <s v="BRITTANY S"/>
        <s v="FELIX BENITEZ"/>
        <s v="Julie O."/>
        <s v="CHARLENE ALEXANDER"/>
        <s v="Phatdog"/>
        <s v="JORGE SANCHEZ"/>
        <s v="RUTH CHAPMAN"/>
        <s v="Glenn Henry"/>
        <s v="DARR"/>
        <s v="FELIPE LOPEZ"/>
        <s v="RUTH HAMILTON"/>
        <s v="ct"/>
        <s v="KELSI PENA"/>
        <s v="JODY LANCASTER"/>
        <s v="Randy Lieberg"/>
        <s v="VALERIE LEVULETT"/>
        <s v="DAWN BEATTY"/>
        <s v="DONNA FRANCHIMON"/>
        <s v="FRANCINE BUTLER"/>
        <s v="PATRICIA JOHNSTON"/>
        <s v="JULES"/>
        <s v="Dale DiNardo"/>
        <s v="Kelli Farmer"/>
        <s v="SHERRY MORRIS"/>
        <s v="SHARON GABRIELSON"/>
        <s v="PATRICIA HUNT"/>
        <s v="CHAD HAVERSTICK"/>
        <s v="BRENDA RIDGE"/>
        <s v="L Holmberg"/>
        <s v="LARA ZINTSMASTER"/>
        <s v="GEORGE TINKLIN"/>
        <s v="Margaret Birns"/>
        <s v="Lakeya"/>
        <s v="Laurena Gatlin"/>
        <s v="JENA HARRIS"/>
        <s v="ALISON G"/>
        <s v="HARVEY HAUN"/>
        <s v="Elliot Garcia"/>
        <s v="Madison K"/>
        <s v="DONNA C"/>
        <s v="Amanda O"/>
        <s v="Barb V."/>
        <s v="ELAINE PASCOAL"/>
        <s v="PEPPA"/>
        <s v="Milagros"/>
        <s v="CINDY HALLEN"/>
        <s v="VICTORIA BLEVINS"/>
        <s v="CJ"/>
        <s v="CHEYENNE"/>
        <s v="SAMANTHA SKINNER"/>
        <s v="Gary Dexter"/>
        <s v="MEGAN M"/>
        <s v="ALAN ZELLER"/>
        <s v="Charles Herold"/>
        <s v="SUSAN WHITAKERHILL"/>
        <s v="GAIL MITCHELL"/>
        <s v="CARMEN RUBY BECK"/>
        <s v="Terry Frum"/>
        <s v="Izzy"/>
        <s v="TRISHA ROBINSON"/>
        <s v="SUSAN QUIRK"/>
        <s v="dog owner"/>
        <s v="Carol Kner"/>
        <s v="LUBOS ANDEL"/>
        <s v="Ernie"/>
        <s v="LAURA COLDREN"/>
        <s v="TAVMEET"/>
        <s v="PH"/>
        <s v="RACHEL SEALE"/>
        <s v="Carroll Griesedieck"/>
        <s v="Cheryl Roberts"/>
        <s v="BRIAN BROWN"/>
        <s v="Joey lee"/>
        <s v="JULIE KUNITADA"/>
        <s v="Karla Clippinger"/>
        <s v="MELODY BARRETT"/>
        <s v="RITA CARON"/>
        <s v="Snowman"/>
        <s v="DENISE DAVIS"/>
        <s v="Kristy"/>
        <s v="BERNADETTE BRUNO"/>
        <s v="Lindsey and Pip"/>
        <s v="ELIZABETH ALI"/>
        <s v="ELSA ABILEZ"/>
        <s v="Ellen J."/>
        <s v="Trina"/>
        <s v="MARIANNE BURDICK"/>
        <s v="PAUL NOONE"/>
        <s v="SANDRA STEPHON"/>
        <s v="CHARLES RHODES"/>
        <s v="Cheryl Zalenski"/>
        <s v="SHELLER WILLETT"/>
        <s v="Anita and Diva"/>
        <s v="THOMAS MCNEIL"/>
        <s v="Zac"/>
        <s v="Sonia S."/>
        <s v="Priscilla Cerdas"/>
        <s v="quincy"/>
        <s v="HELEN KWOK"/>
        <s v="DEANA M MARKET"/>
        <s v="Carl Desmond"/>
        <s v="JESS OLSON"/>
        <s v="Persefini A. Redden"/>
        <s v="TAMARA DACKEN"/>
        <s v="LEEANN"/>
        <s v="Trish M"/>
        <s v="NICOLE HALE"/>
        <s v="GAYLE ANDRIANI"/>
        <s v="David Elfin"/>
        <s v="MARY ANGELIA COYLE"/>
        <s v="JrsNonna"/>
        <s v="choc dog"/>
        <s v="Sherman Shart"/>
        <s v="UNITED STATES"/>
        <s v="LISA HAYES"/>
        <s v="CAROL S"/>
        <s v="Gail Sheffer"/>
        <s v="JM"/>
        <s v="Cecelia Duvall"/>
        <s v="PATRICK WILLER"/>
        <s v="JANET STARD"/>
        <s v="cheryl dettmers"/>
        <s v="WYNNE GUGLIELMO"/>
        <s v="JAN WILLIAMS"/>
        <s v="C. Kegley"/>
        <s v="SUSAN WICKES"/>
        <s v="MARY-LOU ROBERTS"/>
        <s v="JEANINE EDLER"/>
        <s v="ElleJay"/>
        <s v="VINCENT DIPIETRO"/>
        <s v="Sherrie"/>
        <s v="DZIANIS SAZANCHUK"/>
        <s v="JEAN SMITH"/>
        <s v="PAUL BROUILLETTE"/>
        <s v="SHERRY"/>
        <s v="JODY HUNT"/>
        <s v="LORI LAMEY"/>
        <s v="Alice Cheren"/>
        <s v="SUSAN MORTENSEN"/>
        <s v="ROBIN ABBOTT"/>
        <s v="BRENDAN"/>
        <s v="Mike Gehring"/>
        <s v="ARTURO SANTAELLA"/>
        <s v="JAN UNDERWOOD"/>
        <s v="FELICIA WOOD"/>
        <s v="C. L"/>
        <s v="M"/>
        <s v="LORRAINE FERGUSON"/>
        <s v="Raymond"/>
        <s v="KC"/>
        <s v="JACLYN F"/>
        <s v="DAN MANCHESTER"/>
        <s v="RON HAUSER"/>
        <s v="EA"/>
        <s v="Bradley Grubbs"/>
        <s v="customer Sally"/>
        <s v="LEE RUNDALL"/>
        <s v="ELIZABETH CARUSO"/>
        <s v="MsNora"/>
        <s v="Avi"/>
        <s v="Sharon Eagle"/>
        <s v="Anne H. San Antonio TX"/>
        <s v="SUSAN SMITH"/>
        <s v="SHARI COSTANEY"/>
        <s v="LYDIO DEMA-ALA"/>
        <s v="MG - NY"/>
        <s v="Luis De Los Santos"/>
        <s v="Suzette Mahneke"/>
        <s v="JOHN WYNN"/>
        <s v="FRED S"/>
        <s v="SHEREE TURNBULL"/>
        <s v="KATIE JOHNSON"/>
        <s v="RENA"/>
        <s v="DENISE BURAN"/>
        <s v="Susan Dolstra"/>
        <s v="APRIL RITCHOTTE"/>
        <s v="MICKEY MITTONG"/>
        <s v="Linda Borders"/>
        <s v="CAROL SUTTON"/>
        <s v="Patty Heineck"/>
        <s v="Janice DeMadona"/>
        <s v="KENDEL M"/>
        <s v="CHERYL BROCKINGTON"/>
        <s v="JENNY PERKINS"/>
        <s v="ELISABETH"/>
        <s v="Candice"/>
        <s v="DEAN KOPP"/>
        <s v="LISA PEET"/>
        <s v="JASON DRAKE"/>
        <s v="Mallory"/>
        <s v="Erik Foubert"/>
        <s v="JOAN ABRAHAMSON"/>
        <s v="FAINA LEKAKH"/>
        <s v="RYAN STACKHOUSE"/>
        <s v="Kourosh Massarat"/>
        <s v="Dott"/>
        <s v="ISABELLA"/>
        <s v="PAM COYNE"/>
        <s v="Elisabeth Ellis"/>
        <s v="CAROLE HUMENCHUK"/>
        <s v="LYNNE"/>
        <s v="Irene Hagen"/>
        <s v="SHARON DICKSON"/>
        <s v="Dr. Bodly"/>
        <s v="Jeanice"/>
        <s v="sll"/>
        <s v="CINDY ORIN"/>
        <s v="MARY TAYLOR"/>
        <s v="MEGHAN PARKER"/>
        <s v="Gerard"/>
        <s v="DANIELLE CORNING"/>
        <s v="Kathy Goddard"/>
        <s v="Joan Paris"/>
        <s v="JACKIE BERMAN"/>
        <s v="SANDRA REED"/>
        <s v="SHARYL AMOVITZ"/>
        <s v="Retail shopper"/>
        <s v="MAUREEN HUDSON"/>
        <s v="Colette"/>
        <s v="Danille Weaver"/>
        <s v="Olivia Larsson"/>
        <s v="LAURA HUNT"/>
        <s v="SUSAN L FREDERICKSON"/>
        <s v="TOM BATCHELLER"/>
        <s v="LUCIA LONGENBACH"/>
        <s v="JEAN HAVENS"/>
        <s v="James Moore"/>
        <s v="SANDRA W"/>
        <s v="Tucker Wilson"/>
        <s v="Waiting"/>
        <s v="BETH"/>
        <s v="JAN KISSKO"/>
        <s v="MARGUERITE KAZALAS"/>
        <s v="Sagarika Devarakonda"/>
        <s v="MICHELLE BOLES"/>
        <s v="DEBRA WILLIAMS"/>
        <s v="DIANE MELLOTT"/>
        <s v="Ken Williams"/>
        <s v="SANDE KING"/>
        <s v="RAECHELLE FREEMAN"/>
        <s v="SUSAN LUE"/>
        <s v="Greg Hyde"/>
        <s v="ANDREA AMOROSI"/>
        <s v="VIRGINIA LOCKNER"/>
        <s v="vtlabladi"/>
        <s v="C PALKIMAS"/>
        <s v="DINAH STEVENS"/>
        <s v="TAMMY FRONTERA"/>
        <s v="JJG Florida &amp; Connecticut"/>
        <s v="pernilleH"/>
        <s v="PHILIP H"/>
        <s v="GORDON SLOAN"/>
        <s v="MARGIE SWARTZ"/>
        <s v="Chance’s Grammy"/>
        <s v="Gary S"/>
        <s v="VICKYE MIKE AND COWBOY GALLOWA"/>
        <s v="GAIL BLATTLER"/>
        <s v="AMANDA DEPIERRO"/>
        <s v="MARY PERKINS"/>
        <s v="FRANCES BROWNE"/>
        <s v="BRITTNEY G"/>
        <s v="CHRISTY OWNBEY"/>
        <s v="Elaine Donohue"/>
        <s v="TARA SMITH"/>
        <s v="MOLLY WERNER"/>
        <s v="DEREK"/>
        <s v="M. Davis"/>
        <s v="STAN FREED"/>
        <s v="mika2belove"/>
        <s v="BART"/>
        <s v="CAROLINE KINSEY"/>
        <s v="KAT G."/>
        <s v="HEIDI w"/>
        <s v="MARY EVANS"/>
        <s v="Randy Harden"/>
        <s v="DAVID GORDON"/>
        <s v="DONNA LARGENT"/>
        <s v="Jackie Rubino"/>
        <s v="SCOTT STEINER"/>
        <s v="TERRI ELLIOTT"/>
        <s v="CHRIS REAGAN"/>
        <s v="Louis"/>
        <s v="Jacque Jenkins"/>
        <s v="lulu"/>
        <s v="Mike Kellers"/>
        <s v="DEBORAH SPEARS"/>
        <s v="MYRNA STURGILL"/>
        <s v="ROXANNA RODRIGUEZ-JENKINS"/>
        <s v="PEGGY ALLEN"/>
        <s v="PAUL MONTEIRO MORTENSEN"/>
        <s v="ANNETTE LIPPMAN"/>
        <s v="JAMES MACARI"/>
        <s v="STEVE"/>
        <s v="me"/>
        <s v="Dale Paciotti"/>
        <s v="Kelly HECHINGER"/>
        <s v="B TAYLOR"/>
        <s v="D.J. WEBBER"/>
        <s v="SARA GONZALES"/>
        <s v="SANDRA S"/>
        <s v="Brack"/>
        <s v="Kathleen"/>
        <s v="JOSEPH RUDDY"/>
        <s v="ERIC SOMMER"/>
        <s v="GWYN GUILD"/>
        <s v="PAMELA GOTTHART"/>
        <s v="PAULA GOLDBERG"/>
        <s v="RI dog owner"/>
        <s v="MH"/>
        <s v="CHRISTINE HOWSE"/>
        <s v="RCS Nunya"/>
        <s v="BRENDA FLUHARTY"/>
        <s v="jim curtis"/>
        <s v="JODI FRIEDMAN"/>
        <s v="PHYLLIS ENMAN"/>
        <s v="ILONA GOMEZ"/>
        <s v="ROBERT TAYLOR"/>
        <s v="AMAR KAUR"/>
        <s v="JACQUELINE CARDOZA"/>
        <s v="AUDRA CHMIEL"/>
        <s v="Alex G."/>
        <s v="LESLIE GOODMAN"/>
        <s v="Joyceturney"/>
        <s v="ROY A."/>
        <s v="ARIELA"/>
        <s v="Renee Jones"/>
        <s v="DAVID MUROFF"/>
        <s v="SUSAN HARRIS"/>
        <s v="JANE BLACKMON"/>
        <s v="HL"/>
        <s v="THOMAS ROGERS"/>
        <s v="CAROLYN KENNEDY"/>
        <s v="PATSY STAIR"/>
        <s v="SANDY HAYS"/>
        <s v="LINDA VALENTE"/>
        <s v="PATRICIA SMITH"/>
        <s v="KIM R"/>
        <s v="GREGORY SCOTT"/>
        <s v="Pete Rector"/>
        <s v="EVERETT HOBBS"/>
        <s v="mary comer"/>
        <s v="KATHY DWYER"/>
        <s v="al"/>
        <s v="BRYAN"/>
        <s v="LINDA CISSEL"/>
        <s v="vincent"/>
        <s v="VICTORIA ORTIZ"/>
        <s v="LEANNA"/>
        <s v="DWAYNE B."/>
        <s v="SARAH LEWIS"/>
        <s v="MARY DREXLER"/>
        <s v="DAVID ROSENSTEIN"/>
        <s v="Marnie"/>
        <s v="Casey Adams"/>
        <s v="KATHRYN ROBERTS"/>
        <s v="bmmmm"/>
        <s v="Anne Medley"/>
        <s v="BO BENNETT"/>
        <s v="RICHARD KOCH"/>
        <s v="Na"/>
        <s v="Seb"/>
        <s v="Randy H"/>
        <s v="GSD Owner"/>
        <s v="ANNE KILLMAN"/>
        <s v="HOLLY G"/>
        <s v="MICHELE URBAN"/>
        <s v="Heidi Kins"/>
        <s v="Glenn Hazelwood II"/>
        <s v="REBECCA LEONGUERRERO"/>
        <s v="Suzanne TRAPANI"/>
        <s v="VICKIE BELT"/>
        <s v="LESLIE ADDIEGO"/>
        <s v="DENICE FRENCH"/>
        <s v="JENNIFER HUGHES"/>
        <s v="CHARLES APLIGIAN"/>
        <s v="DANIELLE W."/>
        <s v="Vicki Wilson"/>
        <s v="EDWARD GALE"/>
        <s v="JEWEL ARMSTRONG"/>
        <s v="JOANN K CRAFT"/>
        <s v="CRAIG EDNEY"/>
        <s v="SHAWN SKUNCA"/>
        <s v="Paul in South Jersey"/>
        <s v="GAIL JOMAOAS"/>
        <s v="VIVIAN BAYLOR"/>
        <s v="TINA R"/>
        <s v="STEPHANIE"/>
        <s v="CAROLANN AUGER"/>
        <s v="SHIRLEY MARCH"/>
        <s v="CCools"/>
        <s v="Myra Cromer"/>
        <s v="RITA SWINFORD"/>
        <s v="William Wehrle"/>
        <s v="JOSEPH T"/>
        <s v="MARCIA ROTH"/>
        <s v="CONNIE KANE"/>
        <s v="DIANE DUGGER"/>
        <s v="SUSAN MURPHY"/>
        <s v="KATHY HART"/>
        <s v="LISA BELAJAC"/>
        <s v="MILES KUDO"/>
        <s v="AH"/>
        <s v="Deborah Pines"/>
        <s v="CHARLENE STEWART"/>
        <s v="jazan"/>
        <s v="Leila"/>
        <s v="Debb"/>
        <s v="Gordon"/>
        <s v="Buddy's mom"/>
        <s v="Selena G Matelich"/>
        <s v="DAN CHRISINGER"/>
        <s v="Laura Bartlett"/>
        <s v="Westie Mom"/>
        <s v="PAMELA BACON"/>
        <s v="MALLORY EVRON"/>
        <s v="LESLIE"/>
        <s v="Sofie Dogie"/>
        <s v="BR"/>
        <s v="Leila A"/>
        <s v="NS"/>
        <s v="Monica R Harris"/>
        <s v="MARTHA WALLACE"/>
        <s v="Cyndy Raeshke"/>
        <s v="ERIC PERKINS"/>
        <s v="JANE HENDERSON"/>
        <s v="Tcrc"/>
        <s v="Shane Oksanen"/>
        <s v="Mary Lou"/>
        <s v="DORIS SHEINFELD"/>
        <s v="TENZIN YONTEN"/>
        <s v="DEBRA G"/>
        <s v="JOHN DANIELS"/>
        <s v="Theresa H"/>
        <s v="GREG REED"/>
        <s v="VLA"/>
        <s v="Kirsten"/>
        <s v="Gary Trevillyan"/>
        <s v="Jean Anne"/>
        <s v="TomD"/>
        <s v="NEITA BUSCHER"/>
        <s v="RITA MILLER"/>
        <s v="DEBORAH B."/>
        <s v="Sandee"/>
        <s v="Mona Berrier"/>
        <s v="RJ Koser"/>
        <s v="ALISHA R"/>
        <s v="LINDA M"/>
        <s v="JOE BOLINO"/>
        <s v="SKYE RABEL"/>
        <s v="Debra L."/>
        <s v="SUSAN S"/>
        <s v="LISA C."/>
        <s v="PAULETTE HAWKINS"/>
        <s v="BRIGITTE LEEMAN"/>
        <s v="freneticminde"/>
        <s v="ISABEL CAMPBELL"/>
        <s v="CHRISTINE DEMERS"/>
        <s v="Foster mom"/>
        <s v="Helen pero"/>
        <s v="dw"/>
        <s v="S. Cat"/>
        <s v="Candy Horn"/>
        <s v="ROBERT DEVICARIIS TORREY"/>
        <s v="J Jarvis"/>
        <s v="SARAH K"/>
        <s v="Dave Fishman"/>
        <s v="Lisa G"/>
        <s v="BO SMITH"/>
        <s v="Mike Allis"/>
        <s v="VN"/>
        <s v="BRANDON R"/>
        <s v="RUTH PETRUCCI"/>
        <s v="Constance"/>
        <s v="JULIANA GALSON"/>
        <s v="Kona and Big D’S mom"/>
        <s v="PATTI ELLIS"/>
        <s v="Catherine Rust"/>
        <s v="HEATHER MCCARTY"/>
        <s v="NEWT PEARSON"/>
        <s v="Marguerite"/>
        <s v="tanu"/>
        <s v="SANDRA K"/>
        <s v="Joann Starks"/>
        <s v="MONICA DANFORTH"/>
        <s v="GLW"/>
        <s v="Jay"/>
        <s v="Z Guzman"/>
        <s v="James Hayden"/>
        <s v="Holly Robinson"/>
        <s v="BARBARA TUMMINELLI"/>
        <s v="Jess Rodriguez"/>
        <s v="GAYE STACH"/>
        <s v="Janine M"/>
        <s v="RUDOLPH GONZALEZ"/>
        <s v="AMY NELSON"/>
        <s v="Amelia Delmonico"/>
        <s v="DICK CUNNINGHAM"/>
        <s v="RHONDA ANDERSON"/>
        <s v="JACKLYN DURK"/>
        <s v="MARK B"/>
        <s v="GEORGE LIGHT"/>
        <s v="K D"/>
        <s v="JEHANGIR PIRZADA"/>
        <s v="CAROLYN GIBBS"/>
        <s v="MERCY"/>
        <s v="MARGARET MCALLISTER"/>
        <s v="sissssy"/>
        <s v="ROBIN HALE"/>
        <s v="TERRY LAGUNA WOODS"/>
        <s v="NORA LORENZO"/>
        <s v="Marcel"/>
        <s v="JENNA G"/>
        <s v="Linda Hulsey"/>
        <s v="Jennifer S Bondegard"/>
        <s v="LANDERSON"/>
        <s v="Richard Kritsky"/>
        <s v="JULIE J."/>
        <s v="CATHERINE LYNESS"/>
        <s v="Dora"/>
        <s v="JANE WARGO"/>
        <s v="JENNIFER BRUESER"/>
        <s v="MATT HOUGH"/>
        <s v="SARAH STEBER"/>
        <s v="AZ"/>
        <s v="FRANCOISE DUFFY"/>
        <s v="Timothy Moyer"/>
        <s v="Luz"/>
        <s v="ASHLY WHITWORTH"/>
        <s v="Maria Lemmon"/>
        <s v="JAMES OBERT"/>
        <s v="CHRIS MCGATHA"/>
        <s v="JONATHAN STAMPLEY"/>
        <s v="Ray Cunningham"/>
        <s v="PATRICIA SHEPPARD"/>
        <s v="KRISTINE ANDERSON"/>
        <s v="Jillian"/>
        <s v="Madelin"/>
        <s v="SILVIA CAMPILLO GINER"/>
        <s v="CHERIE MAMULA"/>
        <s v="Sheila"/>
        <s v="RANDY LEACH"/>
        <s v="Cassidy k"/>
        <s v="BETH C."/>
        <s v="JENNIFER ADAMS"/>
        <s v="KURT SAXSMA"/>
        <s v="PATRICIA PALENIK"/>
        <s v="RICK LUDLOW"/>
        <s v="Pete of S T S"/>
        <s v="JEFF NICHOLSON"/>
        <s v="Amber Cole"/>
        <s v="KELLY BRAUN"/>
        <s v="SUSAN Y"/>
        <s v="Tomo'Gotcha"/>
        <s v="LORILEI DUNSTON"/>
        <s v="Mahzad Mohajer"/>
        <s v="TODD VANDEBERG"/>
        <s v="CAROL BLOHM"/>
        <s v="GAIL OSBORNE"/>
        <s v="JOAN KANOWITZ"/>
        <s v="Ronald"/>
        <s v="MARIA MAROPAKIS"/>
        <s v="Diana &amp; Dane"/>
        <s v="KN"/>
        <s v="PATRICIA RAGONE"/>
        <s v="MICHAEL Z"/>
        <s v="Sue Durante"/>
        <s v="Debra|Smith"/>
        <s v="JAMES POLITIS"/>
        <s v="TODD STRICKLAND"/>
        <s v="EVELYN DIMICELI"/>
        <s v="MICAHEL BENNETT"/>
        <s v="IRENE RODRIGUEZ"/>
        <s v="Penelope McMillan"/>
        <s v="LINDA MOON"/>
        <s v="SANDY B"/>
        <s v="Deanna Nole"/>
        <s v="JAN MURPHY"/>
        <s v="Ximena Salomon"/>
        <s v="Vicky"/>
        <s v="NARC HALL"/>
        <s v="kathleen otero"/>
        <s v="DONNA ALLEN"/>
        <s v="DOG AND CAT DEPOT SIZEMORE"/>
        <s v="C.J. Demello"/>
        <s v="GAIL E BUELER"/>
        <s v="Diana"/>
        <s v="DENISE LANNING"/>
        <s v="MARK M"/>
        <s v="Susan Robertson"/>
        <s v="HARRIETT HOFFMAN"/>
        <s v="Diesel’s Mom"/>
        <s v="MELISSA SHAFFER"/>
        <s v="CAROL Miller"/>
        <s v="DANA CONNOLLY"/>
        <s v="SANDY"/>
        <s v="ROBERT BERMAN"/>
        <s v="Paul Hanigan"/>
        <s v="PEGGY MAZUR"/>
        <s v="SHARON ZINNS"/>
        <s v="DAVID SPIEGEL"/>
        <s v="SUE CERVANTES"/>
        <s v="BRITTANY THOMPSON"/>
        <s v="Sanja"/>
        <s v="SCOTT PETERSEN"/>
        <s v="AJ'S REPTARIUM"/>
        <s v="KENNETH HENKE"/>
        <s v="ELIZABETH SCALZO"/>
        <s v="CORRINE SAVAGE"/>
        <s v="Linda Antonioli"/>
        <s v="Kristen"/>
        <s v="Kaia 1971"/>
        <s v="Gemma"/>
        <s v="SUSAN G"/>
        <s v="Driver's License Wizard User"/>
        <s v="VON SNOW"/>
        <s v="ANTOINETTE DARROW"/>
        <s v="WK"/>
        <s v="Tammy Counts"/>
        <s v="CAROLINE"/>
        <s v="GWEN SIDDIQU"/>
        <s v="LJ"/>
        <s v="WILDA WHITE"/>
        <s v="RUSSELL HOLSTER"/>
        <s v="Jim Lucas"/>
        <s v="C. WELLNITZ"/>
        <s v="Marie Vardaman"/>
        <s v="JOE KRAUT"/>
        <s v="DARLENE REDCLIFT"/>
        <s v="DIXIE EICHELBERGER"/>
        <s v="LUIS OROZCO"/>
        <s v="BigOakFarmSocal an animal resc"/>
        <s v="Tanya Scarantine"/>
        <s v="Tracy Moore"/>
        <s v="ELIZABETH CIPRICH"/>
        <s v="FAITH FREEWOMAN"/>
        <s v="KARMEN"/>
        <s v="STACEY"/>
        <s v="Darlene Cooper"/>
        <s v="JOANNA PROCTOR"/>
        <s v="Keeron Hogan"/>
        <s v="Kathy Davis"/>
        <s v="SHANNON"/>
        <s v="DIANE P"/>
        <s v="Jenny Martins-Tadena"/>
        <s v="Erika"/>
        <s v="KELLY KRAUSS"/>
        <s v="Paula &amp; Nelson DiGennaro - Sebring, FL"/>
        <s v="WEBCLIENT Laura P"/>
        <s v="KAREN MCFARLANE"/>
        <s v="TERRY GORMAN"/>
        <s v="Jean O."/>
        <s v="Charlotte Greenbarg"/>
        <s v="MICHELLE STANEK"/>
        <s v="Carmelle Latour"/>
        <s v="Thao B."/>
        <s v="Cat Lady"/>
        <s v="KEN PEARSON"/>
        <s v="Cheryl Jasper"/>
        <s v="Wil"/>
        <s v="TOM ALLEN"/>
        <s v="Slick"/>
        <s v="CHERYL FARRELL"/>
        <s v="KATIE WERNER"/>
        <s v="Tina P."/>
        <s v="NearMiss"/>
        <s v="TAMI"/>
        <s v="DANA DRAKE"/>
        <s v="Robin Gedge"/>
        <s v="Lynne Levy"/>
        <s v="THOMAS HOOPER"/>
        <s v="IRENE SIMMONS"/>
        <s v="Barbara McNeil"/>
        <s v="James Miller"/>
        <s v="SHELL"/>
        <s v="Michele Casolco"/>
        <s v="Kim D"/>
        <s v="VICTOR ALBANESE"/>
        <s v="Customtom arnolder"/>
        <s v="EKS"/>
        <s v="JENNIFER HORNUNG"/>
        <s v="Allyson"/>
        <s v="Loren Osborne"/>
        <s v="SHEILA HODGES"/>
        <s v="CURT SHAKE"/>
        <s v="LISA BARNES"/>
        <s v="Deborah Noack"/>
        <s v="Janet F."/>
        <s v="KENNY KAZAROSIAN"/>
        <s v="WANDA SEGARS"/>
        <s v="MARY BETH ALDER"/>
        <s v="ROSE BROWN"/>
        <s v="SUE ASH"/>
        <s v="PHILIP JOW"/>
        <s v="MaryAnne Kramer"/>
        <s v="SUSAN FOSTER"/>
        <s v="JULIE KASSIS"/>
        <s v="Steven Goldstein"/>
        <s v="JULIE ROBERTS"/>
        <s v="DEBORAH PRINZ"/>
        <s v="noisyhouse"/>
        <s v="Astoria"/>
        <s v="Dale"/>
        <s v="TERA MARSH"/>
        <s v="Nv"/>
        <s v="S. HARDY"/>
        <s v="Kristi Ehlers"/>
        <s v="MICHAEL FAZEKAS"/>
        <s v="Rosepetals"/>
        <s v="Bill Skinner"/>
        <s v="CAROL SMITH"/>
        <s v="JAMES NEYHOUSE"/>
        <s v="MARLIES RUBEN"/>
        <s v="SANDRA FRANCOIS"/>
        <s v="S.J."/>
        <s v="JEFF KRAMER"/>
        <s v="JAN STERN"/>
        <s v="SANDRA SCHAFER"/>
        <s v="GRACE CARR"/>
        <s v="Frank F."/>
        <s v="Marion Konvalina"/>
        <s v="PATRICIA CAMPBELL"/>
        <s v="R. Lahrman"/>
        <s v="Owl lover"/>
        <s v="BIGFISHGAMESSUCKS"/>
        <s v="MICHELLE MURRAY"/>
        <s v="CHRIS PORCARO"/>
        <s v="PASQUALE CRUDO"/>
        <s v="MARY MAHANEY"/>
        <s v="Candy"/>
        <s v="STEVEN BROCK"/>
        <s v="Linda Sabuda"/>
        <s v="Andrea P"/>
        <s v="GINNETTE ALVAREZ"/>
        <s v="IDA L."/>
        <s v="MICHELLE CILURSO"/>
        <s v="MK"/>
        <s v="KAREN WELCH"/>
        <s v="GINO LANZI"/>
        <s v="Gloria Moore"/>
        <s v="Marc Marsceill"/>
        <s v="John Wright"/>
        <s v="Coffee"/>
        <s v="Phyllis"/>
        <s v="Valerie D"/>
        <s v="MELODY FENSEL"/>
        <s v="JOANNE HALL"/>
        <s v="Mary Y"/>
        <s v="Charles McDowell"/>
        <s v="Graduation"/>
        <s v="Jimmy"/>
        <s v="KAY Johnson"/>
        <s v="GAZLENE HATFELD"/>
        <s v="Love my dog"/>
        <s v="MICHELE DECRESCENZO"/>
        <s v="JOAN DAM"/>
        <s v="LONNIE SCUTELLA"/>
        <s v="KOREN SLONE"/>
        <s v="SFsanibel"/>
        <s v="MICHELLE HINES"/>
        <s v="Nikki Tucek"/>
        <s v="Mary K"/>
        <s v="Greg Morris"/>
        <s v="PAIGE MARTIN"/>
        <s v="Frederick Raymond"/>
        <s v="Lauri Maynard"/>
        <s v="Halo"/>
        <s v="JERRY FARRIS"/>
        <s v="TIMOTHY PANICHI"/>
        <s v="JENNIFER JEDYNAK"/>
        <s v="Ross"/>
        <s v="Paul Moore"/>
        <s v="LEE HOFFMAN"/>
        <s v="MeWithMe"/>
        <s v="Chris Benson"/>
        <s v="DIANNE MULLENHOUR"/>
        <s v="Martin"/>
        <s v="Laura Beckendorf"/>
        <s v="Donna Rickford"/>
        <s v="R. Geibel"/>
        <s v="M J"/>
        <s v="STACIE MCCLAIN"/>
        <s v="MELANIE"/>
        <s v="SAYA"/>
        <s v="Louise"/>
        <s v="SORORU KARAMI"/>
        <s v="F. W."/>
        <s v="Deana Madsen"/>
        <s v="Mermaid"/>
        <s v="DEBRA NEIL"/>
        <s v="JAMES S"/>
        <s v="Lauren"/>
        <s v="R. ELLIOTT"/>
        <s v="JAMES GILBERT"/>
        <s v="Dawn Long"/>
        <s v="Alan Fertel"/>
        <s v="SHERI"/>
        <s v="MARY ANNE"/>
        <s v="TAMMY H"/>
        <s v="Christy Jones"/>
        <s v="Morris"/>
        <s v="Ms Dehn"/>
        <s v="D. PROF."/>
        <s v="JANE FUNK"/>
        <s v="JUDITH HATFEILD"/>
        <s v="TrooperMama"/>
        <s v="GERLYN"/>
        <s v="Bryan Kortis"/>
        <s v="BRYAN SCHWARTZWALDER"/>
      </sharedItems>
    </cacheField>
    <cacheField name="experience date" numFmtId="164">
      <sharedItems containsSemiMixedTypes="0" containsDate="1" containsString="0">
        <d v="2023-05-13T00:00:00Z"/>
        <d v="2023-05-14T00:00:00Z"/>
        <d v="2023-05-10T00:00:00Z"/>
        <d v="2023-05-11T00:00:00Z"/>
        <d v="2023-05-07T00:00:00Z"/>
        <d v="2023-04-28T00:00:00Z"/>
        <d v="2023-05-04T00:00:00Z"/>
        <d v="2023-04-02T00:00:00Z"/>
        <d v="2023-05-23T00:00:00Z"/>
        <d v="2023-05-06T00:00:00Z"/>
        <d v="2023-05-18T00:00:00Z"/>
        <d v="2023-05-09T00:00:00Z"/>
        <d v="2023-05-03T00:00:00Z"/>
        <d v="2023-05-12T00:00:00Z"/>
        <d v="2023-03-21T00:00:00Z"/>
        <d v="2023-05-01T00:00:00Z"/>
        <d v="2023-04-30T00:00:00Z"/>
        <d v="2023-05-08T00:00:00Z"/>
        <d v="2023-05-05T00:00:00Z"/>
        <d v="2023-05-02T00:00:00Z"/>
        <d v="2023-04-21T00:00:00Z"/>
        <d v="2023-05-15T00:00:00Z"/>
        <d v="2023-04-27T00:00:00Z"/>
        <d v="2023-04-26T00:00:00Z"/>
        <d v="2023-04-22T00:00:00Z"/>
        <d v="2023-04-20T00:00:00Z"/>
        <d v="2023-04-19T00:00:00Z"/>
        <d v="2023-04-24T00:00:00Z"/>
        <d v="2023-04-25T00:00:00Z"/>
        <d v="2023-04-18T00:00:00Z"/>
        <d v="2023-04-23T00:00:00Z"/>
        <d v="2023-04-16T00:00:00Z"/>
        <d v="2023-04-15T00:00:00Z"/>
        <d v="2023-05-24T00:00:00Z"/>
        <d v="2023-04-29T00:00:00Z"/>
        <d v="2023-04-17T00:00:00Z"/>
        <d v="2023-04-10T00:00:00Z"/>
        <d v="2023-03-18T00:00:00Z"/>
        <d v="2023-03-28T00:00:00Z"/>
        <d v="2023-04-11T00:00:00Z"/>
        <d v="2023-04-14T00:00:00Z"/>
        <d v="2023-04-13T00:00:00Z"/>
        <d v="2023-04-12T00:00:00Z"/>
        <d v="2023-04-06T00:00:00Z"/>
        <d v="2023-04-08T00:00:00Z"/>
        <d v="2023-04-07T00:00:00Z"/>
        <d v="2023-04-09T00:00:00Z"/>
        <d v="2023-03-29T00:00:00Z"/>
        <d v="2023-04-04T00:00:00Z"/>
        <d v="2023-04-03T00:00:00Z"/>
        <d v="2023-04-05T00:00:00Z"/>
        <d v="2023-03-17T00:00:00Z"/>
        <d v="2023-03-24T00:00:00Z"/>
        <d v="2023-04-01T00:00:00Z"/>
        <d v="2023-03-31T00:00:00Z"/>
        <d v="2023-03-30T00:00:00Z"/>
        <d v="2023-03-27T00:00:00Z"/>
        <d v="2023-03-25T00:00:00Z"/>
        <d v="2023-03-26T00:00:00Z"/>
        <d v="2023-02-26T00:00:00Z"/>
        <d v="2023-03-23T00:00:00Z"/>
        <d v="2023-03-22T00:00:00Z"/>
        <d v="2023-03-19T00:00:00Z"/>
        <d v="2023-03-20T00:00:00Z"/>
        <d v="2023-03-15T00:00:00Z"/>
        <d v="2023-03-16T00:00:00Z"/>
        <d v="2023-03-14T00:00:00Z"/>
        <d v="2023-03-13T00:00:00Z"/>
        <d v="2023-03-11T00:00:00Z"/>
        <d v="2023-03-12T00:00:00Z"/>
        <d v="2023-03-10T00:00:00Z"/>
        <d v="2023-03-06T00:00:00Z"/>
        <d v="2023-03-01T00:00:00Z"/>
        <d v="2023-03-05T00:00:00Z"/>
        <d v="2023-03-03T00:00:00Z"/>
        <d v="2023-03-09T00:00:00Z"/>
        <d v="2023-03-02T00:00:00Z"/>
        <d v="2023-03-08T00:00:00Z"/>
        <d v="2023-01-15T00:00:00Z"/>
        <d v="2023-01-03T00:00:00Z"/>
        <d v="2023-03-07T00:00:00Z"/>
        <d v="2023-02-02T00:00:00Z"/>
        <d v="2023-03-04T00:00:00Z"/>
        <d v="2023-02-28T00:00:00Z"/>
        <d v="2023-02-27T00:00:00Z"/>
        <d v="2023-02-25T00:00:00Z"/>
        <d v="2023-02-23T00:00:00Z"/>
        <d v="2023-02-24T00:00:00Z"/>
        <d v="2023-02-13T00:00:00Z"/>
        <d v="2023-01-02T00:00:00Z"/>
        <d v="2023-02-22T00:00:00Z"/>
        <d v="2023-02-21T00:00:00Z"/>
        <d v="2023-02-20T00:00:00Z"/>
        <d v="2023-01-04T00:00:00Z"/>
        <d v="2023-02-19T00:00:00Z"/>
        <d v="2023-02-17T00:00:00Z"/>
        <d v="2023-02-18T00:00:00Z"/>
        <d v="2023-02-08T00:00:00Z"/>
        <d v="2023-02-14T00:00:00Z"/>
        <d v="2023-02-16T00:00:00Z"/>
        <d v="2023-02-15T00:00:00Z"/>
        <d v="2023-02-11T00:00:00Z"/>
        <d v="2023-02-12T00:00:00Z"/>
        <d v="2023-02-10T00:00:00Z"/>
        <d v="2023-01-31T00:00:00Z"/>
        <d v="2023-02-07T00:00:00Z"/>
        <d v="2023-02-09T00:00:00Z"/>
        <d v="2023-02-06T00:00:00Z"/>
        <d v="2023-02-04T00:00:00Z"/>
        <d v="2023-01-21T00:00:00Z"/>
        <d v="2023-02-05T00:00:00Z"/>
        <d v="2023-02-03T00:00:00Z"/>
        <d v="2023-01-25T00:00:00Z"/>
        <d v="2023-02-01T00:00:00Z"/>
        <d v="2023-01-23T00:00:00Z"/>
        <d v="2023-01-30T00:00:00Z"/>
        <d v="2023-01-27T00:00:00Z"/>
        <d v="2023-01-29T00:00:00Z"/>
        <d v="2023-01-28T00:00:00Z"/>
        <d v="2023-01-24T00:00:00Z"/>
        <d v="2023-01-13T00:00:00Z"/>
        <d v="2023-01-19T00:00:00Z"/>
        <d v="2023-01-22T00:00:00Z"/>
        <d v="2023-01-26T00:00:00Z"/>
        <d v="2023-01-16T00:00:00Z"/>
        <d v="2023-01-20T00:00:00Z"/>
        <d v="2023-01-17T00:00:00Z"/>
        <d v="2023-01-14T00:00:00Z"/>
        <d v="2023-01-18T00:00:00Z"/>
        <d v="2023-01-10T00:00:00Z"/>
        <d v="2023-01-12T00:00:00Z"/>
        <d v="2022-12-23T00:00:00Z"/>
        <d v="2023-01-11T00:00:00Z"/>
        <d v="2023-01-06T00:00:00Z"/>
        <d v="2023-01-09T00:00:00Z"/>
        <d v="2022-11-30T00:00:00Z"/>
        <d v="2023-01-05T00:00:00Z"/>
        <d v="2022-12-20T00:00:00Z"/>
        <d v="2022-11-15T00:00:00Z"/>
        <d v="2022-11-23T00:00:00Z"/>
        <d v="2023-01-01T00:00:00Z"/>
        <d v="2022-12-31T00:00:00Z"/>
        <d v="2022-12-01T00:00:00Z"/>
        <d v="2023-01-07T00:00:00Z"/>
        <d v="2022-12-21T00:00:00Z"/>
        <d v="2022-12-30T00:00:00Z"/>
        <d v="2022-12-15T00:00:00Z"/>
        <d v="2023-01-08T00:00:00Z"/>
        <d v="2022-12-26T00:00:00Z"/>
        <d v="2022-12-29T00:00:00Z"/>
        <d v="2022-12-22T00:00:00Z"/>
        <d v="2022-12-08T00:00:00Z"/>
        <d v="2022-12-19T00:00:00Z"/>
        <d v="2022-12-18T00:00:00Z"/>
        <d v="2022-12-12T00:00:00Z"/>
        <d v="2022-12-16T00:00:00Z"/>
        <d v="2022-12-24T00:00:00Z"/>
        <d v="2022-12-28T00:00:00Z"/>
        <d v="2022-12-27T00:00:00Z"/>
        <d v="2022-12-14T00:00:00Z"/>
        <d v="2022-12-13T00:00:00Z"/>
        <d v="2022-12-25T00:00:00Z"/>
        <d v="2022-12-06T00:00:00Z"/>
        <d v="2022-12-05T00:00:00Z"/>
        <d v="2022-12-07T00:00:00Z"/>
        <d v="2022-12-10T00:00:00Z"/>
        <d v="2022-12-09T00:00:00Z"/>
        <d v="2022-10-17T00:00:00Z"/>
        <d v="2022-12-17T00:00:00Z"/>
        <d v="2022-12-04T00:00:00Z"/>
        <d v="2022-05-12T00:00:00Z"/>
        <d v="2022-12-02T00:00:00Z"/>
        <d v="2022-11-01T00:00:00Z"/>
        <d v="2022-11-28T00:00:00Z"/>
        <d v="2022-11-29T00:00:00Z"/>
        <d v="2022-12-11T00:00:00Z"/>
        <d v="2022-12-03T00:00:00Z"/>
        <d v="2022-11-24T00:00:00Z"/>
        <d v="2022-10-28T00:00:00Z"/>
        <d v="2022-11-25T00:00:00Z"/>
        <d v="2022-11-17T00:00:00Z"/>
        <d v="2022-11-21T00:00:00Z"/>
        <d v="2022-11-22T00:00:00Z"/>
        <d v="2022-11-14T00:00:00Z"/>
        <d v="2022-11-26T00:00:00Z"/>
        <d v="2022-11-18T00:00:00Z"/>
        <d v="2022-11-16T00:00:00Z"/>
        <d v="2022-11-20T00:00:00Z"/>
        <d v="2022-11-07T00:00:00Z"/>
        <d v="2022-10-04T00:00:00Z"/>
        <d v="2022-11-08T00:00:00Z"/>
        <d v="2022-11-12T00:00:00Z"/>
        <d v="2022-11-19T00:00:00Z"/>
        <d v="2022-11-11T00:00:00Z"/>
        <d v="2022-11-09T00:00:00Z"/>
        <d v="2022-11-10T00:00:00Z"/>
        <d v="2022-11-06T00:00:00Z"/>
        <d v="2022-11-04T00:00:00Z"/>
        <d v="2022-11-02T00:00:00Z"/>
        <d v="2022-11-05T00:00:00Z"/>
        <d v="2022-10-27T00:00:00Z"/>
        <d v="2022-10-30T00:00:00Z"/>
        <d v="2022-10-31T00:00:00Z"/>
        <d v="2022-11-03T00:00:00Z"/>
        <d v="2022-10-10T00:00:00Z"/>
        <d v="2022-10-29T00:00:00Z"/>
        <d v="2022-07-20T00:00:00Z"/>
        <d v="2022-10-25T00:00:00Z"/>
        <d v="2022-10-22T00:00:00Z"/>
        <d v="2022-10-26T00:00:00Z"/>
        <d v="2022-10-13T00:00:00Z"/>
        <d v="2022-10-19T00:00:00Z"/>
        <d v="2022-10-24T00:00:00Z"/>
        <d v="2022-10-20T00:00:00Z"/>
        <d v="2022-10-21T00:00:00Z"/>
        <d v="2022-10-11T00:00:00Z"/>
        <d v="2022-10-01T00:00:00Z"/>
        <d v="2022-09-30T00:00:00Z"/>
        <d v="2022-09-17T00:00:00Z"/>
        <d v="2022-09-29T00:00:00Z"/>
        <d v="2022-09-22T00:00:00Z"/>
        <d v="2022-09-23T00:00:00Z"/>
        <d v="2022-09-02T00:00:00Z"/>
        <d v="2022-09-24T00:00:00Z"/>
        <d v="2022-09-26T00:00:00Z"/>
        <d v="2022-09-20T00:00:00Z"/>
        <d v="2022-09-27T00:00:00Z"/>
        <d v="2022-09-13T00:00:00Z"/>
        <d v="2022-09-19T00:00:00Z"/>
        <d v="2022-09-21T00:00:00Z"/>
        <d v="2022-09-15T00:00:00Z"/>
        <d v="2022-08-28T00:00:00Z"/>
        <d v="2022-09-05T00:00:00Z"/>
        <d v="2022-09-12T00:00:00Z"/>
        <d v="2022-09-16T00:00:00Z"/>
        <d v="2022-09-14T00:00:00Z"/>
        <d v="2022-09-07T00:00:00Z"/>
        <d v="2022-09-09T00:00:00Z"/>
        <d v="2022-09-18T00:00:00Z"/>
        <d v="2022-09-04T00:00:00Z"/>
        <d v="2022-09-10T00:00:00Z"/>
        <d v="2022-08-29T00:00:00Z"/>
        <d v="2022-09-06T00:00:00Z"/>
        <d v="2022-09-01T00:00:00Z"/>
        <d v="2022-09-03T00:00:00Z"/>
        <d v="2022-09-08T00:00:00Z"/>
        <d v="2022-08-30T00:00:00Z"/>
        <d v="2022-09-11T00:00:00Z"/>
        <d v="2022-08-31T00:00:00Z"/>
        <d v="2022-08-15T00:00:00Z"/>
        <d v="2022-08-24T00:00:00Z"/>
        <d v="2022-08-27T00:00:00Z"/>
        <d v="2022-08-25T00:00:00Z"/>
        <d v="2022-08-26T00:00:00Z"/>
        <d v="2022-08-23T00:00:00Z"/>
        <d v="2022-08-22T00:00:00Z"/>
        <d v="2022-08-21T00:00:00Z"/>
        <d v="2022-08-20T00:00:00Z"/>
        <d v="2022-08-19T00:00:00Z"/>
        <d v="2022-08-18T00:00:00Z"/>
        <d v="2022-08-17T00:00:00Z"/>
        <d v="2022-08-16T00:00:00Z"/>
        <d v="2022-08-14T00:00:00Z"/>
        <d v="2022-08-13T00:00:00Z"/>
        <d v="2022-08-12T00:00:00Z"/>
        <d v="2022-08-11T00:00:00Z"/>
        <d v="2022-08-10T00:00:00Z"/>
        <d v="2022-08-09T00:00:00Z"/>
        <d v="2022-08-08T00:00:00Z"/>
        <d v="2022-08-07T00:00:00Z"/>
        <d v="2022-08-06T00:00:00Z"/>
        <d v="2022-08-05T00:00:00Z"/>
        <d v="2022-08-04T00:00:00Z"/>
        <d v="2022-08-02T00:00:00Z"/>
        <d v="2022-08-01T00:00:00Z"/>
        <d v="2022-07-31T00:00:00Z"/>
        <d v="2022-07-30T00:00:00Z"/>
        <d v="2022-07-29T00:00:00Z"/>
        <d v="2022-07-28T00:00:00Z"/>
        <d v="2022-07-27T00:00:00Z"/>
        <d v="2022-07-26T00:00:00Z"/>
        <d v="2022-07-25T00:00:00Z"/>
        <d v="2022-07-24T00:00:00Z"/>
        <d v="2022-07-23T00:00:00Z"/>
        <d v="2022-07-22T00:00:00Z"/>
        <d v="2022-07-21T00:00:00Z"/>
        <d v="2022-07-19T00:00:00Z"/>
        <d v="2022-07-18T00:00:00Z"/>
        <d v="2022-07-17T00:00:00Z"/>
        <d v="2022-07-16T00:00:00Z"/>
        <d v="2022-07-15T00:00:00Z"/>
        <d v="2022-07-14T00:00:00Z"/>
        <d v="2022-07-13T00:00:00Z"/>
        <d v="2022-07-12T00:00:00Z"/>
        <d v="2022-07-11T00:00:00Z"/>
        <d v="2022-07-10T00:00:00Z"/>
        <d v="2022-07-09T00:00:00Z"/>
        <d v="2022-07-08T00:00:00Z"/>
        <d v="2022-07-07T00:00:00Z"/>
        <d v="2022-07-06T00:00:00Z"/>
        <d v="2022-07-05T00:00:00Z"/>
        <d v="2022-07-04T00:00:00Z"/>
        <d v="2022-07-03T00:00:00Z"/>
        <d v="2022-07-02T00:00:00Z"/>
        <d v="2022-07-01T00:00:00Z"/>
        <d v="2022-06-30T00:00:00Z"/>
        <d v="2022-06-29T00:00:00Z"/>
        <d v="2022-06-28T00:00:00Z"/>
        <d v="2022-06-27T00:00:00Z"/>
        <d v="2022-06-26T00:00:00Z"/>
        <d v="2022-06-25T00:00:00Z"/>
        <d v="2022-06-24T00:00:00Z"/>
        <d v="2022-06-23T00:00:00Z"/>
        <d v="2022-06-22T00:00:00Z"/>
        <d v="2022-06-21T00:00:00Z"/>
        <d v="2022-06-20T00:00:00Z"/>
        <d v="2022-06-19T00:00:00Z"/>
        <d v="2022-06-18T00:00:00Z"/>
        <d v="2022-06-17T00:00:00Z"/>
        <d v="2022-06-16T00:00:00Z"/>
        <d v="2022-06-15T00:00:00Z"/>
        <d v="2022-06-14T00:00:00Z"/>
        <d v="2022-06-13T00:00:00Z"/>
        <d v="2022-06-12T00:00:00Z"/>
        <d v="2022-06-11T00:00:00Z"/>
        <d v="2022-06-10T00:00:00Z"/>
        <d v="2022-06-09T00:00:00Z"/>
        <d v="2022-06-08T00:00:00Z"/>
        <d v="2022-06-07T00:00:00Z"/>
        <d v="2022-06-06T00:00:00Z"/>
        <d v="2022-06-05T00:00:00Z"/>
        <d v="2022-06-04T00:00:00Z"/>
        <d v="2022-06-03T00:00:00Z"/>
        <d v="2022-06-02T00:00:00Z"/>
        <d v="2022-06-01T00:00:00Z"/>
        <d v="2022-05-31T00:00:00Z"/>
        <d v="2022-05-30T00:00:00Z"/>
        <d v="2022-05-29T00:00:00Z"/>
        <d v="2022-05-28T00:00:00Z"/>
        <d v="2022-05-27T00:00:00Z"/>
        <d v="2022-05-26T00:00:00Z"/>
        <d v="2022-05-25T00:00:00Z"/>
        <d v="2022-05-24T00:00:00Z"/>
        <d v="2022-05-23T00:00:00Z"/>
        <d v="2022-05-22T00:00:00Z"/>
        <d v="2022-05-21T00:00:00Z"/>
        <d v="2022-05-20T00:00:00Z"/>
        <d v="2022-05-19T00:00:00Z"/>
        <d v="2022-05-18T00:00:00Z"/>
        <d v="2022-05-17T00:00:00Z"/>
        <d v="2022-05-16T00:00:00Z"/>
        <d v="2022-05-15T00:00:00Z"/>
        <d v="2022-05-14T00:00:00Z"/>
        <d v="2022-05-13T00:00:00Z"/>
        <d v="2022-05-11T00:00:00Z"/>
        <d v="2022-05-10T00:00:00Z"/>
        <d v="2022-05-09T00:00:00Z"/>
        <d v="2022-05-08T00:00:00Z"/>
        <d v="2022-05-07T00:00:00Z"/>
        <d v="2022-05-06T00:00:00Z"/>
        <d v="2022-05-05T00:00:00Z"/>
        <d v="2022-05-04T00:00:00Z"/>
        <d v="2022-05-03T00:00:00Z"/>
        <d v="2022-05-02T00:00:00Z"/>
        <d v="2022-05-01T00:00:00Z"/>
        <d v="2022-04-30T00:00:00Z"/>
        <d v="2022-04-29T00:00:00Z"/>
        <d v="2022-04-28T00:00:00Z"/>
        <d v="2022-04-27T00:00:00Z"/>
        <d v="2022-04-26T00:00:00Z"/>
        <d v="2022-04-25T00:00:00Z"/>
        <d v="2022-04-24T00:00:00Z"/>
        <d v="2022-04-23T00:00:00Z"/>
        <d v="2022-04-22T00:00:00Z"/>
        <d v="2022-04-21T00:00:00Z"/>
        <d v="2022-04-20T00:00:00Z"/>
        <d v="2022-04-18T00:00:00Z"/>
        <d v="2022-04-17T00:00:00Z"/>
        <d v="2022-04-16T00:00:00Z"/>
        <d v="2022-04-15T00:00:00Z"/>
        <d v="2022-04-14T00:00:00Z"/>
        <d v="2022-04-13T00:00:00Z"/>
        <d v="2022-04-12T00:00:00Z"/>
        <d v="2022-04-11T00:00:00Z"/>
        <d v="2022-04-10T00:00:00Z"/>
        <d v="2022-04-09T00:00:00Z"/>
        <d v="2022-04-08T00:00:00Z"/>
        <d v="2022-04-07T00:00:00Z"/>
        <d v="2022-04-06T00:00:00Z"/>
        <d v="2022-04-05T00:00:00Z"/>
        <d v="2022-04-04T00:00:00Z"/>
        <d v="2022-04-03T00:00:00Z"/>
        <d v="2022-04-02T00:00:00Z"/>
        <d v="2022-04-01T00:00:00Z"/>
        <d v="2022-03-31T00:00:00Z"/>
        <d v="2022-03-30T00:00:00Z"/>
        <d v="2022-03-29T00:00:00Z"/>
        <d v="2022-03-28T00:00:00Z"/>
        <d v="2022-03-27T00:00:00Z"/>
        <d v="2022-03-26T00:00:00Z"/>
        <d v="2022-03-25T00:00:00Z"/>
        <d v="2022-03-24T00:00:00Z"/>
        <d v="2022-03-23T00:00:00Z"/>
        <d v="2022-03-22T00:00:00Z"/>
        <d v="2022-03-21T00:00:00Z"/>
        <d v="2022-03-20T00:00:00Z"/>
        <d v="2022-03-19T00:00:00Z"/>
        <d v="2022-03-18T00:00:00Z"/>
        <d v="2022-03-17T00:00:00Z"/>
        <d v="2022-03-16T00:00:00Z"/>
        <d v="2022-03-15T00:00:00Z"/>
        <d v="2022-03-14T00:00:00Z"/>
        <d v="2022-03-13T00:00:00Z"/>
        <d v="2022-03-12T00:00:00Z"/>
        <d v="2022-03-11T00:00:00Z"/>
        <d v="2022-03-10T00:00:00Z"/>
        <d v="2022-03-09T00:00:00Z"/>
        <d v="2022-03-08T00:00:00Z"/>
        <d v="2022-03-07T00:00:00Z"/>
        <d v="2022-03-06T00:00:00Z"/>
        <d v="2022-03-05T00:00:00Z"/>
        <d v="2022-03-04T00:00:00Z"/>
        <d v="2022-03-03T00:00:00Z"/>
        <d v="2022-03-02T00:00:00Z"/>
        <d v="2022-03-01T00:00:00Z"/>
        <d v="2022-02-28T00:00:00Z"/>
        <d v="2022-02-27T00:00:00Z"/>
        <d v="2022-02-26T00:00:00Z"/>
        <d v="2022-02-25T00:00:00Z"/>
        <d v="2022-02-24T00:00:00Z"/>
        <d v="2022-02-23T00:00:00Z"/>
        <d v="2022-02-22T00:00:00Z"/>
        <d v="2022-02-21T00:00:00Z"/>
        <d v="2022-02-20T00:00:00Z"/>
        <d v="2022-02-19T00:00:00Z"/>
        <d v="2022-02-18T00:00:00Z"/>
        <d v="2022-02-17T00:00:00Z"/>
        <d v="2022-02-16T00:00:00Z"/>
        <d v="2022-02-15T00:00:00Z"/>
        <d v="2022-02-14T00:00:00Z"/>
        <d v="2022-02-13T00:00:00Z"/>
        <d v="2022-02-12T00:00:00Z"/>
        <d v="2022-02-11T00:00:00Z"/>
        <d v="2022-02-10T00:00:00Z"/>
        <d v="2022-02-09T00:00:00Z"/>
        <d v="2022-02-08T00:00:00Z"/>
        <d v="2022-02-07T00:00:00Z"/>
        <d v="2022-02-06T00:00:00Z"/>
        <d v="2022-02-05T00:00:00Z"/>
        <d v="2022-02-04T00:00:00Z"/>
        <d v="2022-02-03T00:00:00Z"/>
        <d v="2022-02-02T00:00:00Z"/>
        <d v="2022-02-01T00:00:00Z"/>
        <d v="2022-01-31T00:00:00Z"/>
        <d v="2022-01-30T00:00:00Z"/>
        <d v="2022-01-29T00:00:00Z"/>
        <d v="2022-01-28T00:00:00Z"/>
        <d v="2022-01-27T00:00:00Z"/>
        <d v="2022-01-26T00:00:00Z"/>
        <d v="2022-01-25T00:00:00Z"/>
        <d v="2022-01-24T00:00:00Z"/>
        <d v="2022-01-23T00:00:00Z"/>
        <d v="2022-01-22T00:00:00Z"/>
        <d v="2022-01-21T00:00:00Z"/>
        <d v="2022-01-20T00:00:00Z"/>
        <d v="2022-01-19T00:00:00Z"/>
        <d v="2022-01-18T00:00:00Z"/>
        <d v="2022-01-17T00:00:00Z"/>
        <d v="2022-01-16T00:00:00Z"/>
        <d v="2022-01-15T00:00:00Z"/>
        <d v="2022-01-14T00:00:00Z"/>
        <d v="2022-01-13T00:00:00Z"/>
        <d v="2022-01-12T00:00:00Z"/>
        <d v="2022-01-11T00:00:00Z"/>
        <d v="2022-01-10T00:00:00Z"/>
        <d v="2022-01-09T00:00:00Z"/>
        <d v="2022-01-08T00:00:00Z"/>
        <d v="2022-01-07T00:00:00Z"/>
        <d v="2022-01-05T00:00:00Z"/>
        <d v="2022-01-04T00:00:00Z"/>
        <d v="2022-01-03T00:00:00Z"/>
        <d v="2022-01-02T00:00:00Z"/>
        <d v="2022-01-01T00:00:00Z"/>
        <d v="2021-12-31T00:00:00Z"/>
        <d v="2021-12-30T00:00:00Z"/>
        <d v="2021-12-29T00:00:00Z"/>
        <d v="2021-12-28T00:00:00Z"/>
        <d v="2021-12-27T00:00:00Z"/>
        <d v="2021-12-26T00:00:00Z"/>
        <d v="2021-12-25T00:00:00Z"/>
        <d v="2021-12-24T00:00:00Z"/>
        <d v="2021-12-23T00:00:00Z"/>
        <d v="2021-12-22T00:00:00Z"/>
        <d v="2021-12-21T00:00:00Z"/>
        <d v="2021-12-20T00:00:00Z"/>
        <d v="2021-12-19T00:00:00Z"/>
        <d v="2021-12-18T00:00:00Z"/>
        <d v="2021-12-17T00:00:00Z"/>
        <d v="2021-12-16T00:00:00Z"/>
        <d v="2021-12-15T00:00:00Z"/>
        <d v="2021-12-14T00:00:00Z"/>
        <d v="2021-12-13T00:00:00Z"/>
        <d v="2021-12-11T00:00:00Z"/>
        <d v="2021-12-10T00:00:00Z"/>
        <d v="2021-12-09T00:00:00Z"/>
        <d v="2021-12-08T00:00:00Z"/>
        <d v="2021-12-07T00:00:00Z"/>
        <d v="2021-12-06T00:00:00Z"/>
        <d v="2021-12-05T00:00:00Z"/>
        <d v="2021-12-04T00:00:00Z"/>
        <d v="2021-12-03T00:00:00Z"/>
        <d v="2021-12-02T00:00:00Z"/>
        <d v="2021-12-01T00:00:00Z"/>
        <d v="2021-11-30T00:00:00Z"/>
        <d v="2021-11-29T00:00:00Z"/>
        <d v="2021-11-28T00:00:00Z"/>
        <d v="2021-11-26T00:00:00Z"/>
        <d v="2021-11-25T00:00:00Z"/>
        <d v="2021-11-17T00:00:00Z"/>
        <d v="2021-11-16T00:00:00Z"/>
        <d v="2021-11-15T00:00:00Z"/>
        <d v="2021-11-14T00:00:00Z"/>
        <d v="2021-11-13T00:00:00Z"/>
        <d v="2021-11-12T00:00:00Z"/>
        <d v="2021-11-11T00:00:00Z"/>
        <d v="2021-11-10T00:00:00Z"/>
        <d v="2021-11-09T00:00:00Z"/>
        <d v="2021-11-08T00:00:00Z"/>
        <d v="2021-11-07T00:00:00Z"/>
        <d v="2021-11-06T00:00:00Z"/>
        <d v="2021-11-05T00:00:00Z"/>
        <d v="2021-11-04T00:00:00Z"/>
        <d v="2021-11-03T00:00:00Z"/>
        <d v="2021-11-02T00:00:00Z"/>
        <d v="2021-11-01T00:00:00Z"/>
        <d v="2021-10-31T00:00:00Z"/>
        <d v="2021-10-30T00:00:00Z"/>
        <d v="2021-10-29T00:00:00Z"/>
        <d v="2021-10-28T00:00:00Z"/>
        <d v="2021-10-27T00:00:00Z"/>
        <d v="2021-10-26T00:00:00Z"/>
        <d v="2021-10-25T00:00:00Z"/>
        <d v="2021-10-24T00:00:00Z"/>
        <d v="2021-10-23T00:00:00Z"/>
        <d v="2021-10-22T00:00:00Z"/>
        <d v="2021-10-21T00:00:00Z"/>
        <d v="2021-10-20T00:00:00Z"/>
        <d v="2021-10-19T00:00:00Z"/>
        <d v="2021-10-18T00:00:00Z"/>
        <d v="2021-10-17T00:00:00Z"/>
        <d v="2021-10-16T00:00:00Z"/>
        <d v="2021-10-15T00:00:00Z"/>
        <d v="2021-10-14T00:00:00Z"/>
        <d v="2021-10-13T00:00:00Z"/>
        <d v="2021-10-12T00:00:00Z"/>
        <d v="2021-10-11T00:00:00Z"/>
        <d v="2021-10-10T00:00:00Z"/>
        <d v="2021-10-09T00:00:00Z"/>
        <d v="2021-10-08T00:00:00Z"/>
        <d v="2021-10-07T00:00:00Z"/>
        <d v="2021-10-06T00:00:00Z"/>
        <d v="2021-10-05T00:00:00Z"/>
        <d v="2021-10-04T00:00:00Z"/>
        <d v="2021-10-03T00:00:00Z"/>
      </sharedItems>
    </cacheField>
    <cacheField name="review date">
      <sharedItems containsDate="1" containsMixedTypes="1">
        <s v="14 hours ago"/>
        <s v="11 hours ago"/>
        <s v="5 hours ago"/>
        <s v="A day ago"/>
        <s v="6 hours ago"/>
        <s v="12 hours ago"/>
        <s v="3 days ago"/>
        <s v="15 hours ago"/>
        <s v="4 days ago"/>
        <s v="7 days ago"/>
        <s v="1 days ago"/>
        <d v="2023-05-16T00:00:00Z"/>
        <s v="2 days ago"/>
        <d v="2023-05-19T00:00:00Z"/>
        <d v="2023-05-15T00:00:00Z"/>
        <s v="5 days ago"/>
        <d v="2023-05-17T00:00:00Z"/>
        <s v="Updated 16 hours ago"/>
        <s v="4 hours ago"/>
        <d v="2023-05-13T00:00:00Z"/>
        <d v="2023-05-14T00:00:00Z"/>
        <d v="2023-05-10T00:00:00Z"/>
        <s v="6 days ago"/>
        <d v="2023-05-04T00:00:00Z"/>
        <d v="2023-05-09T00:00:00Z"/>
        <d v="2023-05-08T00:00:00Z"/>
        <d v="2023-05-18T00:00:00Z"/>
        <d v="2023-05-02T00:00:00Z"/>
        <d v="2023-05-01T00:00:00Z"/>
        <d v="2023-05-06T00:00:00Z"/>
        <d v="2023-05-07T00:00:00Z"/>
        <d v="2023-05-12T00:00:00Z"/>
        <d v="2023-05-05T00:00:00Z"/>
        <d v="2023-05-03T00:00:00Z"/>
        <d v="2023-05-11T00:00:00Z"/>
        <d v="2023-04-30T00:00:00Z"/>
        <d v="2023-04-29T00:00:00Z"/>
        <d v="2023-04-28T00:00:00Z"/>
        <d v="2023-04-27T00:00:00Z"/>
        <d v="2023-04-26T00:00:00Z"/>
        <d v="2023-04-25T00:00:00Z"/>
        <d v="2023-04-24T00:00:00Z"/>
        <d v="2023-04-23T00:00:00Z"/>
        <d v="2023-04-22T00:00:00Z"/>
        <d v="2023-04-21T00:00:00Z"/>
        <d v="2023-04-20T00:00:00Z"/>
        <d v="2023-04-19T00:00:00Z"/>
        <d v="2023-04-18T00:00:00Z"/>
        <d v="2023-04-17T00:00:00Z"/>
        <d v="2023-04-16T00:00:00Z"/>
        <s v="Updated Apr 16, 2023"/>
        <d v="2023-04-15T00:00:00Z"/>
        <d v="2023-04-14T00:00:00Z"/>
        <d v="2023-04-13T00:00:00Z"/>
        <d v="2023-04-12T00:00:00Z"/>
        <d v="2023-04-11T00:00:00Z"/>
        <d v="2023-04-10T00:00:00Z"/>
        <d v="2023-04-09T00:00:00Z"/>
        <d v="2023-04-08T00:00:00Z"/>
        <d v="2023-04-07T00:00:00Z"/>
        <d v="2023-04-06T00:00:00Z"/>
        <d v="2023-04-05T00:00:00Z"/>
        <d v="2023-04-04T00:00:00Z"/>
        <d v="2023-04-03T00:00:00Z"/>
        <d v="2023-04-02T00:00:00Z"/>
        <d v="2023-04-01T00:00:00Z"/>
        <d v="2023-03-31T00:00:00Z"/>
        <d v="2023-03-30T00:00:00Z"/>
        <d v="2023-03-29T00:00:00Z"/>
        <d v="2023-03-28T00:00:00Z"/>
        <d v="2023-03-27T00:00:00Z"/>
        <d v="2023-03-26T00:00:00Z"/>
        <d v="2023-03-25T00:00:00Z"/>
        <d v="2023-03-24T00:00:00Z"/>
        <d v="2023-03-23T00:00:00Z"/>
        <d v="2023-03-22T00:00:00Z"/>
        <d v="2023-03-21T00:00:00Z"/>
        <d v="2023-03-20T00:00:00Z"/>
        <s v="Updated Mar 20, 2023"/>
        <d v="2023-03-19T00:00:00Z"/>
        <d v="2023-03-18T00:00:00Z"/>
        <d v="2023-03-17T00:00:00Z"/>
        <d v="2023-03-16T00:00:00Z"/>
        <d v="2023-03-15T00:00:00Z"/>
        <d v="2023-03-14T00:00:00Z"/>
        <d v="2023-03-13T00:00:00Z"/>
        <d v="2023-03-12T00:00:00Z"/>
        <d v="2023-03-11T00:00:00Z"/>
        <d v="2023-03-10T00:00:00Z"/>
        <d v="2023-03-09T00:00:00Z"/>
        <d v="2023-03-08T00:00:00Z"/>
        <d v="2023-03-07T00:00:00Z"/>
        <d v="2023-03-06T00:00:00Z"/>
        <d v="2023-03-05T00:00:00Z"/>
        <d v="2023-03-04T00:00:00Z"/>
        <s v="Updated Mar 4, 2023"/>
        <d v="2023-03-03T00:00:00Z"/>
        <d v="2023-03-02T00:00:00Z"/>
        <s v="Updated Mar 2, 2023"/>
        <d v="2023-03-01T00:00:00Z"/>
        <d v="2023-02-28T00:00:00Z"/>
        <d v="2023-02-27T00:00:00Z"/>
        <d v="2023-02-26T00:00:00Z"/>
        <d v="2023-02-25T00:00:00Z"/>
        <d v="2023-02-24T00:00:00Z"/>
        <d v="2023-02-23T00:00:00Z"/>
        <d v="2023-02-22T00:00:00Z"/>
        <d v="2023-02-21T00:00:00Z"/>
        <d v="2023-02-20T00:00:00Z"/>
        <d v="2023-02-19T00:00:00Z"/>
        <d v="2023-02-18T00:00:00Z"/>
        <d v="2023-02-17T00:00:00Z"/>
        <d v="2023-02-16T00:00:00Z"/>
        <d v="2023-02-15T00:00:00Z"/>
        <d v="2023-02-14T00:00:00Z"/>
        <d v="2023-02-13T00:00:00Z"/>
        <d v="2023-02-12T00:00:00Z"/>
        <d v="2023-02-11T00:00:00Z"/>
        <d v="2023-02-10T00:00:00Z"/>
        <d v="2023-02-09T00:00:00Z"/>
        <d v="2023-02-08T00:00:00Z"/>
        <d v="2023-02-07T00:00:00Z"/>
        <d v="2023-02-06T00:00:00Z"/>
        <d v="2023-02-05T00:00:00Z"/>
        <d v="2023-02-04T00:00:00Z"/>
        <d v="2023-02-03T00:00:00Z"/>
        <s v="Updated Feb 2, 2023"/>
        <d v="2023-02-02T00:00:00Z"/>
        <d v="2023-02-01T00:00:00Z"/>
        <d v="2023-01-31T00:00:00Z"/>
        <d v="2023-01-30T00:00:00Z"/>
        <d v="2023-01-29T00:00:00Z"/>
        <d v="2023-01-28T00:00:00Z"/>
        <d v="2023-01-27T00:00:00Z"/>
        <d v="2023-01-26T00:00:00Z"/>
        <s v="Updated Jan 27, 2023"/>
        <d v="2023-01-25T00:00:00Z"/>
        <d v="2023-01-24T00:00:00Z"/>
        <d v="2023-01-23T00:00:00Z"/>
        <d v="2023-01-22T00:00:00Z"/>
        <d v="2023-01-21T00:00:00Z"/>
        <d v="2023-01-20T00:00:00Z"/>
        <d v="2023-01-19T00:00:00Z"/>
        <d v="2023-01-18T00:00:00Z"/>
        <d v="2023-01-17T00:00:00Z"/>
        <d v="2023-01-16T00:00:00Z"/>
        <d v="2023-01-15T00:00:00Z"/>
        <s v="Updated Jan 15, 2023"/>
        <d v="2023-01-14T00:00:00Z"/>
        <d v="2023-01-13T00:00:00Z"/>
        <d v="2023-01-12T00:00:00Z"/>
        <d v="2023-01-11T00:00:00Z"/>
        <d v="2023-01-10T00:00:00Z"/>
        <d v="2023-01-09T00:00:00Z"/>
        <d v="2023-01-08T00:00:00Z"/>
        <d v="2023-01-07T00:00:00Z"/>
        <d v="2023-01-06T00:00:00Z"/>
        <d v="2023-01-05T00:00:00Z"/>
        <d v="2023-01-04T00:00:00Z"/>
        <d v="2023-01-03T00:00:00Z"/>
        <d v="2023-01-02T00:00:00Z"/>
        <d v="2023-01-01T00:00:00Z"/>
        <d v="2022-12-31T00:00:00Z"/>
        <d v="2022-12-30T00:00:00Z"/>
        <d v="2022-12-29T00:00:00Z"/>
        <d v="2022-12-28T00:00:00Z"/>
        <d v="2022-12-27T00:00:00Z"/>
        <d v="2022-12-26T00:00:00Z"/>
        <d v="2022-12-25T00:00:00Z"/>
        <d v="2022-12-24T00:00:00Z"/>
        <d v="2022-12-23T00:00:00Z"/>
        <d v="2022-12-22T00:00:00Z"/>
        <d v="2022-12-21T00:00:00Z"/>
        <d v="2022-12-20T00:00:00Z"/>
        <d v="2022-12-19T00:00:00Z"/>
        <s v="Updated Dec 18, 2022"/>
        <d v="2022-12-18T00:00:00Z"/>
        <d v="2022-12-17T00:00:00Z"/>
        <d v="2022-12-16T00:00:00Z"/>
        <d v="2022-12-15T00:00:00Z"/>
        <d v="2022-12-14T00:00:00Z"/>
        <d v="2022-12-13T00:00:00Z"/>
        <d v="2022-12-12T00:00:00Z"/>
        <d v="2022-12-11T00:00:00Z"/>
        <d v="2022-12-10T00:00:00Z"/>
        <d v="2022-12-09T00:00:00Z"/>
        <d v="2022-12-08T00:00:00Z"/>
        <d v="2022-12-07T00:00:00Z"/>
        <d v="2022-12-06T00:00:00Z"/>
        <d v="2022-12-05T00:00:00Z"/>
        <d v="2022-12-04T00:00:00Z"/>
        <d v="2022-12-03T00:00:00Z"/>
        <d v="2022-12-02T00:00:00Z"/>
        <d v="2022-12-01T00:00:00Z"/>
        <s v="Updated Dec 1, 2022"/>
        <d v="2022-11-30T00:00:00Z"/>
        <d v="2022-11-29T00:00:00Z"/>
        <s v="Updated Dec 13, 2022"/>
        <d v="2022-11-28T00:00:00Z"/>
        <s v="Updated Nov 28, 2022"/>
        <d v="2022-11-27T00:00:00Z"/>
        <d v="2022-11-26T00:00:00Z"/>
        <d v="2022-11-25T00:00:00Z"/>
        <d v="2022-11-24T00:00:00Z"/>
        <d v="2022-11-23T00:00:00Z"/>
        <d v="2022-11-22T00:00:00Z"/>
        <d v="2022-11-21T00:00:00Z"/>
        <d v="2022-11-20T00:00:00Z"/>
        <d v="2022-11-19T00:00:00Z"/>
        <d v="2022-11-18T00:00:00Z"/>
        <d v="2022-11-17T00:00:00Z"/>
        <d v="2022-11-16T00:00:00Z"/>
        <d v="2022-11-15T00:00:00Z"/>
        <d v="2022-11-14T00:00:00Z"/>
        <d v="2022-11-13T00:00:00Z"/>
        <d v="2022-11-12T00:00:00Z"/>
        <d v="2022-11-11T00:00:00Z"/>
        <d v="2022-11-10T00:00:00Z"/>
        <s v="Updated Nov 24, 2022"/>
        <d v="2022-11-09T00:00:00Z"/>
        <d v="2022-11-08T00:00:00Z"/>
        <d v="2022-11-07T00:00:00Z"/>
        <d v="2022-11-06T00:00:00Z"/>
        <d v="2022-11-05T00:00:00Z"/>
        <s v="Updated Nov 6, 2022"/>
        <d v="2022-11-04T00:00:00Z"/>
        <d v="2022-11-03T00:00:00Z"/>
        <d v="2022-11-02T00:00:00Z"/>
        <d v="2022-10-29T00:00:00Z"/>
        <d v="2022-10-23T00:00:00Z"/>
        <d v="2022-10-20T00:00:00Z"/>
        <d v="2022-10-18T00:00:00Z"/>
        <s v="Updated Oct 6, 2022"/>
        <d v="2022-09-29T00:00:00Z"/>
        <d v="2022-09-28T00:00:00Z"/>
        <d v="2022-09-27T00:00:00Z"/>
        <d v="2022-09-26T00:00:00Z"/>
        <d v="2022-09-25T00:00:00Z"/>
        <d v="2022-09-24T00:00:00Z"/>
        <d v="2022-09-23T00:00:00Z"/>
        <d v="2022-09-22T00:00:00Z"/>
        <d v="2022-09-21T00:00:00Z"/>
        <d v="2022-09-20T00:00:00Z"/>
        <d v="2022-09-19T00:00:00Z"/>
        <s v="Updated Sep 19, 2022"/>
        <d v="2022-09-18T00:00:00Z"/>
        <d v="2022-09-17T00:00:00Z"/>
        <d v="2022-09-16T00:00:00Z"/>
        <d v="2022-09-15T00:00:00Z"/>
        <d v="2022-09-14T00:00:00Z"/>
        <d v="2022-09-13T00:00:00Z"/>
        <d v="2022-09-12T00:00:00Z"/>
        <d v="2022-09-11T00:00:00Z"/>
        <d v="2022-09-10T00:00:00Z"/>
        <d v="2022-09-09T00:00:00Z"/>
        <d v="2022-09-08T00:00:00Z"/>
        <d v="2022-09-07T00:00:00Z"/>
        <d v="2022-09-06T00:00:00Z"/>
        <d v="2022-09-05T00:00:00Z"/>
        <d v="2022-09-04T00:00:00Z"/>
        <d v="2022-09-03T00:00:00Z"/>
        <d v="2022-09-02T00:00:00Z"/>
        <d v="2022-09-01T00:00:00Z"/>
        <d v="2022-08-31T00:00:00Z"/>
        <d v="2022-08-30T00:00:00Z"/>
        <d v="2022-08-29T00:00:00Z"/>
        <d v="2022-08-28T00:00:00Z"/>
        <d v="2022-08-27T00:00:00Z"/>
        <s v="Updated Aug 27, 2022"/>
        <d v="2022-08-26T00:00:00Z"/>
        <d v="2022-08-25T00:00:00Z"/>
        <d v="2022-08-24T00:00:00Z"/>
        <d v="2022-08-23T00:00:00Z"/>
        <d v="2022-08-22T00:00:00Z"/>
        <d v="2022-08-21T00:00:00Z"/>
        <d v="2022-08-20T00:00:00Z"/>
        <d v="2022-08-19T00:00:00Z"/>
        <d v="2022-08-18T00:00:00Z"/>
        <s v="Updated Aug 18, 2022"/>
        <d v="2022-08-17T00:00:00Z"/>
        <d v="2022-08-16T00:00:00Z"/>
        <d v="2022-08-15T00:00:00Z"/>
        <d v="2022-08-14T00:00:00Z"/>
        <s v="Updated Aug 14, 2022"/>
        <d v="2022-08-13T00:00:00Z"/>
        <d v="2022-08-12T00:00:00Z"/>
        <d v="2022-08-11T00:00:00Z"/>
        <d v="2022-08-09T00:00:00Z"/>
        <d v="2022-08-08T00:00:00Z"/>
        <d v="2022-08-07T00:00:00Z"/>
        <d v="2022-08-06T00:00:00Z"/>
        <d v="2022-08-05T00:00:00Z"/>
        <d v="2022-08-04T00:00:00Z"/>
        <d v="2022-08-02T00:00:00Z"/>
        <d v="2022-08-01T00:00:00Z"/>
        <d v="2022-07-31T00:00:00Z"/>
        <d v="2022-07-30T00:00:00Z"/>
        <d v="2022-07-29T00:00:00Z"/>
        <d v="2022-07-28T00:00:00Z"/>
        <d v="2022-07-27T00:00:00Z"/>
        <d v="2022-07-26T00:00:00Z"/>
        <d v="2022-07-25T00:00:00Z"/>
        <d v="2022-07-24T00:00:00Z"/>
        <d v="2022-07-23T00:00:00Z"/>
        <d v="2022-07-22T00:00:00Z"/>
        <d v="2022-07-21T00:00:00Z"/>
        <d v="2022-07-20T00:00:00Z"/>
        <d v="2022-07-19T00:00:00Z"/>
        <d v="2022-07-18T00:00:00Z"/>
        <d v="2022-07-17T00:00:00Z"/>
        <d v="2022-07-16T00:00:00Z"/>
        <d v="2022-07-15T00:00:00Z"/>
        <d v="2022-07-14T00:00:00Z"/>
        <d v="2022-07-13T00:00:00Z"/>
        <d v="2022-07-12T00:00:00Z"/>
        <d v="2022-07-11T00:00:00Z"/>
        <s v="Updated Jul 13, 2022"/>
        <d v="2022-07-10T00:00:00Z"/>
        <d v="2022-07-09T00:00:00Z"/>
        <d v="2022-07-08T00:00:00Z"/>
        <d v="2022-07-07T00:00:00Z"/>
        <d v="2022-07-06T00:00:00Z"/>
        <d v="2022-07-05T00:00:00Z"/>
        <d v="2022-07-04T00:00:00Z"/>
        <d v="2022-07-03T00:00:00Z"/>
        <d v="2022-07-02T00:00:00Z"/>
        <d v="2022-07-01T00:00:00Z"/>
        <d v="2022-06-30T00:00:00Z"/>
        <d v="2022-06-29T00:00:00Z"/>
        <d v="2022-06-28T00:00:00Z"/>
        <d v="2022-06-27T00:00:00Z"/>
        <d v="2022-06-26T00:00:00Z"/>
        <d v="2022-06-25T00:00:00Z"/>
        <d v="2022-06-24T00:00:00Z"/>
        <d v="2022-06-23T00:00:00Z"/>
        <d v="2022-06-22T00:00:00Z"/>
        <d v="2022-06-21T00:00:00Z"/>
        <d v="2022-06-20T00:00:00Z"/>
        <d v="2022-06-19T00:00:00Z"/>
        <d v="2022-06-18T00:00:00Z"/>
        <d v="2022-06-17T00:00:00Z"/>
        <d v="2022-06-16T00:00:00Z"/>
        <d v="2022-06-15T00:00:00Z"/>
        <d v="2022-06-14T00:00:00Z"/>
        <d v="2022-06-13T00:00:00Z"/>
        <d v="2022-06-12T00:00:00Z"/>
        <d v="2022-06-11T00:00:00Z"/>
        <d v="2022-06-10T00:00:00Z"/>
        <d v="2022-06-09T00:00:00Z"/>
        <d v="2022-06-08T00:00:00Z"/>
        <d v="2022-06-07T00:00:00Z"/>
        <d v="2022-06-06T00:00:00Z"/>
        <d v="2022-06-05T00:00:00Z"/>
        <d v="2022-06-04T00:00:00Z"/>
        <s v="Updated Jun 19, 2022"/>
        <d v="2022-06-03T00:00:00Z"/>
        <s v="Updated Jun 17, 2022"/>
        <d v="2022-06-02T00:00:00Z"/>
        <d v="2022-06-01T00:00:00Z"/>
        <d v="2022-05-31T00:00:00Z"/>
        <d v="2022-05-30T00:00:00Z"/>
        <d v="2022-05-29T00:00:00Z"/>
        <d v="2022-05-28T00:00:00Z"/>
        <d v="2022-05-27T00:00:00Z"/>
        <d v="2022-05-26T00:00:00Z"/>
        <d v="2022-05-25T00:00:00Z"/>
        <d v="2022-05-24T00:00:00Z"/>
        <d v="2022-05-23T00:00:00Z"/>
        <d v="2022-05-22T00:00:00Z"/>
        <d v="2022-05-21T00:00:00Z"/>
        <d v="2022-05-20T00:00:00Z"/>
        <d v="2022-05-19T00:00:00Z"/>
        <d v="2022-05-18T00:00:00Z"/>
        <d v="2022-05-17T00:00:00Z"/>
        <s v="Updated May 17, 2022"/>
        <d v="2022-05-16T00:00:00Z"/>
        <d v="2022-05-15T00:00:00Z"/>
        <d v="2022-05-14T00:00:00Z"/>
        <d v="2022-05-13T00:00:00Z"/>
        <d v="2022-05-12T00:00:00Z"/>
        <d v="2022-05-11T00:00:00Z"/>
        <d v="2022-05-10T00:00:00Z"/>
        <d v="2022-05-09T00:00:00Z"/>
        <d v="2022-05-08T00:00:00Z"/>
        <d v="2022-05-07T00:00:00Z"/>
        <d v="2022-05-06T00:00:00Z"/>
        <d v="2022-05-05T00:00:00Z"/>
        <d v="2022-05-04T00:00:00Z"/>
        <d v="2022-05-03T00:00:00Z"/>
        <d v="2022-05-02T00:00:00Z"/>
        <d v="2022-05-01T00:00:00Z"/>
        <d v="2022-04-30T00:00:00Z"/>
        <d v="2022-04-29T00:00:00Z"/>
        <d v="2022-04-28T00:00:00Z"/>
        <d v="2022-04-27T00:00:00Z"/>
        <d v="2022-04-26T00:00:00Z"/>
        <d v="2022-04-25T00:00:00Z"/>
        <d v="2022-04-24T00:00:00Z"/>
        <d v="2022-04-23T00:00:00Z"/>
        <s v="Updated Apr 23, 2022"/>
        <d v="2022-04-22T00:00:00Z"/>
        <d v="2022-04-21T00:00:00Z"/>
        <s v="Updated Apr 21, 2022"/>
        <d v="2022-04-20T00:00:00Z"/>
        <d v="2022-04-18T00:00:00Z"/>
        <d v="2022-04-17T00:00:00Z"/>
        <d v="2022-04-16T00:00:00Z"/>
        <d v="2022-04-15T00:00:00Z"/>
        <d v="2022-04-14T00:00:00Z"/>
        <d v="2022-04-13T00:00:00Z"/>
        <d v="2022-04-12T00:00:00Z"/>
        <d v="2022-04-11T00:00:00Z"/>
        <d v="2022-04-10T00:00:00Z"/>
        <d v="2022-04-09T00:00:00Z"/>
        <d v="2022-04-08T00:00:00Z"/>
        <d v="2022-04-07T00:00:00Z"/>
        <d v="2022-04-06T00:00:00Z"/>
        <d v="2022-04-05T00:00:00Z"/>
        <s v="Updated Apr 5, 2022"/>
        <d v="2022-04-04T00:00:00Z"/>
        <d v="2022-04-03T00:00:00Z"/>
        <d v="2022-04-02T00:00:00Z"/>
        <d v="2022-04-01T00:00:00Z"/>
        <d v="2022-03-31T00:00:00Z"/>
        <d v="2022-03-30T00:00:00Z"/>
        <d v="2022-03-29T00:00:00Z"/>
        <s v="Updated Mar 29, 2022"/>
        <d v="2022-03-28T00:00:00Z"/>
        <d v="2022-03-27T00:00:00Z"/>
        <d v="2022-03-26T00:00:00Z"/>
        <s v="Updated Mar 26, 2022"/>
        <d v="2022-03-25T00:00:00Z"/>
        <d v="2022-03-24T00:00:00Z"/>
        <d v="2022-03-23T00:00:00Z"/>
        <d v="2022-03-22T00:00:00Z"/>
        <d v="2022-03-21T00:00:00Z"/>
        <d v="2022-03-20T00:00:00Z"/>
        <d v="2022-03-19T00:00:00Z"/>
        <d v="2022-03-18T00:00:00Z"/>
        <d v="2022-03-17T00:00:00Z"/>
        <d v="2022-03-16T00:00:00Z"/>
        <d v="2022-03-15T00:00:00Z"/>
        <d v="2022-03-14T00:00:00Z"/>
        <d v="2022-03-13T00:00:00Z"/>
        <d v="2022-03-12T00:00:00Z"/>
        <d v="2022-03-11T00:00:00Z"/>
        <d v="2022-03-10T00:00:00Z"/>
        <d v="2022-03-09T00:00:00Z"/>
        <d v="2022-03-08T00:00:00Z"/>
        <s v="Updated Mar 8, 2022"/>
        <d v="2022-03-07T00:00:00Z"/>
        <d v="2022-03-06T00:00:00Z"/>
        <d v="2022-03-05T00:00:00Z"/>
        <d v="2022-03-04T00:00:00Z"/>
        <d v="2022-03-03T00:00:00Z"/>
        <d v="2022-03-02T00:00:00Z"/>
        <d v="2022-03-01T00:00:00Z"/>
        <d v="2022-02-28T00:00:00Z"/>
        <d v="2022-02-27T00:00:00Z"/>
        <s v="Updated Feb 27, 2022"/>
        <d v="2022-02-26T00:00:00Z"/>
        <d v="2022-02-25T00:00:00Z"/>
        <d v="2022-02-24T00:00:00Z"/>
        <d v="2022-02-23T00:00:00Z"/>
        <d v="2022-02-22T00:00:00Z"/>
        <d v="2022-02-21T00:00:00Z"/>
        <d v="2022-02-20T00:00:00Z"/>
        <d v="2022-02-19T00:00:00Z"/>
        <d v="2022-02-18T00:00:00Z"/>
        <d v="2022-02-17T00:00:00Z"/>
        <d v="2022-02-16T00:00:00Z"/>
        <d v="2022-02-15T00:00:00Z"/>
        <s v="Updated Feb 15, 2022"/>
        <d v="2022-02-14T00:00:00Z"/>
        <s v="Updated Mar 9, 2023"/>
        <d v="2022-02-13T00:00:00Z"/>
        <d v="2022-02-12T00:00:00Z"/>
        <d v="2022-02-11T00:00:00Z"/>
        <d v="2022-02-10T00:00:00Z"/>
        <d v="2022-02-09T00:00:00Z"/>
        <d v="2022-02-08T00:00:00Z"/>
        <d v="2022-02-07T00:00:00Z"/>
        <d v="2022-02-06T00:00:00Z"/>
        <d v="2022-02-05T00:00:00Z"/>
        <d v="2022-02-04T00:00:00Z"/>
        <d v="2022-02-03T00:00:00Z"/>
        <d v="2022-02-02T00:00:00Z"/>
        <d v="2022-02-01T00:00:00Z"/>
        <d v="2022-01-31T00:00:00Z"/>
        <d v="2022-01-30T00:00:00Z"/>
        <d v="2022-01-29T00:00:00Z"/>
        <d v="2022-01-28T00:00:00Z"/>
        <s v="Updated Jan 28, 2022"/>
        <d v="2022-01-27T00:00:00Z"/>
        <d v="2022-01-26T00:00:00Z"/>
        <d v="2022-01-25T00:00:00Z"/>
        <s v="Updated Jan 25, 2022"/>
        <d v="2022-01-24T00:00:00Z"/>
        <d v="2022-01-23T00:00:00Z"/>
        <d v="2022-01-22T00:00:00Z"/>
        <d v="2022-01-21T00:00:00Z"/>
        <d v="2022-01-20T00:00:00Z"/>
        <d v="2022-01-19T00:00:00Z"/>
        <d v="2022-01-18T00:00:00Z"/>
        <d v="2022-01-17T00:00:00Z"/>
        <s v="Updated Jan 31, 2022"/>
        <d v="2022-01-16T00:00:00Z"/>
        <d v="2022-01-15T00:00:00Z"/>
        <d v="2022-01-14T00:00:00Z"/>
        <d v="2022-01-13T00:00:00Z"/>
        <d v="2022-01-12T00:00:00Z"/>
        <d v="2022-01-11T00:00:00Z"/>
        <d v="2022-01-10T00:00:00Z"/>
        <d v="2022-01-09T00:00:00Z"/>
        <d v="2022-01-08T00:00:00Z"/>
        <d v="2022-01-07T00:00:00Z"/>
        <d v="2022-01-05T00:00:00Z"/>
        <d v="2022-01-04T00:00:00Z"/>
        <d v="2022-01-03T00:00:00Z"/>
        <d v="2022-01-02T00:00:00Z"/>
        <d v="2022-01-01T00:00:00Z"/>
        <d v="2021-12-31T00:00:00Z"/>
        <d v="2021-12-30T00:00:00Z"/>
        <d v="2021-12-29T00:00:00Z"/>
        <d v="2021-12-28T00:00:00Z"/>
        <d v="2021-12-27T00:00:00Z"/>
        <d v="2021-12-26T00:00:00Z"/>
        <d v="2021-12-25T00:00:00Z"/>
        <d v="2021-12-24T00:00:00Z"/>
        <d v="2021-12-23T00:00:00Z"/>
        <d v="2021-12-22T00:00:00Z"/>
        <d v="2021-12-21T00:00:00Z"/>
        <d v="2021-12-20T00:00:00Z"/>
        <s v="Updated Dec 20, 2021"/>
        <d v="2021-12-19T00:00:00Z"/>
        <d v="2021-12-18T00:00:00Z"/>
        <d v="2021-12-17T00:00:00Z"/>
        <d v="2021-12-16T00:00:00Z"/>
        <d v="2021-12-15T00:00:00Z"/>
        <d v="2021-12-14T00:00:00Z"/>
        <d v="2021-12-13T00:00:00Z"/>
        <d v="2021-12-11T00:00:00Z"/>
        <d v="2021-12-10T00:00:00Z"/>
        <d v="2021-12-09T00:00:00Z"/>
        <d v="2021-12-08T00:00:00Z"/>
        <s v="Updated Dec 8, 2021"/>
        <d v="2021-12-07T00:00:00Z"/>
        <d v="2021-12-06T00:00:00Z"/>
        <s v="Updated Dec 6, 2021"/>
        <d v="2021-12-05T00:00:00Z"/>
        <d v="2021-12-04T00:00:00Z"/>
        <d v="2021-12-03T00:00:00Z"/>
        <d v="2021-12-02T00:00:00Z"/>
        <d v="2021-12-01T00:00:00Z"/>
        <d v="2021-11-30T00:00:00Z"/>
        <d v="2021-11-29T00:00:00Z"/>
        <d v="2021-11-28T00:00:00Z"/>
        <d v="2021-11-26T00:00:00Z"/>
        <d v="2021-11-25T00:00:00Z"/>
        <d v="2021-11-18T00:00:00Z"/>
        <d v="2021-11-17T00:00:00Z"/>
        <d v="2021-11-16T00:00:00Z"/>
        <s v="Updated Nov 16, 2021"/>
        <d v="2021-11-15T00:00:00Z"/>
        <d v="2021-11-14T00:00:00Z"/>
        <s v="Updated Nov 13, 2021"/>
        <d v="2021-11-13T00:00:00Z"/>
        <d v="2021-11-12T00:00:00Z"/>
        <d v="2021-11-11T00:00:00Z"/>
        <d v="2021-11-10T00:00:00Z"/>
        <d v="2021-11-09T00:00:00Z"/>
        <d v="2021-11-08T00:00:00Z"/>
        <d v="2021-11-07T00:00:00Z"/>
        <s v="Updated Nov 7, 2021"/>
        <d v="2021-11-06T00:00:00Z"/>
        <d v="2021-11-05T00:00:00Z"/>
        <s v="Updated Nov 3, 2021"/>
        <d v="2021-11-03T00:00:00Z"/>
        <d v="2021-11-02T00:00:00Z"/>
        <d v="2021-11-01T00:00:00Z"/>
        <s v="Updated Nov 1, 2021"/>
        <d v="2021-10-31T00:00:00Z"/>
        <d v="2021-10-30T00:00:00Z"/>
        <d v="2021-10-29T00:00:00Z"/>
        <d v="2021-10-28T00:00:00Z"/>
        <s v="Updated Oct 28, 2021"/>
        <d v="2021-10-27T00:00:00Z"/>
        <d v="2021-10-26T00:00:00Z"/>
        <d v="2021-10-25T00:00:00Z"/>
        <d v="2021-10-24T00:00:00Z"/>
        <d v="2021-10-23T00:00:00Z"/>
        <d v="2021-10-22T00:00:00Z"/>
        <d v="2021-10-21T00:00:00Z"/>
        <s v="Updated Oct 21, 2021"/>
        <d v="2021-10-20T00:00:00Z"/>
        <d v="2021-10-19T00:00:00Z"/>
        <d v="2021-10-18T00:00:00Z"/>
        <d v="2021-10-17T00:00:00Z"/>
        <d v="2021-10-16T00:00:00Z"/>
        <s v="Updated Oct 16, 2021"/>
        <d v="2021-10-15T00:00:00Z"/>
        <d v="2021-10-14T00:00:00Z"/>
        <d v="2021-10-13T00:00:00Z"/>
        <d v="2021-10-12T00:00:00Z"/>
        <d v="2021-10-11T00:00:00Z"/>
        <d v="2021-10-10T00:00:00Z"/>
        <d v="2021-10-09T00:00:00Z"/>
        <d v="2021-10-08T00:00:00Z"/>
        <d v="2021-10-07T00:00:00Z"/>
        <d v="2021-10-06T00:00:00Z"/>
        <d v="2021-10-05T00:00:00Z"/>
        <d v="2021-10-04T00:00:00Z"/>
        <d v="2021-10-03T00:00:00Z"/>
      </sharedItems>
    </cacheField>
    <cacheField name="head line">
      <sharedItems containsDate="1" containsMixedTypes="1">
        <s v="Value added online retailer"/>
        <s v="Arm and Hammer litter"/>
        <s v="I have been with them since 2013 and my…"/>
        <s v="In Stock at PetFlow !"/>
        <s v="I received a damaged pet food bag and…"/>
        <s v="This is the second time I have received…"/>
        <s v="The company was very responsive to…"/>
        <s v="Ordered dog food and 5 days later no…"/>
        <s v="The people there if contacted go up and…"/>
        <s v="Great Service"/>
        <s v="First-time customer"/>
        <s v="Great value and fast delivery!"/>
        <s v="Good product"/>
        <s v="I have had a great experience with…"/>
        <s v="I had to change my password the past…"/>
        <s v="I was surprised to be able to talk to…"/>
        <s v="Fromm artisan quality"/>
        <s v="Good service"/>
        <s v="Good experience"/>
        <s v="One of the best things I love besides…"/>
        <s v="Helpful"/>
        <s v="Really pleasant"/>
        <s v="Horrible online ordering experience"/>
        <s v="My first experience was terrible"/>
        <s v="Cannot cancel an auto ship online"/>
        <s v="First transaction great, downhill after that…"/>
        <s v="I placed an order on May 10th-updates…"/>
        <s v="I just discovered petflow"/>
        <s v="The items I ordered were exactly what I…"/>
        <s v="Very dissatisfied"/>
        <s v="When was important to me was how quick they checked. They told me that he was out of stock and various things but it is difficult to get this particular trees that I would like to have soon."/>
        <s v="FedEx delivery date inaccurate"/>
        <s v="Great service!"/>
        <s v="Petflow is the only place I can find…"/>
        <s v="It was able to order easily"/>
        <s v="Excellent price"/>
        <s v="My New &quot;Go To&quot; Online!"/>
        <s v="The items were received in a timely…"/>
        <s v="Best selections, fast shipping, and best prices!"/>
        <s v="I had a very friendly young lady help…"/>
        <s v="The customer service is outstanding"/>
        <s v="This is the second time that I’ve been…"/>
        <s v="There was an issue with shipping and…"/>
        <s v="I had an issue with shipping damage"/>
        <s v="I placed my order on the 3rd of May"/>
        <s v="Just discovered this company"/>
        <s v="PetFlow has always been great with…"/>
        <s v="My order arrived later than expected…"/>
        <s v="The Person was very kind"/>
        <s v="Great prices"/>
        <s v="We can count on Pet Flow delivery…"/>
        <s v="Very good prices and the product…"/>
        <s v="Great customer service"/>
        <s v="Great product!"/>
        <s v="Discount mysteriously disappeared"/>
        <s v="You bet everyone elses prices"/>
        <s v="The web site is difficult to navigate"/>
        <s v="Petflow had the dog food product I was…"/>
        <s v="Poor customer service!!!"/>
        <s v="3 days since I placed my order online"/>
        <s v="Snarky customer service"/>
        <s v="Shipping took way longer than Chewy's…"/>
        <s v="my credit card is always getting…"/>
        <s v="The price was right"/>
        <s v="All items arrived within a few days…"/>
        <s v="Not very Satisfied"/>
        <s v="Room to improve"/>
        <s v="I have had two auto shipments of dog…"/>
        <s v="The shipping was by slow boat"/>
        <s v="Always fair price and prompt shipping…"/>
        <s v="It was very helpful to have that…"/>
        <s v="Great Place to Shop"/>
        <s v="The shipping is literally always late"/>
        <s v="Quick delivery of a hard-to-find…"/>
        <s v="Use Google incognito"/>
        <s v="I ordered a case of 12 cans of dog…"/>
        <s v="Great Prices and Quick Delkivery and Customer Service"/>
        <s v="We needed dog food ASAP so Petflow to…"/>
        <s v="Easy to order and delivered in a timely…"/>
        <s v="Excellent experience"/>
        <s v="Good prices and selections and fast…"/>
        <s v="I made a mistake on my order and…"/>
        <s v="Always willing to put up with my…"/>
        <s v="Never [dis]dissappointed"/>
        <s v="Shipped from Nevada to Ohio then back…"/>
        <s v="I love the connivence of having my…"/>
        <s v="Great customer support!"/>
        <s v="Prices are awesome and super fast…"/>
        <s v="YES!"/>
        <s v="Everything was great as always,very…"/>
        <s v="Extremely fast processing and delivery"/>
        <s v="I did not get my dog food"/>
        <s v="I love pet flow"/>
        <s v="I bought large bags of Open Farm food…"/>
        <s v="I love this food for my schipperke"/>
        <s v="easy to work with and fast delivery time"/>
        <s v="Great products and service!"/>
        <s v="Reasonably priced Fromm dry dog food"/>
        <s v="Petflow had the product I needed"/>
        <s v="Quick"/>
        <s v="A very smooth and seamless process to…"/>
        <s v="Easy to order and I received the…"/>
        <s v="Hard to find dog food at a good price…"/>
        <s v="Easy to order --wide variety of product…"/>
        <s v="A Good Experience"/>
        <s v="Can't beat the prices!"/>
        <s v="Great prices and loved the free…"/>
        <s v="Highly recommended thank you guys for…"/>
        <s v="Damaged products"/>
        <s v="Not easy to put together,but it works great!"/>
        <s v="Pet Flow was very good about my special…"/>
        <s v="Always a problem."/>
        <s v="Had a problem with my order duplicate…"/>
        <s v="My order came with 4 cans dented out of…"/>
        <s v="Good company to order"/>
        <s v="You had the items I wanted at a good…"/>
        <s v="Easy to sign up and courteous staff"/>
        <s v="Consistently good service"/>
        <s v="Correction of mistake"/>
        <s v="Always get anything I order on a timely…"/>
        <s v="The prices were extremely competitive"/>
        <s v="I have yet to get my order"/>
        <s v="Best value for bully sticks"/>
        <s v="I received what I ordered pronto"/>
        <s v="Great First Experience"/>
        <s v="Will be back for more!"/>
        <s v="Quick shipping and a great price"/>
        <s v="Super fast shipping awesome and…"/>
        <s v="Great communication w/ frequent updates"/>
        <s v="Good site"/>
        <s v="Fast shipping"/>
        <s v="It's a great product and the family dog…"/>
        <s v="everything was simple and fast delivery"/>
        <s v="NEVER Buy Canned Food from PetFlow"/>
        <s v="Order came just as promised"/>
        <s v="Best price"/>
        <s v="Good prices, large selection"/>
        <s v="Super fast shipping"/>
        <s v="As I said before"/>
        <s v="wonderful to find Natural Balance…"/>
        <s v="Package was never delivered (10 days…"/>
        <s v="Easy ordering, fast shipping"/>
        <s v="Fantastic and Fabulous"/>
        <s v="Good quality and quick delivery"/>
        <s v="I received my order promptly"/>
        <s v="cans damaged"/>
        <s v="User friendly online shopping experience"/>
        <s v="I was pleased with the prices and the…"/>
        <s v="Quick delivery on great product at a…"/>
        <s v="Great customer service and fast shipping"/>
        <s v="Got what I ordered &amp; it was delivered…"/>
        <s v="delivery times have gotten worse."/>
        <s v="Pet flow had an out of stock item we…"/>
        <s v="Love the products and fast service!"/>
        <s v="Ease of purchase and speed of delivery"/>
        <s v="Great prices and free fast shipping"/>
        <s v="Great parrot feed!"/>
        <s v="Easy to place an order"/>
        <s v="Easy ordering process and fast shipping!"/>
        <s v="Free and fast shipping."/>
        <s v="Good customer service"/>
        <s v="I always get good service at a good…"/>
        <s v="Good price"/>
        <s v="Great company"/>
        <s v="Everything was perfect"/>
        <s v="Great products &amp; prices!"/>
        <s v="Ordered and you didn’t have in stock"/>
        <s v="Easy to order at a fair price for this…"/>
        <s v="Order was on time and complete."/>
        <s v="Easy to place order"/>
        <s v="Positive!"/>
        <s v="Fast professional great!"/>
        <s v="dog food"/>
        <s v="Love the product"/>
        <s v="Quick and reliable"/>
        <s v="Very quick fulfillment and shipping"/>
        <s v="Mallory was awesome."/>
        <s v="Good"/>
        <s v="Good fresh food"/>
        <s v="You had what I wanted and you got it to…"/>
        <s v="Shipping takes too long"/>
        <s v="You had the product that I needed and…"/>
        <s v="Great prices and good dog food brands."/>
        <s v="Great bones shipping speed"/>
        <s v="Easy online ordering with fast delivery."/>
        <s v="Received order when expected"/>
        <s v="service"/>
        <s v="Easy ordering experience"/>
        <s v="It’s good"/>
        <s v="Consistently great buying experience."/>
        <s v="Fast and easy"/>
        <s v="Quick and efficient customer service."/>
        <s v="Competitive pricing and fast delivery!"/>
        <s v="Great prices!"/>
        <s v="Fast delivery of what we needed"/>
        <s v="Ordering and customer service"/>
        <s v="I am committed to feeding my cat the…"/>
        <s v="Awful online experience - confusing and antiquated"/>
        <s v="Always fast service"/>
        <s v="Great service &amp; pricing"/>
        <s v="Incompetent and Unreliable"/>
        <s v="Excellent customer service"/>
        <s v="I found what I needed quickly"/>
        <s v="Easy order, received in timely manner"/>
        <s v="My order came fast"/>
        <s v="Best prices anywhere and great…"/>
        <s v="Good but packaging poor"/>
        <s v="Shipping restrictions"/>
        <s v="The website is very easy to navigate"/>
        <s v="Petflow is great!…"/>
        <s v="Good selection of cat foods"/>
        <s v="Better value"/>
        <s v="They are very responsive"/>
        <s v="Fedex failed to deliver package even…"/>
        <s v="Timely orders"/>
        <s v="Great prices and service"/>
        <s v="They gave me a credit because something…"/>
        <s v="Very good…"/>
        <s v="The company delivers promptly."/>
        <s v="Tried Chewy"/>
        <s v="Dog Food Etc"/>
        <s v="Lowest price I could find"/>
        <s v="Thank you very much"/>
        <s v="Always good products"/>
        <s v="I received the packages in good shape…"/>
        <s v="Efficient process and speedy delivery."/>
        <s v="Had to call in because of recent c card…"/>
        <s v="Great service."/>
        <s v="I never received the order."/>
        <s v="GOOD PRICES"/>
        <s v="I can change the order and they always…"/>
        <s v="That it got delivered in time and your…"/>
        <s v="Theyon time and a reasonable price got my order out to me in a timely…"/>
        <s v="Small litter pans at the lowest price!"/>
        <s v="Totally satisfied with product and the purchasing process."/>
        <s v="Understanding the PetFlow auto ship system"/>
        <s v="We appreciate your efforts to keep…"/>
        <s v="Great customer service!"/>
        <s v="Prescription food"/>
        <s v="The Auto Ship is a lifesaver"/>
        <s v="They are still bothering my vet for a…"/>
        <s v="1BETTER THAN CHEWY!"/>
        <s v="I got what i order and when was suppost…"/>
        <s v="Reliable &amp; easy ordering and quick…"/>
        <s v="Great Finds"/>
        <s v="I was very pleased about the shipping…"/>
        <s v="Fast shipping was provided"/>
        <s v="Love the large Guinea pig house"/>
        <s v="Quick shipping and easy website....cost…"/>
        <s v="Rapid response"/>
        <s v="First time customer"/>
        <s v="Packaging needs improvement"/>
        <s v="Very professional and my orders are…"/>
        <s v="New customer"/>
        <s v="Preformed as Advertized"/>
        <s v="Poor Service"/>
        <s v="A better value than their competitors…"/>
        <s v="Had my product in stock"/>
        <s v="Always fast"/>
        <s v="Glad I Found Pet Flow"/>
        <s v="My order was processed and shipped…"/>
        <s v="Prices are comparable and free delivery…"/>
        <s v="So happy to get my very hard to find…"/>
        <s v="We like ordering from PetFlow"/>
        <s v="Easy to order and it shipped quickly…"/>
        <s v="Excellent! So easy to order online &amp; was quickly…"/>
        <s v="I like that I was able to find food for…"/>
        <s v="Delivery usually on time and what you need."/>
        <s v="Excellent service and price. What can I say...every order is on…"/>
        <s v="Cheaper than chewy"/>
        <s v="Never no discount or coupon for Fromm…"/>
        <s v="You see brands of dog food other…"/>
        <s v="Love the sales that Petflow sometimes…"/>
        <s v="I called for help with an order and…"/>
        <s v="real customer service"/>
        <s v="Fast reliable"/>
        <s v="Whenever I have a problem it's always…"/>
        <s v="The company is easy to work with"/>
        <s v="I got my order on time and it was less…"/>
        <s v="Fast and easy to shop and order"/>
        <s v="You have a toy that my dog loves"/>
        <s v="Do not recommend"/>
        <s v="Better prices than Chewy"/>
        <s v="fine, but tired of reviewing everybody"/>
        <s v="Ordered twice and order was canceled…"/>
        <s v="Excellent quick delivery"/>
        <s v="quality feed prompt service fair price"/>
        <s v="When the item was ordered"/>
        <s v="Fast delivery and great products"/>
        <s v="Immediate Response"/>
        <s v="PetFlow's customer service is great!"/>
        <s v="Ordering from their website is easy and…"/>
        <s v="Well it all started with me not…"/>
        <s v="Loving Fur Babies parent"/>
        <s v="Best for price and delivery"/>
        <s v="If I could give a rating of zero stars…"/>
        <s v="Easy to use website"/>
        <s v="PetFlow features fast food for fuss pot cat."/>
        <s v="The delivery was delayed"/>
        <s v="Great company for my needs"/>
        <s v="Dog Mom"/>
        <s v="Easy to order on line"/>
        <s v="Good Products and Helpful Employees"/>
        <s v="PetFlow has lost me has a customer"/>
        <s v="Great customer service."/>
        <s v="I’ve been ordering from for my chihuahuas since he was a puppy, and he is now two years old"/>
        <s v="Amazing company that I’m glad I found"/>
        <s v="Petflow had the best overall price…"/>
        <s v="Cheaper than Amazon."/>
        <s v="No problems"/>
        <s v="Great service and price."/>
        <s v="WE NEVER RECEIVED THIS ORDER!!!"/>
        <s v="Quick delivery and good value."/>
        <s v="Product arrived quickly as I was…"/>
        <s v="Speedy Delivery My order for my precious pets arrived…"/>
        <s v="Entertaining Squeaky Toy…"/>
        <s v="Fast delivery and Fair-priced"/>
        <s v="PetFlow had all information."/>
        <s v="Delivery take too long"/>
        <s v="Great Product and a Great Price"/>
        <s v="Easy to order"/>
        <s v="Amazingly fast shipping"/>
        <s v="Very Good Experience"/>
        <s v="The convenience of having products…"/>
        <s v="The order was filled quickly and…"/>
        <s v="The items I needed were IN STOCK when I…"/>
        <s v="Part of my order was incorrect but they…"/>
        <s v="I found the dog food I needed for an…"/>
        <s v="I was hesitant after I made the…"/>
        <s v="Fast shipping and lower prices than…"/>
        <s v="They corrected a bad experience."/>
        <s v="Happy!"/>
        <s v="The wrong dog bowls were sent"/>
        <s v="pet flow 4 8 23"/>
        <s v="Love them!"/>
        <s v="Prompt delivery, perfect condition"/>
        <s v="Came timely!"/>
        <s v="Company is very nice to deal with."/>
        <s v="Ordered prescription food for my…"/>
        <s v="Wonderful company"/>
        <s v="Great pricing"/>
        <s v="Ordering was easy and the shipping was…"/>
        <s v="Love PetFlow"/>
        <s v="PetFlow website is easy to navigate"/>
        <s v="Sitejabber Website Reviews and…"/>
        <s v="Fast delivery"/>
        <s v="I ordered my dog's food and it came…"/>
        <s v="Was happy to give our new puppy the food…"/>
        <s v="Fast easy service"/>
        <s v="My order experience was great!"/>
        <s v="My order hasn’t been shipped after over…"/>
        <s v="Excellent Items"/>
        <s v="Great Variety, Prices and Prompt Shipment!"/>
        <s v="Very nice and quick with my order…"/>
        <s v="Been ordering from PetFlow for a few…"/>
        <s v="My first time with PetFlow"/>
        <s v="Never received dog food."/>
        <s v="Always a positive experience"/>
        <s v="Quick delivery"/>
        <s v="REPRESENTATIVES ARE VERY UNDERSTANDING…"/>
        <s v="Rep always gets back to me immediately."/>
        <s v="Not great but went okay."/>
        <s v="you have decent prices"/>
        <s v="Happy Willow, happy Fern!!!"/>
        <s v="Love Pet Flow..been using them for 8…"/>
        <s v="Scammed and never ordered"/>
        <s v="Petflow is amazing"/>
        <s v="All of my experiences with PetFlow are…"/>
        <s v="Payment glitches, long waits with Call Centre"/>
        <s v="Very quick delivery and high quality…"/>
        <s v="You should have known when I placed my…"/>
        <s v="Great experience!!!!!!"/>
        <s v="Shipping was quick"/>
        <s v="If I could give you a 0 star I would"/>
        <s v="BUYER BEWARE!!"/>
        <s v="quick service"/>
        <s v="I have not received my product"/>
        <s v="I still have not received my order."/>
        <s v="Best price I have found for Dog Food"/>
        <s v="Web site"/>
        <s v="PetFlow has food and toys my dogs love"/>
        <s v="Customer service is awesome"/>
        <s v="Super delivered my home the price is…"/>
        <s v="Very helpful polite phone staff"/>
        <s v="Locked out of website, orders not shipped"/>
        <s v="The Ebb and Flow Of PetFlow's CSR's"/>
        <s v="Very good overall"/>
        <s v="Came quickly and efficiently"/>
        <s v="Great Service from PetFlow"/>
        <s v="Canceled my orders without notification"/>
        <s v="Terrific service."/>
        <s v="My dogs were having an allergy attack…"/>
        <s v="Fast shipping and amazing value"/>
        <s v="Pet Flow gets it right."/>
        <s v="They had the product I needed at a…"/>
        <s v="Order Cancelled???"/>
        <s v="Ordering was very easy and cost was…"/>
        <s v="Pet Flow"/>
        <s v="My order was canceled"/>
        <s v="Great Pet Products and Quick Delivery"/>
        <s v="Shame on PETFLOW!"/>
        <s v="First time purchase, terrible experience"/>
        <s v="I did not order anything but received…"/>
        <s v="My cats store"/>
        <s v="PetFlow is the best"/>
        <s v="I never placed an order with you but my…"/>
        <s v="Prices are very competitive"/>
        <s v="Great price with opportunity to get…"/>
        <s v="I still haven’t received my order…"/>
        <s v="pleased with this company"/>
        <s v="Easy, fast, and best price!"/>
        <s v="Good products at good prices delivered…"/>
        <s v="Very good service!!"/>
        <s v="Shipment 3 different times"/>
        <s v="Great service with Speed."/>
        <s v="Order canceled for no reason or notice…"/>
        <s v="Great Prices Fast delivery"/>
        <s v="Did not like that I buy a membership in…"/>
        <s v="Left product out by the street in the…"/>
        <s v="I ordered some Guinea pig food and the…"/>
        <s v="Dry dog foods."/>
        <s v="I had been looking for best auto ship…"/>
        <s v="I ordered dog food to be sent to my…"/>
        <s v="I always did love PetFlow"/>
        <s v="Account flagged as fraud"/>
        <s v="REAL Customer Service Reps"/>
        <s v="Website takes too long to navigate."/>
        <s v="Great prices fast shipping only…"/>
        <s v="This is a fake account"/>
        <s v="friendly competent person that took…"/>
        <s v="The 1 star may or may not be fair"/>
        <s v="Horrible."/>
        <s v="The round cat scratcher fitted perfectly"/>
        <s v="Not sure why but I had a monthly…"/>
        <s v="Easy online ordering and product came…"/>
        <s v="Pricing"/>
        <s v="we received a shipment from petflow and…"/>
        <s v="I keep getting emails about orders I…"/>
        <s v="Excellent service"/>
        <s v="This was a fraudulent purchase"/>
        <s v="The first time I used the automatic dog…"/>
        <s v="My purchased was flagged and canceled.I…"/>
        <s v="Ordered 3 times from Petflow"/>
        <s v="Too Heavy!"/>
        <s v="I am getting emails about orders I did…"/>
        <s v="Poor delivery time"/>
        <s v="Amazing experience."/>
        <s v="Delivered as PeomisedProduct was delivered as promised."/>
        <s v="Pet Flow is my Go To for pet food"/>
        <s v="Easy to use App for ordering and always…"/>
        <s v="Have had very good experience with…"/>
        <s v="price was much better than most other…"/>
        <s v="Quick reliable service"/>
        <s v="I love the convenience auto ship"/>
        <s v="I have never shopped with you guys…"/>
        <s v="First time purchasing"/>
        <s v="A good place to find a variety of food for your dog"/>
        <s v="Packaging is unsafe and unreliable"/>
        <s v="Easy website to use and prompt shipping."/>
        <s v="I am happily impressed with the…"/>
        <s v="EXCEEDINGLY EXPENSIVE!"/>
        <s v="Excellent service!"/>
        <s v="Pleased"/>
        <s v="Great quality products and very quick…"/>
        <s v="I bought the Kong monster balls for our Beagle …"/>
        <s v="Your two representatives"/>
        <s v="You cancelled my order because I made…"/>
        <s v="My dogs most favorite treats are…"/>
        <s v="Prices are good however, cans were damaged upon delivery"/>
        <s v="Fast shipping and prices in line with…"/>
        <s v="Great selection and price"/>
        <s v="Had never heard of this company before…"/>
        <s v="Great prices - Great service!"/>
        <s v="Try 'em, they're GREAT!"/>
        <s v="Best price anywhere and fast shipping"/>
        <s v="My first order was cancelled in error…"/>
        <s v="it only took 3 days to get my order!"/>
        <s v="Great communication"/>
        <s v="Great experience"/>
        <s v="Prices are good"/>
        <s v="I added a few things to my cart and…"/>
        <s v="Took forever to get my dog food."/>
        <s v="Very slow service!"/>
        <s v="I haven’t received the order after two…"/>
        <s v="PetFlow definitely had the best price…"/>
        <s v="My Go-To Online Pet Supply Store"/>
        <s v="Best prices that I’ve found"/>
        <s v="Ordered it and it got here"/>
        <s v="Lucky Find"/>
        <s v="I know that the road conditions for my…"/>
        <s v="Exactly what I ordered."/>
        <s v="Caution"/>
        <s v="My first was experience was excellent overall!"/>
        <s v="Your website is very intrusive and hard…"/>
        <s v="Highly recommend this company"/>
        <s v="PetFlow has such a variety of options…"/>
        <s v="Price and customer service was good"/>
        <s v="Great compant with quality products"/>
        <s v="Low prices"/>
        <s v="Quick &amp; Accurate"/>
        <s v="I received the dog food I ordered in a…"/>
        <s v="Fast shipping on hard to find item"/>
        <s v="Frequent customer"/>
        <s v="Order #: 10895458"/>
        <s v="Customer focused great cat food"/>
        <s v="Fast shipping and great products"/>
        <s v="Item was priced very fairly"/>
        <s v="When I got my package I found that I…"/>
        <s v="Excellent cs"/>
        <s v="Remove my email address from your records"/>
        <s v="Lots of finger pointing between my vet…"/>
        <s v="It was easy to find the product and…"/>
        <s v="It arrived in time no delays or hiccups…"/>
        <s v="Internet Pond Fish are happy and love Pet Flow…"/>
        <s v="Pedro's Mom"/>
        <s v="Thank you for excellent customer…"/>
        <s v="Constant account hacks"/>
        <s v="My account was hacked and my credit…"/>
        <s v="Great online pet products store"/>
        <s v="Good prices and fast delivery"/>
        <s v="Excellent product. Shipping is quick."/>
        <s v="The wrong product was shipped and…"/>
        <s v="Pet flow is the most awesome online pet…"/>
        <s v="Fast shipping great prices great quality"/>
        <s v="Excellent PETFLOW is the best"/>
        <s v="package and order was ok just left at…"/>
        <s v="I have always had good service from…"/>
        <s v="Made the Switch"/>
        <s v="Came in a timely manner"/>
        <s v="Good prices and customer service, but not great shipping"/>
        <s v="Very hard to work with even though I…"/>
        <s v="Ease of ordering and modifying my auto…"/>
        <s v="All of the information you need to fill…"/>
        <s v="Terrible Service"/>
        <s v="everything came quickly"/>
        <s v="I am getting emails telling me that my…"/>
        <s v="Thank you!"/>
        <s v="They randomly canceled my order"/>
        <s v="Every time I have called"/>
        <s v="Good reply in customer service support."/>
        <s v="Pleasant experience!"/>
        <s v="Always works perfectly...order online"/>
        <s v="It was real fast service to get the bag…"/>
        <s v="It was great to receive dog food in…"/>
        <s v="I ordered two cases of Merrick Grain…"/>
        <s v="Although I received an email stating my…"/>
        <s v="Great Service ships on time"/>
        <s v="This account was supposed to be closed…"/>
        <s v="Very good prices on the dog food we…"/>
        <s v="My e mail is bein used through your…"/>
        <s v="Fast efficient delivery of a difficult…"/>
        <s v="My account was hacked and charges were…"/>
        <s v="I have been dealing with your company…"/>
        <s v="Out of stock items"/>
        <s v="Mr. Bigdog"/>
        <s v="Outstanding Customer Service reps"/>
        <s v="What a great place to shop for dog…"/>
        <s v="There is a glitch in your system"/>
        <s v="Prices were great"/>
        <s v="Twice now I’ve relied on Petflow to…"/>
        <s v="Asked me to review a fraudulent order"/>
        <s v="PetFlow has ALL your pet needs!"/>
        <s v="Great selection"/>
        <s v="Good prices and quick"/>
        <s v="PRICES AND SPEEDY SHIPPING IS THE BEST"/>
        <s v="The Order are getting canceled"/>
        <s v="Good prices and service"/>
        <s v="Petflow is a great place"/>
        <s v="I screwed up my order and Mikaila fixed…"/>
        <s v="PetFlow is always great!"/>
        <s v="Even though I have complained before…"/>
        <s v="I got a great deal on a great product!"/>
        <s v="Once I have items in cart ordering is easy. Would be nice to be able to order previously ordered items again."/>
        <s v="Easy"/>
        <s v="I love that you donate a meal to a…"/>
        <s v="Walter"/>
        <s v="Order was never received"/>
        <s v="Shipping seems to take a bit longer…"/>
        <s v="SCAM ORDER"/>
        <s v="I'm so glad you asked"/>
        <s v="Mallory was AWESOME!"/>
        <s v="This is the first time I've ordered…"/>
        <s v="Love the fact it’s cheaper"/>
        <s v="I was looking for that specific dog…"/>
        <s v="We bought dog food online."/>
        <s v="Simply the BEST."/>
        <s v="My dogs love this food"/>
        <s v="You send me a survey link yet I still…"/>
        <s v="No matter what I order, it's out of stock"/>
        <s v="Delivery was on time and as instructed."/>
        <s v="Reliable"/>
        <s v="Everything I order was right and I get…"/>
        <s v="Easy ordering"/>
        <s v="I had recently ordered food from Pat…"/>
        <s v="YEAH, PETFLOW!"/>
        <s v="BEWARE OF AUTO SHIP CANT CANCEL"/>
        <s v="Products"/>
        <s v="My dog food that is on automatic order"/>
        <s v="It took over ONE week to get my order…"/>
        <s v="I requested few times to add more…"/>
        <s v="Still not delivered on the 28th."/>
        <s v="great product"/>
        <s v="I did not place this order"/>
        <s v="Quick Shipping"/>
        <s v="The shipping is so inconsistent"/>
        <s v="Great deals and products"/>
        <s v="Canceled my $300+ needed vet cat food…"/>
        <s v="This was our first time buying on here"/>
        <s v="my order was cancelled"/>
        <s v="Good selection of high quality products"/>
        <s v="Great, as usual!"/>
        <s v="Customer service"/>
        <s v="Vinnie and I are Happy."/>
        <s v="The experience with pet flow is always…"/>
        <s v="Ordering was easy and delivery was…"/>
        <s v="Excellent customer service!"/>
        <s v="Service was great and combined with the…"/>
        <s v="The only place to get our dog and cat food"/>
        <s v="-4 for delivery time"/>
        <s v="The company canceled my order 3 tines…"/>
        <s v="My order went to the wrong address and…"/>
        <s v="Excellent pet products at bargain…"/>
        <s v="Makes pet shopping easy!"/>
        <s v="Orders arrive on time and prices are…"/>
        <s v="My orders are always delivered within 2…Mazey’s kibble"/>
        <s v="They always have the items I am looking…"/>
        <s v="This company was awful to deal with"/>
        <s v="Great prices and on time delivery."/>
        <s v="Although FedEx is the most miserable…"/>
        <s v="It's nice to get a heads up before a…"/>
        <s v="100% SATISFIED"/>
        <s v="Great and plentiful selection of pet…"/>
        <s v="Website has alot of choices and the…"/>
        <s v="Great service &amp; quality products"/>
        <s v="Petflow ships promptly!"/>
        <s v="I ordered cat food for my 2 fur babies…"/>
        <s v="Out of stock?"/>
        <s v="Great discounts!!"/>
        <s v="Convenient"/>
        <s v="Great company to deal with"/>
        <s v="The products arrived undamaged"/>
        <s v="Had the food in stock and promptly…"/>
        <s v="Best quality bully sticks"/>
        <s v="Good product, great price!"/>
        <s v="Phone reps were great"/>
        <s v="Received product expiring next month, wasted my money"/>
        <s v="You are reliable"/>
        <s v="Not user friendly but got what I needed"/>
        <s v="Order process easy"/>
        <s v="My order came quickly and was accurate."/>
        <s v="Easy to find what I needed at a good…"/>
        <s v="Shipment always delayed and customer…"/>
        <s v="I ordered by wet dog food from Pet Flow…"/>
        <s v="The item I needed was in stock"/>
        <s v="PetFlow canceled my medication order with no communication and lost a customer."/>
        <s v="My orders were cancelled without…"/>
        <s v="I have had a horrible experience which…"/>
        <s v="Good service!"/>
        <s v="Easy to begin auto ship"/>
        <s v="Shipment was quick"/>
        <s v="Solid &amp; Reliable"/>
        <s v="Good communication and fair pricing."/>
        <s v="Excellent pet food company"/>
        <s v="Efficient and trustworth"/>
        <s v="Great products at a great price"/>
        <s v="Awesome service....great…"/>
        <s v="Pleased with all my purchases"/>
        <s v="Auto ship does not work"/>
        <s v="My order was canceled and I was never…"/>
        <s v="They are doing a great job!"/>
        <s v="Easy website for me!"/>
        <s v="Quick shipping and competitive prices"/>
        <s v="Order came in perfect condition"/>
        <s v="Product was in stock"/>
        <s v="you need more coupons"/>
        <s v="I have now ordered a couple of times…"/>
        <s v="Very fast shipping"/>
        <s v="I placed an order"/>
        <s v="Online order problem"/>
        <s v="Petflow reps are always helpful &amp; make…"/>
        <s v="Too long for shipment"/>
        <s v="Great company quick delivery have all…"/>
        <s v="Petflow had brands that I have…"/>
        <s v="Great price on the Chinchilla food!"/>
        <s v="Dog provider"/>
        <s v="I changed the address for delivery and…"/>
        <s v="I ordered canned prescription Royal…"/>
        <s v="Discovered Petflow When Other Place Out of Stock"/>
        <s v="Willingness to help me through the…"/>
        <s v="Excellent service and very quick…"/>
        <s v="Prices are good and shipping is fast."/>
        <s v="Never had a bad experience"/>
        <s v="The customer service is extraordinary"/>
        <s v="It was my first time ordering with this…"/>
        <s v="I didn’t even place the order that…"/>
        <s v="Carries brand not found in most pet…"/>
        <s v="Awesome professional support with…"/>
        <s v="Prompt response."/>
        <s v="Great experience on website and…"/>
        <s v="EXCELLENT PRICING"/>
        <s v="I’m was technologically inept on the…"/>
        <s v="Everything I was looking for was in…"/>
        <s v="First order!"/>
        <s v="Using Petflow was easy"/>
        <s v="Great Customer Service &amp; Best Produce Pricing"/>
        <s v="NO one knew what was happening"/>
        <s v="I was looking for better pricing for my…"/>
        <s v="They always have what I am looking for…"/>
        <s v="Awesome online pet products delivered to your door"/>
        <s v="They had what I needed in stock and it…"/>
        <s v="Website was easy to navigate and…"/>
        <s v="Best price I could find"/>
        <s v="arrogance sales!"/>
        <s v="HORRIBLE CUSTOMER SERVICE!"/>
        <s v="EXTREMELY DISAPPOINTED"/>
        <s v="Good experience. Thank yoy"/>
        <s v="Could not pay with paypal"/>
        <s v="I appreciate their communication with…"/>
        <s v="Affordable Place to Shop"/>
        <s v="Even with delays they were top-notch!"/>
        <s v="Great and Fast Service and plenty of…"/>
        <s v="Super quick shipping and good prices."/>
        <s v="Specialty cat food order"/>
        <s v="Excellent!"/>
        <s v="Order shipping delays - NJ warehouse"/>
        <s v="My favorite mail order for pet food and stuff"/>
        <s v="My cat would not eat several differert…"/>
        <s v="Always excellent customer service."/>
        <s v="Shipment on time"/>
        <s v="Not a good experience at all"/>
        <s v="Fast shipping!!"/>
        <s v="Special cat food"/>
        <s v="Very happy with the product the way it…"/>
        <s v="Charged 10 days ago for unshipped order"/>
        <s v="Trouble free delivery"/>
        <s v="Tried ordering twice..both times the…"/>
        <s v="Got what I ordered and delivered…"/>
        <s v="Although I had never purchased from…"/>
        <s v="Had dog food I used"/>
        <s v="I still haven’t gotten my order"/>
        <s v="Good service and competitive prices"/>
        <s v="They went above and beyond the call"/>
        <s v="Could not buy cat food without a…"/>
        <s v="Availability"/>
        <s v="Good products quality excellent…"/>
        <s v="Ordering the needed vet diet for my dog…"/>
        <s v="You falsely advertised an item"/>
        <s v="Extremely friendly and helpful customer…"/>
        <s v="Happy with service very pleased."/>
        <s v="I have received my puppy’s food in a…"/>
        <s v="Federal express incompetence"/>
        <s v="Super quick response time when I…"/>
        <s v="PetFlow is wonderful!"/>
        <s v="Fast service and delivery"/>
        <s v="Great customer service...Poor shipping procedures"/>
        <s v="No tracking info, Autopay that was not agreed to."/>
        <s v="I’ve been overcharged for my orders…"/>
        <s v="Concerned about the package that I…"/>
        <s v="great value and quick delivery."/>
        <s v="Friendly customer service"/>
        <s v="Overall a good experience"/>
        <s v="First time ordering prescription food…"/>
        <s v="Good price and fast delivery"/>
        <s v="As advertised product with timely…"/>
        <s v="Great prices and quick delivery"/>
        <s v="Was on time and order is right"/>
        <s v="Tape top and bottom end edges"/>
        <s v="It’s extremely easy to order anything."/>
        <s v="Quality products, good customer service"/>
        <s v="PetFlow carries the particular brands…"/>
        <s v="Petflow review…"/>
        <s v="Sorry packaging!!!"/>
        <s v="Suddenly out of stock??"/>
        <s v="Terrible packing for this shipment"/>
        <s v="Responsive customer support. Good availability of product I needed."/>
        <s v="👍👍"/>
        <s v="I found this company online when the…"/>
        <s v="Got dog food in a timely manner."/>
        <s v="Thank you"/>
        <s v="Better listening skills in customer support"/>
        <s v="Fast delivery I ordered tetraColor XL tropical…"/>
        <s v="My package was delivered damaged and…"/>
        <s v="Has what I needed and delivered it in…"/>
        <s v="Easy to navigate website"/>
        <s v="Great selection and fast shipping!"/>
        <s v="This was the first time I had shopped…"/>
        <s v="I will never order anything from this…"/>
        <s v="Great price and fast shipping"/>
        <s v="My orders are always punctual and good"/>
        <s v="my account showed a backorder"/>
        <s v="Great options and Fast delivery"/>
        <s v="PetFlow has a great selection of products"/>
        <s v="Cheaper then other places"/>
        <s v="All of my dealings with pet have been…"/>
        <s v="Happy Customer"/>
        <s v="Great price and quick shipping!"/>
        <s v="Fast shipping and almost always have…"/>
        <s v="Cumbersome Internet system caused two…"/>
        <s v="I received this order so quickly which…"/>
        <s v="Took 9 days for order to arrive"/>
        <s v="This has to be my 10 th or more times…"/>
        <s v="Good service at a reason able price."/>
        <s v="Was good customer service kept informed about items back…"/>
        <s v="PetFlow My Go to Place"/>
        <s v="Order for Cat Litter"/>
        <s v="Easy process: order to delivery"/>
        <s v="I can count on PetFlow to carry the…"/>
        <s v="Incredibly fast service"/>
        <s v="Quick delivery and competitive prices."/>
        <s v="I Love PetFlow"/>
        <s v="I HAVE ORDERED FROM PETFLOW SEVERAL…"/>
        <s v="Ease of ordering"/>
        <s v="Thanks PetFlow"/>
        <s v="Always have great order takers"/>
        <s v="Petflow has no issue starving your pet"/>
        <s v="Website was easy to use and checkout…"/>
        <s v="Great product and quick great service and quick delivery"/>
        <s v="Timely delivery"/>
        <s v="Fast delivery and Well packaged"/>
        <s v="More often than not my dog's food is…"/>
        <s v="Satisfied customer!"/>
        <s v="I Love the products"/>
        <s v="Awesome website and many brands to…"/>
        <s v="I don't like that 2 orders were placed…"/>
        <s v="Very good delivery"/>
        <s v="Why was shipping in the past better than now?"/>
        <s v="I was able to find what I needed at a…"/>
        <s v="Another positive experience!"/>
        <s v="First time purchasing from Pet Flow"/>
        <s v="All online"/>
        <s v="Amazing Customer Service"/>
        <s v="Dr tims Dog Food"/>
        <s v="Fromm Cat food"/>
        <s v="Ignored by Customer Service"/>
        <s v="Your prices were the best we could…"/>
        <s v="I had trouble finding Verus dog food…"/>
        <s v="My order NEVER arrived"/>
        <s v="Excellent"/>
        <s v="Pet Flow was fast with shipping and…"/>
        <s v="Delivery and customer service"/>
        <s v="Ordering was easy"/>
        <s v="My product order was in stock and I…"/>
        <s v="I ordered a product on January 9 and…"/>
        <s v="I can always count on my pet food…"/>
        <s v="In the last year service has gone from…"/>
        <s v="Love the carrier"/>
        <s v="Cancelled my order and claimed it was…"/>
        <s v="You carry my product but took awhile to…"/>
        <s v="The product I ordered was out of stock"/>
        <s v="Shipping was fast"/>
        <s v="Pet Flow Delivers"/>
        <s v="Flagged my purchases as fraud and then…"/>
        <s v="Auto-Ship is not reliable"/>
        <s v="Product was in stock and order was…"/>
        <s v="Delivery was on time and at a better…"/>
        <s v="3 BEAGLES LOVE TASTE OF THE WILD"/>
        <s v="Good communication"/>
        <s v="Good company"/>
        <s v="Overall Petflow has good service and…"/>
        <s v="Carry brand I was seeking. Delivered timely."/>
        <s v="A large variety of pet food products to…"/>
        <s v="Great price and fast delivery"/>
        <s v="Great company to do business with …"/>
        <s v="The quality of the pet food"/>
        <s v="Competitive prices"/>
        <s v="PetFlow is a great source for ToTW"/>
        <s v="Run fast, run far."/>
        <s v="I didn’t make an order"/>
        <s v="This was my first order from PetFlow -- NOT impressed"/>
        <s v="I was told when I ordered 1-3 days for…"/>
        <s v="Everything went smooth"/>
        <s v="PetFlow is easy to work with"/>
        <s v="Didn't help at all"/>
        <s v="Reasonable prices &amp; great communication"/>
        <s v="Good products and quick shipping"/>
        <s v="I couldn't access my account because I…"/>
        <s v="The order was wrong"/>
        <s v="Order took almost a week to reach me"/>
        <s v="I absolutely LOVE PetFlow!!"/>
        <s v="Damaged but made it right! A+"/>
        <s v="1-10-23Impossible website entry"/>
        <s v="Bad customer service"/>
        <s v="I have used these folks for a couple of…"/>
        <s v="To slow on getting the order out,hard…"/>
        <s v="Easy to use and find items with quick…"/>
        <s v="My order took 10 days to be delivered"/>
        <s v="Intuitive site, great product selection, value."/>
        <s v="It took a little long to receive the…"/>
        <s v="Great Service/Prices"/>
        <s v="They cancel orders and they don’t tell you and they don’t call back"/>
        <s v="I loved PetFlow"/>
        <s v="Shipping delays"/>
        <s v="Lousy Customer Service!"/>
        <s v="- I was .49 cents short for free…"/>
        <s v="Delivery Slow"/>
        <s v="Haven't received product and you want a review?"/>
        <s v="Fast and package was in good condition!"/>
        <s v="Great company."/>
        <s v="Exceptional service"/>
        <s v="7 years doing business with You…"/>
        <s v="Convenience at a great price!"/>
        <s v="Stay far away from Petflow if what you’re looking for is good service and to actually receive your items"/>
        <s v="Slow Shipping"/>
        <s v="Do better PetFlow"/>
        <s v="Nothing Special"/>
        <s v="Delivers as promised"/>
        <s v="I couldn't order because auto shipping"/>
        <s v="No Communication"/>
        <s v="I have tried to use PetFlow a few times…"/>
        <s v="Still haven't received our order"/>
        <s v="Order not shipped from warehouse for…"/>
        <s v="No order ever received"/>
        <s v="Lousy order processing and customer service"/>
        <s v="Where is my Order, which was ordered on 12/26/2022? I would have expected it delivered by know and have already spoken with one of your representatives who said that they are trying to catch up?"/>
        <s v="My orders are taking longer and longer…"/>
        <s v="Love the convenience and customer…"/>
        <s v="Everything went smoothly"/>
        <s v="Everything ships quickly"/>
        <s v="Placed an order for dog food"/>
        <s v="Great experience."/>
        <s v="Ordering online was easy and shipping…"/>
        <s v="Great selection of products"/>
        <s v="My order was cancelled by the fraud…"/>
        <s v="I give up"/>
        <s v="The best prices and fast shipping"/>
        <s v="I have 3 dogs and not one of them would…"/>
        <s v="HORRIBLE COMPANY"/>
        <s v="Great prices and fast delivery"/>
        <s v="Better Than Average Pet Customer Service Experience"/>
        <s v="Pet Flo is really on top of it"/>
        <s v="Terrible just terrible"/>
        <s v="Ordering can be made easier and…"/>
        <s v="A Five Star Wow"/>
        <s v="I have a dog who is allergic to…"/>
        <s v="Delivered on time good choices"/>
        <s v="all around great!"/>
        <s v="Great products, quick shipping"/>
        <s v="Easy to navigate the website and items…"/>
        <s v="Petflow always delivers good products…"/>
        <s v="Quick shipping!"/>
        <s v="Twice my order has been canceled due to…"/>
        <s v="Great!!!"/>
        <s v="I had put numerous orders in for this…"/>
        <s v="Customer service not up to par"/>
        <s v="Fromm dog food"/>
        <s v="You always get your order on time"/>
        <s v="I contacted customer support online to…"/>
        <s v="Package arrived late again"/>
        <s v="Easy to order and I love the automatic…"/>
        <s v="Terrible customer service"/>
        <s v="Unbelievably Bad Service / Policy’s"/>
        <s v="Easy order process and quick response…"/>
        <s v="Poor communication"/>
        <s v="Better Deals through Amazon"/>
        <s v="Unexpected treatment of 7 years customer"/>
        <s v="You're fine"/>
        <s v="Had the product I was looking for for…"/>
        <s v="Always helpful and products are quality."/>
        <s v="Our beloved Newfie died a day or so…"/>
        <s v="Actually I am writing to see if I can…"/>
        <s v="Best price on the dog food I buy."/>
        <s v="Good sales on good products"/>
        <s v="Thoughtful and helpful service"/>
        <s v="EXCELLENT SERVICE - GREAT PRODUCTS"/>
        <s v="I wanted to purchase some that was not noted on your website"/>
        <s v="I got a good price on Tillys Treasures…"/>
        <s v="I used to love PetFlow because the…"/>
        <s v="Prompt delivery at a fair price 😀"/>
        <s v="Great Food, Price and Service!"/>
        <s v="A Satisfied Customer"/>
        <s v="Fast delivery of our pet food"/>
        <s v="Your fast shipping was great"/>
        <s v="Great choice for pet toys and supplies"/>
        <s v="The toy was so little"/>
        <s v="My auto ship is easy and convenient and…"/>
        <s v="I tried to change what we are receiving…"/>
        <s v="Kong ball"/>
        <s v="Terrible experience suspect me theft cat food"/>
        <s v="Fast and efficient with brands I want."/>
        <s v="Good quality products"/>
        <s v="I’ve struggled purchasing food for my…"/>
        <s v="With the cost of this pet food…"/>
        <s v="I have had a good relationship w…"/>
        <s v="Great quality and shipping was very…"/>
        <s v="Liked that ordering is easy"/>
        <s v="My order never arrived and unprofessional customer service"/>
        <s v="You were the only company that had the…products in"/>
        <s v="You asked for response"/>
        <s v="Chewy is a cheaper and nicer alternative"/>
        <s v="Fast accurate shipping and fair prices"/>
        <s v="Was great"/>
        <s v="Always fast shipments"/>
        <s v="Prices are high for the food I feed and…"/>
        <s v="fast and easy checkout and shipping"/>
        <s v="My cats love their &quot;Tasty Treats&quot;!!"/>
        <s v="Where do I begin!"/>
        <s v="Quick friendly people to help with an…"/>
        <s v="Received food in timely manner"/>
        <s v="Litter Review"/>
        <s v="Awesome company with good deals and…"/>
        <s v="Quicker delivery"/>
        <s v="My go to place for the Aussiedoodle"/>
        <s v="Great price"/>
        <s v="Love the prices and quick service"/>
        <s v="First purchase/ great!"/>
        <s v="First"/>
        <s v="great food, great price, great delivery, shipping free"/>
        <s v="Always difficult to gain access to site."/>
        <s v="My shipping box came damaged"/>
        <s v="No takebacks"/>
        <s v="Products available"/>
        <s v="Timely delivery happy with service"/>
        <s v="Totally Pleased with PetFlow"/>
        <s v="We have been using PetFlow for years…"/>
        <s v="Communications were good"/>
        <s v="Ordered on line for less than in stores…"/>
        <s v="PetFlow is the place to go for treats"/>
        <s v="I spoke with customer service weeks ago…"/>
        <s v="Good price on dog food."/>
        <s v="Great Product Selection"/>
        <s v="Your products are healthy and…"/>
        <s v="Good prices but stopped carrying my item"/>
        <s v="I like ordering online don’t like…"/>
        <s v="The shipping time is awful"/>
        <s v="Very reliable when ordering a product"/>
        <s v="Best prices around initially"/>
        <s v="I'm still waiting on my last order"/>
        <s v="Great job PetFlow!"/>
        <s v="You guys are the best!"/>
        <s v="Prompt shipping and great prices!!!"/>
        <s v="POSITIVE EXPERIENCE TO-DATE"/>
        <s v="Order was easy to place great price on Dr Marty’s"/>
        <s v="I received no notice of canceled order…"/>
        <s v="We have ordered for over a year from…"/>
        <s v="Cheaper price takes a little longer for…"/>
        <s v="Great service and products I use for my…"/>
        <s v="I have had a subscription dogfood on…"/>
        <s v="What I order always comes as expected."/>
        <s v="I placed ab order for the first time…"/>
        <s v="Reliable delivery"/>
        <s v="Great service, great people"/>
        <s v="Ordered product and it never shipped"/>
        <s v="After my order being cancelled I don’t…"/>
        <s v="Order and Shipping"/>
        <s v="Went well as I expected"/>
        <s v="PetFlow is great"/>
        <s v="I switched to Pet Flow from Chewy bc…"/>
        <s v="As promised"/>
        <s v="Relax"/>
        <s v="You were less pricey than other places."/>
        <s v="Always satisfying shopping at Petflow."/>
        <s v="Easy, Convenient, Quickly shipped"/>
        <s v="My dogs went crazy over all these…"/>
        <s v="Nice representative"/>
        <s v="Great company to work with……always…"/>
        <s v="SHIPPING DELAYS DETRIMENTAL TO HEALTH OF PETS WITH SPECIAL DIETARY NEEDS"/>
        <s v="My little Maltese loves the small bites…"/>
        <s v="The shipping was surprisingly slow"/>
        <s v="Poor shipping Boxes"/>
        <s v="First time using Pet Flow"/>
        <s v="Petflow is our primary dog food supplier"/>
        <s v="Order"/>
        <s v="An excellent company with wonderful…"/>
        <s v="Took over a week before product even…"/>
        <s v="Instead of a usual delivery of 2…"/>
        <s v="Didnt receive box on scheduled day."/>
        <s v="While the prices are much better than…"/>
        <s v="Order cancelled without notice"/>
        <s v="Perfect service"/>
        <s v="Had a problem with password was locked…"/>
        <s v="Absolutely THE WORST company I have…"/>
        <s v="I have not gotten my products yet"/>
        <s v="They don't think dog food is an urgent item to send out"/>
        <s v="I generally like Pet Flow but I find…"/>
        <s v="Shipment is quick"/>
        <s v="It was a great experience overall"/>
        <s v="The willingness to listen to my issue…"/>
        <s v="Good job!"/>
        <s v="Good product and fast delivery"/>
        <s v="The product was shipped promptly."/>
        <s v="Best price anywhere"/>
        <s v="Excellent selection for pet food and…"/>
        <s v="Shipping times and amount of available…"/>
        <s v="Easy to find items and reasonable prices"/>
        <s v="customer service is excellent"/>
        <s v="Tried to get my auto shipment moved up…"/>
        <s v="Bryan was great"/>
        <s v="Always reliable…"/>
        <s v="Chewy might be a better option"/>
        <s v="I have no complaints about the company…"/>
        <s v="the treats had small fine bones in them had to boil to remove them, it was not fun will not buy again !"/>
        <s v="Go through amazon"/>
        <s v="No order acknowledgement from Pet Flow"/>
        <s v="Dry Kibble ordered on Nov"/>
        <s v="Service Rep said 2-3"/>
        <s v="I had a concern with my order--the…"/>
        <s v="It took a very long time and multiple…"/>
        <s v="Limited/minimal stock items…"/>
        <s v="As always, incredible customer service"/>
        <s v="The company was prompt in getting my…"/>
        <s v="FIVE STARS!!"/>
        <s v="Great Dog Food"/>
        <s v="Representatives very helpful and…"/>
        <s v="I can order Fromm dog food"/>
        <s v="having the product I needed and fast…"/>
        <s v="great company …"/>
        <s v="Great support"/>
        <s v="Have been a client for years"/>
        <s v="Shipping was delayed for 6 straight…"/>
        <s v="good quality stock and fast shipping!"/>
        <s v="Excellent website for pet food!! First time order for puppy food for our…"/>
        <s v="Disappointed"/>
        <s v="Shipping…second order Fr you….first…"/>
        <s v="Poor customer service"/>
        <s v="Best prices and service"/>
        <s v="Exceptionally responsive customer…"/>
        <s v="I love that you donate to pet charities…"/>
        <s v="We needed to Order Prescription food…"/>
        <s v="Bad customer service - GO ELSEWHERE"/>
        <s v="DON'T ORDER FROM THEM"/>
        <s v="Petflow is a great company"/>
        <s v="No problems and timely delivery."/>
        <s v="Prompt delivery"/>
        <s v="Customer for years"/>
        <s v="Not Happy"/>
        <s v="My first order was cancelled with no…"/>
        <s v="Very convenient!"/>
        <s v="The product is great so far"/>
        <s v="Easy to order and quick delivery"/>
        <s v="Check Count in the Bottle - Should be 30...."/>
        <s v="Took almost 10 gays to get the puppy…"/>
        <s v="I don’t want to write anything."/>
        <s v="I ordered dog food on line and never…"/>
        <s v="Liked the convenience of getting our…"/>
        <s v="PRICE AND DELIVERY SPEED"/>
        <s v="Good product, lousy shipping condition."/>
        <s v="It would be nice to get some discounts…"/>
        <s v="I ordered my pet supplies on Monday and…"/>
        <s v="Consistently good service and products"/>
        <s v="Easy to use website and quick delivery…"/>
        <s v="Stuff always right and on time!"/>
        <s v="Great company always on time with my…"/>
        <s v="I got the shipment pretty quick."/>
        <s v="PetFlow always comes through..."/>
        <s v="I love how fast they ship but I’m…"/>
        <s v="I haven't received my order"/>
        <s v="Good products service and price"/>
        <s v="Petflow has provided exceptional…"/>
        <s v="Ordering is easy and shipping is…"/>
        <s v="Fast shipping and excellent product selection …"/>
        <s v="Easy to order &amp; delivery was good as…"/>
        <s v="Not as familiar with navigating your…"/>
        <s v="Easy website"/>
        <s v="I never received my package"/>
        <s v="A great place to get my pets food."/>
        <s v="Great experience from ordering to…"/>
        <s v="Cancelled order"/>
        <s v="I placed a order on 11/6"/>
        <s v="Fast shipping and always consistent…"/>
        <s v="Your prevention protection is not…"/>
        <s v="Shipped to me very fast"/>
        <s v="Quick shipping and great prices!"/>
        <s v="Email notice of item I needed"/>
        <s v="Second time ordering prescription food"/>
        <s v="Ordered Twice and Likely Won’t Again"/>
        <s v="The sales experience was fine"/>
        <s v="Ordered 10 boxes of arm &amp; Hammer…"/>
        <s v="It takes a very long time for shipping."/>
        <s v="Numerous choices at excellent prices"/>
        <s v="Bad experience"/>
        <s v="Attentive customer service"/>
        <s v="Inaccurate inventory"/>
        <s v="The website doesn’t work right"/>
        <s v="Small animal products"/>
        <s v="Great service and people"/>
        <s v="I ordered cat food delivery on 11/2 and…"/>
        <s v="I love the products they carry"/>
        <s v="Products were in stock."/>
        <s v="Great products fresh free shipping"/>
        <s v="A very easy experience"/>
        <s v="My order got canceled without any…"/>
        <s v="I am extremely happy with the ease of…"/>
        <s v="Ordered two times and both times it was…"/>
        <s v="I’d never heard of Petflow"/>
        <s v="Love I can get pacificsource from them"/>
        <s v="I ordered and the item was not in stock…"/>
        <s v="Wet cat food Was out of stock"/>
        <s v="Very satisfied with Pet Flow."/>
        <s v="Great Service, No Problems"/>
        <s v="One Above Chewy"/>
        <s v="Fast delivery fair prices"/>
        <s v="Speedy service with a personal touch"/>
        <s v="Very quick service on Fromm Dog food…"/>
        <s v="Fraud team kept flagging my credit card…"/>
        <s v="Great prices on fancy Feast"/>
        <s v="The order I placed arrived on time"/>
        <s v="Great price!"/>
        <s v="Great"/>
        <s v="My dog loves PetFlow pet food"/>
        <s v="Seems like a decent startup"/>
        <s v="I will forever be a customer"/>
        <s v="I placed an order and two days later I…"/>
        <s v="My orders are always on time"/>
        <s v="I love the company but communication is…"/>
        <s v="The order was processed as always"/>
        <s v="On time delivery"/>
        <s v="Efficient Service &amp; Speedy Delivery"/>
        <s v="It was great service and my stuff was…"/>
        <s v="I love PetFlow!"/>
        <s v="PetFlow is the best!"/>
        <s v="Shipping was quick!"/>
        <s v="Never again"/>
        <s v="Received my items in only 3 days!"/>
        <s v="Great, quick service"/>
        <s v="Company was great in fulfilling my…"/>
        <s v="Competitive prices and good service"/>
        <s v="My order is constantly being canceled"/>
        <s v="Honored competitor pricing - thank you!"/>
        <s v="All around best pet supply company"/>
        <s v="Ordered cat food on sale"/>
        <s v="Wonderful"/>
        <s v="Had to inquire whether or not my order…"/>
        <s v="i have a difficult time finding this…"/>
        <s v="Ordered food"/>
        <s v="quick quick delivery and a free toy"/>
        <s v="Petflow = pet love"/>
        <s v="CSR told me my card was fraudulent and…"/>
        <s v="A Swift Smooth Transaction"/>
        <s v="We’ve been using PetFlow for many years…"/>
        <s v="Consistent delivered quickly and quality cat food"/>
        <s v="Delivered quickly"/>
        <s v="Website Lists Items They Don't Have"/>
        <s v="Damage Goods"/>
        <s v="Spoke with a rep named Ryan and he was…"/>
        <s v="Everything as described"/>
        <s v="I like that shipment can happen the…"/>
        <s v="This company has very quickly response…"/>
        <s v="I ordered prescription food for my sick…"/>
        <s v="I get the brand I want and don’t have to hunt the stores for it."/>
        <s v="Auto ship beeare"/>
        <s v="Inconsistent"/>
        <s v="Great service Had the product I needed"/>
        <s v="Two orders placed at different times"/>
        <s v="As usual many of the cans were dented…"/>
        <s v="I had a issue with my picky cat"/>
        <s v="Great product and shipping was fast"/>
        <s v="Name Changer"/>
        <s v="I appreciate that I can quickly reach a…"/>
        <s v="Notify Me Please About Sending Prior To"/>
        <s v="Order Hasn't Arrived - Not Processed Properly"/>
        <s v="Your website needs to be better…"/>
        <s v="Merrick Lil Plates"/>
        <s v="DON’T BOTHER ORDERING, THEY’LL JUST CANCEL IT!"/>
        <s v="BE NICE to REPEAT CUSTOMERS !!"/>
        <s v="Both times that I have ordered from…"/>
        <s v="I placed an order online because it…"/>
        <s v="Signed up and waited 9 days to learn you don't have the product"/>
        <s v="PetFlow has grown on me"/>
        <s v="Wonderful company!"/>
        <s v="Very knowledgeable and helpful…"/>
        <s v="Can’t recommend. They could care less if you order or not!"/>
        <s v="Don’t bother"/>
        <s v="Slight Issue Resolved Quickly"/>
        <s v="My order was cancelled and I did not…"/>
        <s v="Everything… I always need personal help…"/>
        <s v="great serviceThe people on the phone are friendly…"/>
        <s v="What a great business to work with"/>
        <s v="My order was shipped in record time."/>
        <s v="very disappointed"/>
        <s v="Excellent product I've been buying from…"/>
        <s v="Frustrating"/>
        <s v="Up-priced in the cart and customer service simply hung up on me"/>
        <s v="Would give this company zero stars if…"/>
        <s v="No cat food"/>
        <s v="Fast delivery and fair prices"/>
        <s v="So glad I found this company"/>
        <s v="Items Ordered"/>
        <s v="Very good!!!"/>
        <s v="Worst customer service I have ever experienced"/>
        <s v="Customer service is great"/>
        <s v="Why I chose Petflow"/>
        <s v="I was pleased to find what I needed at…"/>
        <s v="You place sucks"/>
        <s v="Thank goodness for Petflow"/>
        <s v="Honest Reply, informative"/>
        <s v="Love this cat tower"/>
        <s v="Great products and reviews that help…"/>
        <s v="They were very helpful &amp; my Cat food…"/>
        <s v="It took longer that buying it directly…"/>
        <s v="wrong address"/>
        <s v="If I could give it zero I would"/>
        <s v="Fast Shipping and Good Prices for hard…"/>
        <s v="Great selection, but….."/>
        <s v="I ordered some thing and the order was…"/>
        <s v="Have spoken to 5 people to get an order…"/>
        <s v="My cat needs prescription Hills y/d"/>
        <s v="I’ve been using Petflow for quite a…"/>
        <s v="NutriSource Large Breed Puppy Chicken &amp; Rice Dry Dog Food 60 lb. (2 x 30 lb.)"/>
        <s v="Delivery of the product was sloppy."/>
        <s v="My only complaint is that the bags of…"/>
        <s v="Great prices of several items we use"/>
        <s v="The best prices ,in stock merchandise…"/>
        <s v="Dog food showed up moldy"/>
        <s v="PetFlow carries Fromm healthy weight…"/>
        <s v="My order was cancelled without any…"/>
        <s v="Good selection and promotions."/>
        <s v="Stop accepting orders for items you do…"/>
        <s v="Always a great experience with Petflow"/>
        <s v="Where is my credit for exploded dog food cans?"/>
        <s v="First time using Petflow"/>
        <s v="Our items were shipped quickly!"/>
        <s v="Timely and accurate delivery"/>
        <s v="Products and pricing are wonderful"/>
        <s v="Packed orders"/>
        <s v="It was entirely on me to send a…"/>
        <s v="No customer awareness"/>
        <s v="Good Service, fast delivery"/>
        <s v="Easy to order and wonderful product."/>
        <s v="Long-term customer for a reason"/>
        <s v="Fast and Great Price"/>
        <s v="Ziggy went nuts over the treats"/>
        <s v="Excellent service and products"/>
        <s v="Find a different source for your pet needa"/>
        <s v="Good food"/>
        <s v="Item out of stock"/>
        <s v="All good overall!"/>
        <s v="Website advertised canned y/d thyroid…"/>
        <s v="I Helping you to improve your processgave you a top score because we…"/>
        <s v="Love our fur babies"/>
        <s v="Peanut butter snacks"/>
        <s v="Better than Chewy"/>
        <s v="My pups love all of the toys we ordered…"/>
        <s v="I submitted a signed prescription from…my veterinarian but it’s like I didn’t"/>
        <s v="Great website"/>
        <s v="Happy Pets"/>
        <s v="I have gotten Myias can food before…"/>
        <s v="Avoid this Company!"/>
        <s v="Great service and communication"/>
        <s v="Easy Peasy...Got What I Needed"/>
        <s v="My experience was very positive"/>
        <s v="My puppy Lola has had allergy skin…"/>
        <s v="You are asking for me to rate something…"/>
        <s v="I appreciate the delivery"/>
        <s v="Okay for Now"/>
        <s v="Scam"/>
        <s v="I have my dog food delivered"/>
        <s v="Soooo disappointed here"/>
        <s v="i’m usually pretty pleased with…"/>
        <s v="Was very pleased with fast"/>
        <s v="Quick delivery and great coupon"/>
        <s v="You allowed an order to be placed for…"/>
        <s v="I was very pleased with my purchase…"/>
        <s v="Very Happy"/>
        <s v="Dr Marty Dog food"/>
        <s v="Ordering is quick and easy"/>
        <s v="Every one was helpful"/>
        <s v="Petflow made it easy!"/>
        <s v="First time buyer"/>
        <s v="Not the end of the world BUT..."/>
        <s v="I ordered two cases of food"/>
        <s v="d excellent quality of…products"/>
        <s v="Never received product nor heard that…"/>
        <s v="Always reliable"/>
        <s v="Super helpful staff!"/>
        <s v="It was cheaper than anywhere else"/>
        <s v="I ordered my dog food almost two weeks…"/>
        <s v="Horrible service. Go to Chewy"/>
        <s v="Very Unprofessional"/>
        <s v="Many items are not available at this time."/>
        <s v="Order cancelled with no communication for fraud for diff shipping and billing addresses"/>
        <s v="Apparently my order was canceled by the…"/>
        <s v="I tried using a coupon that said…"/>
        <s v="I will never ever contact Pet Flow for…"/>
        <s v="Bi-monthly order of dog food that is…"/>
        <s v="Shows on website the food I needed for…"/>
        <s v="Great products"/>
        <s v="Kind of odd. . ."/>
        <s v="Half of an order and half of the service"/>
        <s v="I tried twice to order the dog food for…"/>
        <s v="Probably won’t buy again"/>
        <s v="Took over two weeks for order to…"/>
        <s v="This place is a real joke"/>
        <s v="Waiting and Waiting..."/>
        <s v="Happy cat owner"/>
        <s v="Petflow does a very good job."/>
        <s v="No recommendations from me"/>
        <s v="Not sure if I will oder again"/>
        <s v="My parents'dog loves this pet food"/>
        <s v="Great Company to buy Pet Food Fromm...Pun Intended!"/>
        <s v="It’s too hard to cancel auto ship…"/>
        <s v="Delivery took longer than I expected"/>
        <s v="Very good customer service"/>
        <s v="Deception at its finest"/>
        <s v="Always an excellent experience at PetFlow!!"/>
        <s v="Petflow had the sensitivity select dog…"/>
        <s v="Ord delayed no communication"/>
        <s v="Lack of communication issues"/>
        <s v="transfering a new hardcopy Rx was a bit…"/>
        <s v="GREAT CUSTOMER SUPPORT"/>
        <s v="Very prompt service"/>
        <s v="Dog food I ordered went out of stock…"/>
        <s v="FRDEX didn't deliver the previous…"/>
        <s v="you can count on PetFlow"/>
        <s v="I bought the august 31st haven't even…"/>
        <s v="I think you are all fantastic A+++++"/>
        <s v="I placed an order then nothing"/>
        <s v="What the heck?"/>
        <s v="Communication with PetFlow staff was…"/>
        <s v="Super prompt service!"/>
        <s v="YD CANNED CAT FOOD"/>
        <s v="Products were cheaper locally."/>
        <s v="Ordered prescription cat food that was…"/>
        <s v="Had what I was looking for"/>
        <s v="My order was canceled twice without an…"/>
        <s v="I have a rescue and wanted to give…"/>
        <s v="Awesome crate"/>
        <s v="order not fulfilled"/>
        <s v="Worst purchase experience ever"/>
        <s v="Dog Food Delivery"/>
        <s v="This site is legitimate"/>
        <s v="Simple ordering and quick delivery"/>
        <s v="Horrible communication and customer service …"/>
        <s v="Prescription wasn’t approved and I…"/>
        <s v="Fast very secure service"/>
        <s v="Nothing but good to say about petflow"/>
        <s v="Great to do business with"/>
        <s v="found z/d Hill's hypo"/>
        <s v="Wonderful and caring experience…"/>
        <s v="The ordering process was easy…however"/>
        <s v="If you want the very best for your beloved pet, trust PetFlow to deliver."/>
        <s v="Fast shipping &amp; best price when…"/>
        <s v="PetFlow offers competitive prices"/>
        <s v="I tried to order litter boxes for my…"/>
        <s v="Went from bad to worse"/>
        <s v="Good prices and relatively fast delivery"/>
        <s v="Thinking twice. :-("/>
        <s v="Everything was great!"/>
        <s v="Frustrated…"/>
        <s v="Completely satisfied!"/>
        <s v="Good service arrived when you said it…"/>
        <s v="My auto ship sat in processing status…"/>
        <s v="Too expensive. Delivered late."/>
        <s v="Two times I tried to order a particular…"/>
        <s v="This is the first time I used pet flow…"/>
        <s v="Great customer support and very fair…"/>
        <s v="good communication about delivery…"/>
        <s v="I am NOT Paul Weiler"/>
        <s v="No product"/>
        <s v="Good service ordered dog food and it…"/>
        <s v="My product never made it to my…"/>
        <s v="Shipping is outstanding!"/>
        <s v="Unhappy customer…"/>
        <s v="Called twice to check on my order"/>
        <s v="The cat food arrived on time"/>
        <s v="Satisfied Customer"/>
        <s v="Petflow A Good Pet Supply company"/>
        <s v="Petflow was so helpful in telling me…"/>
        <s v="Good products and prices, slooow delivery"/>
        <s v="My pet lovess"/>
        <s v="No one called me to tell me my order…"/>
        <s v="Fast"/>
        <s v="DOGGIE HEAVEN"/>
        <s v="Could have been worse"/>
        <s v="I am always happy with my orders from…"/>
        <s v="Happy experience"/>
        <s v="The site and purchase was fine"/>
        <s v="Customer Service helpful!"/>
        <s v="Shipping"/>
        <s v="The service at Pet Flow is very…"/>
        <s v="all good so far but what can i say…"/>
        <s v="I would give 5 stars but I had several…"/>
        <s v="Sent Expired Food!"/>
        <s v="My dog needed a prescription diet dog…"/>
        <s v="Unreliable source of diet food"/>
        <s v="I'm satisfied with the food but you…"/>
        <s v="Extremely poor and not to be trusted"/>
        <s v="Petflow has a great variety of foods"/>
        <s v="Dented dog food cans"/>
        <s v="Horrid experience"/>
        <s v="I love my dog's new collars"/>
        <s v="You are excellent"/>
        <s v="Denemarin available..."/>
        <s v="Pet Flow &quot;usually&quot; OKAY, not GREAT!"/>
        <s v="My vet could not get the prescription…"/>
        <s v="It was all pretty seamless"/>
        <s v="Large bag dry dog food"/>
        <s v="Looking all over for prescription wet…"/>
        <s v="Super fast shipping!"/>
        <s v="Had Great Experience with PetFlow!"/>
        <s v="Order was quickly shipped BUT order was…"/>
        <s v="No dog food for you!"/>
        <s v="I recently purchased a bag of dog food"/>
        <s v="Quick service &amp; delivery...."/>
        <s v="Shipping took entirely too long"/>
        <s v="Friendly folks"/>
        <s v="It took way too long to ship the food"/>
        <s v="I ordered product"/>
        <s v="Fraud Depoatment has flagged my…"/>
        <s v="Ghosted"/>
        <s v="You were unable to fill my order and…"/>
        <s v="Not worth the value"/>
        <s v="I ordered 3 bags of hills feline dry…"/>
        <s v="I ordered my cat a specialty cat food…"/>
        <s v="I called to cancel an order within 24…"/>
        <s v="I've been using Petflow for my furry…"/>
        <s v="Treat Shopping"/>
        <s v="CEazy-Peazyouldn't be much easier and a great…"/>
        <s v="Best customer service!!"/>
        <s v="Four Paws Up For Pet Flow"/>
        <s v="Awesome Dog Treats and Stellar Service"/>
        <s v="The website was easy to use"/>
        <s v="I'm pleased with the order process and…"/>
        <s v="They have the brands we feed our pets"/>
        <s v="Good prices, excellent service!"/>
        <s v="Prescription food showed &quot;in stock&quot; on…"/>
        <s v="I ordered my cat’s prescription food…"/>
        <s v="Everything has been great"/>
        <s v="My experience with PetFlow has been…"/>
        <s v="Good Web Site"/>
        <s v="My experience was good"/>
        <s v="I WAS AMAZED THAT THEY HAD THE SAME…"/>
        <s v="Fast and good service. We were running out of food"/>
        <s v="Convenient and prices are very good"/>
        <s v="Easy to shop"/>
        <s v="Great Prices Speedy Delivery"/>
        <s v="Loved the website"/>
        <s v="The prescription cat food (wd) is out…"/>
        <s v="I have a dog that needs prescription…"/>
        <s v="Pleased with Petflow"/>
        <s v="Fast response and showed initiative"/>
        <s v="Prescription Cat Food"/>
        <s v="PetFlow is now my reliable go-to for pet food/supplies!"/>
        <s v="Disappointing service"/>
        <s v="One thing I really love Petflow is they…"/>
        <s v="Was able to order special food for my…"/>
        <s v="Quick and easy"/>
        <s v="Terrible Service &amp; Communication!"/>
        <s v="Good first experience"/>
        <s v="Change future order"/>
        <s v="Large,heavy food bag delivery"/>
        <s v="Bad follow-up after placing an order"/>
        <s v="Terrible company with issues"/>
        <s v="Terrific!"/>
        <s v="Good duck, mediocre salmon"/>
        <s v="You're really great"/>
        <s v="Fast delivery, good prices"/>
        <s v="The in-stock status of food was…"/>
        <s v="I have used petflow for a long time"/>
        <s v="First time shopper"/>
        <s v="Finally found a source for the Hills…"/>
        <s v="Treats were hits with dog and cats."/>
        <s v="This company has labeled me as fraud…"/>
        <s v="You make getting dog food a breeze"/>
        <s v="Working with PetFlow was wonderful"/>
        <s v="Nice people and great service."/>
        <s v="I ordered a prescription diet for my dog"/>
        <s v="Accurate, fast, good quality"/>
        <s v="Always such quick service and exactly…"/>
        <s v="The website is organized and works…great service."/>
        <s v="I ordered 2 bags of Hills Science Diet…"/>
        <s v="Kudos for PetFlow"/>
        <s v="Everything was great"/>
        <s v="I had issues with my order"/>
        <s v="We ordered product and after two days…"/>
        <s v="exact product I was looking for and at…"/>
        <s v="Great price. Fast delivery"/>
        <s v="This was my first time ordering from…"/>
        <s v="Your Shipping time was 3x as long as…"/>
        <s v="food order took a long time to arrive"/>
        <s v="when i ordered said in stock,,then i…"/>
        <s v="Another satisfied customer"/>
        <s v="Always correct and on time"/>
        <s v="Terrible experience…"/>
        <s v="Delivery"/>
        <s v="Wouldn't allow me to place an order"/>
        <s v="Failed to Meet Promises"/>
        <s v="Slow delivery, bad tracking updates"/>
        <s v="Very happy with service they provided."/>
        <s v="Awesome experience"/>
        <s v="Great!"/>
        <s v="Petflow has great pricing and service"/>
        <s v="I wasn’t happy when they told me they…"/>
        <s v="Unable to get product"/>
        <s v="I’ve shopped with Petflow for years"/>
        <s v="I can't actually manage autoship"/>
        <s v="Disappointed in your service Was told…"/>
        <s v="First but not last order !"/>
        <s v="My canned dog came dented"/>
        <s v="They did not fulfill any of my orders"/>
        <s v="Best prices!"/>
        <s v="Always easy to work with"/>
        <s v="Great,prompt service"/>
        <s v="Delivery is quick and accurate"/>
        <s v="Received quickly &amp; packaged well."/>
        <s v="Very pleased"/>
        <s v="My order was shipped on August 4"/>
        <s v="Very good product and fast shipping"/>
        <s v="I don’t think I will take a risk…"/>
        <s v="Unfortunately incorrect stock listed"/>
        <s v="Best Dog Food Subscription service"/>
        <s v="Horrible experience"/>
        <s v="My order showed food was in stock"/>
        <s v="Fast and reliable"/>
        <s v="I recommend."/>
        <s v="On the website"/>
        <s v="Great company. Out of stock not their fault."/>
        <s v="Very disappointing"/>
        <s v="Fabulous"/>
        <s v="Zero star Review…"/>
        <s v="I requested my auto ship arrive early…"/>
        <s v="Prices were good and all items arrived…"/>
        <s v="You don't deliver parcels."/>
        <s v="No delivery after 12 days"/>
        <s v="You guys suck"/>
        <s v="Unreliable, disappointing"/>
        <s v="the shipper had damaged the box of dog…"/>
        <s v="PetFlow's what the cats need"/>
        <s v="I’ve recently moved and I was…"/>
        <s v="Very helpful service over the via phone"/>
        <s v="Never heard from you guys"/>
        <s v="Try Them"/>
        <s v="Online order-paying-shipping was great"/>
        <s v="Terrible customer service and company…"/>
        <s v="this is a place where they have fair…"/>
        <s v="I asked to be shipped on a Monday."/>
        <s v="Everything was great!!"/>
        <s v="I am happy with petflow"/>
        <s v="Past orders have been good until now."/>
        <s v="Where is the rest of my order?"/>
        <s v="Glucose diet for 17 year old cat…"/>
        <s v="Fast good service no hassle"/>
        <s v="Very bothersome"/>
        <s v="Happy kitties"/>
        <s v="Ordering was easy enough"/>
        <s v="Great prices and fast shipping."/>
        <s v="CO CANCELLED ORDER WITHOUT NOTIFYING ME"/>
        <s v="Prices were fair and shipment came in …"/>
        <s v="Good products at good prices and fast…"/>
        <s v="Great service, &amp; good prices"/>
        <s v="Petflow carries food that others don't…"/>
        <s v="dog food cans damaged"/>
        <s v="This is in reference to my order"/>
        <s v="Customer service wouldnt help located…"/>
        <s v="My cats love this food"/>
        <s v="ecxellent"/>
        <s v="My pups really like the Dr Marty food"/>
        <s v="Need better boxes to ship in."/>
        <s v="Easy to navigate around the site"/>
        <s v="The food I needed was in stock when I…"/>
        <s v="Is it in stock or not?"/>
        <s v="Easy to,order"/>
        <s v="Started our automatic delivery program"/>
        <s v="The initial order went great"/>
        <s v="Reliable repeat order program"/>
        <s v="Easy ordering and quick delivery"/>
        <s v="Petfow is consistently good overall"/>
        <s v="The best!"/>
        <s v="I have shopped Petflow for years but…"/>
        <s v="Deceptive Delivery Commitment"/>
        <s v="Above and Beyond Service!"/>
        <s v="Best prices and great service"/>
        <s v="Great Products!"/>
        <s v="The package arrived on time and…"/>
        <s v="Food went out of stock after purchasing"/>
        <s v="PF canceled order 8 days later"/>
        <s v="Very reliable"/>
        <s v="No supply chain issues here"/>
        <s v="Cats like food that was ordered"/>
        <s v="Disappointing Experience"/>
        <s v="Was out of the dogfood…"/>
        <s v="Packaging could be better and more protective"/>
        <s v="Everything was great…"/>
        <s v="Petflow always processes orders quickly…"/>
        <s v="Extremely poor packaging with using…"/>
        <s v="I ordered something out of stock"/>
        <s v="Review"/>
        <s v="Always have available merchandise"/>
        <s v="PetFlow has always been great and…"/>
        <s v="you got us the product"/>
        <s v="Timely order in good shape"/>
        <s v="Always easy &amp; convenient to order our…"/>
        <s v="Competitive prices and fast delivery"/>
        <s v="I appreciated the email stating the dog…"/>
        <s v="Great to deal with"/>
        <s v="My order was canceled."/>
        <s v="Misleading Information"/>
        <s v="Advertise products they don’t have!"/>
        <s v="Awful First Order Experience"/>
        <s v="Dishonest company"/>
        <s v="The Food You Need When You Need It"/>
        <s v="Great pricing, fast and easy"/>
        <s v="Shipment arrived right on time"/>
        <s v="Awesome customer service"/>
        <s v="cats don't like and they don't take…"/>
        <s v="Placed an order and it was at my door…"/>
        <s v="I'm disappointed with autoship"/>
        <s v="Great selection and price."/>
        <s v="Placed my order on July 12th &amp; I’m…"/>
        <s v="If there is an issue they will make things right!"/>
        <s v="customer service vs company policy"/>
        <s v="Petflow delivers to my DOOR"/>
        <s v="I have dealt with pet flow for over a…"/>
        <s v="I still have not received my order or a…"/>
        <s v="Worst pet online company"/>
        <s v="Mixed Experience"/>
        <s v="Great place to get prescription cat products"/>
        <s v="Ordered hard to get dog food"/>
        <s v="Great ."/>
        <s v="It to long to get then I only got 1/2…"/>
        <s v="Still has not yet shipped despite a 1-2…"/>
        <s v="Customer service very helpful"/>
        <s v="Thanks"/>
        <s v="They sent me a duplicate order and told…"/>
        <s v="Too much confusion...."/>
        <s v="Good value and Service"/>
        <s v="Birdfood"/>
        <s v="My orders were canceled and I didn't…"/>
        <s v="Good experience and they had what I…"/>
        <s v="Mostly good, but some dented cans"/>
        <s v="Only picked your website because of the…"/>
        <s v="Exceptional communication &amp; Deliver…"/>
        <s v="I ordered specific food"/>
        <s v="My order was canceled by you guys…"/>
        <s v="Appreciative of recent discount offered…"/>
        <s v="I am very satisfied with petflow"/>
        <s v="So happy I found this website"/>
        <s v="Great experience dealing with PetFlow"/>
        <s v="I know it's a specialty food"/>
        <s v="Order was processed very quickly and…"/>
        <s v="This was my first order with PetFlow"/>
        <s v="Will order again"/>
        <s v="My cat has a very sensitive system and…"/>
        <s v="Long time returning customer- love this…"/>
        <s v="Great service with competitive prices"/>
        <s v="What was that dog food???"/>
        <s v="Excellent selection"/>
        <s v="Readily replaced an item damaged in…"/>
        <s v="Had the quality brands need at best…"/>
        <s v="Wonderful service"/>
        <s v="Picky Eaters Approved! (And bonus: scratch resistant)"/>
        <s v="I have been using PetFlow for over 10…"/>
        <s v="Trustworthy company"/>
        <s v="Took 8 days for delivery!"/>
        <s v="Delivery is fast my cats love hills cat…"/>
        <s v="Order was slow to deliver."/>
        <s v="Quick customer service"/>
        <s v="I called to change an order for a later…"/>
        <s v="Easy ordering and prompt delivery"/>
        <s v="Ordered with a coupon"/>
        <s v="Only received half of our order"/>
        <s v="Lost Order"/>
        <s v="Placed my first order"/>
        <s v="So great and will help if there is a…"/>
        <s v="Everything came quickly &amp; good prices."/>
        <s v="A few things went wrong"/>
        <s v="Will use PetFlow again."/>
        <s v="It was great"/>
        <s v="Have been using PerFlow for several…"/>
        <s v="Large elevated dog bathing station.. Rated AR 125 pou d dog.Product is a little light for 100 pound…"/>
        <s v="PetFlow has always been easy to use and…"/>
        <s v="Find anything here"/>
        <s v="Unhappy w/lack of effort to fill vet's script for Hills diet food for kidney issues!!"/>
        <s v="PetFlow is awesome"/>
        <s v="PetFlow website is very easy to…"/>
        <s v="I WILL NEVER ORDER FROM PETFLOW AGAIN"/>
        <s v="I have three auto ships over the past…"/>
        <s v="Every order I place gets cancelled due…"/>
        <s v="Ordered prescription cat food"/>
        <s v="Pet flow is the worst place to get your…"/>
        <s v="Some ways to go"/>
        <s v="Easy order process and set up of…"/>
        <s v="Very happy with"/>
        <s v="Misleading stocked item"/>
        <s v="I'm happy with the product that I…"/>
        <s v="ORDER CONFUSION"/>
        <s v="One happy dog"/>
        <s v="Fast and easy service and carry my dogs brand"/>
        <s v="Your company led me on to beleive the…"/>
        <s v="Petflow is good to go!!!"/>
        <s v="Backorders and cancellations…"/>
        <s v="Originally my order was to ship on July…"/>
        <s v="Highly Recommended"/>
        <s v="Fast shipping with sturdy packaging"/>
        <s v="Ordered wet dog food"/>
        <s v="Very satisfied with PetFlow"/>
        <s v="I order my cat food and it arrived…"/>
        <s v="We needed a certain Vet Approved Cat…"/>
        <s v="I suppose I purchased something"/>
        <s v="I love that this site carries Fromm…"/>
        <s v="Box arrived damaged, but contents ok."/>
        <s v="I got what I ordered but it took ten…"/>
        <s v="Great experience with this company"/>
        <s v="Good price, sloppy delivery"/>
        <s v="Bogus Claims"/>
        <s v="I was very disappointed!!"/>
        <s v="They had my cat's prescription diet in…"/>
        <s v="The worst place I have ever ordered from"/>
        <s v="Ordered it one day and had it the next"/>
        <s v="Godzilla sized Cockroach in package."/>
        <s v="My order arrived on the scheduled date…"/>
        <s v="Long-time Customer"/>
        <s v="It was very disappointing to have my…"/>
        <s v="Shopping was easy"/>
        <s v="They replaced a damaged bag of dog food promptly!"/>
        <s v="Never received what I ordered"/>
        <s v="I am very happy with the services I…"/>
        <s v="I ordered puppy food and was given…"/>
        <s v="Had what I needed"/>
        <s v="I was impressed by how fast I got that…"/>
        <s v="Heads Up Would Be Nice"/>
        <s v="Great price and good product"/>
        <s v="I order on a regular basis"/>
        <s v="Good supply of hard-to-find food"/>
        <s v="I was looking for the cheapest price on…"/>
        <s v="Prices are great and shipping is fast…"/>
        <s v="Received food promptly"/>
        <s v="Petflow has the cat food that I prefer"/>
        <s v="PetFlow is always on point with my…"/>
        <s v="I had the perfect PetFlow experience!!"/>
        <s v="I received my order but shorrt 3 little…"/>
        <s v="Love the selection and convenience of…"/>
        <s v="Great service and delivery was fast."/>
        <s v="Unable to ship a pet food product after…"/>
        <s v="Delivery service is exceptional."/>
        <s v="PetFlow consistently exceeds expectations"/>
        <s v="Pleasantly pleased with Petflow"/>
        <s v="Reputable company"/>
        <s v="Convenience turned inconvenient"/>
        <s v="Fast an easy"/>
        <s v="Avoderm found at last"/>
        <s v="Product was perfect"/>
        <s v="As always"/>
        <s v="Very quick response and shipping"/>
        <s v="Great product selection and order…"/>
        <s v="I am not sure about your products coz…"/>
        <s v="Fantastic as always."/>
        <s v="Happy dog = Happy mom"/>
        <s v="Thank you!!"/>
        <s v="highly recommend"/>
        <s v="Had the cat food I needed just before I…"/>
        <s v="Always helpful"/>
        <s v="Delivery was fast in spite of coming…Service"/>
        <s v="Great Shop"/>
        <s v="Excellent customer service solving an…"/>
        <s v="Satisfied with NutriSource dry dog food…"/>
        <s v="Great service!!"/>
        <s v="Good service I like how they keep you…"/>
        <s v="We appreciate PetFlow!"/>
        <s v="Awesome"/>
        <s v="Fast and efficient ordering!"/>
        <s v="Thank you for sending fresh treats!!!"/>
        <s v="Quick shipment"/>
        <s v="First time using PetFlow I received the…"/>
        <s v="I just changed Vets so if I am still…"/>
        <s v="Very easy to order"/>
        <s v="User friendly website"/>
        <s v="Easy website to navigate...quick…"/>
        <s v="My kitty was diagnosed with kidney…"/>
        <s v="They had what I was looking for and the…"/>
        <s v="NutriSource Small &amp; Medium Breed Puppy…"/>
        <s v="The product was available"/>
        <s v="I like that it's compact and doesn't…"/>
        <s v="Great selection and prices"/>
        <s v="In this instance"/>
        <s v="Bad service"/>
        <s v="fast and excellent service"/>
        <s v="Has the products I need"/>
        <s v="Great communications"/>
        <s v="The company did not ship my pet food"/>
        <s v="I have recently had a bad experience…"/>
        <s v="Easy online ordering and super fast…"/>
        <s v="Very efficient and convenient to have…"/>
        <s v="Order delay"/>
        <s v="I love Petflows auto delivery system"/>
        <s v="Love Pet flow great customer service!"/>
        <s v="Concerns about shipping via FedEx"/>
        <s v="Perfect transaction"/>
        <s v="I ordered veterinary dog treats so gave…"/>
        <s v="Great price....super service"/>
        <s v="We have ordered through PetFlow a few…"/>
        <s v="Always used chewy"/>
        <s v="I have enjoyed the quick response."/>
        <s v="Very fast and easy shipment of dog food…"/>
        <s v="Petflow was easy and fast to respond…if you want easy and fast order through petflow"/>
        <s v="My order was correct and received very…"/>
        <s v="Perfect!!"/>
        <s v="Poor Standards, outdated product"/>
        <s v="There for my kitties when we needed it"/>
        <s v="Love it!"/>
        <s v="I’ve been having a hard time finding…"/>
        <s v="Easy site to navigate"/>
        <s v="the product dog food is excellent my…"/>
        <s v="I was impressed by the selection"/>
        <s v="Order was correct"/>
        <s v="A pleasant surprise"/>
        <s v="My go-to for pet supplies"/>
        <s v="Clearly not “in stock”"/>
        <s v="Dogs Love it!"/>
        <s v="Too Many Great Things to Say"/>
        <s v="Never received my order 10179757"/>
        <s v="Item said in stock when it wasn't."/>
        <s v="great way to buy my dog's food products…"/>
        <s v="Incredible rude and out of touch…"/>
        <s v="Packing"/>
        <s v="Reasonably effective but annoyingly…"/>
        <s v="Got my online order very quickly and…"/>
        <s v="PetFlow Always Delivers!!!"/>
        <s v="After hunting high and low through my…"/>
        <s v="We needed a shipping kennel."/>
        <s v="My first order and I was mailed wrong…"/>
        <s v="Your new source!"/>
        <s v="Good time on delivery"/>
        <s v="Quick turn around shipping"/>
        <s v="Great selections and ongoing discounts"/>
        <d v="2022-06-19T00:00:00Z"/>
        <s v="pet food"/>
        <s v="Please don’t say you have something in…"/>
        <s v="shipped immediately. Dog loves it!"/>
        <s v="The best service and prices"/>
        <s v="Amazing prices"/>
        <s v="Fast Shipping &amp; Price is Good"/>
        <s v="Triple check your cart"/>
        <s v="Good choices, good prices, fast shipping"/>
        <s v="Crushed Treats"/>
        <s v="Great products and very good customer…"/>
        <s v="PetFlow has the best prices"/>
        <s v="My 1st package was received missing…"/>
        <s v="Pet flow has great Customer service!"/>
        <s v="Petflow came through for me when I…"/>
        <s v="Awesome product and fast shipping!"/>
        <s v="Twice now I have ordered preacription…"/>
        <s v="Good company!"/>
        <s v="Generally I’ve been very pleased"/>
        <s v="My cat's food was listed as in stock on…"/>
        <s v="Delivery was delayed"/>
        <s v="Happy Customer!"/>
        <s v="Outstanding price for what I ordered"/>
        <s v="Fast shipping and excellent price."/>
        <s v="Lacking Customer Service and Knowledge of stock"/>
        <s v="The dog food we need is hard to find"/>
        <s v="I’m a little disappointed with Petflow"/>
        <s v="Fantastic!"/>
        <s v="My order was processed very slowly…"/>
        <s v="Terrible experience."/>
        <s v="naturvet yellow to green lawn spray"/>
        <s v="Petflow ran out of dog food in my area…"/>
        <s v="I got the food the quickest out of any…"/>
        <s v="Items not in stock as advertised"/>
        <s v="Food bags are always intact"/>
        <s v="So far so good."/>
        <s v="Great customer service and fast shipping."/>
        <s v="Great variety"/>
        <s v="Five Stars"/>
        <s v="Waste of Time"/>
        <s v="I've used PetFlow for my boy's food…"/>
        <s v="Inventory shortage"/>
        <s v="I have been very happy with PetFlow"/>
        <s v="They were great to work with!"/>
        <s v="The pups love the new food we found on…"/>
        <s v="They had everything in stock and was…"/>
        <s v="Great place to buy our pet supplies"/>
        <s v="Always great to do business with"/>
        <s v="I waited over a week for your pharma…"/>
        <s v="I was really pleased that u had the…"/>
        <s v="in need of food for my cat with diabetes"/>
        <s v="Worst Experience with Pet flow"/>
        <s v="I never received my purchase"/>
        <s v="Ordered prescription dog food you said…"/>
        <s v="The shipping box isn’t strong"/>
        <s v="I placed an order for Hills…"/>
        <s v="My order keeps getting cancelled"/>
        <s v="your phone reps have always been very…"/>
        <s v="Working hard for you and your pet!"/>
        <s v="Request for refund was denied"/>
        <s v="Never order from here"/>
        <s v="Petflow has what I need and delivery is on time"/>
        <s v="Improve Order Fulfillment Times"/>
        <s v="Your orders have all been fast and with…"/>
        <s v="Great price / fast shipping / great…"/>
        <s v="Better prices than elsewhere"/>
        <s v="Wanted to try another pet food home…"/>
        <s v="Prices fair but shipping times have…"/>
        <s v="Great and quick shipping"/>
        <s v="I love the variety of high quality…"/>
        <s v="Don’t even bother"/>
        <s v="Misleading and Rude"/>
        <s v="cancelled my orders"/>
        <s v="Great customer service, slow shipping and handling"/>
        <s v="It's ok"/>
        <s v="I ordered prescription pet food for my…"/>
        <s v="This is my third order"/>
        <s v="Always holds the inventory and deliver…"/>
        <s v="Worst customer service"/>
        <s v="CatLover"/>
        <s v="Excellent Service and Timely…"/>
        <s v="I am so impressed with not only how…"/>
        <s v="I am new to Petflow"/>
        <s v="I like using PetFlow and other sites…"/>
        <s v="In stock, but not really…"/>
        <s v="Always the highest quality products &amp;…"/>
        <s v="Petflow had what I needed in special…"/>
        <s v="Good service and a fair price"/>
        <s v="Wonderful experience"/>
        <s v="I have been ordering from Petflow for…"/>
        <s v="Shipping is so slow compared to Chewy"/>
        <s v="I have had nothing but positive…"/>
        <s v="Very prompt service and fair pricing."/>
        <s v="PetFlow was the only source for…"/>
        <s v="Fedex took more than a week to deliver."/>
        <s v="Customer service was not friendly"/>
        <s v="Lost FED X Order"/>
        <s v="Petflow is a good company to buy cat…"/>
        <s v="Found what I needed"/>
        <s v="Products in stock"/>
        <s v="Excellent alternative to Chewy."/>
        <s v="After reading many reviews I cancelled…"/>
        <s v="Great price and shipped well and…"/>
        <s v="Only cools for 15 minutes at best"/>
        <s v="The pharmacy said my dogs food wasn’t…"/>
        <s v="Badly Dented Dog Cans Again"/>
        <s v="Great service and good prices."/>
        <s v="I had the opportunity to subscribe"/>
        <s v="Shipped quick"/>
        <s v="Petflow auto-ship is awesome!"/>
        <s v="works well but no instructions on how…"/>
        <s v="Great price and quick shipping of the…"/>
        <s v="Easy easy easy"/>
        <s v="Great Service for the buck and Great…"/>
        <s v="The Most Wonderful Customer Service"/>
        <s v="I love the company and the fact that…"/>
        <s v="Good selection of products"/>
        <s v="had the product in stock"/>
        <s v="Items not as advertised even after…"/>
        <s v="Had an issue with my order"/>
        <s v="Pet flow always has the dog food in…"/>
        <s v="Best pet food store ever!"/>
        <s v="Fromm dog food is so awesome"/>
        <s v="Love there products and service."/>
        <s v="Poorly packaged for shipment"/>
        <s v="Fast deliveries and one of the few…"/>
        <s v="I ordered cat food on 5-18 and FedEx…"/>
        <s v="We love using PetFlow for our pets…"/>
        <s v="They had the food I had been searching…"/>
        <s v="Super great company with fast service…"/>
        <s v="Awesome company!"/>
        <s v="Excellent products and outstanding…"/>
        <s v="Excellent value and service"/>
        <s v="Petflow has the products I need and…"/>
        <s v="Every one at Pet Flow was extremely…"/>
        <s v="When I ordered they knew they were out…"/>
        <s v="I was so happy to find my pet food in…"/>
        <s v="Ordered dog food"/>
        <s v="Contact the State AG in Nevada"/>
        <s v="Ordered cat food"/>
        <s v="Fast delivery and quality product"/>
        <s v="I ordered dry cat food that you said…"/>
        <s v="Very easy ordering and quick delivery!"/>
        <s v="Good service good pet supplies"/>
        <s v="Ordered M/D dry cat food and you…"/>
        <s v="Having to contact support to cancel an…"/>
        <s v="This is the first time using PetFlowfast"/>
        <s v="Scam site"/>
        <s v="I like Pet Flow and the convenience of…"/>
        <s v="Placed an order for prescription pet food"/>
        <s v="I was trying to order prescription cat…"/>
        <s v="I have plenty (too much) food right…"/>
        <s v="I trust them"/>
        <s v="So glad I found PetFlow!"/>
        <s v="My total order was to receive 15%…"/>
        <s v="Have always had good service from…"/>
        <s v="Keep posting that they have Hill…"/>
        <s v="I have only received part of my order…"/>
        <s v="Great prices, fast shipping!"/>
        <s v="I have ordered only once from Flowpet…"/>
        <s v="Ordered special diet 10 days and…"/>
        <s v="Very friendly and knowledgeable people…"/>
        <s v="It is easy to change my order"/>
        <s v="I buy again and again"/>
        <s v="I placed my order from Canada and dealt…"/>
        <s v="Great service at PetFlow"/>
        <s v="Always ships quickly and arrives…"/>
        <s v="Took way to long to get here"/>
        <s v="This is a great company"/>
        <s v="Have been waiting in my prescription…"/>
        <s v="My dog is on RX dog food Hills Science…"/>
        <s v="I have purchased many Milk Bone pill…"/>
        <s v="Cancelled my order"/>
        <s v="Always delivered promptly"/>
        <s v="Received my product of prescription…"/>
        <s v="Pet flow has been very reliable"/>
        <s v="Very good service and fast delivery,I…"/>
        <s v="Items arrived quickly"/>
        <s v="Friendly"/>
        <s v="Efficient fast shipping and great…"/>
        <s v="Very happy with products"/>
        <s v="Puppy Food Found"/>
        <s v="Staff is very friendly and helpful"/>
        <s v="The constant urging to use &quot;auto-ship&quot;…"/>
        <s v="I tried to purchase prescription cat…"/>
        <s v="Impressed!"/>
        <s v="Easy to navigate site"/>
        <s v="My second order experience was just as…"/>
        <s v="I like the people and the products"/>
        <s v="Awesome service, selection, pricing and shipping!!"/>
        <s v="Excellent availability of products"/>
        <s v="So easy to order my pet's prescription…"/>
        <s v="I was searching for a specific food for…"/>
        <s v="I received my product before the…"/>
        <s v="Excellent service and product!!!!"/>
        <s v="When the package came everything was so…"/>
        <s v="Petflow had the dog food that I needed…"/>
        <s v="PetFlow came through"/>
        <s v="Coupons, discounts and lots of food/treat options!"/>
        <s v="Delivery was okay"/>
        <s v="Items not really in stock"/>
        <s v="Always helpful and answer my questions…"/>
        <s v="Easy to use"/>
        <s v="my order is always on time and very…"/>
        <s v="I made a large order"/>
        <s v="I love the service petflow provides"/>
        <s v="It took a week to find out the product I ordered wasn’t ieven in stock."/>
        <s v="No notifications"/>
        <s v="Great customer service and I really…"/>
        <s v="Great site for dog supplies"/>
        <s v="Tops in customer service"/>
        <s v="With the price of dog food getting more…"/>
        <s v="Always arriving promptly and the…"/>
        <s v="THE BEST PLACE TO PURCHASE ALL OF MY…"/>
        <s v="This was my first time using the site…"/>
        <s v="My ordered was submitted then cancelled…"/>
        <s v="Ordered hard to find diabetic cat food…"/>
        <s v="Products are good but the ones I wanted…"/>
        <s v="Great product and Transaction"/>
        <s v="I was very disappointed"/>
        <s v="Grateful for better prices"/>
        <s v="My cat likes the Friskies sensation cat…"/>
        <s v="Orders are accurate and delivered on…"/>
        <s v="Gast delivery and good price!"/>
        <s v="I've only used PetFlow once, but now, a happy and returning customer!"/>
        <s v="Frustrated with the lack of customer…"/>
        <s v="Great Items and Fast Delivery"/>
        <s v="Products ordered came quickly and…"/>
        <s v="We have shopped with Pet Flow for about…"/>
        <s v="Ready for some Captain's Plate"/>
        <s v="Always have what I need."/>
        <s v="Good selection of quality products!"/>
        <s v="Every order I have placed has been…"/>
        <s v="I’m very disappointed as the item u…"/>
        <s v="Fast delivery and they carry what I…"/>
        <s v="Petflow was very easy to order from and…"/>
        <s v="I've used PetFlow on and for 17+ years"/>
        <s v="I am always skeptical when ordering…"/>
        <s v="I successfully ordered Prescription…"/>
        <s v="PetFlow order experience"/>
        <s v="Love their service."/>
        <s v="Efficient and easy to use"/>
        <s v="Canceling orders again and again."/>
        <s v="Could not purchase in the end"/>
        <s v="Great product and packaging."/>
        <s v="I love the service I receive when I…"/>
        <s v="Order cancelled"/>
        <s v="PetFlow was a great shopping…"/>
        <s v="Hills Prescription Diet"/>
        <s v="My experience wasn't what I'd hoped"/>
        <s v="Great quality of products and super…"/>
        <s v="Perfect"/>
        <s v="When I was given a prescription for my…"/>
        <s v="Orders are shipped quickly"/>
        <s v="The products that I ordered were as…"/>
        <s v="I had never ordered from Pet flow…"/>
        <s v="I enjoyed finally finding a website…"/>
        <s v="I ordered a large pet carrier and was…"/>
        <s v="Received puppy food as ordered"/>
        <s v="Fast efficient service at a good price!"/>
        <s v="dog treats"/>
        <s v="I'm SO Thankful that I found PetFlow!!"/>
        <s v="PetFlow usually has products other…"/>
        <s v="Inaccurate Advertising"/>
        <s v="Great transaction"/>
        <s v="Quality"/>
        <s v="When i had a problem you fixed it fast"/>
        <s v="High quality clean and viable bird seed for a reasonable price."/>
        <s v="I’ve always had a great experience w…"/>
        <s v="Only place I could get this Hill's…"/>
        <s v="Petflow customer service agents are…"/>
        <s v="Service and customer service is…"/>
        <s v="This was my first time purchasing from…"/>
        <s v="Easy to order online &amp; customer service…"/>
        <s v="Overall excellent products and service"/>
        <s v="In love with Pet Flow"/>
        <s v="Was very disappointed with shipping…"/>
        <s v="While I wish Petflow did not use FedEx…"/>
        <s v="PetFlow has great pricing and fast…"/>
        <s v="Super easy to order from and they…"/>
        <s v="Quick Order and Script Process"/>
        <s v="The Petflow site was easy to navigate &amp; the price was right"/>
        <s v="happy with my order"/>
        <s v="The case of Hill ID Digestive care arrived damaged…"/>
        <s v="I placed an order for a second time…"/>
        <s v="Quick Iams cat food shipping"/>
        <s v="Very fast service."/>
        <s v="NOT A TRUSTWORTHY, RELIABLE AND HONEST VENDOR."/>
        <s v="took longer than we thought"/>
        <s v="This was a remarkable experience"/>
        <s v="Your service is terrible"/>
        <s v="Product packed well"/>
        <s v="Easy to order through my vet and super…"/>
        <s v="The product came on time and as…"/>
        <s v="We are now 7 days beyond the promised…"/>
        <s v="First time I ordered from Pet Flow"/>
        <s v="Website lies about stock"/>
        <s v="I was told to mail in the prescription…for a product they did not have"/>
        <s v="PetFlow has always delivered when…"/>
        <s v="Very happy with the experience!"/>
        <s v="Wrong address but quickly resolved"/>
        <s v="Quick shipping and responsive staff to…"/>
        <s v="Seemed to take a long time from order…"/>
        <s v="Needed to return a bag of cat food that…"/>
        <s v="Cat food arrived promptly."/>
        <s v="Fantastic service"/>
        <s v="Outstanding service! Competitive pricing!"/>
        <s v="I have discovered petflow to be a…blessing"/>
        <s v="REALLY GOOD PRODUCTS"/>
        <s v="Confused but satisfied"/>
        <s v="I went with PetFlow for our dog's food…"/>
        <s v="Ordering was very easy and they had a…"/>
        <s v="My latest order of two 15 pound bags of…"/>
        <s v="Unfortunate"/>
        <s v="Very pleased for many years"/>
        <s v="Items out of stock again"/>
        <s v="Happy to find PetFlow"/>
        <s v="They got my cat food and the order and delivery went thru smoothly and on time."/>
        <s v="Got the wrong product"/>
        <s v="I place a large order for dog and cat…"/>
        <s v="Website description should change"/>
        <s v="Perfect Kitten Feeding Bowls"/>
        <s v="My order was cancelled because my vet…"/>
        <s v="Please don’t show products as available if they’re not.."/>
        <s v="Website doesn't update for Out of Stock"/>
        <s v="Get my name right"/>
        <s v="Great Price and Reliable Shipping"/>
        <s v="Absolutely terrible"/>
        <s v="Always get what I order in a timely…"/>
        <s v="They executed the order beautifully"/>
        <s v="One of the few places that has grain…"/>
        <s v="The product I ordered was shipped and…"/>
        <s v="I was lied to from customer service"/>
        <s v="Your delivery is exceptional"/>
        <s v="Easy, Great, Fast"/>
        <s v="Always have what I need and receive it…"/>
        <s v="You take orders for items you dont have, why?"/>
        <s v="Order filled promptly and delivered…"/>
        <s v="Communication issues"/>
        <s v="Shipping quick and correct"/>
        <s v="You are sending me the wrong food."/>
        <s v="Easy, Convenient Service"/>
        <s v="My dog now needs kidney support food"/>
        <s v="Very quick service"/>
        <s v="Advertised dog food they didn't have"/>
        <s v="I ordered food and have been waiting…"/>
        <s v="I ordered a type of prescription dry…"/>
        <s v="Awesome company"/>
        <s v="Item showed in stock"/>
        <s v="When I order it says you have product"/>
        <s v="We have ordered dog &amp; puppy food from…"/>
        <s v="Product bought as advertised"/>
        <s v="Poor communication."/>
        <s v="Ordered but had to update my credit…"/>
        <s v="5 stars excellent service"/>
        <s v="Listing for sale out-of-stock merchandise"/>
        <s v="One of the kitty litter bags had small…"/>
        <s v="This was a good experience overall"/>
        <s v="PetFlow has everything I need!"/>
        <s v="Never received the product"/>
        <s v="I love Petflow.com because they are not…"/>
        <s v="Efficient"/>
        <s v="Your customer service was super!"/>
        <s v="Great competitive pricing"/>
        <s v="Customer service was easy to get in…"/>
        <s v="A pleasure to do business with!!"/>
        <s v="The item I ordered was ( and still is )…"/>
        <s v="Damaged Goods"/>
        <s v="Late delay of order"/>
        <s v="I am very satisfied with Petflo and the…"/>
        <s v="I will start by saying they ALWAYS have…"/>
        <s v="Fast delivery and great prices!"/>
        <s v="High quality difficult to find dog food…"/>
        <s v="I looked Everywhere for this particular Cat Food...."/>
        <s v="I have used Pet Flow foe about 12…"/>
        <s v="Always easy ordering with fast delivery!"/>
        <s v="They kept messing my order up double…"/>
        <s v="On my first order"/>
        <s v="Shipping was not as quick as it said"/>
        <s v="Shipping is fast and dog food is fresh!happy customer"/>
        <s v="Quite frankly"/>
        <s v="I chatted with a rep to see if Petflow…"/>
        <s v="Had a difficult time find the dog food…"/>
        <s v="You charged me for prescription cat…"/>
        <s v="One of the few sites that has Fromm dog…"/>
        <s v="Fair prices and very fast free…"/>
        <s v="Fair prices"/>
        <s v="prescription dog food - nonavailability"/>
        <s v="Excellent service."/>
        <s v="Large breed dog food"/>
        <s v="Fed Ex poor service. Very unhappy"/>
        <s v="Ordered two items but only one was…"/>
        <s v="I am unable to cancel my automatic…"/>
        <s v="Found hard to find food here"/>
        <s v="My order did not arrive on time and my…"/>
        <s v="Hard to Find Cat Food in Stock"/>
        <s v="Petflow for me"/>
        <s v="Right in time delivery"/>
        <s v="Great user friendly site"/>
        <s v="I placed my order for my dogs kibble"/>
        <s v="PetFlow makes it easy"/>
        <s v="I received the wrong size canned dog…"/>
        <s v="Do not buy!!"/>
        <s v="Able to get hard to find prescription dog food"/>
        <s v="Excellent customer service and…"/>
        <s v="The order was shipped quickly"/>
        <s v="Hands down the best choice for suppling your Pets!"/>
        <s v="I needed an addition to my regular…"/>
        <s v="I've been a customer of Petflow for 5…"/>
        <s v="Best company to deal with"/>
        <s v="Love buying from PetFlow"/>
        <s v="Great online store."/>
        <s v="False advertisement"/>
        <s v="My cat Willie"/>
        <s v="Fairly Happy Customer"/>
        <s v="I thought it took to long to receive my…"/>
        <s v="Hands down the best price in bulk cow…"/>
        <s v="No shipment yet"/>
        <s v="I was looking for a place that sold the…"/>
        <s v="I have been trying to find a…"/>
        <s v="Easy to navigate web site"/>
        <s v="The shelves were bare for the cat food…"/>
        <s v="Treats expired"/>
        <s v="No other supplier had this cat food"/>
        <s v="I am a returning customer"/>
        <s v="I couldn’t find my Yellow Lab her food…"/>
        <s v="PetFlow provides and delivers product…"/>
        <s v="Great customer service and very fast…"/>
        <s v="Great and fast service"/>
        <s v="Petflow has always come through on my…"/>
        <s v="A life saver"/>
        <s v="Our order shipped so fast"/>
        <s v="Great price on the right product"/>
        <s v="Very hard to find my dog's prescription…"/>
        <s v="I truly love all the products"/>
        <s v="Great company to work with"/>
        <s v="Pleased with prices and selections"/>
        <s v="Best customer service"/>
        <s v="Fast shipping and great prices"/>
        <s v="My last order was supposed to be 100…"/>
        <s v="Vet approved"/>
        <s v="I never received my order"/>
        <s v="The entire process of getting my dog's…"/>
        <s v="Everything My Maltipoo needs"/>
        <s v="Your customer service team is fast"/>
        <s v="good pricing"/>
        <s v="Love PetFlow!"/>
        <s v="I am very satisfied with PetFlow feed…"/>
        <s v="A great find!!"/>
        <s v="First shipment of dog food was good"/>
        <s v="They had what I was looking for"/>
        <s v="Love the selection and the speedy…"/>
        <s v="DISAPPOINTED - I needed my prescription dog food."/>
        <s v="Petflow never fails to provide quick…"/>
        <s v="Customer service is the best!"/>
        <s v="They have the dog food I want at a…"/>
        <s v="Ordered Little Stinker pads"/>
        <s v="Fast ship"/>
        <s v="So far I have received nothing from PetFlow."/>
        <s v="I am pleased with the ease of ordering"/>
        <s v="Everything went very well!"/>
        <s v="Unreliable Transport"/>
        <s v="Ordered Hills Rx dog food"/>
        <s v="Excellent website that makes ordering…"/>
        <s v="Company Lies about availability"/>
        <s v="cat harness"/>
        <s v="Petflow is a solid choice!"/>
        <s v="All went well"/>
        <s v="Go to chewy!!"/>
        <s v="Good Price and Quick, Free Shipping"/>
        <s v="Great quick service"/>
        <s v="Excellent customer service."/>
        <s v="You showed 5.5 oz cans in the photo and…"/>
        <s v="This company took my order for…"/>
        <s v="Not much to add to the 5 stars"/>
        <s v="So far, I like it!"/>
        <s v="Petflow had our Hills prescription food…"/>
        <s v="Product in stock as needed and always…"/>
        <s v="Love the delivery subscription service"/>
        <s v="You keep on accepting my order and then…"/>
        <s v="Expected earlier notification"/>
        <s v="Service was awesome!"/>
        <s v="My fussy cat loves these treats!"/>
        <s v="Hills Dog Treats"/>
        <s v="Only 1 bag of rabbit cookies"/>
        <s v="Horrible customer service"/>
        <s v="Website is easy to navigate"/>
        <s v="Glad I found you"/>
        <s v="Hard to find cat food"/>
        <s v="Fantastic customer service"/>
        <s v="dog won't eat"/>
        <s v="My second time buying my pet food at…"/>
        <s v="Horrible experience."/>
        <s v="Petflow is great!"/>
        <s v="My pets place!!"/>
        <s v="I was able to find the food I needed for my cat…"/>
        <s v="I buy crickets very often"/>
        <s v="Very satisfied with my order"/>
        <s v="Ordered prescription food on a time…"/>
        <s v="My dogs love the Buffalo treats"/>
        <s v="They always have what my parrots need…"/>
        <s v="I was able to connect with customer…"/>
        <s v="Very user friendly process"/>
        <s v="Great customer service and prices!"/>
        <s v="Good products and good service and…"/>
        <s v="Love Pet Flow!"/>
        <s v="First shipment was short"/>
        <s v="Very happy you carry Verus- delivery is…"/>
        <s v="PetFlow was fantastic"/>
        <s v="A fast and well packed delivery."/>
        <s v="PetFlow Saved the Day"/>
        <s v="My vet recommended this website for my…"/>
        <s v="Have been a satisfied customer for a…"/>
        <s v="They were fast with the shipping and…"/>
        <s v="I have never had to wait so long for an…"/>
        <s v="I do like Pet Flow as my go to food…"/>
        <s v="I have purchased the Oxbow organic hay…"/>
        <s v="There is obviously a shortage on royal…"/>
        <s v="I have used Pet Flow for years and…"/>
        <s v="Impressed"/>
        <s v="I love PetFlow for great customer…"/>
        <s v="Petflow is a wonderful site for pet parents"/>
        <s v="Good service although a bit slower than…"/>
        <s v="This was my first time ordering with…"/>
        <s v="Had the product my babies needed"/>
        <s v="I get the same dog food every time"/>
        <s v="Normally I am very happy with PetFlow…"/>
        <s v="Fixed it"/>
        <s v="Fast shipping Not a big selection of…"/>
        <s v="All of my normal vendors were out of my…"/>
        <s v="I am very happy to have found…"/>
        <s v="Overall pleased with this purchase."/>
        <s v="After I gave my credit card info and…"/>
        <s v="The order process was great"/>
        <s v="Representative did not follow through"/>
        <s v="Excellent First-Time Experience"/>
        <s v="Good selection"/>
        <s v="Love love PetFlow"/>
        <s v="I was grateful to find Petflow because…"/>
        <s v="Only got partial order"/>
        <s v="Good service, competitive prices"/>
        <s v="Easy ordering...love getting the…"/>
        <s v="Great prices on Fromm dog food"/>
        <s v="I have shopped PetFlow for years and…"/>
        <s v="Wrong flavor food received"/>
        <s v="I have ordered from them only a couple…"/>
        <s v="Great new experience"/>
        <s v="Petflow shipments are ALWAYS late"/>
        <s v="Always helpful customer service"/>
        <s v="Price is reasonable. Slow delivery."/>
        <s v="I love the service"/>
        <s v="Pet-flow since they came online has…"/>
        <s v="PetFlow took care of my request and…"/>
        <s v="Great product Fail on FedEx ground…"/>
        <s v="PetFlow has been excellent with every…"/>
        <s v="Usually a 5 Dented"/>
        <s v="Right brands &amp; right help when needed"/>
        <s v="Competitive pricing"/>
        <s v="Positive experience"/>
        <s v="The only place I can consistently find…"/>
        <s v="I purchased an item online"/>
        <s v="Horrible buying experience"/>
        <s v="Wow Customer Service Fast and Genuine"/>
        <s v="Since there is a shortage of my dog's…"/>
        <s v="I would give it 5 stars"/>
        <s v="Easy to order and at a great price"/>
        <s v="Quick response time and friendly…"/>
        <s v="I like that Pet Flow is accurate with…my orders."/>
        <s v="Happy with the product however when I…"/>
        <s v="Very easy online ordering and pretty…"/>
        <s v="I ordered the dog food on March 5th"/>
        <s v="MISLEADING advertisement"/>
        <s v="My order arrived in a timely manner"/>
        <s v="Excellent price and service."/>
        <s v="Pet flow is guilty of false advertising"/>
        <s v="Botched dog food order"/>
        <s v="Best Company Ever!"/>
        <s v="Dog delicious"/>
        <s v="Good product selection"/>
        <s v="Package left out in the rain."/>
        <s v="I've been buying from PetFlow for years…"/>
        <s v="Service was good and efficient"/>
        <s v="PetFlow always comes through for me"/>
        <s v="Perfect timing to get my prescription…"/>
        <s v="Not happy with delivery time -"/>
        <s v="This is the only place that has my dogs…"/>
        <s v="You got always what I need for my pets…"/>
        <s v="Fantastic Shipping and pricing"/>
        <s v="Super slow at shipping"/>
        <s v="Excellent service delivery etc"/>
        <s v="Im so happy to have found you"/>
        <s v="Damaged box and bad customer service"/>
        <s v="Good prices and fast delivery!"/>
        <s v="Won’t order from you again!"/>
        <s v="Always got good service from PetFlow."/>
        <s v="Quality products at great prices and speedy delivery. What more could one want?"/>
        <s v="Product was great but delivery took 4…"/>
        <s v="You usually deliver quite quickly but…"/>
        <s v="Real quick in shipment and correct…"/>
        <s v="I've always had good experiences with…"/>
        <s v="3 times I have ordered from your…"/>
        <s v="The PetFlow folks are always helpful"/>
        <s v="Would not accept a copy of the…"/>
        <s v="I am very pleased with PetFlow .."/>
        <s v="Had the products I wanted and received…"/>
        <s v="Timely delivery and had my cat’s…"/>
        <s v="I did not hear from Pet Flow quickly…Oh well"/>
        <s v="I ordered a food which my pets really…"/>
        <s v="Great store"/>
        <s v="Excellent product quality"/>
        <s v="My dog was given dry dog food"/>
        <s v="The Best"/>
        <s v="They always seem to have our dogs food"/>
        <s v="I feel that if you sent the…"/>
        <s v="My products were delivered in a timely…"/>
        <s v="Great deal"/>
        <s v="I have been a customer of PerFlow for…"/>
        <s v="I was waiting for my order on 3/02/22"/>
        <s v="Website is ease to use"/>
        <s v="excellent prices"/>
        <s v="Received fast shipping on product and…"/>
        <s v="PetFlow had the food that I needed"/>
        <s v="Great shipping, very poor website interface"/>
        <s v="Very responsive and good products."/>
        <s v="The Beef Pizzle Steer Bully Sticks Dog…"/>
        <s v="Sorry to say goodbye"/>
        <s v="Easy to order and find items on your…"/>
        <s v="My dog food arrived quickly and was…"/>
        <s v="Prompt delivery every time!"/>
        <s v="First and last time ordering"/>
        <s v="Fast delivery of the perfect puppy food…"/>
        <s v="Bad business practice."/>
        <s v="Good fast reliable service."/>
        <s v="Better deals!"/>
        <s v="The lid on my automatic dog feeder and…"/>
        <s v="A very happy customer!"/>
        <s v="With shortage of pet food currently…"/>
        <s v="Prompt when shipping items in stock"/>
        <s v="Packaging was poorly done on feed bags"/>
        <s v="Happy with my purchase"/>
        <s v="Great products and fast delivery"/>
        <s v="It is helpful to have pet food…"/>
        <s v="Thanks for having the food I wanted…"/>
        <s v="Always reliable for stock and fast…"/>
        <s v="My order was shipped fast"/>
        <s v="Shipping is too long and items aren't…"/>
        <s v="Great first time buyer experience"/>
        <s v="For years I have been happy with…"/>
        <s v="What a GREAT Company"/>
        <s v="Some cans were damaged and dented"/>
        <s v="Not happy back order food"/>
        <s v="Hard to give a review when I haven't…"/>
        <s v="Quality Dog Food"/>
        <s v="They always have what I need in stock…"/>
        <s v="Love it"/>
        <s v="can't deliver"/>
        <s v="Every time I reach out to PetFlow"/>
        <s v="The cat food I bought to help my cat…"/>
        <s v="The Instinct dog food is great"/>
        <s v="When I order my food is always…"/>
        <s v="I really enjoy PetFlow"/>
        <s v="Expiration dates would be helpful"/>
        <s v="A Pleased New Customer"/>
        <s v="My first order and it was easy and…"/>
        <s v="Great customer service over the phone…"/>
        <s v="Very happy with the delivery process…"/>
        <s v="they didn't work with me"/>
        <s v="A year ago I would have given you five…"/>
        <s v="I am very satisfied"/>
        <s v="Pleasure to do business with"/>
        <s v="Thank you so much for getting Charles…"/>
        <s v="Easy to place an order and quick and…"/>
        <s v="Appreciated the quick turnover and…"/>
        <s v="Food packages always damaged"/>
        <s v="continual delayed deliveries"/>
        <s v="Not happy-go-lucky"/>
        <s v="Got the prescription promptly after…"/>
        <s v="First Time Purchase"/>
        <s v="I was pleasantly surprised at how quick…"/>
        <s v="I love ordering from petflow for all my…"/>
        <s v="Petflow had what I was looking for and…"/>
        <s v="It took way too long to receive my…"/>
        <s v="We received our order on time and free…"/>
        <s v="Love petflow!!"/>
        <s v="Customer for years!"/>
        <s v="The price is fair"/>
        <s v="Definitely Would Recommend Petflow!"/>
        <s v="We and our cats loved all the toys we…"/>
        <s v="PetFlow maintains a huge assortment of…"/>
        <s v="Wrong shipping info. Dog food."/>
        <s v="I changed my address 2 weeks before…"/>
        <s v="Pet flow did everything correctly"/>
        <s v="Simply the BEST!"/>
        <s v="Overall a positive experience with one glitch"/>
        <s v="Everything is wonderful except for the…"/>
        <s v="Happy I made the switch!"/>
        <s v="shipping company used is awful"/>
        <s v="Charged for cancelled order"/>
        <s v="My order arrived on time in great…"/>
        <s v="Super easy shipping and processing…"/>
        <s v="Treats were shipped really fast and was…"/>
        <s v="The ease of ordering and how fast my…"/>
        <s v="I had the best girl with customer…"/>
        <s v="The system has twice now changed my…"/>
        <s v="Placed my first order with Petflow and…"/>
        <s v="Shipping communication"/>
        <s v="Quick shipping, timely delivery, and helping pets."/>
        <s v="I had a problem and their customer…"/>
        <s v="Most of the representatives I…"/>
        <s v="Glad I found them!!"/>
        <s v="Pet Flow order came even faster than…"/>
        <s v="Science Diet Prescription CD"/>
        <s v="My cat Winnie loves Nutro wet cat food…"/>
        <s v="Easy to use and fast shipping"/>
        <s v="Food is shipped quickly every time and…"/>
        <s v="Easy, reliable, fast service for hard to find products"/>
        <s v="Pet Flow was the only place that had…"/>
        <s v="I appreciated being informed that you…"/>
        <s v="No complaints"/>
        <s v="Charged me shipping because they did not have the product after I ordered it."/>
        <s v="I ordered prescription cat food"/>
        <s v="PetFlow needs some serious work on its…"/>
        <s v="Will Definitely Order Again"/>
        <s v="Fast easy ordering and my dog loves the…"/>
        <s v="PetFlow is a wonderful place to get…"/>
        <s v="We’ve ordered from this company many…"/>
        <s v="I reached out to customer support"/>
        <s v="No package"/>
        <s v="You had the prescription food I needed…"/>
        <s v="Requested Help With Account"/>
        <s v="Open Farm Dog food"/>
        <s v="I adopted a special needs cat"/>
        <s v="Great product but expensive"/>
        <s v="No issues"/>
        <s v="Great deals on dog food with quick…"/>
        <s v="This was my first order and was pleased…"/>
        <s v="I ordered the Van Ness medium crock…"/>
        <s v="was disappointed in how long it took my…"/>
        <s v="Petflow was efficient with excellent…"/>
        <s v="Great service and products!"/>
        <s v="Forget About Prescription Diets"/>
        <s v="It has been a tough few months for dog food deliveries."/>
        <s v="Very angry with you"/>
        <s v="Pet Flow never disappoints me or my fur…"/>
        <s v="Easy ordering quick delivery"/>
        <s v="Poor company management"/>
        <s v="In stock and fast."/>
        <s v="Great product and fast shipping"/>
        <s v="The site shows in stock when in fact it…"/>
        <s v="In stock items and great pricing!"/>
        <s v="I’ll have an opinion when I confirm the…"/>
        <s v="Excellent product and service"/>
        <s v="Use a different shipping company"/>
        <s v="My cat had emergency surgery"/>
        <s v="Shipment"/>
        <s v="I have been using auto ship with this…"/>
        <s v="Fromm Duck &amp; Veg."/>
        <s v="The order was filled as promised!"/>
        <s v="Very happy customer"/>
        <s v="I ordered cat food."/>
        <s v="Have been using PetFlow for years"/>
        <s v="Website listed my cat's prescription…"/>
        <s v="Very nice company to work with"/>
        <s v="I was very pleased with the order that…"/>
        <s v="Good product. Bad customer service!!!"/>
        <s v="Good service and pricing"/>
        <s v="I like shopping at Petflow"/>
        <s v="You had my hard to find food"/>
        <s v="PetFlow just gets it done each and every time."/>
        <s v="I shopped online for Royal Canin Digest…"/>
        <s v="Very Satisfied"/>
        <s v="Very fast and accurate delivery."/>
        <s v="They have the food I want for my dogs…excellent"/>
        <s v="I just want to share a WOW from…"/>
        <s v="Everything is always prefect"/>
        <s v="Have my brand!"/>
        <s v="My first time using g Pet Flow"/>
        <s v="Have a good product selection....prompt…"/>
        <s v="Transaction was perfect"/>
        <s v="Great company!"/>
        <s v="great selection of foods"/>
        <s v="Order came on time."/>
        <s v="Excellent source for my sweet…"/>
        <s v="Great and quick service!"/>
        <s v="Excellent price and very fast shipping!"/>
        <s v="Your company sucks I'm never buying any…"/>
        <s v="Cat food in stock!"/>
        <s v="I am very happy with my order from…Petflow"/>
        <s v="Super fast shipping and easy to deal…"/>
        <s v="Easy site to use and had what I needed."/>
        <s v="Petflow has been charging me for dog…"/>
        <s v="Good service &amp; communications"/>
        <s v="all are OK."/>
        <s v="I am so thrilled with the fast delivery…"/>
        <s v="New customer Impression"/>
        <s v="Hello"/>
        <s v="Proper handling of freeze dried dog food."/>
        <s v="Big Fan of PetFlow!"/>
        <s v="Easily found the dog food I wanted"/>
        <s v="Finally found a store that has my…"/>
        <s v="Improvements need to be made"/>
        <s v="Petflow online lets my pets eat well"/>
        <s v="THESE TAIL WAGERS ( beef rib bones ) …"/>
        <s v="Price was good"/>
        <s v="Speedy delivery!"/>
        <s v="Repeat customer"/>
        <s v="first order and didn't have any…"/>
        <s v="Excellent service &amp; merchandise."/>
        <s v="I ordered treats for my fur babies"/>
        <s v="Product was on time buy packaging was…"/>
        <s v="Enjoyed the prompt service"/>
        <s v="I’m happy they had the product I need"/>
        <s v="Delivery is always super fast and much…"/>
        <s v="Paid for order to only be refunded days…"/>
        <s v="Ordered 3 products…"/>
        <s v="I ordered prescription dog food and it…"/>
        <s v="Local vets out of prescribed cat food"/>
        <s v="Items shipped wrong twice"/>
        <s v="Quick service n delivery.. Dogs live the product its fresh and prescription diet as vet ordered."/>
        <s v="Items arrived promptly"/>
        <s v="I would have preferred to get my items…"/>
        <s v="Great Company! Great prices! Great service!"/>
        <s v="Quality affordable bird toys"/>
        <s v="Very easy to use and very fast…"/>
        <s v="From start to finish"/>
        <s v="I ordered puppy food through petflow…"/>
        <s v="Orders arrived promptly."/>
        <s v="I have ordered from Petflow almost 10…"/>
        <s v="The right products"/>
        <s v="Farmina Ancestral Grains Chicken Pomegranate Medium/Maxi Light"/>
        <s v="Very happy that what I need for my dog…"/>
        <s v="I signed up for the automatic order"/>
        <s v="Where is my prescription order, after 11 days."/>
        <s v="My order was canceled and no one…"/>
        <s v="New Order"/>
        <s v="Sent me the wrong product twice in a…"/>
        <s v="They carry Fromm that our dogs love"/>
        <s v="Absolute scam of a company"/>
        <s v="Yippee!"/>
        <s v="Great service and prices"/>
        <s v="I still haven’t received my product"/>
        <s v="Perfection!"/>
        <s v="Poor communication &amp; follow up"/>
        <s v="Order as expected &amp; on time"/>
        <s v="Wish there were sales on Fromm dog food."/>
        <s v="Quick and reliable."/>
        <s v="PetFlow had a product in stock when no one else did!"/>
        <s v="love this place"/>
        <s v="My experience overall has been very…"/>
        <s v="Out of stock food"/>
        <s v="PetFlow Solves My Problem Quickly"/>
        <s v="I am so impressed with every stage in…"/>
        <s v="Always pleased with PetFlow"/>
        <s v="Very fast shipping which is really…"/>
        <s v="This was the first time I ordered from…"/>
        <s v="Your service has been very good"/>
        <s v="Order from PetFlow"/>
        <s v="Always very…"/>
        <s v="I love this company"/>
        <s v="I like that some of my auto ship order…"/>
        <s v="My Review"/>
        <s v="Just Perfect!"/>
        <s v="Highly Recommend PetFlow"/>
        <s v="My experience with petflow has been all…"/>
        <s v="This was my first order"/>
        <s v="Xxxxcc"/>
        <s v="Excellent Service!!"/>
        <s v="Ordered a veterinarian prescription…"/>
        <s v="Perfect !"/>
        <s v="Wonderful Customer Service!!"/>
        <s v="PetFlow not only had what I needed but…"/>
        <s v="Petflow has always been there w/full…"/>
        <s v="PetFlow makes it easy for me to get a…"/>
        <s v="This is the second ordered I placed…"/>
        <s v="Website and order process were both…"/>
        <s v="A unhappy customer"/>
        <s v="I phoned prior to placing an order..."/>
        <s v="So glad I found PetFlow"/>
        <s v="Fast delivery!"/>
        <s v="Had What I Needed and Received Order On-time"/>
        <s v="Items came on time."/>
        <s v="Order still not shipped"/>
        <s v="First order"/>
        <s v="Good products BUT"/>
        <s v="Your website and customer reps have no…"/>
        <s v="Prescription Diet K/D food is important"/>
        <s v="This was my first time using Pet Flow"/>
        <s v="I got my exact order very quickly"/>
        <s v="Web site ordering and auto-ship process…"/>
        <s v="My last order had 2 items that were out…"/>
        <s v="Every aspect of Petflow is superb!"/>
        <s v="In a world where cat food is an item on…"/>
        <s v="Will shop again"/>
        <s v="the worst"/>
        <s v="Slow on delivery and communication"/>
        <s v="Very pleased!"/>
        <s v="Unfortunately my last 2 ordered have…"/>
        <s v="The plus with Petflow is that they…"/>
        <s v="Very accommodating"/>
        <s v="Delays, Delays and more delays"/>
        <s v="Petflow has most of the items that I…"/>
        <s v="Disappointment"/>
        <s v="Picture did not match item sent"/>
        <s v="arrived quickly and in good condition"/>
        <s v="6 out of my 10 items were cracked"/>
        <s v="Defective Item"/>
        <s v="As soon as I gave him his first taste…"/>
        <s v="This was my first order from PetFlow"/>
        <s v="This would be five stars"/>
        <s v="Dog food and treats online worked out great!"/>
        <s v="Petflow improves but still got a ways to go"/>
        <s v="Good selection of pet food"/>
        <s v="Extremely Pleased!!! My dog is on a prescription dog food…"/>
        <s v="I ordered a 25lb bag of dog food along…"/>
        <s v="Great on time delivery"/>
        <s v="Petflow does what's right by their customers"/>
        <s v="Fast Delivery/Product Availability"/>
        <s v="30% of my deliveries have had slashes…"/>
        <s v="Ordered nearly two weeks ago Rx dog…"/>
        <s v="Good selection and reasonable shipping…"/>
        <s v="Easy to order and always fast delivery."/>
        <s v="i was very happy with service from…"/>
        <s v="Good service and the dogs love the food."/>
        <s v="Fast shipping and great service"/>
        <s v="Was disappointed on my order"/>
        <s v="I give one star only because 0 wasn't…"/>
        <s v="The box was falling apart- I can't…"/>
        <s v="I really loved my experience with PetFlow"/>
        <s v="Fabulous website &amp; excellent customer…"/>
        <s v="Excellent company"/>
        <s v="Great Company to order products wanted…"/>
        <s v="First Order - All Good"/>
        <s v="Quick and easy to receive pet food"/>
        <s v="Try Chewy/This review site requires you to accept certain terms and conditions so don't bother filling this out if you want privacy."/>
        <s v="Good service."/>
        <s v="accurate and timely delivery"/>
        <s v="Very good customer service."/>
        <s v="It has taken too long to receive my…"/>
        <s v="Products received on time"/>
        <s v="Being told it was delivered and it…"/>
        <s v="Easy to order and quick shipment."/>
        <s v="Only received 1/2 of RX cat food order…"/>
        <s v="Placed order 1/3/22"/>
        <s v="Generally timely and professional…except for the use of FedEx"/>
        <s v="My order was fulfilled in two days…"/>
        <s v="PETFLOW is the only supplier I can get…"/>
        <s v="Check your bank balances people"/>
        <s v="No problems with the product but..."/>
        <s v="Overall I love PetFlow"/>
        <s v="They make it easy"/>
        <s v="Called PetFlow to see if I could get…"/>
        <s v="Extremely good service"/>
        <s v="My package was stolen and they reached…"/>
        <s v="Petflow helped me out in a pinch when…"/>
        <s v="Reasonable prices"/>
        <s v="Downhill service from Pet Flow"/>
        <s v="They could not deliver"/>
        <s v="My auto ship from Petflow is so easy to…"/>
        <s v="Have ordered my furkids prescription…"/>
        <s v="Variety!"/>
        <s v="Dog gates are sturdy"/>
        <s v="The app is difficult"/>
        <s v="Fedex has not yet delivered the package"/>
        <s v="Pet Flow shipments are always ontime…"/>
        <s v="Great Selection and Service"/>
        <s v="Products have been great"/>
        <s v="I ordered dog treats from the company my…"/>
        <s v="Product delivered on time as promised"/>
        <s v="Not good service"/>
        <s v="Shipping has been off for autoship"/>
        <s v="Shipping dates are really slow"/>
        <s v="Terrible!! Won't use this company again."/>
        <s v="Great service-always on time"/>
        <s v="Excellent variety and quick delivery"/>
        <s v="Still haven’t received my order"/>
        <s v="pet flow order stuck in Colorado....not delivered"/>
        <s v="Customer service is top notch"/>
        <s v="I really like your products"/>
        <s v="Pricing good"/>
        <s v="I was luckily to find what I needed at…"/>
        <s v="Been with Petflow going on 5 years now"/>
        <s v="Delivery was quick and I'm very happy…"/>
        <s v="25% discount on quality dog food"/>
        <s v="PetFlow: not to be trusted / disaster"/>
        <s v="Very Fast service"/>
        <s v="Food took 11 days to get here"/>
        <s v="Still Waiting"/>
        <s v="Would really like invoice included with…"/>
        <s v="Perfect all around!"/>
        <s v="PetFlow came through when other trusted…"/>
        <s v="Love your service."/>
        <s v="First and Last Order, Never Again"/>
        <s v="Good site; but…"/>
        <s v="Pet flow staff have been knowledgeable"/>
        <s v="Each order comes as anticipated and…"/>
        <s v="Good product and fast delivery."/>
        <s v="Still waiting for an order….."/>
        <s v="First time ordering from PetFlow"/>
        <s v="PetFlow has a great selection and…"/>
        <s v="Ordered three bags of dog food"/>
        <s v="I’ve ordered from Petflow for over 5…"/>
        <s v="Never did get my order and it took 3…"/>
        <s v="Excellent service and value !"/>
        <s v="My dog LOVES this new pet food!"/>
        <s v="Great food...our 5 dogs love it."/>
        <s v="Great service fast delivery"/>
        <s v="Very fast delivery"/>
        <s v="My order arrived on time and complete"/>
        <s v="I’m very happy with Petflow"/>
        <s v="Quick response to my order with…"/>
        <s v="Food and toy came quicker than expected."/>
        <s v="My order came in good time"/>
        <s v="Very good company with a wide selection…"/>
        <s v="Great selection of product"/>
        <s v="Coupons and FedEx"/>
        <s v="Buddy &amp; his treats!"/>
        <s v="Exactly what I would expect - in a very good way."/>
        <s v="Overflow consistently delivers high…"/>
        <s v="Incredible kindness from customer service"/>
        <s v="Convenient but get multiple shipments I don’t want"/>
        <s v="Love this company!"/>
        <s v="I still haven’t received my order."/>
        <s v="Top quality and customer service"/>
        <s v="On time and best price"/>
        <s v="Great site, great service"/>
        <s v="Do not order from this site"/>
        <s v="Very timely service"/>
        <s v="Always fast delivery and good prices."/>
        <s v="Great + quick delivery"/>
        <s v="One of the few places I could find what…"/>
        <s v="always get my order quickly and good…"/>
        <s v="I was pleasantly surprised that PetFlow…"/>
        <s v="Everything came to my home in time…"/>
        <s v="Love this company always have what I…"/>
        <s v="Easy website layout and good selection…"/>
        <s v="Excellent quick delivery with best…"/>
        <s v="My initial shipment was damaged but PetFlow made it right"/>
        <s v="Fast shipping."/>
        <s v="It's been over two weeks and I have yet…"/>
        <s v="Received exactly what I ordered and in…"/>
        <s v="Very nice"/>
        <s v="PetFlow is my go to...."/>
        <s v="Pet Flow stocks the dog food I need"/>
        <s v="PetFlow offers a wide variety of…"/>
        <s v="It take too long to arrive to my area."/>
        <s v="I was sucked in by the promise of a discount"/>
        <s v="Service extremely quick and they seem…"/>
        <s v="I’m a happy camper"/>
        <s v="Pet Flow great, delivery awful."/>
        <s v="Petflow has been fine"/>
        <s v="A Company Dedicated to Service"/>
        <s v="Good product, well packaged"/>
        <s v="My dog food took 1 week and 1/2 to…"/>
        <s v="I thought I had cancelled one order to…"/>
        <s v="PetFlow delivers quickly"/>
        <s v="Food fine;shipping not; PetFlow customer service - no response"/>
        <s v="Great selection and easy to check out"/>
        <s v="Petflow is efficient and speedy"/>
        <s v="PetFlow is fast and accurate"/>
        <s v="I made an order from Petflow awhile…"/>
        <s v="On time, order complete but a boxed soapy mess."/>
        <s v="As always 5 stars"/>
        <s v="My one complaint is that you cannot…"/>
        <s v="Very happy!"/>
        <s v="They shipped my wet catfood over a week…"/>
        <s v="Prompt shipping"/>
        <s v="Petflow is a class act"/>
        <s v="prices r good shipping fast"/>
        <s v="Good product and fast shipping"/>
        <s v="Excellent service with competitive…"/>
        <s v="There was a mistake in the order and…"/>
        <s v="The price was right and the quality was…"/>
        <s v="Great site"/>
        <s v="Friendly staff, great selection of cat food, and quick shipping!"/>
        <s v="Ordering made easy!"/>
        <s v="Never had a problem"/>
        <s v="Very Happy with Order &amp; Delivery"/>
        <s v="Get place for special dog food delivery"/>
        <s v="I have had great experience with PetFlow."/>
        <s v="Always quality items from Pet Flow"/>
        <s v="I like this company"/>
        <s v="Do not buy from Pet Flow False info on delivery date"/>
        <s v="Great communication and speedy service…"/>
        <s v="Placed order and received item earlier…"/>
        <s v="I’m still waiting for my dog food…"/>
        <s v="Things came well packaged and timely"/>
        <s v="Took 6 days in transit"/>
        <s v="Prices were good"/>
        <s v="PetFlow is responsive to clients"/>
        <s v="All's well"/>
        <s v="what i wanted quickly received with…"/>
        <s v="huge variety of pet supplies and fast…"/>
        <s v="I couldn’t"/>
        <s v="Very prompt"/>
        <s v="Had product and delivered in a timely…"/>
        <s v="Quick and easy."/>
        <s v="I changed my delivery date and the…"/>
        <s v="Received the wrong items"/>
        <s v="Fast delivery and great product as…"/>
        <s v="Best offer"/>
        <s v="Super service for shipping my Fromm…"/>
        <s v="The store itself has great prices and selection."/>
        <s v="Shipped fast and had the items in stock…"/>
        <s v="Excellent service and the best pricing"/>
        <s v="Very pleased with Pet Flow's service…"/>
        <s v="Great prices and selections of high…"/>
        <s v="PetFlow has the best prices for pet…"/>
        <s v="Good and fresh"/>
        <s v="Every time I order from here."/>
        <s v="Great customer service &amp; products."/>
        <s v="Staff were very good at listening and…"/>
        <s v="Excellent customer service and fast…"/>
        <s v="My delivery isn’t not coming,very very…"/>
        <s v="I was very pleased with my order!"/>
        <s v="Petflow apparently doesn't put in…"/>
        <s v="👍Petflow"/>
        <s v="Supply issues and mix ups plagued my service"/>
        <s v="we love pet flow"/>
        <s v="We ordered pet food on Nov 26 and…"/>
        <s v="Needs to improve on your customer…"/>
        <s v="I am very happy with my purchase of cat…"/>
        <s v="They have great customer service"/>
        <s v="Love this company"/>
        <s v="Very few notices of what was going on"/>
        <s v="I would’ve given a 5 star review…I should’ve gotten an explanation."/>
        <s v="Only half my order arrived so far"/>
        <s v="Great service as usual even over the…"/>
        <s v="Website easy"/>
        <s v="Thanks for having the food in stock"/>
        <s v="received the delivery on time"/>
        <s v="Great experience!"/>
        <s v="Shipping not according to what was…"/>
        <s v="Excellent transaction :) Will shop…"/>
        <s v="Just as expected no disappointment here!"/>
        <s v="PetFlow / Petco / PetSmart"/>
        <s v="My Hund loves the chow we ordered from…"/>
        <s v="The folks at PetFlow were kind enough…"/>
        <s v="Great and prompt service and delivery"/>
        <s v="I placed orders during weekends"/>
        <s v="I thought that the price was high…"/>
        <s v="Very happy with my purchase experience"/>
        <s v="I paid for a package of food for my…"/>
        <s v="I wrote to the company regarding a customer service issue, where their backorder the employee said I didn't have funding!"/>
        <s v="Pleased with Auto Order"/>
        <s v="Slow delivery"/>
        <s v="The whole reason why I ordered from…"/>
        <s v="I was very happy to be able to find a…"/>
        <s v="Very impressed with being able to get…"/>
        <s v="Easy website to navigate"/>
        <s v="Customer service has"/>
        <s v="Prompt delivery and good price."/>
        <s v="Third time they have got the order wrong !!!!!!!!!!!!!!!!!!!!!!!!!!!!!!!!!!!!!!!!!!!!!"/>
        <s v="Easy to use website and fast shipping."/>
        <s v="&quot;Out of Stock&quot;"/>
        <s v="Food purchase"/>
        <s v="I'd order again."/>
        <s v="You carry the dog food that my puppy…"/>
        <s v="Awful Communication"/>
        <s v="Can someone contact me?"/>
        <s v="Excellent product"/>
        <s v="Need better shipping info sent by email"/>
        <s v="Hills Metabolic canned Food"/>
        <s v="Excellent prices and delivery."/>
        <s v="Product was as advertised,works great"/>
        <s v="5 days after I should have recieved my…"/>
        <s v="Fast service"/>
        <s v="Great service thank you"/>
        <s v="Delayed getting my dog food"/>
        <s v="Convenience plus"/>
        <s v="Quick Delivety"/>
        <s v="Very happy with my purchase, Excellent Customer Service"/>
        <s v="It was supper easy to place my order"/>
        <s v="Good job sending package on timely…"/>
        <s v="Had products I couldn't find any other…"/>
        <s v="Dog food was listed in stock at time of…"/>
        <s v="NEVER RECEIVED MY ORDER IN OVER A MONTH…"/>
        <s v="Order placing was easy"/>
        <s v="Very satisfied with everything."/>
        <s v="Organized &amp; Professional, but....…"/>
        <s v="Saved from having my kitten upset"/>
        <s v="Didn't get half of what I ordered?"/>
        <s v="Fast shipping and great inventory of…"/>
        <s v="We use auto ship for most of the…Auto Ship is extremely difficult to edit and use."/>
        <s v="Speedy delivery"/>
        <s v="Convenience for the win!"/>
        <s v="good products great prices"/>
        <s v="Great First Experience!"/>
        <s v="POOR BUSINESS PRACTICES"/>
        <s v="Everything went smoothly from ordering all the way to delivery. Very happy and will use them again."/>
        <s v="Delivery was delayed 3 times"/>
        <s v="Ordered prescription dog food"/>
        <s v="I am totally impressed with petflow"/>
        <s v="I have been using petflow for several…"/>
        <s v="Great products and service that excels"/>
        <s v="I spoke with a very helpful woman who…"/>
        <s v="I placed an order on 11/2"/>
        <s v="My husband shopped here last Christmas…"/>
        <s v="Location of drop off"/>
        <s v="EXCELLENT service and everything packed…"/>
        <s v="Currently waiting to receive order"/>
        <s v="I love the quick delivery when we order…"/>
        <s v="goog"/>
        <s v="Ordered dog food for the first from…"/>
        <s v="Fast shipping...."/>
        <s v="They let me order food and charged me…"/>
        <s v="I’ve used PetFlow for a year now"/>
        <s v="Late package great customer service"/>
        <s v="Great pricing however I Wasn't able to…"/>
        <s v="Very slow to ship resulted in poor…"/>
        <s v="I spoke with somebody in chat and I…"/>
        <s v="Although I have had great success with…"/>
        <s v="Petflow is a good source of hard to find foods."/>
        <s v="Love Petflow products"/>
        <s v="My dog food always arrives on time"/>
        <s v="This gate is working very well at our…"/>
        <s v="Excellent alternative to Chewy"/>
        <s v="Thank you so much Petflow"/>
        <s v="Never received the dog food I ordered…"/>
        <s v="Petflow is a great company to do my on…"/>
        <s v="like the quick service and available…"/>
        <s v="Always get my pups treats and food from…"/>
        <s v="Bait and Disappoint"/>
        <s v="my new found GEM!!!"/>
        <s v="PetFlow has what you’re looking for"/>
        <s v="slow with shipping and handling"/>
        <s v="I ordered a few items using an account…"/>
        <s v="You've Earned My Business"/>
        <s v="Something about that penny"/>
        <s v="Ordered online instead of my local…"/>
        <s v="Quickly filled order, delayed delivery"/>
        <s v="Our order was delivered very fast"/>
        <s v="Absolutely perfect"/>
        <s v="Shipped promptly and great prices"/>
        <s v="Over promised and Under delivered."/>
        <s v="Damaged order"/>
        <s v="Dog likes food it’s too expensive"/>
        <s v="Always correct and quick"/>
        <s v="Outstanding customer service"/>
        <s v="Ordered everything"/>
        <s v="Focus on your"/>
        <s v="THE TREATS WERE PERFECT AND FAST…"/>
        <s v="Amazing"/>
        <s v="Just started auto ship of a cat food"/>
        <s v="Love pet flow"/>
        <s v="Autoship"/>
        <s v="Always an easy transaction"/>
        <s v="Didn’t have my order in stock and…"/>
        <s v="The. best place to auto order treats and food for your dogs!"/>
        <s v="While most others were out; we found the canned food our pet needed a PetFlow"/>
        <s v="I love the autoship option for my cat…"/>
        <s v="Petflow is my most trusted vendor"/>
        <s v="Product was delivered quickly"/>
        <s v="Excellent communication and outstanding customer service"/>
        <s v="Excellent customer service and easy…"/>
        <s v="Customer Service is good to work"/>
        <s v="Selling empty air"/>
        <s v="I placed an order and had to cancel"/>
        <s v="PetFlow is wonderful"/>
        <s v="I wish I had known about you sooner"/>
        <s v="Products are great"/>
        <s v="Always great service and excellent…"/>
        <s v="have been waiting for almost 2 weeks…"/>
        <s v="shipping and delivery could be quicker"/>
        <s v="I really like Pet Flow and would order…"/>
        <s v="Thumbs up"/>
        <s v="PetFlow has excellent customer service, but..."/>
        <s v="Website needs to be more functional"/>
        <s v="Customer service was great, but"/>
        <s v="Happy Mom, happy dogs!"/>
        <s v="Can you wait til I receive my order"/>
        <s v="Might beat Chewy eventually"/>
        <s v="I love being a Pet Flow customer!"/>
        <s v="I have 5 cats for whom the…"/>
        <s v="Delivery of my product arrived timely… BUT"/>
        <s v="My experience with PetFlow was…"/>
        <s v="Always fast shipping and great products…"/>
        <s v="Fast delivery."/>
        <s v="Products are fine"/>
        <s v="My puppy and cat love it."/>
        <s v="This was the very first time I ever…"/>
        <s v="It’s been weeks and I haven’t received…"/>
        <s v="the orders are always late"/>
        <s v="Because as a customer PetFlow mislead me"/>
        <s v="Unfortunately when I placed my order my…"/>
        <s v="Very punctual and nice."/>
        <s v="PetFlow came through for me with a…"/>
        <s v="Love the convenience of not having to…"/>
        <s v="Great fast service"/>
        <s v="Horrible customer service keeps lying…"/>
        <s v="Has most any product you could want"/>
        <s v="Fast order great packaging great price"/>
        <s v="I love the service however 2 bags of…"/>
        <s v="I used to use other well-known online…"/>
        <s v="The service and delivery was great."/>
        <s v="Great customer service!!"/>
        <s v="The kitty litter box split and was all…"/>
        <s v="This is a fantastic gate!"/>
        <s v="You take orders knowing products not…"/>
        <s v="Petflow has a good selection of…"/>
        <s v="Hassle-Free"/>
        <s v="Need to change auto ship program set up."/>
        <s v="I have place 2 orders with Petflow"/>
        <s v="Great selection of products &amp; emphasis…"/>
        <s v="PetFlow had Hill’s Metabolic Rx dog food when others did not!"/>
        <s v="Order with PetFlow"/>
        <s v="Best pet food subscription platform"/>
        <s v="Placed order for dog food that I needed…"/>
        <s v="All item sent"/>
        <s v="Happy but could have been happier"/>
        <s v="Ordered Butcher Block Bones and a box…"/>
        <s v="I was impressed with how quickly my…"/>
        <s v="Ordered a Flexi leash for my dog."/>
        <s v="Product that is not available elsewhere…"/>
        <s v="First time using"/>
        <s v="Your selection and prices are good"/>
        <s v="I have been trying to find the special…"/>
        <s v="Always Happy with my Purchases and Services"/>
        <s v="Everything from locating products on…"/>
        <s v="PetFlow has the products I need and if…"/>
        <s v="it seems a bit difficult to delete an…"/>
        <s v="Not very long shipping from the date of…"/>
        <s v="Ordered on 10/6"/>
        <s v="I get all my dog food and treats from…"/>
        <s v="Petflow always has the prescription…"/>
        <s v="Great place to shop!"/>
        <s v="Good job, PetFlow!"/>
        <s v="Products Great / Shipping NOT so Much!"/>
        <s v="Satisfied"/>
        <s v="Always correct &amp; timely"/>
        <s v="Petsmart not smart just huge corp."/>
        <s v="First time ordering autoship"/>
        <s v="Happy with Order"/>
        <s v="Great service and fast delivery…"/>
        <s v="Always a pleasure shopping with Pet…"/>
        <s v="Always got what my cats want and always…"/>
        <s v="Great company with excellent customer…"/>
        <s v="Petflow’s prices are good and the…"/>
        <s v="Fast shipping &amp; careful packaging!"/>
        <s v="Great job!"/>
        <s v="Gave petflow a chance because chewy was…"/>
        <s v="Sifting Litter Box"/>
        <s v="Competitive price"/>
        <s v="Need I say more!?"/>
        <s v="The first time I ordered my dog’s…PCB"/>
        <s v="Ordered item 2 weeks ago"/>
        <s v="First I was told my food order was on…"/>
        <s v="They have products of dog food I can’t…"/>
        <s v="MY DOGS ARE HAPPY AND SO AM I WITH THE…"/>
        <s v="There no price gauging"/>
        <s v="Respond to emails very quickly"/>
        <s v="It is difficult at times to get dog…"/>
        <s v="Excellent service and delivery"/>
        <s v="Replacement squeakers"/>
        <s v="Late, poor communication"/>
        <s v="Timing of shipping is a problem."/>
        <s v="Very good service and fast shipment."/>
        <s v="Love the delivery"/>
        <s v="Ordered several teddy bear toys"/>
        <s v="Delayed delivery…Pet Flow Handled Perfectly"/>
        <s v="Usually we have a great experience with…"/>
        <s v="I contacted customer service because I…needed to return the wrong dog food"/>
        <s v="Very easy ordering"/>
        <s v="I have been a returning customer for a…"/>
        <s v="PetFlow had the prescription dog food my Vet couldn't get"/>
        <s v="My order was well wrapped and delivered…"/>
        <s v="Amazing service"/>
        <s v="Horrible fulfillment system"/>
        <s v="Easy to order form the site"/>
        <s v="Order processed immediately and delivery was quick"/>
        <s v="Found this vendor “on line”…great service"/>
        <s v="I have no idea what I bought from your…"/>
        <s v="Found My New Online Cat Food Store"/>
        <s v="Ordered dog food which they said was in…"/>
        <s v="Great selection of in stock items and…"/>
        <s v="Petflow had what I needed in cat food…"/>
        <s v="Vet advised a change of food"/>
        <s v="Prescription orders are terrible."/>
        <s v="This place is da bomb"/>
        <s v="Easy to find exactly what I was looking…"/>
        <s v="I was very happy with my experience"/>
        <s v="Friendly staff"/>
        <s v="Wrong food sent now I have to return it…"/>
        <s v="We and our 3 German Shorthair pups"/>
        <s v="I ordered I/d chicken stew"/>
        <s v="I always feel as though"/>
        <s v="rder email confirmation was delayed and…"/>
        <s v="Super convenient"/>
        <s v="Couldn't locate my brand of food in New…"/>
        <s v="I was forced to buy two items to get to…"/>
        <s v="Couldn’t find our dog’s food anywhere"/>
        <s v="Great products and excellent customer service"/>
        <s v="Great phone help on getting Oscar’s Rx…"/>
        <s v="Helpful coupons, hard-to-find food, friendly and fast service"/>
        <s v="Petflow has excellent prices and a…"/>
        <s v="Petflow was a great find"/>
        <s v="Each time I placed an order of what was…"/>
        <s v="Fail"/>
        <s v="I still haven’t received my dog food"/>
        <s v="I couldn’t find this prescription treat…"/>
        <s v="Fast delivery &amp; easy to use website."/>
        <s v="Fast service as usual"/>
        <s v="Hills prescription ID low fat diet canned dog food"/>
        <s v="Ordered Rx cat/case cans/Blue W+U on…"/>
        <s v="As usual"/>
        <s v="I ordered the prescription dogfood I…"/>
        <s v="Discount was removed by site after…"/>
        <s v="I have been satisfied with all orders…"/>
        <s v="Items in stock and were delivered early!"/>
        <s v="Received my delivery on the day it was…"/>
        <s v="Great quality items that my dogs love."/>
        <s v="Love the service they try to make sure…"/>
        <s v="Products are good"/>
        <s v="NEVER HAD A PRODUCT THEY ADVERTISED!"/>
      </sharedItems>
    </cacheField>
    <cacheField name="full review" numFmtId="0">
      <sharedItems>
        <s v="I shopped the product, Milk Bone Pill Pouches for several weeks. Our dog is on Holistic Herbal supplements and dosing requires about five pouches a day. PetFlow, hands down, is a best price retailer for my target product. Great value for consumer. Custome"/>
        <s v="Arm and Hammer litter, is dust free, clumping/seal, which is difficult to find. I used to wear a mask handling other litter, not necessary now and no smell. I have it on auto ship, which makes it convenient and it is $7.00 less expensive than buying in st"/>
        <s v="I have been with them since 2013 and my orders are on time. When there was a delay during COVID they were sending out notices and updates. I had an issue with my fed EX people taking my dog food. The company immediately send another order out to me. They "/>
        <s v="PetFlow was able to ship an important dog food product that was not available from other on-line merchants. It was frustrating contacting the usual sources until PetFlow showed up on a browser search. We had not heard of PetFlow before; we will not forget"/>
        <s v="I received a damaged pet food bag and the customer service people were so responsive and wonderful. I received a replacement bag immediately! I always prefer PetFlow because your shipping is always professional with no loose food or mess. I always promote"/>
        <s v="This is the second time I have received rancid dog food from this company, The first time they finally answered my email and said they would re-send the order. They resent the order and 1 item was wrong . They then ignored my email and didn't respond to m"/>
        <s v="The company was very responsive to problems I had manoeuvering their site. The shipping was well within reasonable expectations.&#10;My only issue has to do with the site not being easy for me actually 'maze-like' in its degree of difficulty. I wish it would "/>
        <s v="Ordered dog food and 5 days later no shipment no contact. Have to call to cancel order and delete your payment method. Pretty much a fake joke site."/>
        <s v="The people there if contacted go up and beyond to answer questions and help. Orders are processed in record time and shipped out fast.&#10;Very happy with the switch over to using them . Very satisfied customer"/>
        <s v="This was my first purchase from Petflow and I am impressed. First when I set up my my new account I had issues with logging in. I received the email with the 6 digit security code but when I used the link to use it I wasn’t sent to the page to enter. Afte"/>
        <s v="First-time customer, I ordered canned cat food because of the good price. Free shipping--good! Timely delivery--good.&#10;However, the packaging was terrible both boxes split open and from one box 3 cans had popped open spilling liquid throughout. Three other"/>
        <s v="I've discovered PetFlow because I searched for the best value I could find for bully sticks for my dogs. I've been really happy with my purchases and will look to them for other pet supplies in the future."/>
        <s v="Good product, but it would have been easier if these 2 bags were boxed separately. Being a little old lady, it's hard to manage both of them together, but it's all good."/>
        <s v="I have had a great experience with Petflow. They carry Fromm dog food which can be hard to find. Good prices. The website is easy to use and I can adjust the date of my subscription as needed."/>
        <s v="I had to change my password the past three times I attempted to place an order. Everytime I ended up having to call customer service to place the order. When I tried to tell the agent what was happening with the order app, I kept getting replies that basi"/>
        <s v="I was surprised to be able to talk to an actual person whenever I called for support. One of the few places I can buy the best food for my dog."/>
        <s v="Quality Fromm dog food and treats that can not be found on other sites. Exceptional service."/>
        <s v="I placed a large order (my 2nd one). Petflow was running a good special. Unfortunately, they had some internet issues which delayed my order. However, it arrived fairly quickly giving the issues. One of the dry food bags had a puncture hole in it. When I "/>
        <s v="The shipping is usually pretty fast, which is much appreciated. There seems to be an issue with using my credit card on the PetFlow page but now I just use PayPal and that seems to work out fine."/>
        <s v="One of the best things I love besides the great pet product selection is how PetFlow ships orders. If something heavy is being shipped with something that can easily be crushed, there is a U shaped piece of cardboard inserted in the box to create a protec"/>
        <s v="Had a technical problem with my account and had to call for help. Your rep was very helpful and got the food ordered and delivered quickly."/>
        <s v="Really pleasant, helpful people on the phones. Lowest price by far of any. Fast n free shipping. Great experience."/>
        <s v="I have used pet flow in the past many years ago with success and don’t remember having the same issues I’ve had recently when I started using there company again. A dog food called Rockster which is produced in Europe and only sold via a couple store fron"/>
        <s v="My first experience was terrible. I placed an order on May 8th, and on May 10th it was not even being processed. I cancelled it, placed an order in Chewy.com and got it at the same day.&#10;I will not use PetFlow anymore."/>
        <s v="Cannot cancel an auto ship online. Cannot update expired credit card on auto ship online. Had to call, nobody available until 9 am eastern. Finally pause auto ship and place new order. Do not ever set up any auto ship."/>
        <s v="First transaction and auto ship went well. Cheaper than Chewy and all downhill after that. Cant log into account to change or cancel autoship, tried password reset never get the e-mail and checked junk e-mail as well. Contact support ok we’ll send you a p"/>
        <s v="I placed an order on May 10th-updates and tracking with fedex did not occur past the second day and ultimately an agent ordered a replacement order on May 17...on May 24th the shipment was on a truck for delivery but did not arrive...the site still said i"/>
        <s v="I just discovered petflow. Great selection. Prices just like or better than the online retailer named after a jungle. I usually get my order in 2 days using standard shipping. Will continue shopping here."/>
        <s v="The items I ordered were exactly what I wanted and they were delivered in a timely manner."/>
        <s v="My delivery was very delayed and then showed up even a day later than it was supposed to. Very dissatisfied with this past order. Petflow wouldn’t even offer to expedite the shipping even though the delay was on their end. Didn’t even offed a discount for"/>
        <s v="When I called to order anything the customer service representatives that represent your company they are so so nice and very knowledgeable and Just I just love them they’re great."/>
        <s v="The product ordered needed to be shipped from a further destination. FedEx gave an arrival date of Monday, May 8 then changed their arrival date to Sunday , May 7. It actually arrived on Tuesday May 9. I had to go to the store to buy some dry food to see "/>
        <s v="We purchased canned dog food from Petflow. Their prices were the lowest we were able to find as this brand was hard to find elsewhere. Ordering was very easy and shipping was quick and flawless. We will continue to purchase from Petflow."/>
        <s v="Petflow is the only place I can find Fromm dog food. Their prices are reasonable and they ship quickly."/>
        <s v="It was able to order easily, delivery was prompt and the products had good variety."/>
        <s v="I find the best price on my preferred cat food at PetFlow. Everything is also packaged neatly and arrived in perfect shape PetFlow has been great. The only criticism would be that it took nearly a week to receive the order, but now I factor this in when I"/>
        <s v="I have shopped at a couple of different online pet sites, only to be disappointed and frustrated. When I found PetFlow, to say the least, I was skeptical. But to my surprise, PetFlow came through As Promised! Not only did they process my order quickly, it"/>
        <s v="The items were received in a timely manner and were packaged well. The descriptions on your website were accurate and very detailed. This was very helpful."/>
        <s v="I love your fast shipping, and the fact that you use boxes that are strong enough to hold the contents! You carry the bags of Dr. Kelsey’s kitty litter instead of the new 20 lb boxes. The boxes are too heavy for me, but I can handle the 18 pound bags. You"/>
        <s v="I had a very friendly young lady help me order my cat food. Her name is Savannah. It was a pleasure having her help me today.&#10;&#10;Today is 5-19-23. At the bottom of this page, for some unknown reason, someone chose to type in the date as May 8, 2023. NOT SO "/>
        <s v="The customer service is outstanding - always kind, helpful, courteous and professional. PetFlow often has special discounts I've applied to my purchases, and can be counted on to have the special brand and flavor of dog food my (admittedly spoiled princes"/>
        <s v="This is the second time that I’ve been sent, two shipments, the system said I needed to update my credit card, I did and then it was double charged and foible shipped"/>
        <s v="There was an issue with shipping and the Petflow team resolved it within hours. I've been a customer of Petflow for several years and they always come through for my kiddos and me. Thank you."/>
        <s v="I had an issue with shipping damage, they fixed the problem right away. A+"/>
        <s v="I placed my order on the 3rd of May. After a number of phone calls, my order hadn’t been shipped. On the 7th of May I asked for my money to be refunded. I more than understand the business is small. My account stated that my order was shipped on the 3rd. "/>
        <s v="Just discovered this company. Great price super fast shipping. Will definitely be back. Highly recommend"/>
        <s v="PetFlow has always been great with wonderful customer service support. My only issue is that they don’t protect their canned food deliveries very well and I always end up with a few dented cans. They do offer to make it right, I just wish it wasn’t every "/>
        <s v="My order arrived later than expected and some of the items were damaged, leading to a frustrating return process! PetFlow has its pros and cons, and I would advise potential customers to weigh them carefully before making a purchase."/>
        <s v="The Person was very kind, but as soon as I hung up the phone, my order was delivered. It seems to me she should have been able to tell it was shipped. I never received an email stating my order was shipped"/>
        <s v="Great prices, great customer service, and really fast delivery!"/>
        <s v="We can count on PetFlow delivery on-time with AutoShip. Like this easy way ordering my dogs food."/>
        <s v="Very good prices and the product arrived in about a week. We are perhaps spoiled by next day - two day delivery but thankfully I had anticipated running out of dog food!"/>
        <s v="Great customer service. Whoever I speak with always helps me with my issue."/>
        <s v="Nice, quality collar with a quick release snap. I love this beautiful blue collar and matching leash. Petflow is the best!"/>
        <s v="I arrived at site via a link that promised a discount. Discount appeared on checkout page and I checked out with the discount applied. However, discount was not included in final billing, so I feel I was cheated."/>
        <s v="You bet everyone elses prices, your delivery was great and the order was correct!!"/>
        <s v="The web site is difficult to navigate. It takes several attempts to order a bag of dog food"/>
        <s v="Petflow had the dog food product I was looking for. I had spent a long time searching other various web sites and not having any luck. Petflow was very good with communications and the shipping/delivery of my order. Very excited to find them!!"/>
        <s v="To start, the order did not go through after 4 attempts using my debit card, to the point of me being highly suspicious about a scam. It was not until I called the phone number, because the rep in the chat and the text were dismissal, that I was notified "/>
        <s v="3 days since I placed my order online. Called to verify that my order was coming from the NJ warehouse. I'm in NJ about an hr away from the warehouse. I still don't even have a comfirmation that my order has even shipped."/>
        <s v="They canceled an order without telling me, and when I sent an email asking what happened, the response was a little on the snarky side. I asked a follow up question and never received a reply. I thought I'd try this out, but it's not worththe headache and"/>
        <s v="Shipping took way longer than Chewy's and the box that FedEx eventually delivered was in horrible shape."/>
        <s v="my credit card is always getting flagged for fraud with this site. Site itself has good selection with great prices, but if I want to continue using it I have to make a Paypal acct."/>
        <s v="The price was right, time to receive the product was fast. Only issue was the packaging- 11lbs of cat food and 38 lbs littler in a box that could not handle the weight- The cat littler box broke open and we had little everywhere."/>
        <s v="All items arrived within a few days well packed.&#10;Ordered dog food and was a bit worried about possibly getting a short expiration date.&#10;The food had an expiration date of over a year.&#10;Very pleased."/>
        <s v="Did not like how mostly everything I looked for was out of stock.&#10;Did not like how I was charged an extra $5.00 and not told prior. My order came from a different warehouse and so I was charged differently. This should not have been my fault, I should’ve "/>
        <s v="I called to ask a few questions and the rep could not answer anything. Luckily, I called back and got a rep who could. Basic questions. Also once when I was a prior customer and then with my last order I called for assistance and was assured my issues wou"/>
        <s v="I have had two auto shipments of dog food messed up in less than 4 months . First of all I do auto ship with you . I order 2 bags of Victor Nutrapro every 10 -13 weeks . My first problem was an order of two bags sent to me , one was not in a box and was t"/>
        <s v="The shipping was by slow boat. Very disappointed in that."/>
        <s v="Always fair price and prompt shipping and great products choices."/>
        <s v="It was very helpful to have that special with $75 off of $250 purchase. It’s hard for me as a senior on a fixed income."/>
        <s v="Easy transaction, good selection, good prices, quick shipment."/>
        <s v="The shipping is literally always late. I know that is out of your control but it would be worth talking to fed ex about it. Im sure you are losing return business."/>
        <s v="Quick delivery of a hard-to-find product my dog loves."/>
        <s v="Petflow has good prices if you have&#10;coupon codes and use Google Incognito."/>
        <s v="I ordered a case of 12 cans of dog food. When it came, 10/12 cans were severely dented. I called the company and they did send out a new case very quickly. When the new set of 12 came. 2 were damaged and unusable. This isn’t cheap dog food. The packaging/"/>
        <s v="Online ordering is easy; product selection is great; delivery is fast; good customer service to boot!"/>
        <s v="We needed dog food ASAP so Petflow to the rescue. Plus their subscription program gets food to us on time without having to wait to order. We love it!"/>
        <s v="Easy to order and delivered in a timely matter. And when I had a problem with a delivery as crushed cans or a torn bag of dry dog food, it was taken care of."/>
        <s v="Sure is easy to navigate and the experience was quick. They have good deals, I'll definitely be back &amp; recommend to others."/>
        <s v="Good prices and selections and fast delivery."/>
        <s v="I made a mistake on my order and customer service immediately corrected it for me."/>
        <s v="Always willing to put up with my constant changes."/>
        <s v="Accurate &amp; timely. I depend on them every month."/>
        <s v="Shipped from Nevada to Ohio then back to California. It took 10 days to get the food"/>
        <s v="I love the connivence of having my dog's food delivered directly to my home. It is so easy to have auto ship. If I want to choose additional products, I just go on line."/>
        <s v="Great customer service. Love your sales! I order the litter and use the pharmacy. Great products."/>
        <s v="Very helpful and friendly support staff and reliable shipping."/>
        <s v="Prices are awesome and super fast shipping"/>
        <s v="I love the selection of products offered. My dogs loved the treats they received. The prices are amazing."/>
        <s v="Everything was great as always,very courteous and helpful."/>
        <s v="Extremely fast processing and delivery. I placed my order night time, April 17. Food for my dog left at my door April 20, 2:00 pm. Truly, Greyhound speed. Thank you, Perflow"/>
        <s v="I did not get my dog food. I asked Fed Ex about it and it is lost. I got the cat food and the litter but not the dog food.&#10;&#10;Can you resend it."/>
        <s v="I love pet flow, the toys are always the best quality and have a lot of options! Great service"/>
        <s v="I bought large bags of Open Farm food from you but now you only sell the small bags"/>
        <s v="I love this food for my schipperke. It has great ingredients and delivery is very fast. I would and have recommend Fromm's to friends."/>
        <s v="Websites very easy to use, product arrived promptly, product arrived in great shape, and product that arrived was exactly what was ordered. No complaints!"/>
        <s v="Reasonably priced Fromm dry dog food&#10;Easy website to browse and place an order and shipping was on time&#10;&#10;Will order from this site again"/>
        <s v="Petflow had the product I needed, would rate a 5 star but the product took an excessive time to ship and recieve."/>
        <s v="None"/>
        <s v="Quick&#10;Easy&#10;Kept you informed&#10;Open communication"/>
        <s v="A very smooth and seamless process to secure my spot in the breeder’s upcoming litter."/>
        <s v="Easy to order and I received the correct shipment."/>
        <s v="Hard to find dog food at a good price e, quick free shipping."/>
        <s v="Easy to order --wide variety of product choices and great prices!!!"/>
        <s v="The ordering was easy, the delivery was fast, and I found what I wanted."/>
        <s v="Can't beat the prices &amp; very convenient service!"/>
        <s v="Great prices and loved the free shipping!"/>
        <s v="Highly recommended thank you guys for providing absolutely phenomenal service"/>
        <s v="My shipment reached Grand Junction, CO. which is close to where I live then it was shipped back to Nevada. Then back to Grand Junction. This is the second time this has happened. All of the cans were damaged when I received my shipment."/>
        <s v="Love how tall it is,and the look,just what I was looking for!was shipped very fast"/>
        <s v="Pet Flow was very good about my special order. They had to reach out to my vet to get the script for the dog food and did so. I received my order right after that. Thank you!"/>
        <s v="Had a problem with my order duplicate customer service fixed right away and answered the phone with a person I could understand super plus for that"/>
        <s v="My order came with 4 cans dented out of 12 and this is not the first time...."/>
        <s v="Good company to order better prices"/>
        <s v="You had the items I wanted at a good price. My order was filled and shipped as advertised. I'll use your service again. Thank you."/>
        <s v="I've always had good reliable service from Petflow. I'm very happy with the experience."/>
        <s v="My card number failed to go through properly and I didn't know it so I finally called the company when I didn't get my product they explained to me what had happened and I said oh let's go ahead and use the number again and when I went ahead they give me "/>
        <s v="Always get anything I order on a timely basis."/>
        <s v="The prices were extremely competitive. Everything arrived without a problem. Delivery was fast."/>
        <s v="I have yet to get my order. It was easy ordering."/>
        <s v="Best value for bully sticks! Nobody comes close. Every place is way more expensive."/>
        <s v="I received what I ordered pronto. Great prices compared to Petco. I saved 75% compared to Petco."/>
        <s v="Had everything I needed, ordering was quick and easy, speedy delivery."/>
        <s v="The furkids love the treats and customer service was top notch, great communication."/>
        <s v="Quick shipping and a great price. I will be a returning customer!"/>
        <s v="Super fast shipping awesome and fantastic prices!"/>
        <s v="Great communication with frequent updates on my order tracking."/>
        <s v="Wish there were more options for the length of time for dog food ordering"/>
        <s v="Experience was great, shipping was fast, very happy with my purchase."/>
        <s v="It's a great product and the family dog loves it"/>
        <s v="Lured in by low pricing, I ordered a case of a new dog food (canned) to try it out. I ended up converting my dog (over about 10 days) onto this new food. I then ordered 7 more cases with Petflow of the same food I had auditioned and transitioned my dog on"/>
        <s v="Order came just as promised. Very quick shipping."/>
        <s v="Best price, fast delivery"/>
        <s v="I think you provide good service and deliver your products on a timely basis."/>
        <s v="Good prices, large selection, fast delivery, good response to questions."/>
        <s v="Super fast shipping, competitive pricing, accurate order delivered."/>
        <s v="As I said before, a mistake was made with my order and customer service immediately fixed it"/>
        <s v="wonderful to find Natural Balance Venison CANNED FOOD IN STOCK DELIVERED...delivered..."/>
        <s v="Package was never delivered (10 days after order)"/>
        <s v="They had what I needed (hard-to-find item) in stock, and shipped quickly."/>
        <s v="Very easy to navigate website, excellent prices, great selection and just an overall best experience (second to none"/>
        <s v="I received my order promptly. These people are on their game for sure."/>
        <s v="User friendly online shopping experience and very good prices."/>
        <s v="I was pleased with the prices and the products at PetFlow."/>
        <s v="Quick delivery on great product at a great price."/>
        <s v="Great prices, Good service"/>
        <s v="Got what I ordered &amp; it was delivered on time."/>
        <s v="Pet flow had an out of stock item we have been looking for over 8 months. My dogs are so happy."/>
        <s v="Great prices and free fast shipping. Awesome!"/>
        <s v="Higgins parrots feed"/>
        <s v="Fast shipping, great fresh seed and the brands I use Higgins."/>
        <s v="Easy to place an order, great prices and fast shipping!"/>
        <s v="Good customer service. Great prices."/>
        <s v="I always get good service at a good price in a very good time."/>
        <s v="Good price on pigeon feed shipped with no damage"/>
        <s v="Company is affordable and Customer service is exceptional."/>
        <s v="Everything was perfect, thank you!"/>
        <s v="Great prices! Prompt delivery!"/>
        <s v="Ordered and you didn’t have in stock. Still waiting"/>
        <s v="Easy to order at a fair price for this day and age"/>
        <s v="Easy to place order, delivered on time."/>
        <s v="Good Price; Timely Delivery"/>
        <s v="they get my stuff i ordered to me within a few days"/>
        <s v="Love the product. Very fast service/shipping."/>
        <s v="Like always, quick and reliable."/>
        <s v="Good !! I will purchase again"/>
        <s v="You had what I wanted and you got it to me quickly"/>
        <s v="You had the product that I needed and it was shipped quickly ."/>
        <s v="Great shipping speed. Bones I ordered are great"/>
        <s v="Good price. Fast shipping."/>
        <s v="Fast and efficient service"/>
        <s v="Easy ordering experience. Good Products"/>
        <s v="My dog loves it"/>
        <s v="Fast and easy&#10;Good price"/>
        <s v="I order and in no time my order is delivered. Staff also quite helpful with advice and customer service."/>
        <s v="I am committed to feeding my cat the required ingredients suggested by my vet to give Tammy quality of life as she grows older. Because of the cost of prescription diet food I have to shop around for the best, affordable prices which PetFlow has provided "/>
        <s v="I needed a prescription food you say you stock. Your instructions were to mail the prescription in. This seems bazaar in the online world. After a few days you emailed me saying that I could email a scanned in image of the prescirption.&#10;&#10;Why didn't you pr"/>
        <s v="Always fast service. Good prices"/>
        <s v="Best price on KMR liquid and powder."/>
        <s v="Great service &amp; pricing.&#10;&#10;Thank you!"/>
        <s v="First, Petflow shipped my product to the wrong address, even though they confirmed via email and text that the address would be updated to the correct address for the shipment. Secondly, do not rely on their autoship -- they have constant delays so it is "/>
        <s v="Great service&#10;Easy to order&#10;Shipped quickly&#10;Thanks"/>
        <s v="Excellent customer service! Thank you!"/>
        <s v="I found what I needed quickly, not many shippers carry Nutrisource. I also got a significant discount through my Capital One add-on so I bought 2 bags to get the free delivery. They were delivered very quickly as well. I am disappointed that they don't pa"/>
        <s v="Easy to navigate website; lots of name brand foods at reasonable prices."/>
        <s v="Best prices anywhere and great communication from Petflow. Received food four days after ordered and pet flow notified me on day 3 the order was delayed one day in the St. Paul location but was quicker delivery time than other companies I have used so was"/>
        <s v="The shipment was received in a timely manner; however, for the cost of the canned food I purchased (almost $10/can), I would have expected a little bit of packaging material in the box. Almost all of the cans have big dents in them from being shipped. I a"/>
        <s v="Due to shipping restrictions I was unable to reroute the delivery via my FedEx delivery manager. This is a big issue for me because I live in an apartment complex with a lot of theft, and having my cat’s expensive food stolen is too much of a risk to take"/>
        <s v="The website is very easy to navigate. Our purchases were shipped and arrived quickly to our home. The prices are the best I’ve found. All these things have added up for me to be a repeat customer."/>
        <s v="Easy to order and quick shipping makes Petflow a winner in my book!"/>
        <s v="Good selection of cat foods, good quality and fast shipping with fair prices."/>
        <s v="The product is $2 - $3 a case less than competitors.&#10;Shipping time is relatively timely. They product came in manageable size boxes. Not one oversized heavy box."/>
        <s v="They are very responsive. An item was missing from my shipment. It was reshipped within a day or two"/>
        <s v="Fedex failed to deliver package even though it was shown as delivered. 4 boxes of milk bones. One call and Petflow sent a replacement. One week later the fedex package showed up - most likely dropped off by a neighbor. Called Petflow and they said keep th"/>
        <s v="Timely orders, great communication and wonderful products!"/>
        <s v="They gave me a credit because something I ordered was no longer in stock. New items came very fast!"/>
        <s v="It was my second order and second time it was easy, and with high expectations.&#10;Thank you for nice service."/>
        <s v="Tried Chewy, but there is no comparison to Pet Flow! Your service is far above them. My order is always delivered quickly, customer service department is great and helpful! I am a returning customer, and Pet Flow is the best!"/>
        <s v="Prompt services and delivery. Competitive pricing"/>
        <s v="Lowest price I could find, fast shipping, knowledgeable, polite, customer service....one small flaw, wasn't able to use paypal, no biggie"/>
        <s v="Always good products, always good prices. Repeat customer many times over."/>
        <s v="I received the packages in good shape and as promised with little delay. Products were as described and much appreciated. Thank you PetFlow"/>
        <s v="Had to call in because of recent c card change. Efficient, quick delivery. Thank you"/>
        <s v="PetFlow offers items for my dog at lower prices than other pet supply websites. There aren't as many choices as the bigger websites, but I look at PetFlow first when I need something because of their good prices. My order shipped quickly and accurately."/>
        <s v="I can change the order and they always catch up with the changes."/>
        <s v="That it got delivered in time and your price is fare"/>
        <s v="They got my order out to me in a timely matter and a good price"/>
        <s v="We needed small litter pans and were able to find them at PetFlow. Not only were we able to buy the quantity we required, but these were also the lowest price available online. Thank you PetFlow!"/>
        <s v="Easy to use website. I found the product I wanted. Notifications sent through the whole process after purchase was made. Product arrived when specified, in whole undamaged form (well packed)."/>
        <s v="I am very happy with the fast delivery and also knowing that my ordered items are available. I’m still learning how to navigate the auto shipment with PetFlows system. There are too many shipment options on the page and I have accidentally double ordered "/>
        <s v="We appreciate your efforts to keep Orijen products in stock for the past five years our puppy has been alive. And you get them to us fast! Thanks!"/>
        <s v="Great customer service! The chews need to be long lasting."/>
        <s v="This was the first time I had to use a prescription for food. The staff was on the ball. Got taken care right of way and shipped to me in 3 days."/>
        <s v="The Auto Ship is a lifesaver. The prices are comparable to store prices but never having to worry about running out is fantastic. They are always on time as promised"/>
        <s v="They are still bothering my vet for a prescription on an I order I canceled. Annoying."/>
        <s v="1. Best prices. 2. Fast free delivery. 3. You can get cashbak with Rakuten"/>
        <s v="I got what i order and when was suppost to be deliver"/>
        <s v="Reliable &amp; easy ordering and quick shipping. Their prices for the fish food we use is the best you can find.&#10;Don't hesitate to use PetFlow,&#10;they're outstanding."/>
        <s v="Always great finds at great prices on your site!"/>
        <s v="I was very pleased about the shipping and that it came on the day it said it would. Also I like the price, a lot of people in Amazon are price gouging so this is nice. Thank you"/>
        <s v="Fast shipping was provided as I was running low on canned dog food. The only problem was some of the cans were smashed. They still were able to be opened but tough to get all the food oyt."/>
        <s v="Love the large Guinea pig house. She loves the cloth ones without a bottom. PetFlow was the only place I could find them. So happy they had them I will absolutely continue to order from them"/>
        <s v="Quick shipping and easy website....cost is up tho."/>
        <s v="Rapid response.&#10;Personal interchange.&#10;Human contact."/>
        <s v="First time customer. Ordered prescription food so it had to be approved by my vet. Still had my order in less than a week. Thanks for the speedy delivery."/>
        <s v="This was my first time purchasing. The products available for my cockatiels while limited were good quality. The issue I have is with the packaging of 5 pounds of millet. They need to be put in a bag first to prevent the seeds from spilling out into the l"/>
        <s v="Very professional and my orders are always right and on time."/>
        <s v="I have a been a long time Chewy customer and you beat their price on one of the items and then with 10% autoship, you beat the price on the other item. SO I gave you a try and you delivered.&#10;&#10;I am new and plan to stay."/>
        <s v="timely delivery, wide choice of product at a competitive price."/>
        <s v="Original order on 3/29. Damaged in transit. Heard nothing for a week after. I called and replacement order initiated. Supposed to be delivered on 4/17. It’s now 4/20 and order still showing intransit from NJ with no additional info as to ETA or when my or"/>
        <s v="A better value than their competitors and fast service!! Thank you!!"/>
        <s v="Had my product in stock. Great price. Payed the shipping. Thank you."/>
        <s v="Always fast, friendly service."/>
        <s v="Fast delivery, cans not dented and price!"/>
        <s v="My order was processed and shipped promptly and at a very good price."/>
        <s v="Prices are comparable and free delivery is great!!!"/>
        <s v="So happy to get my very hard to find dog food!"/>
        <s v="We like ordering from PetFlow. The orders come quick and it is easy to get what we need for our babies."/>
        <s v="Easy to order and it shipped quickly and pup is enjoying the toys!"/>
        <s v="So easy to order online &amp; was quickly delivered to my home!"/>
        <s v="I like that I was able to find food for my dog that is hard to locate in pet stores. My order was received within five days and my Pup was very Happy. I will definitely make more purchases from Petflow."/>
        <s v="I have used Pet Flow a number of times. They are usually on time and get things shipped timely."/>
        <s v="What can I say...every order is on delivered in a very reasonable time and the selection of products as well as the price is spot on."/>
        <s v="Great wish they had an app and wish shipping was faster"/>
        <s v="Never no discount or coupon for Fromm food. Spend 70/100 dollars a month on from food"/>
        <s v="You see brands of dog food other companies do not."/>
        <s v="Love the sales that Petflow sometimes has. And I always get what I ordered, as expected, and in a timely manner. Easy to check out too."/>
        <s v="I called for help with an order and agent wanted me to be schooled on how to add to an auto order &amp; I just wanted her help me delete &amp; start new order. She said in a not nice way that if I didn’t learn I would call each time. I’m staying with Chewy for be"/>
        <s v="name brand item at good price. There was a problem with my credit card being accepted. I called and talked to a REAL human being and was helped promptly.&#10;Customer service with real people, getting either is rare today"/>
        <s v="Whenever I have a problem it's always taken care of immediately!"/>
        <s v="The company is easy to work with, helpful when I have had problems and easy to work with to resolve any issues. Shipping is timely also."/>
        <s v="I got my order on time and it was less expensive than any other place."/>
        <s v="Fast and easy to shop and order. Plus Customer Service was great answering my questions via email."/>
        <s v="You have a toy that my dog loves. I have trouble finding it but you have it! So thank you"/>
        <s v="Customer service is non-existent. Shipping takes forever."/>
        <s v="Better prices than Chewy, shipping is a bit slower, but worth it if you just plan ahead.&#10;&#10;First order with them took about a week to get, the second and larger order only took a few days from east to west coast, not bad at all. Good selection of products "/>
        <s v="prices good, fast, leaning a but much on subscribing. My cat is an animal - things need to be flexible, not locked into the same food delivered regularly. Can't I get a discount without subscribing?"/>
        <s v="Ordered twice and order was canceled with no explanation. Finally called and they said my card/order was suspicious and that I needed to call. I went ahead and ordered from Petco instead. They had no issues with my payment. Then I asked them to take me of"/>
        <s v="I ordered dog food. It was delivered the next day."/>
        <s v="When the item was ordered, I didn’t receive any communication as to when it would arrive that was accurate after the email stating that it was ordered. Also, initially the form of payment used was incorrect and the company didn’t notify me or communicate "/>
        <s v="Always have Fromm dog food in stock. Always received my order within 2 to 3 days. Great service."/>
        <s v="You ship so fast and I really appreciate, plus your products and prices are really good and affordable. I can count on my dogs getting exactly what they need. Thank you."/>
        <s v="Great customer service when an issue arises."/>
        <s v="PetFlow's customer service is great! Always someone helpful to answer the phone and solve issues."/>
        <s v="Ordering from their website is easy and they have good prices and fast shipping."/>
        <s v="Well it all started with me not noticing that the shipping address was wron. I didn’t notice it until the order was done. So I sent an email and a test if I remember correctly. I then received a phone call and discussed the wrong shipping address with som"/>
        <s v="I had been shopping from another company, but the prices were just getting to steep. I found Petflow.com to have reasonable prices and all the products I needed for my fur babies. The customer service has been great. I recommend Pet Flow to all the parent"/>
        <s v="I searched the internet and Petflow had the best price for the Blue Buffalo brand. Delivery was quick and we are very satisfied."/>
        <s v="If I could give a rating of zero stars I would. I order two different times and both were immediately cancelled, no reason given. I texted and emailed you company with no response. I have since started using a different pet company for my needs.&#10;No custom"/>
        <s v="Easy to use website! Food arrived on time!"/>
        <s v="You offer fast shipping to my fussy cat who only eats three things. I appreciate your quick turnaround time."/>
        <s v="The delivery was delayed. I was expecting it Friday and it got pushed until Monday. This was my first time ordering so I'll be wary if I order again and be mindful of the delays. Not sure if this is the experience those on auto ship have"/>
        <s v="Excellent telephone info and easy to buy/receive what our pets needed. Quality/price were best I could find also."/>
        <s v="My dog had dental surgery and I needed more Royal Canin canned food. My usual stores out of stock. I discovered PetFlow online. Great price and super fast ship! My new go to store. I recommended to many friends!"/>
        <s v="Easy to order on line, quick delivery and when I called Customer Service they were exceptional!"/>
        <s v="Only place I can get the small-breed dog food I need. Fairly fast shipping. Very helpful customer service."/>
        <s v="PetFlow has lost me has a customer. We've been ordering on a consistent basis since July 2018 (so just shy of 5 years). This final straw has been the last two months when we decided to order all our food for the month in one large order and we have been t"/>
        <s v="I’ve been ordering from for my Chihuahua since he was a puppy. He’s now two years old. Everything is so quick and prompt. The best Company I’ve ever dealt with when it comes to my dogs. Thank you."/>
        <s v="Amazing company that I’m glad I found. Your prices are great and your customer service is super friendly and helpful."/>
        <s v="Petflow had the best overall price (with shipping) I could find anywhere, on the items I needed. Shipping took a few days but only one company offers next day delivery and their goods prices are increasing."/>
        <s v="No problems, fast shipping!"/>
        <s v="WE NEVER RECEIVED THIS ORDER!!!&#10;We have received several emails that say our order was delivered but it HAS NOT arrived."/>
        <s v="Product arrived quickly as I was running low."/>
        <s v="My order for my precious pets arrived promptly and in good condition. My dog’s have loved the food and treats. I have been pleasantly surprised. So much, that I have made a second order."/>
        <s v="I ordered 3 Kong toys and my Pitbull just loves them. The squeaker is a prolonged one so it really keeps him entertained.&#10;I would recommend these to anyone who has a curious pup.&#10;As for Petflow, they have a vast array of items and the experience was a ple"/>
        <s v="Fast delivery and Fair-priced, excellent service for my Chessie. Thank you"/>
        <s v="PetFlow had all the information from a purchase from some time ago.&#10;Immediately filled order and sent pet food which arrived in no time.&#10;SMOOTH"/>
        <s v="I ordered well over a week ago and still have not received it."/>
        <s v="The product was just what I was looking for. We have three large dogs and they enjoy the big bones to chew on. The local store that we use to purchase them from, no longer carries them. I told the Vet this and she suggested to go on-line. I found PetFlow "/>
        <s v="Easy to order, fast delivery!"/>
        <s v="Amazingly fast shipping. Our dog has allergies so getting the right dog food (consistently) is important. PetFlow has come through twice now for us."/>
        <s v="Pet Flows price for Science Diet was less expensive than the other online suppliers I checked with. I received my order within two days of ordering. Overall, I was happy with my shopping experience."/>
        <s v="The convenience of having products delivered to my door is a big plus. Dog food is always fresh. If and when I have to call for assistance, everyone is friendly and helpful."/>
        <s v="The order was filled quickly and shipped right to my door. I know, from experience, that if I had a problem with my order, it would be worked out. It is a great company."/>
        <s v="The items I needed were IN STOCK when I couldn't find them elsewhere. I have switched my subscription service to PetFlow! Fast shipping too!"/>
        <s v="Part of my order was incorrect but they promptly took care of it arranging to pick up the incorrect items and delivering the correct ones."/>
        <s v="I found the dog food I needed for an excellent price and it was delivered quickly."/>
        <s v="I was hesitant after I made the purchase as I looked at the comments and saw how people had trouble with the shipping. I was grateful to have not experienced this. I immediately received a tracking number and my order arrived on time"/>
        <s v="Fast shipping and lower prices than many other places I've bought my dog's favorite brand of food."/>
        <s v="I received a broke ( cracked) pet carrier. They shipped a new one the very next day. It arrived in good condition!"/>
        <s v="Easy ordering and fast shipping!!"/>
        <s v="The wrong dog bowls were sent, then they wanted me to return them by FedEx and would send me the correct ones, but when they did that, they sent them by FedEx ground and they would not have arrived in time. When I called, they said there was nothing they "/>
        <s v="I am a first time customer of Pet Flow. Representative was available upon calling to ask a few questions, The rep was very courteous and knowledgeable answer all my questions? Able to track order which arrived in two days... Yes I will order again..."/>
        <s v="I love that my dogs, favorite dog food I order gets delivered right to my front door in a matter of two days. What’s better than that?!"/>
        <s v="Prompt delivery, product just as described and arrived without damage."/>
        <s v="Came timely!! It was easy to order!!"/>
        <s v="Ordered prescription food for my diabetic dog. First time with Petflow and the transaction was handled smoothly and correctly. Order arrived on time and as expected."/>
        <s v="Wonderful company. Great selection of products, super quick shipping, very reasonable prices and outstanding customer service."/>
        <s v="Great pricing, free shipping and acceptable shipping time!"/>
        <s v="Ordering was easy and the shipping was fast."/>
        <s v="Petflow is always in stock and ships immediately. My pet supplies arrive in perfect condition. No complaints here!!!"/>
        <s v="PetFlow website is easy to navigate. My order was processed and shipped quickly and accurately."/>
        <s v="Sitejabber Website Reviews and Complaints&#10;Thanks – your review was successfully submitted. Woo hoo! 🎉&#10;Our internal mod team will take a look and notify you when it’s posted.&#10;&#10;Thumbnail of user ardigoc&#10;Ardigo C.&#10;0 reviews 0 helpful votes&#10;Whew!&#10;April 6th, "/>
        <s v="Fast delivery, always have what I want at reasonable prices."/>
        <s v="I ordered my dog's food and it came right in time!"/>
        <s v="Was happy to get our new puppy the food we were looking for at a good deal. However, the dog food bag had a hole in it food was scattered everywhere and the box was falling apart (which was not a big deal except for that our food bag had a hole in it)."/>
        <s v="Fast easy service, timely delivery and easy return. We’ll be back to order again in the future."/>
        <s v="My order was correct, came quickly, and was as advertised. My doggos love love love this food, and I loved the ordering experience!"/>
        <s v="My order hasn’t been shipped after over a week. When I reached out I was told I had to call management. I’m glad I received a prompt response, but I don’t want to call anyone, and I didn’t want to wait any longer so I went back to chewy, although your pri"/>
        <s v="Excellent Items! Packing was also excellent and fast shipping. Will order again"/>
        <s v="Most items are always in stock and reasonably priced. My orders are shipped promptly. Keep up the great work!!"/>
        <s v="Very nice and quick with my order unlike some other companies who delay my package love it and the coupons please send more because we in a recession thank you"/>
        <s v="Been ordering from PetFlow for a few years now. They have fast shipping, and always get my order correct. I also like that they have many different foods and products to choose from."/>
        <s v="My first time with PetFlow. It was a fluke how I heard about them. Glad I did. Wonderful website and easy to use (I'm not a tech savvy person). Love the auto-delivery discount and the variety they have. My little one's flavor of Pure Vita dog food is hard"/>
        <s v="Always a positive experience! Quick delivery and has always resolved promptly if there are any issues!"/>
        <s v="Quick delivery, good prices, and trustworthy. We always get what we ordered. Thank you!"/>
        <s v="REPRESENTATIVES ARE VERY UNDERSTANDING AND EASY TO WORK WITH."/>
        <s v="I had a little trouble placing the order initially but that was apparently me rather than the site. Once the order was placed I received an email stating that one of the items was out of stock and would ship from another location. I went to the website an"/>
        <s v="you have decent prices, quality products -- i am a customer for life"/>
        <s v="Both times that we have ordered. We have gotten out purchase when promised.&#10;Only thing I have that may need to be worked on is the ordering site. It took me like 4 times to finally fulfill my order."/>
        <s v="Love Pet Flow..been using them for 8 years now!"/>
        <s v="I've never heard of this company and they sent me an order confirmation. Wouldn't tell me what credit card was used but apparently someone is targeting them -- to gain what, I have no idea. How does using a stolen credit card to ship something to someone "/>
        <s v="Petflow is amazing. The dog food I ordered was out of stock from the other company I have used and so I was so pleased Petflow had it in stock. It got to me quickly which surprised me since it came Fed Ex who I have not had a great experience with for spe"/>
        <s v="All of my experiences with PetFlow are amazing."/>
        <s v="The first attempt to pay failed due to a fraud control with my credit card. After I approved it, the website did not let me retry the payment, it was some glitch. I attempted calling PetFlow during business hours but I was put on an endless wait of over 2"/>
        <s v="Very quick delivery and high quality products. I really appreciated how good they were at communicating the status of the order as well. Will definitely shop with them again."/>
        <s v="You should have known when I placed my order that you DID NOT have it in stock"/>
        <s v="Easy shopping. Great products. Comparable prices. Fast shipping"/>
        <s v="Shipping was quick. And the order was right. The prices are getting awful high, but I guess that is the due to our rotten economy."/>
        <s v="If I could give you a 0 star I would. I was a new customer and I purchased a bag of dog food for my dog that has a super sensitive stomach. I waited 5 days and the food never arrived, so I had to call customer service for them to FINALLY tell me that I wa"/>
        <s v="BUYER BEWARE!!! PetFlow had so many excuses as to why they couldn’t ship my prescription order; cc wouldn’t work, vet clinic wasn’t on record (it was), my account was flagged for fraud…informed fraud dept would reach out to me. Never happened and then my "/>
        <s v="quick service. easy to use"/>
        <s v="I buy canned dog food. I should have split my order into two because I could have taken advantage of two discounts that way. It was an expensive order, but I only used one discount. My fault and it cost me.&#10;Petflow has the best price on the dog food that "/>
        <s v="Web site needs to be a little eiser to use. I have a hard time adjusting the auto ship without out deleting the product and resubmitted to increase or decrease the amount of product.&#10;&#10;Also, I need pigeon grit to be added for sale. I also use Versa laga fo"/>
        <s v="PetFlow has food and toys my dogs love. The website is easy to use, and my orders arrive quickly."/>
        <s v="Customer service is awesome; ordering online is quick and easy; my dog loves these treats"/>
        <s v="Super delivered my home the price is good"/>
        <s v="Very helpful polite phone staff, and prompt delivery. A positive shopper experience. Will continue to shop for my cats Rx food from Petflow."/>
        <s v="I placed an order, my card was charged and then credited a day or so later and then I was locked out of my account. I created another account and the same thing happened, all for no reason, and my orders were never shipped. It was a waste of my time and I"/>
        <s v="Well, you know what they say about 1st impressions!&#10;The CSR's are never on the same page when asked the same questions. When CSR's were asked when will I receive my shipment? Answers varied between CSR's.&#10;One CSR said everything will ship on Monday, while"/>
        <s v="Delivery slower than Chewy. Occasionally, items are sold out."/>
        <s v="It is only recently that we came back to PetFlow after a period of being away. No particular reason for this. We are very pleased with the experience and will be coming back as a customer. Meanwhile, we had been doing business with a major competitor of y"/>
        <s v="My dogs were having an allergy attack and you gave me ideas on what to do, what to buy for the allergies, it really helped"/>
        <s v="Shipping was super-fast, and Koko got her favorite food at a price that left me amazed (not to mention a bit piqued at myself for paying so much more from 2 other major online stores for the last several years). Note that this wasn't any kind of sale, it "/>
        <s v="Pet Flow always gets my order right and delivers in a couple of days."/>
        <s v="They had the product I needed at a great price. Fast shipping too!!"/>
        <s v="Place order for the first time on PETFLOW for a difficult product to find on 3/16/23. After almost two weeks, 3/28/23, I attempted to log in to my account on the website, which had been deleted! My payment had post via my bank on 3/17/23 and no refund. So"/>
        <s v="Ordering was very easy and cost was less than most places. Shipping time was outstanding, 3-4 days and that was over a weekend."/>
        <s v="I had some issues on broken items due to poor packaging. I let Pet Flow know and they took care of it. I have been using pet Flow for a long time and this is my first problem. YES I will keep purchasing from Pet Flow."/>
        <s v="My order was canceled. I was given no notification about the cancellation. Additionally, when I talked to a customer service person to inquire, they were not helpful either. They couldn’t tell me what caused the cancellation because payment is done throug"/>
        <s v="The products I needed were very reasonably priced and delivered to my door step quickly."/>
        <s v="Shame on PETFLOW!&#10;&#10;The shipment of dog food for 17 and 13 year old dogs FAILED to be shipped.&#10;&#10;Ordered on 3/14/2023. I was informed my Vet had approved the Hill's Prescription w/d canned dog food.&#10;&#10;On 3/25/2023, PETFLOW informed me &quot;due to uncertain times"/>
        <s v="Good product, good service"/>
        <s v="First time purchase, two orders were cancelled for no reasons. I called customer service and they said they will investigate and send me an explanation email. Received no explanation, nothing…and agent attitude was terrible. One of the order refund has no"/>
        <s v="I did not order anything but received multiple emails about an order being delivered to my name and my address&#10;I didn’t receive anything&#10;Something is seriously amiss here"/>
        <s v="Overrall, the experience with this online vendor is excellent; however, they frequently run out of products often. Sometimes they delay thr shipments.&#10;The possitive is that they try to help the clients when they call on the phone."/>
        <s v="PetFlow is my first choice for dog supplies. Great customer service and friendly people who genuinely care about their customers."/>
        <s v="I never placed an order with you but my credit card was charged by someone else."/>
        <s v="Prices are very competitive. Shipment arrived very quickly."/>
        <s v="Great price with opportunity to get free shipping. Fast and accurate shipping and order filling. They had the dog food I was looking for."/>
        <s v="I still haven’t received my order…&#10;It took over two weeks to receive a call from Petflow after placing my order. Evidently they didn’t have my full address. That has been at least a week and still have not received a shipping notification. I ordered puppy"/>
        <s v="good company, nice people that can be reached by phone right away- no robots!&#10;&#10;good selection of products and very helpful and do not rush you&#10;&#10;PetFlow carries my favorite cat and dog food- Orijen."/>
        <s v="I ordered 8 boxes of 20-pound cat litter. I got a great deal, 48-hr. shipping, and an easy shopping experience. Plus, Raukten had 4% cash back. This was a better deal than chewy.com, which is usually the best. I am very happy!"/>
        <s v="Fast delivery&#10;Accurate order"/>
        <s v="Good products at good prices delivered timely."/>
        <s v="Very good service, thank you!"/>
        <s v="Every time I order from PetFlow I get fast service. It's nice to know when I need food or treats or toys they are on their way quickly. I also like receiving tracking information to keep in the loop."/>
        <s v="Order canceled for no reason or notice given"/>
        <s v="Great Prices. Fast delivery. Almost everything for taking care of your pets."/>
        <s v="Did not like that I buy a membership in order to save on my purchase…very disappointed with that part of checkout"/>
        <s v="Left product out by the street in the rain...It was covered in plastic....but still by the street is bad news."/>
        <s v="I ordered some Guinea pig food and the price was better than any other place! It shipped out fast and the company did a great job emailing when it shipped out with tracking. The products arrived perfectly packaged in a box that was just the right size for"/>
        <s v="I have ordered twice now from this company. Fast shipping, boxes arrived in tact, no problems."/>
        <s v="I had been looking for best auto ship on wet cat food and found PetFlow to be the best. They ship quickly and the whole experience is just great!"/>
        <s v="Good prices, great customer service. You also carry brands that mainstream stores do not."/>
        <s v="I ordered dog food to be sent to my daughters while she is keeping my dog. You evidently canceled my order and was not advised by Petflow."/>
        <s v="I always did love PetFlow. Only switched after years of buying from them because it took a bit longer to receive the product than was convenient. After finding out that they carry a product I was not able to get at my current pet food company I decided to"/>
        <s v="Account flagged as fraud. Long wait time for customer service. Had to give credit card info over phone. Can’t get a password email reset even though you recognize my email address. So, can’t access account."/>
        <s v="Petflow published an anniversary discount of 25% for orders over $100. I was so frustrated when my order wouldn't accept the discount. I called Petflow - and spoke to a REAL PERSON! (Bonus Points) Better still, the customer service rep was apologetic, fri"/>
        <s v="Website takes too long to navigate.&#10;Shipping takes too long.&#10;7 days from order to delivery."/>
        <s v="Great prices fast shipping only compliant is several cans were dented but they were still sealed."/>
        <s v="This is a fake account. I already called my bank and you a few weeks ago. Someone is using my email address &amp; an old card that is already marked fraudulent to purchase cat supplies. I don’t even own a cat. I have unsubscribed and continue to get these ema"/>
        <s v="friendly competent person that took care of my problem quickly"/>
        <s v="The 1 star may or may not be fair, but it’s to make a point. I have not prior history or account with PetFlow. I randomly started receiving multiple daily emails from PetFlow regarding multiple orders made (including order updates) to multiple people in m"/>
        <s v="I ordered cat food and when it didn't come and I was just running out, I called. They didn't even bother to tell me that it had been cancelled because they couldn't verify that the order was from a real person."/>
        <s v="The round cat scratcher fitted perfectly inside a round woven basket that my cats love. I had to remove the cardboard supports, which was easy to do.&#10;Many thanks!"/>
        <s v="Not sure why but I had a monthly subscription set up with my name, old address, and some credit card I don't own. Not sure what caused it. The website wouldn't let me cancel anything so I had to call in to talk with someone and get them to cancel it. The "/>
        <s v="Easy online ordering and product came as promised with no issues."/>
        <s v="Pricing, ease of using your website"/>
        <s v="we received a shipment from petflow and never made an order. When we contacted petflow, customer service rescinded the order and sent a notice to FedEx to pick up the package. We were supposed to leave the package outdoors. After 2 days, we contacted cust"/>
        <s v="I keep getting emails about orders I did not submit showing a shipping address in Mexico, NY. I am reluctant to click on any link in their email message and will not call the number listed as this appears to be a scam."/>
        <s v="Excellent service, super fast delivery."/>
        <s v="The first time I used the automatic dog bowl it leaks around fitting"/>
        <s v="My purchased was flagged and canceled.I have called twice and no one can tell me why!.i am pissed!"/>
        <s v="Ordered 3 times from Petflow, great customer service every time. They answer calls, respond to emails, and honestly do everything you would want from a company. Not to mention affordable prices."/>
        <s v="2 33 lb. bags of dog food in one box is TOO HEAVY! I can’t move it."/>
        <s v="I am getting emails about orders I did not place. I have replied back numerous times I am not Jeff and I have not placed ANY orders with you, and based on this experience, I never will. I would like you to leave me alone"/>
        <s v="Delivery time for product wasn't as promised; it was completely unacceptable."/>
        <s v="Amazing experience.&#10;My package was delivered on time and very fast!"/>
        <s v="Product was delivered as promised."/>
        <s v="Pet Flow always has my dog’s food in stock and it arrives very quickly."/>
        <s v="Easy to use App for ordering and always quick delivery. Also if I order a large bag of food for my dog I get free shipping!"/>
        <s v="Have had very good experience with PetFlow&#10;Good products with great shipping&#10;will order more"/>
        <s v="price was much better than most other places that I have purchased. I reached out to you about changing my shipment and the response was great. I will continue to purchase from this company"/>
        <s v="Quick reliable service. I’ve been with them for a while now. Sometimes it takes longer in the winter."/>
        <s v="I love the convenience of PetFlow. I live in a rural area and they are the best price and value for having my dog’s specialty food shipped. They make it easy with auto shipments. Even when I need to change dates it’s very easy. Shipping is always as expec"/>
        <s v="I have never shopped with you guys remove my email from your marketing emails/ company!"/>
        <s v="First time purchasing. Beats Amazon prices!"/>
        <s v="I always find a great selection of products and competitive pricing."/>
        <s v="All was well with initial service and product. The problem is with your packaging of two large bags of dog food in one box. The box quality is mediocre at best, the dog food is too heavy and too large for the box. The box broke open. This could be foresee"/>
        <s v="I am happily impressed with the personal service and speed of delivery from PetFlow. As long as PetFlow carries the pet food I use I will continue to shop PetFlow."/>
        <s v="EXCEEDINGLY EXPENSIVE!&#10;If I oculd attach a screen print ... I'd show/ prove it to you. Look at the price for the same item from CHEWY and MOST OTHER REPUTABLE COMPANIES. I put CHEWY'S link here but TRUST PILOT DOESN'T ALLOW LINKS. Too bad ... BECAUSE IT W"/>
        <s v="I've been buying from Petflow for several years. Every order has been carefully packaged and timely delivered. Shop with confidence."/>
        <s v="What I ordered was in stock and the order fulfilled promptly."/>
        <s v="Great quality products and very quick shipping"/>
        <s v="I bought the Kong monster balls for our Beagle , her second set of them . She loves them so much she hardly plays with any of her other toys."/>
        <s v="Your two representatives, Tristan and Ryan were knowledgeable, professional and courteous. They helped me through the process of creating a subscription account."/>
        <s v="Good prices; delivered as expected"/>
        <s v="You cancelled my order because I made it while traveling abroad. Don't worry, I will never visit your website again."/>
        <s v="My dogs most favorite treats are impossible to find!! Thankfully PetFlow has them in stock regularly!!! No more rationing their favorites!! Always fast shipping, arrives in great condition!!"/>
        <s v="Prices of the Blues Buffalo Wilderness canned dog food was good. Delivery was late bc it was out of stock which was fine. However, six of the 12 cans were dented which I won't use."/>
        <s v="Fast shipping and prices in line with other companies."/>
        <s v="Great prices, fast delivery!!"/>
        <s v="Great selection and price, fast delivery"/>
        <s v="Had never heard of this company before and was planning to use Chewy for our order, but found this company in an online search. They offered a coupon so I opted to give them a try. Our order was for prescription dog food, so we had to go through mailing i"/>
        <s v="Easy to navigate website and you had food for both my pets."/>
        <s v="Very pleased with purchase! Price was great, better than Amazon! Free shipping over certain amount fast also! Very well packaged. Often from A it looks like it rode behind the truck, not in it! Very happy with Petflow! They be my new goto supplier! Thank "/>
        <s v="My first order was cancelled in error by merchant. They were quick to resolve this when I called. Unfortunately, the same thing happened again when I ordered other merchandise. Again, they were quick to resolve this with a phone call. The customer service"/>
        <s v="Easy for me to order, the package showed up in a very timely manner."/>
        <s v="Prices are good&#10;Wish delivery was faster"/>
        <s v="I added a few things to my cart and left for a bit to get some lunch. I came back to several emails, telling me about the contents of my cart, and coupons on such. It had been like 20 minutes and ya’ll was already bugging me. Calm the hell down.&#10;&#10;Further,"/>
        <s v="I have sent in the prescription several times and my order still has not been filled. It is way too time consuming."/>
        <s v="I haven’t received the order after two weeks, and I haven’t received a reply from the help desk about when it’s coming."/>
        <s v="PetFlow definitely had the best price on this item that I could find, including prompt, free shipping."/>
        <s v="Fast, great prices, great selection &amp; super customer service."/>
        <s v="Best prices that I’ve found. Great customer service. Shipped my order promptly."/>
        <s v="Found Pet Flow purely by accident when looking for a specific dog food kibble online. Made my first order which was shipped promptly and arrived in a few days. I also noticed that prices are very competitive and shipping is free over a $49. purchase."/>
        <s v="I know that the road conditions for my order were difficult, but the delay was minimal."/>
        <s v="Likes: Good pricing, Fast shipping&#10;Dislikes: Not disclosing all information about pet food ingredients. Lack of customer support."/>
        <s v="My first experience was excellent….from the quality of the product…my dog loves the chicken treats…to the customer service. The sale was a great way for me to become acquainted as I do live on a budget!"/>
        <s v="Your website is very intrusive and hard to navigate, all I wanted to do was look up availability, choose and pay. It invariably brings up prior views, goes all over, even signed me up for recurring deliveries. Decided to leave and shop somewhere else."/>
        <s v="I have been using this company for years and will continue to do so. They carry high-quality product. Have a great customer service and fast shipping."/>
        <s v="PetFlow has such a variety of options for your pet. I have a very picky cat and can’t always find her choice of food at the pet store! Thankfully, I discovered PetFlow. They were way less expensive than the store I normally shop at and had exactly what I "/>
        <s v="Price was good. Product was received promptly. Ordering was easy. The only issue was that most of the cans in one case were severely dented. Customer service responded quickly and provided a new case."/>
        <s v="I've ordered several times from PetFlow.&#10;They have excellent products. Easy website to navigate. Good customer service."/>
        <s v="Low prices, fast shipping."/>
        <s v="Quick delivery when everyone else is so slow or delayed. Accurate orders. Petflow cares about the animals by donating a portion of the profits 🫶🏼"/>
        <s v="I received the dog food I ordered in a timely manner. They offer a wide variety of food."/>
        <s v="Fast shipping on hard to find item! Thanks"/>
        <s v="I order from petflow a lot. Never been disappointed"/>
        <s v="Upon placing the order I received and email from Petflowasking me to allow a couple of days while the Vet is contacted. Around the middle of the week the food was delivered as promised with no hassles. My cat can not conusme any other food and this Veteri"/>
        <s v="I had to call customer service regarding an auto ship that I needed sooner. Somehow I had an extra bag of cat food arrive. I may have made the error but when I called the Petflow representative, they were willing to take the bag back however, I wanted to "/>
        <s v="Food arrives quickly and well packaged. They carry Fromm dog food which Chewy and Petco don’t carry."/>
        <s v="Item was priced very fairly. Shipping was soo fast. Just an excellent experience."/>
        <s v="When I got my package I found that I was only sent half of my order. I called customer service and got ready to go rounds with someone telling me they were sorry BUT... It wasn't like that at all. I was immediately sent another shipment, no fuss or hassle"/>
        <s v="I already reported that this is my email not Dale Leonard's. I was told that Dale's account was removed from your records. Please remove my email from your records.&#10;Thank you,&#10;D Beatson"/>
        <s v="Lots of finger pointing between my vet and PetFlow… I’m not sure what problem was but vet said he never heard from&#10;PetFlow vet… so preset want processed… first time in last year I’ve had any issues with the process on prescription dog food… anyways once I"/>
        <s v="It was easy to find the product and place the order. Shipping was super speedy, which my cats appreciated."/>
        <s v="It arrived in time no delays or hiccups in the delivery."/>
        <s v="It’s always great, great low price, super fast shipping, great experience all the way around….Love Pet Flow…Thanks"/>
        <s v="Pedro's Mom, Allison, was attentive, helpful and pleasant. She's a truly a professional customer Service agent."/>
        <s v="Thank you for excellent customer service."/>
        <s v="Constant account hacks. I would be recommend."/>
        <s v="My account was hacked and my credit card information was mixed in with at least one other stranger’s information. When I advised Petflow about the problem I was merely told I had been the victim of some outsider’s actions and to start a new account with a"/>
        <s v="Easy to use website, fast easy shipping, great products. It would be nice if the free shipping limit was lowered."/>
        <s v="Very cool customer service. Quick shipping . The price is high. But the puppies love it."/>
        <s v="The wrong product was shipped and Petflow immediately sent out the correct food for my dog! Great customer service. Will definitely buy from then again."/>
        <s v="Pet flow is the most awesome online pet food provider in the market ! Even w/ trivial issues we incurred they prevailed as the winner &amp; so did we , thanks !"/>
        <s v="package and order was ok just left at wrong house and I did not see any notice of delivery"/>
        <s v="I have always had good service from Petflow. I have received damaged cans and they have always taken care of me. I donate the damaged cans to the shelter. The customer service reps have always been very friendly and professional. I love that they also don"/>
        <s v="Just switched over to you from many years with Chewy.com Ongoing Out of Stock for our Prescription Food, then far too many &quot;cute&quot; apologies.&#10;&#10;Came to you to fill and you had the inventory, twice actually and now I am on Auto with you.&#10;&#10;Thank you."/>
        <s v="I ordered 2 items and one never shipped and both items were coming out of the same warehouse. Shipping for the 1st item took 7 days . When my order arrived, I called to tell them my 2nd item never came. Customer service was great and said they would &quot;rush"/>
        <s v="Very hard to work with even though I had a prescription from the Veterinarian Office, which they never contacted Carolina Beach kept sending me the same message. If you have a copy of your prescription, please email a clear copy to along with your order n"/>
        <s v="Ease of ordering and modifying my auto ship order"/>
        <s v="All of the information you need to fill my order you have on file, which helps things go very smoothly!"/>
        <s v="I tried ordering dog food twice and both my orders were cancelled for some reason. Never received an email saying it was canceled just never reviewed the package and had to log onto my account and check what was going on both times. Ended up having to get"/>
        <s v="everything came quickly, but the bird treat sticks came all broken up. I wish there was a better way to send them"/>
        <s v="I am getting emails telling me that my order is on its way or it’s delivered. I DID NOT ORDER ANYTHING RECENTLY. PLEASE GET THIS STRAIGHT!&#10;Nothing is being charged on my credit card, I just get emails saying my order is on its way to some address I don’t "/>
        <s v="No issues and will order again."/>
        <s v="I placed an order and with no explanation or email, they canceled it. I logged on to my account to see why it was taking so long to deliver and it just said order canceled. I called customer support and waited on hold for 30 minutes and then it just hung "/>
        <s v="Every time I have called, everyone is very respectful and answers my questions."/>
        <s v="Order came fast.&#10;Staff answered my email quickly and helpfully.&#10;This company actually has REAL people who answer the phone and are sp pleasant and helpful.&#10;Prices are good."/>
        <s v="Always works perfectly...order online, what I ordered delivers in a few days."/>
        <s v="It was real fast service to get the bag of pet food. Our puppy appreciated it!"/>
        <s v="It was great to receive dog food in three days, delivered to my door, and for the lowest price!"/>
        <s v="I ordered two cases of Merrick Grain Free Chunky Pappy's Pot Roast Canned Dog Food. I received one case of the correct item and one of another food. One of my dogs has a chicken allergy so we checked the ingredients on the cans we didn't order and they ha"/>
        <s v="Although I received an email stating my order needed to be fulfilled by a further distanced warehouse and that my order could take up to 5 extra days, this company was able to deliver my goods on the original date.&#10;&#10;This was important, because no one in m"/>
        <s v="It was easy to place order online and it came quickly."/>
        <s v="Great Service ships on time. Have purchased multiple times"/>
        <s v="This account was supposed to be closed as it is fraudulent. Still getting emails for it. Looks like their purchase went though. Please close this account."/>
        <s v="Very good prices on the dog food we need. Also, fast shipping."/>
        <s v="My e mail is bein used through your website without being verified by myself. I am not using your website at all."/>
        <s v="Fast efficient delivery of a difficult to find product."/>
        <s v="My account was hacked and charges were made. Then i was told 3 times they restarted my autoship but never did and then locked my account. Meanwhile im expected my dogs food that i can't get around town"/>
        <s v="Great prices. I texted with a request and was answered within 24 hours with a nicely stated response."/>
        <s v="I have been dealing with your company for a very long time and just love doing so. All of the representatives are so friendly and helpful. A quality that seems lost in these times."/>
        <s v="Two of the things I ordered were out of stock but there was no indication when I placed the order that they were, so I was quite disappointed when I opened the box and two items were not inlcuded."/>
        <s v="Mr. Bigdog, Samson Loves the Cranberry treats and, the Parmesan treats the best~! He'll eat both but, picks out the Cranberry first... Art"/>
        <s v="Outstanding Customer Service reps. They are very knowledgeable and helpful. Thank you!"/>
        <s v="What a great place to shop for dog food!!!!!!"/>
        <s v="There is a glitch in your system. My account kept going to auto fill even though I cancelled it back in 2020. I should not have a problem now that I asked to have my account deleted."/>
        <s v="Prices were great, the orders were sent right away"/>
        <s v="Great service. Ultra-fast delivery."/>
        <s v="Twice now I’ve relied on Petflow to send me my Blue Wilderness- but it’s been out of stock- very disappointing."/>
        <s v="My order was canceled. I wasn't notified. When I called to find out why I was told it was flagged as fraud due to the quality in my order. I explained it was not fraud, it was less than a month of food for my two dogs, I was told they would reach out to t"/>
        <s v="My login was hacked and a fraudulent order was placed using my account. Even after I asked Petflow to cancel the order and fully delete my account, they still sent me a request to review the order on Trustpilot. Seriously?"/>
        <s v="PetFlow always has the best pricing and fast shipping. Auto ship is wonderful for never forgetting all your pet’s needs. It’s also customizable. Would DEFINITELY recommend PetFlow!"/>
        <s v="Great selection, on-time shopping"/>
        <s v="PRICES AND SPEEDY SHIPPING IS THE BEST. FEEDING HUNGRY DOGS IS EVEN BETTER"/>
        <s v="Prices are generally the same as Amazon and service is better. Prefer to support a private company when possible- and they sell Fromm products."/>
        <s v="Petflow is a great place that offers the best bang for your buck.&#10;Toys were as described and the pups were very happy."/>
        <s v="I screwed up my order and Mikaila fixed it without a problem. My items arrived quickly. I appreciated the new customer discount as well."/>
        <s v="We have used Petflow for years through the course of many dogs and have always found them very informative, caring, and a company that we do buisness with monthy. Between Petflow and Chewy there is no better full-service animal food, etc. provider."/>
        <s v="PetFlow is always responsive and great at filling our monthly auto ship order. Happy to do business with them."/>
        <s v="Even though I have complained before Petflow continues to package two 30lb bags of food on one box resulting in Gedex the carrier to drop the box and the contents inside burst open."/>
        <s v="I got a great deal on a great product. I was worried because I had never shopped with PetFlow before. I received my order in a timely fashion and I received plenty of notification about the status of my order. The particular Dog feeder I was looking for w"/>
        <s v="Easy ordering process. My only complaint is that it would be more convenient to see past orders to order again or edit an order as having to go thru and search products needed. My cat is on special diet and just need to be able to order his food in a quic"/>
        <s v="Easy, fast and reasonable."/>
        <s v="Easy to place order. Items arrived as described and when expected. Very happy with everything."/>
        <s v="I love that you donate a meal to a homeless animal with my purchase. It’s a wonderful way to help them, to not forget them. Also, your shipping is exemplary. I wish more companies were like Pet Flow!"/>
        <s v="Petflow’s Phone wraps are very pleasant and knowledgeable on how to help you my English cream golden retriever Walter needs a veterinarian prescription dry dog food. I used to get it through Chewy. But lately they’ve been having a hard time keeping it sto"/>
        <s v="Order was cancelled, I had to call and email for 2 weeks (3 calls and 3 emails).&#10;&#10;Supposedly due to some unknown reason my account was flagged as fraudulent. No real explanation.&#10;&#10;I was told a few times to reset my PW however my account has been disabled."/>
        <s v="Shipping seems to take a bit longer than it used to but I suppose it's a common problem. Petflow DOES update their delivery date notifications though."/>
        <s v="I live in Florida. My email was used to order twice. The shipments went to Texas probably using a stolen credit card. I was not charged. Talked to Petflo representative last week with information."/>
        <s v="I'm so glad you asked. I will be back. The process was simple, professional, and unbelievably fast. Thank you!"/>
        <s v="Mallory was AWESOME!&#10;She deserves a raise!!&#10;Only issue is still waiting.&#10;Been billed, finally got notification it shipped. Possibly because it had to go to Vet?&#10;Anyway, again, I will ask for Mallory next time!"/>
        <s v="This is the first time I've ordered from this outfit and I was totally pleased with the transaction. Their price for&#10;the dogfood I ordered was reasonable, they shipped quickly, and Rocco the dog is a happy camper."/>
        <s v="Love the fact it’s cheaper, comes right to my door and no shipping cost. Great deals"/>
        <s v="I was looking for that specific dog food for our new puppy and petflow was the only online store that I could find Verus Brand!"/>
        <s v="I found the food I was looking for. The price is high but industry standard. I liked the option to purchase a large bag and 2 of them. Thanks!"/>
        <s v="Pet flow is the way to go, I order my fur baby food all the time from pet flow and my delivery is on time, that is why they are the best.&#10;Thank you to pet flow and all of the team that works there. Shadow said woof. 🐕‍🦺"/>
        <s v="You send me a survey link yet I still haven't received the items. Surely you know this. The communication is terrible. Takes several days for any response. Hopefully I'll get the items soon - and I understand the weather delay but my items have basically "/>
        <s v="While the prices at PetFlow may be good, there are severe problems with having products in stock. It seems that no matter what I order (wet or dry cat food and cat litter), it's out of stock or has to come from a further away location. It didn't use to be"/>
        <s v="Reliable. Great choices."/>
        <s v="Everything I order was right and I get fast delivery"/>
        <s v="Easy ordering, fast delivery, competitive prices.&#10;&#10;My only complaint is — too many texts and emails!"/>
        <s v="I had recently ordered food from Pat flow with no issue. A couple of times my card was compromised and I had an issue with it and resolved it but recently, for some reason no one will give me an explanation of why I am not able to order food from you, eve"/>
        <s v="You carry the quality products I feed my 2 dogs and cat! Fromm, Annamaet, and Wellness. In addition, you deliver these foods in a timely fashion. I am a VERY satisfied customer and I recommend you to all my animal stewards."/>
        <s v="There is no option to cancel an auto ship so beware when you sign up for one. I am still trying to cancel it. There is only a pause option online and I can not get a support person to contact me."/>
        <s v="Your fast delivery, customer service, and packaging is excellent."/>
        <s v="My dog food that is on automatic order, the size i usually get was out of stock, so i was told unable to ship and received no food. However, that same dog food was available in a larger size and no-one took the time to let me know that. Not very good cust"/>
        <s v="It took over ONE week to get my order delivered!😩"/>
        <s v="I requested few times to add more selections of versele laga pigeon feeds and grits like gerrymandering, champion, black label, ic start etc. Pls pls pls"/>
        <s v="Very easy to order and products arrived quickly and in great shape! Thank you !"/>
        <s v="I experienced a problem with my order (not their fault) and customer service was so quick to help me fix it! Really appreciate the immediate response and care that was given. My order then arrived safely and packed well."/>
        <s v="Besides canned dog food, I ordered 4 bags of rather fragile treats and they arrived a little crushed. The company quickly shipped four new bags of the treats. They arrived in very good condition. I was impressed at how quickly and easily the customer serv"/>
        <s v="Still not delivered on the 28th.&#10;12 days ago&#10;Terrible"/>
        <s v="I did not place this order! I have already notified you about this. What is going on with these correspondences?"/>
        <s v="Quick Shipping! Unfortunately 2 cans of the dog food were badly dented!"/>
        <s v="The shipping is so inconsistent. Took almost 8 days to receive my dog food. This happens about every 3 months. Hard to foresee when I need to order. Leaving my pets without food so I’m forced to buy dog food elsewhere."/>
        <s v="Canceled my $300+ needed vet cat food order because &quot;email doesn't match.&quot; When I literally called them asking them what was going on here. Wouldn't send out my cat food. Horrible service. Will look do business elsewhere unless they have some killer deals"/>
        <s v="This was our first time buying on here. I found what I needed at a great price. It was easy to order and arrived quickly. Thank you!"/>
        <s v="You had the product that I needed at a fair price plus your shipping was on time."/>
        <s v="Fast shipping, great product, and even better price for what I purchased.&#10;I have made my second order, and will continue to do so with PetFlow."/>
        <s v="Good selection of high quality products. Shipped promptly. Authentic product from approved distributor. Packaged securely for shipping."/>
        <s v="Great customer service&#10;Very prompt to fix slight problem"/>
        <s v="Great as usual. Easy, quick, and reliable!&#10;Thanks"/>
        <s v="I called because my order was delayed twice. The gentleman I spoke with was very condescending. I told him that nowhere on the website does it state how long or how your purchase will take or ve shipped. I explained to him that I have 7 dogs and it is har"/>
        <s v="After a little confusion on your website about auto-ship, I was helped along by a pleasant customer svc lady. Smooth transaction. Great price on what I needed (and usually purchased at Chewy for more $); came in 3 days in a roomy box that my senior cat, V"/>
        <s v="The experience with pet flow is always so great!! I love the customer service and how helpful everyone is."/>
        <s v="Great service!! Lots of dog food choices!"/>
        <s v="Ordering was easy and delivery was quick."/>
        <s v="They worked with me very well when my cat refused to eat the brand of prescription food I'd bought."/>
        <s v="Service was great and combined with the best price, you can't go wrong."/>
        <s v="I really appreciate that PetFlow carries Fromm. It's difficult to get and PetFlow delivers quickly."/>
        <s v="I would give a 1 star for getting the dog food in a timely matter. FedEx is the worse by far. I’ll have to find a local shop in my town to buy as the shipping rates a minus 4."/>
        <s v="The company canceled my order 3 tines with no notification. Bad company bad customer service. Zero stars. I'll keep shopping with Chewy.com"/>
        <s v="My order went to the wrong address and wasn't delivered. Thank you for replacing it"/>
        <s v="Excellent pet products at bargain prices!"/>
        <s v="Products were shipped quick and for a great price! I was searching for bird toys (budgie) and there were plenty of toys to pick from on the site."/>
        <s v="Orders arrive on time and prices are good. I recommend."/>
        <s v="My orders are always delivered within 2 days. Great service and price."/>
        <s v="They always have the items I am looking for and at a great price. Check out is easy and delivery is fast."/>
        <s v="This company was awful to deal with. They never sent my product and gave me a hard time about my refund."/>
        <s v="Although FedEx is the most miserable POS low life carrier, your agent putting &quot;deliver to porch&quot; actually worked! They usually just kick it out the door on the way past. I'll buy from you again!"/>
        <s v="It's nice to get a heads up before a shipment goes out in case I need to adjust the contents or timing. Shipping is always prompt and the selection of food, treats, etc is quite amazing."/>
        <s v="I ordered roaches, and not one of them was dead. EVERYONE OF THEM WAS ALIVE AND HEALTHY.&#10;Very fast shipping and very fair price!&#10;I will definitely be doing more business with PetFlow."/>
        <s v="Great and plentiful selection of pet supplies, prompt delivery, and excellent customer service!"/>
        <s v="Website has alot of choices and the delivery was on time"/>
        <s v="I mostly order kibble &amp; bull sticks . I order &amp; it always comes quickly."/>
        <s v="Petflow ships promptly every time we order our Fromm dog food from them. Excellent customer service!"/>
        <s v="I ordered cat food for my 2 fur babies and it always arrives on time. Petflow has great communication with its costumers.I like the extra help if I can't find something.Nice people!"/>
        <s v="Tried to place large order using $50 off $200, but ran into out of stock items making it difficult. Once order was finally placed, got another out of stock notice. If petflow is to be depended on to supply pet needs, shouldn’t they have items in stock?"/>
        <s v="PetFlow has been good for me and my dog Elsa.Happy with products,price and shipping."/>
        <s v="Great company to deal with! They notify you when your next shipment is coming and you can adjust that date if needed. Good prices too!"/>
        <s v="easy ordering, quick shipping"/>
        <s v="The products arrived undamaged. With heavy cans, that is great."/>
        <s v="Had the food in stock and promptly shipped"/>
        <s v="I received my first bully sticks from my dog’s breeder. When my Bernese mountain dog treated them like candy the doc suggested I only order natures own grass feed steer. Service, price and reliability have been excellent. I am am auto ship customer now."/>
        <s v="I changed suppliers of canned dog food and got the same product for a substantially reduced price.&#10;I'm happy."/>
        <s v="Great prices, great service."/>
        <s v="Phone reps were great! On both occasions this month they worked diligently to get my order dates changed and on the 40 lb. bag of catfood for the ferals, got it shipped out THE SAME DAY!"/>
        <s v="While the checkout experience was decent, and I was able to save money with a coupon (this all made me happy) - once my package was delivered, I was not happy! I bought 12 bags of dog treats for my 3 boys and 3 of those bags (3 of same kind/flavor) all ex"/>
        <s v="You are reliable, honest, efficient and timely."/>
        <s v="The filters and search were not fluid or user friendly. So many items out of stock but that was not known making it time consuming. I nearly gave up twice because of the experience. Not sure how the rest of the site is as I only searched for cat food and "/>
        <s v="Order process easy. Great service corresponding with our Vet."/>
        <s v="Easy to find what I needed at a good price.&#10;Thanks!"/>
        <s v="Shipment always delayed and customer service never responds to email 👎🏽"/>
        <s v="I ordered by wet dog food from Pet Flow for several reasons, those being the price difference between a competing online dog food distributor, the ease of ordering, the friendliness and helpfulness of the agent I spoke with and the fast delivery of the pr"/>
        <s v="The item I needed was in stock, the process was very easy, I had my order within days and on time. I will continue to order through PetFlow!"/>
        <s v="I was waiting for notification that my prescription had been verified by the vet and/or that my order had been shipped. After several days, I contacted PetFlow to ask what was up. I got an email saying the order was cancelled out of concern for fraud. I w"/>
        <s v="My orders were cancelled without notification twice."/>
        <s v="I have had a horrible experience which is still to date not resolved. Placed an order (not a first time customer), My vet was contacted and sent back approval for prescription food. Internal PetFlow issue isnt adjuticating the approval. Noone will help me"/>
        <s v="Easy to begin auto ship. Has the special dog food we were searching for that is highly rated for having ingredients important to long lives of optimal health. Shipment notices sent to keep us informed of when to expect order. Received order in timely mann"/>
        <s v="Shipment was quick. Product was packaged well."/>
        <s v="Solid reliable company to purchase from. Customer service seems supportive if anything beyond a typical order is needed."/>
        <s v="Great website, excellent prices, and quick deliveries. I will only get my dog's food from PetFlow going forward."/>
        <s v="Best price, fast shipping for my hungry dogs."/>
        <s v="Had just what I needed at a great price! Very quick shipping. Had trouble getting the order through a couple of times but I persisted and am glad I did! Will definitely tell my local shelter about them, I am a cat socializer and they might be interested i"/>
        <s v="Awesome service....great packaging......great prices....very convenient"/>
        <s v="Pleased with all my purchases. People are helpful."/>
        <s v="Auto ship does not work. Advance notice of order was supposed to come but does not. Auto ship does not take changed scheduled when modified days before shipment date. Will not use auto ship or this company again to order dog food."/>
        <s v="My order was canceled and I was never notified. I only discovered that it was cancelled after I logged onto my account to find out when my order would be delivered. I called and was given no explanation for the cancellation or when the dog food would be d"/>
        <s v="They are doing a great job! Left Chewy for them and haven’t looked back since."/>
        <s v="Easy website for me, always a pleasure to speak customer service if you need them! Auto ship is easy, changing ship date and products is a breeze and you get a nice discount too!"/>
        <s v="Quick shipping and competitive prices. Thank you!"/>
        <s v="Shipping was faster than I expected. Best of all, the items were in perfect condition. No dented cans or boxes, which has not always been the case, so I especially appreciate it."/>
        <s v="Product was in stock. Added to cart and quick checkout process meant I was “in and out” in less than five minutes."/>
        <s v="I have now ordered a couple of times and I am 💯 satisfied. The orders are correct, well packaged, and on time if not early. I will be ordering on a regular basis from this company. I have nothing but praise for them. Excellent!"/>
        <s v="I called customer service because my order had not shipped after several days. The woman I spoke with in customer service was very polite and helpful and my order was shipped out the next day and I received notifications of the shipping status throughout "/>
        <s v="Very fast shipping! Had my order in a few days! I was able to saveoney as well! Great company!"/>
        <s v="I placed an order, and called three days later to make sure it was coming that day. I was then told that my order was cancelled for possible fraud. I was never notified by a phone call or e-mail that this happened. She couldn't place a new order because i"/>
        <s v="Prices are good, and delivery is timely. My problem has been with ordering from your website. The system cannot seem to store my credit card information properly. Last time it was so bad I had to have one of your staff order for me."/>
        <s v="Petflow reps are always helpful &amp; make good on any issues you have"/>
        <s v="Too long for shipment. Had to keep emailing when order would ship. Items were in stock. Don’t know what the hold up was"/>
        <s v="Great company quick delivery have all the pet products we need"/>
        <s v="Petflow had brands that I have difficulty obtaining elsewhere. Their prices are good, and the food I ordered for my dog with allergies arrived in good condition."/>
        <s v="Great price on the Chinchilla food that purchased. I always shop away and PetFlow had the best price and I received it super quick,"/>
        <s v="First-time experience"/>
        <s v="I changed the address for delivery and it got mailed twice, one went to the wrong address but I still had to pay for it."/>
        <s v="I ordered canned prescription Royal Canin wet food at a cost of 95.00. Most of the cans were dented on top and bottom. It could be bad for my cat to eat. What a waste. I usually order from Chewy.com, but they were out of stock"/>
        <s v="Discovered Petflow due to Chewy being out of stock for several weeks of my dog's prescription canned dog food. I got the name of PetFlow from a trusted dog friend. Food arrived quickly. Thank you!"/>
        <s v="Willingness to help me through the ordering process for the first time--I was having some technical difficulty."/>
        <s v="Excellent service and very quick delivery!"/>
        <s v="Never had a bad experience. Prices are extremely reasonable and customer services is awesome."/>
        <s v="The customer service is extraordinary. Any problem I’ve had was corrected swiftly, expertly, and cheerfully. These people seem genuinely interested in taking care of our pets."/>
        <s v="Good price, fast service."/>
        <s v="It was my first time ordering with this company and it will be my last one. They canceled my order and didn't notify me, when I called them, they said it was flagged for fraud and had to be canceled. I asked why, they said they can't give me any additiona"/>
        <s v="I didn’t even place the order that triggered this review to pop up. It was fraud and I’m still dealing with the canceling of my credit card because your website wasn’t secure.&#10;&#10;Also, even on this page my name coming up as James Shearer. That is not my nam"/>
        <s v="Carries brand not found in most pet stores. Efficient, fast delivery."/>
        <s v="Awesome professional support with timely shipping. Great prices as well."/>
        <s v="Prompt response when I had a problem with my order. They gave me a credit because my dog will not eat the food I ordered."/>
        <s v="Great experience on website and delivery!"/>
        <s v="EXCELLENT PRICING, SHIPPING NOTIFICATION AND PACKING OF ORDER!! Just wished they had more selection available."/>
        <s v="I’m was technologically inept on the computer and had to call the company to order my product. The person who answered the phone was so courteous and helpful. Because of her, I will continue to order my dogs food from PetFlow."/>
        <s v="Everything I was looking for was in stock, and delivery was quick."/>
        <s v="The whole process went smooth.&#10;Fast shipping.&#10;Very satisfied."/>
        <s v="Using Petflow was easy, and I was able to find substrate for my tortoise that was not available near me. I also ordered wet cat food. It was the trouble with Fedex that will make me reconsider using Petflow again. My catfood was shipped all over the place"/>
        <s v="Two reasons: the terrific customer service and product pricing. Simply put: they earned my business. Sometimes low pricing (actually the best price I could find) means low quality customer service, but not at PetFlow. My first order from PetFlow arrived d"/>
        <s v="Ordered prescription dog food. No email telling me you got the order. I called and they said it would be coming out of a warehouse, did not know from where or when. Still no email. Had to go buy food locally, which I am disabled and it was alot of work an"/>
        <s v="I was looking for better pricing for my dogs food, and that is how I found Pet Flow. I want to feed them a better dog food than what is in most grocery stores. I was happy to find Pet Flow, they have good customer service, and great prices. With 5 dogs, I"/>
        <s v="They always have what I am looking for at a fair price. In particular, I order Fromm's dog food. They are one of few places that carry it. Shipping is quick as well"/>
        <s v="Easy, awesome new pet products online order/delivery company recommended to all pet parents 😀"/>
        <s v="They had what I needed in stock and it came fast."/>
        <s v="Website was easy to navigate and shipping was fast. Compared prices and Petflow was the best by far. Will definitely order again"/>
        <s v="After deciding what brand of dog food I wanted for my new puppy, I did a search for the best price.&#10;PetFlow had the best price."/>
        <s v="RECIEVED THE LAST PRODUCT, I ORDERED. I CALLED YOUR COMPANY TO LET YOU KNOW, THE PRODUCT WAS DAMAGED (BENT). I TOLD THE PERSON, THE BOX WAS NOT DAMAGED, SO THE PRODUCT HAD TO HAVE BEEN PUT IN THE BOX DAMAGED!&#10;HE DIDN'T WANT TO HEAR IT AND WAS REALLY RUDE!"/>
        <s v="This was a new Company to me with a good buy on the products I needed so I decided to give them a try. I am VERY DISAPPOINTED: 1) I never received an Order Confirmation Email as stated (checked my Spam) and was rather referred to my Email Provider immedia"/>
        <s v="Everything was quick and easy. The Custer service rep was knowledgeable, professional and pleasant"/>
        <s v="Could not pay with paypal. For some reason kept getting message problem with connection"/>
        <s v="I appreciate their communication with me in regards to orders and delivery"/>
        <s v="I can always find the products I want for my dogs at really good prices"/>
        <s v="There was a delay in shipping and the order had to be split, but throughout everything they kept me highly informed of everything going on. Best part for me, the customer service representative who responded to my email was kind, helpful, and informative."/>
        <s v="Great and Fast Service and plenty of communication …. You can’t ask for more"/>
        <s v="I had to get a specialty cat food for our cat who has dietary restrictions. I was unable to use a coupon that had been sent to me. I called and immediately it was taken care of, I was able to use that coupon, they quickly confirmed prescription with our v"/>
        <s v="Easy to use, fast, and cheaper than other pet supply companies!"/>
        <s v="Over the last year there has been significant shipping delays with my autoship order. The issue seems to be primarily with the NJ warehouse where they don't work night, weekends etc. There is a discconnect between product forecasting, order entry and supp"/>
        <s v="PetFlow always gets my order correct, has great prices and I never have to worry about running out of food for my dogs and cats"/>
        <s v="My cat would not eat several differert canned cat foods. I tried the one for stomach and hair and she has not thrown up since. You now have a returning customer!! tHANKS"/>
        <s v="Shipment on time. Customer service great"/>
        <s v="Not a good experience at all. I choose your company because of a discount you offered me fir being a first time customer. I never got the discount because your ad was misleading. I was only going to get the discount if I signed up for auto refills (that w"/>
        <s v="Fast shipping!!&#10;Had the food I needed —happy to have a promo code as well !&#10;Great communication with shipping and delivery"/>
        <s v="The exact product I was buying locally at Petsmart. A prescription cat food but in a larger economy bag for about 30 % less. Shipped free and on time. I'll be a regular customer now"/>
        <s v="Very happy with the product the way it was pack, got it in the time frame I was told and what’s more important my cat love it and you guys where the only place who have it in stock thank you so much"/>
        <s v="Ten business days after placing my order and being charged for the order, the product has yet to ship. 5 business days after placing the order I contacted customer service, who indicated they would check with supplier and get back to me. I was told it cou"/>
        <s v="Trouble free delivery. Arrived when expected as expected. No complaints at all. Would recommend..."/>
        <s v="Tried ordering twice..both times the orders got cancelled by their team. Neither time did they reach out to me to inform me they were cancelled, it was just after waiting days for a shipping confirmation after getting an email they were fulfilling the ord"/>
        <s v="Got what I ordered and delivered quickly."/>
        <s v="Although I had never purchased from PetFlow before, they delivered quick and on time and the product was exactly as advertised."/>
        <s v="Had dog food I used, processed my order quickly and I received it quickly.&#10;Only problem I had was box that it was shipped in was totally broken. Luckily dog food wasn’t."/>
        <s v="Good selection of products, pricing was very competitive, and shipping was super fast!"/>
        <s v="Good service and competitive prices. Products arrive in good condition and in a timely manner."/>
        <s v="They went above and beyond the call to ensure satisfaction after the carrier had lost a shipment. I highly recommend Petflow to anyone looking for quality goods at a fair price."/>
        <s v="Could not buy cat food without a prescription...like what the hell is that about, It's all so Veterinarians can get paid it's total b*******. Absolutely uncalled for"/>
        <s v="Availability&#10;&#10;Good Price&#10;&#10;Easy Scheduling"/>
        <s v="Good products quality excellent customer service"/>
        <s v="Ordering the needed vet diet for my dog has been easy. More communication regarding the order and when it is shipped and will be delivered would make it a perfect transaction."/>
        <s v="You falsely advertised an item. You advertised the item was in stock then when it was supposed to ship I receive an email stating was out of stock but on your website it still to this day states it is in stock. Now I can't cancel the auto ship I can only "/>
        <s v="Extremely friendly and helpful customer service and quality items always available. Shipping is always quick and they donate a bowl of food with your order. Win/Win"/>
        <s v="Very happy I ordered the food one day and received it the next."/>
        <s v="I have received my puppy’s food in a timely manner and he loves it. Thanks!"/>
        <s v="7 of the cans were extremely dented. One of the seven damaged cans was leaking"/>
        <s v="Super quick response time when I accidently ordered a toy I didn't want.&#10;Website is user friendly. Huge amount of items to choose from.&#10;I used to shop a Chewy but I needed a prescription and it was easier to pick my vet from you list than going through al"/>
        <s v="PetFlow is wonderful, many varieties of food for your pets. My only gripe is that after placing an order I got a Thank you email w/a picture on it saying review yr item, get $10 back. They gave it to me for only one of my reviews &amp; the very good, sweet cu"/>
        <s v="Customer service has been great, but shipping practices need work! I have complained on multiple occasions that my shipment of canned dog food arrives damaged. They pack too many flats of cans in the same box, and don't use any packing materials to preven"/>
        <s v="After ordering I did NOT get a tracking number or shipping confirmation even after getting a notice that the food was shipped. My PayPal payment was taken right away.&#10;I also was put on autopay WITHOUT MY PERMISSION.&#10;I had to manually cancel an autopsy I d"/>
        <s v="I’ve been overcharged for my orders since mid August due to incorrect sales tax. I informed company of this explaining why we were overcharged including documentation from the state proving the correct rate but was continuously blown off and disregarded. "/>
        <s v="Concerned about the package that I ordered 2 weeks ago that still has not arrived. I'm running out of the canned food for my dogs . . ."/>
        <s v="I have a recurring order and needed to modify. Tried and messed it up and ended up having two recurring orders. Called customer service and a very friendly person helped me navigate to delete one."/>
        <s v="Overall a good experience. I am not a fan of the website, could be a bit more user friendly. Shipping takes too long. Orders take a while to process. Availability of products is ok. Prices/sales could be better."/>
        <s v="First time ordering prescription food order for my pup and customer service was so helpful to track order to deliver as soon possible! Very helpful and trustworthy!"/>
        <s v="As advertised product with timely service."/>
        <s v="Was on time and order is right. Thank you."/>
        <s v="Hi, I live 1/2 mile off the county road,fed x is the only delivery outfit that will come up here in the winter. You shipped my food with them so I got it in a short time. Way to go! Tim"/>
        <s v="Need to tape top and bottom end edges. Just the middle is not enough on large bags."/>
        <s v="It’s extremely easy to order anything.&#10;I really appreciate that. It’s always on time when they say you’ll receive it.&#10;They also give you a tracking number so you can keep track of your order.&#10;It’s a great company and so easy ordering what you need. 👍🏼♥️"/>
        <s v="The deliveries arrive in good condition, and on time."/>
        <s v="PetFlow carries the particular brands of food for my pups that I are the most nutritious and made by family run companies in the US."/>
        <s v="I have been using this service for over 10 years. I have never had a bad experience with either the product or the customer service. Everyone I have dealt with has been friendly, knowledgeable, and professional."/>
        <s v="Shipment arrived torn from stem to stern and keel. Meager attempts at re-taping most likely by the carrier. Packaging too light for the weight in the box. Amazed that all product was still in the box, even tho box was near total destruction. I notified Pe"/>
        <s v="Apparently when I placed my order the item was in stock. My card was charged and I expected shipment soon. A couple days later I got a refund of my purchase with no explanation. The explanation came a couple days later that they were out of stock. Seems a"/>
        <s v="Usually, I don't have any issues. This time, the shipment of cat food was all over the place. Cans were not secure in the case and many were severely dented. Almost like someone just threw the case in the box."/>
        <s v="Responsive customer support."/>
        <s v="Price and prompt delivery"/>
        <s v="I found this company online when the place I usually order from was out. Ordered three bags on Saturday the product shipped on Monday and arrived to my home on Wednesday, I live in a very rural area as well. WOULD DEFINITELY RECOMMEND."/>
        <s v="Quick shipping, helpful customer support, and quality cat food purchase. Best price too. Thank you."/>
        <s v="There was a bit of confusion with the customer service rep when I called regarding the prescription diet food for my dog. I had already sent the script to customer support but when I called to let them know it was there, she said I needed to send it to cu"/>
        <s v="I ordered tetraColor XL tropical granules fish food and my fish thank you. I got it just in time as I ran out of 3 days servings left. Speedy delivery for great price."/>
        <s v="My package was delivered damaged and they quickly replaced it without questions."/>
        <s v="Has what I needed and delivered it in good time."/>
        <s v="Easy to navigate website. Found the dog food I was looking for and with discounts applied by PetFlow was able to get the lowest price I could find anywhere."/>
        <s v="This was the first time I had shopped with PetFlow and found it to be very easy to find what I needed."/>
        <s v="I will never order anything from this company again. They do not have the food I ordered, but it’s on back order now they are holding my credit card hostage and won’t cancel my order."/>
        <s v="My orders are always punctual and good. This time, was especially essential that my order was expedited faster than usual as my dog sitter who was taking care of my dog during a family death over the holidays didn't tell me he was almost out of food! Than"/>
        <s v="my account showed a backorder. order more product, then got a bunch of products, good for months."/>
        <s v="I needed to find a specific prescription food for my diabetic dog and they had it, along with some other options that my vet would approve if my dog didn’t like this one. They got in touch with my vet immediately to verify his prescription and shipped the"/>
        <s v="PetFlow has a great selection of products, great prices and fast shipping. I buy the Nulo Cod and Lentils Weight Management dog food, my guys love it"/>
        <s v="Cheaper then other places. Fast shipping. I was very pleased."/>
        <s v="All of my dealings with pet have been positive. My dog food is always delivered in a timely manner."/>
        <s v="Easy to order, competitive prices orders arrive fast!"/>
        <s v="I purchased Milk Bone Pill Pockets. This was a really good price, and they shipped my order quick. I'll definitely be back."/>
        <s v="Fast shipping and almost always have foods I am looking for in stock for immediate shipment."/>
        <s v="Quick service, good packing, good prices."/>
        <s v="Cumbersome Internet system caused two orders to register rather than one. Canceling the orders immediately still did not stop an extra bag of dog food from arriving, causing multiple emails and finally return."/>
        <s v="I received this order so quickly which I really appreciated. It surprised me, it was so fast."/>
        <s v="Took 9 days for order to arrive. Multiple erroneous ails re expected arrival, had to go buy at store and.order was delivered after I left the area."/>
        <s v="This has to be my 10 th or more times that I have either purchased dog and cat food from PetFlow. The delivery service is excellent! Also selection is wonderful and price is just the same or less than in the stores. It’s so nice to come home and your fur "/>
        <s v="Was kept informed about items back ordered and other items shipped separately."/>
        <s v="PetFlow is a great place for pet products at reasonable prices. Delivery is reliable as well."/>
        <s v="I've ordered bulk cat litter from PetFlow several times now. They offer a great price, great products and quick shipping! Will be ordering again."/>
        <s v="Website was easy to navigate. Checkout was quick. Easy to track shipping. Delivery within a short period of time."/>
        <s v="I can count on PetFlow to carry the food that my furry babies like."/>
        <s v="Incredibly fast service. Perfect packaging. Everything absolutely wonderful!"/>
        <s v="I Love PetFlow, there are always so helpful and easy to order. I love how I get free shipping and they're always on time. Customer service is great and I have definitely recommended PetFlow to friends and family."/>
        <s v="I HAVE ORDERED FROM PETFLOW SEVERAL TIMES AND MY ITEMS ALWAYS ARRIVED WITHOUT ISSUES, THE PRICES ARE THE LOWEST IN EVERY STORE AND ONLINE SITE THAT I COULD FIND. I HAD A SMALL ISSUE AND IT WAS TAKEN CARE OF IMMEDIATELY. CUSTOMER SERVICE WAS QUICK TO ASSIS"/>
        <s v="Offer quality dog food and treats.&#10;Fast order filling and shipping.&#10;Reasonable prices. Great clearances."/>
        <s v="Ease of ordering, product better than described, costs are reasonable, very prompt shipping."/>
        <s v="PetFlow delivers the treats my dog prefers. With the pandemic we weren’t always able to get her treats at the store - that’s how we found PetFlow. Yay!"/>
        <s v="Always have great order takers, fast and efficient."/>
        <s v="Confirmed my order for dog food and did not ship it nor contact me. I ran out of food for my dog. Unacceptable to harm my dog or anyone's pet. Will never do business with a company that disregards the health of their real customers. Apparently this issue "/>
        <s v="Website was easy to use and checkout was quick"/>
        <s v="Easy ordering. Very fast delivery."/>
        <s v="Great product and quick service. Will definitely buy from them again."/>
        <s v="Timely delivery, large selection of products. Notification of products arrival that had been out of stock. Great web. Thank you PetFlow!"/>
        <s v="I ordered 2 trays of special vet approved canned dog food - it arrived quickly and well packaged. No delays even though they had to confirm with Vet."/>
        <s v="More often than not my dog's food is backordered, so then I have to scramble to find her food, then days later the backordered item ships. I then have 2 bags of $80 food that I didn't budget for."/>
        <s v="I have used PetFlow for a few years. Every order has been filled accurately and timely. Communications regarding order status has been excellent. I would give a five star rating except for the minimum order size and shipping costs."/>
        <s v="I Love the products! I feel the shipping takes a long time. Much longer than other companies I buy from."/>
        <s v="Awesome website and many brands to choose from. Easy ordering and the dog food- Canine Cuisine- is loved by all furry friends. Definitely recommend Petflow.com."/>
        <s v="I don't like that 2 orders were placed (only 1 charged for) and I still don't have either of the orders!"/>
        <s v="Easy to make a order and a good delivery"/>
        <s v="The shipping used to be very quick but now it seems although the items show in stock it takes a week for the items to ship. It is disappointing as I grew accustomed to the fast service"/>
        <s v="I was able to find what I needed at a good price. Shipping and delivery was very timely too"/>
        <s v="Petflow has consistently met my expectations even when having to ship from Nevada, what normally ships from New Jersey."/>
        <s v="First time purchasing from Pet Flow. Ordered Dr. Marty's small breed food and a bag of treats. Great fast shipping. And my dog LIKES the food."/>
        <s v="All online. Ordered prescribed cat food. They took care of rest. They confirmed with vet and bam, 2 day later the food was at my door."/>
        <s v="The representative was super friendly, easy to work with, and quick to resolve my issue. 10/10"/>
        <s v="Great price very quick shipping and great to talk to."/>
        <s v="Everything was so easy&#10;&#10;Placing the order shipment. Just delivery time was a bit slower than Chewy"/>
        <s v="I never received a notification that I had an upcoming subscription order being processed. I was unable to edit the delivery date. When I reached out to Customer Service several times I got zero response.&#10;The day I was notified I had this order being proc"/>
        <s v="Your prices were the best we could find. Quick delivery."/>
        <s v="I had trouble finding Verus dog food anywhere else, but PetFow had it and delivered at a good price,"/>
        <s v="Easy ordering, product in stock and for cheapest price among other sales outlets, reliable shipping and delivery."/>
        <s v="I’ve placed multiple orders with Petflow and each time it’s delivered really fast with great prices an excellent service."/>
        <s v="My order NEVER arrived. I ordered the tear stain tablets and two different treats. Please send me my order or credit my account 10767863"/>
        <s v="On Time delivery"/>
        <s v="Pet Flow was fast with shipping and delivered when promised. Merchandise was is excellent condition and exactly as pictured. Very pleased."/>
        <s v="The greatest part was the followup when my package got damaged and you all replaced it. My only criticism is that your tape doesn’t hold, especially in the harsh rain."/>
        <s v="Ordering was easy. Delivery was prompt. Customer service is exemplary."/>
        <s v="My product order was in stock and I received in a timely fashion."/>
        <s v="I ordered a product on January 9 and still have not received it. I've written to Petflow inquiring about this and never received a response."/>
        <s v="I can always count on my pet food delivery to be on time and we’ll packaged."/>
        <s v="In the last year service has gone from fantastic to spectacularly frustrating. My last interactions have been frustrating to the point of closing my account. I have a hospitalized friend in another state. I was purchasing food for his dogs and having Petf"/>
        <s v="Love the carrier! It was easy to get my cat in through the top door and was just the right size. Will fit my 14 pound cat as well. Had it within a few days of ordering it."/>
        <s v="Cancelled my order and claimed it was fraud and refused to sell to me."/>
        <s v="You carry my product but took awhile to arrive !"/>
        <s v="The product I ordered was out of stock, yet the system still allowed me to order it, even though it was out of stock. I cannot trust the system to give me the correct stocking of this item."/>
        <s v="Shipping was fast, I saved a lot with the coupon they sent for a first time shopper! Got 3 heated mats for our dogs"/>
        <s v="Pet Flow is a great place for your pet needs. We have been very satisfied!"/>
        <s v="Flagged my purchases as fraud and then refused to allow me to repurchase."/>
        <s v="We were counting on our Fromm dog food Auto-Ship order to be shipped on the date that PetFlow said they would ship. According to them they got very busy during the holidays and this order did not ship until the following week. As a result we had just enou"/>
        <s v="Product was in stock and order was filled correctly and quickly."/>
        <s v="Delivery was on time and at a better cost than other merchants."/>
        <s v="Dog food was delivered to family members home. It arrived quickly and in good condition."/>
        <s v="I placed my order online easily. I did receive an email stating the shipping would be delayed but they kept communication open, it was only delayed by 2 days and I received my items as expected!"/>
        <s v="The company delivered when promised, with the exact items ordered. My only complaint (and it's a little one) is that it was difficult to follow the order once it was in the system so that I could see where it stood."/>
        <s v="Overall Petflow has good service and competitive pricing for the products they handle. The website could be much more user friendly - to adjust an order or make changes to a saved order can be very confusing."/>
        <s v="Carry brand I was seeking."/>
        <s v="I was low on food for my dog because I forgot to order so it got here pretty quickly. I was down pretty low and I called to see when it was going to arrive and spoke to a very lovely and helpful woman in their customer service."/>
        <s v="A large variety of pet food products to choose from. Package arrives intact. An animal gets a bowl of food with my purchase.&#10;Thank you"/>
        <s v="They were very friendly they would take your phone calls if your computer wasn’t working and the delivery was always on time and I appreciate that thank you"/>
        <s v="The quality of the pet food. The fact that you carry Fromm can’t get it many places, and it’s a trusted brand by me and my family"/>
        <s v="Competitive prices, shipped well with no damage."/>
        <s v="PetFlow is the —only— online source that seems to be able to maintain stock of the particular Taste of the Wild canned variety that we prefer to feed to our guys. Shipping is free above $49 or so, and since we get multiple cases, no problem! Shipping is F"/>
        <s v="Where to begin? First, inventory on their site isn't real. In my case, the veterinary dog food I ordered was to be shipped from the manufacturer who was out of stock. Second, rather than them inform me, I called for order status three times. The first two"/>
        <s v="I didn’t make an order. Someone hacked my account and tried to set up an auto ship order to an address that is not mine."/>
        <s v="This was my first order from PetFlow. I found out my dog has some pretty extensive allergies and with each passing day, I had no choice but to feed him the stuff he was allergic to until my new food arrived from PetFlow. I regret switching from my usual p"/>
        <s v="I was told when I ordered 1-3 days for arrival. It took 7 days. I have a kennel of puppies and needed the food.&#10;Will never order again from you. It has happened several times."/>
        <s v="Everything went smooth, I had to ask for help using the sight and received it well."/>
        <s v="The PetFlow website is easy to navigate and their autoship is easy too. I appreciate getting the notices that it will be shipping and that I need to make changes, if any, by a certain date. I also get emails keeping me up to date on my orders."/>
        <s v="Didn't help at all, Basically said I can not order the item and move on"/>
        <s v="Reasonable prices. Very good communication and notification system. The only con is that some products are not always available and back ordered."/>
        <s v="PetFlow is great because they sell the dry food I feed my cat and it isn't around anywhere else. I also want to say thank you for receiving my order 3 days after I ordered it. Often it can take up to a week."/>
        <s v="GREAT Company, GREAT Service and GREAT Products"/>
        <s v="I couldn't access my account because I couldn't remember my password. Your account recovery system is not very good at all."/>
        <s v="The order was wrong. I called and the young lady that answered was very professional and efficient. She took care of the problem and I could hear the smile in her voice."/>
        <s v="Order took almost a week to reach me. When I called to check where it was I was told you were experiencing delays. It would have been good customer service to tell me that via email before I called."/>
        <s v="I absolutely LOVE PetFlow!!! I am thankful for fast shipping and the fact they work so well with my vet to get my Diabetic Dog the food she needs!!!"/>
        <s v="I ordered (2) 40lb bags of dog food. One bag was damaged on arrival and they replaced entire order sending 2 replacement bags. More than made up for it. One thing is the replacement boxes actually had more packaging material to hold up better in shipment "/>
        <s v="Impossible website entry. Customer service didn’t answer my questions. Delivery is late - I don’t have my shipment yet."/>
        <s v="I have ordered from Petflow for a few years now-never had a problem. My last order was a total nightmare dealing with your customer service reps. Rude, condescending, passive aggressive e-mails sent to me when all I asked was &quot;where's my dog food&quot;. I orde"/>
        <s v="I have used these folks for a couple of years. They have the best price for the product I buy. Delivery is quite prompt."/>
        <s v="To slow on getting the order out,hard to understand the ordering system."/>
        <s v="Easy to use and find items with quick delivery."/>
        <s v="Intuitive site allows me to easily order and reorder the dog food varieties I need. Good electronic notifications confirming orders, tracking shipping and projected order arrivals. I like easy."/>
        <s v="It took a little long to receive the items due to product availability. This is not the 1st time.when I did receive it, tge order was fine"/>
        <s v="Always get a great deal with coupons and the food arrives exactly when they told you! Will be ordering again soon!!"/>
        <s v="Customer service is terrible. I will not order from you again."/>
        <s v="I loved PetFlow - they used to be really good with getting my orders out right away. I placed an order on 1/1, called a few days later as my order still was not sent out. Customer service said they were noting that my items needed to be sent out ASAP - st"/>
        <s v="Communication regarding shipping was lacking. In the past, ship dates and estimated arrival times were closer to reality."/>
        <s v="My order was cancelled without them letting me know, and I received lousy customer service trying to figure out why. Placed my order again, but of course the price of one of my items has gone up. Customer service will not help."/>
        <s v="- I was .49 cents short for free shipping so I added 3.00 treats that never got added to the order, got charged for shipping, the package was so heavy FedEx dumped it in the wrong lobby not even bothering to drop it at my door.&#10;You make us order so much &amp;"/>
        <s v="It took a very, very long time to get to my house. I've switched to Chewy because their shipments get to me in one to 2 days."/>
        <s v="Haven't received product and you want a review? Ordered on 12/30 needing it no later than 1/12 and won't receive it until the 13th if lucky. But still asked for review. Maybe make your automated emails for review tied to the delivery of the items. Would b"/>
        <s v="The package came in good condition and when it was running late I have a coupon for the next order that they sent."/>
        <s v="I’ve been with Petflow for many years. Product is alway delivered promptly and no damage. If you do have a damaged can they make it good. Love this company."/>
        <s v="Ryan was exceptionally helpful and because of his assistance, I will continue to shop at PetFlow."/>
        <s v="7 years doing business with You (PetFlow).&#10;Poor resolve for item I have been buying from you for 7 years.&#10;&#10;I will look forward discussing this with Senior Corporate Manager.&#10;&#10;With 60 years in Corporate myself with Customer Support responsibilities, pehaps"/>
        <s v="They always have what I need in stock and at a great price especially with the use of the coupon options."/>
        <s v="If I could give Petflow 0 stars I would. Their customer service is AWFUL, AWFUL, AWFUL, they take forever to ship items (on the off-chance that they actually have the items available) and will require a huge waste of time on your part to rectify issues th"/>
        <s v="My order was placed December 20 and I still don’t have it. Two weeks is just too long. Ordering from PetFlow is just too unpredictable, sometimes it’s days, sometimes it’s weeks. I had to buy from another source."/>
        <s v="Please give alerts or notifications when you can’t fulfill an auto ship order! I have to find out by checking my account after the expected shipment date has passed and I’m out of my cats prescription KD food. Have voiced my concerns multiple times over t"/>
        <s v="Delivers as promised, and checks that it was received. I am thrilled that I found PetFlow!"/>
        <s v="I like that you sent the food and the price was lower than most other places. I did not like not being able to order food because it seemed to automatically turn on auto shipping that I didn't want. And I couldn't find a way to turn off auto shipping. So "/>
        <s v="Made an order. Just like I have several times before. They canceled the order but did not let us know. No email. No phone call. Nothing. We bought from Petco and will from now on."/>
        <s v="I have tried to use PetFlow a few times for their monthly shipment of dog food and I have always come across issues. The first order, my first bag of dog food was delivered on time. The second order of dog food was delivered with tape all around it. I rem"/>
        <s v="Still haven't received our order, so ordered from and received in two days - which is good so our senior dogs do not have to eat puppy chow."/>
        <s v="Order not shipped from warehouse for about a week and still shows as not picked up. I had to check the status and call to cancel it after 7-8 days."/>
        <s v="No follow up regarding status of order and no order received. Very disappointed"/>
        <s v="Like others, my order was canceled without notice, and I only found out when I checked my order online after 10 days. A rep at PetFlow said that they automatically cancel orders because of fraud concerns if the shipping address is different than the billi"/>
        <s v="WHERE IS MY ORDER WHICH WAS OREDERED ON 12/26/2022? ORDER #10729000 BERGEN K-9 CAFE!"/>
        <s v="My orders are taking longer and longer to get. It's taking about a week (in the beginning they came in a few days). I have ended up going to the only location nearby that carries Fromm dog food while waiting for my dogs food. A week ahead of time should b"/>
        <s v="Love the convenience and customer service."/>
        <s v="Everything ships quickly.&#10;Was disappointed that I couldn’t find the one medication through PetFlow."/>
        <s v="Placed an order for dog food, waited over a week without updates so I followed up only to find out my order was canceled, but I was never notified. This caused such a delay with getting the food that I am currently out of. Had to order from somewhere else"/>
        <s v="Easy to reorder and shipping is fast and free."/>
        <s v="Great experience. Fast shipping. I haven’t been able to order my cat’s food from anywhere else because it was out of stock. PetFlow got it for me."/>
        <s v="Ordering online was easy and shipping was fast. Had an item that was out of stock, they let me know then shipped it when it was back in stock. Great to do business with"/>
        <s v="Great selection of products. Carry name brand at a reasonable price. Quick shipping. Quick response from customer service. If something is wrong with your order they correct it in a timely manner. Very happy with my service from PetFlow. Will definitely r"/>
        <s v="My order was cancelled by the fraud department without any notice to m. I wouldn't recommend PetFlow to my worst enemy. I have tried to reset my password and correct the problem but, when they say they sent a password reset I never receive it."/>
        <s v="Sorry, not sure if it's my phone or your website. Used to always order online but the last few times, I can't seem to get all the way through to place the order. I'll have to go back to calling my orders in."/>
        <s v="The best prices and fast shipping. Very happy!"/>
        <s v="I have 3 dogs and not one of them would play with it they totally ignored it"/>
        <s v="HORRIBLE COMPANY. ORDERED FOOD FOR MY DOG AND GOT AN EMAIL SAYING WE RECEIVED YOUR ORDER. CALLED A WEEK LATER AS NEVER RECEIVED MY ORDER OR AN EMAIL SAYING IT SHIPPED. THEY SAID THEY CANCELLED MY ORDER AND COULD NOT SAY WHY AS THEY ARE NOT ALLOWED. SERIOU"/>
        <s v="The company is absolutely awsom.another company sent me to petfkow and I'm so happy they did and I will contiune to shop at petflow. Thank you for being petflow."/>
        <s v="Great prices and fast delivery. We we were using Chewy, which is great, but they don't carry the food we need for new dog. I am very happy with my recent Petflow experience."/>
        <s v="Communications and correspondences (via email) was better than most pet stores."/>
        <s v="I am very impressed that my order was received before expected, none of cans of food were damaged, the food is very fresh, and the price is right. PetFlow is now my go-to from now on for Zignature Kangaroo Formula canned dog food. Thanks for being so on t"/>
        <s v="Terrible just terrible. Not helpful at all. Still waiting for my dog’s medication it’s going on 3 weeks now I keep getting the run around from everyone I speak to. I’m over this company. Y’all need to get ur “stuff”together."/>
        <s v="Ordering can be made easier and delivery took longer than ecpected."/>
        <s v="First was the excellent selection offered at a fair price. Then there was delivery. No easy challenge since ihe order was placed over the holiday and we had a major snow storm. Guess what BuddyHolley, my Bearded Collie, was enjoying his food and treats ea"/>
        <s v="I have a dog who is allergic to everything basically so I used the online chat and the customer service person helped me locate a food and treats that basically only have duck (one of the only things she’s not allergic to)."/>
        <s v="Delivered on time. Was able to brands I wanted not available on other sites like Chewey."/>
        <s v="fast shipping, fair prices, and excellent customer service!"/>
        <s v="Had products in stock, quick delivery. Great customer service."/>
        <s v="Easy to navigate the website and items shipped fast !"/>
        <s v="Petflow always delivers good products in a timely manner. They are also the only online provider of my dog’s food."/>
        <s v="Twice my order has been canceled due to fear of fraud and no one ever reaches out to me to ask. I’m frustrated that a week later, when my order isn’t received, I call and find out it was canceled. They have my email and phone number."/>
        <s v="I placed an order recently from Petflow. They had the best price on the items I was searching for. I didn't need the items right away and I appreciated that I could request the date I would like the items shipped to me. Highly recommend Petflow!!"/>
        <s v="Fast shipping, great prices and accurate order"/>
        <s v="I had put numerous orders in for this product in the past two years. The order got canceled many times and I was told I would be notified when they came in. I was never notified! I just happened to come back to your site to see that you had them in stock."/>
        <s v="In the past, the customer service was always exceptional. My last phone call pertaining to a delivery delay was met with indifference &amp; a lack of resolution. I'll continue to shop at Petflow but will think twice before inquiring about a problem."/>
        <s v="My dog food took FOREVERRRRR to get here. Each time I called customer service, it rang about 20 times and the phone would hang up. I emailed them and it took 3 days for them to get back to me. Rep said they are overwhelmed because they are a small company"/>
        <s v="I contacted customer support online to cancel my auto ship. I accidently set a second one while trying to cancel. I had 2 auto ship orders. I made it clear I wanted them both canceled because my order increased by almost $84.00. Too pricey. I found my ord"/>
        <s v="Package arrived late again&#10;&#10;Fed ex should not be your carrier"/>
        <s v="Easy to order and I love the automatic ordering"/>
        <s v="Terrible customer service, worst company to ever do business with even the supervisors are rude they constantly hang up without addressing any of your issues."/>
        <s v="I placed an order which was received by PetFlow with a ship date of Dec 19th. Dec 28th still had not heard a word. Called customer service who told me PetFlow had canceled the order because it was flagged as fraudulent by “them” ! Not my bank ! I will “ne"/>
        <s v="Easy order process and quick response to the order"/>
        <s v="I stopped using Chewy when the company was bought by PetSmart. I'm glad I chose PetFlo."/>
        <s v="I placed my order on 12/14/22 and received an email that my order would ship on 12/15/22. I contacted PetFlow on 12/21/22 about my order not shipping yet. When I received a response the next day I was informed “due to stock issues my order was cancelled”."/>
        <s v="The dog food I ordered came quickly and I didn’t have to pay for shipping. The food I ordered changed the look of the bag so I thought I was sent the wrong food. Petflow responded immediately to my issue."/>
        <s v="Even with your promos (EX: Current promo PFT025 25.00 off 100.00) Amazon is still better priced. And I get better sizes and better autoship deals. We are working with tough times folks - you need to step up your game on competition or get left behind. Not"/>
        <s v="I have an account at PetFlow since June 2015&#10;Unfortunately my order of cat food was cancelled without any notification...Such an unexpected behavior of company... customer service when I called them explain order was blocked by fraud prevention department"/>
        <s v="You're fine. Don't be so insecure! I used you once and I've gotten like 30 emails from you. It's too much! Now you want to be rated, it's coming off very needy and insecure. Keep having the lowest prices and I will keep using you. Stop with all the email "/>
        <s v="Had the product I was looking for for my cat. Fast service"/>
        <s v="Our beloved Newfie died a day or so after we received his auto shipment of food from Perflow. We had not even opened the box. Allison from Petflow offered her's and Petflow's sincere condolences. And she said just set the unopen box outside on the porch a"/>
        <s v="Actually I am writing to see if I can return an unopened bag of food. Winnie did not like it and is back on her original food."/>
        <s v="Best price on the dog food I buy. Very quick shipping"/>
        <s v="Good sales on good products. Fast shipping."/>
        <s v="My beloved dog passed away unexpectedly just after I had received a large shipment of food and supplies. I contacted PetFlow and they arranged to have the products picked up right away and closed out my auto ship orders so I would not have to do that. I'v"/>
        <s v="What made my experience great was finding the product I wanted (and a little more) and getting it ordered quickly and easily. Got what I needed in just a few days before running out of the product at home. Excellent service! Great products!"/>
        <s v="I wanted to purchase a item on your website but the item only showed one color blue I contacted you about wanting the item in gray and you person went out in the whrs. and found that you had it in gray. Told me to order it and e-mail the order number to h"/>
        <s v="I got a good price on Tillys Treasures Beef Liver Chunks. My dog loves them."/>
        <s v="Easy order, great delivery, great product!"/>
        <s v="I used to love PetFlow because the prices were reasonable with quality items and dependable shipping. I have a small house so I cannot stockpile dog food so I order close to finishing a bag. Well, now, when things used to arrive in about 3 days of orderin"/>
        <s v="I have been buying my dogs' pet food from them for years! They are very reasonably priced and are flexible enough to allow me to change my order depending on the dogs we have."/>
        <s v="My delivery address is really complicated and caused a few issues when I attempted to place my order, but customer service was quick to respond to my messages and they handled the situation effectively and efficiently. Once shipped, the order reached me i"/>
        <s v="Prices and selection were great. Shipping was fast and received emails regarding the status of order and shipping."/>
        <s v="The toy was so little. The shampoo was expensive but worth it"/>
        <s v="My auto ship is easy and convenient and arrives quickly after it ships. The food is always in stock so I never have to worry."/>
        <s v="I tried to change what we are receiving on the recurring order. Instead of changing the item it sent me an additional bag of dog food."/>
        <s v="Great prices on the kong squeez ball"/>
        <s v="BEWARE! Pet Flow can accuse you of theft cat food $46 value from them.&#10;Absolutely terrible experience with my order NUMBER: 10690189&#10;After receiving order confirmation from PetFlow,&#10;I was expect receiving the tracking number for shipment, but when I login"/>
        <s v="Good quality products. Cheaper prices. Fast shipping."/>
        <s v="I’ve struggled purchasing food for my FIV+ cat because her vet is under my partners name but I’m the one buying Chewy specifically made my life hell. Thank you PetFlow! I appreciate y’all and I’m great full my kitty gets her special food now :)"/>
        <s v="With the cost of this pet food increasing every year, I decided to switch to PetFlow away from my usual supplier because of the discount. Making my dog's food more affordable really helped a lot. I'm hoping this company continues to offer competitive pric"/>
        <s v="I always get my dogs food on time"/>
        <s v="I have had a good relationship w Petflow up until my last text message was ignored. Natural Balance canned dog food was discontinued supposedly due to supply issues. I researched other foods &amp; decided on Nutrisource which Petflow carries. I ordered 10 cas"/>
        <s v="Great customer service. Quick shipping."/>
        <s v="Great quality and shipping was very fast. Definitely will be ordering from them again."/>
        <s v="Liked that ordering is easy. I did not like how very long it took to receive the order."/>
        <s v="My order never arrived. I called your company and the person I spoke to was incredibly unprofessional sounding. I asked why my order hasn’t shown up and he said it was canceled by their fraud department. I asked why or what triggered this and was told he "/>
        <s v="You were the only company that had the product I needed for my special needs cat!!!!"/>
        <s v="First customer service rep wasn't nearly has helpful as the second one I talked with. The third person was reassuring. Now the wait for the refund. 😊"/>
        <s v="I was really happy with pet flow until two things happened. One is I found some thing I could only buy at Chewy, and their customer service is light years beyond petflow.&#10;&#10;The other is that petflow wanted a profile of me and my pets names, and things in a"/>
        <s v="Fast accurate shipping and fair prices, have ordered twice and will continue to order."/>
        <s v="Was great! I enjoyed it a lot. The song made me feel special !"/>
        <s v="Always fast shipments. I order two 30-pound bags of food at a time. The only concern is the packaging needs more tape on the box or they need to be shipped in two boxes. The last shipment the tape had broke and someone for the carrier must have re-taped i"/>
        <s v="Prices are high for the food I feed and I realize it may not be Petflow's fault but there was a huge increase in cost in just a few months. Also, delivery seems to take a week with FedEx. Seems long to me."/>
        <s v="my orders are taking longer and longer to arrive. last order was over 10 days until I received it. I order early so my boy doesn't run out, but these times are ridiculous. Currently looking for another provider."/>
        <s v="Wonderful products for my cats. Can ask for assistance should I need it. Great on-time deliveries for my purchases, and very good service from PetFlow and the folks that do great jobs for me and my kitties!"/>
        <s v="Where do I begin!? I order 10 tennis balls then y’all wanna chancel my order for fraudulent because your customer service person over the phone says why would you buy 10 tennis balls?? I’m sorry I have multiple dogs, like WTH! Worse part is I had to call "/>
        <s v="Quick friendly people to help with an easy phone call! Dependable deliveries and updates. I really like their customer satisfaction approach to business."/>
        <s v="I had a major issue with my package being held up on the FedEx side. I emailed into Petflow support to see if they could help, I didn't hear back. HOWEVER, I called a few days later. The person that answered was so kind and helpful. They reshipped the pro"/>
        <s v="Received food in timely manner. Good price."/>
        <s v="Great prices&#10;Fast delivery&#10;A place to count on"/>
        <s v="Even though this litter was out of stock and no date when available they kept me informed of my in order status. I did end up of canceling and they were in great about be this too."/>
        <s v="Awesome company with good deals and prompt service delivered right to your door. I would highly recommend Petflow for all your pets’ needs."/>
        <s v="What your company needs to work is your delivery time. Your company takes way to long from the date of purchase to get the product to your customer. The company Chewy gets it to me in 24 to 48 hours. Learn their method."/>
        <s v="Great selection of dog foods and snacks and great customer service! Order arrive in just a few days."/>
        <s v="Great price, quick shipping and delivery!"/>
        <s v="Love the prices and quick service. My only concern is I can’t seem to apply the auto ship discount"/>
        <s v="Name brand products. Fast shipping. Great coupons/deals."/>
        <s v="First, I was sent the wrong items. I called and was told they would ship the right ones out asap the next AM. I spent over $75. On dog treats, 7 bags. The original delivery took a week. Customer service emailed me a Fed ex label to ship the wrong treats b"/>
        <s v="ordered the nature's logic food at a great price, delivered quickly, shipping free......&#10;what is not to like about this?"/>
        <s v="Difficult to make an accurate credit card charge"/>
        <s v="My shipping box came damaged - nearly falling apart when it arrived at my door.&#10;&#10;Plus my bag of Dr. Marty food was cut with a razor and food was inside the shipping box. I have a picture if needed.&#10;&#10;And finally it took nearly 7 days (I ordered early Sunda"/>
        <s v="Very good customer service package arrived on time everything that I asked for was in the box complete"/>
        <s v="I needed a bag of dog food and proceeded with “buy it now” When I received order confirmation, I saw that an item I had previously purchased was still in my cart They said they would not remove an item from my order immediately after. I wasn’t happy with "/>
        <s v="Products available; competitive pricing; delivery delay not too bad considering the holidays."/>
        <s v="Appreciate the great selection of Fromm dry dog food! Service is great and very fast shipping!"/>
        <s v="We have been using PetFlow for years and they are consistently fast with shipping and if there are any issues (maybe 3x in 10 years) they are responsive and it gets resolved fast. Thank you !"/>
        <s v="Ordered on line for less than in stores and it was delivered to me!!"/>
        <s v="Lack of availability of the specific treats I was looking for was the only reason I did not leave a 5-star rating. Otherwise, prices, delivery time, &amp; correctness of the order was great. Thanks. Luka &amp; Remi are head-over-heels with their tasty treats!"/>
        <s v="I spoke with customer service weeks ago and my concern was not addressed.&#10;My original account was under my personal gmail. I had an auto ship on there for years. A few months ago my password did not work, and when I tried repeatedly to reset it, I never r"/>
        <s v="When I started to really look around, PetFlow offers the best price, especially since it comes right to my door in rural Vermont. Dog food has become crazy expensive."/>
        <s v="I have used PetFlow for several years. They are a quality organization, I recently had an issue with a delivery and a return. Both issues were resolved quickly. one via phone and the other through email. They also took the time to follow up and make sure "/>
        <s v="Website was easy to maneuver, Great product selection and good prices along with fast delivery time"/>
        <s v="Your products are healthy and reasonable in price. I also received my purchases in 5 days and paid no shipping due to buying $49.00 and more in merchandise. I also get the pleasure to help animals in need. Thanks for being there!"/>
        <s v="Found it odd that a very popular item on the internet was discontinued. I ordered 2 but only got one and they refunded my other one fast. Made&#10;it look like they were selling them too low and stopped so they didn’t have to keep filling orders."/>
        <s v="I like ordering online don’t like getting out. Delivered to my door"/>
        <s v="The shipping time is awful. When I placed and order it said it will ship the next two days, it didn’t ship for a whole 2 weeks!"/>
        <s v="Very reliable when ordering a product. Even if on back-order, you are kept informed. Impressive."/>
        <s v="Best prices around initially, we will see if they continue offering these deals. I have referred a few friends so I’m hoping they don’t disappoint."/>
        <s v="Slow shipping. Slow answer to E -mails. Don’t have items in stock."/>
        <s v="I'm still waiting on my last order. I am out of Kidney can food. I have 2 dogs. I supplement dog treats through Amazon as they deliver way quicker, but the prescription Kidney food I cannot. As I tracked my last order it showed it's been sitting in the Ho"/>
        <s v="I just started using you a few months ago and was a little concerned because of some of your reviews but I liked your prices and thought I’d give you a try! Glad I did! You have totally delivered for me! I’ve had several large orders for dog and cat produ"/>
        <s v="I've been a client for some time. I had just bought a 22 lb. bag of Merrick senior dog food. The vet said that my 11 year old dog reacted badly to the ingredients in the senior food, which caused severe diarrhea and to go back to what I had been doing. Th"/>
        <s v="I found this company a couple months ago, WOW, very impressed. The product line is outstanding, the prices are the best I've seen and last but not least the shipping is super fast. I've had such a wonderful experience with their easy online ordering syste"/>
        <s v="Order was easy to place, delivery and updates were all great"/>
        <s v="I received no notice of canceled order or assistance in correcting the order."/>
        <s v="We have ordered for over a year from Pet flow and have NEVER experienced any issues. What they promise we get. I will be staying with them!!"/>
        <s v="Cheaper price takes a little longer for shipping though."/>
        <s v="Great service and products I use for my pets"/>
        <s v="I have had a subscription dogfood on file for 3-4 years that is prescription. Most of the time, it is delayed or outright cancelled. Then I have to call and change to a different flavor in order to get the dog food. The last time this happened, I had to c"/>
        <s v="I placed ab order for the first time and the product was not going to arrive for over a week. That was unexceptable. Your competition Chewy it arrives usually in two days. I cancelled my order o and my auto ship"/>
        <s v="Reliable delivery. Dels for auto-ship."/>
        <s v="Fast delivery, great prices. What else could anyone want?"/>
        <s v="Always get excellent customer service if there is an issue. Vert easy to deal with."/>
        <s v="Ordered product and it never shipped. I had to call customer service to get it shipped."/>
        <s v="After my order being cancelled I don’t know maybe three times? I emailed them to get it cleared up. I explain I moved and got married and mention perhaps it’s my maiden name . Ryan tells me fraud says not to process so first i ask okay what’s the reason a"/>
        <s v="I appreciated the ease of ordering but was not really happy with the shipping time. It took too long to come."/>
        <s v="PetFlow is great, fast and efficient. Customer service is helpful."/>
        <s v="I switched to Pet Flow from Chewy bc their prices got high and their customer service dramatically declined. The prices and auto ship discounts are much better at Pet Flow, and their customer service personnel are superior to Chewy's. The only reason I ga"/>
        <s v="As promised, so delivered"/>
        <s v="When I place my order I can relax. It arrives quickly and is always fresh and ready for my two senior dogs. I am so happy that I have this service and don't have to lug heavy bags of questionable freshness."/>
        <s v="I placed an order. Your company took the money out of my account. Days went by with no tracking or anything so I called to see what was going on and your tech support told me she didn't know when I would be getting my order so I canceled it. Than after i "/>
        <s v="My order was easy to place, and arrived quickly. Will order from you again. 10/10 would recommend"/>
        <s v="My dogs went crazy over all these treats. Very happy."/>
        <s v="The representative was understanding of my situation and was quick to resolve the issue. Very nice and patient."/>
        <s v="Great company to work with……always responsive….with quick delivery .but costs seem to continue to escalate over last two years as is everything."/>
        <s v="My dog is a senior with a heart condition and must have a special low-sodium diet. When her food doesn't arrive on time, her diet and condition is compromised. Typically, I receive orders in 2-4 days. I need and depend this reliability. My last order took"/>
        <s v="My little Maltese loves the small bites Beef Frittata! I wish you had other flavors in small bites for small breed dogs."/>
        <s v="The shipping 2as surprisingly slow"/>
        <s v="So when ordering food for my canaries there's been 2 times in the shipping process bad experiences. two times the orders get returned due to the poor packaging Petflow uses. Don't really understand why 2 50lb bags are shipped in 1 thin big box without any"/>
        <s v="First time using Pet Flow. My dog food was ordered in time to arrive three days before a big trip. It was delayed and came the day after I left. Customer service had been called several times.&#10;I asked for a refund and was told I would get a credit. I’m go"/>
        <s v="I always order our dogs regular food diet Petflow as well as a subscription. All items arrive well."/>
        <s v="Great service. I can always depend on Pet Flow."/>
        <s v="An excellent company with wonderful customer service. Orders are shipped efficiently and with care. An added plus is their charitable donation policy!"/>
        <s v="Took over a week before product even got prepared for shipping. Zero communication."/>
        <s v="Instead of a usual delivery of 2 business days after my orders placement it took 7 business days and two calls to your service."/>
        <s v="While the prices are much better than Chewy’s, the shipping is SLOW!!! The only reason we wait so long for it to arrive is because of the money we save."/>
        <s v="I placed an order for cat food that PetFlow cancelled with no notice. After wondering why it hadn’t arrived yet I checked on the status and was told it had been cancelled because they thought my email was fraudulent. And if I wanted to place a new order i"/>
        <s v="Super friendly staff and wonderful company"/>
        <s v="Had a problem with password was locked out and when I called they said too bad you have to wait the time out. They did not reset it or help any further."/>
        <s v="Absolutely THE WORST company I have ever used to date for delivery of our dog food. Will never use them again. They like to use the excuse that its the holidays and they're backed up for deliveries.&#10;&#10;Then shut your doors and stop taking orders until you c"/>
        <s v="Ordered dog food with a few toys on Wednesday night. If you're a pet store, and somebody orders dog food well before the weekend, you ship it out before the weekend. RIGHT?! Never again with these people. Have fun losing money on this order. What an absol"/>
        <s v="I generally like Pet Flow but I find the website very confusing. My cat has prescription food, and I sent the script in with the first order. When reordered, however, it asks for this information again. I had to call to find out that it isn't necessary."/>
        <s v="Shipment is quick. Notified timely of any deviation to shipping of order. Reasonable price"/>
        <s v="It was a great experience overall. The ordering was easy, it was delivered quickly and the price was great."/>
        <s v="The willingness to listen to my issue and try to work out a solution"/>
        <s v="the delivery is on time or close to the scheduled time."/>
        <s v="Best price anywhere - in fact I bought 2 for what other shops were selling for the same price for one! Fast quick shipping totally satisfied customer!"/>
        <s v="Excellent selection for pet food and product came quickly. Enjoyed the quality and communication throughout the experience."/>
        <s v="Shipping times and amount of available products"/>
        <s v="Customer service was excellent"/>
        <s v="Super fast shipping! Good selection of dog foods and good prices."/>
        <s v="Tried to get my auto shipment moved up a few days sooner &amp; instead, they cancelled it. When they finally shipped, it appeared that I was only being charged $29.30 instead of $39.30, I figured bc of the mix-up. When I checked later in the day, the $10 was "/>
        <s v="Bryan was great. He explained things and followed up right away. I’m thankful I connected with him about my issue."/>
        <s v="Always fast shipping and always have what I need!"/>
        <s v="Switched over from chewy because natures logic dry dog food was a bit cheaper but shipping is very slow, last package arrived opened, bully stick sizing is inconsistent and seems foul."/>
        <s v="I have no complaints about the company other than you using FedEx as your shipper. I seem to have issues with them every time. Always changing delivery dates, this time they left the boxes in plain sight in front of my garage, allowing them to get wet in "/>
        <s v="the treats had small fine bones in them"/>
        <s v="I honestly have never done a review… ever!!! Well, I have ordered twice from this company… and each time there was issues. The first time the help people were amazing and rushed to fix it right away so obviously I ordered again. But, this time omg!!! I ha"/>
        <s v="Didn't receive an acknowledgement from Pet Flow for on line order placed on a Sunday. I called Monday morning asking for a tracking number and idea of when I could expect the 80 pounds of dog food I got a snarky no reply. Never did receive from Pet Flow a"/>
        <s v="Dry Kibble ordered on Nov. 17- Still has not arrived- Supposed to be delivered today!! They are VERY responsive to E-Mails and communications- Good Company but need soem updated shipping procedures- BW"/>
        <s v="Service Rep said 2-3. Business days and it took 8 days. Had to go to local store to buy food to get by. Mailing system slow lately."/>
        <s v="I had a concern with my order--the customer service was outstanding, far better than I expected. My problem was taken care of very quickly and I will be ordering again soon!"/>
        <s v="It took a very long time and multiple emails to customer service to see why my order didn’t ship and I ordered two items only received one and no explanation where the other item is."/>
        <s v="Again so many products out of stock/not available which means I have to go to other sources to get what I need."/>
        <s v="She was extremely helpful and very kind for the situation I had."/>
        <s v="The company was prompt in getting my order out the door. It took the delivery service some extra time."/>
        <s v="FIVE STARS!!&#10;I highly recommend this company. Their selection is excellent and they are competitively priced."/>
        <s v="My Pomsky (5 years old) loves Fromm Dog Food from Petflow.&#10;Its always fresh + the Duck is her favorite. She likes the salmon, too.&#10;Food is always shipped quickly.&#10;I haven't needed customer service, but sure they are great, too."/>
        <s v="Representatives very helpful and friendly, great bonuses"/>
        <s v="I can order Fromm dog food. The website is easy to use. The delivery is fast."/>
        <s v="having the product I needed and fast shipping."/>
        <s v="always dependable and shipped everything on time. let you change the dates on your auto ship just a great company. customer service is also awesome."/>
        <s v="Listen to my concern. Fixed the issue quickly."/>
        <s v="Have been a client for years! Only issue is tons of promotions sent via text and never on Froms! Which is the only product we buy,"/>
        <s v="Shipping was delayed for 6 straight days, whilst I was told repeatedly that the item would ship next day. Generally, I would give Petflow 5 stars, however this last experience was less than stellar.&#10;&#10;I want to be fair and mindful that warehouse working co"/>
        <s v="First time order for puppy food for our son's puppy and the price was fantastic, with free and SUPER fast delivery! Was very impressed and I am a seasoned value shopper. Highly recommend and will definitely order from here again!"/>
        <s v="Most of my experiences have been excellent. Unfortunately my last order of Fussie cat dry food was less than good. I normal order the 2.5 lbs bag and I’ve had no issues. The cats love it! The last order I purchased the 4 lbs bag and my cats refuse to eat "/>
        <s v="Shipping…second order Fr you….first order completely messed up. You can check your logs and see. Second order said delivery and day of supposed delivery it was still in New Jersey. Got all items both times but not easy process except for ordering and payi"/>
        <s v="I've been buying from PetFlow for years now and been very happy with them. Prices are competitive, items are usually in stock or quickly restocked, and shipping is prompt. The one time I called customer service as I wanted to add a bag of food I'd forgott"/>
        <s v="I placed an order for dog food… when I noticed it hadn’t shipped after a week I reached out to customer service. No reply back, over a week later looked up my order status and it showed that it was cancelled. Was never notified.&#10;Will never use this compan"/>
        <s v="Our cats have been put on a sensitive diet and Petflow had the best price for what we needed. Online ordering was simple and shipping was fast. Will definitely order from them again."/>
        <s v="Exceptionally responsive customer service. Also good products."/>
        <s v="Easy to order; Prompt shipping; Competitive prices; Great service."/>
        <s v="When I received a case of Blue Buffalo cans in a very damaged box with 8/12 cans being severely dented I was immediately sent a full replacement. I also ordered 3 lights for my dogs collar. Only 1/3 works and I’m hoping to receive replacements for those a"/>
        <s v="I love that you donate to pet charities and carry Nutrisource."/>
        <s v="Quick shipping. Product works!! Barking has decreased markedly."/>
        <s v="We needed to Order Prescription food for our cat and it kept getting Cancelled.&#10;Each time it got Cancelled we called and got a different answer. (Fraud dept, Credit Card Company, etc).&#10;Each time the person on the phone said they would take care of it.&#10;Fin"/>
        <s v="Bad customer service. Over-priced. Poor quality food. Shop somewhere else."/>
        <s v="My mind is blown they won't fill my order. DUMB AND USELESS. Took almost two weeks to respond to me. Never seen a company who didn't want business. Last time I'll shop there."/>
        <s v="Petflow is a great company. They go above and beyond to provide excellent customer service."/>
        <s v="Easy to order, fast delivery"/>
        <s v="I've been ordering from Petflow for years. I used to order from Chewy but Petflow offered better discounts so I switched to them for most things. My only issue with Petflow is shipping and that's just such a minor issue that it really isn't even review wo"/>
        <s v="You stopped part of my order without telling me at all. Took me all kinds of communications to find out what the problem was. I was not, and am not a happy customer. Check your records for my order - it should tell you what went wrong.&#10;&#10;How dare you now t"/>
        <s v="My first order was cancelled with no notice!&#10;My second order was placed but sent to wrong address via Fed Ex. Then I received an email saying that they can't process my order. (it was already processed) So when I called to see what this was about. I was t"/>
        <s v="The was available and sent promptly."/>
        <s v="The product is great so far. The issue that I have is that the clumps from the urine are heavier than any other product that I've used in the past 9 years."/>
        <s v="Only issue I have is that there is not 30 count in the bottle - was given only five dollars off my next order."/>
        <s v="Took almost 10 gays to get the puppy food, which I ordered a week before getting the puppy. Then when it did arrive, the bag was not properly sealed and food had spilled out all in the box."/>
        <s v="Competitive prices, GREAT customer service, excellent packaging of products, and fast delivery! Easy website to navigate and get all you are looking for! What more can you ask for? I highly recommend this company"/>
        <s v="I ordered dog food on line and never received a confirmation. A few days later I called and was told the warehouse was working on it. Three days later I called again and they said it was in the warehouse. With the stiff competition on line for pet food / "/>
        <s v="Liked the convenience of getting our pet food delivered. What I dislike is the time it takes to get the delivery. We were down to our last kibble when the package arrived. Not sure the service is dependable enough"/>
        <s v="Thank you for this opportunity to provide constructive feedback on my experience.&#10;When I received my Pet Barriers, (I had ordered two), they came on separate days, which is fine, but they were both in horrible shape on arrival, both boxes open on both or "/>
        <s v="It would be nice to get some discounts for items that are less than $200."/>
        <s v="I ordered my pet supplies on Monday and did not receive it"/>
        <s v="I've purchased from PetFlow for many years - usually dog treats and food. Always good products and good service. Highly recommend."/>
        <s v="Easy to use website and quick delivery 11"/>
        <s v="Great service. Good prices, quality products"/>
        <s v="Great company always on time with my order"/>
        <s v="Orders are correct and intact upon delivery, which is always fast. Any issues or delays are quickly communicated. The tone of communication is always congenial and helpful. And, for me, I can buy my dog's healthier and preferred foods that the big-box sto"/>
        <s v="I love how fast they ship but I’m annoyed. My first order, the products were expiring in 3 weeks so I had to use 3 bags of sweet potato fries before they expired. That didn’t happen and they seemed okay so I used them until they were gone.&#10;This latest ord"/>
        <s v="Good products service and price. Only problem is you are out of stock too often."/>
        <s v="Petflow has provided exceptional service, great prices, and very good selection of products and foods for my pets for about 10 years, I highly recommend this company!"/>
        <s v="Ordering is easy and shipping is -always fast! My favorite site for ordering cat food and supplies."/>
        <s v="Shipping has been so fast each time I’ve ordered! Excellent customer service and great selection of pet food and items! They’ve won my business!"/>
        <s v="Easy to order &amp; delivery was good as well."/>
        <s v="Not as familiar with navigating your website thus found it confusing and confusing, perhaps as I use it more I’ll become better with it. Products are excellent, prices are excellent too."/>
        <s v="Easy website. Delivery updates and promptness of delivery."/>
        <s v="I never received my package. Have been waiting about 2 weeks since order. I would recommend petco or something like that."/>
        <s v="A great place to get pet food that is quality for my Gigi girl."/>
        <s v="Great experience from ordering to delivery!"/>
        <s v="The order has been cancelled by Petflow and I was not even notified. Thankfully, Chewy had my back."/>
        <s v="I placed a order on 11/6. I sent a text on 11/16 asking when my order would arrive. I was told my order was flagged and never shipped. The person didn’t know why or what that meant. Why wouldn’t I get a email or a call if a problem was encountered? You ha"/>
        <s v="Fast shipping and always consistent with supply! My Shih Tzu approves and is a happy baby! Thank you Pet Flow"/>
        <s v="Your prevention protection is not accurate. Please fix it."/>
        <s v="Shipped to me very fast and no damage packaged well enough to prevent damage. I wish fromm allowed discounts for auto ship but I understand it is up to them to allow that. Not petflows fault at all"/>
        <s v="I appreciated receiving an email when the item I needed was back in stock. I waited to buy it from PetFlow because their price was so much more affordable and this service was so helpful."/>
        <s v="Second time ordering prescription food, told it’s in stock and a week later they cancel the order stating it’s not in stock. Never again!"/>
        <s v="I have ordered twice and each time, the delivery has been delayed. The order this time was not properly packaged and the box was literally falling apart and patched together with more tape than cardboard. I am surprised the entire order made it here. I wo"/>
        <s v="The sales experience was fine. Delivery, not so much. Again, their chosen delivery company left my very heavy package sitting in front of my garage for all to see, with no knock or ring at the door to let me know it was there (thankfully it wasn’t raining"/>
        <s v="The dog food came quickly"/>
        <s v="Ordered 10 boxes of arm &amp; Hammer fragrance free super scoop cat litter two weeks ago never received it"/>
        <s v="Numerous choices at excellent prices. Fast shipping. Excellent customer service. Highly recommend."/>
        <s v="I was told I would receive a tracking number for my package I placed on Friday. I did not so I called 4 days later on Tuesday at 5:30. I understand the company doesn’t work on weekends. Brian answered the phone, he was very rude when I asked for a trackin"/>
        <s v="I ordered a prescription cat food where the website indicated that it was in stock. When I had not received a status update after a few days, I sent an email inquiring about the status and was told that it was out of stock, which I had suspected since it "/>
        <s v="The website doesn’t work right, horrible to navigate. I got food I didn’t order, what’s with that? Shipping was fast. Prices were good."/>
        <s v="Purchased toys for my red squirrel. He loves them. That r safe, and durable. Costumer service truly is customer service, helpful, polite, this company is a joy to deal with."/>
        <s v="Great service and people! Thank you"/>
        <s v="I ordered cat food delivery on 11/2 and I am still waiting for it to be shipped to me. There has been no update."/>
        <s v="I love the products they carry, I love the communication. The only negative is that they are out of my items a lot, however I know that probably has more to do with the company who makes it than them."/>
        <s v="Products were in stock. Website was easy to use. Prices were comparable to other things online retailers."/>
        <s v="Great products fresh free shipping&#10;Great pricing"/>
        <s v="Even though the delivery company brought my package a day later than they predicted, it was still earlier than the estimated date I got when I placed my order. All items arrived in good condition and I got a very reasonable price."/>
        <s v="Food my pet needs was listed on your website and so I placed an order. Then a few days later received a message my order could not be filled. Items should not be listed or show as out of stock if unavailable."/>
        <s v="My order got canceled without any notification to me on 2 separate occasions. I found out by checking the website on the status of my order."/>
        <s v="I am extremely happy with the ease of ordering from you!"/>
        <s v="Ordered two times and both times it was stated in stock. After placing the order i was notified &quot;Sorry out of stock&quot;. Worst website ever if you don't have it in stock ready to ship then don't state in stock."/>
        <s v="I’d never heard of Petflow before they came up in a Google search. Very glad they did! I was able to buy some Blue Buffalo kitten food at a lower price than PetSmart, Petco, and Chewy.&#10;&#10;I also got a bunch of my kitten’s favorite clicker training treats at"/>
        <s v="Good communication, shipped fast and great product!!"/>
        <s v="I ordered and the item was not in stock but it doesn’t say that online. Then when I try to reach out to find out if/when the item will be in stock, communication was minimal to none."/>
        <s v="Customer service is awesome. I was having trouble using a couopon and the woman I talked with took care of it. It's important to me that my purchase will feed a doggie."/>
        <s v="Your website said the wet cat food WAS in stock. I never received my order because you are out of the food."/>
        <s v="Always satisfied with the service I have gotten at Pet Flow. Delivered in a timely manner, packaged well and in good shape when it arrives and products we use are always available."/>
        <s v="Great prices, timely delivery, and great products!"/>
        <s v="Package arrived promptly and was well-packed. Ordering was easy. The product is just what my cats love, too - and it's hard to find."/>
        <s v="Prices great, and selection/deals appealing! preparation and shipping could be quicker. Customer Service agent was snarky.&#10;Still choosing over Chewy -"/>
        <s v="Speedy service with a personal touch. They also carry some brands we can’t get elsewhere. They are lifesavers!"/>
        <s v="Very quick service on Fromm Dog food for our new puppy. We were not able to find this brand elsewhere &amp; happily Pet Flow was able to keep him on his regular brand ."/>
        <s v="Fraud team kept flagging my credit card and cancelling my shipment, even though I've purchased here many times and there was no issue with my bank."/>
        <s v="Variety of &quot;flavors&quot; for fancy feast wet cat food is limited right now but I was able to find what I wanted at a great price at Pet Flow. Shipping was fast"/>
        <s v="The order I placed arrived on time. I question whether this product was the actual item from the original product made by another company. My beagle would not eat this brand but ate the real brand from the manufacturer. The dog food didn’t even look like "/>
        <s v="Love Science Diet pet food and love their price!"/>
        <s v="Happy with PetFlow! Good Prices, Delivered timely, packaged well!!"/>
        <s v="My dog loves PetFlow pet food, the taste is very good, the logistics is also very fast, and the nutrition is very balanced"/>
        <s v="Products are great, customer service is excellent, shipping is fast! Thank you very much!"/>
        <s v="Pros: very wide selection of dog and cat items. I think you could probably find what you would get at any other pet-retailer, comparable prices, the website was easy enough to navigate and there were discount codes available.&#10;Cons: the autoship that I set"/>
        <s v="I will forever be a customer. Food gets here fast and helps other dogs in need every time you purchase. Plus I prefer to support a small business! Highly recommend and have passed on to friends!"/>
        <s v="Was able to place my order easily. The only issue was a slight delay in delivery due to warehouse stocking. I was quickly notified that my delivery would arrive a day later and I was delighted when it did."/>
        <s v="I placed an order and two days later I received an email from you saying something like your fraud review team advised you not to fill my order. No explanation. I've never had anything like this happen to me before."/>
        <s v="My orders are always on time. If not I’m promptly notified. Expectations are properly set ."/>
        <s v="I love the company but communication is bad. I’ve had a standing order for a long time and they where unable to fill the dog food. There was no communication or replacement. I had to place this order on my own. Very disappointed."/>
        <s v="The order was processed as always, however, I was surprised it took so long to receive. I used to order and get it within 1-2 days. This time it took 5."/>
        <s v="On time delivery, and ease of use website."/>
        <s v="The product I was looking for was available, and was able to place my order without a hassle"/>
        <s v="It was great service and my stuff was delivered quickly"/>
        <s v="I just recently discovered PetFlow and they provided me with the best price, customer service, and speedy delivery for the item that I was looking for! I will definitely choose PetFlow for future purchases!"/>
        <s v="Great customer service and dog food arrived on time."/>
        <s v="Shipping was quick, my order was accurate! Customer service is fantastic!"/>
        <s v="Terribly disappointed with this retailer. Order was confirmed yet I never received a shipping notification. When I requested a status update, was told their Fraud Prevention team suggested not filling the order. What a load of crap. I use the identical pa"/>
        <s v="Easy to order, and I received everything very fast,with free shipping. I'm planning on buying more pet items from this site for sure! It's rare that you receive ordered things within 3 days from most pet sites for free, unless you pay."/>
        <s v="I needed to get my prescription pet food that was sold out everywhere. This was the only place that had it. Submitting my vet info for the prescription was easy, and the food arrived quickly."/>
        <s v="Company was great in fulfilling my order of Hills RX Derm Complete dry dog food. Although a delay between veterinarian to PetFlow in the timeliness of my order, some of that was beyond Petflow’s control. Once things were in order, the order came as expect"/>
        <s v="Competitive prices, good selection of bird food, quick shipping."/>
        <s v="My order is constantly being canceled. Why can't I stay on a list until the product is back in stock so it can be shipped to me."/>
        <s v="For over a year, I have an auto-subscribe food order. The price went up on the food and I reached out to see if you would honor a competitor's price. Without hesitation, you did!!! Thank you so much for your superior customer service AND quick and seamles"/>
        <s v="The web site is easy to use. Great deals on all pet supplies. Wide variety of pet foods especially for what I need for my Cavalier. I recommended PetFlow to all my pet parents."/>
        <s v="Ordered cat food on sale. 5 cases, received email item was out of stock. Very disappointed. Should have been offered sale price when item returned to stock"/>
        <s v="Wonderful, fast FAST"/>
        <s v="Had to inquire whether or not my order had shipped, which it hadn’t. Inquired twice and was told both times had not been shipped. On the second inquiry I also asked that if it was not going to be shipped today (11/8/22) to cancel. Interestingly, it has be"/>
        <s v="i have a difficult time finding this product and PETFLOW had what I needed, Fast delivery"/>
        <s v="Great prices, fast shipping and they actually have the dog food I need in the right size bag that I can't find anywhere else! So glad I stumbled upon this company!"/>
        <s v="Ordered food. Got message later that it was out of stock. So website isn't accurately updated. Waited as they said they would ship as soon as they got it in stock. Then I got a message that they canceled my order. So this was the first and last time I wil"/>
        <s v="quick quick delivery after several deliveries of same order, 8 lb bag of prescription dry cat food, the shipping box holding the bag has become more compact and instead of a 20 foot long of brown packing paper crumpled and wrapped around the bag to fend o"/>
        <s v="I love petflow. I prefer them to chewy and petsmart. I feel like they are geared more towards the consumer and their pets and not political posturing. I buy for my pets and want a company committed to my pets."/>
        <s v="CSR told me my card was fraudulent and my order would not ship. I bought dog food from another place and then I notice PetFlow had shipped my order after telling me it was cancelled. I won’t shop here again."/>
        <s v="Easy to order.&#10;My order was a repeat order and the site made it easy to identify the previous order.&#10;the site facilitated the scanning for coupons which gave me a discount.&#10;Communications regarding order placement, shipping and delivery were timely and ac"/>
        <s v="We’ve been using PetFlow for many years now and every aspect of their service has always been amazing. Premium kibble, reasonable price and product arrives quickly!"/>
        <s v="Always delivered quickly and you carry high quality cat food! Thank you!"/>
        <s v="I ordered a couple hundred dollars worth of stuff. All but 2 items were unable to be shipped and on backorder. Why do they have items listened that they clearly don't have in stock? One or two items - ok. But pretty much my entire order? You might want to"/>
        <s v="Main complaint - Damaged cans over and over again.&#10;&#10;I have been told to call and requests additional packing, additional boxes, email notifications on auto ship status. I do all these things and still petflow comes up short.&#10;&#10;If something is out of stock "/>
        <s v="Spoke with a rep named Ryan and he was extremely rude and hung up after saying have a good day because he couldn’t answer my questions about a product pet flow says they have in stock."/>
        <s v="Products were damaged and Petflow replaced them immediately l"/>
        <s v="Everything as described. Fast service"/>
        <s v="I like that shipment can happen the same same day as the order date. Delivery is fast! Packaging can be better as I’ve gotten several dented cans."/>
        <s v="This company has very quickly response and nice service,people are very friendly and helpful."/>
        <s v="I ordered prescription food for my sick cat, submitted my vet’s prescription with the order, made the payment, and my vet confirmed it was approved the same day. It’s NOT on backorder, but it has now been two weeks and my order still hasn’t shipped or bee"/>
        <s v="Having the dog food delivered takes a large load off my schedule. The delivery people are very courteous and friendly."/>
        <s v="I had paused my auto ship then ordered what I needed. 2weeks later I have ANOTHER shipment of 26 lbs of dog food."/>
        <s v="Petflow is unfortunately very inconsistent with their delivery. We recently received 2 orders within 3 days after not getting anything for approximately 6 weeks."/>
        <s v="Great service Had the product I needed. Shipped and received in very reasonable time. I will shop with Petflow again."/>
        <s v="Two orders placed at different times, showed in stock. Gave all my billing info, got confirmation of order. A week later got an email &quot;order canceled&quot; due to no stock. My cat needed this food ASAP &amp; was quite disappointed that it took a week to notify me."/>
        <s v="As usual many of the cans were dented in shipping, I assume. Makes it difficult to stack and store.&#10;May not order again."/>
        <s v="I had a issue with my picky cat. He would not eat the food I purchased. I contacted them, and they helped me out."/>
        <s v="Great product and shipping was fast. They communicated every step of the way. Will definitely order from them again."/>
        <s v="The discount on my order the order itself and the delivery time are all 5 star&#10;&#10;( maybe you should change the name from PetFlow to 5 star"/>
        <s v="I appreciate that I can quickly reach a customer service representative on the phone when I have a question about a product or an order, and I'm glad that PetFlow donates food to needy animals. I also like that PetFlow is not connected to companies that s"/>
        <s v="While I needed this product and was up on its delivery time, I'd like pre notification of sending. This allows me to plan about being home etc."/>
        <s v="I ordered a prescription diet for my cat and accidentally typed the incorrect vet in for the prescription referral - one that has a very similar name as that of my vet. Petflow emailed me that the vet didn't have any records of my cat - and I when contact"/>
        <s v="Your website needs to be better maintained. I ordered product listed as being in stock, and got a confirmation email. Then two days later ordercwas cancelled with no explanation. I called and the only reason you got 3 stars is customer support was so nice"/>
        <s v="Items that were on backorder were listed as &quot;in stock&quot; on the website. Customer service wasn't helpful, couldn't say when the items might be back in stock. Called back to cancel the order after finding the items cheaper on Amazon and was told that the ite"/>
        <s v="I have tried to order cat food at least 4 times this year from Petflow and they have canceled every order due to supply shortages even though when I placed my orders the food showed on the website as in stock. It has been very frustrating and I am tired o"/>
        <s v="I placed an order - and signed-up for •ongoing• orders, but the NEXT EMAIL I received was one offering a DISCOUNT that was NEVER offered to me ?!? until *AFTER* I ordered and signed on for “REAPEAT ORDERS*?!&#10;THATS TERRIBLE !!&#10;That is #NOT a way to do busi"/>
        <s v="Both times that I have ordered from petflow my orders had delayed shipping dispite me calling and emailing them."/>
        <s v="I placed an order online because it showed the item in stock. I didn't receive any notifications that it wasn't in stock until I emailed in a query. At that point, all I received was a notification that my order was canceled, again with no reason as to wh"/>
        <s v="I would not have provided my personal information if I had known you don't have what I need. Not happy ."/>
        <s v="PetFlow has grown on me. I have used their competitor for a long time but tried PetFlow when I initiated a food change. I have found PetFlow to be responsive and helpful. Quite honestly, I feel their service has continued to improve over the time I have b"/>
        <s v="Great product and shipping times! I'm so happy to have found this company!"/>
        <s v="Very knowledgeable and helpful assistance over the phone. Quality product. Prices can't be beat."/>
        <s v="The item I needed was in stock, priced better than the competition, and arrived timely as needed."/>
        <s v="Recently I ordered over $200 in treats. They came in one large box, and half of the treats (raw, freeze dried) had turned to “dust” in their packages. It was likely due to rough handling during shipping. That had never happened before, and I’ve been order"/>
        <s v="I guess my card was declined- for my second order of Fromms cat food- 2 cases. But instead of telling me by text? Email? Call? I was just ignored. When I was down to one lonely can and wondering where my cat food was…I emailed- no response to my question."/>
        <s v="Your website lied and said a product was in stock when it wasn’t. We ordered it and heard nothing from you. I had to call several times and then I was finally told my order was canceled because it was back ordered. So was it never in stock to begin with? "/>
        <s v="I had a slight issue with a couple of the cans that were shipped and the customer service representative said they would issue a credit on my next order. Very professional and courteous service!"/>
        <s v="My order was cancelled and I did not know it no email, nothing, I had to log into my account to find out. I have re-ordered and hopefully product will be sent."/>
        <s v="Everything… I always need personal help with my orders, which usually include a prescription for my cat. The prescription I have, is a open one, that I usually have to send a picture of, and PetFlow seems the only online site that will talk to me personal"/>
        <s v="The people on the phone are friendly and helpful."/>
        <s v="What a great business to work with. When I made an error, and ordered the wrong food - customer service was happy to take it back and get me the right food.&#10;What a pleasure to work with such nice and helpful staff. A most unusual treat today!"/>
        <s v="i originally ordered a 24 can case of c/d chicken stew and a 24 can case of c/d tuna stew and was told that they were both in stock. about a week later i got the case of chicken stew but but still am waiting for the case of tuna stew. i just called a litt"/>
        <s v="Excellent product I've been buying from them for years, and fast service!"/>
        <s v="I ordered 2 cases of the hills cd wet can food. One stew and one fish. I only received the stew? My invoice shows that I was charged for both.&#10;But no explanation on why I didn’t get the full order!"/>
        <s v="Wanted to order dog kibble but the price on the &quot;select&quot; and description page was $56.06 but when I started processing the order the cart jumped it to $59.07. I called and explained the problem -the guy hung up on me. I called again and the second guy als"/>
        <s v="Would give this company zero stars if possible. Have ordered from Chewy, Petco, Pet Nirvana and VetSource with absolutely no issues whatsoever using the same credit card I used for PetFlow. However twice PetFlow cancelled my order WITH NO NOTICE (I didn't"/>
        <s v="I have tried to order food for my cat 3 times. Each time the order being cancelled because they did not have the product in stock I didn’t understand why the would show a product in stock when in fact they didn’t have it"/>
        <s v="Great product, exactly how it was described.&#10;Works great for my dogs."/>
        <s v="So glad I found this company! Products in stock and ships quickly! Appreciate the great service!"/>
        <s v="I was never told you did not have the product in-stock I ordered it and my debit card was charged. Three days later I was told you were out of stock and refunded me. Next time tell me you were out of stock and don't make me go through the process of order"/>
        <s v="Both Orders was delivered on time. PetFlow provides a tracker number so that you can track your order. Items in both boxes came spill-proof, and dog food bags were tightly sealed. PetFlow also offered me 10% off both of my boxed items. Thus-far, our house"/>
        <s v="It is nice product!!!"/>
        <s v="Pet flow kept canceling my order and asking me to resubmit it even though it was out of stock. They gave me deep discounts on the order but they were never able to deliver it. This is a serious situation because my cat cannot live without her prescription"/>
        <s v="hello&#10;I really enjoyed the experience of shopping with PetFlow&#10;at first the purchase was cancelled because the product was out of stock. Pet Flow solved the issue, I was informed at every step. The prices are very competitive...&#10;I can say that PetFlow is "/>
        <s v="Customer service is great. Delivery is a bit slow. Order shipped September 19 and it’s September 29th and I still do have my item."/>
        <s v="Cheapest place to purchase my dogs Fromm dog food, and it always arrives on my doorstep fresh. I feel confident in purchasing with Petflow."/>
        <s v="I was pleased to find what I needed at a good price but also saw a number of things that were much higher than on other sites. My order was shipped within 48 hrs and arrived in good condition. I appreciate the messages keeping me informed every step of th"/>
        <s v="Thank goodness for Petflow! I needed prescription treats I could not find any where, even my vet’s office was out. I had not heard of Petflow before and you came to me and my lab Bella’s rescue! FAST shipping. Thank you! We appreciate you so much! We will"/>
        <s v="An honest, informative explanation. My cats appreciate it. Please send me your list of US cat food manufacturers. I fiddled with your email until I couldn’t view it or print it.&#10;&#10;Thanks,"/>
        <s v="Love this cat tower! My girls have a great time climbing and lounging. It's very sturdy and was delivered promptly. Thank you!!"/>
        <s v="Great products and reviews that help pet parents. Too bad items don’t ship during the weekend. Great products and resources. Thanks."/>
        <s v="They were very helpful &amp; my Cat food was delivered on time."/>
        <s v="It took longer that buying it directly or with other companies"/>
        <s v="I have been getting auto deliveries for many years. Recently went on line to order and set up a new auto delivery for new puppy. My ship to address was no longer correct. I FIXED IT! Went to order the food and it flipped back to the bill to address. I FIX"/>
        <s v="PetFlow is great! I place my order within 4 days I have dog food. Sooo convenient to have it shipped right to your door. I’ve been doing business with them now for 2 years and will continue."/>
        <s v="If I could give it zero I would. They never contacted the vet, despite giving them fax, phone and email and contacting them on multiple occasions. I have a prescription for the same dog food, but I tried ordering snacks. I have a prescription for the dog "/>
        <s v="Fast Shipping and Good Prices for hard to find dog food!"/>
        <s v="Great selection, timely shipping. The boxes are still crap. They show up half open, beaten up, sometimes too small for the bags of food, causing them to be ripped open. If I could get Nutrisource food somewhere convenient, I would not use Petflow."/>
        <s v="I ordered some thing and the order was approved, by the vet because it was a prescription. Then I found out five days later that the order was not being fulfilled because it was out of stock. It seems as if the company should know what it has and doesn’t "/>
        <s v="Have spoken to 5 people to get an order of dry dog food on auto ship to no avail. Process started late Aug, with everyone saying it would ship asap. I still do not have it. I don’t understand what the problem is."/>
        <s v="My cat needs prescription Hills y/d. After going thru the verification process &amp; stopping my search I was told you couldn't source it. Wasted time waiting. I was informed after the fact, wish I had known in the beginning."/>
        <s v="I’ve been using Petflow for quite a while now and have had nothing but positive experiences! Generally, I receive my order in about four days or less."/>
        <s v="Ordered on 09/14, received 09/19 via FedEx.&#10;&#10;The box it came in was trashed, more than likely from shipping and handling. I would suggest using sturdier or reinforced boxes but that probably would add more cost. One of the bags was leaking food. It seems "/>
        <s v="Delivery of the product was sloppy.&#10;It was raining and the box was left outside where there is a dry place available."/>
        <s v="My only complaint is that the bags of dogfood were not packed properly. Instead of the big 40 pound bag being in the usual big boxes that it usually arrives in, the 40 pound bag was crammed into the same size box as the 26 pound bag, with the result that "/>
        <s v="Great prices of several items we use. Thank you!"/>
        <s v="The best prices ,in stock merchandise and quick shipping. Would use them again."/>
        <s v="PetFlow carries Fromm healthy weight for senior dogs. Bandit loves it. Bandit's favorite is treat is the 12inch pizzle chews. He has to have them"/>
        <s v="My order was cancelled without any notification. It was a sizeable order on a brand new account but not providing notification was both inconvenient and has left me scrambling.&#10;&#10;The prices will result in me trying to order from petflow again but the exper"/>
        <s v="I appreciate the discount and sales offered to your large selection of product. My items arrive carefully packed and I have yet to receive one dented can or damaged item. Keep doing what your doing."/>
        <s v="Stop accepting orders for items you do not have in stock. This has happened twice now."/>
        <s v="Always a great experience with Petflow. Product is of great quality and ships fast. Only place I can find these ears in bulk."/>
        <s v="My dog food order arrived with 3 exploded and dented cans. PetFlow's 9-16-2022 email reply was to tell me they will credit my card $8.52. Today is 9-24-2022 and my card has yet to be credited. I am not happy about this. ORDER NUMBER: 10446008 placed on 9-"/>
        <s v="First time using Petflow and I’m happy with the service. I now have autoship with them. Used Chewy autoship in the past but their service has become unreliable in past few months. Petflow was able to supply prescription food that was out of stock at Chewy"/>
        <s v="Products and pricing are wonderful. Shipping is slow compared to Chewy. That’s the only downfall."/>
        <s v="Orders are not packed properly and arrive dented. This is not the first time. Customer service did in fact send me a new Oder."/>
        <s v="It was entirely on me to send a prescription, the order was sat on for weeks, and eventually was cancelled without me asking for it. Now your site shows it’s out of stock. Just literally the worst order I’ve tried to place for prescription food - for whic"/>
        <s v="After receiving an email requesting I contact my vet to facilitate getting required prescription for my dog, my vet had received no such request. I called customer service requesting another prescription be submitted. I was treated with arrogance, disresp"/>
        <s v="2 thumbs down. It’s 9/22. My order was supposed to arrive 9/12. Today I was told the fraud department canceled my order for reasons they won’t disclose. They didn’t tell me the order was canceled. I was simply left waiting. When I attempted to re-order pa"/>
        <s v="Good Service and fast delivery"/>
        <s v="I have purchased from PetFlow regularly for a number of years. They have good prices (often the best!), they ship quickly and I've never had an issue. What's not to love?"/>
        <s v="My Scooter’s food got here in a very timely manner. He loves this food, and it is hard to find in our area. The cost is reasonable; though it would be nice if there was ever a sale on it. Thank you PetFlow for helping me provide the best for my fur baby."/>
        <s v="I was very disappointed with my experience. I was looking everywhere for the prescription cat food my furbaby needs, and PetFlow was the only place that showed having it in stock. But by the time they finally got around to contacting my vet (nearly a week"/>
        <s v="Ziggy went nuts over the treats. It's his crack cocaine. Will definitely order again"/>
        <s v="Your service and products have always been excellent. The only glitch was on my last autoship. I never received notice that my order was getting ready to ship. If I had I would have pushed it to a week later. It's not a big deal, but I like having the adv"/>
        <s v="I believe your website was corrupted and my account breached leading to several orders that I did not authorize. There was faulty Information shown (for example the website showed order # xzy123 was just placed “today”, but when I asked your rep about tha"/>
        <s v="Good food, Cheap, Easy"/>
        <s v="I placed a subscription order for prescription food for my pet. PetFlow claimed they had it in Stock. I was wondering where my order was so I logged into my account to find that the order was canceled because they did not have it in Stock. The did not can"/>
        <s v="It would be nice to get some of the discount codes for non-auto ship orders, for frequent order customers.&#10;Thanks, PetFlow."/>
        <s v="Website advertised canned y/d thyroid cat food so we ordered a case. After a week we were told it wasn’t available, which left us scrambling for thyroid food for our cat."/>
        <s v="I gave you a top score because we ordered food from you guys all the time this time I didn’t get any emails I looked in my junk folder there was nothing there I had to call twice to figure out what was going on I hope you can improve this process"/>
        <s v="Have enjoyed using this site to help take care of our for babies… Great selection… Decent prices…delivery on time"/>
        <s v="Our girls love the Dreambone peanut butter sticks and they are always out or extra expensive on other sites. This price is great!"/>
        <s v="I had a good experience with this company. I ordered my dogs food and received a great price. Order arrived in the time frame and condition expected. I will be reordering as needed.&#10;Thank you!"/>
        <s v="My pups love all of the toys we ordered from PetFlow. Most of the toys we ordered are made by Kong. Toys are great for our young aggressive chewer, as well as our fairly active, 18 year old, senior pup. Ordering was easy. Prices are great."/>
        <s v="I submitted a signed prescription from my vet through email for 2 orders and kept receiving emails from this vendor telling me they couldn’t ship until the prescription is verified. Then more emails saying they would approve it if I would submit a prescri"/>
        <s v="Great communication, free and fast shipping and they carry an item that’s out of stock everywhere."/>
        <s v="I'm really happy with all my purchases from PetFlow. Affordable prices and fast shipping.."/>
        <s v="I have gotten Myias can food before from you but this time every single can was dented up!! Not the quality I expect for the price of Hills prescription food!!"/>
        <s v="The worst. Spoke with a customer service rep &quot;Ryan&quot; and he was courteous and yet at the same time, completely unhelpful and unwilling to do what it takes to resolve the issue. He was very passive/aggressive, so I to him to suck a bag of Di*#ks, etc. etc.&#10;"/>
        <s v="No issues with shipment or product! Easy ordering."/>
        <s v="My experience was very positive. I was able to get some dog treats that I had not been able to purchase for quite some time. Thank you!"/>
        <s v="Fast shipping, good price!"/>
        <s v="My puppy Lola has had allergy skin issues and she hates all food and treats until I cane across Hills prescription Hypo. Pet Flow was so nice to work with. Great service great prices and the variety is wonderful. Thank you so much."/>
        <s v="You are asking for me to rate something that hasn't yet been delivered!? I just tracked it and see that it is &quot;expected&quot; to be delivered tomorrow, we'll see if that happens.&#10;&#10;By the way, I ordered from your competitor, about 2 days later than this order a"/>
        <s v="I am pet flow subscriber and I love it. My cat food always arrives on time and if I order an item before it only takes 3 days to arrive or maybe less."/>
        <s v="I appreciate the delivery, your prices are fair, but it took a longer time to get the food. I used to get food from you in 2 days, this was 6 days, which doesn’t seem too bad but long if you expect it in 2 days."/>
        <s v="Something went wrong with one of my first orders with your company. It was either the dried beef lung, or a chew toy. but either way no notification was sent to explain why! I drive a truck for Safeway/Albertsons for a living, so I understand supply chain"/>
        <s v="Scam . I tried to order bowls and they sent an email stating they were supposed to ship on the 15 and that I would get a tracking number in my email . I never got the tracking number so I called and they said my order was canceled because of fraud and the"/>
        <s v="Placed an order for dogfood from PetFlow for the 1st time ... not only was delivery quick but price was way better than where I usually purchase ... will definitely order from PetFlow again:)"/>
        <s v="We are a small chihuahua breeding program and it is most convenient to have our dogfood delivered...with free shipping."/>
        <s v="I ordered my cat's prescription canned food, called to check on it several days later &amp; was told my order was being processed. Then received an email a week after my order date stating my order could not be fulfilled as it was out of stock. By that time I"/>
        <s v="Soooo disappointed here. Needed (still need) RX canned cat food. Said it was in stock, our vet sent RX right away. Then I didn’t hear anything. Checked on it a week later, they said, ‘oops’ out of stock, we have to cancel your order. Whaaat?"/>
        <s v="i’m usually pretty pleased with petflow‘s delivery system but for some reason this time it took almost a week for me to get my product usually it’s in within a day or two so I just hope he gets a little bit more through the delivery service other than tha"/>
        <s v="Was very pleased with fast, courteous service."/>
        <s v="You allowed an order to be placed for rx food when it was not available. I had to call to get a cancellation email. It was nearly a week later before that was sent."/>
        <s v="I was very pleased with my purchase experience with PetFlow. I ordered a Hills Prescription Diet dry cat food that I've been having a lot of trouble finding. I bought it for a better than average price. It arrived earlier than quoted and in good condition"/>
        <s v="Very good Service, I love the play pen I order."/>
        <s v="Easy use of website for ordering and you have always delivered this hard to find food on time. I’ve come to depend on your consistent service. Thank you"/>
        <s v="Ordering is quick and easy. Product arrives in 1 - 2 days !"/>
        <s v="Every one was helpful. I am sorry not to be able to get my at food."/>
        <s v="Petflow made it easy, and my food was delivered quickly with no problems! My dogs love their new food, and the auto ship makes it hassle-free!"/>
        <s v="First time buyer. Ordered one product which needed Vet approval. Once obtained shipping took a while, poor communication as there was none on their part unless I called, repeatedly."/>
        <s v="Ive been using Petflow for years now, never had an issue till recently. This time around, I received a package BEFORE I received the shipping notification. Upon receiving my partial order (because one item was on backorder) there was 1 item missing (other"/>
        <s v="I ordered two cases of food, I provided the prescription and the two cases were ready to be shipped. I followed up the next two days and I was told was due to the prior holiday weekend. But, the two cases were ready to be shipped. However, two days later,"/>
        <s v="Very well made and excellent quality of the product 👌."/>
        <s v="Never received product nor heard that it could not be fulfilled. Item was listed as in stock when purchased"/>
        <s v="Always reliable, and a great price. Thank you!!!"/>
        <s v="Absolutely friendly staff and helped me right away. Helped me find the perfect alternative for the same price."/>
        <s v="It was cheaper than anywhere else. fast delivery &amp; Customer service was also fast and friendly."/>
        <s v="I ordered my dog food almost two weeks ago and I’m still waiting for it to be shipped or get a refund. I have received multiple emails about them not being able to reach Banfield pet hospital to get my prescription for my dog but Banfield is open from lik"/>
        <s v="Horrible, horrible service. I did everything right on my part. Even then the food for my cats wasn’t shipped in a timely manner. Despite me calling for it, and being told it will be shipped ASAP multiple times. Only to be told later it is being delayed. T"/>
        <s v="I placed an order for treats and a few days later the order was cancelled without any notice. The reason given was something flagged a fraud alert. However, when I called the customer service number, they couldn't give me specifics. All they suggested was"/>
        <s v="I was very encouraged when I first logged into this site as some of the prices are lower than other sites but just after submitting my first order I'm being told that half my order isn't available at this time. When I logged out and went back into the sit"/>
        <s v="I travel for work and I ordered pet food via your site for the first time with my billing address as my home address and my shipping address as the place I was on location working. I travel with my two cats. My order was cancelled and I WAS NOT NOTIFIED. "/>
        <s v="Apparently my order was canceled by the fraud department. I'd like to know why. I spoke to someone on the phone as I wanted 6 of the item but you only had one. No one notified me. I ordered 5 from another company thinking I had 1 coming from you. Now your"/>
        <s v="I tried using a coupon that said expires 9/15/22 on 9/15/22 and it was already expired."/>
        <s v="I will never ever contact Pet Flow for anything ever again. Terrible terrible customer service and failure to deliver. Told me their fraud division refused to ship item I ordered. I contacted my credit card companies and all of them said there was zero is"/>
        <s v="Love PetFlow! Site carries my favorite products, great prices, fast shipping and items arrive in good condition. A+++"/>
        <s v="Bi-monthly order of dog food that is the best price I can find online"/>
        <s v="Shows on website the food I needed for my cat was in stock....and it wasn't"/>
        <s v="Great products, service and website!"/>
        <s v="My experience isn't complete because I only received one small piece of the order. Kind of odd: I ordered a case of cat food. When I placed the order, the site said I was only $2.00 away from free shipping so I ordered a small kitty toy for $3.00. I got a"/>
        <s v="half of order delivered as expected, other half was on perpetual delay. petflow team could not provide update, except that “all” prescription orders were delayed. this was obviously not the case, as the first half of my order was fine and not delayed. tha"/>
        <s v="I tried twice to order the dog food for my 2 dogs. Both times it was cancelled by this company. Their so called Fraud Prevention Dept. I was Dumb-Founded. I called to ask why. The woman i talked to had no idea, and could not transfer me to anyone to talk "/>
        <s v="Ordered wrong food; contacted company before shipped; they said it was too far in the process. They told me to deny delivery when they come; the delivery company dropped off without notice and they denied my return. They lost me as a customer over $50. I "/>
        <s v="Product is good but way too many emails."/>
        <s v="Took over two weeks for order to arrive.&#10;Soft Cookies are very hard."/>
        <s v="This place is a real joke. Seems like they are selling items that they don't have. We purchased 30 dog bowls for our feeders. after they was supposed to ship them out, we called and they said that they canceled our order due to they thought it was FRAUD. "/>
        <s v="Every time I order it takes forever to receive. I also have received the wrong product and had to reorder and wait even longer. Kind of a headache. Customer service is just ok."/>
        <s v="Nice selection of premium, reasonably priced, high-quality cat food shipped and delivered quickly with no hassles."/>
        <s v="Website is extremely difficult to navigate, and customer service is merely “okay.”&#10;After I was told my order was IN STOCK, it wasn’t, and my order was =CANCELLED=. No “We’ll let you know as soon as it gets in,“ or anything, just plain canceled.&#10;Not gonna "/>
        <s v="I place my first order with PetFlow. A few days after placing the order, I realized I hadn't received an email with shipping information so I called to find out when my order would be delivered. I was informed my order was canceled. I asked why it was can"/>
        <s v="Overall it was easy to order. However, it took more than a week for me to receive my dog food. The FL Warehouse was out of stock. There was no correspondence to let me know That the food was then coming from the NJ warehouse.I had to call in order to find"/>
        <s v="My parents'dog loves this pet food. It arrived when I was advised it would arrive, so that was awesome!"/>
        <s v="Been ordering pet food from PetFlow for years now and have had nothing but good experience with the company. Products I order are the best and at the best prices available. Shipping has always been super fast. Great Company."/>
        <s v="It’s too hard to cancel auto ship orders. It should be a simple button you can press, instead you have to contact customer service, which takes time for what should be something I can do myself. Other than that petflow is always fantastic."/>
        <s v="Delivery took longer than I expected. After a week and half I had not received an email letting me know my order had shipped. I contacted customer service to ask and what do you know?? My order shipped the next day!"/>
        <s v="Very good customer service! Happy with product and delivery! Prescription treats my dog likes, they had in stock."/>
        <s v="Claimed a dog food product was in stock, and even told me that only ONE was available, not the two that I had in my cart, so I purchased the ONE. Two weeks later, no dog food has arrived, BUT I just got an email stating it’s out of stock and not known whe"/>
        <s v="Ordering was simple, communication was excellent, selection /prices were great anf items were shipped promptly. No problems were encountered at all!!"/>
        <s v="Petflow had the sensitivity select dog food I needed, which is hard to find, at a reasonable price. I received it within a week. Great company to deal with."/>
        <s v="Order on 9-1 called on 9-5 to verify prescription received, told yes will ship soon, no contact from you, called again on 9-9 told will ship that day, I expected to receive by 9-12, tracking sent stated expected arrival 9-15. Was never informed of these d"/>
        <s v="I ordered Hills prescription CD ocean fish wet cat food on the 1st of September. I had no knowledge that is was not in stock prior to ordering as it was not noted on the PetFlow site. I got an acknowledgement email from PetFlow and that was it. To make a "/>
        <s v="transfering a new hardcopy Rx was a bit cumbersome.&#10;First I was told that I had to send a new Rx via US mail then I was told I could simply upload it. So it took almost 2 weeks to receive the product."/>
        <s v="I had some issues with my order but contacted customer support twice and each time has been reassuring. It's easy to get a hold of a real person, and the team has been very professional and courteous in resolving my issues. I will continue making purchase"/>
        <s v="very happy experience from Petflow!&#10;Thank you"/>
        <s v="Dog food I ordered went out of stock immediately after it allowed me to order. I called, and I was told they could not give me any idea of when it would be in stock. I tried to cancel my subscription with them, but they told me they wanted to keep it for "/>
        <s v="FRDEX didn't deliver the previous order. Your customer care rep. ordered another Fromm Sur &amp; turf for me and it was delivered"/>
        <s v="I signed up once for auto-ship &amp; the order took over a week to reach me. Since that experience, I order when I need it and always receive it within a few days. I am a regular!"/>
        <s v="I bought the august 31st haven't even received any email with shipping, last time i talked to them haven't shipped yet, last time i called didn't even answer."/>
        <s v="I placed an order. About 6 days go by and I realize I hadn’t gotten a shipping confirmation number. I called and representative said ….. oh….. did no one reach out to you? No, they didn’t! Long story short- nothing happened- except they held onto my money"/>
        <s v="I placed my order a few days ago. I then had to get a prescription from the vet and mail it... mail it, not fax it or email it but mail it. I have yet to get notice that my dog treats have been mailed and it had been days. My dog has IBD and these are the"/>
        <s v="Communication with PetFlow staff was exceptional and professional. I truly believe the staff was interested in helping me with the prescription from my vet for the product and clarification expedited the process well."/>
        <s v="Super prompt service which included PetFlow needing to verify a new prescription with my veterinarian. Fast shipping, too! Much appreciated!"/>
        <s v="PetFlow website had Hills Y-D canned cat food available. I ordered a case. They sent me a confirmation &amp; then contacted my vet for the required prescription. After receiving it &amp; checking their inventory &amp; then with their distributor, notified me they don"/>
        <s v="My order was not processed as it was flagged for fraud. However I was not informed of this. I had to call 5 days after placing the order to find out."/>
        <s v="Ordered prescription cat food that was in stock. Never heard anything for 2 weeks then got an email saying it is now out of stock. I looked it up again and it is NOT out of stock!? Total waste of my time. And I don’t remember the date exactly."/>
        <s v="Had what I was looking for, good price and fast shipping! Great job!"/>
        <s v="Easy website to navigate. Customer service both via chat and phone were very helpful when I entered my CC number incorrectly. Shipping was fast too."/>
        <s v="My order was canceled twice without an email or call. This is unacceptable and I will never recommend Petflow to anyone"/>
        <s v="I have a rescue and wanted to give Petflow a try because they had some great deals. I placed an order in my name but used my husbands credit card.....same last name....i received a confirmation....8 days later, never received it. I called and was told my "/>
        <s v="The crate arrived so quickly. It was way to assemble. Looks great! Very pleased !."/>
        <s v="I placed an order on 08/24/22 and had not heard anything about it by 09/03/22, so I emailed the company and was told that their Fraud Protection team suggested that they not fulfill the order. When I emailed back for an explanation, I was told to call a n"/>
        <s v="Dog food arrived in good condition (dry food). It was not broken up like some other places where I have ordered. Good service."/>
        <s v="This site is legitimate. I feed my dog Chicken Soup for the Soul Weight Care for dogs. After checking other places they definitely had the best price. So glad I found them. Shipping was minimal but fast. Set it up for Auto ship."/>
        <s v="good site good site good sitegood site"/>
        <s v="I ordered a prescription diet food for my pet on a Saturday. That Monday I called into customer service and confirmed receipt of my pets prescription. I expressed urgency to the rep that we were running low and needed this food ASAP. 5 days later I receiv"/>
        <s v="Prescription wasn’t approved and I didn’t get any food."/>
        <s v="Fast very secure service, easy and safe method of purchase, and excellent products, affordable pricing."/>
        <s v="Nothing but good to say about petflow. They have what I want, the prices are fair, the delivery is fast."/>
        <s v="EXCELLENT CUSTOMER SERVICE! I ordered &quot;Etta Says Premium Elk treats&quot;, 20 count. One arrived, not 20, just the one. I called, the rep on the phone was more than polite, and sent out an order for the missing 19 chews. Again the box arrived with one chew, no"/>
        <s v="Awesome to do business with. Received product on time!"/>
        <s v="Very happy that I found this site for my aging dog who needed prescribed treats that he was on most of his life. They contacted my Vet for approval, and I did not have to wait too long before I got my package"/>
        <s v="I had a wonderful experience with PetFlow. My Cat, Max, is on a special Hill's prescription diet for urinary issues. It is very difficult to find c/d cat food where I live. I found PetFlow on-line and ordered chicken stew, tuna and ocean fish. I uploaded "/>
        <s v="The ordering process was easy, however, within one day I received an email saying my item had shipped BUT after 5 days with no tracking number I called and was told the item was out of stock. Shortly after that call I received an email saying the item was"/>
        <s v="PetFlow and its fine customer service representatives are always dependable, always on time, forever and always pro-n-polished."/>
        <s v="Excellent customer service. Well stocked inventory."/>
        <s v="Fast shipping &amp; best price when compared with other delivery companies of same product."/>
        <s v="PetFlow offers competitive prices compared with other online pet supply companies!"/>
        <s v="I tried to order litter boxes for my shelter and my order was canceled Without my knowledge and after the order was already supposed to have shipped I contacted the company and they canceled my order because they said it was fraudulent. Are used PayPal wh"/>
        <s v="Went from bad to worse.&#10;Ordered rocks and cat treats. My package was lost. NO ONE reached out. I contacted Fed Ex several days later and it's GONE. I called Petflow to get me my order over night from another location. They said a manager would get in touc"/>
        <s v="This is my third time ordering from This company. The first two times were very positive. However, after putting in an order on a Saturday morning they are telling me that it “might” leave their warehouse “at some point” in the day on a Thursday. So basic"/>
        <s v="Everything was great!&#10;I unfortunately had to let go of my baby ( black lab) of almost 12 years.&#10;If/ when I am ready I would use your services with no questions."/>
        <s v="You offer free shipping for orders over $49. So I try to meet that requirement. But then you offer coupons which are really nice. But when I apply a coupon, it brings my total below the free shipping mark. My choices are to accept the shipping charges or "/>
        <s v="This is my first time ordering from Petflow and I am very satisfied! My order came quickly and the prices are less than other places I ordered from. The type of dog food I buy for my dogs is hard to find and I'm glad Petflow has it. It saves me time looki"/>
        <s v="Good service arrived when you said it would. I was a little confused by the check out on your website, but I’m old."/>
        <s v="My auto ship sat in processing status for 2 weeks so I paused it so I could order something else. I called and the person acted like they didn't want to help. Once I placed my new order, I received my auto ship order at the same time. This was over $150 a"/>
        <s v="I'm unhappy with your service. My vet was out of the prescription diet for my cat, so I ordered from your website on Friday, 08/26. You charged my credit card on Monday, 08/29. Since you charged my card, I thought you had the okay from the vet to get the "/>
        <s v="Two times I tried to order a particular flavor of food for my cat and both times your site said it was in stock. about 7 days later after not hearing anything, I contacted petflow only to find out that the product was out of stock.&#10;&#10;You do not let custome"/>
        <s v="This is the first time I used pet flow and I was very happy with the results. They got the approval from my vet and shipped the products in a timely manner. I will be using them again"/>
        <s v="Great customer support and very fair pricing. Speedy delivery. Will use again and do rexommend!"/>
        <s v="good communication about delivery status."/>
        <s v="I am NOT Paul Weiler. Not only are you asking me to rate my experience you have joined my account with his!&#10;&#10;I am Dawn Martin and have canceled my account. I’m a over 10 years a customer. I hope you take my info off Paul’s account and VDH versa.&#10;&#10;Thank yo"/>
        <s v="The website said they had the product, 3 days later I received an email stating they were canceling my order. They did not have the food I had originally ordered."/>
        <s v="Good service ordered dog food and it arrived within couple days."/>
        <s v="My product never made it to my doorstep, and I still haven’t received my money back. Extremely disappointed with the service of this company."/>
        <s v="Prices are a little high but the shipping is outstanding! I am able to get my dog what she needs!"/>
        <s v="I was happy first time ordered food from this company I usually ordered from chewy and then they sent me the wrong food for my dogs. I called they were able to change it and asked me to send back the one I had the wrong one. The new order yes it was $0 bu"/>
        <s v="Called twice to check on my order. People on phone were pleasant but not very helpful. My order was canceled without any communication from Pet Flow. I was told that an email was sent but I did not receive one on the day of cancellation or ever. Very disa"/>
        <s v="The cat food arrived on time. once I ordered the wrong flavor. great customer service for an exchange of flavors"/>
        <s v="Package arrived in timely manner"/>
        <s v="Great customer service&#10;&#10;It was so easy to set up an account and get reoccurring deliveries. And the prices are right."/>
        <s v="My order arrived promptly and packed well. Thanks."/>
        <s v="I do like Petflow for my dog’s food and supplies. I found the auto ship to be somewhat confusing while I was determining how much dog food to order as my pup was growing. I’m unsure how much the discount is for auto ship and when does it start. I do not s"/>
        <s v="Petflow was so helpful in telling me when I should expect my package and sure enough, it came on time! I couldn’t ask for more!!!"/>
        <s v="Good products and prices. Very disappointed that it took 8 days for delivery. I’m used to Chewy with 3-4 day delivery."/>
        <s v="Great service. Also, was able to find the prescription food I needed for my cat ONLY here after finding it out of stock at my vet and at other web sites. Both my precious cat and I are very happy now!"/>
        <s v="No one called me to tell me my order was going to be late. My husband called and gave his credit card several months ago and I have placed orders, with this credit card numerous times but for some reason y’all decided not to send this order because our la"/>
        <s v="Fast, reliable shipping."/>
        <s v="Easy to order, quick free shipping. Got veterinary food I needed in the large size. Pet Smart won't sell you the large size which is a much better deal. Been ordering all of Chloe's treats from you for several years. Keep up the good work. Please get her "/>
        <s v="Shipping was fast, delivery was not. Not delivered by estimated day, but 2 days after. Wish it was more accurate."/>
        <s v="All was good. Not one complaint 👍👍"/>
        <s v="Shipping was on the slow side but worse boxes were destroyed. Thankfully dog food bags were not ripped open."/>
        <s v="I am always happy with my orders from Petflow! I get my food within a couple days!"/>
        <s v="Placed an order, received the order (late) but was sent a discount coupon to make up for it. That's nice."/>
        <s v="The site and purchase was fine, but then my order was canceled due to the food being out of stock. It's a prescriptions food, so I was pleased to find somewhere that had it (everywhere else has said it's on backorder) then disappointed when it was unavail"/>
        <s v="Super fast shipping. Lowest price online"/>
        <s v="I was given a $25 discount off $100 purchase. My order was split and shipped in 2 shipments 1 day apart. They removed the discount! Customer Service did give me the discount after I requested it. Satisfied. Will probably order from them again provided goo"/>
        <s v="Ordered dog food and I was informed that it shipped on the twenty second of August. It's now the third of September and no dog food. They said it would take seven to ten days. It's now been twelve days."/>
        <s v="The service at Pet Flow is very reliable and the prices are very competetive"/>
        <s v="all good so far but what can i say about dog food? on time and price was probably fair. so we will see"/>
        <s v="I would give 5 stars but I had several issues with the website! I’m sure it’s working through the kinks! Technology is great until it doesn’t work. I will say the online chat was on point with helping. I think I was actually texting with a real human and "/>
        <s v="I placed an order with the company for high quality dog food. When it arrived it had been expired for nearly 5 months. This was my first order and though they refunded me when I complained, I still lost faith in them as a company. I expect better than exp"/>
        <s v="My dog needed a prescription diet dog food. This company is a joke. Have us the complete run around for 2 weeks, meanwhile my dog suffered. I do not recommend this website or this company to anyone."/>
        <s v="Exactly what I ordered and quick delivery time."/>
        <s v="I used to enjoy ordering from pet flow for our cats prescription diet. However, recently, the reliability has been terrible, and to make it worse the communication about it has been lacking. They were very quick to charge my credit card while they place t"/>
        <s v="I'm satisfied with the food but you need to use stronger boxes. I order 30 lb. bags every month and they are always opening and falling apart."/>
        <s v="This is the 2nd time you sent me the wrong cheaper item. I called before the last order and you promised I would get the correct item as described and pictured."/>
        <s v="Good customer service, quick reply from pet flow! I highly recommend this website for your pet’s needs!"/>
        <s v="Petflow has a great variety of foods. My dog food is sometimes hard to find, and they carry it. Their prices are competitive also."/>
        <s v="Purchased 3 cases of dog food and many cans were dented from the delivery. Otherwise good value and quick delivery."/>
        <s v="Horrid experience. Ordered some cat food on a Monday, and it wasn't until Thursday that I was told that the food was out of stock and they didn't know when they would get more. I know that cat food is in short supply, but the website could have at least s"/>
        <s v="I love my dog's new collars. They are nice and strong, and very reflective. I measured their old collars and ordered what I thought would be a perfect size for them. Unfortunately, the collars are too big... by alot. I'm hoping there is something that can"/>
        <s v="Fast delivery, good quality products."/>
        <s v="You are excellent, accommodating, and understanding, I will buy from you again."/>
        <s v="Denemarin available...&#10;I was pleasantly surprised to find and purchase the above mentioned without a prescription. Unable to find chewable tabs for my Queensland Healer locally. Thank you, Thank you.&#10;Please let me know when you get more in stock."/>
        <s v="Pet Flow &quot;usually&quot; arrives in a timely manner. However, quality control and training are needed for packing. Our products, especially canned and treats, arrive dented and in crumbs. That couple delivery too!&#10;Longtime customers should not be forced into au"/>
        <s v="My vet could not get the prescription wet food for my cat. I tried for weeks and PetFlow finally had the food in stock. PetFlow faxed the prescription to my vet, and in a couple days I received the case of the wet food via FedEx. Free shipping and I had a"/>
        <s v="I place an ordered on August 22 and messaged the company on August 27 since I hadn’t received a invoice saying that they shipped. I then got a message back saying that it was marked fraudulent. And they wouldn’t be sending it. But they never intended to s"/>
        <s v="This is the first time that I ordered from Petflow and so far so good no complaints!!"/>
        <s v="It was all pretty seamless. I am a first time customer and will be back👋"/>
        <s v="Easy to order on line; prompt delivery; no fee for delivery since it was a large bag I ordered. 5 stars."/>
        <s v="Looking all over for prescription wet cat food. Saw a comparison between Pet World, Petco and Petflow. It showed Petflow had what I was looking for in stock. So very excited that you were showing Science Diet in stock. Ordered 5 cases, gave my vet a heads"/>
        <s v="Super fast shipping!! I placed my order and received it 2 days later. Great service!"/>
        <s v="I was sceptacle, but chose to move forward and sure glad I did. Very prompt delivery. Have since ordered mega amounts of my cat's favorite food again."/>
        <s v="Order was quickly shipped BUT order was not complete due to inaccurate inventory on website AND several items were VERY dirty when they arrived. If it hadn’t been for tags, I would have thought the items were used. Somewhat disappointing!!"/>
        <s v="Fraud department is out of control. I’ve never known a company so bent on refusing to allow customers to purchase from them. Good luck with that business model lol."/>
        <s v="I recently purchased a bag of dog food. Emails kept me updated about when it would be delivered &amp; it did arrive as scheduled. It was a good experience &amp; I'm very satisfied with the service provided."/>
        <s v="Quick service &amp; delivery..... No problems at all"/>
        <s v="Shipping took entirely too long. Wasn’t notified about a shipping delay until after package was due"/>
        <s v="Friendly folks, poor stock on hands.&#10;&#10;This is the second time I attempted to order dog food from you. A days after ordering both times, I received an email stating that was out of stock. This was for Hills d/d potato and venison. It would have been nice t"/>
        <s v="It took way too long to ship the food. I called and canceled order while it was still in the warehouse and not processed . They sent it anyway."/>
        <s v="I ordered product&#10;Never received it&#10;Later told thru text communication that product was out of stock&#10;If so, why was it on your website!??&#10;Nobody advised me."/>
        <s v="Fraud Depoatment has flagged my account. THey have been no help to get this corrected. I would like to purchase form this compnay but they have been no help in correcting their error about mt information being fraud. Who can I talk to to get this correcte"/>
        <s v="I had to reach out to find out what was happening with my order after never hearing anything."/>
        <s v="You were unable to fill my order and never let me know until I sent an email asking where it was!"/>
        <s v="After making a purchase that exceeded the threshold for free shipping, I was not able to add on another item after making a purchase. The salesperson could not waive the shipping fee on another item I forgot to add on to my original purchase. Instead, she"/>
        <s v="I ordered 3 bags of hills feline dry metabolic + cd which has been hard to find at alot of stores. You listed it as in stock. I am the veternarian for my pets and you didn't allow me to upload an image of my prescription. You sent my clinic an email to ge"/>
        <s v="I ordered my cat a specialty cat food which at the time was listed as in stock then the next day I received an email saying it was “out of stock”&#10;To be fair most if not all places were out of stock but that’s why I was excited to finally find a store that"/>
        <s v="I called to cancel an order within 24 hrs of placing it. Was told it was too late but that I once it arrived I can call and request a pre-paid label to return. So I called when it arrived and was told that RX dog food cannot be returned and that it states"/>
        <s v="I've been using Petflow for my furry babies for a few years now and am very happy with the ease of the website navigation and managing my auto-shipments. They also have great customer service!"/>
        <s v="I get all of the treats that my dog loves on one site for the best price"/>
        <s v="Couldn't be much easier and a great price, no one even close."/>
        <s v="Good company and they had my baby’s dog food in stock"/>
        <s v="Pet Flow has excellent prices on the food I was looking to purchase for my cats. Their prompt delivery was also superb. Have shopped here twice and will be doing it again regularly."/>
        <s v="We have discovered some awesome dog treats available at very reasonable prices through this company. Ten Points!&#10;When we have questions or order something that is temporarily unavailable, we experience stellar communication and feel that we have received "/>
        <s v="Easy. Fast delivery 🚚 thank you."/>
        <s v="The website was easy to use. I like the prices of the cat food. And I also like the discounts you offer."/>
        <s v="I'm pleased with the order process and the shipping was as promised. I will be ordering from PetFlow again."/>
        <s v="Great price, fast shipping."/>
        <s v="We go where Fromm dog food is. We move a lot, and (so far) have never had an issue receiving our pet food and supplies from Pet Flow.&#10;The ordering process is easy and the site has everything we need for our pets. The only reason 4/5 stars is that there is"/>
        <s v="Good prices, great selection, and excellent service! I highly recommend Petflow!"/>
        <s v="Prescription food showed &quot;in stock&quot; on the website. Ordered and they got a prescription from my vet the next day. Only then was I notified that they did not have it, and did not know when it would be available as they use a third-party vendor that does no"/>
        <s v="I ordered my cat’s prescription food and Petflow obtained his prescription frim the vet. After not hearing anything for a few days, I called Petflow to make sure the food was in stock. The representative said she would call the supplier and email me to le"/>
        <s v="My experience with PetFlow has been great. Items are delivered when I expect them, in great condition. Auto delivery works just as it should."/>
        <s v="Easy to use site . Like that you give the option to set up an auto shipment for the date I needed it to shipped instead of order now choose auto ship. Allowed me to set up when I need the shipment instead of waiting or ending up over stocked ."/>
        <s v="My experience was good. Found the items quickly and without any problems."/>
        <s v="I WAS AMAZED THAT THEY HAD THE SAME PRODUCT I HAD BEEN GETTING FROM AMAZON FOR MORE THAN $1.50 LESS PER ITEM, SO I FIGURED, WELL THERE MUST BE A LIMIT TO HOW MANY I CAN BUY. NOPE!! SO I BOUGHT MORE THAN 20 OF THEM. I FEEL LIKE, SINCE I HAVE SUDDENLY LOST "/>
        <s v="Fast and good service! Thank you!"/>
        <s v="Convenient and prices are very good. Wish the shipping was a bit more urgent but will shop with them again."/>
        <s v="Easy to shop. Great prices. I got my pet waste bags quickly and well-packaged. Will definitely shop with PetFlow again!"/>
        <s v="I switched to Petflow from Chewy and so far, so good. Chewy doesn't carry Fromm, which my dogs like the best. Decided to give them a try and I'm very satisfied. The food arrived about 3 or 4 days after I placed my order. The expiration date is more than a"/>
        <s v="Loved the website ! They had what I was looking for . Ordering was easy I got my dog food 36 hours later ! I will definitely use pet flow for my ongoing pet needs ."/>
        <s v="The prescription cat food (wd) is out of stock, but I was&#10;let to order it as if you had it. No one seems to be able to get this. It's an important prescription for my cat who has a fractured pelvis.&#10;Arn't the making this anymore? Is there a substitute tha"/>
        <s v="This company was able to get the dog food we needed and were having trouble getting elsewhere."/>
        <s v="I have a dog that needs prescription food, I searched the internet and your website said you had it in stock, I ordered it, anticipating the amount of time I had until my dogs food ran out. Well you took over a week to tell me that you couldn’t fulfill th"/>
        <s v="Easy to order, slight delay with the product not available in the closest warehouse but arrived well packaged"/>
        <s v="What I loved was that they told me that their fast delivery was delayed because they had to ship from another supplier without me asking where my package was. They took initiative and emailed me about the details of my package."/>
        <s v="No product&#10;xxxxxxxxxcccccccczzzzzzzz"/>
        <s v="I ordered prescription cat food from Pet Flow. However, a few days later they stated they were out of stock and would ship it as soon as they received it. I had to cancel my order and they were very communicative throughout the process. I would definitely"/>
        <s v="PetFlow came through for me again when a kitty food subscription was out of stock. I'll be sticking with PetFlow! Thank you!"/>
        <s v="I made an order and canceled 2 days later. Customer service told me it was taken care of. The charge disappeared and I thought all was well. Then several more days passed and I received a shipping notice. I was told it was now too late to stop my already "/>
        <s v="One thing I really love Petflow is they always have their products available. I don’t get a constant “on back order “ like many other mail order purchases. I also appreciate the occasional discounts offered to regular customers."/>
        <s v="Was able to order special food for my dog that was not available elsewhere. Delivered quickly and I was kept uo to date on the delivery."/>
        <s v="Placed an order and Rx was on file. Waited a few days and didn’t hear anything. Contacted the company and was told, sorry…..it’s just sitting in fulfillment for some reason. Then the customer service person said they’d try to expedite. That was almost a w"/>
        <s v="Our pet food was delivered promptly."/>
        <s v="Timely response and follow-up. Timely processing once order details (prescription food) were in place. The one area that needs to be addressed is the contradicting information the site provides during the prescription food order process. The site noted th"/>
        <s v="After placing an order and receiving the shipment, I realized I had ordered the wrong food. I had set up auto ship for the food, so immediately tried to change the type of food on my auto ship. When I couldn't change it myself, I emailed and the responder"/>
        <s v="The box that the bag of food arrived in was open. That was probably due to the heavy food bag inside without any protective packing."/>
        <s v="I placed an order, and without notice, it was canceled, and the product never arrived."/>
        <s v="1. Your site told me that I was REQUIRED to mail the original prescription for my cat’s Hill’s m/d food. Luckily, I had asked my vet for a prescription in June, so I had an original to mail. I don’t like to mail this, because I have to get a new one anyti"/>
        <s v="Dependable, well stocked with helpful phone assistance"/>
        <s v="I bought a 12 pack of Duck and a 12 pack of Salmon. Usually my dog loves salmon but she did not like the salmon from Pet Flow. It was disintegrated little chunks floating in tons of liquid. She left her dish unfinished.&#10;On the other hand, she gobbled down"/>
        <s v="Was looking to get my cat's food supply from a smaller company than the giant online pet stores, and after researching i found PetFlow.&#10;Good prices and fast delivery!&#10;very satisfied with PetFlow's customer service as well&#10;totally recommended!"/>
        <s v="The in-stock status of food was inaccurate"/>
        <s v="I have used petflow for a long time. They carry some hard to find products which I really enjoy. They are usually easy to get ahold of too if you call them.&#10;&#10;The only areas I see that could afford growth are these:&#10;An auto ship program that can be paused "/>
        <s v="First time shopper. Friendly knowledgeable efficient. Great service, fast delivery. I will be back."/>
        <s v="Finally found a source for the Hills Prescription Diet Gluco Support MD dry cat food. I tried my vets, local pet stores, and Amazon. My vet suggested that I try you folks. Success! The food was in stock and shipped in a reasonable length of time. Happy cu"/>
        <s v="This company has labeled me as fraud after a purchase because my billing address didn’t match after I called twice to their customer service department and their rep Mallory said I could never buy nothing from pet flow ever again. I’m not going to state w"/>
        <s v="Working with PetFlow was wonderful. Working with Fed EX, their shipper was not. PetFlow responded to every call or text that I sent them within a few minutes. Fed Ex was another story. Things got lost and were late. They really need to find a better carri"/>
        <s v="Online order was simple. Delivery was on time. My only comment is that you not use plastic bubble for cushioning and instead biodegradable packing."/>
        <s v="I ordered a prescription diet for my dog…I thought I was ordering hills metabolic lamb and rice diet as my dog is allergic to chicken. The lamb and rice has been difficult to find and online it said Petco and PetFlow had it available. I received an email "/>
        <s v="This process was flawless."/>
        <s v="Easy to order, quick delivery"/>
        <s v="Always such quick service and exactly what my Ginger Girl wanted! Thanks!"/>
        <s v="The website is organized and works well. Ordering went smoothly and my items arrived promptly and the quality is great."/>
        <s v="I ordered 2 bags of Hills Science Diet dog food for my 2 Rotts and got a good deal. I will be buying more in the future"/>
        <s v="I’ve been a fan of PetFlow for several years. Their service is prompt and professional. An added plus is your purchase goes to help an animal in a shelter."/>
        <s v="Everything was great. Order came in a timely manner. Great price! No problems. Would recommend this company!"/>
        <s v="I had issues with my order. It was fixed and replaced. I thank you for the help and fixing it asap."/>
        <s v="We ordered product and after two days you said it was out of stock after all"/>
        <s v="Very disappointed. Our order was canceled by you because you didn't get your order of the goods. I know you can't help it if your supplier doesn't come thru for you. But our order was placed middle of July &amp; we're just told Aug 18 you can't supply."/>
        <s v="I was so thankful that PetFlow had my dog's prescription food because they were the only place that did. Even our local vet couldn't get it. As soon as my order was complete, they contacted my vet to get the process going. In less than 7 business days, I "/>
        <s v="exact product I was looking for and at a great price and wonderful shipping service"/>
        <s v="Great product. Dog loves it"/>
        <s v="This was my first time ordering from somewhere other than Chewy.com. I’m very pleased with their service. And they’re cheaper than chewy for the litter I needed. You have a new customer. Well done. P.S. Lets Go Brandon"/>
        <s v="Your Shipping time was 3x as long as quoted. We ran out of dog food in the meantime I refer a lot of business your way. Not sure I can anymore."/>
        <s v="food order took a long time to arrive, wasnt aware to order before noon on fridays to ensure order received before weekend so it was a long time before order was even received"/>
        <s v="when i ordered said in stock,,then i get email not in stock,,takes long time to get and multiple delivery,,and you have to add up each delivery to make sure its right,prob won't order again i did twice and happened both times"/>
        <s v="Items were just as I ordered and shipping was faster then I expected. All good things! Glad we discovered PetFlow. It was our son who has two pups, that made the recommendation. Thankful for that."/>
        <s v="They accepted an order, charged my credit card - and all the while the food (which was a prescription food) WASN’T EVEN IN STOCK. The item wasn’t listed ‘out of stock’ or ‘on back order’ at the time I purchased it. It was only nearly a week later after I "/>
        <s v="I purchased 2 bags of dog food one came right away the other took a while to be delivered"/>
        <s v="Wouldn't allow me to place an order. Had to order through a family member. It's a new house but it's on maps so idk what the problem is."/>
        <s v="Your service by email promised to contact my vet about the order for the prescription. You failed to do that and had to cancel the order."/>
        <s v="Products were good, but delivery took a long time and tracking didn't give updates after day 2."/>
        <s v="Awesome experience. Pet feeder was bent. And email was sent explaining how feeder arrived and new feeder was sent out immediately. Great customer service. Well shop here again. Awesome! Awesome! Awesome! Second feeder arrived in excellent condition and my"/>
        <s v="Great prices and fast shipping! Awesome auto-ship discount as well."/>
        <s v="Great customer service. I provided some feedback regarding coupon/promo codes and received a very nice response quickly. I was just offering some feedback in didn't want/expect anything in return. However, the Rep went above and beyond and provided me wit"/>
        <s v="Petflow has great pricing and service. I signed up for the autoship program for out dog's Hills Science Diet. They were priced the most competitively. My order shipped as promised and even delivered a day earlier than expected."/>
        <s v="I wasn’t happy when they told me they would not charge my card unless the item was available and ready to ship out but unfortunately that wasn’t the case when they decided to charge my card even if it was a pre-authorization or pending I don’t like to see"/>
        <s v="PetFlow has the best prices on nice dog pens and wonderful customer service."/>
        <s v="At the time I ordered the product your website said that it was in stock but after about a week later it was no longer in stock and I could not get it at all. I was really hoping that I could get this since after much research your website showed that it "/>
        <s v="I’ve shopped with Petflow for years. Excellent selection, very good customer service too. The shipping can be a little slow, but that’s FedEx not them. I get aggravated with the auto ship and you have to call in to cancel. But otherwise dry happy with the"/>
        <s v="I can't actually manage autoship. I always get an error that would prompt me to contact costumer service."/>
        <s v="Disappointed in your service Was told that you had an item in stock to be mailed When I inquired about status of order, I was told an error was made and food was not being mailed Out of stock !!"/>
        <s v="I made my first order for Blue Buffalo wet food for 2 cases because the price was great. The food cost had suddenly skyrocketed on Amazon and chewy. Shipping was fast and exactly right. Food had extended expiration dates. So I immediately repeated my orde"/>
        <s v="My canned dog came dented. One can was so dented that it opened and was so spoiled from being out on delivery that my whole kitchen smelled and I had to throw away about 3 or 4 of the cans. It was so incredibly disgusting."/>
        <s v="They did not fulfill any of my orders, few reliable"/>
        <s v="Quick shipping, great selection of dog foods."/>
        <s v="Best price on dog food and super fast shipping—love pet flow!!!"/>
        <s v="Always easy to work with , the best customer service !!"/>
        <s v="Easy ordering, they kept me updated about my order. Order was shipped and delivered quickly. Great service."/>
        <s v="Great,prompt service. Great product. Linda Ryburn"/>
        <s v="I have ordered twice now and the cat food was delivered quickly and best of all, with no damage to any cans. I'm very pleased."/>
        <s v="I love PetFlow. There is great healthy pet food on this site.&#10;My pets look forward to their healthy food and snacks!"/>
        <s v="My order was shipped on August 4, it is now August 13, and it has not shown up. I would love to cancel because I had to drive 100 miles to the nearest pet food supplier to buy food. No clue where the shipment is."/>
        <s v="Very good product and fast shipping. My dogs are happy!"/>
        <s v="I don’t think I will take a risk ordering from this place ever again. I placed an order on Saturday for a prescription food for my cat. I provided the required information to verify my cat’s prescription. I checked the status on the following Tuesday and "/>
        <s v="Unfortunately, I ordered 30+ bowls for our rescue. It showed them as in stock and I'd searched everywhere. I paid for it and received confirmation of the order. Then after a few days, I received a email that there were no bowls available, they were out of"/>
        <s v="Best Dog Food Subscription service! I use two different brands for my dogs. One is a prescription food. PetFlow has the best prices and always provides excellent Customer Service when I call. My orders always arrive right on time! I highly recommend PetFl"/>
        <s v="Horrible experience! Do not buy from Petflow! They advertise that they have product in stock and allow you to order it, fill out entire order, credit card info and everything online and tell you we will let you know when it ships. Then a week later says o"/>
        <s v="My order showed food was in stock. Email stated pending. Continued to say pending for a few days. Called and was told it would be sent asap. A couple days after that was told it was out of stick and credited. Ordered through you because your site said it "/>
        <s v="Fast, reliable shipping. High quality products for great, competitive prices. Thank you Pet Flow."/>
        <s v="It was a very pleasant shopping experience. I bought mixed vegetable food for my dogs. They liked it very much, but there were too few kinds of petflow products, which were the fly in the ointment. But it doesn't matter. I think they will improve and I wi"/>
        <s v="Fast shipping, thanks."/>
        <s v="On the website, it is too easy to set up multiple auto ships. Would be nice if there was a confirmation box… “you already have this item part of an auto ship, are you sure you want to add another”. Would be nice if people could delete an auto-ship order w"/>
        <s v="Placed order. Got email that one item was out of stock and was cancelled. When order came another item was not shipped but I never received another cancel notice for that one."/>
        <s v="I ordered food and was told I needed my vet to prescribe it. After some back and forth with the vet that happened. Then Petflow informed me that they didn't have the food in stock and instead of backordering it, cancelled my order. A lot of wasted time fo"/>
        <s v="Fabulous, great, fantastic, worth it, affordable"/>
        <s v="I originally spoke with a very helpful employee who helped me place my order. I received an email verifying the order. I then received another email stating the order was Vet approved and would ship Aug. 8,2022. I looked up my order to check status and sa"/>
        <s v="I requested my auto ship arrive early and it was shipped on 8/1/22. At that time I requested the next auto ship arrive in I believe it was 9 or 12 weeks. However, it appears that another 30# bag of food was shipped today. I certainly do not need 60# of dr"/>
        <s v="Prices were good and all items arrived in a timely manner. Website is easy to use."/>
        <s v="You don't deliver parcels.&#10;Very Disappointed"/>
        <s v="I ordered cat food on July 29th (12 days ago). It still has not arrived. I live in Oregon. Early in this misadventure I received a message that it was being shipped from a more distant place (NJ) because the closer warehouse was out of the brand I chose. "/>
        <s v="You guys suck. I couldn't even place an order because of ur fraud dept"/>
        <s v="I had hoped that Petflow would be a reliable source to order my cats' food, especially the prescription food that is critically important. Unfortunately, Petflow has failed me multiple times, canceling my order FIVE DAYS AFTER I PLACED IT.&#10;&#10;Sometimes the "/>
        <s v="the shipper had damaged the box of dog food and returned it to PetFlow. I received a nice e-mail saying they were shipping a replacement out right away."/>
        <s v="I use PetFlow because they're priced right, prompt and have what the cats on prescription need."/>
        <s v="Good price, fast shipping. Thanks."/>
        <s v="I’ve recently moved and I was struggling to find my cats food and I found it on this website but sadly I was put on their fraud list right away. I called customer service and they told me there’s no way for me to talk to the fraud department to get my nam"/>
        <s v="Very helpful service over the phone. Received just what I ordered fast!"/>
        <s v="Never heard from you guys. Said my order was reported as fraudulent ???&#10;Seriously???? You never even got back to me. I think your company is super sketch! Would never ever order from you again.&#10;Byeeeeeeee…….,,"/>
        <s v="Great prices and fast shipping."/>
        <s v="Order online was easy&#10;Check out offered pay pal and was easy to check out&#10;Shipping is quick&#10;Pricing was great&#10;Customer service is fantastic"/>
        <s v="Terrible customer service and company to work with. Site days 1-3 business days delivered from purchase date. Didn’t even ship the product until a week after the order and kept making excuses as to why it wasn’t being shipped. Product was dog food for my "/>
        <s v="this is a place where they have fair prices fast delivery would buy from again a+++++++++++++++++++++++++++"/>
        <s v="I asked to be shipped on a Monday.&#10;My order wasn’t shipped until Tuesday.&#10;The expiration date on the dog treats I this November.&#10;When I purchase them from Chewy or Amazon, the expiration date is always at least one year out."/>
        <s v="I am happy with petflow. There are some inconsistencies with their warehouse Packaging. I placed an extra order and they shipped out boxes weighing 70 lb. I don't know how FedEx moved them I certainly couldn't. I believe they need a little more training a"/>
        <s v="I called Customer Service to discuss the possibility of your obtaining more Fromm cat food in small bag sizes. Great conversation."/>
        <s v="All past orders have been good, and if there were any issues in the past the staff handled it appropriately and quick. However, this past problem was a slap in the face and took much needed funds away from my rescues. PetFlow did not take responsibility f"/>
        <s v="Where is the rest of my order?&#10;&#10;Your website shows the Hills Prescription Metabolic and Mobility 12.5 bag as being in stock, yet it has not been shipped to me. I do not know whether I have been charged for it.&#10;&#10;Please respond to me.&#10;Carol Ann (no &quot;e &quot;) Ol"/>
        <s v="First time order on a pet food I couldn't find anywhere else. Placed order and received order in 5 business days which included the time the pharmacy contacted my vet. Was a mailed and updated as to when my order would be delivered. Will order again"/>
        <s v="Very bothersome! You don’t instantly charge my card! Sometimes it’s a day or two later! I turn my credit card on and off as I’ve had so much fraud! It takes me many attempts each month to get my order. Other companies I do regular&#10;Busy with do the transac"/>
        <s v="PetFlow is amazing. Best brands, fast delivery and fair prices."/>
        <s v="I have been happy with Petflow. I’ve been able to get the cases of food that my cats like that I was unable to find elsewhere. The website is easy to use and the price is as expected."/>
        <s v="Ordering was easy enough, shipping was the problem. Petflow uses FedEx, an unreliable company. The order was split without Petflow or me being aware. The second portion arrived 3 days later. This is unacceptable. No packing slip was available on either sh"/>
        <s v="I placed a large order for kitten food. Credit card processed. When I looked to find out shipping date a few days later, it had been cancelled, no notice to me, no email, nothing! I called and they said when a large order is placed they suspect fraud. Tot"/>
        <s v="There's no status available to see whether or not my vet has been contacted. Canceling the autoship is deceiving, I can only pause it up to 17 weeks. Everything about this website is difficult."/>
        <s v="Prices were fair and shipment came in a reasonable time"/>
        <s v="Good products at good prices and fast delivery!! I'll be using pet flow again!"/>
        <s v="The ease of ordering was great, &amp; the shipping was fast"/>
        <s v="Petflow carries food that others don't that I want. The prices are fair and shipping is good. I buy Formm and Nurti Source. The treats and toys are great."/>
        <s v="Ordered 4 cases canned dog food, Eleven cans of food severely damaged, 5 cans actually were broke open.&#10;Excellent place to shop but not so good packing"/>
        <s v="This is in reference to my order: 10303683. I ordered 8 packages of these dog treats that your system said were in stock and confirmed the order via email. Then I receive a subsequent email advising they were out of stock. Not a good experience and no way"/>
        <s v="Customer service wouldnt help located an order i placed approximately 10 days ago. She referred me to the website disclosures. We i told her how to do her job, she became upset. Customer service rep said we all have pets as though it wasn’t a big deal my "/>
        <s v="It was so easy to find what I need for my kitties, it was easy to order and it was at a great price. And the delivery was very fast. PetFlow is the best!!!!"/>
        <s v="ecxellent. always helpful"/>
        <s v="My pups really like the Dr. Marty freez dried food.&#10;And I like being able to get better pricing from PetFlow."/>
        <s v="I ordered 8 boxes of Arm and Hammer litter I received 2 yesterday. The packing box was not strong enough plus tape was not holding the box had holes plus one of the two boxes had broken open and litter all over the boxes inside. I should have 6 boxes to c"/>
        <s v="Easy to navigate around the site. Delivery was quick and my items were packaged nicely!"/>
        <s v="The food I needed was in stock when I purchased it. When I didn’t get an email that it had shipped I looked at my account online. The account said it was delivered to my address. It was not at my house, so I called Pet Flow and was told that my order had "/>
        <s v="I recently ordered Hills Science Diet Feline W/D. Your website indicated that it was in stock. However, after several days of waiting for shipping info to come through, I called to check on the order. I was told that it was out of stock. Then a few days l"/>
        <s v="Great products, fair prices, fast service"/>
        <s v="Easy to,order, and fast to deliver."/>
        <s v="Shipping was quick. However a food product needed to be exchanged due to manufacturer changed formula and didn't want old formula sold. Customer service was unbelievably rude and lacking concern completely. I won't spend another dollar with them again. An"/>
        <s v="Started our automatic delivery program. It worked flawlessly! I was able to correct a mistake in my order without any problem."/>
        <s v="The initial order went great. When it came time to reorder our cats diabetic food it was out of stock. We waited hoping it would return by the time we needed it, but we were sent scrambling to find another source."/>
        <s v="Reliable repeat order program at reasonable prices."/>
        <s v="Petfow is consistently good overall. Timely shipping and mostly reasonable in costs. Any issues I've had were always addressed to satisfaction."/>
        <s v="Great prices, always in stock and fast delivery. Excellent customer service."/>
        <s v="I have shopped Petflow for years but lately they are having difficulties filling and shipping orders. I order when I am about 2 weeks out from having either dog or cat food. They can't ship in a timely manner.I have cancelled my last 2 orders due to shipp"/>
        <s v="Unfortunately. the delivery was promised for a specific, acceptable date, then changed by Petflows carrier to the next day, and, to make your service unusable, delayed yet another day.&#10;Learn to honor your commitments if you want my ongoing business. Expec"/>
        <s v="While there were a couple of mishaps in my order, PetFlow went out of its way to make sure everything was made right. In fact, they went above and beyond! I've been recommending them to my friends and family with confidence, have ordered and will definite"/>
        <s v="Great company. Very fast shipping. Prices are competitive."/>
        <s v="PetFlow has the best price on the dog food I purchase for my dog. Ordering is simple and delivery is fast."/>
        <s v="Excellent product selection and pricing. We are so happy that there is a wide variety of pet products. Customer service is above par!"/>
        <s v="The package arrived on time and everything inside was good."/>
        <s v="Ordered Hills W/D wet cat food... Website said in stock. I get a confirmation email and am asked to be patient as they contact my veterinarian for approval. About a week later I get an email saying the food is now out of stock. Veterinarian was prompt in "/>
        <s v="Nobody, including my vet, could get this particular Rx product. It was out of stock everywhere. So I was thrilled to see PF's website say it was in stock. I did the order, arranged the Rx, and my vet responded to fax the next day. I assumed it was all set"/>
        <s v="Products arrive on time and are very well packaged."/>
        <s v="My cat only wants a certain brand of talapia for breakfast each morning and since the supply chain issues, we haven’t been able to find it from our usual source. It’s a popular grain free brand and they haven’t been able to keep this brand in stock in any"/>
        <s v="I wish I could give a five star because I love the availability for delivery. It did take a little long to receive the order, but I didn’t like the packaging. When I opened the box, I cut the bag of dog food, even thought I opened it carefully just in cas"/>
        <s v="Cats like food that was ordered. Yet again, the box was partially open when delivered. Some cans dented. What goes?"/>
        <s v="Easy to use website, products desired always in stock so far."/>
        <s v="When I ordered WD canned cat food I know it has to be approved by my vet and that it takes a little longer because it is prescription. It was in stock when I ordered it and I thought with my request once it was approved, I would get a case, believing a ca"/>
        <s v="Was out of the dogfood that I wanted but I guess that was not their fault. They cancelled the order automatically instead of giving me the option for back order or to cancel it myself."/>
        <s v="Petflow is fast and accurate at shipping out my order, but the packing leaves something to be desired. I order two cases of canned dog food with each order and the box usually shows up damaged and/or repaired, but the cans are OK. This time three of the 2"/>
        <s v="Everything was great…&#10;&#10;Everything was great until the shipping. I don't know what happened but it took too long this time and I had to go locally and buy the same things that almost cost me double. I cant have my cat who has kidney issues eat anything els"/>
        <s v="Petflow always processes orders quickly and accurately. Shipment is excellent."/>
        <s v="Extremely poor packaging with using cheap boxes and very little tape that results in receiving damaged products. Even Walmart and Amazon use better boxes and more tape for sealing."/>
        <s v="I ordered something out of stock, so it was the case. They said they would let me know when it came back in. The customer service was very fine."/>
        <s v="The &quot;profit racks&quot; is something like speed bumps to hold me back from completing my purchase. I don't like it."/>
        <s v="Always have available merchandise. The staff is very helpful and friendly."/>
        <s v="PetFlow has always been great and prompt. Customer service always friendly. The only thing I wish for one day is for Fromm products (dog) to go on sale once in a while : )"/>
        <s v="you helped us by getting the dr marty had huge problems we received from you you spent hours trying to get this for our pup it came so fast our dog really to get this we found you by google we now will be getting this from you nice job cindy"/>
        <s v="I recently had a very helpful and pleasant experience with PetFlow. They had left out one item by mistake in my order, and also replaced a bag of dog food that came with a small hole in it, no questions asked, they just said they would replace it. No hass"/>
        <s v="Always easy &amp; convenient to order our dogs’ food online."/>
        <s v="Competitive prices and fast delivery, I would order from them again !"/>
        <s v="I appreciated the email stating the dog food I ordered would be a few days late! I’m glad they sell Fromms! It’s the only dog food my dogs have been used to!"/>
        <s v="Great to deal with. Easy ordering and fast delivery. Thanks, Petflow."/>
        <s v="Really one star is too high of a rating. I tried to order Hills Science Prescription Diet w/d wet food for my cat and saw where PetFlow had it available. PetFlow verified with my vet that my cat was supposed to have the food and then I got a notice that P"/>
        <s v="I ordered a prescription canned food for my cat. You emailed me asking me to contact my vet because you didn’t have approval for the food. My vet approved, then you canceled my order because you didn’t even have the product available! What a joke of a pro"/>
        <s v="Your website specifically said you had my prescription cat food in stock. So I ordered it - twice. Only after you took all my personal info and told me you were getting ready to ship my order did you inform me the food was out of stock. I lost a week of f"/>
        <s v="PetFlow is wonderful and always comes to my rescue, when other places cannot. They contact the veterinarian promptly to verify my cat’s prescription, and the food is delivered in record time. I’m completely satisfied with PetFlow!"/>
        <s v="I just started using PetFlow for my dog's first prescription food as I found the prices better than competition. They even reached out to our vet to get the prescription and in just a few days, I had the food on my porch! Easy peasy."/>
        <s v="Shipment arrived right on time. Thank you!"/>
        <s v="very slow delivery.&#10;no delivery status report.&#10;MUCH slower than Chewy"/>
        <s v="First order went overall well. Need more discounts."/>
        <s v="Awesome customer service! Carolina is professional and always provides fantastic customer service! Resolved my problem with a smile! Thanks!"/>
        <s v="cats don't like and they don't take returns. What do I do with such expensive food? Took over a week to get when Chewy does 1-3 day shipping at most."/>
        <s v="Placed an order and it was at my door in a couple of days."/>
        <s v="I'm disappointed with autoship. Items can't be added if they're in stock. When in stock and added, they aren't shipped if out of stock, that is they're not reserved when the order is placed. Why use autoship? I've started ordering and buying directly, and"/>
        <s v="Placed my order on July 12th &amp; I’m still waiting for my shipment. I’ve had to buy food locally due to get him by. I texted &amp; emailed my concerns &amp; was told it’s been approved &amp; would be shipping in a few days. As of today, July 24th, still no shipping not"/>
        <s v="Had an issue with a previous order. Petflow issued a credit for that order so I ordered again and this time everything was great. I appreciate a company that makes things right. I will be ordering from them again!!"/>
        <s v="I would say the customer service rep has had the issue I called about many times so she certainly understood the frustration. I think Petflow as a company leaves a lot to be desired regarding how they handle things. The 3 stars is for the young lady whom "/>
        <s v="Petflow delivers to my DOOR and not to the post office, and the order is accurate and secure! I love them."/>
        <s v="I have dealt with pet flow for over a year now . Prices very reasonable customer service great. Very quick delivery . Have recommended them to others. Will continue to use them in the future"/>
        <s v="I still have not received my order or a ship date. I ordered two weeks ago and the item was in stock. I am out of food and disappointed."/>
        <s v="Worst pet online company. Unreliable delivery service. Overall horrible pet online company. Do not use this company for your furry babies. I am a very dissatisfied customer."/>
        <s v="Customer service was good. Disappointed that I was able to add an item to my cart, check out, and process an order only to find out a week later it was not available to order."/>
        <s v="Always ship fast, worked hard to get my prescription food. Customer service is very responsive."/>
        <s v="I was very happy to find Petflow since they have some products I no longer can get on Chewy. Their ordering was smooth, prices fair and I have used them twice now. And I will again!"/>
        <s v="Ordered hard to get dog food - Arrived on time as ordered."/>
        <s v="Very pleased with your service. Especially the people that answered the phone. I wait only a minute to speak to someone. They are very pleasant and professional. Thank you"/>
        <s v="It to long to get then I only got 1/2 order then you tell me I can’t get the can food,I differently won’t buy from you again."/>
        <s v="Still has not yet shipped despite a 1-2 day wait on the website. I’ve contacted support via text and despite this, my dog’s food has not shipped."/>
        <s v="Customer service very helpful. Quick response to text message."/>
        <s v="I would like thank Pet Flow and especially the young lady I spoke to when I called in about my order. I have always been very happy with your service, especially now. Service and customer satisfaction have always been extraordinary."/>
        <s v="They sent me a duplicate order and told me I could return it if I pay the shipping. Not good business practice. Lost this customer of a shipping charge that was their fault."/>
        <s v="I ordered a product you listed as in stock&#10;Gave info for Vet Clinic&#10;Order was marked shipped in account but no tracking supplied&#10;after a few days i looked on line and account said script denied by Clinic&#10;Then I received an email saying out of stock and or"/>
        <s v="Finding birdfood in 25 lbs is very hard the order went great and was delivered fast very happy"/>
        <s v="My orders were canceled and I didn't get any email letting me know. I had to contact customer service and they told me they were canceled"/>
        <s v="Good experience and they had what I wanted and quick delivery. I’ll use you again!"/>
        <s v="I think the communication around delivery was good, and the prices were good! But, the separate package I was sent of wet food (to fulfill the order) had dents along the side, which I am reluctant to give to any of the cats we care for. So, in that regard"/>
        <s v="Only picked your website because of the promised 10% off first order and it wasnt valid for my products."/>
        <s v="Exceptional communication &amp; Deliver right on time"/>
        <s v="I ordered specific food. Was told two to three times, just hadnt been packed and shipped. Vet provided prescription. Last minute told didnt have in inventory. They repeatedly were dishonest! Caveat Emptor!"/>
        <s v="My order was canceled by you guys because you didn't have the product."/>
        <s v="Appreciative of recent discount offered when purchasing greater than $200 worth of products. I feed approximately 35 cats, so I buy in larger quantities when on sale. Canned food continues to arrive dented and one can popped open on last delivery, but I'v"/>
        <s v="I am very satisfied with petflow. Service is great. Delivery is fast"/>
        <s v="So happy I found this website . They have all my Frenchie’s products . Will order again soon!"/>
        <s v="I know it's a specialty food, but I think for the amount of food delivered for the price is still too high"/>
        <s v="Order was processed very quickly and website is very easy to navigate"/>
        <s v="Excellent service, they keep me informed on my orders. If there is a problem they inform me in advance! Good job!"/>
        <s v="This was my first order with PetFlow. I ordered a bag of puppy food and Fed Ex was to deliver. I received a notice stating that it was delivered and I checked and it was not there.&#10;PetFlow and FedEx were both excellent in finding the dog food.&#10;Great Custo"/>
        <s v="Easy to use website. Ordering &amp; delivery were quick and easy."/>
        <s v="My cat has a very sensitive system and no one had her food except PetFlow. You got it here quickly and it was correct. Thank you!"/>
        <s v="Long time returning customer- love this company"/>
        <s v="Great prices! Fast shipping!"/>
        <s v="Fast delivery and better prices than petsmart or petco. Purchased 200 lbs of dry blue buffalo."/>
        <s v="First I couldn’t remember the name of the dog food. Replied to one of their ads asking about it. Immediately they replied that they’d find it. Sent me the link and bingo! Ordered it and it came in about 3 days! It’s the one food Dog can eat without scratc"/>
        <s v="Excellent selection of dog food and treats. Good prices."/>
        <s v="Readily replaced an item damaged in shipping, very helpful customer service"/>
        <s v="Had the quality brands need at best price"/>
        <s v="Lately I have a few problems with the items ordered...&#10;Some chews looked really bad and I ordered some bird items that were damaged...&#10;However, customer service were very helpful and sent corrected items....&#10;These things happen in shipment...."/>
        <s v="Your site was the only one that had the prescription diet my cat needed. Also, when I went online to look for another option, there was no way I could look at the ingredient list. I called someone using the number you listed. She, also, was unable to get "/>
        <s v="We have 2 German Shepard’s who decided to become really picky.. after ordering this food, they eat it right up! They love it. I have noticed even after just a couple weeks it has also calmed down Scooby’s scratching some (we haven’t been able to pinpoint "/>
        <s v="I have been using PetFlow for over 10 years. Their prices are great, and shipping is always super fast."/>
        <s v="Trustworthy company! Pet food shipped quickly. Just as good as competitors. I can always rely on them!"/>
        <s v="Took 8 days for delivery!? Ran out of dog food in the interim. Several emails and a phone contact to customer service, nobody could tell me where my order was. I received several messages, none of which could tell me a correct delivery date. Frustrating!"/>
        <s v="Delivery is fast my cats love hills cat food great job Hills"/>
        <s v="Good price on dog food order. Tracking provided and fast shipping."/>
        <s v="Quick customer service, a variety of dog foods to choose from."/>
        <s v="I called to change an order for a later date and told her to make sure she keeps the newest date, well she cancelled both orders. When I called back to find out why, the girl was very rude because I was upset and said the earlier call she didn’t know what"/>
        <s v="Ordered with a coupon! Perfect delivery."/>
        <s v="Only received half of our order, and cannot get the auto ship part to work correctly. also a very hard to navigate and unclear website. Not user friendly!"/>
        <s v="My food order was “lost in transit” and after waiting for 5 days and having to contact the company they “made it up to me” by simply sending me a new order. While shipping issues may not be the vendor’s fault, communication and customer satisfaction shoul"/>
        <s v="Placed my first order. Everything arrived in wonderful condition and was priced at great prices."/>
        <s v="So great and will help if there is a problem with order. Al ways on time."/>
        <s v="A few things went wrong. Items shipped from two warehouses which is okay, but took an extra few days for shipping. Didn't ship immediately. The first shipment they shorted me a bag of food. So since the chat feature wasn't working, e-mail stated they are "/>
        <s v="Good, fast delivery, and cat food was in good shape when it got here. Best price I could find on it too. I will definitely use PetFlow again."/>
        <s v="Will order again! 5 stars!"/>
        <s v="Fast delivery! Available products!&#10;I was able to find a certain dog food that was not available on another pet food website.&#10;Thanks PetFlow"/>
        <s v="It was great! I will always order my food from here."/>
        <s v="Have been using PerFlow for several years, with 2 standard Poodles was nice to have a 40lb bag of food delivered every month before they ran out plus always good prices on treats, dog toothpaste, bird food, etc. My dog gets excited to find out what’s in t"/>
        <s v="Product is a little light for 100 pound dog. Shipping was quick arrived early and in good shape."/>
        <s v="PetFlow has always been easy to use and a good source of our pets food. I just wish the shipping time was a little faster."/>
        <s v="I had found some bones at a grocery store that my dogs loved. I hadn't seen them anywhere else. So I saved a wrapper and checked online. Sure enough Petflow had them. I literally ordered as box full! The price was way better than the store and I got them "/>
        <s v="Very unhappy with lack of service or effort to fill script for Hills diet food for kidney issues! We provided the vet's prescription along with the vet's email which the vet said he'd approve the script if PetFlow would just email him for approval, after "/>
        <s v="I am so glad that I found PetFlow. I can get my cats their Farmina dry food at a great price with fast service."/>
        <s v="PetFlow website is very easy to navigate. Able to place my order quickly and receive product in a short time."/>
        <s v="They sent me an email of monthly coupon codes. I used one for $25 off. There were no exclusions listed, &amp; it worked in my cart until AFTER I submitted my order, when they removed my coupon &amp; my credit card was charged for $25 more than the total shown whe"/>
        <s v="I have three auto ships over the past three months that were all canceled and I was not notified that they were canceled I’d call up to find out a week later where they were and they said oh we ran out so I order for the third time and I put the order in "/>
        <s v="Every order I place gets cancelled due to not in stock"/>
        <s v="Ordered prescription cat food, site accepted order and said available. They followed up via email to get vet prescription. Three days later email me food Is out of stock and they were cancelling order."/>
        <s v="Pet flow is the worst place to get your pets food. I decided to go with then since not everyone has that perticular brand. Since im on auto ship program it should be shipped every 3 weeks and first time i didnt get it ive been told there was double order."/>
        <s v="The folks at PetFlow are v nice; they responded to my query quite promptly and gave me a credit because my order was delayed in shipping.&#10;The not-so-good part: I didn't find out unril after I'd placed my order that it would be shipped the following week, "/>
        <s v="Easy order process and set up of automatic delivery. Good price."/>
        <s v="Delivery on Schedule very happy with"/>
        <s v="You had our dog food listed as in stock so we ordered two bags. After quite a bit of time you alerted us that it wasn't in stock. That put us a week plus behind and we ran out of food. This is a special diet food for our dog and not easily found. Very bad"/>
        <s v="I'm happy with the product that I order, however, the lack of 'date of delivery' makes it hard for a customer to be able to receive it, or plan to schedule to be home. I've gotten email notices saying 'your shipment will be there tomorrow', with no actual"/>
        <s v="This is the third time I have ordered this cat food, and the order was submitted and accepted, leading me to believe I would be receiving the product. Three or four days later, I receive an email that it is out of stock!! Don't keep sending me emails to o"/>
        <s v="I have been having a hard time finding some pet food faves for the dog and stumbled upon your site and you had those hard to find faves for him yay!"/>
        <s v="I ordered my dogs brand of dry food. Fast and easy to order web site, they carry my dogs brand Fromm which not many physical stores do. Fast shipping too."/>
        <s v="Your company led me on to beleive the food I ordered was in process of delivery. You cancelled the order when I was down to one can at home. Then I had to struggle to find food for my cat, with no advice from you. I will not ever order from you again."/>
        <s v="I have ordered before and my order was the same, rx cat food, even in the middle of covid, first time customer and it was fast! This time..6 days after ordering it still didn't ship, I asked for it to be cancelled, and was told they weren't sure if it cou"/>
        <s v="Process was seamless as far as ordering and receiving my order in a timely manner. Had no issues and would highly recommend Petflow to anyone looking for good service and product selection."/>
        <s v="It would be nice to be able to edit your autoship if the item is backorder online. I have had the item on backorder twice and the last was canceled. I do not like having to make a phone call when it should be easy to make the changes online. This goes for"/>
        <s v="Originally my order was to ship on July 5th. Then an email said the shipment would be late and would arrive today. It currently is 8pm and I do not have my order!"/>
        <s v="Petflow had all the items I needed, delivered them promptly, and quickly responded to questions/concerns I had."/>
        <s v="Fast shipping with sturdy packaging. Good price. User friendly website. Thanks so much."/>
        <s v="Ordered wet dog food, came quick and what I ordered!"/>
        <s v="Easy online ordering and prompt delivery."/>
        <s v="I order my cat food and it arrived quickly. Cannot ask for anything better.&#10;&#10;Oscr"/>
        <s v="We needed a certain Vet Approved Cat Food. PetFlow faxed my Vet for authorization and returned the approval. PetFlow went to work on filling the order. Unfortunately, it was over the 4th of July Holiday &amp; ran into delivery problems, but PetFlow followed u"/>
        <s v="I suppose I purchased something, though I don't recall."/>
        <s v="I love that this site carries Fromm Gold brand and fast delivery"/>
        <s v="The box arrived half open and crushed and ripped open on one corner, but the 2 bags of prescription dog food were still fine inside. I informed PetFlow and they promptly replied and said they would initiate a complaint with the shipping company. As long a"/>
        <s v="I got what I ordered but it took ten days and a lot of the cans were dented and banged up. These days I guess I should be glad that I got my order at all."/>
        <s v="I had never heard of this company, but decided to use them for their prices. I was amazed at how effectively they communicated, how quickly the products arrived, and the price was better than their competitors. I will shop them again for sure!"/>
        <s v="The price was very good, but the delivery was sloppy and careless. I came home to find the boxes laying on my lower stair step and on the walkway leading to the stairs. They could've easily been stolen as they were so close to the public sidewalk. When I "/>
        <s v="Great price, but out of stock! Why take the order in the first place? WASTE OF TIME AND EFFORT. Never coming back!"/>
        <s v="I was very disappointed!!! I ordered a case of Hill's Prescription Diet c/d Canine Urinary Care Chicken &amp; Vegetable Stew Canned Dog Food and all of sudden it was cancelled!"/>
        <s v="They had my cat's prescription diet in stock when I couldn't find it anyplace else! My order was delivered more quickly than anticipated. I'll use them again."/>
        <s v="The food was in stock when I ordered. It took so long for your people to get the prescription from the vet. Someone even called me thinking they was calling the vets office. It was out of stock so I never got my order it was canceled. If I could have gave"/>
        <s v="Package wasn't taped very securely. Many of the cans were dinged or dented and worst of all was the Godzilla sized cockroach I had to kill when I opened the package. Will not be using you again."/>
        <s v="My order arrived on the scheduled date and was complete."/>
        <s v="I've shopped at PetFlow for years. I've always been impressed with the quality of goods, the low prices, and the fast shipping. Will do business again!"/>
        <s v="It was very disappointing to have my order canceled after the item I purchased was out of stock. When I ordered the item it was shown as being in stock. A more accurate representation of this would be appreciated considering this is online retail."/>
        <s v="Shopping was easy. Website easy to navigate. Prices were good."/>
        <s v="I received my shipment of 2 bags of dry dog food and found the box they were shipped in crawling with ants! One of the bags had a small tear in it, which caused the ants. I called customer service at PetFlow and they immediately sent me a new bag to repla"/>
        <s v="Never received what I ordered, even though I was charged for it."/>
        <s v="I am very happy with the services I receive from Pet Flo.&#10;I do on occasion have difficulty with using the web site. It will keep saying my password is in correct."/>
        <s v="I ordered puppy food and was given tracking in less than 2 days! Shipment was fast and efficient"/>
        <s v="Had what I needed! Fast shipping!"/>
        <s v="I was impressed by how fast I got that items I ordered and that they were available for auto ship! Now my three babies will never have to be without their chews 🐾🐾🐾"/>
        <s v="I have a late shipment of cat litter twice now. I know shipping and supplies are messed up in our country so I understand. What I don't understand is why you system doesn't alert you that the product is not in stock so you can let me know before my delive"/>
        <s v="Great price and good product. My cat and I are happy. Thank you."/>
        <s v="I order on a regular basis. I receive my order within a couple of days of placing it. Never disappointed!"/>
        <s v="PetFlow had the prescription dog food that two of my vets could not get. Shipping was quick and the price competitive."/>
        <s v="I was looking for the cheapest price on our puppy food. I came across Petflow and was excited you carried both brands of food for our Gigi girl and new pup Miles and they both can be delivered right to our front door!! I immediately enrolled in your autos"/>
        <s v="Prices are great and shipping is fast and on time. My only criticism is the packing for shipping. Cans are arriving dented and boxes are often partially opened from not being taped properly. Overall very happy and will still keep shopping :)"/>
        <s v="Received food promptly, well packaged and in good condition."/>
        <s v="Petflow has the cat food that I prefer. Many other vendors do not carry it."/>
        <s v="I found what I needed at cheaper prices and the customer service was superior. Petflow has a new customer and I HIGHLY recommend"/>
        <s v="PetFlow is always on point with my order. Never had a bad experience with them."/>
        <s v="I had the perfect PetFlow experience!!! It took 5 days to get to me because of delays in Middletown!! Which was not there fault. Will be buying more dog food from them!!"/>
        <s v="I received my order but shorrt 3 little clay boxes and some of them with the box open already"/>
        <s v="Love the selection and convenience of the auto ship, recently added prescription food for one of our dogs and that was just as easy as everything else. Highly recommend!"/>
        <s v="Unable to ship a pet food product after leaving me on hold for a week. What else can I say ?"/>
        <s v="PetFlow consistently meets and exceeds my expectations. Phone operators are extremely pleasant and helpful and get things done. Recently there was a sales tax exemption for pet food, and the staff gave me a credit for the state tax that was going to be ap"/>
        <s v="I was very pleased buying from Petflow. Honestly, I wasn't familiar with them and they were the only ones with inventory of the dog food I was looking for. The order process was clean and efficient. They contacted my vet (was prescription food). Notices w"/>
        <s v="Reputable company. Good prices and selection"/>
        <s v="I have consistently had double filled orders, delayed orders without notification, shipped orders without advance notification, orders that started auto-shipping that weren’t supposed to…the past 9 months has been a disaster. This convenient service has b"/>
        <s v="Fast an easy, The prices were great"/>
        <s v="I was looking for Avoderm canned dog food as my previous supplied has been out for a very long time. You have the food and the price is good. I ordered it and got it in a few days . No problem with delivery. My two dogs are very happy to be back on the fo"/>
        <s v="Product was perfect, shipping was super fast and customer service was polite, helpful and efficient. If I need other pet products this will be the first place I check. Thank you PetFlow"/>
        <s v="Fast. Easy. Going price"/>
        <s v="As always, my order arrived as scheduled, with updates enroute, and was well packaged. Consistently good service."/>
        <s v="I had a question about mixing different proteins using the Stella &amp; Chewy freeze dried food and got a response much faster than I had anticipated! I was able to complete my purchase without having to wait until the next day. The food arrived quickly and m"/>
        <s v="Great product selection and order expediently processed and shipped."/>
        <s v="I am not sure about your products coz this was my very first order &amp; i was waiting for my order longtime and when i logged in and checked- status showed cancelled..&#10;When u send order confirmation email why you cant send the cancellation email?"/>
        <s v="PETFLOW is a great company and is one of the few who sell Nutrisource dog food that was recommended by our breeder for our pure bred shih tzu at a reasonable price . She has been on this food since she was weaned and is 1 year old now and very healthy. Sh"/>
        <s v="Trustworthy company! I recommend them!"/>
        <s v="I am a loyal PetFlow customer for 5+ years. I am so happy to use their website. I regularly order food and toys for my dog. I place an order online and immediately receive confirmation. Then amazingly, I get the order within 2 days. PetFlow carries anythi"/>
        <s v="Sent quickly. Great experiences so far.thank you.&#10;Judith"/>
        <s v="Recommend this vendor. The items I wanted were in stock, I had a coupon (yeah!) and the checkout was two clicks since I was already registered and my information was stored. I received the ahipping information within hours and the 5 cases of dog food arri"/>
        <s v="Had the cat food I needed just before I was about to run out and received quickly."/>
        <s v="Always helpful. Courteous on time delivery"/>
        <s v="Delivery was fast in spite of coming all the way across the country. :) I cannot find the bowls I received in this order with food anywhere else. I only see bigger sizes elsewhere. Since my girls are small, I prefer the smaller bowls by OurPets. The bowls"/>
        <s v="Have plenty of choices, the shipping speeds are all time high and prices are reasonable for the items that are being sold at the website. Would buy again for my beloved pet."/>
        <s v="Excellent customer service solving an issue with my order."/>
        <s v="Everything was great! It was definitely time for new dry dog food. I only wish I could buy a smaller size. Everything else is perfect!"/>
        <s v="Satisfied with NutriSource dry dog food but pricey."/>
        <s v="Good service I like how they keep you informed about your order ."/>
        <s v="PetFlow sells the dog food and treats we prefer at a competitive price, and the free shipping is so fast! We live in a rural area where many items aren’t available, and we really appreciate being able to shop with them."/>
        <s v="Fast shipping. Great products."/>
        <s v="Fast, efficient, quality product that arrives when expected for a reasonable price"/>
        <s v="I love that I can call and they have my account pulled up and bam... ordered! Excellent customer service!!!"/>
        <s v="Quick shipment, kept me informed, good price and will buy from them again."/>
        <s v="I ordered Kong squeak balls(M). My dog loves them and also loses them so now we have some extras. The price was much better than on Amazon!"/>
        <s v="First time using PetFlow I received the order nicely packed and delivered on time. Priced at a good value."/>
        <s v="I just changed Vets so if I am still able to buy my special cat food I will return to ordering it from Petflow as they are outstanding!"/>
        <s v="Very easy to order! I needed prescription treats &amp; they contacted &amp; got approval from my vet &amp; had my order in just a few days! They were also cheaper than other pet mail order companies."/>
        <s v="User friendly website, good prices and fast shipping."/>
        <s v="Easy website to navigate...quick response and delivery...very satisfied"/>
        <s v="My kitty was diagnosed with kidney disease.&#10;Petflow helped me get set up on recurring food for his new diet. I did have to reach out and communicate with them regarding the RX and I was impressed with the timely response and care they took to help me.&#10;Tha"/>
        <s v="They had what I was looking for and the delivery was very fast."/>
        <s v="NutriSource Small &amp; Medium Breed Puppy Chicken &amp; Rice Dry Dog Food 30-lb. I just got 2 Cairn Terriers, the breeder said, this was the best puppy food. &quot;Pet Flow,&quot; made it so easy to place my order and the price was good. I also picked up some nice dog toy"/>
        <s v="The product was available, the price was fair, but the ordering process kept trying to lock me in to repeating delivery. It took me an unreasonable amount of time to navigate the form."/>
        <s v="I like that it's compact and doesn't take up much room. The food doesn't flow as well as I'd like but all gravity feeders work about the same. The water spout could be lower. There's quite a bit of water left. The container must be tilted to use all the w"/>
        <s v="Great selection and prices. Prefer to shop here."/>
        <s v="In this instance, PetFlow was the only place i could acquire the exact item that I wanted and it arrived in a timely fashion. In fact if they are still carrying it I will order more."/>
        <s v="I have been purchasing cat food from you all for over 3 years ( since I got my cat). I have not had any problems, but my last order was shipped and it was dog food ( your mistake). I asked for you all to do a rush and you rushed alright. You came and pick"/>
        <s v="Has the products I need. Quick shipping at no charge over a certain amount. Packing well down."/>
        <s v="Great communications, came in short time."/>
        <s v="The company did not ship my pet food, canceled the order and failed to notify me. The only reason I noticed is because a week had went by and no dog food. When I contacted them they advised they needed more information. I asked why they didn't request tha"/>
        <s v="I have recently had a bad experience with Chewy. However, I have found you. I have 1 d9og and 2 cats and so far you have their food. i will look for other things as they come up. So far everything is great!"/>
        <s v="Easy online ordering and super fast delivery!"/>
        <s v="Very efficient and convenient to have your unappreciative cat's food and litter appear at your front door ~ Highly recommend !"/>
        <s v="It has been 21 days since my order was confirmed and it has not shipped. When I contacted Petflow, I was told that first time Rx orders can sometimes take a while to be approved, but this feels ridiculous."/>
        <s v="I love Petflows auto delivery system. It’s easy to use and I can change the schedule with a couple clicks. Packages always arrive secure and on time♥️"/>
        <s v="Love Pet flow great customer service!! Quick shipping highly recommended&#10;Have foods others don’t"/>
        <s v="I was glad to find what I needed on your site but I was concerned about shipment via Federal Express. In my opinion they are unreliable. My shipment was delayed but thankfully arrived before I became worried."/>
        <s v="Perfect transaction! Perfect delivery. Perfect communication. Your my store."/>
        <s v="I ordered veterinary dog treats so gave Petflow all necessary vetinary info. After no e-mails from them for quite a few days I e-mailed to see when order would be shipped out, they said “soon”. After a couple of days I called back to check to make sure th"/>
        <s v="We have ordered through PetFlow a few times now and are very happy with our experiences. We will continue to order our dog food and other pet items through them."/>
        <s v="Always used chewy, but not anymore! U guys r really on top of ur game. Thank you, Anna Sutocky"/>
        <s v="Very fast and easy shipment of dog food - five stars&#10;Their use of FedEx is a problem - one star.&#10;Fedex drivers repeatedly damage my property. Repeatedly notified FedEx. Other deliveries, like UPS or Amazon, have not had a problem."/>
        <s v="Petflow was easy and fast to respond and deliver. I was using chewy but it took forever to get approval for the dog food needed and I had trouble with them on every order so petflow was a relief how easily it went thank you for that and I would recommend "/>
        <s v="My order was correct and received very timely. I have no complaints."/>
        <s v="Perfect!!! My dogs thank you, and extremely fast, will absolutely shop here again!"/>
        <s v="First, FedEx lost the package. Left on a neighbors doorstep. Might not be such a big deal in the city, but in the country, that's a game changer. Neighbor finally brought the package up to the house a couple of days later.&#10;&#10;Second, Product was short dated"/>
        <s v="This company was there for me when I couldn’t find my cats’ prescription food anywhere. Thankful to have found it. Quick script review, quick shipping."/>
        <s v="I ordered Science Diet W/D wet cat food from them because their website said they had it in stock. About a week later, I got an email saying they were cancelling my order because they didn't have any in and didn't know when they would be getting it. They "/>
        <s v="Reliable, good products, timely delivery"/>
        <s v="Love it!&#10;&#10;Good products, convenient, quality, communication, and on time delivery."/>
        <s v="I’ve been having a hard time finding this cat food and when I did find it usually the bags were sold out. This made it easy and convenient for me to order this online and got it in a couple of days before we ran out."/>
        <s v="Easy site to navigate. Product was originally out of stock but I was notified once the product was available. Delivered as scheduled. My cat loves the product. It is a prescription food for diabetic cats. Hopefully, I will see an improvement in his condit"/>
        <s v="the product dog food is excellent my dogs love it looking forward to do more beisness with soon"/>
        <s v="I was impressed by the selection, price and delivery time of PetFlow. Getting ready to place my second order!"/>
        <s v="Order was correct, and arrived quickly!"/>
        <s v="PetFlow was a company that I had not heard of prior. I was in need of Hills cat food which was not available anywhere locally or online except at PetFlow. I even ordered more than originally planned for. They got the okay from my vet and had the order shi"/>
        <s v="Great delivery &amp; promotions for cheaper food!!"/>
        <s v="Great prices and fast, friendly service. I will continue making this my go-to for pet supplies."/>
        <s v="Tired ordering a product that said “in stock” twice now and both times I get an email a few days later saying my order was cancelled because it can’t be fulfilled. If it was “in stock” why can’t it be fulfilled?"/>
        <s v="This product is excellent I believe for my dogs and they love it. This is, however the second time I have had a bag ripped open when it arrived and food in the box and not the bag. Don’t know if this is a problem at the packing end or the delivery end. Wi"/>
        <s v="Easy site to use with great prices and a large variety of options"/>
        <s v="Never received my order 10179757, FedEx Lost it no refund or anything at all, FedEx express that they left it at the front door, but how my gate was closed and my cameras capture nothing at all and no one was home. I also called FedEx several more times w"/>
        <s v="I ordered cat food from PetFlow. It showed in stock and i waited for it to ship for about a week. I called customer service and the lady indicated that my order was processed (needed Vet prescription approval) and that I should receive a tracking email th"/>
        <s v="great way to buy my dog's food products and needs! no hassles and comes straight to my door."/>
        <s v="Incredible rude and out of touch representatives. They didn't have my item in stock and then made me replace a second order for what they did have in stock. The next day I get notified that my order was for resale and flagged as fraud even though I placed"/>
        <s v="I disappointed in the way my packages where sent to me! For example when you sent my case of dog food it was put in box that could have fit 4cases instead of 1 the rest was filed with packing papers to make it weigh more to charge more"/>
        <s v="Reasonably effective but annoyingly disorganized. Looking for alternatives"/>
        <s v="Got my online order very quickly and was pleased with how easy it was. Will definitely use again"/>
        <s v="After hunting high and low through my usual pet food sources I was able to find the two items that had been back ordered everywhere else. Delivery was fast and saved me the risk of switching brands with my dogs."/>
        <s v="We needed a shipping kennel (Large) a bed for the kennel a toy, a small bed, and dog food. All that got shipped was the dog food, toy and small bed. After visiting the Pet Smart store, they had all we needed in stock, although a higher price."/>
        <s v="My first order and I was mailed wrong product. When second order can it will be out of date in 5 months. I like to know I have a newer product."/>
        <s v="Quick, easy, and better priced than most of the competition. Definitely an under-known source for pet supplies."/>
        <s v="Good time on delivery. Just mad about the way the box showed up. Was thrown over my fence and box was damaged and retaped because it was so damaged. Think about who you ship you packages by. The delivery to my house was a fedX driver who did even look to "/>
        <s v="Great choices. These days, it is so necessary to have a reliable resource; especially for our pet family."/>
        <s v="6/19/22&#10;Excellent Everything A+ Company"/>
        <s v="I am so happy you carry Fromm. Echo loves it and she gobbles it down. I also love that you deliver to my home.&#10;&#10;Thanks again,&#10;Joni"/>
        <s v="Please don’t say you have something in stock if you really do not. I was misled then was not even informed that there was a delay until I reached out myself. Terrible customer service."/>
        <s v="My order was shipped immediately, and reasonably. Got what I ordered, and the pooch is thrilled."/>
        <s v="Everywhere was out of my pets food, ordering from your site was easy and I received my shipment a few days later thanks!"/>
        <s v="Amazing prices, quick shipping"/>
        <s v="Just got a new puppy that has to have toy breed puppy ProPlan. It’s been almost impossible to find it, but happily, PetFlow has it, &amp; it shipped FAST! Love auto ship so we don’t run out. Price is also good."/>
        <s v="We were notified that our dogs’ prescription food was out of stock with our usual retailer so I did an Internet search and PetFlow was the only retailer that popped up as having the item in stock. I waited for shipping confirmation and never received it s"/>
        <s v="I appreciate finding products at an affordable price at PetFlow. I usually find those products at a better price than other sites. Shipping was fast and flawless!"/>
        <s v="I have have ordered the freeze dried beef treats for a while....the last two orders have been at least 1/2 to 1/3 crumbs. This is very disappointing and an expensive bag of unusable. If this is not corrected, I will have to find another source. Usually I "/>
        <s v="Great products and very good customer service!"/>
        <s v="Fast shipping, all items accounted for and in perfect condition."/>
        <s v="PetFlow has the best prices, great communication with me regarding the status of my order &amp; shipping is quick."/>
        <s v="My 1st package was received missing items. After just one phone call, everything was handled professionally and a few days later I received my missing items. Would order again"/>
        <s v="Petflow came through for me when I couldn't find my cat's food anywhere else. I'm extremely grateful."/>
        <s v="Twice now I have ordered preacription food from petflow that was listed as in stock and twice my orders jave been cancelled because the food was not in fact in stock. Both times I spoke with customer support that was clearly copy pasting replies off of a "/>
        <s v="Excellent service."/>
        <s v="Generally I’ve been very pleased. But the last shipment (2 cases of canned hog food) had two damaged and open cans in it. Not a great response when I raised the issue since I hadn’t discovered it until I got to the 9th of 12 cans. Otherwise, no complaints"/>
        <s v="My cat's food was listed as in stock on the site, but my order was cancelled a week later because it was never actually in stock"/>
        <s v="Delivery was delayed, and this was not acceptable. I will utilize another company, that can deliver in 2 dayd"/>
        <s v="As ordered. Fast shipping. I was so happy to be able to get my canned cat food order when Chewy and Amazon failed me. PetFlow has gained a loyal customer!"/>
        <s v="Outstanding price for what I ordered. I shopped around: Amazon, Wal-Mart, and numerous websites. None even came close to your price! Package showed up on time. Excellent experience. My cats thank you"/>
        <s v="Fast shipping and excellent price.&#10;Thank you"/>
        <s v="I normally don’t write reviews but I hope employees are retrained after seeing this. I hadn’t ever been on your website or heard of the company. But my 4 year old fell in love with a puppy from a girl I know in Utah. After adopting the puppy we asked what"/>
        <s v="The dog food we need is hard to find. PetFlow always has it at a very good price. It usually arrives in a day or two. Great service."/>
        <s v="I’m a little disappointed with Petflow. I ordered dog food on June 3rd, maiming because you said it was in stock. Then a few days later I get an email saying that your local location was out of stock and you had to get it from another location and it was "/>
        <s v="Fast, easy to order prescription products, fast shipping, fantastic customer service - knowledgeable, sympathetic, responds quickly. Range of items to purchase is awesome. PetFlow outdoes all other online pet companies on so many levels. They were my savi"/>
        <s v="My order was processed very slowly and then canceled. I was initially told that the only thing holding up my order of Hill prescription diet for my cat was vet approval, which I had submitted with my order. Close to a week elapsed and then I was told that"/>
        <s v="Very reliable. When I place an order with Petflow, I know I'll be getting what I ordered on time."/>
        <s v="Great customer service, had the prescription food my dog needed. All the other's were &quot;out of stock&quot;. Glad I found this site."/>
        <s v="naturvet yellow to green lawn spray. 4 containers/contents were defective.&#10;product was diluted to colored water, my guess is they froze and thawed somewhere before shipping."/>
        <s v="Petflow ran out of dog food in my area so found it in Las Vegas. I got the last 3 bags."/>
        <s v="I got the food the quickest out of any company including Amazon and their customer service gets back to you right away with any questions fabulous job"/>
        <s v="Food bags are always intact. Delivery always on time. Customer service is excellent."/>
        <s v="Great customer service! Great prices and fast shipping! ⭐️⭐️⭐️⭐️⭐️"/>
        <s v="I always order my dog Fromm food and treats from you. Shipping is excellent."/>
        <s v="Great price, smooth transaction and quick shipping. What's not to love?"/>
        <s v="Waited over 2 weeks for food to arrive for my new puppy to refill his stock we received from the breeder. Petflow had a great price and great reviews, BUT when I inquired where my order was I was just told that it didn’t ship due to “fraud protection” and"/>
        <s v="I've used PetFlow for my boy's food since the very beginning (since I adopted him) and they always deliver it on time each month. They have an excellent selection of pet food available on their website and not to mention, they give away 1 food to 1 dog in"/>
        <s v="Inventory shortage. Put order in and next day they don't have my babies brand. So it's not their fault Purina discontinued the Small Bites.&#10;Now we are playing find the food they care for. Sorry couldn't give 5 stars."/>
        <s v="I have been very happy with PetFlow. I am disabled and it is so nice to just have my dog's food show up at my door. So far the items I need have been in stock which is pretty incredible in these times."/>
        <s v="I started an auto ship program with this company because cat food was running scarce in the grocery store. Unfortunately, even this company can't keep it in stock, either."/>
        <s v="The pups love the new food we found on PetFlow. It was easy to order and arrived in no time. Being that it's large breed formula, I just wish it came in bigger chunks so they didn't inhale it at dinner time!"/>
        <s v="Great service, good customer service. The only hiccup I can see is, shipping 30&quot; sticks folded over in a 15&quot; box."/>
        <s v="They had everything in stock and was delivered in a timely manner"/>
        <s v="Great place to buy our pet supplies! Fast service, pet flow is the best!"/>
        <s v="Always great to do business with. ease of ordering and easy to return...."/>
        <s v="I waited over a week for your pharma dept to reach out to my vet to get scrip for order. I finally had to make the call myself, with your rep on the line, and I got right through. Your pharma folk really dropped the ball.&#10;&#10;All the while, my cat was waitin"/>
        <s v="I was really pleased that u had the food my cat loves. He is diabetic and could not find his food anywhere. He refused to eat anything else. Got so thin. I found his food through ur company and now he is gaining weight, very happy kitty."/>
        <s v="I was in need of food for my cat with diabetes. My vet was backordered and even Chewy was out of stock, but I’m so glad I happened upon this company and they had the food I needed available. I appreciate it so much. They were easy and pleasant to work wit"/>
        <s v="Worst Experience with Pet flow, I place order and my shipping and billing address is not same you will add my account to fraud activity and don't proceed order. Such a unprofessional supports team. Can't buy in future its last time"/>
        <s v="I never received my purchase. You were out of stock of my cat’s prescription diet, even though your website said it was in stock. You should keep your website up to date with what is in stock and what is out of stock. Because I would have never wasted my "/>
        <s v="Fast shipping, Easy to order and understand web site. Best prices around.&#10;No Hassles"/>
        <s v="Ordered prescription dog food you said you had in stock but it very clearly was not in stock and almost two weeks later I'm still waiting for it. Not cool."/>
        <s v="The shipping box isn’t strong. And they package my dry dog food with the cans and the cans cut the dry food bag and it spills."/>
        <s v="I placed an order for Hills Glucosupport for my diabetic cat. It was the weekend and I was unable to get all of the vet information directly from the vet hospital itself, to place the order, so I Googled it. I placed the order and paid for the order. The "/>
        <s v="This is the second time the cat food that I need said it was available and the second time my order was cancelled because they didn’t have it. If you don’t have it, don’t say that you do! I could have looked for it someplace else instead."/>
        <s v="your phone reps have always been very helpful, answered my questions and given me some good advice about purchases. we're sold!"/>
        <s v="Great customer service. They answered my inquiries so fast and they were super friendly!"/>
        <s v="PetFlow works hard to earn your business and trust. Had an initial snafu but now orders are working smoothly."/>
        <s v="I requested a $51 refund after being told by Petflow that I needed to renew my vet’s prescription. I wanted to just buy the prescription dog food from my vet. Petflow said they could give me a credit for $51 but not a refund. This is a classic case of Pet"/>
        <s v="I have ordered from Petflow twice and both experiences were the same, complete trash. My cat eats prescription food and it is out of stock everywhere. So I am ecstatic to find it on Petflow. I order and it took two days for my vet approval. I get an email"/>
        <s v="Petflow has great prices on Fromm products and delivery is great"/>
        <s v="PetFlow's order fulfillment needs to be improved. It took 9 days for the food that I ordered to arrive, and that was *after* I called to see where it was and got the order prioritized for shipping. If you are truthful on your website whether the food is b"/>
        <s v="Your orders have all been fast and with no warning it took a week.. I will not be using you anymore as you are not dependable"/>
        <s v="Great price / fast shipping / great communication"/>
        <s v="Better prices than elsewhere. Called customer service for some assistance and the woman was very helpful. Will use again."/>
        <s v="Wanted to try another pet food home delivery service for a change and decided to give Petflow a go. They were a great find and i’m glad I did. Prices were comparable, and delivery was even faster. Packaged very well with no dented cans."/>
        <s v="Prices fair but shipping times have increased."/>
        <s v="I love the variety of high quality products and brands that Pet Flow offers. I also love how quickly they ship! My order always arrives within a couple days."/>
        <s v="Don’t even bother. If you order anything they will message you a week later saying it’s out of stock then the very next day it’s back in stock again"/>
        <s v="I was excited to see that a particular prescription wet food was back in stock on the website as it has been out of stock for over a month. I placed the order online and then followed up 3 days later as I didn't hear any thing about shipping. I was told t"/>
        <s v="cancelled my orders&#10;without telling me"/>
        <s v="Very happy with the customer service only issue I had is how long it took to process my order And ship it. Would pay extra for faster processing and shipping."/>
        <s v="Fast , easy and correct !"/>
        <s v="It's ok. It was shipped on June 1st and an email Tuesday said it'd arrive today Wed. After arriving here in Portland today at 5am, FedEx tracking said at 2pm that it's being delayed a day until tomorrow Thursday &quot;because of weather&quot;. It doesn't affect me "/>
        <s v="I ordered prescription pet food for my cat. It took them about five days to tell me the order was cancelled because they couldn’t get the food. They shouldn’t have taken the order in the first place."/>
        <s v="This is my third order. They have products others don't and at a great price."/>
        <s v="Always holds the inventory and deliver in a timely manner."/>
        <s v="Worst customer service. I tried doing an order twice and they couldn’t send it out. I will never use this company or recommend it"/>
        <s v="Wonderful service. I recommend."/>
        <s v="Excellent service and the only delay we had was from our Veterinarian sending them the prescription"/>
        <s v="I am so impressed with not only how easy ordering was but how quickly it was delivered. I would never use anyone else. Thank you very much"/>
        <s v="I am new to Petflow. This was my first order. Website was easy to use and my item arrived promptly."/>
        <s v="Disappointed that an item was there to select as available only to find out it was not. P"/>
        <s v="I like using PetFlow and other sites which are similar. They are super convenient and reliable, however the cost of shipping stops me from only using their service."/>
        <s v="Your website said you had the prescription cat food I needed. I bothered my vet for the prescription order. Your company said the order was being filled. Then I’m told that it is out of stock.&#10;&#10;How does this happen?"/>
        <s v="Always the highest quality products &amp; superior customer service. A+++"/>
        <s v="Petflow had what I needed in special food for my cat I couldn't find it anywhere thank you so much the service was awesome"/>
        <s v="Good service and a fair price. Thank you. Plan to order again."/>
        <s v="Wonderful experience. PetFlow was the only place that had the prescription food i needed for my cat. They expedited my order when I expressed my needs. Sadly my cat passed away Saturday, but he loved this particular brand of food so I am very grateful tha"/>
        <s v="I have been ordering from Petflow for some time now. I always have a good experience with fast shipping and easy ordering. I have a dog and two cats so I order often. Great company to do business with.&#10;Rob."/>
        <s v="Petflow is great! They processed my kittie’s prescription quickly and shipped my order promptly!"/>
        <s v="Shipping is so slow compared to Chewy. I use Chewy whenever possible for that reason,"/>
        <s v="I have had nothing but positive experiences with PetFlow."/>
        <s v="PetFlow was the only source for prescription food for my cat. All local stores and vets all said they were out and it was on back order. So PetFlow was a “kitty” saver!"/>
        <s v="Fedex took more than a week to deliver.&#10;Usps is better, even the fedex tracking is not accurate and very slow or sometimes not even up to date"/>
        <s v="Customer service was not friendly! They charged and shipped me two bags of my dogs food when I only purchased one. When I called back to dispute the charge they were not very helpful and kept insisting that I bring the super heavy bag to FedEx for return."/>
        <s v="When FED X lost my order, I called customer service and the order was replaced without hesitation. That is excellent service."/>
        <s v="Slow shipping, went to order another bag and couldn't find it."/>
        <s v="Petflow is a good company to buy cat food from. I especially like having it she directly to my door. I have to order a prescription type of food for my pet and cannot find it anywhere else. Petflow has exactly what I need."/>
        <s v="I was able to find what I needed that others didn't have. Turnaround was quick and order was correct."/>
        <s v="Products in stock. Delivered in timely fashion. Positive experience!"/>
        <s v="Great selection (had things others were out of), great price, shipped next day."/>
        <s v="After reading many reviews I cancelled my order before it was shipped. Many people stated they could not cancel their auto ship and were't happy with the delivery. Since I don't know this company and didn't know their reputation, I cancelled and ordered f"/>
        <s v="Great price and shipped well and arrived quickly"/>
        <s v="Only cools for 15 minutes at best - not worth it, I should have invested more money and got a better product"/>
        <s v="The pharmacy said my dogs food wasn’t approved while my vet said it was always approved. Customer service was awful in fixing the situation. Didn’t get my dogs food for a week. Discontinued auto ship and won’t buy another thing from Pet Flow. Horrible cus"/>
        <s v="I love the fact they carry Fromms dog food, their web ordering works fine, and they deliver in a reasonable amount of time (Chewy is faster where I live).&#10;&#10;However, every time I have ordered dog food in cans, they come 25% badly dented. I don’t mean a lit"/>
        <s v="I had the opportunity to subscribe, and my pet food came in a timely manner. I am very happy!"/>
        <s v="Shipped quick, reasonably priced"/>
        <s v="Great variety, fast shipping!"/>
        <s v="Petflow auto-ship is convenient, efficient, and economical. We've been happy customers for years; highly recommend. :)"/>
        <s v="works well but no instructions on how to adjust float"/>
        <s v="Great price and quick shipping of the pigeon grains I use"/>
        <s v="Easy easy easy. The same quality, same shipping speed, cheapest place."/>
        <s v="Great Service for the buck and Great for your pet Fish"/>
        <s v="The Most Wonderful Customer Service! And the Most Wonderful Products that Keep my Dog HAPPY!"/>
        <s v="I love the company and the fact that they don't support brands that support animal testing. It's a 4 start due to shipping always being late and they don't have an app yet, but I'm not leaving them because of that."/>
        <s v="Good selection of products but took a long time to receive."/>
        <s v="had the product in stock. And they called the vet"/>
        <s v="Items not as advertised even after calling customer service described the wrong item. Picture not correct either that was sent.&#10;Took way longer than expected. Not likely to recommend or order again."/>
        <s v="Had an issue with my order. Customer service was rude and terrible. Will never spend my money with this company again."/>
        <s v="Excellent! Always the best."/>
        <s v="Pet flow always has the dog food in stock for my pet. All through pandemic they were reliable and supplies on hand and timely delivery."/>
        <s v="customer service was awesome! the shipping was very fast and I was very pleased with the variety of food. I will definitely order again!!"/>
        <s v="Fromm dog food is so awesome! My elderly dogs were on wet dog food and they liked it till I took them to my friends house. She had the beef Fromm out for her dogs. My dogs decided they like that food better than theirs. It was a month of trying to get the"/>
        <s v="Poorly packaged for shipment, but arrived quickly."/>
        <s v="Great customer service. I needed my cats prescription cat food asap and they pushed the process faster for me."/>
        <s v="Fast deliveries and one of the few places I found farmina dog food. Now I'm on auto delivery."/>
        <s v="I ordered cat food on 5-18 and FedEx has yet to deliver it, stating that the address is incorrect when it is not. After hours on the phone trying to get this package I am left with no other choice but to request a refund. I still don’t have the cat food a"/>
        <s v="We love using PetFlow for our pets needs. The prices are competitive and it's so easy to change/delay/cancel our order."/>
        <s v="Shipping was Fast! My only concern is my dog food best by date is Sept. 22 just concerned not fresh maybe older stock."/>
        <s v="Petflow is THE best. Hands down! Great customer service and prices."/>
        <s v="They had the food I had been searching for in stock. Quick shipping."/>
        <s v="Super great company with fast service and great shipping."/>
        <s v="Great company with very quick shipping!! I will be using them from now on!"/>
        <s v="Excellent products and outstanding service. Fast delivery."/>
        <s v="Good price. Fast delivery!"/>
        <s v="We have been using Petflow for many years, and always have great service and value."/>
        <s v="Petflow has the products I need and gets them to me quickly. I’ve used auto ship and when I’ve had to switch my schedule they were happy to accommodate and adjust. And their customer service is so responsive. I have been a loyal client for years and plan "/>
        <s v="Every one at Pet Flow was extremely helpful. They spent as much time as needed on the phone with me to pick the puppy food I needed. When it turned out that my pup did not need the prescription I was told, they were unable to take it back but they refunde"/>
        <s v="When I ordered they knew they were out of stock. I called, asked questions and didn’t get a direct answer."/>
        <s v="I was so happy to find my pet food in stock here. Actually, the maker of the pet food let me know that PetFlow had the product in stock. There was no shipping fee on the 25 LB bag and it arrived promptly all the way from across the country."/>
        <s v="Ordered canned dog food. Found the price to be competitive and shipping was timely."/>
        <s v="I would advise anyone that has had a poor experience with this website - which appears to be just a website where they drop ship orders but don't actually have a warehouse, to contact the Attorney General in Nevada, where this guy or &quot;company&quot; is located."/>
        <s v="Ordered cat food. When I ordered it was in stock. Now saying they have none and that the online allows them to sell bags so long as they at least have 1. Sad."/>
        <s v="I ordered dry cat food that you said you had and waited for you to tell me when it shipped. You never told me you were out of it. I had to get in touch with you to find out. Stupidly I checked for that same product a week or so later and same thing. Your "/>
        <s v="Ordered M/D dry cat food and you waited so long to let me know you were&#10;out of it. Other companies let you know on the site where you are ordering&#10;that they are out. Wasted time."/>
        <s v="Great product, FAST shipping"/>
        <s v="Having to contact support to cancel an auto ship is ridiculous. Straight from the Comcast book of customer service."/>
        <s v="This is the first time using PetFlow, and I loved the experience. They have great prices and fast shipping. I love the selection of food also."/>
        <s v="Scam site. They lie and say they have stock of things they know they have no stock for just to get your information."/>
        <s v="I like Pet Flow and the convenience of buy Fromm cat food from them."/>
        <s v="I placed an order for prescription pet food. The website stated food prescriptions could be emailed or mailed so I emailed the food prescription using the email address they listed on their website for this purpose. This resulted in back and forth with a "/>
        <s v="I was trying to order prescription cat food that is in short supply. Your company let me order it, sign up for your account, contacted my vet for the prescription, and went through the whole process and then told me you are out of stock. Why didn't you te"/>
        <s v="I have plenty (too much) food right now. How can I cancel automatic service??"/>
        <s v="I trust them, they usually have the product that I want and if not they will let me know."/>
        <s v="This place is amazing! Prices really cannot be beat -- and we shop around every time we stock up. PetFlow doesn't carry all of the foods we buy but the ones they do are consistently cheaper than elsewhere, including delivery!&#10;&#10;I hope PetFlow will carry mo"/>
        <s v="My total order was to receive 15% off...however, my order was split and I only received 15% off on the lesser item and was taxed on both. I may inform my credit card company of this transaction based on your response."/>
        <s v="Have always had good service from PetFlow"/>
        <s v="Keep posting that they have Hill Science Diet M/D when they don’t."/>
        <s v="I have only received part of my order that I made on May 10th, it is now the 22nd and I have still not received the dog food I ordered."/>
        <s v="Our Saint Bernard was recently diagnosed with Gastroparesis and needed limited ingredient treats. Hills makes a line of them that Petflow has a great variety of at great prices. Shipping is super fast."/>
        <s v="Excellent service!!&#10;Thank you!"/>
        <s v="I have ordered only once from Flowpet but so far so good and on that note I will give them 5 stars. There was a good variety with good prices and the order came more quickly than I expected. i expect I will be shopping there more."/>
        <s v="Fast shipping! Easy to get in contact with them if you have questions"/>
        <s v="Ordered special diet 10 days and nothing had to order chewy . Got it in 3 days"/>
        <s v="Very friendly and knowledgeable people at Petflow. Willing to go the extra mile to help."/>
        <s v="It is easy to change my order, the staff is always Easy to communicate with. They are Alice there to help me when I run out of food. My Goldens sometimes have friends over for the week."/>
        <s v="So happy you carry Fromm. My dog thrive on this food. I love the convenience of delivery to my door. The best part is shipping is included."/>
        <s v="I placed my order from Canada and dealt with a customer service rep. She was very friendly, helpful and efficient. My order was delivered very quickly to a parcel receiver in Bellingham, Wa. I am very satisfied with Petflow."/>
        <s v="Ms. Jessie at PetFlow was extremely helpful in fulfilling my order. She was knowledgeable, pleasant and very efficient. I am very satisfied with the service I got."/>
        <s v="Always ships quickly and arrives promptly. You can trust PetFlow to handle your order right"/>
        <s v="Took way to long to get here. This was a cat food order and I'm use to getting it at least in a couple days when I order from Amazon or Chewy. Not sure I'll order from them again."/>
        <s v="This is a great company. Good selection of products and at fair and reasonable prices, including shipping costs. Delivery is very timely. While so many firms are still using the Pandemic as an excuse to price-gouge, it is so refreshing and a pleasure to d"/>
        <s v="Have been waiting in my prescription for a month and still haven’t received. Sent in digital and paper copy that still had problem with them verifying and actually sending the prescription. So frustrating. Would not recommend VetSource for pet prescriptio"/>
        <s v="My dog is on RX dog food Hills Science Diet D/D. I decided to start getting it from you. I order it ( changing flavors/protein because the one I wanted said out or stock) a few days later I haven’t heard anything so I call/text and I’m told that it is wai"/>
        <s v="I have purchased many Milk Bone pill pocket packets. They usually come in 5 pouches per box which helps to keep them from being crushed in shipment. I usually purchase 4-5 boxes at a time. Shipping is slower then other suppliers."/>
        <s v="Cancelled my order saying supply of product from manufacturer was unavailable. So I went to another vendor who had no problem filling my order."/>
        <s v="Received my product of prescription kitty snacks quickly.&#10;Thank you"/>
        <s v="Pet flow has been very reliable. My dog’s food arrives as ordered, the food is fresh and arrives quickly&#10;I have had a few problems with the website where I could not change an amount on the “review your order” page, which was frustrating. However, calling"/>
        <s v="Very good service and fast delivery,I have no complaints."/>
        <s v="Items arrived quickly, before I was notified that they were shipped. One item was missing from the order, it took a few days before I received an email that the item was out of stock. Credit for the item came quickly. Very pleased with my purchase."/>
        <s v="Excellent Customer Service&#10;PetFlow inadvertently sent me an extra case of cat food. I alternate the types of food so I was fine with keeping the extra food but needed to pay for that one and add another of the alternate kind. The gentleman with whom I spo"/>
        <s v="Friendly when I had questions, FAST DELIVERY, easy to order quickly online😍"/>
        <s v="Efficient fast shipping and great customer service!&#10;&#10;Good selection of animal products"/>
        <s v="Very happy with products. Wish food was a bit cheaper."/>
        <s v="I had been looking for the puppy kibble our breeder has been using for their litter of puppies. PetFlow was the only site that carried it. Very easy to work with and on time delivery. Thank you."/>
        <s v="Staff is very friendly and helpful. There was a prompt response to my question. They have a vast selection and great prices. They came through when I had trouble finding my finicky cat’s food. They are my go to store."/>
        <s v="The constant urging to use &quot;auto-ship&quot; I can understand, what I can't understand is the meaningless one-time pittance of a discount as an incentive, coupled with an almost &quot;forced&quot; compliance by changing my selections to include it for me. It is the most "/>
        <s v="I tried to purchase prescription cat food for my cat on 5/6. The vet did not receive communication through you so I emailed and texted in a prescription on 5/9. Both of which replied and said it was sent to the correct team and should be processed ASAP. T"/>
        <s v="I needed to order a variety of cat food that had been sold out at local shops &amp; online retailers for some time. I discovered PetFlow through a link on the manufacturer’s website. I was skeptical that they could even deliver, but ended up being pleasantly "/>
        <s v="Easy to navigate site. prompt delivery."/>
        <s v="My second order experience was just as great as the first one. Great business!"/>
        <s v="My order is always delivered in a timely manner. If there is ever a question I get answers quickly in a professional and friendly way."/>
        <s v="Petflow has been my go-to for years now for a reason."/>
        <s v="Excellent availability of products, customer service, shipping, and communication!"/>
        <s v="So easy to order my pet's prescription meds on PetFlow. They contact your vet directly for approval which takes all the work out of my hands. Shipping is quick and its very easy to amend the shipment schedule if needed.&#10;Thank you PetFlow for such awesome "/>
        <s v="I was searching for a specific food for my new puppy that was not available in many places. Found it here, ordered and had it so fast it’d make your head spin ! Thank you ."/>
        <s v="I received my product before the original date. I was very impressed since I never heard of them but I will continue to use them. I highly recommend them."/>
        <s v="Excellent service and product!!!!! Our fur baby loves the Butcher Block Champ bones!!!!!"/>
        <s v="When the package came everything was so jammed in there that the Stella and Chewy patties were crushed. I purchased 3 bags of the Stella and each bag had broken pieces in there."/>
        <s v="Petflow had the dog food that I needed that everyone else was out of. It came quickly and without any issues. Their website was easy to navigate also."/>
        <s v="When other sites were out of the prescription food my dog needs, PetFlow was the only place I could find it and at a good price too. Delivery was fast also"/>
        <s v="Great service, competitive pricing"/>
        <s v="Petflow had a rocky start with me because it was difficult to get customer service, but they have improved so much in that department that a 5 star is appropriate. They are the only pet delivery that has my dog's dry food and they give a years worth of co"/>
        <s v="Delivery was okay, no issues with package or product, price okay too"/>
        <s v="Great company, fast delivery!"/>
        <s v="I order 2 eight pound bags of prescription cat food. Kept getting emails about it being backordered. On the website at Tim’s of purchase it stated they were in stock. Placed an additional order for two 4 pounds of same food and that was cancelled by petfl"/>
        <s v="Always helpful and answer my questions and concerns"/>
        <s v="Easy to use website and fast shipping."/>
        <s v="my order is always on time and very easy to order,"/>
        <s v="I made a large order, and you guys cancelled my order saying that it was a “fraud.” There was never a time where i got an email or any contact to see if it was a “fraud.” My dogs are now with no food due to this lack of responsibility. I was informed that"/>
        <s v="I love the service petflow provides. They have a huge variety of products. Plus they also offer great deals. Finally, I must say customer service is extremely friendly to use through texting. They'll help you right away. Thank you so much."/>
        <s v="I ordered prescription food for my cat. A week went by with no shipping information. I contacted Pet Flow and was advised that the food wasn’t even in stock, even though they got the approval from my Vet. Waste of time that I could’ve been searching for t"/>
        <s v="Ordered prescription food and insulin syringes for my diabetic cat. Syringes came a few days later the 3 bags of prescription food did not. After 10 days with no update I called customer service just to find out the food was out of stock. I was never noti"/>
        <s v="Great customer service and I really appreciate it!"/>
        <s v="Great site for dog supplies. Will continue to use if prices are good"/>
        <s v="I moved over to PetFlow, kicking and screaming, from Chewy. Chewy stopped carrying VeRus and PetFlow is now my merchant for all my canine needs. I could not be happier with the customer service. I like getting advance notice that my auto-ship is 'preparin"/>
        <s v="With the price of dog food getting more expensive, I was looking for the best price for Chicken Soup for the Soul canned dog food. Pet Flow had the best price when compared to other on-line retailers. This was my first time ordering from Pet Flow. The del"/>
        <s v="Always arriving promptly and the correct products in the order!"/>
        <s v="THE BEST PLACE TO PURCHASE ALL OF MY DOGS NEED. EXCELLENT SERVICE AND ALWAYS FAST . LOVE LOVE LOVESTELLA LOVES IT TOO"/>
        <s v="This was my first time using the site usually use a competitors site but this website showed up and I clicked to see what it was.&#10;The prices are similar to the site I usually use. Some of the items were slightly cheaper some more expensive.&#10;One huge con w"/>
        <s v="My ordered was submitted then cancelled days later. I would have just bought it somewhere else. Should have just said out of stock.. now I have to scramble to find food"/>
        <s v="Ordered hard to find diabetic cat food the the 8 lb. bags are out of stock at all 4 companies that carry it. Petflow shows on the site that the 4 lb. bags ARE in stock. Order on may 9th and vet approved, was told that on the 10th its send to the warehouse"/>
        <s v="Products are good but the ones I wanted were out of stock or very low."/>
        <s v="Great product, price, communication and transaction."/>
        <s v="I was very disappointed. I ordered my RX can cat food. The payment was made. The payment was returned. This is the first email from PetFlow. I have not received an email why my payment was returned or why I did not receive my order."/>
        <s v="Quick and easy - I just entered the order and the vet details and my order was on its way the next day!"/>
        <s v="My cat likes the Friskies sensation cat food.I wish Petflow has a larger selection of cat and dog food that weigh 16 lbs or less. as I grow older I find it difficult to lift bags over 16 lbs."/>
        <s v="Orders are accurate and delivered on time. Price is a little high at this time, but no higher than other sites are charging for same pet food."/>
        <s v="I've only used PetFlow once, first time, but everything was great. Easy to navigate the site, received order quickly, packaged safely. I had a general question, and customer service was very nice and knowledgeable. I'll be a repeat customer, and very glad"/>
        <s v="Frustrated with the lack of customer service regarding my cat food order. Our Vet's office personally called to O.K. a prescription diet for our cat as we could not find it anywhere and we were running out. We did not get any official notification that yo"/>
        <s v="My items from Petflow always arrive quickly and accurately. I enjoy using Petflow for my dogs needs! I highly recommend!!!"/>
        <s v="Trustworthy, accommodating, and much variety."/>
        <s v="Products ordered came quickly and accurately. The website makes reordering easy"/>
        <s v="We have shopped with Pet Flow for about 10 years and they always provide excellent service and products!"/>
        <s v="Ready for some Captain's Plate, Sardines &amp; Mackeral now! Look forward to this Against the Grain next, when they are available for purchase again.&#10;&#10;Thank you for getting this delivery to us as you were the only pet food company that could provide us with S"/>
        <s v="Every order I have placed has been canceled. I call to verify everything is ok daily. I am told that it’s being packed to ship. I call again the next day and am told it’s shipping that day. Both orders have done this. Usually 2 hours later the order is ca"/>
        <s v="I’m very disappointed as the item u always order was not in stock and currently remains out of stock"/>
        <s v="Fast delivery and they carry what I need."/>
        <s v="Petflow was very easy to order from and was shipped out almost immediately. The dog food arrived very quickly. I would definitely recommend them to pet owners."/>
        <s v="I've used PetFlow on and for 17+ years. The delivery has always been spot on but occasionally a food change required a different vendor. Glad I've returned."/>
        <s v="I am always skeptical when ordering from an online store for the first time. No need to worry about Petflow. My 3 bags of Dog food came in a timely manner and the packaging was neat there was no crushed bags. Very happy customer!!"/>
        <s v="I successfully ordered Prescription Hills M/D through you and later you told me you were out of stock. You should have known you were out of stock before allowing me to order."/>
        <s v="I had not used PetFlow before, but they were one of the few retailers that had the pet food I needed in stock. Their turnaround time from order placement to shipping was incredibly quick, as was the shipping time. They were also very communicative each st"/>
        <s v="I've always been able to change my scheduled auto shipment when every I need to. They are quick to response and send out packages very quickly. Been using this company for about 4 years and love their services."/>
        <s v="I’ve never dealt with an online pet store that was so easy to work with. They confirm my dog’s food prescriptions and still get the food to me in just a few days. I’m looking forward to buying treats and other supplies from them as well."/>
        <s v="Customer service was fine, but I could not purchase what I wanted to for my cat. I ordered veterinary products and I chose the vet I went to from the search. I knew Pet Flow (or Vetsource) would need to contact the vet but did not know how they would. The"/>
        <s v="I love the service I receive when I place my order. If I have any issues I call and the customer service is the best."/>
        <s v="Ordered cat food then received email that the order was cancelled because it was out-of-stock."/>
        <s v="PetFlow was a great shopping experience, but the shipping information was not accurate on the website. I did have to reach out to Customer Service to get the correct information. Other than that, no complaints. Will definitely shop with them again."/>
        <s v="Good communication and reasonable prices.&#10;Slow delivery time knocked this review down to four stars."/>
        <s v="It was nice that PetFlow actually carried the brand of dog food I get. I was excited to sign up for autoship so I could stop making my husband pick up the dog food, 23 miles away from me, on his way home from work. My order took over a week to arrive, did"/>
        <s v="Great quality of products and super fast shipping."/>
        <s v="Perfect&#10;Fast&#10;Efficient as always"/>
        <s v="When I was given a prescription for my cat that had just gotten a procedure to clear a urinary tract blockage, I tried having the prescription filled by my regular vet. They were out of stock of what was needed, so I turned to Petflow. All my experience w"/>
        <s v="Orders are shipped quickly. Prices are comparable to other companies."/>
        <s v="Timely delivery, no glitches and great product!"/>
        <s v="The products that I ordered were as described, at a fair price, and arrived on time!&#10;- very happy customer"/>
        <s v="I had never ordered from Pet flow before. Their website was easy and the cat food arrived promptly."/>
        <s v="I enjoyed finally finding a website that still has my cotton de tulear food that she has been on her whole life and seems to be selling out everywhere. I sure hope this website keeps it in stock for the next time I need to order it."/>
        <s v="I ordered a large pet carrier and was sent a small. I did contact customer service and they are suppose to send a large. That was a week ago so I am still waiting"/>
        <s v="Fast, easy, great price and I stick of my pups fave food!"/>
        <s v="Ordered for the first and last time when PetFlow was the ONLY place that had any of my cat’s specialty prescription food in stock. They said they called the vet office to confirm and approve the prescription but did not call the office I gave them and the"/>
        <s v="I use this site to order &quot;tracheas&quot; for my 2 dogs..they are a natural treat and my dogs love them. This company has been very good about getting my orders to me in a timely manner so my dogs never have to miss their Saturday special treat. I know their pr"/>
        <s v="I'm SO Thankful that I found PetFlow!!&#10;It's nice to know there are online options for my fur baby...the prices are Great and the fact that PetFlow gives back to pups in need makes me feel good.&#10;Thank you PetFlow!!"/>
        <s v="PetFlow usually has products other sites are out of! What relief. But stock up as things are getting harder to find. PetFlow delivers quickly and in good shape!"/>
        <s v="Said an item was in stock, when it wasn’t. I waited a week before being notified that it was even in the warehouse to be shipped. In the meantime I was counting on the shipment for my diabetic cat. I will never recommend or give the company another try."/>
        <s v="Great transaction, good price, free delivery."/>
        <s v="Quality, communication and price!"/>
        <s v="I have 5 cats. Two of them are eating special food for health issues. It has been hard to find canned food, especially ProPlan, since the pandemic. I have to search for cat food EVERY WEEK at the 3 pet stores in our area, which is very stressful. I was so"/>
        <s v="When i had a problem you fixed it fast, ty"/>
        <s v="I buy birdseed in 50 lb. quantities. Theseed quality is excellent; the mixes are well balanced, and the seed is fresh and viable so I am able to germinate some to use as soft food to my birds. The price was reasonable when so many others are using inflati"/>
        <s v="I’ve always had a great experience w Petflow. I even found a better deal at another site and wanted to cancel my auto ship. The customer service rep gave me a discount instead and I kept my auto ship active and it’s still active today! Excellent customer "/>
        <s v="Only place I could get this Hill's formula dry food for my cat. My cat is fussy and won't eat other dry foods."/>
        <s v="Petflow customer service agents are efficient yet courteous. The company clearly embraces the concept of the customer is always right. I've been using this service for five years and have always been pleased."/>
        <s v="Service and customer service is excellent!"/>
        <s v="This was my first time purchasing from this company. I attempted to purchase 6 items. Of the 6 items that I ordered, I only received 2. Those 4 items that I did not receive, 3 were charged to my credit card and then I was notified after the fact that thes"/>
        <s v="Easy to order online &amp; customer service is quick to respond &amp; resolve any issues. Will order again!"/>
        <s v="I love PetFlow! Much better than Chewy!"/>
        <s v="The ease of changing or adding to existing orders could be just a little easier. It's much-improved from what it used to be, for sure, but it still takes far too long to setup an order for auto-ship. Make it easy and more efficient, PLEASE!"/>
        <s v="Every order is fulfilled quickly and accurately and then shipped really fast. I love PetFlow!"/>
        <s v="Was very disappointed with shipping time for this order. And delivery information was delayed twice"/>
        <s v="While I wish Petflow did not use FedEx (I did not get my package, or replacement package), Petflow was wonderful through an annoying process."/>
        <s v="Quick delivery on the dog food I ordered. I’m thankful for Petflow because they carry Canine Caviar which is a hard-to-find dog food. My French Bulldog does great on this food (no allergies)."/>
        <s v="PetFlow has great pricing and fast delivery. They also have great customer service who do a fabulous job of following up on your order! I will definitely be ordering from them again."/>
        <s v="Super easy to order from and they shipped our food and treats quickly!"/>
        <s v="Quick ordering process and they obtained the prescription from my vet just as quick where other sites never completed the process. It was smooth and I will order again."/>
        <s v="The Petflow site was easy to navigate. I found the size of the dog food bag I wanted for the right price. The communication was superb, including delivery information . I would order from them anytime"/>
        <s v="happy with my order, pup got a really cute stuffed LLama that I had my eye on, for quite a while, price was excellent, also, bella pate, not always easy to find in a retail outlet............."/>
        <s v="The case of Hill ID Digestive care was delivered damaged. When I opened the case three cans were blown and the rest had visual damage to each can. I called Pet Flow to advise and wanted to send the complete case back to them. They said prescription dog fo"/>
        <s v="I placed an order for a second time with petflow.. first time was great, however this second order never shipped and upon inquiring about the status, I was informed that “our fraud department suggested we not fill this order, take care.”… what?"/>
        <s v="Quick cat food shipping, fair price and easy ordering. All good."/>
        <s v="I ordered two packages of dry cat food : Hill's Prescription Diet Gastrointestinal Biome Digestive &amp; Fiber Care Chicken Dry Cat .&#10;I used to order it on Chewy.com or Amazon.com. For medical reasons my cat needs this food. Unfortunately and for an unknown r"/>
        <s v="took longer than we thought, but it was ok but everything was good"/>
        <s v="This was a remarkable experience! I received the wrong order. I meant to purchase 2 bags of lamb and peas large breed. I received lamb and rice. I called and the same day they shipped the correct 2 bags I wanted!&#10;This is a model example of perfect custome"/>
        <s v="Ordered my pets food that needs a prescription. You said it was in stock! I looked for a way to email the prescription to you but couldn’t find one on your site.&#10;&#10;I gave you all the information you need to verify and order to food from my vet. A week late"/>
        <s v="Product packed well. Great communication."/>
        <s v="Easy to order through my vet and super fast shipping! No complaints!"/>
        <s v="The product came on time and as described. Can't wait to order from them again."/>
        <s v="We are now 7 days beyond the promised delivery date. when I contacted the company they said I should have planned better. I'm wondering if the company even has this product!"/>
        <s v="First time I ordered from Pet Flow, my order was cancelled by PetFlow because my items were not in stock after I ordered them. However, I had been charged via Pay Pal and then had to wait for a refund. Needless to say I cancelled my auto shipment and will"/>
        <s v="My pets prescription food has been out of stock everywhere for weeks. I was recommended a replacement to help my cat while I tried to find something in stock, but then I found his diet in stock on pet flow so I chose to purchase that. Almost a week later "/>
        <s v="I was told to mail in the prescription for the product.Than I got an email that they did not have the product and now I don't have the prescription.&#10;It would have been a lot easier if I was told they did not have it."/>
        <s v="PetFlow has always delivered when expected. There have been a very few rare occasions when something happened due to the courier service, but PetFlow made it right immediately. Also, the food I buy is hard to find in local stores, but is available through"/>
        <s v="Very happy with the experience, customer&#10;Service very pleasant, and speed of order. Sorry the food is out of stock still, but would order here again once it comes back in. Thank you!"/>
        <s v="Though my order was sent to the wrong address the company made it right by resending the product to the correct address quickly and without a hastle"/>
        <s v="Easy to order, delivery was great."/>
        <s v="Quick shipping and responsive staff to customer inquiries"/>
        <s v="Seemed to take a long time from order to delivery but mist disappointing was a couple of the cans were dented and leaked all the liquid throughout the box."/>
        <s v="Excellent service, prompt delivery. Able to purchase an item I couldn’t find anywhere else."/>
        <s v="Needed to return a bag of cat food that my cats did not do well on. Wanted to exchange for two bags of a different food. Was a simple process involving one phone call. Received a return label to send back unopened bag of cat food and received my replaceme"/>
        <s v="Fantastic service! Quick delivery and the food was unspoiled and not damaged. Will be coming back for more! Kitty thanks you too 🥰🤗"/>
        <s v="PetFlow does an outstanding job when it comes to providing timely deliveries. They also have a wide variety of products from which to choose. Thank yu PetFlow!"/>
        <s v="I have discovered petflow to be a resource to depend on.&#10;The last shipment of the blue wilderness (Turkey) of which&#10;I usually order the 2 pack of 24 5.5 oz cans @ $60. free&#10;shipping included was received minus 1 carton. A quick call&#10;to Petflow with no has"/>
        <s v="They had great products to choose from. That arrive on time and fast for all things I have ever bought."/>
        <s v="There was some confusion about what and when my order was to be shipped. After a few messages my order was delivered and all was well."/>
        <s v="I went with PetFlow for our dog's food because they had the cheapest shipping rate. My surprise was although it was the cheapest it was also the fastest."/>
        <s v="Ordering was very easy and they had a much quicker processing time than other places. Customer service was very friendly."/>
        <s v="My latest order of two 15 pound bags of Fromm dog food arrived in a box that had been badly damaged and the top bag of food had a four inch slash in it. Dog food had leaked out all over my porch and entryway and, no doubt, in the FedEx truck!&#10;&#10;Pet Flow im"/>
        <s v="Prescription product was supposedly in stock until I found out days later"/>
        <s v="My dog food order always arrives exactly when promised and that assurance is why I have been a PetFlow customer for such a long time."/>
        <s v="Have been getting my dog food auto shipped for many years! I am very pleased with the delivery. Always on time and always in perfect condition. I have not ever experienced a problem!"/>
        <s v="Twice in the past week I have ordered cat food that was shown to be &quot;in stock&quot;, only to get an email a few days later telling me that it wasn't available. That is very frustrating and quite annoying and doesn't make me want to order from them again."/>
        <s v="Excellent Customer Service and Customer-Friendly policies.&#10;I had ordered Ver Diet food for my cat. I used 1 can out of the case and it turned out that my cat was allergic to the food.&#10;&#10;OI called Petflow Customer service to see if there was someplace local"/>
        <s v="I had never heard of PetFlow before, but after another company I use for pet supplies didn't have a brand I was looking for, I did an online search to find where to buy my product. PetFlow came up as being one of the companies that carried it. After resea"/>
        <s v="Fast service and delivery. I had emailed customer service and they responded quickly."/>
        <s v="Everyone was out of a particular flavor of the food my kitties really like. I added my name to be notified when it was back in stock and they did that promptly. My order experience was wonderful ... everything I ordered came thru promptly and in good orde"/>
        <s v="Got the wrong product, they did reach out but still waiting to see how we go about sending it back and get our refund.&#10;Fran Dolmage"/>
        <s v="I place a large order for dog and cat supplies on Wednesday. It received an order confirmation with tracking number. The following Monday I recieved an email saying my order would be delivered tomorrow (Tuesday) by end of day.&#10;When my order did not arrive"/>
        <s v="Website was easy to use, but unfortunately it said that one of the items I purchased was in stock, but days later I received an email that said that they actually did not have it in stock since it's backordered. They said I wouldn't be charged until they "/>
        <s v="Was so happy to find and buy these bowls!&#10;Needed small ones - ✔&#10;Needed stainless steel - ✔&#10;Needed weighted bottoms - ✔&#10;Pretty fast shipping - ✔&#10;Thank you so much PetFlow."/>
        <s v="Prices are reasonable. Shipping is fast. Happy with the ordering!"/>
        <s v="My order was cancelled because my vet for some reason wouldn’t approve the prescription food request from Petflow and said I had to give Petflow the written prescription I have. I could not find a way in Petflow systems to upload the prescription form on "/>
        <s v="You guys really should say that you have products available for purchase if you literally don’t have any in stock….."/>
        <s v="1st order - Most cans dented, 7 unusable. Customer Service ordered replacement. The replacement got cancelled as they were out of stock. I had to call again to get the refund, the system didn't know it was a replacement.&#10;&#10;A week later their site says In S"/>
        <s v="Get my name right, I did happen to type it out on my information portion of my account. Not hard figure out."/>
        <s v="Best price, service and product!"/>
        <s v="Great price! The shipping was good and everything arrived as expected. I will order from PetFlow again!!"/>
        <s v="Absolutely terrible. They list food in stock that they don’t actually have. They then hold funds for two weeks to then cancel the order.&#10;&#10;Get organized and be honest about what you really have in stock."/>
        <s v="Always get what I order in a timely fashion."/>
        <s v="They executed the order beautifully. The box arrived as expected. I ordered sealed dog treats so I have not opened fully yet.&#10;&#10;This is my second order and they have not done well on both."/>
        <s v="One of the few places that has grain free greenies and can ship them expeditiously."/>
        <s v="The product I ordered was shipped and delivered within 3 days! That’s amazing!"/>
        <s v="I was lied to from customer service. They also implied that i was stupid. We live out in the sticks and they tried to convince me that fedex was going to deliver to me on Easter Sunday. I do not appreciate being lied to."/>
        <s v="Your delivery is exceptional! I am also pleased that you carry fromme!&#10;There aren’t a lot of pet stores that do!"/>
        <s v="Easy to order, Great prices, Fast shipping.&#10;Thank you, PetFlow."/>
        <s v="Always have what I need and receive it in 2 dsys."/>
        <s v="You take orders for items you don’t have available"/>
        <s v="Order filled promptly and delivered very timely. Great service."/>
        <s v="There was a bit of confusion between PetFlow and the vet. I received an email 4 days after I placed my order saying the vet had yet to respond to the prescription. The vet said they had no record of being contacted. But after I gave the phone number to th"/>
        <s v="Shipping quick and correct. Products excellent and as described."/>
        <s v="Easy, convenient to use. One of the items I ordered was no longer in stock. I was notified and refunded immediately. There is a wide range of products available to chose from at very competitive prices. Great service!"/>
        <s v="My dog now needs kidney support food. I ordered her kibble and Pet Flow contacted my vet for authorization. We had her new food in 5 days. Thank you, Pet Flow, for being so prompt in responding to my request!"/>
        <s v="Advertised dog food they didn't have. Felt i was suckered in to get personal information. Ordered food twice. Website said in stock. They canceled both orders saying didn't have yet didn't change status on the website. Had also enrolled in autoship. Websi"/>
        <s v="I ordered food and have been waiting for a response. Let you with my vets numbers and even left a text (per instructions) and nothing. I’m still waiting for any sort of reply"/>
        <s v="I ordered a type of prescription dry cat food made by Hill's. Hill's said you had i in stock, and so did your website. I placed my order, with veterinary information for prescription approval. This probably took one day, not more than two. But as time wen"/>
        <s v="Awesome company. Will definitely be using them moving forward to order my dogs food :)"/>
        <s v="Item showed in stock. Took almost a week for them to state it wasn't available and to check back for when it's in stock. Yet when I looked at their website they didn't change the item's availability. So just keep taking people's information even though it"/>
        <s v="When I order it says you have product. A week later you say you don’t have it and cancel order. You need to change this. No for sure what is in stock. This has happened to me before. Non way to run a business. You don’t care about the customer. Doubt I wi"/>
        <s v="We have ordered dog &amp; puppy food from PetFlow for many years and always received excellent service. On our last order of 7 bags one of the bags was out of the box. It had been torn open and taped shut with clear shipping tape. There was a Fed Ex label on "/>
        <s v="Easy ordering and perfect delivery."/>
        <s v="Product bought as advertised. Online sales works perfectly. Shipping was fast. This is my second transaction with this company and am very pleased."/>
        <s v="Ordered veterinarian prescribed food for diabetic cat and was advised through email it will ship within 1-2 days. Was then emailed 6 days later with a full order cancellation. Not being aware of how to fulfill orders due to inventory issues is one thing a"/>
        <s v="Ordered but had to update my credit card. Thought the order was canceled after several attempts. After updating the card, all orders went through and were processed. Now I have three bags of food and spent more than that I intended to."/>
        <s v="Placed order based on website saying product was in stock. Vet approved prescription dog food in one day. Contacted customer service twice over 8 days to determine order status, finally on day 9 we received an email saying the product was not in stock and"/>
        <s v="The PetFlow website listed for sale prescription cat food that, it turns out, was not in stock. When I ordered that food apparently no one checked whether it was in stock, and my order was processed. I then had to jump through a number of hoops to get to "/>
        <s v="One of the kitty litter bags had small tears in it so about a third of a cup was spilled in the box."/>
        <s v="This was a good experience overall. Products we wanted were available and reasonably priced. We even tried a new product that is now a hit in our household .... thank you!"/>
        <s v="PetFlow has everything I was looking for. The items I ordered were delivered promptly without any damage to bags of kibble or cans. I’ll definitely keep ordering from PetFlow."/>
        <s v="Never received the product, After a couple weeks the order was cancelled since the product was never available to begin with. Apparently, PetFlow has no idea what their inventory actually is. I was never actually charged for the product."/>
        <s v="I love Petflow.com because they are not the big guy. They are all pet passionate people like me. They carry products I trust."/>
        <s v="Simple to order and came amazingly fast."/>
        <s v="Your customer service was, as usual, excellent, But the delivery service was not up to par because they changed the delivery date a few times, ‘tho that may have been due to weather problems which understandably is out of anyone’s control,"/>
        <s v="Great competitive pricing. The only complaint is they make it difficult to cancel existing programs. You have to place a phone call in order to do this. They do not make it possible online through your account."/>
        <s v="Customer service was easy to get in touch with and very courteous."/>
        <s v="Customer service responds quickly; very helpful &amp; courteous!- a pleasure to do business with!!"/>
        <s v="The item I ordered was ( and still is ) shown as stock on the website. It is NOT in stock. Had it been out of stock I would not have placed the order. When I called PetFlow to see if they had inventory they told me they could not check because the prescri"/>
        <s v="Mostly all my goods are damaged. Cans are bent and creased and half the treats are in the bottom of the bag for my rabbit treat sticks."/>
        <s v="I am aware no one can predict the weather. But this particular order was important. On two separate occasions I was informed my order would arrive , as it is I am still waiting. Below is the time frame, which honestly is ridiculous.&#10;YOUR PACKAGE IS&#10;On Its"/>
        <s v="I am very satisfied with Petflo and the customer service. I had to call to make a change with special instructions before my delivery and the representative was able to take care of that for me promptly, without any hesitation or any issues. I would defin"/>
        <s v="I will start by saying they ALWAYS have what I need in stock which is a huge plus. My two main issues are longer shipping times and the last time I ordered I accidentally ordered the wrong size can of food because the picture was of a smaller can. It was "/>
        <s v="High quality difficult to find dog food at reasonable prices. Fast delivery with free shipping with minimum purchase of $50 I believe is the current threshold. Been ordering Fromms Gold dry dog food from them for years, and it is always fresh and genuine."/>
        <s v="I love PetFlow! The site is very user-friendly and customizable.&#10;I don't like shopping and their home delivery makes getting my pet's food a breeze.&#10;And they carry my preferred brands."/>
        <s v="I looked Everywhere for this particular Hill's Science Diet Adult Tender Chicken Dinner Canned Cat Food 1 to 6 yrs.and you Folks were the Only Online Business that carried this Product for my Cat. It arrived safely at my Front~Gate... I live in a very Rur"/>
        <s v="I have used Pet Flow foe about 12 years. They have any thing you want&#10;relative to dogs and deliver it quickly. They can put you on a program for delivery so you don't have to call them. They also can deliver to other addresses if you happen to be out of t"/>
        <s v="They kept messing my order up double charged&#10;and one of the phone operators was very aggravating"/>
        <s v="On my first order, I ordered one small bag of dog food, my dog has a few food allergies and this was a new flavor, so a 4 pound bag would do. Upon arrival, I always check the expiration date on all food I order and noticed this bag was about to expire. I "/>
        <s v="Shipping was not as quick as it said, but once I called them they looked into it they made sure it went out that day"/>
        <s v="Shipping is fast and dog food is fresh!"/>
        <s v="Quite frankly, my disappointment is because I really didn’t order this time. My order was processed without me hitting the accept” button. It was sent any way."/>
        <s v="I chatted with a rep to see if Petflow carried Taste of the Wild wet food. It was out of stock, and rep asked if I’d like and email when the product came in. They emailed me it was in stock, I ordered it and it was delivered. My dog is a very happy pup no"/>
        <s v="Had a difficult time find the dog food and found it here! Quick delivery."/>
        <s v="You charged me for prescription cat food and for non prescription cat food, but only delivered the non-prescription cat food."/>
        <s v="One of the few sites that has Fromm dog food! Quick free delivery. I also like your give back to the pet community policy."/>
        <s v="Fair prices and very fast free shipping. I will shop here again."/>
        <s v="Fair prices, fast shipping, large assortment of products."/>
        <s v="I ordered a prescription dog food that was listed as available, then wasted time and attention coordinating with our busy Veterinarian. Was never advised the item was on back order and had to reach out to the company to find out the dog food hadn’t been s"/>
        <s v="Easy online ordering. Usually has what I need. But doesn’t ship as fast as other companies"/>
        <s v="It has been almost two weeks and I have not received my order. I called to inquire where it might be,I was told to call Fed Ex. The folks at Fed Ex told me they couldn't deliver my package because the road was to muddy,although the mail has been delivered"/>
        <s v="Ordered two items but only one was available. Real time inventory to indicate whether stock is available for purchase would help the customer."/>
        <s v="Great selection, great prices great service...."/>
        <s v="I am unable to cancel my automatic shipment. Why is it so difficult."/>
        <s v="I was able to purchase cat food here that I couldn't find anywhere else. Delivery was quick."/>
        <s v="My order did not arrive on time and my puppy was getting low on food but their customer service was friendly and willing to do whatever to make it right. I appreciate the customer service and how easy it was to connect with someone through text to explain"/>
        <s v="The canned cat food I ordered from PetFlow was out of stock at other major online pet supply retailers for extended periods of time. This special food was less expensive at PetFlow and arrived quick. My order was packed in a sturdy box with adequate packi"/>
        <s v="I have been trusting my pets needs to Petflow for several years now. My food is on auto delivery, and can be changed as needed, with no problems. The Customer service has been excellent. I have had a small issue here and there, and they take care of it ri"/>
        <s v="Right in time delivery. Fresh food! My GSP thanks y’all!"/>
        <s v="Good company to deal with"/>
        <s v="Great user friendly site; delivery has been fairly quick too. I appreciate the auto order program."/>
        <s v="I placed my order for my dogs kibble. It arrived in 2 days. Amazing so happy with petflow!!"/>
        <s v="PetFlow makes it easy to use their Autoship, easily change the dates(They let you know when it's getting ready, so you can speed it up or slow it down), and the dog food prices are very competitive, plus it's delivered to my door!"/>
        <s v="Excellent service. Quick delivery"/>
        <s v="I received the wrong size canned dog food. They could not help."/>
        <s v="Do not buy!!! First order wrong canned food, then didn’t have inventory to send correct food with no time line then requested refund after I returned wrong food next day to them and still one week later no refund."/>
        <s v="Quick and efficient delivery of prescription dog food that was out of stock at other online retailers. Petflow contacted my veterinarian right away for approval after I placed my order. Very happy with the customer service."/>
        <s v="Excellent customer service and lightning fast shipping. The Fromm's Crunchy O's are my dogs favorite treats and I couldn't locate them while traveling on our RV. I found Petflow and stocked up!"/>
        <s v="Excellent customer service and amazing shipping! THANKS FOR MAKING IT SO EASY TO ORDER!"/>
        <s v="Great shipping"/>
        <s v="Excellent Service, Fast and Friendly."/>
        <s v="The order was shipped quickly and with no problems! An easy smooth transaction!"/>
        <s v="Made the switch from the other options out there about 8 months ago and could not be more impressed. From the selection, freshness of product, speed of shipping (that puts the others to shame - not to mention arriving very securely packed without the dent"/>
        <s v="I needed an addition to my regular order and it was taken care of efficiently and expeditiously."/>
        <s v="I've been a customer of Petflow for 5 years and they are an excellent, reliable company. I rarely have an issue and when I have it's usually not on their end, but more so on the shipping and delivery end. Nevertheless, Petflow customer service always make"/>
        <s v="Best company to deal with. Unbelievable customer service!"/>
        <s v="Love buying from PetFlow. Prices are great and shipping is super fast. Am a repeat customer."/>
        <s v="Great online store.&#10;Lots of products. Good prices.&#10;And excellent customer service support team!"/>
        <s v="I give one star because I never actually received the dog food I ordered. I placed an order for prescription dog food, received notice there was an issue with the prescription so I called the vet but was told the issue was not on their end. Then, petflow "/>
        <s v="I have a 3-legged cat that was shot before I adopted him. Willie is a special guy on a special diet. I was running low. Several pet food outlets said they had none and weren't expecting to get any. Maybe it was discontinued.&#10;I should look for a replacemen"/>
        <s v="Products have always been delivered on time. Website for updating/canceling orders has had glitches on several occasions."/>
        <s v="I thought it took to long to receive my order."/>
        <s v="Hands down the best price in bulk cow ears for my dog! A local shop wanted twice as much for the exact same product. Customer for life here!"/>
        <s v="I was looking for a place that sold the food I need for my dogs at a good price, and I have found it!"/>
        <s v="I have been trying to find a prescription food for my cat and was delighted when PetFlow’s website said they had it in stock. Unfortunately it turns out that it’s probably not in stock. The website should be updated appropriately. Responses to my emails w"/>
        <s v="Easy to navigate web site, fast and efficient online ordering and delivery."/>
        <s v="The shelves were bare for the cat food that I have been feeding my cat and I couldn’t find her food anywhere. I called the company that makes her food they were out too, but I was told of a place to call, low and behold they had her food so I bought a cas"/>
        <s v="Treats almost expired. In a very recent order, I purchased multiple bags of Merrick dog treats . I just realized they all expired already."/>
        <s v="No other supplier had this cat food, and my cat really needed it! Fast delivery and service I'll buy again!"/>
        <s v="I am a returning customer, Pet Flows prices and their customers service are exceptional. I will not shop anywhere else for my doggie food."/>
        <s v="I couldn’t find my Yellow Lab her food anywhere ! I’m used to it being delivered on a regular basis. My vet found you online and let me know. Thanks to you she has her regular diet !!!"/>
        <s v="PetFlow provides and delivers product as expected. The four-star rating is because of their return policy which is stricter than the other online pet sites."/>
        <s v="Great customer service and very fast delivery! Thanks!"/>
        <s v="Petflow has always come through on my orders. Delivery is prompt. Only issue is every so often Delivery service is a little rough with the package 📦. But that's on them not Petflow Only once damage was excessive called Petflow and they took care of it."/>
        <s v="Our cats require a prescription food. Petflow has always had it in stock when others have been out of stock. A real life saver! We've never had any issues with PetFlow."/>
        <s v="Our order shipped so fast! Very happy with you!!!"/>
        <s v="I ordered 3 cases of canned dog food. One case turned out to be something different, so I called Petflow and they gave me a credit for the wrong food.&#10;I donated the case to a local Animal Shelter and I was happy with their service."/>
        <s v="Great price on the right product. When I needed help with the order, telephone help was easy and effective with no wait time."/>
        <s v="PetFlow has the products I want at a reasonable price. Delivery is great."/>
        <s v="Very hard to find my dog's prescription food, but you had it. And sent it to me quickly. Thanks so much."/>
        <s v="I truly love all the products, my dog Ginger loves them too. You are an excellent company, I really love doing business with you. You are fast and I have never&#10;had a problem with you. Thanks, Connie Sower"/>
        <s v="Great company to work with. Provides excellent customer service."/>
        <s v="Been very happy with the price I pay for my dog food. Good selection of other items for my dog. Fast delivery."/>
        <s v="Best customer service. Calls are actually answered quickly by humans that are always helpful and resolve issues."/>
        <s v="My last order was supposed to be 100 canine caviar buffalo toothpick dog treats - I was sent one in a box, so I was 99 short. Not the first time that has happened either. The most frustrating part about this time was that when I called customer service th"/>
        <s v="Vet approved! And I'm a vet ;)"/>
        <s v="I never received my order. Told my credit card was not valid. IT WAS A GOOD CREDIT CARD. There was nothing I could do to correct any info. So as a result, I will not be using your website. Sorry, I like convenience of shopping on line."/>
        <s v="The entire process of getting my dog's prescription liver support dog food was quick and easy."/>
        <s v="Great prices, fast shipping, and easy to use website. What's not to love? My new go-to place for everything my Maltipoo puppy needs."/>
        <s v="Your customer service team is fast, efficient and respectful. Thank you for hiring outstanding people."/>
        <s v="Whenever I've contacted customer service, they have always been very helpful and so nice! Their pricing is great and shipping is fast!"/>
        <s v="I am very satisfied with PetFlow feed products. I find this company dependable, while trying to keep costs within reason for the consumer. I like the convenience of many products available for dogs as well as cats. Free shipping is appreciated with prompt"/>
        <s v="My order was accurate, prompt, and a good, competitive price. So thankful we found you! We will be reordering for our sweet pups and kitties!!"/>
        <s v="First shipment of dog food was good. Second shipment had the wrong food shipped."/>
        <s v="They had what I was looking for , Delivery was quick and easy"/>
        <s v="Love the selection and the speedy delivery!"/>
        <s v="I used Amazon subscribe &amp; save for years but in the last couple of years it either is not in stock or shipping takes 7-10 days. PetFlow has no supply issues, ships immediately and is cheaper. Needless to say, I have switched both subscriptions to PetFlow!"/>
        <s v="My dog needed her prescription dog food.. My normal supplier had been out for sometime. I was in a panic, reached out to Petflow, explained the situation how most pet supplier's were out of stock of the Hill's i/d small bites food. Petflow reassured me th"/>
        <s v="Petflow never fails to provide quick turnaround times and has the food that's best for my dog. Their Customer Service folks are the best."/>
        <s v="They have the dog food I want at a price I like!"/>
        <s v="Ordered Little Stinker pads. Received in record time. Good price."/>
        <s v="Fast ship&#10;Great product line"/>
        <s v="I was excited to find PetFlow. I ordered my cat food on March 24,2022. It is now April 5, 2022. I have yet to receive my order. I am waiting and hoping it will come soon."/>
        <s v="PetFlow had my hard to find dog food in stock. Ordering was easy and shipping was very fast (2-3 days). Second time I've used them and will continue to do so in the future."/>
        <s v="Easy ordering, quick delivery. Great customer service!"/>
        <s v="I am pleased with the ease of ordering. I’ve found quick delivery on canned food but the large bags of dry food usually take a lot longer to receive."/>
        <s v="Everything went very well!!&#10;Thanks for thst!!"/>
        <s v="Although their losing me as a customer is out of their control I’m unable to give them a better review&#10;Perhaps if their leadership would utilize a more reliable carrier than Fedex they’d get my business back&#10;They do have excellent customer service and I l"/>
        <s v="Ordered Hills Rx dog food. Item was shown as in stock, with anticipated shipping date. Order was accepted. Days later I received an email stating food was out of stock…I thought good was on its way and it wasn’t even in stock. Not a good experience..first"/>
        <s v="Excellent website that makes ordering pet products a snap especially repeat orders. Really appreciate the fair prices and reasonable shipping rates."/>
        <s v="Web site shows product (prescription pet food) in stock. We ordered it and were charged. Called to check on order and told it will ship next Monday. Several days later, I get an e-mail saying the product is out of stock and my order is being cancelled. So"/>
        <s v="Purchased a cat harness. Sizing was accurate and quick delivery!"/>
        <s v="I like the great service with Petflow alot. Time and time again they have what I need for my pup!"/>
        <s v="All went well. Thank you."/>
        <s v="These ppl are so dumb, don’t bother with a third party place. Was with chewy for five years never had a problem had to switch to these *^%** for prescription food, been with them for 3 months and had to call 4 times in one wk b/c they couldn’t get anythin"/>
        <s v="Quick service, company had product not available at other sites."/>
        <s v="Petflow was the only store I could find that had the cat food I needed in stock. Their price was competitive and they had free shipping. The case of food arrived right on time."/>
        <s v="Fast shipping, good communication 👏"/>
        <s v="Great quick service. Always reliable."/>
        <s v="Excellent customer service. I had a problem with one of the items in my order, but the issue was quickly resolved. I highly recommend Pet Flow."/>
        <s v="You showed 5.5 oz cans in the photo and sent me 13 oz cans&#10;Very misleading"/>
        <s v="This company took my order for prescription dog food and sat on it over a week before canceling my order because it wasn’t in stock. By then my sick dog had run out of food and I had to order from somewhere else."/>
        <s v="Not much to add to the 5 stars. I had to call them about my billing address and they were great to work with - friendly, attentive, and very helpful."/>
        <s v="I have only done 1 set of purchases so far, but am very pleased. PetFlow had cat food that pretty much all other sites and stores do not. And, delivered as quickly as Chewy.com would have."/>
        <s v="Petflow had our Hills prescription food in stock and shipped it to us in j just a few days.Chewy stopped stocking our food a while ago.Thank you Petflow"/>
        <s v="Product in stock as needed and always shipped promptly"/>
        <s v="We are elderly. Wonderful that the heavy dog food bags are delivered to our front door."/>
        <s v="You keep on accepting my order and then you later say it is out of stock. Why not refuse to accept the order that you do not have in stock."/>
        <s v="You asked so even though I know it is horrid times to expect our shipments to to be filled 100%, because it was my dog’s only source of food and not to be notified, until shipment day you didn’t have it, wasn’t what I would have expected. Notification so "/>
        <s v="Service was awesome! Wrote an email asking about my order and it was not even an hour and I heard a response. I am a customer for good now!"/>
        <s v="I have a cat who has no teeth.&#10;Finding “squeeze” treats he likes has been a challenge.&#10;My cat loves these treats!&#10;Plus they are healthy treats."/>
        <s v="Good, fast service. Good prices."/>
        <s v="I’m very satisfied with my order from PetFlow. Due to the product I ordered, PetFlow had to notify my pets veterinarian &amp; they did this quickly.&#10;Therefore, I received my order within days!&#10;I will Definitely be ordering from them again!"/>
        <s v="You had what we were searching everywhere for. Unfortunately, 2 days afterwards, the quantity was cut in half. 5 stars for a full order, but only 4 for taking away a bag of rabbit cookies."/>
        <s v="Horrible! The lack of communication with the company and warehouse. I called and was told I would receive a call back and never did. They had me counting on a shipment for over a week and canceled it 8 days later due to “no product “ and for me to find ou"/>
        <s v="Excellent service of our favorite dog food! Fromm is the best food!"/>
        <s v="Website is easy to navigate, great pricing and orders ship out quickly...autoship makes it simple to ensure Ms Hunter always has her favorite food in her bowl!"/>
        <s v="Glad I found you. Shipped order right away, you made my dog very happy!"/>
        <s v="My 11 year old diabetic cat was out on a diet of Royal Canin PV diet. Absolutely, NO ONE had this food. I found PetFlow while surfing the web one night and saw that they had the food I needed. I ordered the food. There was a bit of a delay with my prescri"/>
        <s v="Petflow is awesome! Great customer service!"/>
        <s v="Fantastic customer service, great prices, fast shipping. I am trying to purchase less from large retails (like you know who) and haven't had to for any pet food or most pet supplies since finding PetFlow."/>
        <s v="Dog won't eat the food is so stiff if won't come out of can"/>
        <s v="My second time buying my pet food at petflow , what I like the most is the possibilito buy two packs with a better price. The delivery is free and is ok , not to fast but ok , is good to know that it took 5?to 7 days to delivery than you need to buy in ad"/>
        <s v="The process to order a prescription food is ridiculous. The instructions on how to handle the prescription are incredibly unclear and the expected timeline of when your order will be delivered even more confusing. I placed my order, immediately emailed th"/>
        <s v="Great service. You had the cat food I needed when every other place was out of stock. Prompt delivery. Thanks so much!"/>
        <s v="Availability of special diet and fast, friendly customer service."/>
        <s v="No problems. Quick and efficient"/>
        <s v="Great customer service. Always have the products that I need when I need them. Thank you PetFlow."/>
        <s v="I have been ordering from Petflow for sometime now, and I truly love it. ❤️ It's hard to find certain brands, like Fromm from your local pet stores, so I airways shop here. Did I mention shipping is pretty fast. I am happy customer:)"/>
        <s v="I was able to find the food for my cat here.He has IBD and can only eat certain foods. These kind people give great service answered all my questions. I’m very pleased with Pet Flows service."/>
        <s v="I buy crickets very often. I got 50, and 15 were dead, usually always there are some dead but this time the number was higher, not good!"/>
        <s v="Very satisfied with my order! I was notified when the treats my dog eats we’re available. They contacted her vets for the prescription information &amp; sent out immediately."/>
        <s v="Ordered prescription food on a time crunch, confided 3x with customer service it was ordered, confirmed and waiting to ship and then finally cancelled after a week. Horrible service"/>
        <s v="My dogs love the Buffalo treats! Great value and service."/>
        <s v="They always have what my parrots need and everything is fairly priced."/>
        <s v="I was able to connect with customer service about issues with my prescription and they took care of it and I received my cat food thank you"/>
        <s v="Very user friendly process, good variety of product, reasonable prices. Love the free shipping with orders over $50! Keep up the great work!"/>
        <s v="Good products and good service and delivery"/>
        <s v="My dogs' food was not available where I usually purchase it, so I tried PetFlow. They had the food and I received it the next day. I was so pleased to find a company that stocks the dog food I use and sends it quickly and efficiently. I have since used Pe"/>
        <s v="After being informed in the 11th hour from another site that my auto ship dog food was not in stock and the order could not be filled, I went to the Pet Flow site. They had the food I needed and it arrived as promised. I was very impressed and grateful."/>
        <s v="First shipment was short, contacted customer service via e-mail and a replacement item was shipped immediately. Great customer service."/>
        <s v="Very happy you carry Verus- delivery is quick!&#10;Thank you"/>
        <s v="PetFlow was fantastic. Food was in stock at a great price - even though bigger companies did not have it claiming supply chain problems. Delivery was super speedy. Customer service prompt and friendly. Highly recommend."/>
        <s v="I was relieved that PetFlow had the urinary diet food for my cat when other big name pet suppliers were sold out. Ordering ease and timely shipping were other plus factors."/>
        <s v="My vet recommended this website for my prescription cat food. I enjoy the fact that you can add promo codes when they arise for online auto ship orders. I am also able to get my cat litter.&#10;&#10;The only issue I have is that PetFlow does not sell MultiCat Tid"/>
        <s v="Have been a satisfied customer for a while with Pet Flow.&#10;More importantly our dog gets excited when his box with his favorite treats arrive.&#10;Pet Flow has acceptable prices and prompt service on their high quality products."/>
        <s v="They were fast with the shipping and awesome prices"/>
        <s v="I have never had to wait so long for an order from pet flow. My poor cat has run out of his special diet food and we have been waiting for! I order both canned and dry food for him and his canned food is in back order. I’m disappointed on how long I’ve ha"/>
        <s v="I do like Pet Flow as my go to food delivery system. Sometimes the products are a day or two late. One of my deliveries actually contained two 37.5 lb bags in one box, which I was not happy with. Also I would appreciate some packing like paper or somethin"/>
        <s v="Fast shipping, great price, and the dog food we needed! We couldn't be happier with the transaction. Thanks PetFlow!"/>
        <s v="I have purchased the Oxbow organic hay before and Oxbow is a great company. the products were fine and the time it took to get the order out was fast, however Fedex lost the first order, not unusual. The customer service rep at your company was kind enoug"/>
        <s v="There is obviously a shortage on royal Canin cat food and I called Royal Canaan and they recommended this site so I ordered a case and when they were filling my order they didn’t have any so that was that and and I still don’t have any food ordered for he"/>
        <s v="I have used Pet Flow for years and they’ve always done a good job and provided what I needed. This time they didn’t have what I needed and they were a little late in letting me know but other than that I have no complaints."/>
        <s v="I placed my $250 order for prescription dog food on a Sunday night. Received someone else’s order on Thursday. Called customer service and advised of issue. Asked that they ship correct order at no charge with overnight delivery. Was told they won’t ship "/>
        <s v="excellent service. Fast delivery"/>
        <s v="Impressed! The dog food arrived in perfect condition ....in a box that fit the bag... something that doesn't happen with other companies!"/>
        <s v="I love PetFlow for great customer service, fast and reliable service, great dog food for my babies in great price.&#10;I'm PetFlow customer since I became doggy mommy almost 5 years ago, my 2 Golden Retrievers are doing amazing on Farmina food."/>
        <s v="I adore petflow. I love what the company is and stands for and the donations they make. Unfortunately, they just don't have everything I buy for my pets so I find myself going through other companies to get them. I would love to see them grow, though, and"/>
        <s v="Good service although a bit slower than our other service (which may have been due to the vet not responding promptly)."/>
        <s v="This was my first time ordering with petflow and I must say it was great! It was a prescription food. It was faster than ordering with Chewy. Would highly recommend!"/>
        <s v="Had the product my babies needed when everyone else was out. Fast and easy checkout and fast shipping."/>
        <s v="Quickly received. I'll be back! :)"/>
        <s v="Great service! Had the items I needed and I love the giving back to needy animals!"/>
        <s v="I get the same dog food every time. Last time I ordered, it took longer than expected to receive it. But this time, it was tracked and arrived earlier than expected. Totally satisfied."/>
        <s v="Great service. Good prices"/>
        <s v="Normally I am very happy with PetFlow with the exception of some packaging missteps. This time it just took too long to get here but everything else was good. Not sure if that was due to the shipping issues the country is having now or if it was internal "/>
        <s v="I received a substitute product that would not work in my household of pets. I called and immediately the product I had ordered was sent to me from a different warehouse."/>
        <s v="Great to deal with! Fast shipping! Highly recommend!!"/>
        <s v="Fast shipping Not a big selection of fish products, but what they do carry have very good prices."/>
        <s v="All of my normal vendors were out of my baby's food, but I was able to order via PetFlow and it arrived within 5 days! Thank you!"/>
        <s v="I am very happy to have found 'Petflow'. I run a 'Neonatal Kitten Rescue' and it is vital I am able to find the same products/food I use on a daily basis. Not being able to find and purchase certain foods is critical for some kittens. I only leave one sta"/>
        <s v="PetFlow was the only location I could find the Prescription food I needed for my cat, everybody else was out of stock. It took 8 business days to get the vet. approval and to receive the order. Longer than other vendors, but at least they had what I neede"/>
        <s v="After I gave my credit card info and counted on receiving the shipment, I was then told later on that it was out of stock."/>
        <s v="The order process was great. As well-as the returns. My dog food that I ordered came in a package all tore up. Delivery by FedEx which I have issues with with other shipments. From now on I will not be buying anything on line from company's that use FedEx"/>
        <s v="Waited 2 months for my cats favorite wet canned food to come in. Finally got a notification that it was in and would be shipped to me. I noticed the address was incorrect ( old address) so I corrected it. After another week I got a notification that it wo"/>
        <s v="I just ordered from PetFlow for the first time and had a great experience. The food I needed was in stock and I was able to get a discount as a first-timer. The package arrived promptly. I have no complaints!"/>
        <s v="Good selection, prices and delivery."/>
        <s v="Love, love PetFlow. They had my cats food in stock when NO another vendors have it and shipping is fast. Thanks again PetFlow for keeping my cat happy!"/>
        <s v="I was grateful to find Petflow because they were the only company online or in store that had stock of my furboy's prescription food. As a pet parent, I was panicking. They handled contacting our vet for the prescription &amp; had the food to us within a week"/>
        <s v="Well considering i only got part of my order and nobody knew where the rest of it went and they had to reissue it. As well as it being prescription food... AND first time ordering with company.. Id say.. It didn't go well."/>
        <s v="Had competitive prices with other on-line retailers. Customer service prompt and pleasant when I called with a question. Fast shipping, all as expected. Had products when other on-line retailers were out of stock."/>
        <s v="Easy ordering...love getting the discount - really helps in this day and time.. Please continue offering more higher discounts and customers will choose you every time. Shipping was quick.. Great packaging... Thanks"/>
        <s v="Great prices on Fromm dog food! Fast delivery!! On a great product!!"/>
        <s v="I have shopped PetFlow for years and have always gotten accurate orders, fast shipping, and very good prices...especially with autoship."/>
        <s v="I didn't get the flavor cat food I ordered - it's my cat's favorite, and the reason I ordered from you."/>
        <s v="I have ordered from them only a couple of times but I received good service and a timely delivery"/>
        <s v="Great service, fast delivery :)"/>
        <s v="Petflow shipments are ALWAYS late. will not be ordering from Petflow anymore."/>
        <s v="Always helpful customer service, I've been with them for more than ten years. Much easier than schlepping to the store every month to buy their food, I have five doggies."/>
        <s v="Price is reasonable. Slow on shipping and several of the cans were dented and caved in so will check careful for leaks before I feed my dogs."/>
        <s v="I love the service. It’s so quick and every order is always correct👏"/>
        <s v="Pet-flow since they came online has been an important part of my supply chain.&#10;Reliable - good prices - helping animals&#10;Thank you"/>
        <s v="Excellent service. Thank you."/>
        <s v="PetFlow took care of my request and shipped my order rapidly. This was much apppreciated."/>
        <s v="Great product Fail on FedEx ground delivery&#10;Driver didn’t delivery on first attempt drove past my house… need to address this"/>
        <s v="I was truly in a bind trying to get prescription cat food fast for my cat with a newly diagnosed urinary tract disease. The gentleman I spoke with over the phone was compassionate toward my situation and genuinely helpful in quickly getting my prescriptio"/>
        <s v="PetFlow has been excellent with every order I have placed. I will continue to use this company and products."/>
        <s v="Usually a 5. This was only a 4 as one of the cans was dented."/>
        <s v="Petflow carries the brands of foods I use for our cat &amp; guide puppy in training. Our Guide Dog School likes us to use Fromm Family foods. Fromm is made in the USA . Fromm brand is not carried by many stores or on-line shops, Auto ship helps me be sure not"/>
        <s v="Fast Shipping! New customer very happy, Auto-Ship prices are very good!"/>
        <s v="Competitive pricing, dependable shipping, and carries prescription food at better prices than the vet's office offers."/>
        <s v="First time using this business and it was a very positive one. I ordered a large bag of Victor dog food and it was delivered very quickly. Will use them again!"/>
        <s v="Very helpful and extremely friendly."/>
        <s v="The only place I can consistently find my dogs brand of food. Easy to ordrr and fast shipping. Prices are reasonable as well. With auto-ship the prices are even better!"/>
        <s v="I purchased Science Diet Wet Puppy Food for my new puppy and he refused to eat it. I contacted customer service by email and explained my situation. That same day I received notification that I was being refunded my purchase price.&#10;That is excellent custo"/>
        <s v="I purchased an item online, said only two left, I ordered two. Got an email the next day they were our. What’s the point of having an inventory notice online if it’s not accurate and other orders are allowed the product you just paid gir. Disappointing!"/>
        <s v="Horrible buying experience. I will never buy it from you guys again"/>
        <s v="Wow Customer Service Fast and Genuine - but this is also a rare company that gives back in amazing ways. Sure they are smaller but thats where usually the care, happens. Thank you PetFlow!"/>
        <s v="Since there is a shortage of my dog's prescription diet, I called several times to get information on delivery.Every time, I had a helpful and friendly employee on the phone.They understood my concerns and did everything possible to help.My pup got his fo"/>
        <s v="I would give it 5 stars, except that the flap doesn't quite close. Otherwise it is a good door for the price that allows my 9-year old Great Dane not to have to stoop as much as he goes through."/>
        <s v="Easy to order and at a great price. So impressed that I chose to have a standing order for our beautiful Breezy."/>
        <s v="Quick response time and friendly customer service."/>
        <s v="I like that Pet Flow is accurate with the information they share with me and the options I have with my orders. That's really important to me. I'd also like to ask that the DM food I get from now on be the &quot;savory select&quot; cat food instead of the &quot;pate&quot; wh"/>
        <s v="Happy with the product however when I ordered it said it would ship immediately and 2 days later it finally shipped. I needed the dog food and with that 2 day delay it made me go purchase a smaller bag to get me through."/>
        <s v="Very easy online ordering and pretty fast delivery. I’m not able to purchase Fromm Dog food where I live. I actually found PetFlow on Fromm’s website."/>
        <s v="Very fast delivery"/>
        <s v="I ordered the dog food on March 5th. Still waiting delivery. It's been almost two weeks. My orders from Pet Flow in the past have been delivered quickly."/>
        <s v="Shipping takes too long. But I can deal with that. What is unacceptable is when you have items listed “in stock” when you really don’t. Specially when it comes to items that need a veterinarian prescription. I DON’T CARE how big of a company you are. That"/>
        <s v="Very easy to order. Prompt delivery of product ordered."/>
        <s v="My order arrived in a timely manner, beautifully packed with recyclable materials. I received discounts that compare favorably to other on-line pet suppliers. I wanted to order Fromm products, and Fromm's family-owned company will only sell through certai"/>
        <s v="Pet flow was willing to sell me a product they did not have in stock. Pet Flow said that the manufacturer, Hills Science Diet, had the pet food in their warehouse. I telephoned Hills Science Diet and they also report not having the purchased cat food in s"/>
        <s v="In my last order for dog food to PetFlow the order was first just later than expected. When I called up customer service, I was told that orders were piling up at PetFlow, but that the order would be given an &quot;expedited&quot; designation by the customer servic"/>
        <s v="Best company ever! I've used them for years. They're dependable, and refund your money if your dog reacts badly to a new food or treat, etc., or if a treat they sold has been recalled by its company, (which is not PetFlow's fault). Their prices are even l"/>
        <s v="Great service. Arrived quickly and got exactly what I ordered."/>
        <s v="My dog loves this dog food and it was very quick getting to us. Thankyou"/>
        <s v="Product almost always in stock, good variety of the brands my dogs use. Quick delivery but the packaging always arrives damaged. Likely because it’s just too heavy."/>
        <s v="I ordered two bags of dog food and it was delivered in a beat up box and dropped 10 feet from my covered porch in the rain. Sure, the seller didn't leave it in the rain but, are responsible for the safe arrival of the package. My star rating is because I "/>
        <s v="I've been buying from PetFlow for years and I'm very happy with their products and prices. The only issues I ever have is with the delivery companies CONSTANTLY changing the delivery date. Otherwise I LOVE PetFlow!!!!"/>
        <s v="Service was good and efficient, price seems a bit high...44 pound bag of dog food was twice the price I would have paid for a 50 pound bag at Walmart, but with transportation down would order again"/>
        <s v="PetFlow always comes through for me! No complaints!"/>
        <s v="Perfect timing to get my prescription food for my kitty"/>
        <s v="Until now, I have had no issues with PetFlow - order food for dog - dog food delivered promptly.&#10;&#10;This time, I ordered the dog food as usual, and have waited, waited waited for it to be delivered. Three days after getting this request for a review, I have"/>
        <s v="This is the only place that has my dogs treats. Customer service has been great with changing a delivery date due to weather and checking on expiration dates."/>
        <s v="You got always what I need for my pets and more. And the shipping is always on time!!🤗"/>
        <s v="Super slow at shipping. That makes me not use them often"/>
        <s v="Excellent service delivery etc! I love PetFlow!!"/>
        <s v="Im so happy to have found you! You will have a customer for life"/>
        <s v="My box was damaged along with the contents inside. I emailed explaining what happened and was not satisfied with the customer service. Will never be ordering from PetFlow again and will tell everyone I know not to. Horrific."/>
        <s v="fast excellent service"/>
        <s v="Good prices and fast delivery! I will continue to order from you all and recommend your site!"/>
        <s v="I placed my order and then called toMAKE SURE that the product was in stock. I was told the product I wanted (24-5.5 oz can) was not available but they would change it to the 12-12 oz. cans. I told the gentleman that it wasn’t my first choice but if he pr"/>
        <s v="I love Petflow. Shipping is fast, customer service is great and i especially love the fact that they feed shelter animals every time you make a purchase!"/>
        <s v="Excellent service, dependable"/>
        <s v="We are very happy with PetFlow. They always have exactly what we need and we receive all products in a timely manner."/>
        <s v="With Petflow I have been able to find good, quality pet supplies at exceptional prices and I usually receive my order the next day. I have no complaints."/>
        <s v="I contacted PetFlow about getting food for my dog. The representative had the information already on file and was extremely helpful. She notified me of the automatic refills and I received the food after three days. Very efficient and I would recommend th"/>
        <s v="Product was great but delivery took 4 days. To long for the premium price"/>
        <s v="You usually deliver quite quickly but this took a week. In addition, there was just one sheet of brown paper and many of the cans were dented."/>
        <s v="Real quick in shipment and correct item,resonable price."/>
        <s v="I've always had good experiences with Pet Flow. But the last order had some issues. A bag of dry dog food had a hole in it, and some of the cans were dented pretty badly. Well, I contacted their customer service and they sent out a completely new order fo"/>
        <s v="3 times I have ordered from your company, and each time the shipping has not been what was stated. It has each time shipped later than the stated ship date. When I would inquire, there would be &quot;excuses&quot;. Your prices are the same as competitors, but their"/>
        <s v="The PetFlow folks are always helpful! Great products for my animal kids! :) Thank you!"/>
        <s v="Would not accept a copy of the prescription for medications. Wanted it MAILED! Caused further delays. Other online firms don't require this."/>
        <s v="I am very pleased with PetFlow ... the pet food I was needing was not in stock at a local big box store that normally has the best price. PetFlow had it in stock, smaller poundage, however with their $10 off first 5 auto-ship orders, I was able to get mor"/>
        <s v="Had the products I wanted and received items quickly."/>
        <s v="Timely delivery and had my cat’s prescription food when other vendors did not."/>
        <s v="I did not hear from Pet Flow quickly that they could not fill my order of specific dietary cat food, but they cancelled my order and I believe will not show on my credit card. I understand there is shortage of pet food right now, but their website said in"/>
        <s v="I ordered a food which my pets really need since it is prescribed. It was out of stock, but I wasn’t told promptly. I had to contact support to learn they were out and planned to cancel my order days later ."/>
        <s v="Great products, fast shipping."/>
        <s v="Excellent product quality; very professional customer service; prompt delivery"/>
        <s v="I love PetFlow. They feature my dog's brand of food, which he has eaten since birth (Fromm), as well as a good selection of treats and toys. Ordering is a breeze online, and the deliveries are prompt (even with all the delays in the supply chain and deliv"/>
        <s v="My dog was given dry dog food, canned dog food and Pet Flow dog food, all at the same time. He rooted around until he found the Pet Flow; That is always his first choice. He loves it"/>
        <s v="Outstanding company with great service, prices and fast shipping."/>
        <s v="They always seem to have our dogs food, whereas as certain stores rarely do, and I’m continuously told that it’s all due to COVID. which I’m sick of hearing. Yet, PetFlow always comes through, which is why I’ll continue to purchase our dogs food through t"/>
        <s v="I feel that if you sent the prescription authorization for all 10 bags of food to my vet they would of be authorized. By sending over a script for 2 bags then another for the remainder bags caused a problem and 2 script was denied for being a duplicate."/>
        <s v="My products were delivered in a timely fashion and no damage to any of the cans."/>
        <s v="Great deal, kept me apprised of the status, and arrived as promised."/>
        <s v="I have been a customer of PerFlow for years. Always happy with the products they carry and their Customer Service department."/>
        <s v="I was waiting for my order on 3/02/22, shipped on 2/24/22, delay in Arizona, delay in San Diego 3/05/22, delivered on 3/06/22, I don't know the delay problem.&#10;Felipe Lopez"/>
        <s v="Website is ease to use, service has been good, prices reasonable."/>
        <s v="excellent prices, fast shipping. Thank You!"/>
        <s v="Received fast shipping on product and prompt and courteous customer service from Petflow reps."/>
        <s v="PetFlow had the food that I needed for my dog in stock and less than 24 hrs of placing the order, my vet sent in the script and the food arrived within 2 days. Int was great ti be able to find the food that was hard to find on other sites."/>
        <s v="Excellent customer service. Great and fast shipping. Very pleased."/>
        <s v="We have used PetFlow for dog food purchases for about a year. Everything about the service was great. However, my low rating is based on the Customer Service interface on their website. I discovered I can buy the product cheaper locally, and tried to canc"/>
        <s v="The Beef Pizzle Steer Bully Sticks Dog Treats gave both of my shih tzu's terrible diarrhea and I only gave them a small piece."/>
        <s v="I have ordered online for the convenience, but your delivery company has made it inconvenient. I am sorry, but trying to carry a large heavy box from my condo mailboxes to my unit so it is not stolen is too difficult. My daughter will pickup the food at h"/>
        <s v="Easy to order and find items on your web site. Fast delivery and friendly help."/>
        <s v="Great prices, dependable, free shipping!"/>
        <s v="My dog food arrived quickly and was just what I ordered. will use pedflow again. Thanks"/>
        <s v="I ordered an &quot;in-stock&quot; item which took two weeks to receive and then it was the wrong item!! First and last time ordering from this company"/>
        <s v="They had the food when no one else did and shipped it quickly. Happy Customer"/>
        <s v="Fast delivery of the perfect puppy food for my little baby! Going to order some more puppy treats so glad to offend you all"/>
        <s v="Delivery is a little slow. I sent coupons to you but they were never applied to my account. They should have been sent back to me. That’s bad business!"/>
        <s v="The prices are comparable to other sites but PetFlow offers coupons and deals that keep bringing me back to shop here. Shipping is fast too!"/>
        <s v="The lid on my automatic dog feeder and water combo was broke when I got it"/>
        <s v="It was easy to place my order, and delivery was in a timely manner. I will order again from PetFlow!"/>
        <s v="With shortage of pet food currently challenging all pet owners, I appreciate your quick shipping policies. I realize that it is hard to keep stock on hand and you certainly helped us secure supplies for our 2 cats. Thanks for the prompt service and we loo"/>
        <s v="Prompt when shipping items in stock. Not so prompt in communicating when items are back ordered. And the website shows them still in stock. I placed an order my vet approved February 15. I checked on it February 22 and was advised the WET food was cancell"/>
        <s v="Packaging was poorly done on feed bags, needs to send in stronger boxes"/>
        <s v="Everything arrived in good shape, happy with my purchase."/>
        <s v="Great products and fast delivery. Recipe for success"/>
        <s v="It is helpful to have pet food delivered. Pet flow gets my order correct and it comes on time. Thanks."/>
        <s v="Thanks for having the food I wanted when no one else did. Quick delivery too!"/>
        <s v="Always reliable for stock and fast shipping"/>
        <s v="My order was shipped fast, well packed&#10;It was here in a timely manner. Very pleased with transaction. Will buy from again. H."/>
        <s v="Shipping is too long and items aren't shipped together"/>
        <s v="Great first time buyer experience, delivered in a timely manner and in good condition."/>
        <s v="Great customer service, easy online ordering, prompt action and delivery. Thanks PetFlow"/>
        <s v="For years I have been happy with Petflow."/>
        <s v="PetFlow prices are very competitive and their shipping speed is excellent. I had a question once and received a reply within MINUTES, not hours or days, like some other companies. Very pleased with PetFlow!"/>
        <s v="What a GREAT Company! Fast shipping, great products! When I searched MANY sites for my cats favorite brand (with no luck), I found PetFLOW, very happy I did. Would highly recommend."/>
        <s v="Some cans were damaged and dented. It would be good if the products are in good shape prior to shipping."/>
        <s v="I was so impressed, the package was delivered within just a couple of days. Impeccable execution!"/>
        <s v="Not happy back order food, reordered and delivered without the discount. Thinking about switching to Chewy."/>
        <s v="Hard to give a review when I haven't received my order yet, because it has been delayed 3 times. I know that times are hard for a lot of companies so I'm going to keep my fingers crossed and hope the cat food gets here before our cats eat us ..."/>
        <s v="Quality Dog Food, Good Prices, Fast Delivery"/>
        <s v="They always have what I need in stock at reasonable prices and I usually receive my order within a week. Great customer service too."/>
        <s v="Love it. Great place to shop"/>
        <s v="Every time I reach out to PetFlow, they resolve an issue almost instantaneously. My cat food cans came completely dented and partially opened, they replaced all of them quickly; my $10 off coupon didn't go through, they credited it immediately. Their cust"/>
        <s v="The cat food I bought to help my cat lose weight is inferior to Purina products in every measurable metric. These varieties contain ingredients that should never be fed to a cat."/>
        <s v="Great service, great quality, great prices"/>
        <s v="The Instinct dog food is great. Howeer the Fedex shipping sucks. The package sat on the truck for 2 days being listed as out for delivery, as common occurrence. I would order from Petflow more if they did not use Fedex."/>
        <s v="When I order my food is always delivered very quickly without any delay or problem. We have been getting our two dogs food from Petflow for years now and are very happy with the service we have received."/>
        <s v="I really enjoy PetFlow! You have all the dog food products I need, &amp; it’s delivered in a very timely fashion."/>
        <s v="I wish you could get expiration dates on products before they ship especially on auto ships?"/>
        <s v="As a new customer with 4 cats and a feral family of cats I've been pleased with the product selection and the timely shipping. Thanks!"/>
        <s v="My first order and it was easy and arrived quickly."/>
        <s v="Great customer service over the phone as I was concerned About being out of food and they were receptive and put the order as a STAT order."/>
        <s v="Very happy with the delivery process and how fast it arrived."/>
        <s v="A year ago I would have given you five stars, but in the last two months, or maybe three, you have not been able to deliver the kind of pet food my dog eats (Honest Kitchen turkey or chicken), and the last time I ordered Stella's beef, you sent only a ver"/>
        <s v="I am very satisfied, fast delivery, discounts ..."/>
        <s v="Great prices, communication, and follow up. Always a pleasure to do business with."/>
        <s v="Thank you so much for getting Charles his food so quickly. He's had Pancreatitis for almost a year which means he is on a very strict diet of prescription foods only. I order on Monday and you have Charles his food by Thursday, Friday at the latest. Thank"/>
        <s v="Easy to place an order and quick and timely delivery."/>
        <s v="Fast and easy!! Helpful customer service and great products"/>
        <s v="Fast delivery and quality product. Damage that required disposal of some product but unclear if result of shipper or not."/>
        <s v="Appreciated the quick turnover and delivery of y prescription dog food and the good communication about timing"/>
        <s v="Good price - fast shipping."/>
        <s v="I like the decent prices and fast delivery. However every package arrives damaged everytime. The contents are often damaged too. They would get a higher rating if that is remedied."/>
        <s v="For the last three shipments, it ran into several issues.&#10;For various reasons, my shipments were delayed.&#10;I no longer can rely on the fact that my dog's food will be delivered in a timely manner.&#10;I am looking into over options"/>
        <s v="Great selection, Received everything quickly, on time and as ordered."/>
        <s v="Two month's in a row they messed my orders up so bad I had too buy dog food to get them through until delivery. It caused my dogs upset tummies. Loose poo and itching doesn't make them, or me very happy.&#10;&#10;I have had issues before but this is the last time"/>
        <s v="Got the prescription promptly after poor start. Now all is well! Good service fixing the early problem."/>
        <s v="I cannot give a review as yet because my product has been back ordered for some time. I am a first time purchaser at Pet Flow and found the website to be easy to navigate. I browsed through the site and found so many good products ... products I will defi"/>
        <s v="Great Service ! Fast Shipping !"/>
        <s v="I was pleasantly surprised at how quick I received it."/>
        <s v="I love ordering from petflow for all my pets needs! Dog food, cat food, treats and anything else that my pets need... I love that they are a small business and they have great customer service and always keep everything I order fresh!! I have been buying "/>
        <s v="Petflow had what I was looking for and at a good price and the shipping was fast."/>
        <s v="It took way too long to receive my order. Chewy does a much better job."/>
        <s v="We received our order on time and free delivery was convenient."/>
        <s v="I LOVE PetFlow! Easy ordering and QUICK delivery! Never any issues at all! So glad I found this company!"/>
        <s v="Love pet flow! Have used them for over a decade. Highly recommend. Any customer service calls are quickly resolved but I have only had 3 the whole time!"/>
        <s v="Customer for years. Pet flow is our favorite dog food center!"/>
        <s v="The price is fair, and delivery was quick."/>
        <s v="The prices are good, shipping was quick, and I was kept up to date from the order confirmation through the delivery notification."/>
        <s v="We and our cats loved all the toys we selected and they arrived safely and&#10;in a good amount of shipping time. Will order more in the future!"/>
        <s v="I’ve ordered twice in the last couple of weeks. Prescription cat food and Nexguard and both times they reached out to my Vet in a timely manner and I received my orders within a few days.&#10;Will definitely use them again."/>
        <s v="Good prices, fast shipping."/>
        <s v="PetFlow maintains a huge assortment of animal foods and provides prompt shipment."/>
        <s v="Was told shipment would arrive in 3-4 days. Was told on fifth day being delivered between 10 am and 9 or 10 Pm. Didn’t arrive until 3 days later and no one worked over weekend to assist me.&#10;&#10;Good prices, bad info. Order well in advance of day needed."/>
        <s v="I changed my address 2 weeks before moving in November, placed an order for 2 weeks after the move, and my food was still delivered to the wrong address. Customer service never fixed it. Placed another order in Feb and it was also delivered to the wrong a"/>
        <s v="Pet flow did everything correctly. Fedex lies and claims they deliver packages when they do not."/>
        <s v="I feed a very good, high quality dog food. I live in a small town and unfortunately the little store where I purchased my dog's food stopped selling all pet products. I was going to have to drive 45+ minutes each way to another city to get dog food. A fri"/>
        <s v="Good selection and prices during a difficult time but I was disappointed that two items I ordered turned out to be out of stock but that was not indicated at the time I placed the order. I only found out later when the in-stock items were shipped and as a"/>
        <s v="Petflow is great. They consistently have my pups dog food in stock as well as some cool toys ."/>
        <s v="Everything is wonderful except for the fact that it’s difficult to cancel reoccurring orders. This shouldn't be made into such a hassle that I have to call for that to be done."/>
        <s v="Happy I made the switch!&#10;&#10;I recently switch from a competitor to PetFlow for all my daily pet needs. I made this switch because their prices were simply better (lower) than the leading competitor for same or similar products. Delivery service is as good, "/>
        <s v="No problem with company but will only ship with FEDEX and Fed-Ex lost my package. SO never received my order from PetFlow and what I ordered has been on backorder ever since."/>
        <s v="Bought a case of cat food from PetFlow, as Chewy was out of stock at the time, and product did not ship for over a week. At the end of the week, I cancelled the order and emailed customer support, which confirmed order would be cancelled. Two weeks later,"/>
        <s v="My order arrived on time in great condition and my pup loves her new food."/>
        <s v="Super easy shipping and processing experience. They contact the vet directly and deliver incredibly quickly."/>
        <s v="Treats were shipped really fast and was a better price and service compared to Amazon."/>
        <s v="Fast delivery, especially good for heavy stuff. I just wish there was a wider variety of cat treats and toys. The dental treat that I wanted to get was sold out, it's been sold out for a while. Hope, it's restocked soon."/>
        <s v="The ease of ordering and how fast my order arrived was awesome!"/>
        <s v="I had the best girl with customer service who was able to secure a nice discount for our auto ship order! Thank you!"/>
        <s v="The system has twice now changed my auto delivery date to a year in the future, making it impossible for me to correct it online and schedule an immediate delivery because I am only allowed to select a delivery date AFTER the last delivery, which accordin"/>
        <s v="Placed my first order with Petflow and had a issue locating my order details. I contacted Petflow customer service and received a a response within 24 hours that resolved my issue. Very impressed with their response to my questions and received my order o"/>
        <s v="I love Petflow's selection and mission. Please try to have your shipping times better reflect how long it will take. With the supply chain issues, it would be better to say a package will arrive later and be happily surprised if it arrives early vs. sayin"/>
        <s v="PetFlow’s shipping was quick and efficient. I love that my order is helping others in need. I’m glad that my pets’ food and supplements are available through Pet Flow. The only thing I ask is to add Merrick Canned Dog food with healthy grains."/>
        <s v="I had a problem and their customer service rectified the problem.&#10;Very pleased with how it was handled"/>
        <s v="Fast shipping, product arrives in great shape no holes or banged up boxes. Auto ship is flexible and ways to edit. Great notifications for shipping and arrival. Always fresh food with good dates."/>
        <s v="Most of the representatives I spoke/texted with, were wonderful. I was disappointed because while waiting for prescription dog food to ship, I was given a few different responses depending on who answered Petflow customer service line.&#10;But now I received "/>
        <s v="Took a little longer than estimated for it to ship, but that's probably the manufacturer... availability being what it is right now for pet food. I am extremely happy to have found another resource for prescription kibble. Fast handling &amp; shipping when re"/>
        <s v="Pet Flow order came even faster than expected."/>
        <s v="I ordered Prescription Science Diet CD canned food. It arrived on time. This is the first time I ordered from PetFlow. I hope to order from them later intime."/>
        <s v="My cat Winnie loves Nutro wet cat food and I was able to find the wet food Winnie loves. PetFlow sent it right out to us quickly. I am Happy I found PetFlow."/>
        <s v="Food is shipped quickly every time and communication is excellent. Wish they'd get rid of the one button in checkout that makes you check &quot;just ship once&quot; every time."/>
        <s v="I have relied upon PetFlow for hard to find foods even from online sources. Their product delivery is fast and reliable. Their website is efficient and easy to maneuver. No problems have cropped up, as happens sometimes on amazon. I have always been pleas"/>
        <s v="Pet Flow was the only place that had the prescription food I needed.&#10;They were very helpful by making my order a critical ship so that I would have the food in time for my pet to be boarded."/>
        <s v="I have been shopping at PetFlow and am very pleased with their products, price &amp; service. They are prompt on shipping and keep you informed if there are any issues with your order. My dogs love the bones &amp; beef tendons."/>
        <s v="Never received what I ordered. 4 days later they told me it was ever in stock. I will never order again from this loser company."/>
        <s v="I appreciated being informed that you were out of an item. I was refunded promptly. I had ordered 2 to take advantage of free shipping. I inquired if I was going to be charged shipping on the one item. It took some time to verify that I wouldn't be charge"/>
        <s v="No complaints. :-)&#10;I got what I wanted, and it came soon."/>
        <s v="This company stinks. I ordered enough to get free shipping. Then they email me and say they do not have the dog feeder that was the entire reason for the purchase. So I ask them to cancel it. It was already shipped, so I ask can I return it , they said ye"/>
        <s v="I ordered prescription cat food said it was in stock but it wasn't after waiting for shipping confirmation that never ca.e. After several emails I was informed that you canceled my order ."/>
        <s v="PetFlow needs some serious work on its auto-ship program. I am supposed to get a shipment of dog food every three weeks. My auto-ship records show my last Shipped: 08/28/2022 and my next Ship Date: 09/19/2022. Considering this is only February, your auto-"/>
        <s v="You provided excellent service. My order was shipped when I was told and it was complete. I will definitely be reordering. Thank you!"/>
        <s v="Fast easy ordering and my dog loves the food."/>
        <s v="PetFlow is a wonderful place to get everything for your furbaby. Their prices and stock are superb and they ship immediately. I’m so glad I found them."/>
        <s v="We’ve ordered from this company many times and have only had one issue which was out of their control. Canned food arrived badly dented but Pet Flow immediately issued us a replacement. Other than that, their delivery service is fast and good. I would rec"/>
        <s v="I reached out to customer support. They responded very quickly and were very helpful and easy to work with."/>
        <s v="I have not received my order and have not heard back from Petflow."/>
        <s v="You had the prescription food I needed when no one else did - thank you!!"/>
        <s v="I texted Petflow with an issue I was having with my account. They contacted me shortly afterwards, asked for my email address associated with my account, and fixed the issue within minutes. The associate who helped me was polite, informative, and a pleasu"/>
        <s v="Shipment Was MUCH FASTER than Chewy within my own State whose ship center is Only maybe an hour away from where I live!!! THANK YOU as I had ran out of food for my dogs, and this shipment was well packaged And Super Fast!!"/>
        <s v="I adopted a special needs cat, and we rely on Hill's Prescription Diet Digestive Care canned food. He came to me with a 48 can supply, and it works really well for him to maintain his weight and keep his tummy happy. It's the only food he can eat without "/>
        <s v="On time when product is available"/>
        <s v="Great product but I knew that glad I could get it delivered.seemed almost twice as expensive as my local source"/>
        <s v="Great shop,low price,fast delivery."/>
        <s v="No issues, order was received quickly except for the Bengals shirt, wasn't in time for the game but understand it."/>
        <s v="Great deals on dog food with quick delivery."/>
        <s v="This was my first order and was pleased with the entire experience!&#10;Looking forward to ordering when I need food again!!"/>
        <s v="I ordered the Van Ness medium crock heavyweight dishes. The dishes were delivered in a timely manor and in excellent condition. The price was outstanding, we are very happy with PetFlow and will order again."/>
        <s v="was disappointed in how long it took my order to get here."/>
        <s v="Petflow was efficient with excellent customer service! Will continue to order from this fabulous pet source!!!!"/>
        <s v="My order never arrived. Fed Ex said it did but there is no 30 pound box of dog food anywhere."/>
        <s v="By requiring our vet to set up an account with your company, you made it impossible to purchase our cat’s prescription diet. So we went with another company that easily connected with our vet and got the job done. Your customer service was friendly and ea"/>
        <s v="I have had my dog food delivered by PetFlow for several years. All was good until the last 3-4 mo. of 2021. My orders were delayed to the point of having to go to a retail store and purchase dog food on 4 occasions. One order was 20 days late. Thankfully "/>
        <s v="Very angry with you, because I could not buy the food for my puppy, since you asked the veterinary clinic for a code in the mail that you sent, and they did not know what the code was, I hope that in the future you will cause fewer problems and help more"/>
        <s v="Pet Flow never disappoints me or my fur babies! My orders are sent quickly and always correct. Rarely do I have to call customer service and only if I need to make a change to my auto orders. I am a very loyal customer and don't plan on changing! ❤"/>
        <s v="Easy ordering quick delivery. Makes it so easy thank you"/>
        <s v="I ordered a product&#10;&#10;There was some type of glitch in my credit card process&#10;Waited and waited for the delivery&#10;&#10;Finally called and then was told of the issue.&#10;&#10;No email&#10;No notifications&#10;&#10;Just left in the dark&#10;&#10;I ran out of dog food for my dog while at my"/>
        <s v="This was my first order with PetFlow. They had product in stock that I couldn’t find elsewhere. And they shipped fast. Very pleased."/>
        <s v="With the problems today about getting pet food it is reassuring to me that when I order food for my cat or dog it is never out of stock. Well done and thank you!"/>
        <s v="The site shows in stock when in fact it is not.&#10;When you call customer service they tell you it was just purchased &amp; it’s now unavailable&#10;Yet a few days &amp; now weeks later it still shows it is in stock&#10;This place cannot be trusted"/>
        <s v="I’ll have an opinion when I confirm the “new” bag my dogs food came in. And more often than not, the bags are sliced/ripped open slipping in the box they’re delivered in resulting in having to get a new bag which costs your company more money. Your staff "/>
        <s v="Use a different shipping company. Took 7 days to get to me !"/>
        <s v="My cat had emergency surgery for bladder stones. I had to immediately switch his food and everything was prescription level. I couldn't find it anywhere locally. This happened over the weekend. The price from pet flow was among the lowest I could find if "/>
        <s v="The shipment was packed the best that I have seen. No bent cans. Package was far better than other vendors that I have bought from."/>
        <s v="I have been using auto ship with this company for quite sometime and have liked the product for my dogs. Recently tho the food we choose has been out of stock and this disappointing. Hopefully this will be in stock again soon!"/>
        <s v="My Papillons love Fromm Duck &amp; Veg. I mixed it with their old dry food &amp; they would sit &amp; pick out the Fromm Duck."/>
        <s v="The order was filled as promised. I ordered aquarium supplies (Gravel and lighting) and arrived as ordered. Shipping was a little slow, but there were delays due to weather from FedEx. The New Jersey warehouse was out of one of the items I ordered, but qu"/>
        <s v="PetFlow provides everything I need for my senior dog, Nora. Prices are competitive, items are in stock, quick delivery and outstanding customer service. We are happy and loyal customers."/>
        <s v="I ordered cat food.&#10;The order didnt go through - PetFlow said that the vet didnt think they were a reputable vendor.&#10;Never heard that before..."/>
        <s v="Have been using PetFlow for years.&#10;&#10;Love the price and free delivery. Phone staff are always friendly. Products are what I want for my furrbabbies.... Usually get them a toy. Great selection."/>
        <s v="Website listed my cat's prescription cat food as available, so I ordered it. Several days later, I receive notice that it is out of stock. So now my cat has to go a few days without her prescription cat food. This was my first time using your company, and"/>
        <s v="Very nice company to work with. :)"/>
        <s v="I was very pleased with the order that I received and how promptly it was delivered and I certainly recommend this company for your pets food. Ordering online was very simple and I'd say I received my shipment within maybe less than a week after I placed "/>
        <s v="Available inventory and good pricing made this the go to choice to feed my pets."/>
        <s v="I like shopping at Petflow, have been doing it for over 4 years and like ordering Nutrisource dog food since they are probably the only ones that carry it online. Lately I've been taking advantage of their 20% discount on Nutrisource but on the negative s"/>
        <s v="You had my hard to find food&#10;I like your tracking method&#10;Arrived timely"/>
        <s v="Lady who took my order was very professional, knowledgeable, helpful and caring. She placed my order fast and without any trouble. Great experience."/>
        <s v="The one thing about PetFlow is they just get it done. You order your product you get instant verification and confirmation to your email and then when shipped you get the tracking number along with any updates from the carrier that might come up. This is "/>
        <s v="I shopped online for Royal Canin Digest Sensitive Cat Food and your website showed you had it in stock. I placed 2 orders each for 24 cans within 5 minutes of your website updating that it had stock. Your email confirmation stated that the first order wou"/>
        <s v="Great company. Product arrived quickly and not damaged. I am a very happy customer."/>
        <s v="Very fast and accurate delivery.&#10;Thank you,"/>
        <s v="Good price, quick delivery, good product"/>
        <s v="They have the food I want for my dogs and it arrives quickly."/>
        <s v="I just want to share a WOW from PetFlow. I received the collar I purchased but the release button was so difficult to open that I called to ask if easier to just buy a new one or replace it first. The guy was sooo nice he said &quot;no that’s fine we will ship"/>
        <s v="Everything is always prefect. Packaging and shipping is great."/>
        <s v="Love Petflow. They have the Fromm brand I want which is hard to find for delivery.&#10;&#10;I sometimes wish packages would come quicker but last delivery was faster than previous.&#10;&#10;Good prices. Easy checkout process. Like that they save previous orders. I don’t "/>
        <s v="My first time using g Pet Flow. Very pleasant experience."/>
        <s v="Have a good product selection....prompt delivery and give discounts for long time customers. Thanks."/>
        <s v="Transaction was perfect. Ordering was easy. Shipping and handling was completed in a timely manor. Order was received as ordered. Henry was thrilled with a new ball. Pleasant surprise."/>
        <s v="Excellent service. Arrived quickly and very healthy dog food."/>
        <s v="Excellent shipping. Excellent packaging. Competitive prices. Easy ordering."/>
        <s v="They have a great selection of foods, I love that they help pets in need and they offer rewards for referrals."/>
        <s v="Excellent source for my sweet frenchie’s needs. Wonderful customer service! They very quickly replaced 2 cases of canned Fromm's that were damaged in shipping. And I enjoy looking thru the site to find special treats and maybe ANOTHER toy 🤣🤣🤣"/>
        <s v="PetFlow had the brand of dog food I needed and it arrived in 2 days! Your online ordering was quick and efficient. Keep up the great service!"/>
        <s v="Wonderful company. The shipping time was super fast and the customer service team was very helpful. I had an issue with my order and when I called customer service they were quick to help solve the issue. I have never used petflow before but I will stick "/>
        <s v="Excellent Transaction!"/>
        <s v="Your company sucks I'm never buying any thing from you again ."/>
        <s v="Cat food in stock! Quick shipping, everything in good shape."/>
        <s v="I am very happy with my order from Petflow. I found cat food on their site that I was unable to find any where else. It was shipped quickly. Great place to shop for pets."/>
        <s v="Super fast shipping and easy to deal with. Processed my dogs prescription food fast with a straightforward process. Switched from Chewy who were awful to deal with."/>
        <s v="I have had a very hard time finding taste of the wild wet dog food anywhere for my dog and pet flow had it. I ordered it and they sent it right out. Their site was easy to use and the ordering process was easy as well. I will be using pet flow again"/>
        <s v="Petflow has been charging me for dog food they couldn't source. They charged my credit card for two bags of dog food but only delivered one. I had to call monthly to get the refund after showing them the shipping weight did not equate to the 2 bags, but o"/>
        <s v="Pet Flow is doing an excellent job of coping with the shipping issues generated by the pandemic. I appreciate that you keep me informed about my orders and shipments as you deal with events that compact my order. It enables me to plan for our pet needs. T"/>
        <s v="all are OK, thank you."/>
        <s v="I am so thrilled with the fast delivery and awesome service. Thank you for the great job"/>
        <s v="As a new customer to Petflow, it is worth nothing that their website, prices, and delivery was outstanding and exceeded my expectation. Thank you."/>
        <s v="Excellent service. The price was right and the delivery was super fast."/>
        <s v="Hello&#10;What a difficult experience... Ordered Rx food for a very sick kitten on January 25 th, then reached to customer service on the 28th to enquire about the timelines, for a local store was out of stock, and was running out of food for the kitten, then"/>
        <s v="Freeze dried dog food if handled wrong will arrive as powder. Order arrived next day in excellent condition. Thank you!"/>
        <s v="I've used PetFlow for a number of years now and have not been disappointed once - even during the crazy shipping times of covid. Their site is easy to shop and they provide me with lots of flexibility when I need to adjust my standing dog food shipment. I"/>
        <s v="Easily found the dog food I wanted! Many other sites and All local stores were out of the Royal Canin Yorkshire Terrier Loaf in Sauce that both my daughter and I feed our Yorkies! Not only did you have it but the delivery was exceptionally quick! Even ahe"/>
        <s v="Finally found a store that has my preferred dog food in stock! Thanks for your prompt service!"/>
        <s v="1. Wish you had a place where buyers could communicate with shippers upon purchase on where to place packages. Shipper left package out on stairs in full view of potential thieves. Packages need to be placed inside of my 3 ft. gate at front door.&#10;&#10;2. Seve"/>
        <s v="Petflow online shopping is a great way to shop. We live in a rural area not a lot of places to shop. At Petflow I can get Fromme pet food for my pets to eat healthy. I also can get healthy treats for my pets, if not for pet flow online I would be driving "/>
        <s v="THESE TAIL WAGERS ( beef rib bones ) ARE SO LOVED BY MY DOGS BUT I AM ONLY ALLOWED TO BUY 6 AT A TIME WHICH I DON'T LIKE BUT THEY ARE WAY CHEAPER THAN PUBLIX WHICH IS WHERE I WAS BUYING THEM. I WILL CONTINUE TO PURCHASE BECAUSE THE DOGS LOVE THEM BUT I MA"/>
        <s v="Price was good, shipping was good, but one bag of rabbit food (out of about 6 identical bags in the order) was not rabbit food but Hampster food. To their credit I did not pursue this or notify them of the problem. Just wasn't worth my time. I need things"/>
        <s v="Repeat customer - love them"/>
        <s v="It is so nice to have a reliable way to get what I need for my cat!"/>
        <s v="first order and didn't have any difficulties or problems."/>
        <s v="I ordered treats for my fur babies. I got a great price on them. This was the first time I had ordered. Got the treats in a few days.. Best service. Thank you"/>
        <s v="Product was on time buy packaging was smashed. You need to strengthen you packaging."/>
        <s v="Enjoyed the prompt service. Will use them in the future."/>
        <s v="I’m happy they had the product I need, and that they’re willing to do the AutoShip. The only thing is that I requested for it to be delivered by the 4th and now it’s going to be five days late so I had to go somewhere else and pay full price in the interi"/>
        <s v="Delivery is always super fast and much appreciated."/>
        <s v="prompt service and competively priced."/>
        <s v="Paid for order to only be refunded days later as it was not in stock. Though it is not the fault that dog food companies cannot get the ingredients to make the food; it is Petflows fault that the food appears on the website as being in stock when it is no"/>
        <s v="Ordered 3 products. Two were out of stock. I contacted Petfllow multiple times to cancel the two out of stock products. One cancelled correctly, but the other already shipped so I received a $20 off inconvenience discount on it. Then after all that, two o"/>
        <s v="I ordered prescription dog food and it was listed in stock. Placed the order and sent in the prescription to the email listed. Two days later got an email saying they were having difficulty getting the prescription. I sent it again and they confirmed rece"/>
        <s v="Local vets out of prescribed cat food . Could not find any anywhere on line either even with a popular and well known pet supplier. Accidentally found Pet Flow and they had the food out cat needs. They got the prescription right away and processed I sent "/>
        <s v="Items shipped wrong twice! Customer Service promised to let me know if the items were discontinued or if they were going to replace them (yet again), and never emailed or called back. Terrible Customer Support. Still haven't been credited back for my item"/>
        <s v="Quick service n delivery.."/>
        <s v="Items arrived promptly. I'm very pleased they offer bones made in the USA which my dogs love."/>
        <s v="I would have preferred to get my items a bit sooner as I have from other pet vendors. I also wish I could get the grain version of Honest Kitchen's base mix. I had to go elsewhere to do so."/>
        <s v="We started using pet flow a year ago to order pet treats.Our regular place was out of stock, so I searched around &amp; found Pet Flow.They are better priced and price doesn't go up and down constantly.Super easy to order but if you need to call,customer serv"/>
        <s v="I have 4 macaw parrots so the A&amp;E toys I ordered are the same quality I have ordered for 2 years now from other companies. Price was reasonable and shipping time very reasonable. Plus I paid no shipping costs. Will definitely order again in a couple month"/>
        <s v="Very easy to use and very fast shipping! Thank you, I will use you again for my future orders."/>
        <s v="From start to finish, my order was handled with professional ease. I will continue to purchase from PetFlow!"/>
        <s v="I ordered puppy food through petflow because it was the only place beside Amazon that I could get it. I was getting a new puppy on Tuesday and I chose petflow because it said one-day shipping. I didn't choose Amazon because there's was two-day and I neede"/>
        <s v="I recently ordered 15 pounds of kibble, it was delivered quickly, and the next day I found out my puppy had some dietary restrictions. I contacted PetFlow and they were very helpful. I was able to return the unopened bag and receive a full refund! I am so"/>
        <s v="I have ordered from Petflow almost 10 years! The service and prices are wonderful!! Your staff is so responsive and knowledgeable!! Best quality of products! Would never use anyone else!! I’m a true fan!!"/>
        <s v="The right products, delivered on a timely basis, and in good shape!"/>
        <s v="The reason why I did not give 5 stars because it’s not vacuum sealed I guess for easy stocking of the product but it won’t be fresh anymore! Who ever is I charged of the stocking the product put a pin hole in each bag. Tell me if I’m wrong."/>
        <s v="Very happy that what I need for my dog is in stock, and it ships in a timely manner.&#10;Thank You&#10;Jean Havens"/>
        <s v="I signed up for the automatic order, to find this dog food my dog would eat, that according to reviews was healthy (Friday, January 21, 2022, 10:27:02 AM EST, Pet Flow wrote: Order received order 9788976 ) . My order did not get a tracking order at first,"/>
        <s v="I placed my order 11 days ago, I still have not been advised when it will be shipped."/>
        <s v="My order was canceled and no one bothered to tell me.... first time trying to order ... not happy with this"/>
        <s v="I found Petflow after searching high and low for the Royal Canin PV wet cat food when the company I usually buy from was out of stock. Due to the nature of the situation with our cat, it was very important we located this food, and thanks to Petflow and t"/>
        <s v="Sent me the wrong product twice in a row. Customer service was great in apologizing and refunding my payment after two wrong shipments, but I shouldn't have to go through calling them twice for a simple order. I think they need to educate their warehouse "/>
        <s v="They carry the Fromm food our jack russell terriers love. Great website, easy to find what we want. Reorder function makes shopping easy. Orders ship quickly. Been using this site for several years and we are very happy using."/>
        <s v="Absolute scam of a company. Twice now they have sent an auto-ship that I had paused and charged me. Then when you call they want you do go and ship it back to them, for their mistake instead of sending someone to pick it up.&#10;&#10;Also, you can't cancel auto-s"/>
        <s v="I was running really low on my dog Pete's dry food.&#10;I could not find Royal Canin Adult Bulldog food anywhere over the last month. Even my automatic delivery sevice was out of stock.&#10;I looked online and Petflow had it in stock!! Yippee!&#10;I ordered it, with "/>
        <s v="Ordered from Pet Flow for the first time; my dogs food arrived quickly and I got a great price on the food. Wil be ordering again"/>
        <s v="I still haven’t received my product. It was estimated 2-3 days for delivery and we are almost 2 weeks out. No updates whatsoever."/>
        <s v="This was my first order with Petflow. One item arrived in days but the other item is still pending with zero communication. If it’s out of stock as it is in so many places, just communicate that."/>
        <s v="I went online to order my dog’s prescription food &amp; it showed that it was in stock. When I ordered It said that I would receive in about 5 days. When this date past I emailed the response made no mention that it was out of stock. 2 days later I called &amp; w"/>
        <s v="Order as expected and on time, prices great value"/>
        <s v="PetFlow was literally the only source for my dog's Hill's HypoTreats which are on back order. Customer service was really helpful and product was delivered on a timely basis with adequate follow-up."/>
        <s v="always get my order fast and accurate!"/>
        <s v="My experience overall has been very positive during the past two years. My order is processed and shipped within a reasonable timeframe. It has been very convenient to have heavy bags of dog food delivered to my door. Petflow also helps me to keep from ha"/>
        <s v="Fast shipping. Great prices…..Amazing customer service!"/>
        <s v="Website showed the prescription food I needed as available for quite some time since I placed my order. I received my shipment of toys and no food was delivered. I called on the status of the prescription dog food and was told I would get a response back "/>
        <s v="I had a problem with a shipment not being delivered. PetFlow solved the problem quickly and kept me informed."/>
        <s v="I am so impressed with every stage in purchasing the cat food I needed. I set up auto purchase that gave me a discount but when I went to check out they did not have enough to send so I thought i would lose it. No same deal. They notified me every step of"/>
        <s v="Always pleased with PetFlow. Been with them for years."/>
        <s v="Very fast shipping which is really important. All the products I need are on this website"/>
        <s v="Good Food, good $ and delivered to the front door!!!&#10;Great Service too!"/>
        <s v="This was the first time I ordered from Pet Flow. They were really great. I got my Order within a few days. Will definitely order from them again"/>
        <s v="Your service has been very good. I will continue to use your products."/>
        <s v="Have been ordering from PetFlow for more than 15 years and have never been disappointed with their service and prices. They keep you informed on the progress of your order and items arrive in a timely manor. Auto ship is the best service they offer."/>
        <s v="Always very helpful/professional/understanding if you have a question or concern. Or if you need guidance on something. Willing to match pricing and more than likely do better than competition. Only down side is they use FED EX who leaves the package some"/>
        <s v="I love this company. I have always got what I need from them. You should give them a try."/>
        <s v="I like that some of my auto ship order wasn’t ready for shipment and you shipped each individual packages automatically without charging me a shipping fee even though the contents of either package didn’t meet the cost requirement for free shipping. I’m s"/>
        <s v="I have been ordering from PetFlow for years now even have auto ship it works out great and have recommended it to friends."/>
        <s v="Fast, convenient delivery, never a problem! So much easier than shopping at the pet or grocery store! Love Petflow!"/>
        <s v="Always reliable with super fast shipping and a lot of choices.&#10;Highly recommend!"/>
        <s v="My experience with petflow has been all positive they care about there customers.😎👍"/>
        <s v="This was my first order, it arrived promptly, PetFlow was the only vendor that had the item in stock, I would and will order from this vendor again, very satisfied with them."/>
        <s v="Food came in a timely manner"/>
        <s v="Ordered dog food and the food was received in a timely manner. Never had a problem with PetFlow!!"/>
        <s v="Ordered a veterinarian prescription diet for my dog. The food was delivered promptly in 2 to 3 days. This was at a time when the food was back ordered and couldn't get it at many other places. Will now be using Petflow as my main supplier. Been very happy"/>
        <s v="Perfect !! Every order"/>
        <s v="Although there are supply issues, the customer service team is excellent and so helpful!!!! I also receive e-mail letting me know they are still on top of my backorder when it comes in."/>
        <s v="I love pet flow! The shipping is fast and their prices can’t be beat! Super cute products and a great variety of dog treats"/>
        <s v="PetFlow not only had what I needed but also at a price that was lower than where I purchase locally. My order came in a timely manner and I received free shipping which I was very happy about"/>
        <s v="Petflow has always been there w/full answers. Great delivery. No B.S. about anything..."/>
        <s v="PetFlow makes it easy for me to get a specialty dog food that I am unable to get locally as I live in a rural area. So far no damages to any of my shipments and delivery has been fast. I also like how they have a variety of toys at reasonable prices."/>
        <s v="I've only used your company once so I can't give an honest opinion of Pet Flow.&#10;What I can see is that you should look at switching which company you ship with or at least give options of other shipping companies. FedEx is horrible. I used u use them at t"/>
        <s v="This is the second ordered I placed with you. I had hoped it was going to be a lasting relationship. Sadly, it is not. In the first case, I placed my order, only part of the order was shipped when it arrived I was notified that the other item was out of s"/>
        <s v="Great website! Glad I found it as an alternative to my usual. My usual store was out of a specific food and I was able to find it here for a good price."/>
        <s v="Website and order process were both easy. Shipping was efficient"/>
        <s v="Better prices than Chewy, fast shipping! Thank you!"/>
        <s v="First time buyer. Impressed by variety and choices of products. Wonderful service."/>
        <s v="Hi, For over a week, told me food item was in stock and would be shipped shortly. Called several times and was told the same story. Yesterday I was emailed a message that it was out of stock and they would let me know when they had it in inventory. That d"/>
        <s v="Thank you! Kitty’s love theirs items"/>
        <s v="I phoned prior to placing an order to verify that my finicky cat's food was in stock and informed that it was. Three days later, it still hadn't shipped. When I phoned again to ask when it would ship, I was informed that it was out of stock.&#10;&#10;I should hav"/>
        <s v="So glad I found PetFlow, recently I moved to another city and State and I was having a hard time finding the food that my Standard Poodle had been eating, I ordered from another company when I was getting low, however 3 weeks after my order I still had no"/>
        <s v="I order a bag of Fromm dog food and the process could not have been any smoother. The order came very quickly. I would definitely order from PetFlow again."/>
        <s v="I couldn’t find the pet food I have been using in stock at all of my regular vendors so I tried PetFlow because they had it and I have no complaints! Shipped and arrived on time and I was sent updates along the way which I really appreciate."/>
        <s v="I ordered purina pro plan veterinary diet HA on 1/14/22. It showed that it was in stock and my prescription was verified, but as of 1/25/22 still has not shipped."/>
        <s v="Placed order by phone on the 14th. Was told the order would ship either that evening or Monday. Never received a shipping notice so I finally called on Wednesday to check on status. Was told by recording to leave a message and a rep would get back to me. "/>
        <s v="The company Carries great products and is quick to respond with customer service. If you wish to cancel your auto ship, it is cumbersome, but it does get done.&#10;The biggest drawback is that they use FedEx as their shipper and no other option. FedEx is abso"/>
        <s v="Your website and customer reps have no idea if products you have are in stock&#10;I place and order thinking you have food for my pets then I get an email stating food is on back order&#10;I need a more reliable company that has food in stock to buy"/>
        <s v="When I order a prescription diet cat food it should not take 4 phone calls to get it shipped. This is NOT optional food that can be replaced with something else temporarily. It is something my cat NEEDS to live. On my first phone call I was told the autho"/>
        <s v="This was my first time using Pet Flow. I found the site very east to use, and the package came earlier than expected, with no problem in packaging. They deserve a 5 star!"/>
        <s v="I got my exact order very quickly. I was impressed because I buy online often and it usually is not what I ordered, poor quality, shipped in separate boxes and/or late as all get out.&#10;Not PetFlow! All nice quality, good condition, quick delivery in same b"/>
        <s v="Web site ordering and auto-ship process is terrible -very clunky and has caused problems with orders twice now Most recently resulted in receiving double order of 44 lbs of dog food and charged 2 different prices. Texted customer about this almost a week "/>
        <s v="My last order had 2 items that were out of stock and therefore didn't make my monthly order. I received communication regarding one item being shipped upon it being restocked but the 2nd item was never acknowledged, restocked nor substituted for."/>
        <s v="Easy to order, prices are comparable and shipping right to my door, great. I've had one order that was messed up. I called customer service and the lady was very helpful, professional and quickly fixed my issue. Petflow is fantastic. The only issue I'm ha"/>
        <s v="In a world where cat food is an item on the hard to find list, I googled “Where can I find….” And discovered your website. I am thankful you were able to supply, and continue to supply, the food my kitties love. Thank you"/>
        <s v="Good selection, easy to shop, and a good price, The only thing I could ask for is a way to check order status. If it's there, I couldn't find it. Otherwise a very good first experience, and I'll be back."/>
        <s v="So happy to find y’all and be able to order and receive the product. A lot of places are out. Thank you!"/>
        <s v="the worst, don't buy from them. they screw everything up from the spelling of my name, my phone number and not telling me they were out of something i paid for and it was an urgent order."/>
        <s v="The pet service I usually use was out of the cat food I needed. You had it. Your service is as good or better than what I usually use. You were fast and you kept me aware of its status. You have a new customer, I’m very pleased! Thank you!"/>
        <s v="Unfortunately my last 2 ordered have taken over a week to arrive. The last order apparently got &quot;stuck&quot; in the system and sat for a week in &quot;order shipping&quot; status, promoting a phone call to resolve."/>
        <s v="The plus with Petflow is that they carry Fromm and they don't price the product more than anyone else. Maybe the company controls that. Either way, that is the plus....however........shipping takes way too long. That is where Chewey excels. We are all in "/>
        <s v="Very accommodating. Whenever I have to change my auto order they have no problem changing the date."/>
        <s v="Horrible customer service, repetitive delays in the purchases and buy with PetFlow made my life harder, it lost the good convenience that I previously had."/>
        <s v="Petflow has most of the items that I need for my fur babies. Fast delivery and good communication if something in my auto ship program isn't available. Their customer service is the best!!!"/>
        <s v="Received text stating it was being shipped that day(12th) Six days later received another text stating was being shipped that day(18th)"/>
        <s v="I thought I was ordering small (5.5 oz) cans of dog food based on my item search and photo results. However, unknown to me, the 5.5 oz cans were out-of-stock so the order defaulted to the larger 13 oz cans, which is what was shipped to me. These larger ca"/>
        <s v="arrived quickly and in good condition. Just what we needed, especially when these are so hard to find."/>
        <s v="6 out of my 10 items were cracked. The packing was horrible . And even though I heard from someone finally today . Now your out of stock for my items . You did put the money back on my card I really needed those items"/>
        <s v="Love PetFlow! Been using them for years!!!"/>
        <s v="Part of my order was defective and I wrote to tell them so. I received a form letter of acknowledgement back, but it took 3 days for an actual response. The item is being replaced, but has not yet shipped and I think their customer service is pretty poor."/>
        <s v="As soon as I gave him his first taste he wouldn’t leave me alone after he ate lol what a great come back"/>
        <s v="Great. I initially got only two of the four items I ordered . But the rest of the items I ordered came the next day."/>
        <s v="This was my first order from PetFlow, but it won't be my last. The dog food that I needed was available, the website was easy to navigate, and the order arrived on time. I'm a happy customer."/>
        <s v="This would be five stars. Customers service was fast friendly and helpful. I deducted 2 stars because my order took so long to arrive...this was i m sure due to unforseen circumstances like our recent weather,covid and such however I was told at the time "/>
        <s v="Ordering dog food and treats online works out great!"/>
        <s v="Packaging has improved, the 30lb bags I order are FINALLY coming in the proper sized boxes &amp; my last very large order (8 bags) were packed well and the tape held…a first. Your Customer Service on the phone was awesome luckily for me because I find the web"/>
        <s v="Good selection of pet food. Easy to order and shipping fast."/>
        <s v="Great service, quick shipping. I've been ordering Fromm dog dog food for over 4 years from PetFlow and have always been very satisfied with their service."/>
        <s v="My dog is on a prescription dog food and I couldn’t find any. I called PetFlow and talked to the sweetest lady who helped me set up my order for recurring so I don’t have to worry about it. I’m sorry I cannot remember that lady’s name but a big shout out "/>
        <s v="I ordered a 25lb bag of dog food along with a 3.5lb of dog food. When the delivery day came, I only received the small bag. So, I called Pet Flow To find out what happened. Seemed they ran out of my dog's food at the nearest Wearhouse and had to send it t"/>
        <s v="Great on time delivery. Box and contents in good condition"/>
        <s v="Petflow tries very hard to do what is right. I had a code for $10 off. On-line it took the discount &amp; then on the receipt, it was gone. I left a message and someone called me back. He didn't question the perc and immediately took the $10 off. Congrats for"/>
        <s v="30% of my deliveries have had slashes in the bag so I haven't been able to use the food. I've complained and most times they sent me a new bag but very inconvenient."/>
        <s v="Ordered nearly two weeks ago Rx dog food. Status was always “shipping”, had to hound (no pun) them for status. Finally just gave up and cancelled the order. Look elsewhere."/>
        <s v="great service, prompt delivery"/>
        <s v="Good selection and reasonable shipping times. Always have trouble ordering"/>
        <s v="i was very happy with service from customer service......."/>
        <s v="The one reason I placed an order with this Company was for a specific item they listed on their web site. I had to order another very small item to qualify for free shipping so I did. I was later informed the main item was no longer in stock and never had"/>
        <s v="Was disappointed on my order, the item I ordered was out of stock and replacement with something else without informing."/>
        <s v="I give one star only because 0 wasn't an option. I placed my order, then get an email stating that the product I ordered was unavailable, in fact discontinued. Then I start getting emails saying my payment through PayPal wouldn't authorize...worked fine f"/>
        <s v="The box was falling apart- I can't imagine how the delivery driver managed to carry it to the porch. Fortunately the bags of food are intact and not&#10;damaged."/>
        <s v="Excellent. Order on time. I will order something soon. Thank you"/>
        <s v="I really loved my experience with PetFlow. The items I ordered were well packaged and arrived in a timely manner.&#10;I plan on continuing to do business with them."/>
        <s v="Fabulous website &amp; excellent customer support &amp; service 👍"/>
        <s v="I placed my order on 09-January and did not receive my package until 17-January. I was expecting shipping to be sooner and I almost ran out of food for my 9 working dogs. Although I appreciate that PetFlow carries Open Farm, I will not be ordering the Dr."/>
        <s v="Excellent company. I made a mistake and had to cancel an order and it was “ no problem”. Fast, great service … highly recommend."/>
        <s v="Great Company to order products wanted since Pet Store where I normally gets them have quit handling these wonderful treats. Great service also."/>
        <s v="First order for new puppy food that wasn’t available locally. Process was easy, delivery was on time and packaged well. Will order again."/>
        <s v="Horrible customer service. I order food for my dog. They charged but didn’t send it. I called them a week later and they said they didn’t have it in stock meanwhile they charged it already. They sent it later on without a hurry. 10 days later I haven’t re"/>
        <s v="I spent a lot of time with my review. So I will submit but beware you have to accept certain terms and conditions to submit a review.&#10;&#10;Everything went fine for a year and a half. Our dog needs a prescription diet. Then for the last shipment, they said the"/>
        <s v="accurate and timely delivery&#10;&#10;thanks"/>
        <s v="Ordered prescription cat food. My Vet approved the prescription in one day. Waited a week with no delivery. Called customer service and was told as soon as the pharmacy warehouse sends it out, I’ll get an email. After waiting 10 days with no email or food"/>
        <s v="It has taken too long to receive my order. Finally got one of the items, but can't even download the shipping information for the other item. I ordered prescription food for my dog-- something I needed in a timely manner."/>
        <s v="Always there to answer questions and to help out!"/>
        <s v="Being told it was delivered and it wasn't. I di nt receive the shipment until several days later, This is not acceptable!"/>
        <s v="Only received 1/2 of RX cat food order placed in December 2021.&#10;No way to check on line.&#10;Calls to customer service have not resulted in any feedback as to status."/>
        <s v="Placed order 1/3/22, being advised shipment would be made within 2-4 days. Never received shipment; called every few days - continuously received same story ... to be shipped within 2-4 days. Now 14 days later, still have received nothing ... including an"/>
        <s v="Excellent customer service. Patiently worked with me to solve problem with order."/>
        <s v="Generally timely and professional service. My major reason for not buying everything through Petflow is your use of FedEx Ground to deliver packages. In this area (North Georgia) FedEx is terrible. Most delivery packages in this area go through their Aust"/>
        <s v="My order was fulfilled in two days without hiccups. Great prices, products and shipping!"/>
        <s v="PETFLOW is the only supplier I can get the cat food my cat likes from. I can get the food he likes in bulk. And it is at a good price. He eats a can every day of one kind. And he is very picky. Thanks for being there."/>
        <s v="Check your bank balances people! If you’re on AutoShip even if you’re not. Check your bank balances. The food is great. My dog loves the food. No problems there. I bought 2 44 lb bags of this dog food for the first time on November 8 for $148.40. So then "/>
        <s v="No problems with the product, but shipping was VERY slow. Allow 10 or more days to get your food from them."/>
        <s v="Overall I love PetFlow, but in this particular case where my auto-ship was delayed due to out-of-stock conditions I feel I was not notified sufficiently quickly enough to react. As a result, the Hills Prescription cat food I had ran out and I needed to sw"/>
        <s v="They make it easy; love how they call your vet for prescription food. Fast deliveries"/>
        <s v="Called PetFlow to see if I could get Meow Mix They were very helpful and&#10;I ordered a Multi Pack Box. I received it right away. Everybody was very&#10;police and nice. Will definitely use again."/>
        <s v="Have ordered from PetFlow many have always had fast efficient service"/>
        <s v="My package was stolen and they reached out and provided me with a new bag at no cost."/>
        <s v="Petflow helped me out in a pinch when other companies were out of my cat’s prescription food, Petflow came through for me. I really appreciate that as she is older and needs her special food."/>
        <s v="Reasonable prices, quick fulfilment and delivery. It's always like this. Thanks"/>
        <s v="My order arrived incomplete, and it was downhill from there on. I don't have time to detail my problems trying to get things straightened out. I had been satisfied with my experiences with Pet Flow in the past, but this was a total mess."/>
        <s v="They could not deliver. I called and called and received excuse after excuse.Ended up cancelling my order and order through Amazon!"/>
        <s v="My auto ship from Petflow is so easy to use. It's easy to add or remove products depending on what my animals need that month. And if I end up needing something extra I can order and receive it quickly. On the rare occasions that something is backordered "/>
        <s v="Have ordered my furkids prescription food several times. Your customer service has always been great."/>
        <s v="Pet flow still carries the brands I feed my dogs and at fair prices. Some outlets don't have the variety and choices I find on pet flow."/>
        <s v="Dog gates are sturdy, shipped quickly. Great service!"/>
        <s v="The app is difficult, I tried to cancel the order and it didn’t work. I am going to stop the pet flow auto matic orders. They are difficult. I had a double order the time before. Too much trouble to change! M Upotn"/>
        <s v="Pet Flow shipments are always ontime and there is sometimes a discount."/>
        <s v="Great selection, ordering was easy, and my order arrived quickly and in good order. My experience was very positive."/>
        <s v="Products have been great. With all the limited choices, due to allergies, I have been great full to find what I need"/>
        <s v="I ordered dog treats from the company my order was delivered within 3 to 5 days through the Christmas holiday two bags came cracked I called and they re-delivered two more bags and didn’t charge the customer service was really good it took no time to get "/>
        <s v="Product delivered on time as promised. Quality is excellent."/>
        <s v="Not good service, a lot of back and forth and useless waiting"/>
        <s v="I would usually leave 5 stars, but my pups dog food on several occasions has arrived late - So in result - I’ve had to go to stores to buy the same kibble."/>
        <s v="Shipping dates are really slow, which can be annoying for thing you cannot get locally. They always run 2-4 days later than expected it seems. When you have 5 hungry parrots, that can be an issue! They also have a limited selection of foods for dogs and b"/>
        <s v="I placed my order Thursday the 6th. Asked by chat if Saturday is a business day...it isn't because the warehouses that have the supplies don't work weekends. Fine. Was told it would ship Friday and maybe FedEx would deliver Saturday, but I would have it M"/>
        <s v="First Time customer&#10;Easy online ordering&#10;Great Price&#10;Delivery prompt&#10;I’ll be sharing this company info without a doubt"/>
        <s v="My two kittens were recently prescribed a hydrolyzed protein diet. Because of the Pandemic, the food was next to impossible to find. Petflow had the products that I needed and quickly processed and delivered my order. I’m so grateful to have found this si"/>
        <s v="Still haven’t received my order! This is an awful experience! Will be my last"/>
        <s v="Reliable and excellent."/>
        <s v="order place has stalled on Colorado from vegas on its way to Indiana. tracking is not being updated and the response time to email is a day or more behind."/>
        <s v="Customer service is top notch! I love that I can message about my order in an email or text and get a reply quickly. Great discount for new customers and a constant supply of my pets food. Thank you pet flow!"/>
        <s v="I really like your products, the frequency of communication about a shipment and my pets are happy too! ☺️"/>
        <s v="Pricing good. I was kept informed of delayed shipment due to weather. Will buy again!"/>
        <s v="I was luckily to find what I needed at a great orice! Shipping was fast and because I met the minimum I got free shipping. Will shop again!"/>
        <s v="Been with Petflow going on 5 years now. They always help me if I need specialty food or just basic pet food. So many choices and the treats too! Thank you for meeting my expectations in each box I receive. Fan for life!&#10;&#10;Denice"/>
        <s v="Delivery was quick and I'm very happy with the RED gravel. RED gravel is hard to find."/>
        <s v="25% discount on quality dog food&#10;is perfect"/>
        <s v="PetFlow falsely advertised a food as in stock then withheld the funds they took from my account. I was diligent thankfully but despite my best efforts it still took 3 calls to customer service to get my money back. Each CS rep provided conflicting info wi"/>
        <s v="Very Fast service. Great deals on the food I purchase"/>
        <s v="Placed an order for a prescription dog food on 12/27/2021 which your web site said was in stock, which was a surprise because all other pet stores were out of stock. Received a confirmation with an order number, pending charge on our credit card. Pending "/>
        <s v="Would really like invoice included with shipment. Would alleviate one step in filing claims"/>
        <s v="Great customer service. An order was placed and an item was missing. I sent an email to report it and they sent the item out immediately, no questions asked. Will continue to be a customer"/>
        <s v="Easy to order, great price and fast shipping."/>
        <s v="PetFlow came through when other trusted online pet food providers dropped the ball. Even with the order itself and managing FedEx - they kept engaged until the entire was completely fulfilled and delivered... Service is tough to put a price tag on. THX Pe"/>
        <s v="Horrible communication, useless customer service, promised e-mails never received, “in stock” item still not received after 11 days. New tracking number refers to item already delivered, not item still waiting for. This was my first and last order."/>
        <s v="They have the dog food I use; but, not the cat food. They are slower to deliver than other sites."/>
        <s v="Good, fast service."/>
        <s v="Pet flow staff have been knowledgeable, polite and able to meet my needs every time I have called. The products carried are high. Quality and competitively priced."/>
        <s v="Great to do business with. Very fast delivery. Will use again"/>
        <s v="Each order comes as anticipated and very timely."/>
        <s v="First time ordering from PetFlow. The online ordering process was quick and easy, and we received the order very promptly. Highly recommend Pet Flow!"/>
        <s v="PetFlow has a great selection and affordable prices on a variety of dog and cat foods. They ship quickly and always send notifications on the status of your order."/>
        <s v="Ordered three bags of dog food, one was delivered promptly the other almost two weeks to arrive and when it did one of the bags had opened and spilled kibble all over the box."/>
        <s v="I’ve ordered from Petflow for over 5 years.&#10;Ordered always delivered on time. Prices are righteous. Highly recommend"/>
        <s v="Never did get my order and it took 3 days for you to let me know it was out of stock"/>
        <s v="My dog, Hannah, absolutely LOVES this new pet food, She smells it from the other end of my house and comes running, waiting impatiently only to devour it in no time! Plus, the delivery was prompt. Thank you so much!"/>
        <s v="Very fast delivery. Great discount 20%.&#10;Thanks"/>
        <s v="My order arrived on time and complete. One product I wanted to order was out of stock, but there’s an option to get an email notification when it’s available which is extremely helpful."/>
        <s v="I’m very happy with Petflow. They were great with me and my vet to get the vet to prescribe Canine TD’s. (My vet was not so nice!)"/>
        <s v="Been a customer for several years now. Reliable shipping and excellent email notice to help me adjust my autoship if needed. Excellent customer service by phone when needed."/>
        <s v="Out of the last ten orders, three were messed up and did not deliver on time. One of which required our cat sitter to go to a specialty pet shop to get food while we were on vacation."/>
        <s v="My recent order was delayed due to weather and the shipping company. When I spoke with the Petflow customer service they were helpful tracking the package and keeping me posted on when it would be received. I appreciate this help."/>
        <s v="I didn't get my delivery but when I talked to the customer service man, we discovered I hadn't changed my address at Petflow since I moved in May. It got sent to the old house. But he went ahead and sent a replacement to my new address. He was very kind, "/>
        <s v="I have received numerous orders from this company, and they are always accurate and timely. That's why I will continue to order from them."/>
        <s v="Quick response to my order with delivery time, kept me updated."/>
        <s v="My order came in good time. I have been unable to locate Hill Science Diet food through my usual sources, however, PetFlow came through with flying colors. Not only was I able to obtain some of the wet food I normally feed my cats but I was able to obtain"/>
        <s v="Very good company with a wide selection of products. Timely delivery and easy to order. I like this site very much!"/>
        <s v="Great selection of product. I have always found my selections in stock. Deliver is unbelievably fast."/>
        <s v="Coupons never are useable for purchase of Fromm dog food.&#10;&#10;Delivery is by FedEx. In a word FedEx is lousy. I realize this is another company but they are making PetFlow look bad and they chose them."/>
        <s v="My Buddy LOVES the treats from PetFlow!! On my last order one item he dearly loves was left off because it was out of stock. To my surprise, when PetFlow's new shipment arrived they sent the item!! SOPLEASED!! Never has that happen with any company (that "/>
        <s v="Competitive prices, great delivery, honest and trustworthy."/>
        <s v="Overflow consistently delivers high quality cat food to my house. What could be better?"/>
        <s v="My cat passed away unexpectedly a couple days after Ordering her prescription food online. I contacted customer service via text - very convenient option. They were not able to return the food because it had already shipped, but when I shared my situation"/>
        <s v="I love the convenience, but PetFlow’s online ordering set-up is SOOOOO difficult to use. Result? I’ve had multiple, unwanted shipments, no matter what I do.&#10;&#10;For months, I’ve tried to get rid of an extra auto-ship program. I cancelled. Chat reps cancelled"/>
        <s v="Love the extensive variety of pet foods especially the better brands. Prices are comparable to or better than others. Delivery is quick. Only one constructive feedback is the shopping cart view. I would prefer it could be full screen."/>
        <s v="I still haven’t received my order.&#10;&#10;I ordered some dog food, and a $2 chinchilla chew to get free shipping.&#10;&#10;The chinchilla toy came quickly, and it was in a HUGE box that could have fit the bag of dog food that I ordered as well.&#10;&#10;The dog food still has "/>
        <s v="I've been buying quality pet food from petflow for about three years. They carry quality brands, they have excellent customer service, and their website is easy to navigate. I like the autoship option which is also easy to edit, so I have only great thing"/>
        <s v="On time and best price. Good by Amazon!"/>
        <s v="I had trouble finding my cat’s prescription food. Customer service was marvelous and ultimately I was able to secure a bag for her."/>
        <s v="Place the order 11 days ago and still no shipment yet. Call them a few days ago and was informed that it was ready to ship but still no info whatsoever."/>
        <s v="Very timely service. Thanks!"/>
        <s v="Great + quick delivery! Thanks"/>
        <s v="One of the few places I could find what I needed, at a great price was the cherry on top. It shipped quickly and got here fast, i now have some happy cory catfish."/>
        <s v="always get my order quickly and good prices too"/>
        <s v="I was pleasantly surprised that PetFlow had the special canned cat food that I was looking for and couldn't find locally. Additionally, the shipment was very well packed and arrived quickly. This was my first time to order from PetFlow, and I was impresse"/>
        <s v="Everything came to my home in time before I ran out of dog food. The one toy was slow but it all still made it to my home so the dog could enjoy it."/>
        <s v="Love this company always have what I order&#10;Shipment comes really fast&#10;Never had a problem with PetFlow"/>
        <s v="Great products!&#10;Great prices!&#10;Fast shipping!&#10;Employees on phone are so courteous,helpful and knowledgeable!&#10;Exceptional place to shop!"/>
        <s v="Easy website layout and good selection of pet food! I love the Fromm dry cat food selection and my cat loves his treats too! My cat approves Petflow!"/>
        <s v="Excellent quick delivery with best pricing - will definitely be a returning customer"/>
        <s v="My initial shipment was damaged, but the CSR was extremely helpful and sent me a replacement promptly."/>
        <s v="It's been over two weeks and I have yet to receive a shipping confirmation. Will likely dispute order."/>
        <s v="Received exactly what I ordered and in excellent condition. Thank you!"/>
        <s v="I love using petflow! They have wonderful options for my dog and good communication on orders. Highly recommend."/>
        <s v="Very nice. Better than expected. We purchased it for Ferrell cats to stay warm. We set it up in our house and our cat thinks it's his new house. He loves it."/>
        <s v="PetFlow's customer service is exceptional. The website is easy to navigate and check out. Super fast shipping."/>
        <s v="Pet Flow continues to carry the special dog food that I require for my pet at a good price and they ship it super fast. Very satisfied with their service."/>
        <s v="PetFlow offers a wide variety of limited ingredient snacks for my dogs, and the prices are very reasonable."/>
        <s v="I was sucked in by the promise of a discount in exchange for my email address. Then I couldn't use the discount because it had a previously undisclosed minimum order requirement which was extremely high. I felt tricked. I would normally order 1 bag of dog"/>
        <s v="Service extremely quick and they seem to have a supply over and above what other entities have on hand. First time with PetFlow, but will certainly look to them as an option in the future!"/>
        <s v="I’ve used Petflow for years and have always received top notch service. I love the enormous variety of products available for my 2 dogs and I’ve easily found the best products for each (1 is 5 and the other is 14). They also include the sources for the pr"/>
        <s v="Pet Flow is wonderful but the delivery leaves much to be desired. Fed Ex refuses to bring my packages to my front door. Instead they are left in the street."/>
        <s v="Petflow has been fine, not stellar, with occasional hiccoughs on prescription food authorization. Lately, they've been completely unreliable as a retailer, causing us to cancel our subscriptions and move to Chewy."/>
        <s v="Wide variety of products and fast service on orders, even if they are specialty items."/>
        <s v="The product was good and well packaged, but it was a week late and required me to go all over the local area multiple times to supplement the food until me order got here. I'd be perfectly happy and would definitely order things again if Pet Flow would st"/>
        <s v="My dog food took 1 week and 1/2 to arrive to me."/>
        <s v="Petflow is great! You call and always get a live person right away. I've been with them for years. Can't beat their customer service!!!"/>
        <s v="I thought I had cancelled one order to order a different food. It turned out I got both orders. I was told it would be fine to keep them both and use them and just set a later date for my auto shipping."/>
        <s v="PetFlow delivers quickly. They have an autoship program; You can change your auto ship as many times as you want and they have the best prices for the quality of products"/>
        <s v="My order of dog food was shipped on a Monday. Said Friday delivery and did not come till the next Monday. With that delay I had to go get dog food I didn’t want to in order to get by until my order came. Chewy takes 2 days. I guess I’ll go back there."/>
        <s v="I purchased some hard to find puppy food because no stores in my area carry it. I found it in stock with PetFlow. I ordered it and they use FedEx as their shipping carrier. I have had numerous problems with getting my packages late via FedEx. I emailed Pe"/>
        <s v="Great selection and easy to check out. Shipment came in a timely manner."/>
        <s v="Petflow is efficient and speedy. I never worry that my product will arrive on time"/>
        <s v="PetFlow is fast and accurate. They beat Amazon on delivery time. The prices are on target and no complaints about the product from Stanley or Bruski. Very glad we found them!!! Thank you!"/>
        <s v="Love the quick shipping. Love the cost of foods (i.e Royal Canin). Love that items are in stock and Love the customer service.&#10;What else is there?"/>
        <s v="I made an order from Petflow awhile back. Never received the order. When I checked the order, it had been canceled due to an error by the Veterinarian. Unfortunately, no one told me it was cancelled. I called the Veterinarian and their internal communicat"/>
        <s v="I received my complete order. It was a few days later than usual but that was to be expected at Christmas time. The problem was that a bottle of white dog. shampoo had opened up inside the box and covered a 15 pound bag of dog food and a raincoat with a w"/>
        <s v="My one complaint is that you cannot cancel an order on your online account, had to call numerous times to get a customer service agent to fix a mistake on ordering. Very frustrating, hope they make changes with online ordering."/>
        <s v="So much care was placed into packing my order, it was wonderful! There was a lot of cushion in the box so the cans didn't arrive all bent. I will definitely place another order soon!"/>
        <s v="They shipped my wet catfood over a week after I placed the order, scheduling it to be delivered the 22nd of december and could do nothing to delay or cancel the order even before ups had it. So my food is going to freeze over and over again while we are g"/>
        <s v="Prompt shipping. I ordered Dr Marty for my fussy dog, and he likes it so I will order again."/>
        <s v="Petflow is a class act&#10;Always have my product in stock and fast free shipping&#10;A+++++++"/>
        <s v="I have been buying my dog food from Petflow for years now. It has always arrived quickly and fresh and my dog is happy."/>
        <s v="Very reliable auto ship and quick with off cycle purchases."/>
        <s v="Excellent service with competitive pricing"/>
        <s v="Dented dog food cans at times. Sent concern about this five days ago and have yet to receive a response."/>
        <s v="There was a mistake in the order and they didn't hesitate to make it right. Great customer service. Great product"/>
        <s v="Great products offered with fast delivery, thank you!"/>
        <s v="The price was right and the quality was great. That, along with fast shipping gives PetFlow 5 stars."/>
        <s v="Great site! I discovered it by accident after chewy was out of my cat’s food. I gave it a try and was pleasantly surprised how wonderful petflow was. The delivery was very fast ,the product fresh and well packaged. They saved the day. Now I ordered again "/>
        <s v="I discovered Petflow when another major retailer had no inventory of my cat’s preferred flavor of prescription food. I enjoyed the experience and fresh inventory so much that I’ve been buying from Petflow ever since!"/>
        <s v="I searched at least six different retailers to find this special canned pâté food specially formulated for my small breed Senior picky eater (with only 3 remaining teeth) to no avail. I was desperate, as my little 17-yr. old girl turns away from nearly al"/>
        <s v="Never had a problem. Have recommended"/>
        <s v="Order was easy to place and delivery was prompt. Thank you!"/>
        <s v="Thank you for the ease of ordering &amp; the speed of getting my order delivered. Also, I am very impressed with your website."/>
        <s v="I have been ordering my dogs food from Petflow for a few years. They always have a quick turn around from order being placed to delivery. My dogs eat Fromms large breed dog food which can only be purchased in specialty stores. Petflow has been wonderful t"/>
        <s v="I have had a great experience with PetFlow. Only once I had a package/delivery that was stuck somewhere unknown. Customer Service immediately sent it to me again without question. I was grateful and impressed.&#10;Also, when you place an order with PetFlow yo"/>
        <s v="Always quality items from Pet Flow. And they are recieved in a timely manner!"/>
        <s v="I like this company. They have a great selection of dog foods that are difficult to find other places. Their prices are comparable to other sites, although they may be a few dollars higher, I like that they say they do note food to animal shelters."/>
        <s v="False info on delivery date . No follow up . Product seems to be stuck in transit in a black hole in neighboring state. Product is over a week delayed from promised date with no follow up status update . Will never deal with pet flow again . Not a well ru"/>
        <s v="Great communication, speedy service and delivery even when supplies are low. Thank you!"/>
        <s v="very pleasant experience. good customer service.&#10;fast delivery. Prices are ok."/>
        <s v="Placed order and received item earlier than anticipated, will definitely us this vendor again considering we have four Bernese Mountain Dogs, they do eat."/>
        <s v="I’m still waiting for my dog food delivery, or even an update. No news since it reached my local distribution center 3 days ago. ??"/>
        <s v="Things came well packaged and timely! No complaints"/>
        <s v="Took 6 days in transit, the packaging was taped and retaped. The treats were on each side of the package front and back. No doubt they will be dust when I open them. This company needs to step up there game in the shipping department."/>
        <s v="Prices were good, product availability was good, shipping was good and free. I'm happy with them."/>
        <s v="PetFlow is responsive to clients, with good prices and discounts. Fast shipping"/>
        <s v="Except for a blip on the refund, all is well. Will continue to get my fog food here."/>
        <s v="what i wanted quickly received with terrific phone support"/>
        <s v="huge variety of pet supplies and fast shipping."/>
        <s v="I couldn’t, find my cats favorite food in any of major stores or any of the major online store but petflow had it and was able to get fast and easy"/>
        <s v="Great service, shipped my order out quickly, they had a cat food I have been searching for but was out of stock everywhere, luckily they had it in abundance, thank you so much ❤"/>
        <s v="Very prompt and courteous and take care to answer emails."/>
        <s v="Had product and delivered in a timely manner"/>
        <s v="Quick and easy"/>
        <s v="I changed my delivery date and the shipment still came."/>
        <s v="Received the wrong items, messaged 24 hrs ago and no response."/>
        <s v="Fast delivery and great product as usual. Package came undamaged,"/>
        <s v="Best offer, I could find for the price. delivered promptly and just when needed. I will be using PetFlow in the future!"/>
        <s v="Super service for shipping my Fromm Gold Dog Food. Highly recommend."/>
        <s v="The store itself has great prices and selection. However, the shipping of those products has been a nightmare. Placed an order on the morning of 12-1-21, spoke to someone on the phone inquiring as to the location from which the products were coming from. "/>
        <s v="Shipped fast and had the items in stock that others didnt. What more can you ask for?"/>
        <s v="Excellent service and the best pricing! So glad I found you! Thanks! 😃"/>
        <s v="Very pleased with Pet Flow's service and products."/>
        <s v="Great prices and selections of high rated dog foods. Shipping free over $50 and fast!"/>
        <s v="PetFlow has the best prices for pet food and deliveries are reliable. Sometimes my cat's wet food is not in stock, but when that happens, it is not in stock anywhere."/>
        <s v="Every time I order from here.. they always double my order. I ordered one big bag of dog food.. and I received two and charged for two instead of one. This is the second time they did this. I will not order from them again."/>
        <s v="Great dog food; my Maltese acts like a pup and she is 12. She has been eating salmon a la veg for 10 yrs"/>
        <s v="Excellent service. Best dog food ever would not feed my dog anything else then Natural Balance"/>
        <s v="Staff were very good at listening and finding a solution that would help me."/>
        <s v="Excellent customer service and fast shipping"/>
        <s v="My delivery isn’t not coming,very very slowly."/>
        <s v="I was very pleased with my order. I found an item for my birds that I couldn’t find anywhere else for a cheaper price and it arrived very quickly."/>
        <s v="Petflow apparently doesn't put in packing so I got ALL of cans dented up. Petflow needs to protect the cans."/>
        <s v="Been ordering from Petflow for along time...quick shipping,,competitive prices,,,has the brand of dogfood we want....wish they offered prescription medications"/>
        <s v="I was with this company for many years but repeated mix ups with my food, delays and supply issues took a toll, moved my business to Chewy, didn’t want to buy my fur babies have to eat!"/>
        <s v="We ordered pet food on Nov 26 and received it today Dec 7. Way to long, I have three emails telling me earlier dates. Probably our last order from Pet Flow!"/>
        <s v="You need to improve on your customer service on the phone. You also need to improve on your deliveries services meaning when customers ordered products from your website,&#10;it needs to be more accurate in the amount of products you have online website store"/>
        <s v="I am very happy with my purchase of cat food from PetFlow. The only issue I had was trying to find out, on the web site, how I could check out. Otherwise great."/>
        <s v="They have great customer service and they try very hard to please their customers. They also have a wide variety of pet foods."/>
        <s v="Love this company! Great to work with and carry alot of different foods."/>
        <s v="Very few notices of what was going on. I finally sent 2 emails. And made a phone call. Joseph was very kind. It took 9 days to get here. Wonder if it would come. I had to buy dog food in the meantime. Not happy. Product was good. And why did it come from "/>
        <s v="I would’ve given a 5 star review however, with my last order, it would’ve been nice if I was informed that my order for dog food was not available from where it is usually shipped. I usually get it within a week, but since it was coming from much farther "/>
        <s v="Only half my order arrived so far. FedEx dropped the busted box in the middle of the front yard and left. I wonder if the second half will show up or if FedEx will make it disappear like last order."/>
        <s v="Great service as usual even over the holiday weekend! Order was accurate and delivered on time!"/>
        <s v="Website easy, appreciate the discount.&#10;Other places were sold out of the dog food I need so thankful it was in stock and delivered in a decent timeframe"/>
        <s v="Thanks for having the food in stock. Now it’s get to him to actually eat the food"/>
        <s v="Great experience!&#10;Fast shipping and great communication with seller."/>
        <s v="Shipping not according to what was indicated at the time the order was placed"/>
        <s v="Excellent transaction :) Will shop again!"/>
        <s v="PetSmart stopped carrying the AvoDerm brand, then PetSmart followed.&#10;I'm very frustrated with them since they still advertise the products yet &quot;Not In Stock&quot; or &quot;Not available&quot;.&#10;I contacted AvoDerm and they recommend PetFlow.&#10;My initial purchase took long"/>
        <s v="My Hund loves the chow we ordered from PetFlow."/>
        <s v="I always get what I need in a quick turnaround for my 14 year old Hound!"/>
        <s v="Great product. Great price"/>
        <s v="The folks at PetFlow were kind enough to give me a $10 credit for FedEx's deplorable delivery service. They held my shipment hostage in their distribution center for 2 1/2 days!&#10;My shipment was correct &amp; sent out as quickly as they received the approval f"/>
        <s v="Great and prompt service and delivery. The bag charge was a bit of a surprise though. Might be wise to hide that under one of the other headings?"/>
        <s v="I placed orders during weekends. The return email said my order would be placed the following Monday and email would be sent of when to expect delivery. I have had to call customer service a couple times and order was finally put thru. My dogs do better w"/>
        <s v="I thought that the price was high compared to the vets office other than that the experience was good"/>
        <s v="I had a very frustrating experience with PetFlow. My original order was scheduled for next-day delivery. However, it took close to a week from getting the cat food I ordered. PetFlow misled me on my delivery date. This is the only food my cat can digest -"/>
        <s v="Very happy with my purchase experience, excellent help. Thank you"/>
        <s v="I paid for a package of food for my chihuahua that needed a recipe from the vet, but we could not get it, so I would like to have my money back."/>
        <s v="I wrote to the company regarding a complaint about customer service claiming that I didn't have funds to pay for an order that was an auto ship and said backordered, and after ordering something else, I got billed for it. Not knowing what this charge was,"/>
        <s v="Petflow carries our dogs preferred high quality food &amp; treats, we auto order and receive our shipments quickly."/>
        <s v="I like Petflow. I have ordered from them before. This time it took way too long to get my order. And the only reason I got it when I did is because I called and complained. Then they showed it being shipped right away but it still took 5 days after compla"/>
        <s v="The whole reason why I ordered from petflow is because of their quick shipping in 2-3 days. It took over a week for my food to arrive. I had tobuy another brand of food that upset all of my dogs stomachs. Never again."/>
        <s v="I was very happy to be able to find a food item that I needed that was sold out on Chewy, Amazon and all of my local pet supply stores. The only reason for the 4 stars instead of 5 was the delivery notifications. I understand delivery delays especially ri"/>
        <s v="Very impressed with being able to get what I need for my fur-babies special food. So far it's always been in stock, unlike the competitor sites and various pet stores. Prices are a smidgen lower than everywhere I've normally gone. Delivery is 50/50 at thi"/>
        <s v="Easy website to navigate, fair prices, and fast shipping!"/>
        <s v="Customer service has. Definitely declined. Website keeps changing making it difficult to order when you want. Iused to order 3 different products at 3 different times of the month and still get the auto ship discount now i get nothing.been a member since "/>
        <s v="Third time they have got the order wrong !!!!!!!!!!!!!!!!!!!!!!!!!!!!!!!!!!!!!!!!!!!!"/>
        <s v="I have been pleased in the past with available dog foods, treats, toys, etc. and delivery. I have experienced a lot of &quot;out of stock&quot; items that I have on &quot;auto-ship&quot;. I have had to buy these items on my own else where."/>
        <s v="Fast delivery"/>
        <s v="Great discount on Hill Science canned food for my dopey cat. It's becoming difficult to find the &quot;Chicken n Rice&quot; flavor so it was a relief that you had it."/>
        <s v="You carry the dog food that my puppy needs for his first year. The prices are reasonable and affordable."/>
        <s v="I tried to switch my monthly orders for food, treats, meds, and flea collars to PetFlow. It was a disaster. I get how the economy is currently but your communication is terrible. I can’t work with a company that takes days to acknowledge a request. And I "/>
        <s v="Can someone contact me?&#10;281-222-0505"/>
        <s v="Excellent product, delivered quickly, competitive pricing."/>
        <s v="Need a better way to let people know that their order was shipped with a tracking number. Had to text you to find out when my order was to be shipped, when I received an email telling my that it was shipped and there was no tracking info available. Need t"/>
        <s v="I was able to get my dog’s food from you when no other retailer had it. Thank you"/>
        <s v="Product was as advertised,works great. Arrival was fast,price was good. Service was friendly and professional. Great company."/>
        <s v="5 days after I should have recieved my order, I called because I did not know why or where it was,well was told by a very rude lady she would send an e mail to hurry up my order at another warehouse because they had none. I asked why they didnot notify me"/>
        <s v="Fast service, good prices, arrived in great condition. Has follow up emails."/>
        <s v="Chewys orders always arrived within 2 days. I decided to give Petflow a try. After close to a week, I had to call Petflow to ask where the dog food order was???. They said they delayed getting the order through - waited until the next day to initiate the "/>
        <s v="I love that my choice of dog food is always ready to deliver to our door when we need it. Auto ship is great, and not having to lug the big bags home from the store is even better."/>
        <s v="The products I ordered arrived quickly and website was easy to navigate."/>
        <s v="Disappointed. I created my first order on 11/17 and order still hasn’t even shipped (11/28). No communication updates either. Uggh!"/>
        <s v="Very happy with my purchase. Shipping is fast and communication is excellent!"/>
        <s v="It was supper easy to place my order, shipping was quick"/>
        <s v="Good job sending package on timely basis. Thank You."/>
        <s v="Always super fast shipping, and great packaging!"/>
        <s v="Always good condition of cat bagged food. Arrived in great shape and the order was correct.Timely order."/>
        <s v="Had products I couldn't find any other site!"/>
        <s v="Dog food was listed in stock at time of placing order. After a few days of showing shipped, ends up order wasn't shipped. I called and was informed that it was out of stock in the warehouse."/>
        <s v="NEVER RECEIVED MY ORDER IN OVER A MONTH AND SPOKE TO OVER 10 CUSTOMER SERVICE PEOPLE. DON'T BUY FROM THIS COMPANY !!!!!!!!!!"/>
        <s v="Order placing was easy. Great site set up. Like the autoship offer too. Already referred them to my neighbor."/>
        <s v="Ordering was easy and my purchases arrived quickly, which is wonderful during these times.&#10;I give this site a 3 instead of 5 because I was unable to read reviews on the products I bought. My cats are not eating one of them, and would like to know what oth"/>
        <s v="Saved from having my kitten upset. I have been unable to find the food my kitten eats. After several trips to pet store with no luck. Went online to Royal Canin site and Pet Flow was a recommended store to order from. Fortunately for my kitten y'all had p"/>
        <s v="I liked the prices and the toys and treats available but, several of the items that I ordered &quot;sold out&quot; and were removed from my order AFTER I'd checked out and PAID for them??! However, I will be giving them another chance when the supply chain problems"/>
        <s v="Good service"/>
        <s v="Fast shipping and great inventory of cheap toys"/>
        <s v="We use auto ship for most of the products we buy online. I found Pet Flow's auto-ship program to be extremely difficult to manage and no longer use it. As a result, I often buy pet products from other suppliers. We have 12 pets and buy a lot of pet produc"/>
        <s v="Speedy delivery, stuff usually comes within 3 or 4 days, Good customer service, I called to ask a question about my product and they answered quickly and with good telephone manner. I just signed up for auto-ship we'll see how that goes. I just wished the"/>
        <s v="We love the convenience of auto shipping. We were surprised at how easy it is to add or delete items for a specific auto ship or for future orders. The prices are fantastic and I like that I can still find Fromm products here."/>
        <s v="Very smooth experience. Good price and reasonable and quick shipping."/>
        <s v="Order and paid for dry dog food and 12 cans of wet dog food. The day they shipped it, I got an email saying they will refund me cause they are all of sudden out of that particular wet dog food!! I then had to run everywhere to find it…. At the last minute"/>
        <s v="Everything went very smoothly from ordering all the way to delivery. I was very happy and will use them again."/>
        <s v="Delivery was delayed 3 times. Said 2 day delivery. I got it in7 days. Not satisfied with delivery."/>
        <s v="Ordered prescription dog food, but got nothing but excuses. For over a week, their reps made one excuse after another as to why my dogs food was not shipped."/>
        <s v="Excellent service. I'm a happy customer!!!"/>
        <s v="I am totally impressed with petflow, they deliver product quickly and have the pet food in stock and if they are out of stock they will send email to let you know that it is back in stock. They are now the only one that carries my dogs food and I hope the"/>
        <s v="I have been&#10;using petflow for several years because they carry the type of dog food I want my dogs to have and no stores anywhere near me have it. In fact trying to get high quality dog food I'd have to travel an hour one way so it is very convenient to h"/>
        <s v="Very fast shipping! They sell good quality items."/>
        <s v="very good customer service. contacted my vet for prescription diet food and shipped out immediately. highly recommend!"/>
        <s v="Great products and service that excels. More than satisfied consumer from Maryland ."/>
        <s v="I spoke with a very helpful woman who checked with supply &amp; found a case of Hills Savory Cat food. Our local PetSmart had been out of it for a while. My 16 year old cat loves that particular food and takes her meds with it-she has hyperthyroidism. The foo"/>
        <s v="I placed an order on 11/2. Received an email saying I would get a shipping confirmation when it shipped. When not received by 11/12, I reached out to customer service and was told it was delivered on 11/11. As of 11/14 I still have no food &amp; was forced to"/>
        <s v="My husband shopped here last Christmas and gave it 5 stars. I like the site because they have unusual things and make great gift items."/>
        <s v="I requested the heavy package be left at the garage door under the overhang. But it was left at the front door instead. Otherwise very easy convenient efficient order and delivery."/>
        <s v="EXCELLENT service and everything packed with care."/>
        <s v="Currently waiting to receive order. Know distribution system is messed up. I will try to explain to my hungry miniature doxie. Would have been helpful if at the point of order for Petflow to made a statement that delivery could take up to X weeks or more."/>
        <s v="I love the quick delivery when we order our dog's food! So convenient!!"/>
        <s v="good cat loved it"/>
        <s v="Ordered dog food for the first from PetFlow. The ordering was simple, easy website navigation and the product arrived in a timely manner."/>
        <s v="They let me order food and charged me and called my vet to confirm the prescription, and they didn't even have the food in stock. In these times of cat food shortages, wasting my entire week thinking I had found food for my cat was detrimental to my findi"/>
        <s v="Very good customer service.&#10;They work with you to get you just what you want."/>
        <s v="I’ve used PetFlow for a year now, and love it. The orders are easy to complete and quick to deliver.&#10;I had to call customer service to change my order and quickly received the credit on my card. I switched dog food brand and mistakenly forgot to cancel my"/>
        <s v="Package was a week late but I believe that was FedEx fault. When I contacted petflow about the delay the response came relatively quickly and they let me know they contacted FedEx to figure out the issue. I received the package the next day. The customer "/>
        <s v="Great pricing however I Wasn't able to use my 10% on my second order as promised. I did rate the company a 4 star however after reading the other 1 star ratings I feel I'm just another customer that was mislead."/>
        <s v="Very slow to ship resulted in poor arrival time. I thought 10 days was enough time, but was wrong."/>
        <s v="I spoke with somebody in chat and I canceled this order I was told that my order was canceled I asked for confirmation that my order was canceled to an email they told me we don't do that two days later I had two of my 50 lids show up at my door after it "/>
        <s v="Although I have had great success with using PetFlow in the past, currently their service is quite poor. I had a older cat is needs Vet prescribed food. After ordering food recently, PetFlow informed me the Vet indicated I have &quot;no relationship&quot; with them"/>
        <s v="Petflow has cat food that I can't find elsewhere, which is nice. I like their automatic programs except for not being able to edit them. I've been sent products that I can't use and have to contribute to the Humane Society. Delivery is always fast and wel"/>
        <s v="My dog food always arrives on time. They always correct if a mistake happens. We are happy with the service."/>
        <s v="This gate is working very well at our house. The two-way open door is terrific. We are very happy."/>
        <s v="Great prices, selection! Fast shipping, love PetFlow!"/>
        <s v="Excellent selection of items and their delivery was spot on and timely. I tried them when Chewy did not have the brand of food that I was looking for. I learned that since chewy was purchased by Petsmart they no longer carry Fromm‘s dog food."/>
        <s v="Thank you so much Petflow, you have the prescription wetfood available for my Halo!"/>
        <s v="The delivery of our canned dog food was quick. We had a problem with one of the cases due to the shipper and PetFlow customer service was excellent!"/>
        <s v="Never received the dog food I ordered nor did anyone follow up after I called them inquiring about the missing order. Super disappointing, untrustworthy, and poor customer service"/>
        <s v="Petflow is a great company to do my on line buying from. the customer service persons are the best!"/>
        <s v="like the quick service and available products. i have only had one problem since using PetFlow. Ordered pill pouches and they arrived smashed. good company that I have recommended."/>
        <s v="Always get my pups treats and food from Petflow! Great service and super quick delivery with updates."/>
        <s v="On Oct 29th after not being able to obtain the prescription canned dog food needed through normal online pet care provider for over 60 days, I found the PetFlow website which showed the food was &quot;in stock&quot;. To be sure I called the same day &amp; spoke to an A"/>
        <s v="Customer Service is excellent! What they say...happens and quickly. Delivery is fast, packaged very well. Notifications of shipment, delays, when to expect delivery are outstanding!&#10;LOVE THIS COMPANY!....they genuinely understand how important our fur bab"/>
        <s v="I had a hard time finding what I wanted, and PetFlow had it! Fair price, fair shipping cost, and timely. I will be a repeat customer."/>
        <s v="Always what they promised. Great deals"/>
        <s v="I ordered a few items using an account credit. When one of the items was “out of stock” at one warehouse and had to be shipped from a different warehouse, they charged my PayPal account without my consent for this item that was already paid for using the "/>
        <s v="Great prices, easy to order, and prompt delivery. I'm a convert."/>
        <s v="I have ordered the 100 pack of bully sticks from Petflow several times. They are an expensive item anywhere and the cost keeps going up as with everything these days. Their prices are fair and their shipping is fast. One thing I have noticed is that the t"/>
        <s v="Ordered online instead of my local store who is almost always out of stock. I just order when the old bag is halfway empty - food comes within a couple of days usually. No issues."/>
        <s v="My order was filled shortly after it was placed, but 5 days after it was due to be delivered, only 1of 3 boxes has been. The other two boxes are sitting at a Fed Ex center, waiting to be loaded onto the delivery truck. The Petflow customer service people "/>
        <s v="I ordered my dog’s food and had it within a couple days. And free delivery to boot!"/>
        <s v="Our order was delivered very fast . The price was reasonable. The website is easy to use."/>
        <s v="Came on time and exactly what I needed. Couldn’t find it anywhere else Thanks!"/>
        <s v="Placed order and received it in less than one week!"/>
        <s v="What a MESS this company is! I thought Chewy was annoying.&#10;&#10;I will NEVER use Petflow again!"/>
        <s v="When I received my order the box and the bag of dog food had been ripped open. I called customer service and they had a new bag out the same day. Awesome customer service. Thank you very much!"/>
        <s v="Outstanding, well trained, smart, friendly &amp; knowledgable customer service. And I depend heavily on the auto-ship program,"/>
        <s v="Ordered everything. I have a “chew everything puppy” I placed my order then received an email for a couple items not in the warehouse. That was fine, but never received either an email or receipt for my items or what my final cost was. They did state I wo"/>
        <s v="I Love Petflow. They always have what I need for my dog , and ship it out fast. A+ service every order."/>
        <s v="Everyone at Petflow seems to be familiar with their inventory &amp; very helpful. Great place to shop for your pets needs!"/>
        <s v="THE TREATS WERE PERFECT AND FAST SHIPPING THANK YOU"/>
        <s v="Petflow was recommended by my girlfriend and I switched dog food and my dog loves it and I have no complaints 10/10 Recommend! And I can set up times of delivery between bags."/>
        <s v="Just started auto ship of a cat food for skin allergies made by Hill's and once I know how much I will need of Blue Buffalo's I will make it auto ship. The Hill's I am running into availability of just ordering when I need it or at the vet's. It was even "/>
        <s v="Love pet flow! Very kind and friendly customer service. They Always have my cat bff weruva in and the 10% off is always a plus!"/>
        <s v="i have been pleased with Petflow. Customer service has been great, products are good. The only problem I have had is using your website to cancel autoship. i have only been able to pause it. i don't know if this is intentional or an oversight. i know I ca"/>
        <s v="My doggies food comes so quickly after I order. It’s always in perfect condition."/>
        <s v="Always an easy transaction, we order our dog food from here regularly."/>
        <s v="Didn’t have my order in stock and canceled my shipment. With a puppy it is hard to just up and switch food when an order doesn’t arrive as expected, so had to go to extra lengths to find the specific food."/>
        <s v="Awesome as usual --- always. on time, great customer service and fantastic product!"/>
        <s v="Our toy poodle has been permanently put on Hill's canned stew due to health issues, but we found it was not available due to a supply shortage. Then we turned to PetFlow and found her entire supply with fast delivery. PetFlow looks out for our furry kids "/>
        <s v="I love the autoship option for my cat items purchases. In particular I order large containers/boxes of cat litter....PetFlow does an excellent job of packing it and it always arrives undamaged. They also keep me informed of any shipment delays ,etc."/>
        <s v="I began using Petflow several years ago. I love them because:&#10;1. I can speak to a real American born person who always helps me.&#10;2. They carry brands from small companies such as Fromm.&#10;3. Somehow, they get FedEx to deliver to my house on time. FedEx usua"/>
        <s v="Product was delivered quickly, on time, with no damage."/>
        <s v="Excellent communication and reliable, timely deliveries. Customer service is the best I've ever worked with. My go-to supplier for quality pet food."/>
        <s v="Excellent customer service and easy auto ship options."/>
        <s v="Good service, selection, prices"/>
        <s v="Customer Service has always been polite and helpful but unfortunately I have needed to use them frequently with my autoship orders. I had 2 pets getting prescription diets but they kept sending the requests for refill to the incorrect veterinarian, then s"/>
        <s v="The item I ordered turned out to be unavailable. I received an email a few days after ordering which informed me of that fact. I don't know why you can't update your website so someone doesn't end up ordering something you don't actually have. Thankfully,"/>
        <s v="I placed an order and had to cancel. I was shocked how quickly my text message was received and taken care of. Not entirely trusting the text system, I called customer service and the lady was courteous and confirmed order was already canceled. Customer s"/>
        <s v="PetFlow is wonderful! The lady I spoke with taking my order was terrific! My pet food all arrived quickly and in good condition, delivered right to my front door! 😄 Thank you PetFlow! 👍"/>
        <s v="I wish I had known about you sooner. I order my pups dog food &amp; it arrives the next day! Thank you for such great service."/>
        <s v="Products are great. Good selection. Could have been better communication on the order status and shipping times. Compared to other companier i order from, taking 3 or 4 days to prepare an order to ship is too slow. Especially with little to no communicati"/>
        <s v="I was pleasantly surprised that PetFlow had products that Chewy had out of stock, and they shipped it free and fast. Good work, PetFlow! I will definitely buy from you again!"/>
        <s v="Always great service and excellent selection."/>
        <s v="have been waiting for almost 2 weeks for the dog food i ordered?? they said it got lost??"/>
        <s v="I really like Pet Flow and would order from them more but it seems like they are frequently out of stock of the products I want. So I am then forced to go elsewhere and shop."/>
        <s v="Great price and item was shipped out in timely fashion."/>
        <s v="PetFlow has excellent customer service. I ordered a case of canned dog food and it once again came with almost all the cans dented. I called to let them know and they sent me a new case of cans without dents. Would have liked the original shipment to have"/>
        <s v="When it comes to the phone reps, I have always had friendly and competent service from PetFlow. However, the inadequacies of the website have me at the point of switching companies. I have set up AutoShip for Rx cat food. When I log in, there is just no w"/>
        <s v="Customer service was great, but I was disappointed in the bully sticks. They were the right length but very small around. Not what I expected."/>
        <s v="I liked the idea that at PetFlow I can get Fromm dog food and treats delivered right to my door with free shipping."/>
        <s v="Can you wait til I receive my order? So far your premature review begging is a turn off"/>
        <s v="Great site, lots of items I couldn't find elsewhere, especially limited ingredient feline canned. Shipping was fast. Will buy again for sure"/>
        <s v="I am so very pleased with PetFlow. Every shipment arrives on time, prices are fair, customer service is outstanding, and shipments arrive properly packed. Have never had anything broken."/>
        <s v="I have 5 cats for whom the ChickennNreast is a regular morning treat. They all look forward to it every day."/>
        <s v="Delivery of my product arrived timely but I needed to cancel my auto-ship. When you select to cancel there is NO option to cancel, only &quot;pause&quot;. I had to wait until the next day to call and and speak with someone to cancel and when asked &quot;why&quot;, I had to s"/>
        <s v="My experience with PetFlow was excellent. Their pricing and availability of products is very good. The kept me informed of my order status from start to finish. They were the only company that had what I needed and I received my order promptly. I will con"/>
        <s v="Bad experience. Took forever to acknowledge receipt of pet Rx, all the while losing time to secure the limited supply of product I ordered. By the time they confirmed receipt of the script and acknowledged the order, the supply dwindled and I lost the pro"/>
        <s v="Always fast shipping and great products !!"/>
        <s v="Products are fine. Website is fine but I have a problem with auto ship set up. It is impossible to cancel auto ship program. I can delay and change the date of shipment but cannot cancel without calling the office and because of this have received duplica"/>
        <s v="My puppy and cat love it.&#10;I love how big the bowl and reserve &quot;tank&quot; are and how quite the motor is as well as the way the water circulates in the bowl, no splashing. I had the large original drinkwell pet fountain and so far I prefer this one a lot over "/>
        <s v="This was the very first time I ever purchased from the site and I was a little nervous in the beginning but that was all changed when I found out that they shipped on the day they said they were going to and I received it when I needed it I am very happy "/>
        <s v="It’s been weeks and I haven’t received the good yet! I can’t believe they are asking my opinion of an item that hasn’t arrived yet!?"/>
        <s v="the orders are always late. the customer service rep was rude and unhelpful. I had to speak to the manager to get some resolve."/>
        <s v="Because as a customer PetFlow mislead me . PetFlow sold me merchandise and the sold it to another customer then sent me a message that they were now out of stock . And PetFlow still has not refunded my money . We will never shop with PetFlow again . TA"/>
        <s v="First time ordering with this company, placed the order on 10/17, by 10/28 still hadn’t received it. I called and apparently the shipment got lost. Employee offered to send out another order but declined to give any type of promo code or discount even tho"/>
        <s v="Unfortunately when I placed my order my items were in stock. Then I got an email saying they were out of stock and I was refunded. Haven’t order again."/>
        <s v="Very punctual and nice. But the FedEx delivery person did not do his job. Left the box near the mail box and not at the door. I am senior and cannot pick up this heave box."/>
        <s v="PetFlow came through for me with a prescription order when Chewy could not! Hours on the phone with Chewy and multiple customer service agents and Chewy failed - they have problems over there. I contacted PetFlow and they took my prescription and had my c"/>
        <s v="Love the convenience of not having to shop and hoist large bags of food."/>
        <s v="I ordered treats that showed in stock. They never came so I emailed they said they were now out of stock and would notify me when in stock? They ended up cancelling my order . Not a good experience for first time customer."/>
        <s v="Great fast service, great intro prices for new customers when you do autoship!"/>
        <s v="Horrible customer service keeps lying to me about when my order is going to come in every time I looked it up it was supposed to be delivered today at at 10:30 in the morning now too and it never showed up and I can't seem to find the damn email to tell m"/>
        <s v="Most anything I was looking for I was available on PetFlow and at a good price."/>
        <s v="Received mats exceptionally quickly for a very good price."/>
        <s v="Fast order, great packaging ,great price!"/>
        <s v="I love the service however 2 bags of dog food I have received had busted bags and dog food all in the boxes."/>
        <s v="I used to use other well-known online mail pet services but they stopped carrying the brand of dog food I have given my beloved English Singer Spaniel for 15 years. I then discovered Petflow carried this brand. They are courteous, professional and most im"/>
        <s v="I ordered a product that said it was in stock only to be told 5 days later it was out of stock. The website is misleading."/>
        <s v="great prices, products and customer service"/>
        <s v="The kitty litter box split and was all over the box."/>
        <s v="Fast, carefully packed service"/>
        <s v="This is a fantastic gate. It looks divine and was easy to assemble. Perfect for my Maltese! Thank you."/>
        <s v="You take orders knowing products not available. No trust ever again."/>
        <s v="Petflow has a good selection of products. They are almost always in stock. The have competitive pricing and they deliver quickly, usually 2-3 days."/>
        <s v="Reliable product. Easy ordering process. Dependable delivery. Thanks, PetFlow!"/>
        <s v="I have place 2 orders with Petflow. Both orders shipped out on the same day. Packages arrived quickly. Excellent company. Highly recommend"/>
        <s v="Great selection of products &amp; emphasis on very healthy items. Good price points &amp; delivery is always on time &amp; in good condition."/>
        <s v="Thank you for carrying my dog’s prescription dog food, Hill’s Metabolic. Your website was the only trustworthy site in stock! My dog, Beau, says thanks for his food too."/>
        <s v="I ordered food for my dog on the PetFlow website. My first order took a little while because they needed to verify with my vet since it was a prescription food. My second order was shipped the next day and arrived a day later at my house. Excellent servic"/>
        <s v="Great customer service. Quick &amp; courteous"/>
        <s v="I’ve been using PetFlow for years for my dogs food subcritical platform. The customer service is outstanding, the product diversity is unbeatable!"/>
        <s v="Placed order for dog food that I needed ASAP. Then days later Petflow cancelled order and won't refund my payment for 3 to 5 days. I had to then find a physical store that sold my brand of food. So aggravated. Didn't they know my order wouldn't be fulfill"/>
        <s v="All item sent even if it took more than one box for same free shipping"/>
        <s v="Products ordered 5 stars. Ease of ordering 5 stars. Speed of shipping (which may or may not be PetFlows issue) 4 stars. My order included dog food. I was only given 1 tracking number and unfortunately that tracking number was for the items shipped separat"/>
        <s v="Ordered Butcher Block Bones and a box of dog biscuits. At checkout there was no information that the bones were out of stock. You shipped only the dog biscuits, I cancelled order. You said it already shipped and we could just go ahead and keep the biscuit"/>
        <s v="I was impressed with how quickly my order arrived. It was protected in a strong box. Very professional. Thank you."/>
        <s v="I ordered a new Flexi leash for my canine, having carefully researched various sites and noting PetFlow for my first time. Decided to have a go and was pleasantly surprised at the pricing, service and delivery. They run out of the leash but notified me im"/>
        <s v="Product that is not available elsewhere is available on PetFlow, which I appreciate. With supply issues from the manufacturer, PetFlow provides another option to find the pet food I'm looking for.&#10;&#10;Shipping time is slower that other online sites, so I nee"/>
        <s v="First time using. Will use again."/>
        <s v="Your selection and prices are good. I also appreciate the discounts available. Only thing I have a problem with is FedEx delivery. But since I eventually get my order I'll be okay with it."/>
        <s v="Excellent service, however now I can not find the product anymore.&#10;Vital Essentials Relief Hemp Dog Chews relieves inflammation."/>
        <s v="I have been trying to find the special urinary diet treats for my fur baby for months. I finally found them on your site only to be told weeks later whoops you don't have them!! Well, put it on your website then that they are unavailable!"/>
        <s v="Great selection and services.&#10;Happy dogs!"/>
        <s v="Everything from locating products on the website to check out was very easy. I wish that some kind of summary or packing slip was included with the delivery but other than that, everything went as smoothly as it could. Thank you!!"/>
        <s v="PetFlow has the products I need and if they don't they can explain to me why they don't and why I can't find the product anywhere else. Something might be happening at the manufatcurers end or with the distributer, etc. They are always very helpful if I h"/>
        <s v="it seems a bit difficult to delete an autoship... maybe its me?"/>
        <s v="Not very long shipping from the date of the order, prices same as Vet"/>
        <s v="Ordered on 10/6. Prescription approved the same day. Item was in stock. Estimated delivery Oct 25. 19 days for a prescription assuming it arrives on the 25th and no update at all? Unacceptable and the same thing happened the last time I ordered. Terrible "/>
        <s v="I get all my dog food and treats from you. Usually all is good and no problems..however last order #9445812..the 30 lb. bag of their NutriSource Weight Management bag was torn and kibble leaked out into delivery box. I do not like giving my pups any food "/>
        <s v="Petflow always has the prescription diet dog food in stock my dog requires. I don't have to wait for them to ship. Thank you for your service."/>
        <s v="I've used this company twice and both calls were speedy and user friendly. I've also used Chewy and those calls tend to be cumbersome. (Nice people at both companies.) Ex, Chewy asks lots of questions before I can place my order. I believe PetFlow just ne"/>
        <s v="Love the products and ease of ordering. My problem is with the actual shipping/packaging of items being sent to my house. Often EVERYTHING (no matter what size or weight) is thrown into the same weakly sealed (one strip of packing tape), thin cardboard bo"/>
        <s v="My purchase was delivered in a timely manner.&#10;Prices are FABULOUS!! JUST 1 AT ANY OTHER RETAIL STORE IS $4.99 ish.&#10;&#10;Once I'm finally moved into my new house I will start automatic shipping ."/>
        <s v="Always correct &amp; timely. A bit of delay due to getting items further than NV to AZ end point. But that is expected in the shipping issues across all businesses."/>
        <s v="So far, so good.&#10;Petsmart has let me down with late shipping, not in stock and 25lb bags of dog food with WAY too much powder! They refuse to ship in boxes that match the large bags and simple will NOT use any kind of packing!&#10;F-that, we be dun wit does M"/>
        <s v="First time ordering autoship for dog food. So far, so good."/>
        <s v="Quick delivery and always coupons to be found"/>
        <s v="Quick, dependable service with diverse item selection. Most companies now offer free shipping on all orders which should be a consideration here."/>
        <s v="Great product. The company you use for shipping is horrible. Boxes opened when delivered. Bags of food broke open from throwing it down on the ground. Poor shipping"/>
        <s v="Great prices and products in stock, ready to ship. I will definitely order again."/>
        <s v="Great service and fast delivery excellent 👍"/>
        <s v="Always a pleasure shopping with Pet Flow!"/>
        <s v="Great company. Quick shipping. I order dog food from them all the time but was disappointed on the last dog toy I bought this time. My little dog that doesn’t really destroy toys had this stuffed pizza toy destroyed after 20 minutes. I probably won’t orde"/>
        <s v="Always got what my cats want and always delivered on time. Petflow gives me one less thing I have to worry about with there auto ship."/>
        <s v="Great company with excellent customer service."/>
        <s v="Great prices, excellent shipping time! Thank you!"/>
        <s v="2nd time ordering from Petflow and I am a very happy customer. I read a lot of bad reviews online about this company and was a bit concerned, but honestly, I've had an excellent experience with them so far. The order was accurate and I received the produc"/>
        <s v="Excellent customer service. Very professional and accommodating.&#10;Thank you."/>
        <s v="Petflow’s prices are good and the delivery is super fast."/>
        <s v="I ordered prescription food from them, which needed my vet’s approval. Spent over $100. At first, the food order was put on hold until January 2022 (???). I contacted the customer service and they were able to get rid of the pause, but they still had to c"/>
        <s v="Competitive pricing. Product availability and FAST shipping. Thank you, Petflow!"/>
        <s v="Gave petflow a chance because chewy was out of stock on one of the items I needed and petflow showed it in stock. After placing and paying for the order I got an email stating one of my items was out of stock. Turns out it was the same one chewy was out o"/>
        <s v="I think I'm going to like this sifting litter box that I just bought. It's different from anything I ever used before but it's simple enough to figure out."/>
        <s v="I loved the selection and ease of checkout on PetFlow. The one time I dealt with customer service was completely painless and I would recommend this company to any pet owner. The only improvement that I can think of would be to have a way to save items fo"/>
        <s v="Competitive price&#10;Fast delivery"/>
        <s v="Good pricing, great variety, quick service! Need I say more!?"/>
        <s v="The first time I ordered my dog’s canned food, the experience was pretty negative as none of my requests were taken care of. It was if they just ignored me. The second time was a better experience."/>
        <s v="Ordered item 2 weeks ago, web site said in stock . called twice did not receive any real answers or satisfaction, said it was problem at he supplier's warehouse UPDATE Just received email that product just shipped All is good"/>
        <s v="First I was told my food order was on its way and shipped then told it was on back ordered and can’t be delivered . I want to cancel my order but have no where to call or know how to do it&#10;But company sends constant emails .&#10;Also I ordered toys based on m"/>
        <s v="They have products of dog food I can’t find anywhere else"/>
        <s v="Products are great, service was great. The packaging for shipment was terrible. Both boxes were broken open, due to poor, lack of packing material. it was amazing items ordered were still in the boxes."/>
        <s v="MY DOGS ARE HAPPY AND SO AM I WITH THE SERVICES ON DELIVERY OF THEIR FOODS,AND MY CATS ARE HAPPY TOO."/>
        <s v="There no price gauging. My order was received quickly and packaged perfectly. I will order through them again."/>
        <s v="Respond to emails very quickly. Take care of a problem pronto."/>
        <s v="It is difficult at times to get dog food during this pandemic. Petflow is dependable. Thank you!"/>
        <s v="Excellent service and delivery. Selection of products is probably the best that I've yet to find. Shipping has been on time. Pricing is very competitive. Thank you for a positive experience!"/>
        <s v="The replacement squeakers I purchased were supposed to be large unfortunately they were medium sized merely passed off as large. They were barely bigger than the small squeakers I also purchased."/>
        <s v="It was supposed to be here Thursday. It is now Wednesday, almost a week late, and no estimated delivery date. I was hoping this would be convenient. However, now its way worse than just driving 20 minutes to the pet store!"/>
        <s v="Overall the service is good, but: I have a routine shipping monthly on the 11th. Unfortunately my order of prescription dog food was not picked up by FedEx until the 12th and not shipped until the 13th. Now it looks like I will run out of food a day early"/>
        <s v="Prices are good, however shipping time not so good. My items took about 6-7 days to arrive. When using other company 2-3 days tops. This probably why I will not shop with pet flow again"/>
        <s v="Love the delivery. It’s heavy for me to carry to the trunk and then into my house. Plus the food is great and so are the treats! Thanks"/>
        <s v="Ordered several teddy bear toys - enough to get free shipping. Arrived so quick. My dog loves these toys - they are quite durable and she’s quite a chewer. I’ve got enough to last for a while. Got a good price too (not dependent upon quantity) - better th"/>
        <s v="Ordered Fromms pate canned food for my dog’s upcoming surgery. Promptly shipped but delivery was held up with no updates. Contacted Pet Flow to see if they could get any information. Aimee quickly responded that she would contact the shipper and would get"/>
        <s v="Great service, reasonable prices, good quality. Will definitely buy again"/>
        <s v="Usually we have a great experience with PetFlow. This time however was a real struggle. I was told over and over by PetFlow that they reached out to our vet for food approval, but my vet told me they never received any contact from them. I even went to my"/>
        <s v="I contacted customer service because I received the wrong dog food and they immediately resolved the situation and sent me a return shipping label. This company has some of the best and quickest customer service agents I’ve ever dealt with."/>
        <s v="Excellent, fast service."/>
        <s v="Very easy ordering. Only site that had the wet food I needed. Took a little longer to ship but was received in an acceptable period of time."/>
        <s v="I have been a returning customer for a while now. PetFlow has always had excellent service. It is most appreciated. Thank you!"/>
        <s v="PetFlow had the specialty prescription dog food my Vet could not get. They made the buying process easy and shipped quickly. I will keep shopping with PetFlow."/>
        <s v="Great customer service! Their text option is awesome!"/>
        <s v="My order was well wrapped and delivered in a timely fashion. I will continue to use Pet Flow and highly recommend them."/>
        <s v="Love this company, so easy to work with."/>
        <s v="Excellent service. I would recommend."/>
        <s v="Amazing service. The prescription dog food I needed was back ordered by the manufacturer. I explained to the PetFlow customer service that that was the only food my dog could eat. They did an online search and found it and had it shipped to me. This was n"/>
        <s v="I appreciate how fast my orders are delivered and that they have exactly what I am looking for."/>
        <s v="See CSR file."/>
        <s v="Easy to order form the site. Order shipped and arrived quickly."/>
        <s v="Ordered 30lb bag of dog food and order was processed immediately and delivery was quick"/>
        <s v="Found this vendor “on line” . They were one of the only sites that had the prescription dog food I needed. None of the local pet stores had this food in stock. I ordered the food from them at a reasonable price and received the shipment in a timely manner"/>
        <s v="I have no idea what I bought from your site, but all my online cat food orders have been prompt and the requested product was the one I received. But if this was the Royal Canin cat food order -- my God! the price! (Not you, the manufacturer.) Lee Hoffman"/>
        <s v="My cats eat a pretty particular food that can be hard to find. Found it on PetFlow and for an affordable price. Everything arrived safely and quickly. You can contact them directly by text and email. I did to check on shipment status and a real person got"/>
        <s v="Ordered dog food which they said was in stock . Prescription food for my dog. After paying for it the next day they tell me &quot; oh we are out of that&quot;. This is the only food he can eat( prescribed) ."/>
        <s v="Great service. Great value."/>
        <s v="Great selection of in stock items and shipping is quick and dependable."/>
        <s v="Petflow had what I needed in cat food that I couldn't find anywhere else. However, it took nearly a week to ship although they were several days ahead of their shipping estimate. The long shipping may be mostly due to supply chain problems--hard to tell n"/>
        <s v="When our Vet said he wanted our Aussie's food changed, I had to cancel our standing order &amp; order the new food. I contacted PetFlow by email &amp; received an immediate reply. I am so impressed by the ease &amp; speed with which my &quot;problem&quot; was handled. Thanks f"/>
        <s v="You need to allow electronic upload of prescriptions for pet food. I had to mail the hard copy, and then wait for you to get approval from my vet after you received it. This took about 8 days. And why would you even need approval when I mailed you the act"/>
        <s v="This place is da bomb! They have very fast very nice customer service and that is far and few between these days!!! DO NOT hesitate do it do it! U will not regret. I was using chewy and pet smart and I’m out with those. As long as they keep my dogs in sto"/>
        <s v="Great experience. Will use them again."/>
        <s v="Easy to find exactly what I was looking for- quick delivery!"/>
        <s v="I was very happy with my experience. I placed an order for my cat’s food it shipped quickly and I got it within two days of being shipped. The cans were excellently packed and the price for food was great! I was and am satisfied with my experience and wil"/>
        <s v="Friendly staff. Good selection of dog food."/>
        <s v="Wrong food sent now I have to return it&#10;Redbox it drive to Fedx haul in in"/>
        <s v="We and our 3 German Shorthair pups, think your quick service and price are excellent."/>
        <s v="I ordered I/d chicken stew. After two weeks I called you and you said your order is out of stock. But still shows available."/>
        <s v="I always feel as though, they truly want to make their customers feel satisfied. I appreciate that very much."/>
        <s v="rder email confirmation was delayed and the email notification that shipment will be delayed was also late. Customer service needs improvement."/>
        <s v="Super convenient, great selection of grain free options, prompt delivery."/>
        <s v="Couldn't locate my brand of food in New state n city where I now reside. Found your website and luckily I now have my dogs favorite brands of food. Best part same price as it was in Minnesota at chuck n dons store. Better it was delivered to my door I wil"/>
        <s v="I was forced to buy two items to get to the minimal amount, only one was shipped, not the one I wanted."/>
        <s v="Couldn’t find our dog’s food anywhere. You were the only place we found and you got it to us so fast and even contacted our vet for approval"/>
        <s v="I have been ordering from PetFlow for several years now and have always been satisfied with the products and the delivery. Recently they went above and beyond on an order that was delivered damaged. The customer service was excellent and I was totally sat"/>
        <s v="Great phone help on getting Oscar’s Rx for Science Diet in and the food shipped quickly!"/>
        <s v="PetFlow had a prescription food in stock for my pet that other sites did not. They also had a great promotion for new autoship customers and a separate promotion that saved me money on my prescription food. When I had trouble applying the coupon code at c"/>
        <s v="Petflow has excellent prices and a great variety of items. Their customer service is exellent also. However it does take a bit longer than competitors to receive the ordered items and they shipped us the wrong item twice. They did pay for the returned shi"/>
        <s v="Petflow was a great find. With all the shortages and difficulties getting our cats Hill’s Science Diet, and with the price gouging at competitor sites, it was certainly gratifying to find what I was looking for at Petflow. Our cats are finicky and spoiled"/>
        <s v="Each time I placed an order of what was supposed to be in stock, the company took my order and my credit card information and then days later told me the product was no longer available. It really felt like a bait and switch after it happened 3 times. Rea"/>
        <s v="Specialty food said available on website, called to be sure available, too. Emailed a week later on backorder. Very poor customer service."/>
        <s v="I still haven’t received my dog food. FedEx keeps saying exception and attempted delivery that never occurred"/>
        <s v="I couldn’t find this prescription treat for my dog anywhere but Petflow had it in stock!! My dog is happy she can have a couple of treats a day now thanks to Petflow!!"/>
        <s v="Fast delivery &amp; easy to use website.&#10;Thank you,&#10;Laura"/>
        <s v="Fast service as usual. Product in good condition, well packaged."/>
        <s v="Wonderful product. Arrived as promised. Good company to do business with."/>
        <s v="Ordered Rx cat/case cans/Blue W+U on 9/21/21. Vet contacted on 9/22, responded same day. ON 9/30 still no confirmation that order had shipped.&#10;&#10;9/22 - Had made calls early-on to check to see if everything had been approved, processed and had specifically "/>
        <s v="As usual, everything arrived timely and accurately."/>
        <s v="I ordered the prescription dogfood I needed. Nothing happened. I called customer service and they told me they would expedite getting it shipped.&#10;A day later I got an email saying it was out of stock. This should not have happened. Now I am hunting for th"/>
        <s v="Discount was removed by site after checkout. Ordered from different supplier. Will not buy from petflow again."/>
        <s v="I have been satisfied with all orders placed."/>
        <s v="Received my delivery on the day it was promised."/>
        <s v="The quality if your products is what keeps me coming back. Also, you have a few things I have never seen anywhere else. I would purchase a lot more from Petflow if you had discounts or rewards for loyal customers. I spend A ton of money on my dogs. Most o"/>
        <s v="Love the service they try to make sure my order is filled every month"/>
        <s v="I ordered online a specialty food product that generally has been in short supply but the order was canceled soon after I placed it. When I called customer service to clarify, the rep did a search of warehouse inventory and at first found the product was "/>
        <s v="Products are good. Just shipping a heavy bag of aquarium gravel with a plastic container of cat food in the same package is asking for disaster. I understand it saves on shipping costs but it’s inconvenient to pickup hundreds of food pebbles."/>
        <s v="They advertised a product that they never had.&#10;I paid for it and waited along time for responses."/>
        <s v="I ordered food for my dog almost 2 weeks ago and have never received it. I called 2 today’s after placing the order and was told it would be shipped out the next day that was two weeks ago Friday, I called back again and was told they were looking into it"/>
      </sharedItems>
    </cacheField>
    <cacheField name="clean_review" numFmtId="0">
      <sharedItems>
        <s v="i shopped the product milk bone pill pouches for several weeks our dog is on holistic herbal supplements and dosing requires about five pouches a day petflow hands down is a best price retailer for my target product great value for consumer customer servi"/>
        <s v="arm and hammer litter is dust free clumpingseal which is difficult to find i used to wear a mask handling other litter not necessary now and no smell i have it on auto ship which makes it convenient and it is  less expensive than buying in store"/>
        <s v="i have been with them since  and my orders are on time when there was a delay during covid they were sending out notices and updates i had an issue with my fed ex people taking my dog food the company immediately send another order out to me they are wond"/>
        <s v="petflow was able to ship an important dog food product that was not available from other online merchants it was frustrating contacting the usual sources until petflow showed up on a browser search we had not heard of petflow before we will not forget the"/>
        <s v="i received a damaged pet food bag and the customer service people were so responsive and wonderful i received a replacement bag immediately i always prefer petflow because your shipping is always professional with no loose food or mess i always promote yo"/>
        <s v="this is the second time i have received rancid dog food from this company the first time they finally answered my email and said they would resend the order they resent the order and  item was wrong  they then ignored my email and didnt respond to my phon"/>
        <s v="the company was very responsive to problems i had manoeuvering their site the shipping was well within reasonable expectations&#10;my only issue has to do with the site not being easy for me actually mazelike in its degree of difficulty i wish it would be mor"/>
        <s v="ordered dog food and  days later no shipment no contact have to call to cancel order and delete your payment method pretty much a fake joke site"/>
        <s v="the people there if contacted go up and beyond to answer questions and help orders are processed in record time and shipped out fast&#10;very happy with the switch over to using them  very satisfied customer"/>
        <s v="this was my first purchase from petflow and i am impressed first when i set up my my new account i had issues with logging in i received the email with the  digit security code but when i used the link to use it i wasnt sent to the page to enter after mul"/>
        <s v="firsttime customer i ordered canned cat food because of the good price free shippinggood timely deliverygood&#10;however the packaging was terrible both boxes split open and from one box  cans had popped open spilling liquid throughout three other cans were s"/>
        <s v="ive discovered petflow because i searched for the best value i could find for bully sticks for my dogs ive been really happy with my purchases and will look to them for other pet supplies in the future"/>
        <s v="good product but it would have been easier if these  bags were boxed separately being a little old lady its hard to manage both of them together but its all good"/>
        <s v="i have had a great experience with petflow they carry fromm dog food which can be hard to find good prices the website is easy to use and i can adjust the date of my subscription as needed"/>
        <s v="i had to change my password the past three times i attempted to place an order everytime i ended up having to call customer service to place the order when i tried to tell the agent what was happening with the order app i kept getting replies that basical"/>
        <s v="i was surprised to be able to talk to an actual person whenever i called for support one of the few places i can buy the best food for my dog"/>
        <s v="quality fromm dog food and treats that can not be found on other sites exceptional service"/>
        <s v="i placed a large order my nd one petflow was running a good special unfortunately they had some internet issues which delayed my order however it arrived fairly quickly giving the issues one of the dry food bags had a puncture hole in it when i spoke to a"/>
        <s v="the shipping is usually pretty fast which is much appreciated there seems to be an issue with using my credit card on the petflow page but now i just use paypal and that seems to work out fine"/>
        <s v="one of the best things i love besides the great pet product selection is how petflow ships orders if something heavy is being shipped with something that can easily be crushed there is a u shaped piece of cardboard inserted in the box to create a protecti"/>
        <s v="had a technical problem with my account and had to call for help your rep was very helpful and got the food ordered and delivered quickly"/>
        <s v="really pleasant helpful people on the phones lowest price by far of any fast n free shipping great experience"/>
        <s v="i have used pet flow in the past many years ago with success and dont remember having the same issues ive had recently when i started using there company again a dog food called rockster which is produced in europe and only sold via a couple store fronts "/>
        <s v="my first experience was terrible i placed an order on may th and on may th it was not even being processed i cancelled it placed an order in chewycom and got it at the same day&#10;i will not use petflow anymore"/>
        <s v="cannot cancel an auto ship online cannot update expired credit card on auto ship online had to call nobody available until  am eastern finally pause auto ship and place new order do not ever set up any auto ship"/>
        <s v="first transaction and auto ship went well cheaper than chewy and all downhill after that cant log into account to change or cancel autoship tried password reset never get the email and checked junk email as well contact support ok well send you a password"/>
        <s v="i placed an order on may thupdates and tracking with fedex did not occur past the second day and ultimately an agent ordered a replacement order on may on may th the shipment was on a truck for delivery but did not arrivethe site still said it would be de"/>
        <s v="i just discovered petflow great selection prices just like or better than the online retailer named after a jungle i usually get my order in  days using standard shipping will continue shopping here"/>
        <s v="the items i ordered were exactly what i wanted and they were delivered in a timely manner"/>
        <s v="my delivery was very delayed and then showed up even a day later than it was supposed to very dissatisfied with this past order petflow wouldnt even offer to expedite the shipping even though the delay was on their end didnt even offed a discount for a fu"/>
        <s v="when i called to order anything the customer service representatives that represent your company they are so so nice and very knowledgeable and just i just love them theyre great"/>
        <s v="the product ordered needed to be shipped from a further destination fedex gave an arrival date of monday may  then changed their arrival date to sunday  may  it actually arrived on tuesday may  i had to go to the store to buy some dry food to see me throu"/>
        <s v="we purchased canned dog food from petflow their prices were the lowest we were able to find as this brand was hard to find elsewhere ordering was very easy and shipping was quick and flawless we will continue to purchase from petflow"/>
        <s v="petflow is the only place i can find fromm dog food their prices are reasonable and they ship quickly"/>
        <s v="it was able to order easily delivery was prompt and the products had good variety"/>
        <s v="i find the best price on my preferred cat food at petflow everything is also packaged neatly and arrived in perfect shape petflow has been great the only criticism would be that it took nearly a week to receive the order but now i factor this in when i pl"/>
        <s v="i have shopped at a couple of different online pet sites only to be disappointed and frustrated when i found petflow to say the least i was skeptical but to my surprise petflow came through as promised not only did they process my order quickly it was shi"/>
        <s v="the items were received in a timely manner and were packaged well the descriptions on your website were accurate and very detailed this was very helpful"/>
        <s v="i love your fast shipping and the fact that you use boxes that are strong enough to hold the contents you carry the bags of dr kelseys kitty litter instead of the new  lb boxes the boxes are too heavy for me but i can handle the  pound bags your prices ar"/>
        <s v="i had a very friendly young lady help me order my cat food her name is savannah it was a pleasure having her help me today&#10;&#10;today is  at the bottom of this page for some unknown reason someone chose to type in the date as may   not so "/>
        <s v="the customer service is outstanding  always kind helpful courteous and professional petflow often has special discounts ive applied to my purchases and can be counted on to have the special brand and flavor of dog food my admittedly spoiled princess dog e"/>
        <s v="this is the second time that ive been sent two shipments the system said i needed to update my credit card i did and then it was double charged and foible shipped"/>
        <s v="there was an issue with shipping and the petflow team resolved it within hours ive been a customer of petflow for several years and they always come through for my kiddos and me thank you"/>
        <s v="i had an issue with shipping damage they fixed the problem right away a"/>
        <s v="i placed my order on the rd of may after a number of phone calls my order hadnt been shipped on the th of may i asked for my money to be refunded i more than understand the business is small my account stated that my order was shipped on the rd when in ac"/>
        <s v="just discovered this company great price super fast shipping will definitely be back highly recommend"/>
        <s v="petflow has always been great with wonderful customer service support my only issue is that they dont protect their canned food deliveries very well and i always end up with a few dented cans they do offer to make it right i just wish it wasnt every time"/>
        <s v="my order arrived later than expected and some of the items were damaged leading to a frustrating return process petflow has its pros and cons and i would advise potential customers to weigh them carefully before making a purchase"/>
        <s v="the person was very kind but as soon as i hung up the phone my order was delivered it seems to me she should have been able to tell it was shipped i never received an email stating my order was shipped"/>
        <s v="great prices great customer service and really fast delivery"/>
        <s v="we can count on petflow delivery ontime with autoship like this easy way ordering my dogs food"/>
        <s v="very good prices and the product arrived in about a week we are perhaps spoiled by next day  two day delivery but thankfully i had anticipated running out of dog food"/>
        <s v="great customer service whoever i speak with always helps me with my issue"/>
        <s v="nice quality collar with a quick release snap i love this beautiful blue collar and matching leash petflow is the best"/>
        <s v="i arrived at site via a link that promised a discount discount appeared on checkout page and i checked out with the discount applied however discount was not included in final billing so i feel i was cheated"/>
        <s v="you bet everyone elses prices your delivery was great and the order was correct"/>
        <s v="the web site is difficult to navigate it takes several attempts to order a bag of dog food"/>
        <s v="petflow had the dog food product i was looking for i had spent a long time searching other various web sites and not having any luck petflow was very good with communications and the shippingdelivery of my order very excited to find them"/>
        <s v="to start the order did not go through after  attempts using my debit card to the point of me being highly suspicious about a scam it was not until i called the phone number because the rep in the chat and the text were dismissal that i was notified there "/>
        <s v=" days since i placed my order online called to verify that my order was coming from the nj warehouse im in nj about an hr away from the warehouse i still dont even have a comfirmation that my order has even shipped"/>
        <s v="they canceled an order without telling me and when i sent an email asking what happened the response was a little on the snarky side i asked a follow up question and never received a reply i thought id try this out but its not worththe headache and rudene"/>
        <s v="shipping took way longer than chewys and the box that fedex eventually delivered was in horrible shape"/>
        <s v="my credit card is always getting flagged for fraud with this site site itself has good selection with great prices but if i want to continue using it i have to make a paypal acct"/>
        <s v="the price was right time to receive the product was fast only issue was the packaging lbs of cat food and  lbs littler in a box that could not handle the weight the cat littler box broke open and we had little everywhere"/>
        <s v="all items arrived within a few days well packed&#10;ordered dog food and was a bit worried about possibly getting a short expiration date&#10;the food had an expiration date of over a year&#10;very pleased"/>
        <s v="did not like how mostly everything i looked for was out of stock&#10;did not like how i was charged an extra  and not told prior my order came from a different warehouse and so i was charged differently this should not have been my fault i shouldve only paid "/>
        <s v="i called to ask a few questions and the rep could not answer anything luckily i called back and got a rep who could basic questions also once when i was a prior customer and then with my last order i called for assistance and was assured my issues would b"/>
        <s v="i have had two auto shipments of dog food messed up in less than  months  first of all i do auto ship with you  i order  bags of victor nutrapro every   weeks  my first problem was an order of two bags sent to me  one was not in a box and was taped shut w"/>
        <s v="the shipping was by slow boat very disappointed in that"/>
        <s v="always fair price and prompt shipping and great products choices"/>
        <s v="it was very helpful to have that special with  off of  purchase its hard for me as a senior on a fixed income"/>
        <s v="easy transaction good selection good prices quick shipment"/>
        <s v="the shipping is literally always late i know that is out of your control but it would be worth talking to fed ex about it im sure you are losing return business"/>
        <s v="quick delivery of a hardtofind product my dog loves"/>
        <s v="petflow has good prices if you have&#10;coupon codes and use google incognito"/>
        <s v="i ordered a case of  cans of dog food when it came  cans were severely dented i called the company and they did send out a new case very quickly when the new set of  came  were damaged and unusable this isnt cheap dog food the packagingshrink wrapping was"/>
        <s v="online ordering is easy product selection is great delivery is fast good customer service to boot"/>
        <s v="we needed dog food asap so petflow to the rescue plus their subscription program gets food to us on time without having to wait to order we love it"/>
        <s v="easy to order and delivered in a timely matter and when i had a problem with a delivery as crushed cans or a torn bag of dry dog food it was taken care of"/>
        <s v="sure is easy to navigate and the experience was quick they have good deals ill definitely be back  recommend to others"/>
        <s v="good prices and selections and fast delivery"/>
        <s v="i made a mistake on my order and customer service immediately corrected it for me"/>
        <s v="always willing to put up with my constant changes"/>
        <s v="accurate  timely i depend on them every month"/>
        <s v="shipped from nevada to ohio then back to california it took  days to get the food"/>
        <s v="i love the connivence of having my dogs food delivered directly to my home it is so easy to have auto ship if i want to choose additional products i just go on line"/>
        <s v="great customer service love your sales i order the litter and use the pharmacy great products"/>
        <s v="very helpful and friendly support staff and reliable shipping"/>
        <s v="prices are awesome and super fast shipping"/>
        <s v="i love the selection of products offered my dogs loved the treats they received the prices are amazing"/>
        <s v="everything was great as alwaysvery courteous and helpful"/>
        <s v="extremely fast processing and delivery i placed my order night time april  food for my dog left at my door april   pm truly greyhound speed thank you perflow"/>
        <s v="i did not get my dog food i asked fed ex about it and it is lost i got the cat food and the litter but not the dog food&#10;&#10;can you resend it"/>
        <s v="i love pet flow the toys are always the best quality and have a lot of options great service"/>
        <s v="i bought large bags of open farm food from you but now you only sell the small bags"/>
        <s v="i love this food for my schipperke it has great ingredients and delivery is very fast i would and have recommend fromms to friends"/>
        <s v="websites very easy to use product arrived promptly product arrived in great shape and product that arrived was exactly what was ordered no complaints"/>
        <s v="reasonably priced fromm dry dog food&#10;easy website to browse and place an order and shipping was on time&#10;&#10;will order from this site again"/>
        <s v="petflow had the product i needed would rate a  star but the product took an excessive time to ship and recieve"/>
        <s v="none"/>
        <s v="quick&#10;easy&#10;kept you informed&#10;open communication"/>
        <s v="a very smooth and seamless process to secure my spot in the breeders upcoming litter"/>
        <s v="easy to order and i received the correct shipment"/>
        <s v="hard to find dog food at a good price e quick free shipping"/>
        <s v="easy to order wide variety of product choices and great prices"/>
        <s v="the ordering was easy the delivery was fast and i found what i wanted"/>
        <s v="cant beat the prices  very convenient service"/>
        <s v="great prices and loved the free shipping"/>
        <s v="highly recommended thank you guys for providing absolutely phenomenal service"/>
        <s v="my shipment reached grand junction co which is close to where i live then it was shipped back to nevada then back to grand junction this is the second time this has happened all of the cans were damaged when i received my shipment"/>
        <s v="love how tall it isand the lookjust what i was looking forwas shipped very fast"/>
        <s v="pet flow was very good about my special order they had to reach out to my vet to get the script for the dog food and did so i received my order right after that thank you"/>
        <s v="had a problem with my order duplicate customer service fixed right away and answered the phone with a person i could understand super plus for that"/>
        <s v="my order came with  cans dented out of  and this is not the first time"/>
        <s v="good company to order better prices"/>
        <s v="you had the items i wanted at a good price my order was filled and shipped as advertised ill use your service again thank you"/>
        <s v="ive always had good reliable service from petflow im very happy with the experience"/>
        <s v="my card number failed to go through properly and i didnt know it so i finally called the company when i didnt get my product they explained to me what had happened and i said oh lets go ahead and use the number again and when i went ahead they give me  di"/>
        <s v="always get anything i order on a timely basis"/>
        <s v="the prices were extremely competitive everything arrived without a problem delivery was fast"/>
        <s v="i have yet to get my order it was easy ordering"/>
        <s v="best value for bully sticks nobody comes close every place is way more expensive"/>
        <s v="i received what i ordered pronto great prices compared to petco i saved  compared to petco"/>
        <s v="had everything i needed ordering was quick and easy speedy delivery"/>
        <s v="the furkids love the treats and customer service was top notch great communication"/>
        <s v="quick shipping and a great price i will be a returning customer"/>
        <s v="super fast shipping awesome and fantastic prices"/>
        <s v="great communication with frequent updates on my order tracking"/>
        <s v="wish there were more options for the length of time for dog food ordering"/>
        <s v="experience was great shipping was fast very happy with my purchase"/>
        <s v="its a great product and the family dog loves it"/>
        <s v="lured in by low pricing i ordered a case of a new dog food canned to try it out i ended up converting my dog over about  days onto this new food i then ordered  more cases with petflow of the same food i had auditioned and transitioned my dog onto&#10;&#10;what a"/>
        <s v="order came just as promised very quick shipping"/>
        <s v="best price fast delivery"/>
        <s v="i think you provide good service and deliver your products on a timely basis"/>
        <s v="good prices large selection fast delivery good response to questions"/>
        <s v="super fast shipping competitive pricing accurate order delivered"/>
        <s v="as i said before a mistake was made with my order and customer service immediately fixed it"/>
        <s v="wonderful to find natural balance venison canned food in stock delivereddelivered"/>
        <s v="package was never delivered  days after order"/>
        <s v="they had what i needed hardtofind item in stock and shipped quickly"/>
        <s v="very easy to navigate website excellent prices great selection and just an overall best experience second to none"/>
        <s v="i received my order promptly these people are on their game for sure"/>
        <s v="user friendly online shopping experience and very good prices"/>
        <s v="i was pleased with the prices and the products at petflow"/>
        <s v="quick delivery on great product at a great price"/>
        <s v="great prices good service"/>
        <s v="got what i ordered  it was delivered on time"/>
        <s v="pet flow had an out of stock item we have been looking for over  months my dogs are so happy"/>
        <s v="great prices and free fast shipping awesome"/>
        <s v="higgins parrots feed"/>
        <s v="fast shipping great fresh seed and the brands i use higgins"/>
        <s v="easy to place an order great prices and fast shipping"/>
        <s v="good customer service great prices"/>
        <s v="i always get good service at a good price in a very good time"/>
        <s v="good price on pigeon feed shipped with no damage"/>
        <s v="company is affordable and customer service is exceptional"/>
        <s v="everything was perfect thank you"/>
        <s v="great prices prompt delivery"/>
        <s v="ordered and you didnt have in stock still waiting"/>
        <s v="easy to order at a fair price for this day and age"/>
        <s v="easy to place order delivered on time"/>
        <s v="good price timely delivery"/>
        <s v="they get my stuff i ordered to me within a few days"/>
        <s v="love the product very fast serviceshipping"/>
        <s v="like always quick and reliable"/>
        <s v="good  i will purchase again"/>
        <s v="you had what i wanted and you got it to me quickly"/>
        <s v="you had the product that i needed and it was shipped quickly "/>
        <s v="great shipping speed bones i ordered are great"/>
        <s v="good price fast shipping"/>
        <s v="fast and efficient service"/>
        <s v="easy ordering experience good products"/>
        <s v="my dog loves it"/>
        <s v="fast and easy&#10;good price"/>
        <s v="i order and in no time my order is delivered staff also quite helpful with advice and customer service"/>
        <s v="i am committed to feeding my cat the required ingredients suggested by my vet to give tammy quality of life as she grows older because of the cost of prescription diet food i have to shop around for the best affordable prices which petflow has provided an"/>
        <s v="i needed a prescription food you say you stock your instructions were to mail the prescription in this seems bazaar in the online world after a few days you emailed me saying that i could email a scanned in image of the prescirption&#10;&#10;why didnt you provide"/>
        <s v="always fast service good prices"/>
        <s v="best price on kmr liquid and powder"/>
        <s v="great service  pricing&#10;&#10;thank you"/>
        <s v="first petflow shipped my product to the wrong address even though they confirmed via email and text that the address would be updated to the correct address for the shipment secondly do not rely on their autoship  they have constant delays so it is not de"/>
        <s v="great service&#10;easy to order&#10;shipped quickly&#10;thanks"/>
        <s v="excellent customer service thank you"/>
        <s v="i found what i needed quickly not many shippers carry nutrisource i also got a significant discount through my capital one addon so i bought  bags to get the free delivery they were delivered very quickly as well i am disappointed that they dont participa"/>
        <s v="easy to navigate website lots of name brand foods at reasonable prices"/>
        <s v="best prices anywhere and great communication from petflow received food four days after ordered and pet flow notified me on day  the order was delayed one day in the st paul location but was quicker delivery time than other companies i have used so was ve"/>
        <s v="the shipment was received in a timely manner however for the cost of the canned food i purchased almost can i would have expected a little bit of packaging material in the box almost all of the cans have big dents in them from being shipped i am glad that"/>
        <s v="due to shipping restrictions i was unable to reroute the delivery via my fedex delivery manager this is a big issue for me because i live in an apartment complex with a lot of theft and having my cats expensive food stolen is too much of a risk to take wh"/>
        <s v="the website is very easy to navigate our purchases were shipped and arrived quickly to our home the prices are the best ive found all these things have added up for me to be a repeat customer"/>
        <s v="easy to order and quick shipping makes petflow a winner in my book"/>
        <s v="good selection of cat foods good quality and fast shipping with fair prices"/>
        <s v="the product is    a case less than competitors&#10;shipping time is relatively timely they product came in manageable size boxes not one oversized heavy box"/>
        <s v="they are very responsive an item was missing from my shipment it was reshipped within a day or two"/>
        <s v="fedex failed to deliver package even though it was shown as delivered  boxes of milk bones one call and petflow sent a replacement one week later the fedex package showed up  most likely dropped off by a neighbor called petflow and they said keep the trea"/>
        <s v="timely orders great communication and wonderful products"/>
        <s v="they gave me a credit because something i ordered was no longer in stock new items came very fast"/>
        <s v="it was my second order and second time it was easy and with high expectations&#10;thank you for nice service"/>
        <s v="tried chewy but there is no comparison to pet flow your service is far above them my order is always delivered quickly customer service department is great and helpful i am a returning customer and pet flow is the best"/>
        <s v="prompt services and delivery competitive pricing"/>
        <s v="lowest price i could find fast shipping knowledgeable polite customer serviceone small flaw wasnt able to use paypal no biggie"/>
        <s v="always good products always good prices repeat customer many times over"/>
        <s v="i received the packages in good shape and as promised with little delay products were as described and much appreciated thank you petflow"/>
        <s v="had to call in because of recent c card change efficient quick delivery thank you"/>
        <s v="petflow offers items for my dog at lower prices than other pet supply websites there arent as many choices as the bigger websites but i look at petflow first when i need something because of their good prices my order shipped quickly and accurately"/>
        <s v="i can change the order and they always catch up with the changes"/>
        <s v="that it got delivered in time and your price is fare"/>
        <s v="they got my order out to me in a timely matter and a good price"/>
        <s v="we needed small litter pans and were able to find them at petflow not only were we able to buy the quantity we required but these were also the lowest price available online thank you petflow"/>
        <s v="easy to use website i found the product i wanted notifications sent through the whole process after purchase was made product arrived when specified in whole undamaged form well packed"/>
        <s v="i am very happy with the fast delivery and also knowing that my ordered items are available im still learning how to navigate the auto shipment with petflows system there are too many shipment options on the page and i have accidentally double ordered bec"/>
        <s v="we appreciate your efforts to keep orijen products in stock for the past five years our puppy has been alive and you get them to us fast thanks"/>
        <s v="great customer service the chews need to be long lasting"/>
        <s v="this was the first time i had to use a prescription for food the staff was on the ball got taken care right of way and shipped to me in  days"/>
        <s v="the auto ship is a lifesaver the prices are comparable to store prices but never having to worry about running out is fantastic they are always on time as promised"/>
        <s v="they are still bothering my vet for a prescription on an i order i canceled annoying"/>
        <s v=" best prices  fast free delivery  you can get cashbak with rakuten"/>
        <s v="i got what i order and when was suppost to be deliver"/>
        <s v="reliable  easy ordering and quick shipping their prices for the fish food we use is the best you can find&#10;dont hesitate to use petflow&#10;theyre outstanding"/>
        <s v="always great finds at great prices on your site"/>
        <s v="i was very pleased about the shipping and that it came on the day it said it would also i like the price a lot of people in amazon are price gouging so this is nice thank you"/>
        <s v="fast shipping was provided as i was running low on canned dog food the only problem was some of the cans were smashed they still were able to be opened but tough to get all the food oyt"/>
        <s v="love the large guinea pig house she loves the cloth ones without a bottom petflow was the only place i could find them so happy they had them i will absolutely continue to order from them"/>
        <s v="quick shipping and easy websitecost is up tho"/>
        <s v="rapid response&#10;personal interchange&#10;human contact"/>
        <s v="first time customer ordered prescription food so it had to be approved by my vet still had my order in less than a week thanks for the speedy delivery"/>
        <s v="this was my first time purchasing the products available for my cockatiels while limited were good quality the issue i have is with the packaging of  pounds of millet they need to be put in a bag first to prevent the seeds from spilling out into the large"/>
        <s v="very professional and my orders are always right and on time"/>
        <s v="i have a been a long time chewy customer and you beat their price on one of the items and then with  autoship you beat the price on the other item so i gave you a try and you delivered&#10;&#10;i am new and plan to stay"/>
        <s v="timely delivery wide choice of product at a competitive price"/>
        <s v="original order on  damaged in transit heard nothing for a week after i called and replacement order initiated supposed to be delivered on  its now  and order still showing intransit from nj with no additional info as to eta or when my order should be deli"/>
        <s v="a better value than their competitors and fast service thank you"/>
        <s v="had my product in stock great price payed the shipping thank you"/>
        <s v="always fast friendly service"/>
        <s v="fast delivery cans not dented and price"/>
        <s v="my order was processed and shipped promptly and at a very good price"/>
        <s v="prices are comparable and free delivery is great"/>
        <s v="so happy to get my very hard to find dog food"/>
        <s v="we like ordering from petflow the orders come quick and it is easy to get what we need for our babies"/>
        <s v="easy to order and it shipped quickly and pup is enjoying the toys"/>
        <s v="so easy to order online  was quickly delivered to my home"/>
        <s v="i like that i was able to find food for my dog that is hard to locate in pet stores my order was received within five days and my pup was very happy i will definitely make more purchases from petflow"/>
        <s v="i have used pet flow a number of times they are usually on time and get things shipped timely"/>
        <s v="what can i sayevery order is on delivered in a very reasonable time and the selection of products as well as the price is spot on"/>
        <s v="great wish they had an app and wish shipping was faster"/>
        <s v="never no discount or coupon for fromm food spend  dollars a month on from food"/>
        <s v="you see brands of dog food other companies do not"/>
        <s v="love the sales that petflow sometimes has and i always get what i ordered as expected and in a timely manner easy to check out too"/>
        <s v="i called for help with an order and agent wanted me to be schooled on how to add to an auto order  i just wanted her help me delete  start new order she said in a not nice way that if i didnt learn i would call each time im staying with chewy for best ser"/>
        <s v="name brand item at good price there was a problem with my credit card being accepted i called and talked to a real human being and was helped promptly&#10;customer service with real people getting either is rare today"/>
        <s v="whenever i have a problem its always taken care of immediately"/>
        <s v="the company is easy to work with helpful when i have had problems and easy to work with to resolve any issues shipping is timely also"/>
        <s v="i got my order on time and it was less expensive than any other place"/>
        <s v="fast and easy to shop and order plus customer service was great answering my questions via email"/>
        <s v="you have a toy that my dog loves i have trouble finding it but you have it so thank you"/>
        <s v="customer service is nonexistent shipping takes forever"/>
        <s v="better prices than chewy shipping is a bit slower but worth it if you just plan ahead&#10;&#10;first order with them took about a week to get the second and larger order only took a few days from east to west coast not bad at all good selection of products also"/>
        <s v="prices good fast leaning a but much on subscribing my cat is an animal  things need to be flexible not locked into the same food delivered regularly cant i get a discount without subscribing"/>
        <s v="ordered twice and order was canceled with no explanation finally called and they said my cardorder was suspicious and that i needed to call i went ahead and ordered from petco instead they had no issues with my payment then i asked them to take me off the"/>
        <s v="i ordered dog food it was delivered the next day"/>
        <s v="when the item was ordered i didnt receive any communication as to when it would arrive that was accurate after the email stating that it was ordered also initially the form of payment used was incorrect and the company didnt notify me or communicate with "/>
        <s v="always have fromm dog food in stock always received my order within  to  days great service"/>
        <s v="you ship so fast and i really appreciate plus your products and prices are really good and affordable i can count on my dogs getting exactly what they need thank you"/>
        <s v="great customer service when an issue arises"/>
        <s v="petflows customer service is great always someone helpful to answer the phone and solve issues"/>
        <s v="ordering from their website is easy and they have good prices and fast shipping"/>
        <s v="well it all started with me not noticing that the shipping address was wron i didnt notice it until the order was done so i sent an email and a test if i remember correctly i then received a phone call and discussed the wrong shipping address with someone"/>
        <s v="i had been shopping from another company but the prices were just getting to steep i found petflowcom to have reasonable prices and all the products i needed for my fur babies the customer service has been great i recommend pet flow to all the parents up "/>
        <s v="i searched the internet and petflow had the best price for the blue buffalo brand delivery was quick and we are very satisfied"/>
        <s v="if i could give a rating of zero stars i would i order two different times and both were immediately cancelled no reason given i texted and emailed you company with no response i have since started using a different pet company for my needs&#10;no customer se"/>
        <s v="easy to use website food arrived on time"/>
        <s v="you offer fast shipping to my fussy cat who only eats three things i appreciate your quick turnaround time"/>
        <s v="the delivery was delayed i was expecting it friday and it got pushed until monday this was my first time ordering so ill be wary if i order again and be mindful of the delays not sure if this is the experience those on auto ship have"/>
        <s v="excellent telephone info and easy to buyreceive what our pets needed qualityprice were best i could find also"/>
        <s v="my dog had dental surgery and i needed more royal canin canned food my usual stores out of stock i discovered petflow online great price and super fast ship my new go to store i recommended to many friends"/>
        <s v="easy to order on line quick delivery and when i called customer service they were exceptional"/>
        <s v="only place i can get the smallbreed dog food i need fairly fast shipping very helpful customer service"/>
        <s v="petflow has lost me has a customer weve been ordering on a consistent basis since july  so just shy of  years this final straw has been the last two months when we decided to order all our food for the month in one large order and we have been told we are"/>
        <s v="ive been ordering from for my chihuahua since he was a puppy hes now two years old everything is so quick and prompt the best company ive ever dealt with when it comes to my dogs thank you"/>
        <s v="amazing company that im glad i found your prices are great and your customer service is super friendly and helpful"/>
        <s v="petflow had the best overall price with shipping i could find anywhere on the items i needed shipping took a few days but only one company offers next day delivery and their goods prices are increasing"/>
        <s v="no problems fast shipping"/>
        <s v="we never received this order&#10;we have received several emails that say our order was delivered but it has not arrived"/>
        <s v="product arrived quickly as i was running low"/>
        <s v="my order for my precious pets arrived promptly and in good condition my dogs have loved the food and treats i have been pleasantly surprised so much that i have made a second order"/>
        <s v="i ordered  kong toys and my pitbull just loves them the squeaker is a prolonged one so it really keeps him entertained&#10;i would recommend these to anyone who has a curious pup&#10;as for petflow they have a vast array of items and the experience was a pleasant"/>
        <s v="fast delivery and fairpriced excellent service for my chessie thank you"/>
        <s v="petflow had all the information from a purchase from some time ago&#10;immediately filled order and sent pet food which arrived in no time&#10;smooth"/>
        <s v="i ordered well over a week ago and still have not received it"/>
        <s v="the product was just what i was looking for we have three large dogs and they enjoy the big bones to chew on the local store that we use to purchase them from no longer carries them i told the vet this and she suggested to go online i found petflow and wa"/>
        <s v="easy to order fast delivery"/>
        <s v="amazingly fast shipping our dog has allergies so getting the right dog food consistently is important petflow has come through twice now for us"/>
        <s v="pet flows price for science diet was less expensive than the other online suppliers i checked with i received my order within two days of ordering overall i was happy with my shopping experience"/>
        <s v="the convenience of having products delivered to my door is a big plus dog food is always fresh if and when i have to call for assistance everyone is friendly and helpful"/>
        <s v="the order was filled quickly and shipped right to my door i know from experience that if i had a problem with my order it would be worked out it is a great company"/>
        <s v="the items i needed were in stock when i couldnt find them elsewhere i have switched my subscription service to petflow fast shipping too"/>
        <s v="part of my order was incorrect but they promptly took care of it arranging to pick up the incorrect items and delivering the correct ones"/>
        <s v="i found the dog food i needed for an excellent price and it was delivered quickly"/>
        <s v="i was hesitant after i made the purchase as i looked at the comments and saw how people had trouble with the shipping i was grateful to have not experienced this i immediately received a tracking number and my order arrived on time"/>
        <s v="fast shipping and lower prices than many other places ive bought my dogs favorite brand of food"/>
        <s v="i received a broke  cracked pet carrier they shipped a new one the very next day it arrived in good condition"/>
        <s v="easy ordering and fast shipping"/>
        <s v="the wrong dog bowls were sent then they wanted me to return them by fedex and would send me the correct ones but when they did that they sent them by fedex ground and they would not have arrived in time when i called they said there was nothing they could"/>
        <s v="i am a first time customer of pet flow representative was available upon calling to ask a few questions the rep was very courteous and knowledgeable answer all my questions able to track order which arrived in two days yes i will order again"/>
        <s v="i love that my dogs favorite dog food i order gets delivered right to my front door in a matter of two days whats better than that"/>
        <s v="prompt delivery product just as described and arrived without damage"/>
        <s v="came timely it was easy to order"/>
        <s v="ordered prescription food for my diabetic dog first time with petflow and the transaction was handled smoothly and correctly order arrived on time and as expected"/>
        <s v="wonderful company great selection of products super quick shipping very reasonable prices and outstanding customer service"/>
        <s v="great pricing free shipping and acceptable shipping time"/>
        <s v="ordering was easy and the shipping was fast"/>
        <s v="petflow is always in stock and ships immediately my pet supplies arrive in perfect condition no complaints here"/>
        <s v="petflow website is easy to navigate my order was processed and shipped quickly and accurately"/>
        <s v="sitejabber website reviews and complaints&#10;thanks  your review was successfully submitted woo hoo &#10;our internal mod team will take a look and notify you when its posted&#10;&#10;thumbnail of user ardigoc&#10;ardigo c&#10; reviews  helpful votes&#10;whew&#10;april th &#10;i ordered a "/>
        <s v="fast delivery always have what i want at reasonable prices"/>
        <s v="i ordered my dogs food and it came right in time"/>
        <s v="was happy to get our new puppy the food we were looking for at a good deal however the dog food bag had a hole in it food was scattered everywhere and the box was falling apart which was not a big deal except for that our food bag had a hole in it"/>
        <s v="fast easy service timely delivery and easy return well be back to order again in the future"/>
        <s v="my order was correct came quickly and was as advertised my doggos love love love this food and i loved the ordering experience"/>
        <s v="my order hasnt been shipped after over a week when i reached out i was told i had to call management im glad i received a prompt response but i dont want to call anyone and i didnt want to wait any longer so i went back to chewy although your prices were "/>
        <s v="excellent items packing was also excellent and fast shipping will order again"/>
        <s v="most items are always in stock and reasonably priced my orders are shipped promptly keep up the great work"/>
        <s v="very nice and quick with my order unlike some other companies who delay my package love it and the coupons please send more because we in a recession thank you"/>
        <s v="been ordering from petflow for a few years now they have fast shipping and always get my order correct i also like that they have many different foods and products to choose from"/>
        <s v="my first time with petflow it was a fluke how i heard about them glad i did wonderful website and easy to use im not a tech savvy person love the autodelivery discount and the variety they have my little ones flavor of pure vita dog food is hard to find o"/>
        <s v="always a positive experience quick delivery and has always resolved promptly if there are any issues"/>
        <s v="quick delivery good prices and trustworthy we always get what we ordered thank you"/>
        <s v="representatives are very understanding and easy to work with"/>
        <s v="i had a little trouble placing the order initially but that was apparently me rather than the site once the order was placed i received an email stating that one of the items was out of stock and would ship from another location i went to the website and "/>
        <s v="you have decent prices quality products  i am a customer for life"/>
        <s v="both times that we have ordered we have gotten out purchase when promised&#10;only thing i have that may need to be worked on is the ordering site it took me like  times to finally fulfill my order"/>
        <s v="love pet flowbeen using them for  years now"/>
        <s v="ive never heard of this company and they sent me an order confirmation wouldnt tell me what credit card was used but apparently someone is targeting them  to gain what i have no idea how does using a stolen credit card to ship something to someone who did"/>
        <s v="petflow is amazing the dog food i ordered was out of stock from the other company i have used and so i was so pleased petflow had it in stock it got to me quickly which surprised me since it came fed ex who i have not had a great experience with for speed"/>
        <s v="all of my experiences with petflow are amazing"/>
        <s v="the first attempt to pay failed due to a fraud control with my credit card after i approved it the website did not let me retry the payment it was some glitch i attempted calling petflow during business hours but i was put on an endless wait of over  minu"/>
        <s v="very quick delivery and high quality products i really appreciated how good they were at communicating the status of the order as well will definitely shop with them again"/>
        <s v="you should have known when i placed my order that you did not have it in stock"/>
        <s v="easy shopping great products comparable prices fast shipping"/>
        <s v="shipping was quick and the order was right the prices are getting awful high but i guess that is the due to our rotten economy"/>
        <s v="if i could give you a  star i would i was a new customer and i purchased a bag of dog food for my dog that has a super sensitive stomach i waited  days and the food never arrived so i had to call customer service for them to finally tell me that i was  fl"/>
        <s v="buyer beware petflow had so many excuses as to why they couldnt ship my prescription order cc wouldnt work vet clinic wasnt on record it was my account was flagged for fraudinformed fraud dept would reach out to me never happened and then my order of hard"/>
        <s v="quick service easy to use"/>
        <s v="i buy canned dog food i should have split my order into two because i could have taken advantage of two discounts that way it was an expensive order but i only used one discount my fault and it cost me&#10;petflow has the best price on the dog food that i buy"/>
        <s v="web site needs to be a little eiser to use i have a hard time adjusting the auto ship without out deleting the product and resubmitted to increase or decrease the amount of product&#10;&#10;also i need pigeon grit to be added for sale i also use versa laga for th"/>
        <s v="petflow has food and toys my dogs love the website is easy to use and my orders arrive quickly"/>
        <s v="customer service is awesome ordering online is quick and easy my dog loves these treats"/>
        <s v="super delivered my home the price is good"/>
        <s v="very helpful polite phone staff and prompt delivery a positive shopper experience will continue to shop for my cats rx food from petflow"/>
        <s v="i placed an order my card was charged and then credited a day or so later and then i was locked out of my account i created another account and the same thing happened all for no reason and my orders were never shipped it was a waste of my time and i dont"/>
        <s v="well you know what they say about st impressions&#10;the csrs are never on the same page when asked the same questions when csrs were asked when will i receive my shipment answers varied between csrs&#10;one csr said everything will ship on monday while yet anoth"/>
        <s v="delivery slower than chewy occasionally items are sold out"/>
        <s v="it is only recently that we came back to petflow after a period of being away no particular reason for this we are very pleased with the experience and will be coming back as a customer meanwhile we had been doing business with a major competitor of yours"/>
        <s v="my dogs were having an allergy attack and you gave me ideas on what to do what to buy for the allergies it really helped"/>
        <s v="shipping was superfast and koko got her favorite food at a price that left me amazed not to mention a bit piqued at myself for paying so much more from  other major online stores for the last several years note that this wasnt any kind of sale it was petf"/>
        <s v="pet flow always gets my order right and delivers in a couple of days"/>
        <s v="they had the product i needed at a great price fast shipping too"/>
        <s v="place order for the first time on petflow for a difficult product to find on  after almost two weeks  i attempted to log in to my account on the website which had been deleted my payment had post via my bank on  and no refund so i called customer service "/>
        <s v="ordering was very easy and cost was less than most places shipping time was outstanding  days and that was over a weekend"/>
        <s v="i had some issues on broken items due to poor packaging i let pet flow know and they took care of it i have been using pet flow for a long time and this is my first problem yes i will keep purchasing from pet flow"/>
        <s v="my order was canceled i was given no notification about the cancellation additionally when i talked to a customer service person to inquire they were not helpful either they couldnt tell me what caused the cancellation because payment is done through a th"/>
        <s v="the products i needed were very reasonably priced and delivered to my door step quickly"/>
        <s v="shame on petflow&#10;&#10;the shipment of dog food for  and  year old dogs failed to be shipped&#10;&#10;ordered on  i was informed my vet had approved the hills prescription wd canned dog food&#10;&#10;on  petflow informed me due to uncertain times were currently delayed on ema"/>
        <s v="good product good service"/>
        <s v="first time purchase two orders were cancelled for no reasons i called customer service and they said they will investigate and send me an explanation email received no explanation nothingand agent attitude was terrible one of the order refund has not been"/>
        <s v="i did not order anything but received multiple emails about an order being delivered to my name and my address&#10;i didnt receive anything&#10;something is seriously amiss here"/>
        <s v="overrall the experience with this online vendor is excellent however they frequently run out of products often sometimes they delay thr shipments&#10;the possitive is that they try to help the clients when they call on the phone"/>
        <s v="petflow is my first choice for dog supplies great customer service and friendly people who genuinely care about their customers"/>
        <s v="i never placed an order with you but my credit card was charged by someone else"/>
        <s v="prices are very competitive shipment arrived very quickly"/>
        <s v="great price with opportunity to get free shipping fast and accurate shipping and order filling they had the dog food i was looking for"/>
        <s v="i still havent received my order&#10;it took over two weeks to receive a call from petflow after placing my order evidently they didnt have my full address that has been at least a week and still have not received a shipping notification i ordered puppy food "/>
        <s v="good company nice people that can be reached by phone right away no robots&#10;&#10;good selection of products and very helpful and do not rush you&#10;&#10;petflow carries my favorite cat and dog food orijen"/>
        <s v="i ordered  boxes of pound cat litter i got a great deal hr shipping and an easy shopping experience plus raukten had  cash back this was a better deal than chewycom which is usually the best i am very happy"/>
        <s v="fast delivery&#10;accurate order"/>
        <s v="good products at good prices delivered timely"/>
        <s v="very good service thank you"/>
        <s v="every time i order from petflow i get fast service its nice to know when i need food or treats or toys they are on their way quickly i also like receiving tracking information to keep in the loop"/>
        <s v="order canceled for no reason or notice given"/>
        <s v="great prices fast delivery almost everything for taking care of your pets"/>
        <s v="did not like that i buy a membership in order to save on my purchasevery disappointed with that part of checkout"/>
        <s v="left product out by the street in the rainit was covered in plasticbut still by the street is bad news"/>
        <s v="i ordered some guinea pig food and the price was better than any other place it shipped out fast and the company did a great job emailing when it shipped out with tracking the products arrived perfectly packaged in a box that was just the right size for t"/>
        <s v="i have ordered twice now from this company fast shipping boxes arrived in tact no problems"/>
        <s v="i had been looking for best auto ship on wet cat food and found petflow to be the best they ship quickly and the whole experience is just great"/>
        <s v="good prices great customer service you also carry brands that mainstream stores do not"/>
        <s v="i ordered dog food to be sent to my daughters while she is keeping my dog you evidently canceled my order and was not advised by petflow"/>
        <s v="i always did love petflow only switched after years of buying from them because it took a bit longer to receive the product than was convenient after finding out that they carry a product i was not able to get at my current pet food company i decided to t"/>
        <s v="account flagged as fraud long wait time for customer service had to give credit card info over phone cant get a password email reset even though you recognize my email address so cant access account"/>
        <s v="petflow published an anniversary discount of  for orders over  i was so frustrated when my order wouldnt accept the discount i called petflow  and spoke to a real person bonus points better still the customer service rep was apologetic friendly and worked"/>
        <s v="website takes too long to navigate&#10;shipping takes too long&#10; days from order to delivery"/>
        <s v="great prices fast shipping only compliant is several cans were dented but they were still sealed"/>
        <s v="this is a fake account i already called my bank and you a few weeks ago someone is using my email address  an old card that is already marked fraudulent to purchase cat supplies i dont even own a cat i have unsubscribed and continue to get these emails fr"/>
        <s v="friendly competent person that took care of my problem quickly"/>
        <s v="the  star may or may not be fair but its to make a point i have not prior history or account with petflow i randomly started receiving multiple daily emails from petflow regarding multiple orders made including order updates to multiple people in multiple"/>
        <s v="i ordered cat food and when it didnt come and i was just running out i called they didnt even bother to tell me that it had been cancelled because they couldnt verify that the order was from a real person"/>
        <s v="the round cat scratcher fitted perfectly inside a round woven basket that my cats love i had to remove the cardboard supports which was easy to do&#10;many thanks"/>
        <s v="not sure why but i had a monthly subscription set up with my name old address and some credit card i dont own not sure what caused it the website wouldnt let me cancel anything so i had to call in to talk with someone and get them to cancel it the person "/>
        <s v="easy online ordering and product came as promised with no issues"/>
        <s v="pricing ease of using your website"/>
        <s v="we received a shipment from petflow and never made an order when we contacted petflow customer service rescinded the order and sent a notice to fedex to pick up the package we were supposed to leave the package outdoors after  days we contacted customer s"/>
        <s v="i keep getting emails about orders i did not submit showing a shipping address in mexico ny i am reluctant to click on any link in their email message and will not call the number listed as this appears to be a scam"/>
        <s v="excellent service super fast delivery"/>
        <s v="the first time i used the automatic dog bowl it leaks around fitting"/>
        <s v="my purchased was flagged and canceledi have called twice and no one can tell me whyi am pissed"/>
        <s v="ordered  times from petflow great customer service every time they answer calls respond to emails and honestly do everything you would want from a company not to mention affordable prices"/>
        <s v="  lb bags of dog food in one box is too heavy i cant move it"/>
        <s v="i am getting emails about orders i did not place i have replied back numerous times i am not jeff and i have not placed any orders with you and based on this experience i never will i would like you to leave me alone"/>
        <s v="delivery time for product wasnt as promised it was completely unacceptable"/>
        <s v="amazing experience&#10;my package was delivered on time and very fast"/>
        <s v="product was delivered as promised"/>
        <s v="pet flow always has my dogs food in stock and it arrives very quickly"/>
        <s v="easy to use app for ordering and always quick delivery also if i order a large bag of food for my dog i get free shipping"/>
        <s v="have had very good experience with petflow&#10;good products with great shipping&#10;will order more"/>
        <s v="price was much better than most other places that i have purchased i reached out to you about changing my shipment and the response was great i will continue to purchase from this company"/>
        <s v="quick reliable service ive been with them for a while now sometimes it takes longer in the winter"/>
        <s v="i love the convenience of petflow i live in a rural area and they are the best price and value for having my dogs specialty food shipped they make it easy with auto shipments even when i need to change dates its very easy shipping is always as expected as"/>
        <s v="i have never shopped with you guys remove my email from your marketing emails company"/>
        <s v="first time purchasing beats amazon prices"/>
        <s v="i always find a great selection of products and competitive pricing"/>
        <s v="all was well with initial service and product the problem is with your packaging of two large bags of dog food in one box the box quality is mediocre at best the dog food is too heavy and too large for the box the box broke open this could be foreseen als"/>
        <s v="i am happily impressed with the personal service and speed of delivery from petflow as long as petflow carries the pet food i use i will continue to shop petflow"/>
        <s v="exceedingly expensive&#10;if i oculd attach a screen print  id show prove it to you look at the price for the same item from chewy and most other reputable companies i put chewys link here but trust pilot doesnt allow links too bad  because it was proof&#10;chewy"/>
        <s v="ive been buying from petflow for several years every order has been carefully packaged and timely delivered shop with confidence"/>
        <s v="what i ordered was in stock and the order fulfilled promptly"/>
        <s v="great quality products and very quick shipping"/>
        <s v="i bought the kong monster balls for our beagle  her second set of them  she loves them so much she hardly plays with any of her other toys"/>
        <s v="your two representatives tristan and ryan were knowledgeable professional and courteous they helped me through the process of creating a subscription account"/>
        <s v="good prices delivered as expected"/>
        <s v="you cancelled my order because i made it while traveling abroad dont worry i will never visit your website again"/>
        <s v="my dogs most favorite treats are impossible to find thankfully petflow has them in stock regularly no more rationing their favorites always fast shipping arrives in great condition"/>
        <s v="prices of the blues buffalo wilderness canned dog food was good delivery was late bc it was out of stock which was fine however six of the  cans were dented which i wont use"/>
        <s v="fast shipping and prices in line with other companies"/>
        <s v="great prices fast delivery"/>
        <s v="great selection and price fast delivery"/>
        <s v="had never heard of this company before and was planning to use chewy for our order but found this company in an online search they offered a coupon so i opted to give them a try our order was for prescription dog food so we had to go through mailing in th"/>
        <s v="easy to navigate website and you had food for both my pets"/>
        <s v="very pleased with purchase price was great better than amazon free shipping over certain amount fast also very well packaged often from a it looks like it rode behind the truck not in it very happy with petflow they be my new goto supplier thank you petfl"/>
        <s v="my first order was cancelled in error by merchant they were quick to resolve this when i called unfortunately the same thing happened again when i ordered other merchandise again they were quick to resolve this with a phone call the customer service folks"/>
        <s v="easy for me to order the package showed up in a very timely manner"/>
        <s v="prices are good&#10;wish delivery was faster"/>
        <s v="i added a few things to my cart and left for a bit to get some lunch i came back to several emails telling me about the contents of my cart and coupons on such it had been like  minutes and yall was already bugging me calm the hell down&#10;&#10;further i had the"/>
        <s v="i have sent in the prescription several times and my order still has not been filled it is way too time consuming"/>
        <s v="i havent received the order after two weeks and i havent received a reply from the help desk about when its coming"/>
        <s v="petflow definitely had the best price on this item that i could find including prompt free shipping"/>
        <s v="fast great prices great selection  super customer service"/>
        <s v="best prices that ive found great customer service shipped my order promptly"/>
        <s v="found pet flow purely by accident when looking for a specific dog food kibble online made my first order which was shipped promptly and arrived in a few days i also noticed that prices are very competitive and shipping is free over a  purchase"/>
        <s v="i know that the road conditions for my order were difficult but the delay was minimal"/>
        <s v="likes good pricing fast shipping&#10;dislikes not disclosing all information about pet food ingredients lack of customer support"/>
        <s v="my first experience was excellentfrom the quality of the productmy dog loves the chicken treatsto the customer service the sale was a great way for me to become acquainted as i do live on a budget"/>
        <s v="your website is very intrusive and hard to navigate all i wanted to do was look up availability choose and pay it invariably brings up prior views goes all over even signed me up for recurring deliveries decided to leave and shop somewhere else"/>
        <s v="i have been using this company for years and will continue to do so they carry highquality product have a great customer service and fast shipping"/>
        <s v="petflow has such a variety of options for your pet i have a very picky cat and cant always find her choice of food at the pet store thankfully i discovered petflow they were way less expensive than the store i normally shop at and had exactly what i neede"/>
        <s v="price was good product was received promptly ordering was easy the only issue was that most of the cans in one case were severely dented customer service responded quickly and provided a new case"/>
        <s v="ive ordered several times from petflow&#10;they have excellent products easy website to navigate good customer service"/>
        <s v="low prices fast shipping"/>
        <s v="quick delivery when everyone else is so slow or delayed accurate orders petflow cares about the animals by donating a portion of the profits "/>
        <s v="i received the dog food i ordered in a timely manner they offer a wide variety of food"/>
        <s v="fast shipping on hard to find item thanks"/>
        <s v="i order from petflow a lot never been disappointed"/>
        <s v="upon placing the order i received and email from petflowasking me to allow a couple of days while the vet is contacted around the middle of the week the food was delivered as promised with no hassles my cat can not conusme any other food and this veterine"/>
        <s v="i had to call customer service regarding an auto ship that i needed sooner somehow i had an extra bag of cat food arrive i may have made the error but when i called the petflow representative they were willing to take the bag back however i wanted to keep"/>
        <s v="food arrives quickly and well packaged they carry fromm dog food which chewy and petco dont carry"/>
        <s v="item was priced very fairly shipping was soo fast just an excellent experience"/>
        <s v="when i got my package i found that i was only sent half of my order i called customer service and got ready to go rounds with someone telling me they were sorry but it wasnt like that at all i was immediately sent another shipment no fuss or hassle to me "/>
        <s v="i already reported that this is my email not dale leonards i was told that dales account was removed from your records please remove my email from your records&#10;thank you&#10;d beatson"/>
        <s v="lots of finger pointing between my vet and petflow im not sure what problem was but vet said he never heard from&#10;petflow vet so preset want processed first time in last year ive had any issues with the process on prescription dog food anyways once i stirr"/>
        <s v="it was easy to find the product and place the order shipping was super speedy which my cats appreciated"/>
        <s v="it arrived in time no delays or hiccups in the delivery"/>
        <s v="its always great great low price super fast shipping great experience all the way aroundlove pet flowthanks"/>
        <s v="pedros mom allison was attentive helpful and pleasant shes a truly a professional customer service agent"/>
        <s v="thank you for excellent customer service"/>
        <s v="constant account hacks i would be recommend"/>
        <s v="my account was hacked and my credit card information was mixed in with at least one other strangers information when i advised petflow about the problem i was merely told i had been the victim of some outsiders actions and to start a new account with a di"/>
        <s v="easy to use website fast easy shipping great products it would be nice if the free shipping limit was lowered"/>
        <s v="very cool customer service quick shipping  the price is high but the puppies love it"/>
        <s v="the wrong product was shipped and petflow immediately sent out the correct food for my dog great customer service will definitely buy from then again"/>
        <s v="pet flow is the most awesome online pet food provider in the market  even w trivial issues we incurred they prevailed as the winner  so did we  thanks "/>
        <s v="package and order was ok just left at wrong house and i did not see any notice of delivery"/>
        <s v="i have always had good service from petflow i have received damaged cans and they have always taken care of me i donate the damaged cans to the shelter the customer service reps have always been very friendly and professional i love that they also donate "/>
        <s v="just switched over to you from many years with chewycom ongoing out of stock for our prescription food then far too many cute apologies&#10;&#10;came to you to fill and you had the inventory twice actually and now i am on auto with you&#10;&#10;thank you"/>
        <s v="i ordered  items and one never shipped and both items were coming out of the same warehouse shipping for the st item took  days  when my order arrived i called to tell them my nd item never came customer service was great and said they would rush that ite"/>
        <s v="very hard to work with even though i had a prescription from the veterinarian office which they never contacted carolina beach kept sending me the same message if you have a copy of your prescription please email a clear copy to along with your order numb"/>
        <s v="ease of ordering and modifying my auto ship order"/>
        <s v="all of the information you need to fill my order you have on file which helps things go very smoothly"/>
        <s v="i tried ordering dog food twice and both my orders were cancelled for some reason never received an email saying it was canceled just never reviewed the package and had to log onto my account and check what was going on both times ended up having to get d"/>
        <s v="everything came quickly but the bird treat sticks came all broken up i wish there was a better way to send them"/>
        <s v="i am getting emails telling me that my order is on its way or its delivered i did not order anything recently please get this straight&#10;nothing is being charged on my credit card i just get emails saying my order is on its way to some address i dont even r"/>
        <s v="no issues and will order again"/>
        <s v="i placed an order and with no explanation or email they canceled it i logged on to my account to see why it was taking so long to deliver and it just said order canceled i called customer support and waited on hold for  minutes and then it just hung up on"/>
        <s v="every time i have called everyone is very respectful and answers my questions"/>
        <s v="order came fast&#10;staff answered my email quickly and helpfully&#10;this company actually has real people who answer the phone and are sp pleasant and helpful&#10;prices are good"/>
        <s v="always works perfectlyorder online what i ordered delivers in a few days"/>
        <s v="it was real fast service to get the bag of pet food our puppy appreciated it"/>
        <s v="it was great to receive dog food in three days delivered to my door and for the lowest price"/>
        <s v="i ordered two cases of merrick grain free chunky pappys pot roast canned dog food i received one case of the correct item and one of another food one of my dogs has a chicken allergy so we checked the ingredients on the cans we didnt order and they had ch"/>
        <s v="although i received an email stating my order needed to be fulfilled by a further distanced warehouse and that my order could take up to  extra days this company was able to deliver my goods on the original date&#10;&#10;this was important because no one in my ar"/>
        <s v="it was easy to place order online and it came quickly"/>
        <s v="great service ships on time have purchased multiple times"/>
        <s v="this account was supposed to be closed as it is fraudulent still getting emails for it looks like their purchase went though please close this account"/>
        <s v="very good prices on the dog food we need also fast shipping"/>
        <s v="my e mail is bein used through your website without being verified by myself i am not using your website at all"/>
        <s v="fast efficient delivery of a difficult to find product"/>
        <s v="my account was hacked and charges were made then i was told  times they restarted my autoship but never did and then locked my account meanwhile im expected my dogs food that i cant get around town"/>
        <s v="great prices i texted with a request and was answered within  hours with a nicely stated response"/>
        <s v="i have been dealing with your company for a very long time and just love doing so all of the representatives are so friendly and helpful a quality that seems lost in these times"/>
        <s v="two of the things i ordered were out of stock but there was no indication when i placed the order that they were so i was quite disappointed when i opened the box and two items were not inlcuded"/>
        <s v="mr bigdog samson loves the cranberry treats and the parmesan treats the best hell eat both but picks out the cranberry first art"/>
        <s v="outstanding customer service reps they are very knowledgeable and helpful thank you"/>
        <s v="what a great place to shop for dog food"/>
        <s v="there is a glitch in your system my account kept going to auto fill even though i cancelled it back in  i should not have a problem now that i asked to have my account deleted"/>
        <s v="prices were great the orders were sent right away"/>
        <s v="great service ultrafast delivery"/>
        <s v="twice now ive relied on petflow to send me my blue wilderness but its been out of stock very disappointing"/>
        <s v="my order was canceled i wasnt notified when i called to find out why i was told it was flagged as fraud due to the quality in my order i explained it was not fraud it was less than a month of food for my two dogs i was told they would reach out to the tea"/>
        <s v="my login was hacked and a fraudulent order was placed using my account even after i asked petflow to cancel the order and fully delete my account they still sent me a request to review the order on trustpilot seriously"/>
        <s v="petflow always has the best pricing and fast shipping auto ship is wonderful for never forgetting all your pets needs its also customizable would definitely recommend petflow"/>
        <s v="great selection ontime shopping"/>
        <s v="prices and speedy shipping is the best feeding hungry dogs is even better"/>
        <s v="prices are generally the same as amazon and service is better prefer to support a private company when possible and they sell fromm products"/>
        <s v="petflow is a great place that offers the best bang for your buck&#10;toys were as described and the pups were very happy"/>
        <s v="i screwed up my order and mikaila fixed it without a problem my items arrived quickly i appreciated the new customer discount as well"/>
        <s v="we have used petflow for years through the course of many dogs and have always found them very informative caring and a company that we do buisness with monthy between petflow and chewy there is no better fullservice animal food etc provider"/>
        <s v="petflow is always responsive and great at filling our monthly auto ship order happy to do business with them"/>
        <s v="even though i have complained before petflow continues to package two lb bags of food on one box resulting in gedex the carrier to drop the box and the contents inside burst open"/>
        <s v="i got a great deal on a great product i was worried because i had never shopped with petflow before i received my order in a timely fashion and i received plenty of notification about the status of my order the particular dog feeder i was looking for was "/>
        <s v="easy ordering process my only complaint is that it would be more convenient to see past orders to order again or edit an order as having to go thru and search products needed my cat is on special diet and just need to be able to order his food in a quick "/>
        <s v="easy fast and reasonable"/>
        <s v="easy to place order items arrived as described and when expected very happy with everything"/>
        <s v="i love that you donate a meal to a homeless animal with my purchase its a wonderful way to help them to not forget them also your shipping is exemplary i wish more companies were like pet flow"/>
        <s v="petflows phone wraps are very pleasant and knowledgeable on how to help you my english cream golden retriever walter needs a veterinarian prescription dry dog food i used to get it through chewy but lately theyve been having a hard time keeping it stocked"/>
        <s v="order was cancelled i had to call and email for  weeks  calls and  emails&#10;&#10;supposedly due to some unknown reason my account was flagged as fraudulent no real explanation&#10;&#10;i was told a few times to reset my pw however my account has been disabled&#10;&#10;i was to"/>
        <s v="shipping seems to take a bit longer than it used to but i suppose its a common problem petflow does update their delivery date notifications though"/>
        <s v="i live in florida my email was used to order twice the shipments went to texas probably using a stolen credit card i was not charged talked to petflo representative last week with information"/>
        <s v="im so glad you asked i will be back the process was simple professional and unbelievably fast thank you"/>
        <s v="mallory was awesome&#10;she deserves a raise&#10;only issue is still waiting&#10;been billed finally got notification it shipped possibly because it had to go to vet&#10;anyway again i will ask for mallory next time"/>
        <s v="this is the first time ive ordered from this outfit and i was totally pleased with the transaction their price for&#10;the dogfood i ordered was reasonable they shipped quickly and rocco the dog is a happy camper"/>
        <s v="love the fact its cheaper comes right to my door and no shipping cost great deals"/>
        <s v="i was looking for that specific dog food for our new puppy and petflow was the only online store that i could find verus brand"/>
        <s v="i found the food i was looking for the price is high but industry standard i liked the option to purchase a large bag and  of them thanks"/>
        <s v="pet flow is the way to go i order my fur baby food all the time from pet flow and my delivery is on time that is why they are the best&#10;thank you to pet flow and all of the team that works there shadow said woof "/>
        <s v="you send me a survey link yet i still havent received the items surely you know this the communication is terrible takes several days for any response hopefully ill get the items soon  and i understand the weather delay but my items have basically gone no"/>
        <s v="while the prices at petflow may be good there are severe problems with having products in stock it seems that no matter what i order wet or dry cat food and cat litter its out of stock or has to come from a further away location it didnt use to be like th"/>
        <s v="reliable great choices"/>
        <s v="everything i order was right and i get fast delivery"/>
        <s v="easy ordering fast delivery competitive prices&#10;&#10;my only complaint is  too many texts and emails"/>
        <s v="i had recently ordered food from pat flow with no issue a couple of times my card was compromised and i had an issue with it and resolved it but recently for some reason no one will give me an explanation of why i am not able to order food from you even i"/>
        <s v="you carry the quality products i feed my  dogs and cat fromm annamaet and wellness in addition you deliver these foods in a timely fashion i am a very satisfied customer and i recommend you to all my animal stewards"/>
        <s v="there is no option to cancel an auto ship so beware when you sign up for one i am still trying to cancel it there is only a pause option online and i can not get a support person to contact me"/>
        <s v="your fast delivery customer service and packaging is excellent"/>
        <s v="my dog food that is on automatic order the size i usually get was out of stock so i was told unable to ship and received no food however that same dog food was available in a larger size and noone took the time to let me know that not very good customer s"/>
        <s v="it took over one week to get my order delivered"/>
        <s v="i requested few times to add more selections of versele laga pigeon feeds and grits like gerrymandering champion black label ic start etc pls pls pls"/>
        <s v="very easy to order and products arrived quickly and in great shape thank you "/>
        <s v="i experienced a problem with my order not their fault and customer service was so quick to help me fix it really appreciate the immediate response and care that was given my order then arrived safely and packed well"/>
        <s v="besides canned dog food i ordered  bags of rather fragile treats and they arrived a little crushed the company quickly shipped four new bags of the treats they arrived in very good condition i was impressed at how quickly and easily the customer service a"/>
        <s v="still not delivered on the th&#10; days ago&#10;terrible"/>
        <s v="i did not place this order i have already notified you about this what is going on with these correspondences"/>
        <s v="quick shipping unfortunately  cans of the dog food were badly dented"/>
        <s v="the shipping is so inconsistent took almost  days to receive my dog food this happens about every  months hard to foresee when i need to order leaving my pets without food so im forced to buy dog food elsewhere"/>
        <s v="canceled my  needed vet cat food order because email doesnt match when i literally called them asking them what was going on here wouldnt send out my cat food horrible service will look do business elsewhere unless they have some killer deals"/>
        <s v="this was our first time buying on here i found what i needed at a great price it was easy to order and arrived quickly thank you"/>
        <s v="you had the product that i needed at a fair price plus your shipping was on time"/>
        <s v="fast shipping great product and even better price for what i purchased&#10;i have made my second order and will continue to do so with petflow"/>
        <s v="good selection of high quality products shipped promptly authentic product from approved distributor packaged securely for shipping"/>
        <s v="great customer service&#10;very prompt to fix slight problem"/>
        <s v="great as usual easy quick and reliable&#10;thanks"/>
        <s v="i called because my order was delayed twice the gentleman i spoke with was very condescending i told him that nowhere on the website does it state how long or how your purchase will take or ve shipped i explained to him that i have  dogs and it is hard fo"/>
        <s v="after a little confusion on your website about autoship i was helped along by a pleasant customer svc lady smooth transaction great price on what i needed and usually purchased at chewy for more  came in  days in a roomy box that my senior cat vinnie play"/>
        <s v="the experience with pet flow is always so great i love the customer service and how helpful everyone is"/>
        <s v="great service lots of dog food choices"/>
        <s v="ordering was easy and delivery was quick"/>
        <s v="they worked with me very well when my cat refused to eat the brand of prescription food id bought"/>
        <s v="service was great and combined with the best price you cant go wrong"/>
        <s v="i really appreciate that petflow carries fromm its difficult to get and petflow delivers quickly"/>
        <s v="i would give a  star for getting the dog food in a timely matter fedex is the worse by far ill have to find a local shop in my town to buy as the shipping rates a minus "/>
        <s v="the company canceled my order  tines with no notification bad company bad customer service zero stars ill keep shopping with chewycom"/>
        <s v="my order went to the wrong address and wasnt delivered thank you for replacing it"/>
        <s v="excellent pet products at bargain prices"/>
        <s v="products were shipped quick and for a great price i was searching for bird toys budgie and there were plenty of toys to pick from on the site"/>
        <s v="orders arrive on time and prices are good i recommend"/>
        <s v="my orders are always delivered within  days great service and price"/>
        <s v="they always have the items i am looking for and at a great price check out is easy and delivery is fast"/>
        <s v="this company was awful to deal with they never sent my product and gave me a hard time about my refund"/>
        <s v="although fedex is the most miserable pos low life carrier your agent putting deliver to porch actually worked they usually just kick it out the door on the way past ill buy from you again"/>
        <s v="its nice to get a heads up before a shipment goes out in case i need to adjust the contents or timing shipping is always prompt and the selection of food treats etc is quite amazing"/>
        <s v="i ordered roaches and not one of them was dead everyone of them was alive and healthy&#10;very fast shipping and very fair price&#10;i will definitely be doing more business with petflow"/>
        <s v="great and plentiful selection of pet supplies prompt delivery and excellent customer service"/>
        <s v="website has alot of choices and the delivery was on time"/>
        <s v="i mostly order kibble  bull sticks  i order  it always comes quickly"/>
        <s v="petflow ships promptly every time we order our fromm dog food from them excellent customer service"/>
        <s v="i ordered cat food for my  fur babies and it always arrives on time petflow has great communication with its costumersi like the extra help if i cant find somethingnice people"/>
        <s v="tried to place large order using  off  but ran into out of stock items making it difficult once order was finally placed got another out of stock notice if petflow is to be depended on to supply pet needs shouldnt they have items in stock"/>
        <s v="petflow has been good for me and my dog elsahappy with productsprice and shipping"/>
        <s v="great company to deal with they notify you when your next shipment is coming and you can adjust that date if needed good prices too"/>
        <s v="easy ordering quick shipping"/>
        <s v="the products arrived undamaged with heavy cans that is great"/>
        <s v="had the food in stock and promptly shipped"/>
        <s v="i received my first bully sticks from my dogs breeder when my bernese mountain dog treated them like candy the doc suggested i only order natures own grass feed steer service price and reliability have been excellent i am am auto ship customer now"/>
        <s v="i changed suppliers of canned dog food and got the same product for a substantially reduced price&#10;im happy"/>
        <s v="great prices great service"/>
        <s v="phone reps were great on both occasions this month they worked diligently to get my order dates changed and on the  lb bag of catfood for the ferals got it shipped out the same day"/>
        <s v="while the checkout experience was decent and i was able to save money with a coupon this all made me happy  once my package was delivered i was not happy i bought  bags of dog treats for my  boys and  of those bags  of same kindflavor all expire next mont"/>
        <s v="you are reliable honest efficient and timely"/>
        <s v="the filters and search were not fluid or user friendly so many items out of stock but that was not known making it time consuming i nearly gave up twice because of the experience not sure how the rest of the site is as i only searched for cat food and a d"/>
        <s v="order process easy great service corresponding with our vet"/>
        <s v="easy to find what i needed at a good price&#10;thanks"/>
        <s v="shipment always delayed and customer service never responds to email "/>
        <s v="i ordered by wet dog food from pet flow for several reasons those being the price difference between a competing online dog food distributor the ease of ordering the friendliness and helpfulness of the agent i spoke with and the fast delivery of the produ"/>
        <s v="the item i needed was in stock the process was very easy i had my order within days and on time i will continue to order through petflow"/>
        <s v="i was waiting for notification that my prescription had been verified by the vet andor that my order had been shipped after several days i contacted petflow to ask what was up i got an email saying the order was cancelled out of concern for fraud i was a "/>
        <s v="my orders were cancelled without notification twice"/>
        <s v="i have had a horrible experience which is still to date not resolved placed an order not a first time customer my vet was contacted and sent back approval for prescription food internal petflow issue isnt adjuticating the approval noone will help me or ca"/>
        <s v="easy to begin auto ship has the special dog food we were searching for that is highly rated for having ingredients important to long lives of optimal health shipment notices sent to keep us informed of when to expect order received order in timely manner "/>
        <s v="shipment was quick product was packaged well"/>
        <s v="solid reliable company to purchase from customer service seems supportive if anything beyond a typical order is needed"/>
        <s v="great website excellent prices and quick deliveries i will only get my dogs food from petflow going forward"/>
        <s v="best price fast shipping for my hungry dogs"/>
        <s v="had just what i needed at a great price very quick shipping had trouble getting the order through a couple of times but i persisted and am glad i did will definitely tell my local shelter about them i am a cat socializer and they might be interested in pu"/>
        <s v="awesome servicegreat packaginggreat pricesvery convenient"/>
        <s v="pleased with all my purchases people are helpful"/>
        <s v="auto ship does not work advance notice of order was supposed to come but does not auto ship does not take changed scheduled when modified days before shipment date will not use auto ship or this company again to order dog food"/>
        <s v="my order was canceled and i was never notified i only discovered that it was cancelled after i logged onto my account to find out when my order would be delivered i called and was given no explanation for the cancellation or when the dog food would be del"/>
        <s v="they are doing a great job left chewy for them and havent looked back since"/>
        <s v="easy website for me always a pleasure to speak customer service if you need them auto ship is easy changing ship date and products is a breeze and you get a nice discount too"/>
        <s v="quick shipping and competitive prices thank you"/>
        <s v="shipping was faster than i expected best of all the items were in perfect condition no dented cans or boxes which has not always been the case so i especially appreciate it"/>
        <s v="product was in stock added to cart and quick checkout process meant i was in and out in less than five minutes"/>
        <s v="i have now ordered a couple of times and i am  satisfied the orders are correct well packaged and on time if not early i will be ordering on a regular basis from this company i have nothing but praise for them excellent"/>
        <s v="i called customer service because my order had not shipped after several days the woman i spoke with in customer service was very polite and helpful and my order was shipped out the next day and i received notifications of the shipping status throughout t"/>
        <s v="very fast shipping had my order in a few days i was able to saveoney as well great company"/>
        <s v="i placed an order and called three days later to make sure it was coming that day i was then told that my order was cancelled for possible fraud i was never notified by a phone call or email that this happened she couldnt place a new order because it woul"/>
        <s v="prices are good and delivery is timely my problem has been with ordering from your website the system cannot seem to store my credit card information properly last time it was so bad i had to have one of your staff order for me"/>
        <s v="petflow reps are always helpful  make good on any issues you have"/>
        <s v="too long for shipment had to keep emailing when order would ship items were in stock dont know what the hold up was"/>
        <s v="great company quick delivery have all the pet products we need"/>
        <s v="petflow had brands that i have difficulty obtaining elsewhere their prices are good and the food i ordered for my dog with allergies arrived in good condition"/>
        <s v="great price on the chinchilla food that purchased i always shop away and petflow had the best price and i received it super quick"/>
        <s v="firsttime experience"/>
        <s v="i changed the address for delivery and it got mailed twice one went to the wrong address but i still had to pay for it"/>
        <s v="i ordered canned prescription royal canin wet food at a cost of  most of the cans were dented on top and bottom it could be bad for my cat to eat what a waste i usually order from chewycom but they were out of stock"/>
        <s v="discovered petflow due to chewy being out of stock for several weeks of my dogs prescription canned dog food i got the name of petflow from a trusted dog friend food arrived quickly thank you"/>
        <s v="willingness to help me through the ordering process for the first timei was having some technical difficulty"/>
        <s v="excellent service and very quick delivery"/>
        <s v="never had a bad experience prices are extremely reasonable and customer services is awesome"/>
        <s v="the customer service is extraordinary any problem ive had was corrected swiftly expertly and cheerfully these people seem genuinely interested in taking care of our pets"/>
        <s v="good price fast service"/>
        <s v="it was my first time ordering with this company and it will be my last one they canceled my order and didnt notify me when i called them they said it was flagged for fraud and had to be canceled i asked why they said they cant give me any additional info "/>
        <s v="i didnt even place the order that triggered this review to pop up it was fraud and im still dealing with the canceling of my credit card because your website wasnt secure&#10;&#10;also even on this page my name coming up as james shearer that is not my name hones"/>
        <s v="carries brand not found in most pet stores efficient fast delivery"/>
        <s v="awesome professional support with timely shipping great prices as well"/>
        <s v="prompt response when i had a problem with my order they gave me a credit because my dog will not eat the food i ordered"/>
        <s v="great experience on website and delivery"/>
        <s v="excellent pricing shipping notification and packing of order just wished they had more selection available"/>
        <s v="im was technologically inept on the computer and had to call the company to order my product the person who answered the phone was so courteous and helpful because of her i will continue to order my dogs food from petflow"/>
        <s v="everything i was looking for was in stock and delivery was quick"/>
        <s v="the whole process went smooth&#10;fast shipping&#10;very satisfied"/>
        <s v="using petflow was easy and i was able to find substrate for my tortoise that was not available near me i also ordered wet cat food it was the trouble with fedex that will make me reconsider using petflow again my catfood was shipped all over the place and"/>
        <s v="two reasons the terrific customer service and product pricing simply put they earned my business sometimes low pricing actually the best price i could find means low quality customer service but not at petflow my first order from petflow arrived damaged d"/>
        <s v="ordered prescription dog food no email telling me you got the order i called and they said it would be coming out of a warehouse did not know from where or when still no email had to go buy food locally which i am disabled and it was alot of work and extr"/>
        <s v="i was looking for better pricing for my dogs food and that is how i found pet flow i want to feed them a better dog food than what is in most grocery stores i was happy to find pet flow they have good customer service and great prices with  dogs i need a "/>
        <s v="they always have what i am looking for at a fair price in particular i order fromms dog food they are one of few places that carry it shipping is quick as well"/>
        <s v="easy awesome new pet products online orderdelivery company recommended to all pet parents "/>
        <s v="they had what i needed in stock and it came fast"/>
        <s v="website was easy to navigate and shipping was fast compared prices and petflow was the best by far will definitely order again"/>
        <s v="after deciding what brand of dog food i wanted for my new puppy i did a search for the best price&#10;petflow had the best price"/>
        <s v="recieved the last product i ordered i called your company to let you know the product was damaged bent i told the person the box was not damaged so the product had to have been put in the box damaged&#10;he didnt want to hear it and was really rude"/>
        <s v="this was a new company to me with a good buy on the products i needed so i decided to give them a try i am very disappointed  i never received an order confirmation email as stated checked my spam and was rather referred to my email provider immediately w"/>
        <s v="everything was quick and easy the custer service rep was knowledgeable professional and pleasant"/>
        <s v="could not pay with paypal for some reason kept getting message problem with connection"/>
        <s v="i appreciate their communication with me in regards to orders and delivery"/>
        <s v="i can always find the products i want for my dogs at really good prices"/>
        <s v="there was a delay in shipping and the order had to be split but throughout everything they kept me highly informed of everything going on best part for me the customer service representative who responded to my email was kind helpful and informative"/>
        <s v="great and fast service and plenty of communication  you cant ask for more"/>
        <s v="i had to get a specialty cat food for our cat who has dietary restrictions i was unable to use a coupon that had been sent to me i called and immediately it was taken care of i was able to use that coupon they quickly confirmed prescription with our vet a"/>
        <s v="easy to use fast and cheaper than other pet supply companies"/>
        <s v="over the last year there has been significant shipping delays with my autoship order the issue seems to be primarily with the nj warehouse where they dont work night weekends etc there is a discconnect between product forecasting order entry and supply ch"/>
        <s v="petflow always gets my order correct has great prices and i never have to worry about running out of food for my dogs and cats"/>
        <s v="my cat would not eat several differert canned cat foods i tried the one for stomach and hair and she has not thrown up since you now have a returning customer thanks"/>
        <s v="shipment on time customer service great"/>
        <s v="not a good experience at all i choose your company because of a discount you offered me fir being a first time customer i never got the discount because your ad was misleading i was only going to get the discount if i signed up for auto refills that was n"/>
        <s v="fast shipping&#10;had the food i needed happy to have a promo code as well &#10;great communication with shipping and delivery"/>
        <s v="the exact product i was buying locally at petsmart a prescription cat food but in a larger economy bag for about   less shipped free and on time ill be a regular customer now"/>
        <s v="very happy with the product the way it was pack got it in the time frame i was told and whats more important my cat love it and you guys where the only place who have it in stock thank you so much"/>
        <s v="ten business days after placing my order and being charged for the order the product has yet to ship  business days after placing the order i contacted customer service who indicated they would check with supplier and get back to me i was told it could ta"/>
        <s v="trouble free delivery arrived when expected as expected no complaints at all would recommend"/>
        <s v="tried ordering twiceboth times the orders got cancelled by their team neither time did they reach out to me to inform me they were cancelled it was just after waiting days for a shipping confirmation after getting an email they were fulfilling the order i"/>
        <s v="got what i ordered and delivered quickly"/>
        <s v="although i had never purchased from petflow before they delivered quick and on time and the product was exactly as advertised"/>
        <s v="had dog food i used processed my order quickly and i received it quickly&#10;only problem i had was box that it was shipped in was totally broken luckily dog food wasnt"/>
        <s v="good selection of products pricing was very competitive and shipping was super fast"/>
        <s v="good service and competitive prices products arrive in good condition and in a timely manner"/>
        <s v="they went above and beyond the call to ensure satisfaction after the carrier had lost a shipment i highly recommend petflow to anyone looking for quality goods at a fair price"/>
        <s v="could not buy cat food without a prescriptionlike what the hell is that about its all so veterinarians can get paid its total b absolutely uncalled for"/>
        <s v="availability&#10;&#10;good price&#10;&#10;easy scheduling"/>
        <s v="good products quality excellent customer service"/>
        <s v="ordering the needed vet diet for my dog has been easy more communication regarding the order and when it is shipped and will be delivered would make it a perfect transaction"/>
        <s v="you falsely advertised an item you advertised the item was in stock then when it was supposed to ship i receive an email stating was out of stock but on your website it still to this day states it is in stock now i cant cancel the auto ship i can only del"/>
        <s v="extremely friendly and helpful customer service and quality items always available shipping is always quick and they donate a bowl of food with your order winwin"/>
        <s v="very happy i ordered the food one day and received it the next"/>
        <s v="i have received my puppys food in a timely manner and he loves it thanks"/>
        <s v=" of the cans were extremely dented one of the seven damaged cans was leaking"/>
        <s v="super quick response time when i accidently ordered a toy i didnt want&#10;website is user friendly huge amount of items to choose from&#10;i used to shop a chewy but i needed a prescription and it was easier to pick my vet from you list than going through all of"/>
        <s v="petflow is wonderful many varieties of food for your pets my only gripe is that after placing an order i got a thank you email wa picture on it saying review yr item get  back they gave it to me for only one of my reviews  the very good sweet customer ser"/>
        <s v="customer service has been great but shipping practices need work i have complained on multiple occasions that my shipment of canned dog food arrives damaged they pack too many flats of cans in the same box and dont use any packing materials to prevent aga"/>
        <s v="after ordering i did not get a tracking number or shipping confirmation even after getting a notice that the food was shipped my paypal payment was taken right away&#10;i also was put on autopay without my permission&#10;i had to manually cancel an autopsy i didn"/>
        <s v="ive been overcharged for my orders since mid august due to incorrect sales tax i informed company of this explaining why we were overcharged including documentation from the state proving the correct rate but was continuously blown off and disregarded i s"/>
        <s v="concerned about the package that i ordered  weeks ago that still has not arrived im running out of the canned food for my dogs   "/>
        <s v="i have a recurring order and needed to modify tried and messed it up and ended up having two recurring orders called customer service and a very friendly person helped me navigate to delete one"/>
        <s v="overall a good experience i am not a fan of the website could be a bit more user friendly shipping takes too long orders take a while to process availability of products is ok pricessales could be better"/>
        <s v="first time ordering prescription food order for my pup and customer service was so helpful to track order to deliver as soon possible very helpful and trustworthy"/>
        <s v="as advertised product with timely service"/>
        <s v="was on time and order is right thank you"/>
        <s v="hi i live  mile off the county roadfed x is the only delivery outfit that will come up here in the winter you shipped my food with them so i got it in a short time way to go tim"/>
        <s v="need to tape top and bottom end edges just the middle is not enough on large bags"/>
        <s v="its extremely easy to order anything&#10;i really appreciate that its always on time when they say youll receive it&#10;they also give you a tracking number so you can keep track of your order&#10;its a great company and so easy ordering what you need "/>
        <s v="the deliveries arrive in good condition and on time"/>
        <s v="petflow carries the particular brands of food for my pups that i are the most nutritious and made by family run companies in the us"/>
        <s v="i have been using this service for over  years i have never had a bad experience with either the product or the customer service everyone i have dealt with has been friendly knowledgeable and professional"/>
        <s v="shipment arrived torn from stem to stern and keel meager attempts at retaping most likely by the carrier packaging too light for the weight in the box amazed that all product was still in the box even tho box was near total destruction i notified pet flow"/>
        <s v="apparently when i placed my order the item was in stock my card was charged and i expected shipment soon a couple days later i got a refund of my purchase with no explanation the explanation came a couple days later that they were out of stock seems a bit"/>
        <s v="usually i dont have any issues this time the shipment of cat food was all over the place cans were not secure in the case and many were severely dented almost like someone just threw the case in the box"/>
        <s v="responsive customer support"/>
        <s v="price and prompt delivery"/>
        <s v="i found this company online when the place i usually order from was out ordered three bags on saturday the product shipped on monday and arrived to my home on wednesday i live in a very rural area as well would definitely recommend"/>
        <s v="quick shipping helpful customer support and quality cat food purchase best price too thank you"/>
        <s v="there was a bit of confusion with the customer service rep when i called regarding the prescription diet food for my dog i had already sent the script to customer support but when i called to let them know it was there she said i needed to send it to cust"/>
        <s v="i ordered tetracolor xl tropical granules fish food and my fish thank you i got it just in time as i ran out of  days servings left speedy delivery for great price"/>
        <s v="my package was delivered damaged and they quickly replaced it without questions"/>
        <s v="has what i needed and delivered it in good time"/>
        <s v="easy to navigate website found the dog food i was looking for and with discounts applied by petflow was able to get the lowest price i could find anywhere"/>
        <s v="this was the first time i had shopped with petflow and found it to be very easy to find what i needed"/>
        <s v="i will never order anything from this company again they do not have the food i ordered but its on back order now they are holding my credit card hostage and wont cancel my order"/>
        <s v="my orders are always punctual and good this time was especially essential that my order was expedited faster than usual as my dog sitter who was taking care of my dog during a family death over the holidays didnt tell me he was almost out of food thank yo"/>
        <s v="my account showed a backorder order more product then got a bunch of products good for months"/>
        <s v="i needed to find a specific prescription food for my diabetic dog and they had it along with some other options that my vet would approve if my dog didnt like this one they got in touch with my vet immediately to verify his prescription and shipped the fo"/>
        <s v="petflow has a great selection of products great prices and fast shipping i buy the nulo cod and lentils weight management dog food my guys love it"/>
        <s v="cheaper then other places fast shipping i was very pleased"/>
        <s v="all of my dealings with pet have been positive my dog food is always delivered in a timely manner"/>
        <s v="easy to order competitive prices orders arrive fast"/>
        <s v="i purchased milk bone pill pockets this was a really good price and they shipped my order quick ill definitely be back"/>
        <s v="fast shipping and almost always have foods i am looking for in stock for immediate shipment"/>
        <s v="quick service good packing good prices"/>
        <s v="cumbersome internet system caused two orders to register rather than one canceling the orders immediately still did not stop an extra bag of dog food from arriving causing multiple emails and finally return"/>
        <s v="i received this order so quickly which i really appreciated it surprised me it was so fast"/>
        <s v="took  days for order to arrive multiple erroneous ails re expected arrival had to go buy at store andorder was delivered after i left the area"/>
        <s v="this has to be my  th or more times that i have either purchased dog and cat food from petflow the delivery service is excellent also selection is wonderful and price is just the same or less than in the stores its so nice to come home and your fur babies"/>
        <s v="was kept informed about items back ordered and other items shipped separately"/>
        <s v="petflow is a great place for pet products at reasonable prices delivery is reliable as well"/>
        <s v="ive ordered bulk cat litter from petflow several times now they offer a great price great products and quick shipping will be ordering again"/>
        <s v="website was easy to navigate checkout was quick easy to track shipping delivery within a short period of time"/>
        <s v="i can count on petflow to carry the food that my furry babies like"/>
        <s v="incredibly fast service perfect packaging everything absolutely wonderful"/>
        <s v="i love petflow there are always so helpful and easy to order i love how i get free shipping and theyre always on time customer service is great and i have definitely recommended petflow to friends and family"/>
        <s v="i have ordered from petflow several times and my items always arrived without issues the prices are the lowest in every store and online site that i could find i had a small issue and it was taken care of immediately customer service was quick to assist s"/>
        <s v="offer quality dog food and treats&#10;fast order filling and shipping&#10;reasonable prices great clearances"/>
        <s v="ease of ordering product better than described costs are reasonable very prompt shipping"/>
        <s v="petflow delivers the treats my dog prefers with the pandemic we werent always able to get her treats at the store  thats how we found petflow yay"/>
        <s v="always have great order takers fast and efficient"/>
        <s v="confirmed my order for dog food and did not ship it nor contact me i ran out of food for my dog unacceptable to harm my dog or anyones pet will never do business with a company that disregards the health of their real customers apparently this issue is no"/>
        <s v="website was easy to use and checkout was quick"/>
        <s v="easy ordering very fast delivery"/>
        <s v="great product and quick service will definitely buy from them again"/>
        <s v="timely delivery large selection of products notification of products arrival that had been out of stock great web thank you petflow"/>
        <s v="i ordered  trays of special vet approved canned dog food  it arrived quickly and well packaged no delays even though they had to confirm with vet"/>
        <s v="more often than not my dogs food is backordered so then i have to scramble to find her food then days later the backordered item ships i then have  bags of  food that i didnt budget for"/>
        <s v="i have used petflow for a few years every order has been filled accurately and timely communications regarding order status has been excellent i would give a five star rating except for the minimum order size and shipping costs"/>
        <s v="i love the products i feel the shipping takes a long time much longer than other companies i buy from"/>
        <s v="awesome website and many brands to choose from easy ordering and the dog food canine cuisine is loved by all furry friends definitely recommend petflowcom"/>
        <s v="i dont like that  orders were placed only  charged for and i still dont have either of the orders"/>
        <s v="easy to make a order and a good delivery"/>
        <s v="the shipping used to be very quick but now it seems although the items show in stock it takes a week for the items to ship it is disappointing as i grew accustomed to the fast service"/>
        <s v="i was able to find what i needed at a good price shipping and delivery was very timely too"/>
        <s v="petflow has consistently met my expectations even when having to ship from nevada what normally ships from new jersey"/>
        <s v="first time purchasing from pet flow ordered dr martys small breed food and a bag of treats great fast shipping and my dog likes the food"/>
        <s v="all online ordered prescribed cat food they took care of rest they confirmed with vet and bam  day later the food was at my door"/>
        <s v="the representative was super friendly easy to work with and quick to resolve my issue "/>
        <s v="great price very quick shipping and great to talk to"/>
        <s v="everything was so easy&#10;&#10;placing the order shipment just delivery time was a bit slower than chewy"/>
        <s v="i never received a notification that i had an upcoming subscription order being processed i was unable to edit the delivery date when i reached out to customer service several times i got zero response&#10;the day i was notified i had this order being process"/>
        <s v="your prices were the best we could find quick delivery"/>
        <s v="i had trouble finding verus dog food anywhere else but petfow had it and delivered at a good price"/>
        <s v="easy ordering product in stock and for cheapest price among other sales outlets reliable shipping and delivery"/>
        <s v="ive placed multiple orders with petflow and each time its delivered really fast with great prices an excellent service"/>
        <s v="my order never arrived i ordered the tear stain tablets and two different treats please send me my order or credit my account "/>
        <s v="on time delivery"/>
        <s v="pet flow was fast with shipping and delivered when promised merchandise was is excellent condition and exactly as pictured very pleased"/>
        <s v="the greatest part was the followup when my package got damaged and you all replaced it my only criticism is that your tape doesnt hold especially in the harsh rain"/>
        <s v="ordering was easy delivery was prompt customer service is exemplary"/>
        <s v="my product order was in stock and i received in a timely fashion"/>
        <s v="i ordered a product on january  and still have not received it ive written to petflow inquiring about this and never received a response"/>
        <s v="i can always count on my pet food delivery to be on time and well packaged"/>
        <s v="in the last year service has gone from fantastic to spectacularly frustrating my last interactions have been frustrating to the point of closing my account i have a hospitalized friend in another state i was purchasing food for his dogs and having petflow"/>
        <s v="love the carrier it was easy to get my cat in through the top door and was just the right size will fit my  pound cat as well had it within a few days of ordering it"/>
        <s v="cancelled my order and claimed it was fraud and refused to sell to me"/>
        <s v="you carry my product but took awhile to arrive "/>
        <s v="the product i ordered was out of stock yet the system still allowed me to order it even though it was out of stock i cannot trust the system to give me the correct stocking of this item"/>
        <s v="shipping was fast i saved a lot with the coupon they sent for a first time shopper got  heated mats for our dogs"/>
        <s v="pet flow is a great place for your pet needs we have been very satisfied"/>
        <s v="flagged my purchases as fraud and then refused to allow me to repurchase"/>
        <s v="we were counting on our fromm dog food autoship order to be shipped on the date that petflow said they would ship according to them they got very busy during the holidays and this order did not ship until the following week as a result we had just enough "/>
        <s v="product was in stock and order was filled correctly and quickly"/>
        <s v="delivery was on time and at a better cost than other merchants"/>
        <s v="dog food was delivered to family members home it arrived quickly and in good condition"/>
        <s v="i placed my order online easily i did receive an email stating the shipping would be delayed but they kept communication open it was only delayed by  days and i received my items as expected"/>
        <s v="the company delivered when promised with the exact items ordered my only complaint and its a little one is that it was difficult to follow the order once it was in the system so that i could see where it stood"/>
        <s v="overall petflow has good service and competitive pricing for the products they handle the website could be much more user friendly  to adjust an order or make changes to a saved order can be very confusing"/>
        <s v="carry brand i was seeking"/>
        <s v="i was low on food for my dog because i forgot to order so it got here pretty quickly i was down pretty low and i called to see when it was going to arrive and spoke to a very lovely and helpful woman in their customer service"/>
        <s v="a large variety of pet food products to choose from package arrives intact an animal gets a bowl of food with my purchase&#10;thank you"/>
        <s v="they were very friendly they would take your phone calls if your computer wasnt working and the delivery was always on time and i appreciate that thank you"/>
        <s v="the quality of the pet food the fact that you carry fromm cant get it many places and its a trusted brand by me and my family"/>
        <s v="competitive prices shipped well with no damage"/>
        <s v="petflow is the only online source that seems to be able to maintain stock of the particular taste of the wild canned variety that we prefer to feed to our guys shipping is free above  or so and since we get multiple cases no problem shipping is fedex so o"/>
        <s v="where to begin first inventory on their site isnt real in my case the veterinary dog food i ordered was to be shipped from the manufacturer who was out of stock second rather than them inform me i called for order status three times the first two i was to"/>
        <s v="i didnt make an order someone hacked my account and tried to set up an auto ship order to an address that is not mine"/>
        <s v="this was my first order from petflow i found out my dog has some pretty extensive allergies and with each passing day i had no choice but to feed him the stuff he was allergic to until my new food arrived from petflow i regret switching from my usual prov"/>
        <s v="i was told when i ordered  days for arrival it took  days i have a kennel of puppies and needed the food&#10;will never order again from you it has happened several times"/>
        <s v="everything went smooth i had to ask for help using the sight and received it well"/>
        <s v="the petflow website is easy to navigate and their autoship is easy too i appreciate getting the notices that it will be shipping and that i need to make changes if any by a certain date i also get emails keeping me up to date on my orders"/>
        <s v="didnt help at all basically said i can not order the item and move on"/>
        <s v="reasonable prices very good communication and notification system the only con is that some products are not always available and back ordered"/>
        <s v="petflow is great because they sell the dry food i feed my cat and it isnt around anywhere else i also want to say thank you for receiving my order  days after i ordered it often it can take up to a week"/>
        <s v="great company great service and great products"/>
        <s v="i couldnt access my account because i couldnt remember my password your account recovery system is not very good at all"/>
        <s v="the order was wrong i called and the young lady that answered was very professional and efficient she took care of the problem and i could hear the smile in her voice"/>
        <s v="order took almost a week to reach me when i called to check where it was i was told you were experiencing delays it would have been good customer service to tell me that via email before i called"/>
        <s v="i absolutely love petflow i am thankful for fast shipping and the fact they work so well with my vet to get my diabetic dog the food she needs"/>
        <s v="i ordered  lb bags of dog food one bag was damaged on arrival and they replaced entire order sending  replacement bags more than made up for it one thing is the replacement boxes actually had more packaging material to hold up better in shipment that the "/>
        <s v="impossible website entry customer service didnt answer my questions delivery is late  i dont have my shipment yet"/>
        <s v="i have ordered from petflow for a few years nownever had a problem my last order was a total nightmare dealing with your customer service reps rude condescending passive aggressive emails sent to me when all i asked was wheres my dog food i ordered on dec"/>
        <s v="i have used these folks for a couple of years they have the best price for the product i buy delivery is quite prompt"/>
        <s v="to slow on getting the order outhard to understand the ordering system"/>
        <s v="easy to use and find items with quick delivery"/>
        <s v="intuitive site allows me to easily order and reorder the dog food varieties i need good electronic notifications confirming orders tracking shipping and projected order arrivals i like easy"/>
        <s v="it took a little long to receive the items due to product availability this is not the st timewhen i did receive it tge order was fine"/>
        <s v="always get a great deal with coupons and the food arrives exactly when they told you will be ordering again soon"/>
        <s v="customer service is terrible i will not order from you again"/>
        <s v="i loved petflow  they used to be really good with getting my orders out right away i placed an order on  called a few days later as my order still was not sent out customer service said they were noting that my items needed to be sent out asap  still were"/>
        <s v="communication regarding shipping was lacking in the past ship dates and estimated arrival times were closer to reality"/>
        <s v="my order was cancelled without them letting me know and i received lousy customer service trying to figure out why placed my order again but of course the price of one of my items has gone up customer service will not help"/>
        <s v=" i was  cents short for free shipping so i added  treats that never got added to the order got charged for shipping the package was so heavy fedex dumped it in the wrong lobby not even bothering to drop it at my door&#10;you make us order so much  to not give"/>
        <s v="it took a very very long time to get to my house ive switched to chewy because their shipments get to me in one to  days"/>
        <s v="havent received product and you want a review ordered on  needing it no later than  and wont receive it until the th if lucky but still asked for review maybe make your automated emails for review tied to the delivery of the items would be nice"/>
        <s v="the package came in good condition and when it was running late i have a coupon for the next order that they sent"/>
        <s v="ive been with petflow for many years product is alway delivered promptly and no damage if you do have a damaged can they make it good love this company"/>
        <s v="ryan was exceptionally helpful and because of his assistance i will continue to shop at petflow"/>
        <s v=" years doing business with you petflow&#10;poor resolve for item i have been buying from you for  years&#10;&#10;i will look forward discussing this with senior corporate manager&#10;&#10;with  years in corporate myself with customer support responsibilities pehaps i could a"/>
        <s v="they always have what i need in stock and at a great price especially with the use of the coupon options"/>
        <s v="if i could give petflow  stars i would their customer service is awful awful awful they take forever to ship items on the offchance that they actually have the items available and will require a huge waste of time on your part to rectify issues that they "/>
        <s v="my order was placed december  and i still dont have it two weeks is just too long ordering from petflow is just too unpredictable sometimes its days sometimes its weeks i had to buy from another source"/>
        <s v="please give alerts or notifications when you cant fulfill an auto ship order i have to find out by checking my account after the expected shipment date has passed and im out of my cats prescription kd food have voiced my concerns multiple times over the p"/>
        <s v="delivers as promised and checks that it was received i am thrilled that i found petflow"/>
        <s v="i like that you sent the food and the price was lower than most other places i did not like not being able to order food because it seemed to automatically turn on auto shipping that i didnt want and i couldnt find a way to turn off auto shipping so i cou"/>
        <s v="made an order just like i have several times before they canceled the order but did not let us know no email no phone call nothing we bought from petco and will from now on"/>
        <s v="i have tried to use petflow a few times for their monthly shipment of dog food and i have always come across issues the first order my first bag of dog food was delivered on time the second order of dog food was delivered with tape all around it i removed"/>
        <s v="still havent received our order so ordered from and received in two days  which is good so our senior dogs do not have to eat puppy chow"/>
        <s v="order not shipped from warehouse for about a week and still shows as not picked up i had to check the status and call to cancel it after  days"/>
        <s v="no follow up regarding status of order and no order received very disappointed"/>
        <s v="like others my order was canceled without notice and i only found out when i checked my order online after  days a rep at petflow said that they automatically cancel orders because of fraud concerns if the shipping address is different than the billing ad"/>
        <s v="where is my order which was oredered on  order  bergen k cafe"/>
        <s v="my orders are taking longer and longer to get its taking about a week in the beginning they came in a few days i have ended up going to the only location nearby that carries fromm dog food while waiting for my dogs food a week ahead of time should be enou"/>
        <s v="love the convenience and customer service"/>
        <s v="everything ships quickly&#10;was disappointed that i couldnt find the one medication through petflow"/>
        <s v="placed an order for dog food waited over a week without updates so i followed up only to find out my order was canceled but i was never notified this caused such a delay with getting the food that i am currently out of had to order from somewhere else and"/>
        <s v="easy to reorder and shipping is fast and free"/>
        <s v="great experience fast shipping i havent been able to order my cats food from anywhere else because it was out of stock petflow got it for me"/>
        <s v="ordering online was easy and shipping was fast had an item that was out of stock they let me know then shipped it when it was back in stock great to do business with"/>
        <s v="great selection of products carry name brand at a reasonable price quick shipping quick response from customer service if something is wrong with your order they correct it in a timely manner very happy with my service from petflow will definitely recomme"/>
        <s v="my order was cancelled by the fraud department without any notice to m i wouldnt recommend petflow to my worst enemy i have tried to reset my password and correct the problem but when they say they sent a password reset i never receive it"/>
        <s v="sorry not sure if its my phone or your website used to always order online but the last few times i cant seem to get all the way through to place the order ill have to go back to calling my orders in"/>
        <s v="the best prices and fast shipping very happy"/>
        <s v="i have  dogs and not one of them would play with it they totally ignored it"/>
        <s v="horrible company ordered food for my dog and got an email saying we received your order called a week later as never received my order or an email saying it shipped they said they cancelled my order and could not say why as they are not allowed seriously "/>
        <s v="the company is absolutely awsomanother company sent me to petfkow and im so happy they did and i will contiune to shop at petflow thank you for being petflow"/>
        <s v="great prices and fast delivery we we were using chewy which is great but they dont carry the food we need for new dog i am very happy with my recent petflow experience"/>
        <s v="communications and correspondences via email was better than most pet stores"/>
        <s v="i am very impressed that my order was received before expected none of cans of food were damaged the food is very fresh and the price is right petflow is now my goto from now on for zignature kangaroo formula canned dog food thanks for being so on top of "/>
        <s v="terrible just terrible not helpful at all still waiting for my dogs medication its going on  weeks now i keep getting the run around from everyone i speak to im over this company yall need to get ur stufftogether"/>
        <s v="ordering can be made easier and delivery took longer than ecpected"/>
        <s v="first was the excellent selection offered at a fair price then there was delivery no easy challenge since ihe order was placed over the holiday and we had a major snow storm guess what buddyholley my bearded collie was enjoying his food and treats earlier"/>
        <s v="i have a dog who is allergic to everything basically so i used the online chat and the customer service person helped me locate a food and treats that basically only have duck one of the only things shes not allergic to"/>
        <s v="delivered on time was able to brands i wanted not available on other sites like chewey"/>
        <s v="fast shipping fair prices and excellent customer service"/>
        <s v="had products in stock quick delivery great customer service"/>
        <s v="easy to navigate the website and items shipped fast "/>
        <s v="petflow always delivers good products in a timely manner they are also the only online provider of my dogs food"/>
        <s v="twice my order has been canceled due to fear of fraud and no one ever reaches out to me to ask im frustrated that a week later when my order isnt received i call and find out it was canceled they have my email and phone number"/>
        <s v="i placed an order recently from petflow they had the best price on the items i was searching for i didnt need the items right away and i appreciated that i could request the date i would like the items shipped to me highly recommend petflow"/>
        <s v="fast shipping great prices and accurate order"/>
        <s v="i had put numerous orders in for this product in the past two years the order got canceled many times and i was told i would be notified when they came in i was never notified i just happened to come back to your site to see that you had them in stock oth"/>
        <s v="in the past the customer service was always exceptional my last phone call pertaining to a delivery delay was met with indifference  a lack of resolution ill continue to shop at petflow but will think twice before inquiring about a problem"/>
        <s v="my dog food took foreverrrrr to get here each time i called customer service it rang about  times and the phone would hang up i emailed them and it took  days for them to get back to me rep said they are overwhelmed because they are a small company id say"/>
        <s v="i contacted customer support online to cancel my auto ship i accidently set a second one while trying to cancel i had  auto ship orders i made it clear i wanted them both canceled because my order increased by almost  too pricey i found my order cheaper s"/>
        <s v="package arrived late again&#10;&#10;fed ex should not be your carrier"/>
        <s v="easy to order and i love the automatic ordering"/>
        <s v="terrible customer service worst company to ever do business with even the supervisors are rude they constantly hang up without addressing any of your issues"/>
        <s v="i placed an order which was received by petflow with a ship date of dec th dec th still had not heard a word called customer service who told me petflow had canceled the order because it was flagged as fraudulent by them  not my bank  i will never use thi"/>
        <s v="easy order process and quick response to the order"/>
        <s v="i stopped using chewy when the company was bought by petsmart im glad i chose petflo"/>
        <s v="i placed my order on  and received an email that my order would ship on  i contacted petflow on  about my order not shipping yet when i received a response the next day i was informed due to stock issues my order was cancelled but yet i wasnt notified unt"/>
        <s v="the dog food i ordered came quickly and i didnt have to pay for shipping the food i ordered changed the look of the bag so i thought i was sent the wrong food petflow responded immediately to my issue"/>
        <s v="even with your promos ex current promo pft  off  amazon is still better priced and i get better sizes and better autoship deals we are working with tough times folks  you need to step up your game on competition or get left behind not trying to be rude  i"/>
        <s v="i have an account at petflow since june &#10;unfortunately my order of cat food was cancelled without any notificationsuch an unexpected behavior of company customer service when i called them explain order was blocked by fraud prevention department without a"/>
        <s v="youre fine dont be so insecure i used you once and ive gotten like  emails from you its too much now you want to be rated its coming off very needy and insecure keep having the lowest prices and i will keep using you stop with all the email or im gone ser"/>
        <s v="had the product i was looking for for my cat fast service"/>
        <s v="our beloved newfie died a day or so after we received his auto shipment of food from perflow we had not even opened the box allison from petflow offered hers and petflows sincere condolences and she said just set the unopen box outside on the porch and sh"/>
        <s v="actually i am writing to see if i can return an unopened bag of food winnie did not like it and is back on her original food"/>
        <s v="best price on the dog food i buy very quick shipping"/>
        <s v="good sales on good products fast shipping"/>
        <s v="my beloved dog passed away unexpectedly just after i had received a large shipment of food and supplies i contacted petflow and they arranged to have the products picked up right away and closed out my auto ship orders so i would not have to do that ive u"/>
        <s v="what made my experience great was finding the product i wanted and a little more and getting it ordered quickly and easily got what i needed in just a few days before running out of the product at home excellent service great products"/>
        <s v="i wanted to purchase a item on your website but the item only showed one color blue i contacted you about wanting the item in gray and you person went out in the whrs and found that you had it in gray told me to order it and email the order number to her "/>
        <s v="i got a good price on tillys treasures beef liver chunks my dog loves them"/>
        <s v="easy order great delivery great product"/>
        <s v="i used to love petflow because the prices were reasonable with quality items and dependable shipping i have a small house so i cannot stockpile dog food so i order close to finishing a bag well now when things used to arrive in about  days of ordering it "/>
        <s v="i have been buying my dogs pet food from them for years they are very reasonably priced and are flexible enough to allow me to change my order depending on the dogs we have"/>
        <s v="my delivery address is really complicated and caused a few issues when i attempted to place my order but customer service was quick to respond to my messages and they handled the situation effectively and efficiently once shipped the order reached me in a"/>
        <s v="prices and selection were great shipping was fast and received emails regarding the status of order and shipping"/>
        <s v="the toy was so little the shampoo was expensive but worth it"/>
        <s v="my auto ship is easy and convenient and arrives quickly after it ships the food is always in stock so i never have to worry"/>
        <s v="i tried to change what we are receiving on the recurring order instead of changing the item it sent me an additional bag of dog food"/>
        <s v="great prices on the kong squeez ball"/>
        <s v="beware pet flow can accuse you of theft cat food  value from them&#10;absolutely terrible experience with my order number &#10;after receiving order confirmation from petflow&#10;i was expect receiving the tracking number for shipment but when i login to my account t"/>
        <s v="good quality products cheaper prices fast shipping"/>
        <s v="ive struggled purchasing food for my fiv cat because her vet is under my partners name but im the one buying chewy specifically made my life hell thank you petflow i appreciate yall and im great full my kitty gets her special food now "/>
        <s v="with the cost of this pet food increasing every year i decided to switch to petflow away from my usual supplier because of the discount making my dogs food more affordable really helped a lot im hoping this company continues to offer competitive pricing"/>
        <s v="i always get my dogs food on time"/>
        <s v="i have had a good relationship w petflow up until my last text message was ignored natural balance canned dog food was discontinued supposedly due to supply issues i researched other foods  decided on nutrisource which petflow carries i ordered  cases con"/>
        <s v="great customer service quick shipping"/>
        <s v="great quality and shipping was very fast definitely will be ordering from them again"/>
        <s v="liked that ordering is easy i did not like how very long it took to receive the order"/>
        <s v="my order never arrived i called your company and the person i spoke to was incredibly unprofessional sounding i asked why my order hasnt shown up and he said it was canceled by their fraud department i asked why or what triggered this and was told he coul"/>
        <s v="you were the only company that had the product i needed for my special needs cat"/>
        <s v="first customer service rep wasnt nearly has helpful as the second one i talked with the third person was reassuring now the wait for the refund "/>
        <s v="i was really happy with pet flow until two things happened one is i found some thing i could only buy at chewy and their customer service is light years beyond petflow&#10;&#10;the other is that petflow wanted a profile of me and my pets names and things in a way"/>
        <s v="fast accurate shipping and fair prices have ordered twice and will continue to order"/>
        <s v="was great i enjoyed it a lot the song made me feel special "/>
        <s v="always fast shipments i order two pound bags of food at a time the only concern is the packaging needs more tape on the box or they need to be shipped in two boxes the last shipment the tape had broke and someone for the carrier must have retaped it there"/>
        <s v="prices are high for the food i feed and i realize it may not be petflows fault but there was a huge increase in cost in just a few months also delivery seems to take a week with fedex seems long to me"/>
        <s v="my orders are taking longer and longer to arrive last order was over  days until i received it i order early so my boy doesnt run out but these times are ridiculous currently looking for another provider"/>
        <s v="wonderful products for my cats can ask for assistance should i need it great ontime deliveries for my purchases and very good service from petflow and the folks that do great jobs for me and my kitties"/>
        <s v="where do i begin i order  tennis balls then yall wanna chancel my order for fraudulent because your customer service person over the phone says why would you buy  tennis balls im sorry i have multiple dogs like wth worse part is i had to call yall  days a"/>
        <s v="quick friendly people to help with an easy phone call dependable deliveries and updates i really like their customer satisfaction approach to business"/>
        <s v="i had a major issue with my package being held up on the fedex side i emailed into petflow support to see if they could help i didnt hear back however i called a few days later the person that answered was so kind and helpful they reshipped the product i "/>
        <s v="received food in timely manner good price"/>
        <s v="great prices&#10;fast delivery&#10;a place to count on"/>
        <s v="even though this litter was out of stock and no date when available they kept me informed of my in order status i did end up of canceling and they were in great about be this too"/>
        <s v="awesome company with good deals and prompt service delivered right to your door i would highly recommend petflow for all your pets needs"/>
        <s v="what your company needs to work is your delivery time your company takes way to long from the date of purchase to get the product to your customer the company chewy gets it to me in  to  hours learn their method"/>
        <s v="great selection of dog foods and snacks and great customer service order arrive in just a few days"/>
        <s v="great price quick shipping and delivery"/>
        <s v="love the prices and quick service my only concern is i cant seem to apply the auto ship discount"/>
        <s v="name brand products fast shipping great couponsdeals"/>
        <s v="first i was sent the wrong items i called and was told they would ship the right ones out asap the next am i spent over  on dog treats  bags the original delivery took a week customer service emailed me a fed ex label to ship the wrong treats back i had t"/>
        <s v="ordered the natures logic food at a great price delivered quickly shipping free&#10;what is not to like about this"/>
        <s v="difficult to make an accurate credit card charge"/>
        <s v="my shipping box came damaged  nearly falling apart when it arrived at my door&#10;&#10;plus my bag of dr marty food was cut with a razor and food was inside the shipping box i have a picture if needed&#10;&#10;and finally it took nearly  days i ordered early sunday morni"/>
        <s v="very good customer service package arrived on time everything that i asked for was in the box complete"/>
        <s v="i needed a bag of dog food and proceeded with buy it now when i received order confirmation i saw that an item i had previously purchased was still in my cart they said they would not remove an item from my order immediately after i wasnt happy with the i"/>
        <s v="products available competitive pricing delivery delay not too bad considering the holidays"/>
        <s v="appreciate the great selection of fromm dry dog food service is great and very fast shipping"/>
        <s v="we have been using petflow for years and they are consistently fast with shipping and if there are any issues maybe x in  years they are responsive and it gets resolved fast thank you "/>
        <s v="ordered on line for less than in stores and it was delivered to me"/>
        <s v="lack of availability of the specific treats i was looking for was the only reason i did not leave a star rating otherwise prices delivery time  correctness of the order was great thanks luka  remi are headoverheels with their tasty treats"/>
        <s v="i spoke with customer service weeks ago and my concern was not addressed&#10;my original account was under my personal gmail i had an auto ship on there for years a few months ago my password did not work and when i tried repeatedly to reset it i never receiv"/>
        <s v="when i started to really look around petflow offers the best price especially since it comes right to my door in rural vermont dog food has become crazy expensive"/>
        <s v="i have used petflow for several years they are a quality organization i recently had an issue with a delivery and a return both issues were resolved quickly one via phone and the other through email they also took the time to follow up and make sure i was"/>
        <s v="website was easy to maneuver great product selection and good prices along with fast delivery time"/>
        <s v="your products are healthy and reasonable in price i also received my purchases in  days and paid no shipping due to buying  and more in merchandise i also get the pleasure to help animals in need thanks for being there"/>
        <s v="found it odd that a very popular item on the internet was discontinued i ordered  but only got one and they refunded my other one fast made&#10;it look like they were selling them too low and stopped so they didnt have to keep filling orders"/>
        <s v="i like ordering online dont like getting out delivered to my door"/>
        <s v="the shipping time is awful when i placed and order it said it will ship the next two days it didnt ship for a whole  weeks"/>
        <s v="very reliable when ordering a product even if on backorder you are kept informed impressive"/>
        <s v="best prices around initially we will see if they continue offering these deals i have referred a few friends so im hoping they dont disappoint"/>
        <s v="slow shipping slow answer to e mails dont have items in stock"/>
        <s v="im still waiting on my last order i am out of kidney can food i have  dogs i supplement dog treats through amazon as they deliver way quicker but the prescription kidney food i cannot as i tracked my last order it showed its been sitting in the homestead "/>
        <s v="i just started using you a few months ago and was a little concerned because of some of your reviews but i liked your prices and thought id give you a try glad i did you have totally delivered for me ive had several large orders for dog and cat products  "/>
        <s v="ive been a client for some time i had just bought a  lb bag of merrick senior dog food the vet said that my  year old dog reacted badly to the ingredients in the senior food which caused severe diarrhea and to go back to what i had been doing the person w"/>
        <s v="i found this company a couple months ago wow very impressed the product line is outstanding the prices are the best ive seen and last but not least the shipping is super fast ive had such a wonderful experience with their easy online ordering system ive n"/>
        <s v="order was easy to place delivery and updates were all great"/>
        <s v="i received no notice of canceled order or assistance in correcting the order"/>
        <s v="we have ordered for over a year from pet flow and have never experienced any issues what they promise we get i will be staying with them"/>
        <s v="cheaper price takes a little longer for shipping though"/>
        <s v="great service and products i use for my pets"/>
        <s v="i have had a subscription dogfood on file for  years that is prescription most of the time it is delayed or outright cancelled then i have to call and change to a different flavor in order to get the dog food the last time this happened i had to change th"/>
        <s v="i placed ab order for the first time and the product was not going to arrive for over a week that was unexceptable your competition chewy it arrives usually in two days i cancelled my order o and my auto ship"/>
        <s v="reliable delivery dels for autoship"/>
        <s v="fast delivery great prices what else could anyone want"/>
        <s v="always get excellent customer service if there is an issue vert easy to deal with"/>
        <s v="ordered product and it never shipped i had to call customer service to get it shipped"/>
        <s v="after my order being cancelled i dont know maybe three times i emailed them to get it cleared up i explain i moved and got married and mention perhaps its my maiden name  ryan tells me fraud says not to process so first i ask okay whats the reason and do "/>
        <s v="i appreciated the ease of ordering but was not really happy with the shipping time it took too long to come"/>
        <s v="petflow is great fast and efficient customer service is helpful"/>
        <s v="i switched to pet flow from chewy bc their prices got high and their customer service dramatically declined the prices and auto ship discounts are much better at pet flow and their customer service personnel are superior to chewys the only reason i gave  "/>
        <s v="as promised so delivered"/>
        <s v="when i place my order i can relax it arrives quickly and is always fresh and ready for my two senior dogs i am so happy that i have this service and dont have to lug heavy bags of questionable freshness"/>
        <s v="i placed an order your company took the money out of my account days went by with no tracking or anything so i called to see what was going on and your tech support told me she didnt know when i would be getting my order so i canceled it than after i canc"/>
        <s v="my order was easy to place and arrived quickly will order from you again  would recommend"/>
        <s v="my dogs went crazy over all these treats very happy"/>
        <s v="the representative was understanding of my situation and was quick to resolve the issue very nice and patient"/>
        <s v="great company to work withalways responsivewith quick delivery but costs seem to continue to escalate over last two years as is everything"/>
        <s v="my dog is a senior with a heart condition and must have a special lowsodium diet when her food doesnt arrive on time her diet and condition is compromised typically i receive orders in  days i need and depend this reliability my last order took  days to a"/>
        <s v="my little maltese loves the small bites beef frittata i wish you had other flavors in small bites for small breed dogs"/>
        <s v="the shipping as surprisingly slow"/>
        <s v="so when ordering food for my canaries theres been  times in the shipping process bad experiences two times the orders get returned due to the poor packaging petflow uses dont really understand why  lb bags are shipped in  thin big box without any protecti"/>
        <s v="first time using pet flow my dog food was ordered in time to arrive three days before a big trip it was delayed and came the day after i left customer service had been called several times&#10;i asked for a refund and was told i would get a credit im going ba"/>
        <s v="i always order our dogs regular food diet petflow as well as a subscription all items arrive well"/>
        <s v="great service i can always depend on pet flow"/>
        <s v="an excellent company with wonderful customer service orders are shipped efficiently and with care an added plus is their charitable donation policy"/>
        <s v="took over a week before product even got prepared for shipping zero communication"/>
        <s v="instead of a usual delivery of  business days after my orders placement it took  business days and two calls to your service"/>
        <s v="while the prices are much better than chewys the shipping is slow the only reason we wait so long for it to arrive is because of the money we save"/>
        <s v="i placed an order for cat food that petflow cancelled with no notice after wondering why it hadnt arrived yet i checked on the status and was told it had been cancelled because they thought my email was fraudulent and if i wanted to place a new order it w"/>
        <s v="super friendly staff and wonderful company"/>
        <s v="had a problem with password was locked out and when i called they said too bad you have to wait the time out they did not reset it or help any further"/>
        <s v="absolutely the worst company i have ever used to date for delivery of our dog food will never use them again they like to use the excuse that its the holidays and theyre backed up for deliveries&#10;&#10;then shut your doors and stop taking orders until you can d"/>
        <s v="ordered dog food with a few toys on wednesday night if youre a pet store and somebody orders dog food well before the weekend you ship it out before the weekend right never again with these people have fun losing money on this order what an absolute joke "/>
        <s v="i generally like pet flow but i find the website very confusing my cat has prescription food and i sent the script in with the first order when reordered however it asks for this information again i had to call to find out that it isnt necessary"/>
        <s v="shipment is quick notified timely of any deviation to shipping of order reasonable price"/>
        <s v="it was a great experience overall the ordering was easy it was delivered quickly and the price was great"/>
        <s v="the willingness to listen to my issue and try to work out a solution"/>
        <s v="the delivery is on time or close to the scheduled time"/>
        <s v="best price anywhere  in fact i bought  for what other shops were selling for the same price for one fast quick shipping totally satisfied customer"/>
        <s v="excellent selection for pet food and product came quickly enjoyed the quality and communication throughout the experience"/>
        <s v="shipping times and amount of available products"/>
        <s v="customer service was excellent"/>
        <s v="super fast shipping good selection of dog foods and good prices"/>
        <s v="tried to get my auto shipment moved up a few days sooner  instead they cancelled it when they finally shipped it appeared that i was only being charged  instead of  i figured bc of the mixup when i checked later in the day the  was added back emailing abo"/>
        <s v="bryan was great he explained things and followed up right away im thankful i connected with him about my issue"/>
        <s v="always fast shipping and always have what i need"/>
        <s v="switched over from chewy because natures logic dry dog food was a bit cheaper but shipping is very slow last package arrived opened bully stick sizing is inconsistent and seems foul"/>
        <s v="i have no complaints about the company other than you using fedex as your shipper i seem to have issues with them every time always changing delivery dates this time they left the boxes in plain sight in front of my garage allowing them to get wet in the "/>
        <s v="the treats had small fine bones in them"/>
        <s v="i honestly have never done a review ever well i have ordered twice from this company and each time there was issues the first time the help people were amazing and rushed to fix it right away so obviously i ordered again but this time omg i had to make a "/>
        <s v="didnt receive an acknowledgement from pet flow for on line order placed on a sunday i called monday morning asking for a tracking number and idea of when i could expect the  pounds of dog food i got a snarky no reply never did receive from pet flow any do"/>
        <s v="dry kibble ordered on nov  still has not arrived supposed to be delivered today they are very responsive to emails and communications good company but need soem updated shipping procedures bw"/>
        <s v="service rep said  business days and it took  days had to go to local store to buy food to get by mailing system slow lately"/>
        <s v="i had a concern with my orderthe customer service was outstanding far better than i expected my problem was taken care of very quickly and i will be ordering again soon"/>
        <s v="it took a very long time and multiple emails to customer service to see why my order didnt ship and i ordered two items only received one and no explanation where the other item is"/>
        <s v="again so many products out of stocknot available which means i have to go to other sources to get what i need"/>
        <s v="she was extremely helpful and very kind for the situation i had"/>
        <s v="the company was prompt in getting my order out the door it took the delivery service some extra time"/>
        <s v="five stars&#10;i highly recommend this company their selection is excellent and they are competitively priced"/>
        <s v="my pomsky  years old loves fromm dog food from petflow&#10;its always fresh  the duck is her favorite she likes the salmon too&#10;food is always shipped quickly&#10;i havent needed customer service but sure they are great too"/>
        <s v="representatives very helpful and friendly great bonuses"/>
        <s v="i can order fromm dog food the website is easy to use the delivery is fast"/>
        <s v="having the product i needed and fast shipping"/>
        <s v="always dependable and shipped everything on time let you change the dates on your auto ship just a great company customer service is also awesome"/>
        <s v="listen to my concern fixed the issue quickly"/>
        <s v="have been a client for years only issue is tons of promotions sent via text and never on froms which is the only product we buy"/>
        <s v="shipping was delayed for  straight days whilst i was told repeatedly that the item would ship next day generally i would give petflow  stars however this last experience was less than stellar&#10;&#10;i want to be fair and mindful that warehouse working condition"/>
        <s v="first time order for puppy food for our sons puppy and the price was fantastic with free and super fast delivery was very impressed and i am a seasoned value shopper highly recommend and will definitely order from here again"/>
        <s v="most of my experiences have been excellent unfortunately my last order of fussie cat dry food was less than good i normal order the  lbs bag and ive had no issues the cats love it the last order i purchased the  lbs bag and my cats refuse to eat it i did "/>
        <s v="shippingsecond order fr youfirst order completely messed up you can check your logs and see second order said delivery and day of supposed delivery it was still in new jersey got all items both times but not easy process except for ordering and paying wel"/>
        <s v="ive been buying from petflow for years now and been very happy with them prices are competitive items are usually in stock or quickly restocked and shipping is prompt the one time i called customer service as i wanted to add a bag of food id forgotten to "/>
        <s v="i placed an order for dog food when i noticed it hadnt shipped after a week i reached out to customer service no reply back over a week later looked up my order status and it showed that it was cancelled was never notified&#10;will never use this company agai"/>
        <s v="our cats have been put on a sensitive diet and petflow had the best price for what we needed online ordering was simple and shipping was fast will definitely order from them again"/>
        <s v="exceptionally responsive customer service also good products"/>
        <s v="easy to order prompt shipping competitive prices great service"/>
        <s v="when i received a case of blue buffalo cans in a very damaged box with  cans being severely dented i was immediately sent a full replacement i also ordered  lights for my dogs collar only  works and im hoping to receive replacements for those as well"/>
        <s v="i love that you donate to pet charities and carry nutrisource"/>
        <s v="quick shipping product works barking has decreased markedly"/>
        <s v="we needed to order prescription food for our cat and it kept getting cancelled&#10;each time it got cancelled we called and got a different answer fraud dept credit card company etc&#10;each time the person on the phone said they would take care of it&#10;finally som"/>
        <s v="bad customer service overpriced poor quality food shop somewhere else"/>
        <s v="my mind is blown they wont fill my order dumb and useless took almost two weeks to respond to me never seen a company who didnt want business last time ill shop there"/>
        <s v="petflow is a great company they go above and beyond to provide excellent customer service"/>
        <s v="ive been ordering from petflow for years i used to order from chewy but petflow offered better discounts so i switched to them for most things my only issue with petflow is shipping and thats just such a minor issue that it really isnt even review worthy "/>
        <s v="you stopped part of my order without telling me at all took me all kinds of communications to find out what the problem was i was not and am not a happy customer check your records for my order  it should tell you what went wrong&#10;&#10;how dare you now try and"/>
        <s v="my first order was cancelled with no notice&#10;my second order was placed but sent to wrong address via fed ex then i received an email saying that they cant process my order it was already processed so when i called to see what this was about i was told i w"/>
        <s v="the was available and sent promptly"/>
        <s v="the product is great so far the issue that i have is that the clumps from the urine are heavier than any other product that ive used in the past  years"/>
        <s v="only issue i have is that there is not  count in the bottle  was given only five dollars off my next order"/>
        <s v="took almost  gays to get the puppy food which i ordered a week before getting the puppy then when it did arrive the bag was not properly sealed and food had spilled out all in the box"/>
        <s v="competitive prices great customer service excellent packaging of products and fast delivery easy website to navigate and get all you are looking for what more can you ask for i highly recommend this company"/>
        <s v="i ordered dog food on line and never received a confirmation a few days later i called and was told the warehouse was working on it three days later i called again and they said it was in the warehouse with the stiff competition on line for pet food  supp"/>
        <s v="liked the convenience of getting our pet food delivered what i dislike is the time it takes to get the delivery we were down to our last kibble when the package arrived not sure the service is dependable enough"/>
        <s v="thank you for this opportunity to provide constructive feedback on my experience&#10;when i received my pet barriers i had ordered two they came on separate days which is fine but they were both in horrible shape on arrival both boxes open on both or one end "/>
        <s v="it would be nice to get some discounts for items that are less than "/>
        <s v="i ordered my pet supplies on monday and did not receive it"/>
        <s v="ive purchased from petflow for many years  usually dog treats and food always good products and good service highly recommend"/>
        <s v="easy to use website and quick delivery "/>
        <s v="great service good prices quality products"/>
        <s v="great company always on time with my order"/>
        <s v="orders are correct and intact upon delivery which is always fast any issues or delays are quickly communicated the tone of communication is always congenial and helpful and for me i can buy my dogs healthier and preferred foods that the bigbox stores do n"/>
        <s v="i love how fast they ship but im annoyed my first order the products were expiring in  weeks so i had to use  bags of sweet potato fries before they expired that didnt happen and they seemed okay so i used them until they were gone&#10;this latest order the f"/>
        <s v="good products service and price only problem is you are out of stock too often"/>
        <s v="petflow has provided exceptional service great prices and very good selection of products and foods for my pets for about  years i highly recommend this company"/>
        <s v="ordering is easy and shipping is always fast my favorite site for ordering cat food and supplies"/>
        <s v="shipping has been so fast each time ive ordered excellent customer service and great selection of pet food and items theyve won my business"/>
        <s v="easy to order  delivery was good as well"/>
        <s v="not as familiar with navigating your website thus found it confusing and confusing perhaps as i use it more ill become better with it products are excellent prices are excellent too"/>
        <s v="easy website delivery updates and promptness of delivery"/>
        <s v="i never received my package have been waiting about  weeks since order i would recommend petco or something like that"/>
        <s v="a great place to get pet food that is quality for my gigi girl"/>
        <s v="great experience from ordering to delivery"/>
        <s v="the order has been cancelled by petflow and i was not even notified thankfully chewy had my back"/>
        <s v="i placed a order on  i sent a text on  asking when my order would arrive i was told my order was flagged and never shipped the person didnt know why or what that meant why wouldnt i get a email or a call if a problem was encountered you have all my contac"/>
        <s v="fast shipping and always consistent with supply my shih tzu approves and is a happy baby thank you pet flow"/>
        <s v="your prevention protection is not accurate please fix it"/>
        <s v="shipped to me very fast and no damage packaged well enough to prevent damage i wish fromm allowed discounts for auto ship but i understand it is up to them to allow that not petflows fault at all"/>
        <s v="i appreciated receiving an email when the item i needed was back in stock i waited to buy it from petflow because their price was so much more affordable and this service was so helpful"/>
        <s v="second time ordering prescription food told its in stock and a week later they cancel the order stating its not in stock never again"/>
        <s v="i have ordered twice and each time the delivery has been delayed the order this time was not properly packaged and the box was literally falling apart and patched together with more tape than cardboard i am surprised the entire order made it here i wonder"/>
        <s v="the sales experience was fine delivery not so much again their chosen delivery company left my very heavy package sitting in front of my garage for all to see with no knock or ring at the door to let me know it was there thankfully it wasnt raining that d"/>
        <s v="the dog food came quickly"/>
        <s v="ordered  boxes of arm  hammer fragrance free super scoop cat litter two weeks ago never received it"/>
        <s v="numerous choices at excellent prices fast shipping excellent customer service highly recommend"/>
        <s v="i was told i would receive a tracking number for my package i placed on friday i did not so i called  days later on tuesday at  i understand the company doesnt work on weekends brian answered the phone he was very rude when i asked for a tracking number s"/>
        <s v="i ordered a prescription cat food where the website indicated that it was in stock when i had not received a status update after a few days i sent an email inquiring about the status and was told that it was out of stock which i had suspected since it was"/>
        <s v="the website doesnt work right horrible to navigate i got food i didnt order whats with that shipping was fast prices were good"/>
        <s v="purchased toys for my red squirrel he loves them that r safe and durable costumer service truly is customer service helpful polite this company is a joy to deal with"/>
        <s v="great service and people thank you"/>
        <s v="i ordered cat food delivery on  and i am still waiting for it to be shipped to me there has been no update"/>
        <s v="i love the products they carry i love the communication the only negative is that they are out of my items a lot however i know that probably has more to do with the company who makes it than them"/>
        <s v="products were in stock website was easy to use prices were comparable to other things online retailers"/>
        <s v="great products fresh free shipping&#10;great pricing"/>
        <s v="even though the delivery company brought my package a day later than they predicted it was still earlier than the estimated date i got when i placed my order all items arrived in good condition and i got a very reasonable price"/>
        <s v="food my pet needs was listed on your website and so i placed an order then a few days later received a message my order could not be filled items should not be listed or show as out of stock if unavailable"/>
        <s v="my order got canceled without any notification to me on  separate occasions i found out by checking the website on the status of my order"/>
        <s v="i am extremely happy with the ease of ordering from you"/>
        <s v="ordered two times and both times it was stated in stock after placing the order i was notified sorry out of stock worst website ever if you dont have it in stock ready to ship then dont state in stock"/>
        <s v="id never heard of petflow before they came up in a google search very glad they did i was able to buy some blue buffalo kitten food at a lower price than petsmart petco and chewy&#10;&#10;i also got a bunch of my kittens favorite clicker training treats at a reas"/>
        <s v="good communication shipped fast and great product"/>
        <s v="i ordered and the item was not in stock but it doesnt say that online then when i try to reach out to find out ifwhen the item will be in stock communication was minimal to none"/>
        <s v="customer service is awesome i was having trouble using a couopon and the woman i talked with took care of it its important to me that my purchase will feed a doggie"/>
        <s v="your website said the wet cat food was in stock i never received my order because you are out of the food"/>
        <s v="always satisfied with the service i have gotten at pet flow delivered in a timely manner packaged well and in good shape when it arrives and products we use are always available"/>
        <s v="great prices timely delivery and great products"/>
        <s v="package arrived promptly and was wellpacked ordering was easy the product is just what my cats love too  and its hard to find"/>
        <s v="prices great and selectiondeals appealing preparation and shipping could be quicker customer service agent was snarky&#10;still choosing over chewy "/>
        <s v="speedy service with a personal touch they also carry some brands we cant get elsewhere they are lifesavers"/>
        <s v="very quick service on fromm dog food for our new puppy we were not able to find this brand elsewhere  happily pet flow was able to keep him on his regular brand "/>
        <s v="fraud team kept flagging my credit card and cancelling my shipment even though ive purchased here many times and there was no issue with my bank"/>
        <s v="variety of flavors for fancy feast wet cat food is limited right now but i was able to find what i wanted at a great price at pet flow shipping was fast"/>
        <s v="the order i placed arrived on time i question whether this product was the actual item from the original product made by another company my beagle would not eat this brand but ate the real brand from the manufacturer the dog food didnt even look like the "/>
        <s v="love science diet pet food and love their price"/>
        <s v="happy with petflow good prices delivered timely packaged well"/>
        <s v="my dog loves petflow pet food the taste is very good the logistics is also very fast and the nutrition is very balanced"/>
        <s v="products are great customer service is excellent shipping is fast thank you very much"/>
        <s v="pros very wide selection of dog and cat items i think you could probably find what you would get at any other petretailer comparable prices the website was easy enough to navigate and there were discount codes available&#10;cons the autoship that i set up did"/>
        <s v="i will forever be a customer food gets here fast and helps other dogs in need every time you purchase plus i prefer to support a small business highly recommend and have passed on to friends"/>
        <s v="was able to place my order easily the only issue was a slight delay in delivery due to warehouse stocking i was quickly notified that my delivery would arrive a day later and i was delighted when it did"/>
        <s v="i placed an order and two days later i received an email from you saying something like your fraud review team advised you not to fill my order no explanation ive never had anything like this happen to me before"/>
        <s v="my orders are always on time if not im promptly notified expectations are properly set "/>
        <s v="i love the company but communication is bad ive had a standing order for a long time and they where unable to fill the dog food there was no communication or replacement i had to place this order on my own very disappointed"/>
        <s v="the order was processed as always however i was surprised it took so long to receive i used to order and get it within  days this time it took "/>
        <s v="on time delivery and ease of use website"/>
        <s v="the product i was looking for was available and was able to place my order without a hassle"/>
        <s v="it was great service and my stuff was delivered quickly"/>
        <s v="i just recently discovered petflow and they provided me with the best price customer service and speedy delivery for the item that i was looking for i will definitely choose petflow for future purchases"/>
        <s v="great customer service and dog food arrived on time"/>
        <s v="shipping was quick my order was accurate customer service is fantastic"/>
        <s v="terribly disappointed with this retailer order was confirmed yet i never received a shipping notification when i requested a status update was told their fraud prevention team suggested not filling the order what a load of crap i use the identical payment"/>
        <s v="easy to order and i received everything very fastwith free shipping im planning on buying more pet items from this site for sure its rare that you receive ordered things within  days from most pet sites for free unless you pay"/>
        <s v="i needed to get my prescription pet food that was sold out everywhere this was the only place that had it submitting my vet info for the prescription was easy and the food arrived quickly"/>
        <s v="company was great in fulfilling my order of hills rx derm complete dry dog food although a delay between veterinarian to petflow in the timeliness of my order some of that was beyond petflows control once things were in order the order came as expected an"/>
        <s v="competitive prices good selection of bird food quick shipping"/>
        <s v="my order is constantly being canceled why cant i stay on a list until the product is back in stock so it can be shipped to me"/>
        <s v="for over a year i have an autosubscribe food order the price went up on the food and i reached out to see if you would honor a competitors price without hesitation you did thank you so much for your superior customer service and quick and seamless orderde"/>
        <s v="the web site is easy to use great deals on all pet supplies wide variety of pet foods especially for what i need for my cavalier i recommended petflow to all my pet parents"/>
        <s v="ordered cat food on sale  cases received email item was out of stock very disappointed should have been offered sale price when item returned to stock"/>
        <s v="wonderful fast fast"/>
        <s v="had to inquire whether or not my order had shipped which it hadnt inquired twice and was told both times had not been shipped on the second inquiry i also asked that if it was not going to be shipped today  to cancel interestingly it has been shipped toda"/>
        <s v="i have a difficult time finding this product and petflow had what i needed fast delivery"/>
        <s v="great prices fast shipping and they actually have the dog food i need in the right size bag that i cant find anywhere else so glad i stumbled upon this company"/>
        <s v="ordered food got message later that it was out of stock so website isnt accurately updated waited as they said they would ship as soon as they got it in stock then i got a message that they canceled my order so this was the first and last time i will try "/>
        <s v="quick quick delivery after several deliveries of same order  lb bag of prescription dry cat food the shipping box holding the bag has become more compact and instead of a  foot long of brown packing paper crumpled and wrapped around the bag to fend off da"/>
        <s v="i love petflow i prefer them to chewy and petsmart i feel like they are geared more towards the consumer and their pets and not political posturing i buy for my pets and want a company committed to my pets"/>
        <s v="csr told me my card was fraudulent and my order would not ship i bought dog food from another place and then i notice petflow had shipped my order after telling me it was cancelled i wont shop here again"/>
        <s v="easy to order&#10;my order was a repeat order and the site made it easy to identify the previous order&#10;the site facilitated the scanning for coupons which gave me a discount&#10;communications regarding order placement shipping and delivery were timely and accura"/>
        <s v="weve been using petflow for many years now and every aspect of their service has always been amazing premium kibble reasonable price and product arrives quickly"/>
        <s v="always delivered quickly and you carry high quality cat food thank you"/>
        <s v="i ordered a couple hundred dollars worth of stuff all but  items were unable to be shipped and on backorder why do they have items listened that they clearly dont have in stock one or two items  ok but pretty much my entire order you might want to call an"/>
        <s v="main complaint  damaged cans over and over again&#10;&#10;i have been told to call and requests additional packing additional boxes email notifications on auto ship status i do all these things and still petflow comes up short&#10;&#10;if something is out of stock at the"/>
        <s v="spoke with a rep named ryan and he was extremely rude and hung up after saying have a good day because he couldnt answer my questions about a product pet flow says they have in stock"/>
        <s v="products were damaged and petflow replaced them immediately l"/>
        <s v="everything as described fast service"/>
        <s v="i like that shipment can happen the same same day as the order date delivery is fast packaging can be better as ive gotten several dented cans"/>
        <s v="this company has very quickly response and nice servicepeople are very friendly and helpful"/>
        <s v="i ordered prescription food for my sick cat submitted my vets prescription with the order made the payment and my vet confirmed it was approved the same day its not on backorder but it has now been two weeks and my order still hasnt shipped or been delive"/>
        <s v="having the dog food delivered takes a large load off my schedule the delivery people are very courteous and friendly"/>
        <s v="i had paused my auto ship then ordered what i needed weeks later i have another shipment of  lbs of dog food"/>
        <s v="petflow is unfortunately very inconsistent with their delivery we recently received  orders within  days after not getting anything for approximately  weeks"/>
        <s v="great service had the product i needed shipped and received in very reasonable time i will shop with petflow again"/>
        <s v="two orders placed at different times showed in stock gave all my billing info got confirmation of order a week later got an email order canceled due to no stock my cat needed this food asap  was quite disappointed that it took a week to notify me two time"/>
        <s v="as usual many of the cans were dented in shipping i assume makes it difficult to stack and store&#10;may not order again"/>
        <s v="i had a issue with my picky cat he would not eat the food i purchased i contacted them and they helped me out"/>
        <s v="great product and shipping was fast they communicated every step of the way will definitely order from them again"/>
        <s v="the discount on my order the order itself and the delivery time are all  star&#10;&#10; maybe you should change the name from petflow to  star"/>
        <s v="i appreciate that i can quickly reach a customer service representative on the phone when i have a question about a product or an order and im glad that petflow donates food to needy animals i also like that petflow is not connected to companies that sell"/>
        <s v="while i needed this product and was up on its delivery time id like pre notification of sending this allows me to plan about being home etc"/>
        <s v="i ordered a prescription diet for my cat and accidentally typed the incorrect vet in for the prescription referral  one that has a very similar name as that of my vet petflow emailed me that the vet didnt have any records of my cat  and i when contacted t"/>
        <s v="your website needs to be better maintained i ordered product listed as being in stock and got a confirmation email then two days later ordercwas cancelled with no explanation i called and the only reason you got  stars is customer support was so nice howe"/>
        <s v="items that were on backorder were listed as in stock on the website customer service wasnt helpful couldnt say when the items might be back in stock called back to cancel the order after finding the items cheaper on amazon and was told that the items were"/>
        <s v="i have tried to order cat food at least  times this year from petflow and they have canceled every order due to supply shortages even though when i placed my orders the food showed on the website as in stock it has been very frustrating and i am tired of "/>
        <s v="i placed an order  and signedup for ongoing orders but the next email i received was one offering a discount that was never offered to me  until after i ordered and signed on for reapeat orders&#10;thats terrible &#10;that is not a way to do business with repeat "/>
        <s v="both times that i have ordered from petflow my orders had delayed shipping dispite me calling and emailing them"/>
        <s v="i placed an order online because it showed the item in stock i didnt receive any notifications that it wasnt in stock until i emailed in a query at that point all i received was a notification that my order was canceled again with no reason as to why very"/>
        <s v="i would not have provided my personal information if i had known you dont have what i need not happy "/>
        <s v="petflow has grown on me i have used their competitor for a long time but tried petflow when i initiated a food change i have found petflow to be responsive and helpful quite honestly i feel their service has continued to improve over the time i have been "/>
        <s v="great product and shipping times im so happy to have found this company"/>
        <s v="very knowledgeable and helpful assistance over the phone quality product prices cant be beat"/>
        <s v="the item i needed was in stock priced better than the competition and arrived timely as needed"/>
        <s v="recently i ordered over  in treats they came in one large box and half of the treats raw freeze dried had turned to dust in their packages it was likely due to rough handling during shipping that had never happened before and ive been ordering treats from"/>
        <s v="i guess my card was declined for my second order of fromms cat food  cases but instead of telling me by text email call i was just ignored when i was down to one lonely can and wondering where my cat food wasi emailed no response to my question just a wel"/>
        <s v="your website lied and said a product was in stock when it wasnt we ordered it and heard nothing from you i had to call several times and then i was finally told my order was canceled because it was back ordered so was it never in stock to begin with ill n"/>
        <s v="i had a slight issue with a couple of the cans that were shipped and the customer service representative said they would issue a credit on my next order very professional and courteous service"/>
        <s v="my order was cancelled and i did not know it no email nothing i had to log into my account to find out i have reordered and hopefully product will be sent"/>
        <s v="everything i always need personal help with my orders which usually include a prescription for my cat the prescription i have is a open one that i usually have to send a picture of and petflow seems the only online site that will talk to me personally in "/>
        <s v="the people on the phone are friendly and helpful"/>
        <s v="what a great business to work with when i made an error and ordered the wrong food  customer service was happy to take it back and get me the right food&#10;what a pleasure to work with such nice and helpful staff a most unusual treat today"/>
        <s v="i originally ordered a  can case of cd chicken stew and a  can case of cd tuna stew and was told that they were both in stock about a week later i got the case of chicken stew but but still am waiting for the case of tuna stew i just called a little while"/>
        <s v="excellent product ive been buying from them for years and fast service"/>
        <s v="i ordered  cases of the hills cd wet can food one stew and one fish i only received the stew my invoice shows that i was charged for both&#10;but no explanation on why i didnt get the full order"/>
        <s v="wanted to order dog kibble but the price on the select and description page was  but when i started processing the order the cart jumped it to  i called and explained the problem the guy hung up on me i called again and the second guy also hung up on me p"/>
        <s v="would give this company zero stars if possible have ordered from chewy petco pet nirvana and vetsource with absolutely no issues whatsoever using the same credit card i used for petflow however twice petflow cancelled my order with no notice i didnt disco"/>
        <s v="i have tried to order food for my cat  times each time the order being cancelled because they did not have the product in stock i didnt understand why the would show a product in stock when in fact they didnt have it"/>
        <s v="great product exactly how it was described&#10;works great for my dogs"/>
        <s v="so glad i found this company products in stock and ships quickly appreciate the great service"/>
        <s v="i was never told you did not have the product instock i ordered it and my debit card was charged three days later i was told you were out of stock and refunded me next time tell me you were out of stock and dont make me go through the process of ordering "/>
        <s v="both orders was delivered on time petflow provides a tracker number so that you can track your order items in both boxes came spillproof and dog food bags were tightly sealed petflow also offered me  off both of my boxed items thusfar our house yorkipoo a"/>
        <s v="it is nice product"/>
        <s v="pet flow kept canceling my order and asking me to resubmit it even though it was out of stock they gave me deep discounts on the order but they were never able to deliver it this is a serious situation because my cat cannot live without her prescription f"/>
        <s v="hello&#10;i really enjoyed the experience of shopping with petflow&#10;at first the purchase was cancelled because the product was out of stock pet flow solved the issue i was informed at every step the prices are very competitive&#10;i can say that petflow is my fav"/>
        <s v="customer service is great delivery is a bit slow order shipped september  and its september th and i still do have my item"/>
        <s v="cheapest place to purchase my dogs fromm dog food and it always arrives on my doorstep fresh i feel confident in purchasing with petflow"/>
        <s v="i was pleased to find what i needed at a good price but also saw a number of things that were much higher than on other sites my order was shipped within  hrs and arrived in good condition i appreciate the messages keeping me informed every step of the wa"/>
        <s v="thank goodness for petflow i needed prescription treats i could not find any where even my vets office was out i had not heard of petflow before and you came to me and my lab bellas rescue fast shipping thank you we appreciate you so much we will be back"/>
        <s v="an honest informative explanation my cats appreciate it please send me your list of us cat food manufacturers i fiddled with your email until i couldnt view it or print it&#10;&#10;thanks"/>
        <s v="love this cat tower my girls have a great time climbing and lounging its very sturdy and was delivered promptly thank you"/>
        <s v="great products and reviews that help pet parents too bad items dont ship during the weekend great products and resources thanks"/>
        <s v="they were very helpful  my cat food was delivered on time"/>
        <s v="it took longer that buying it directly or with other companies"/>
        <s v="i have been getting auto deliveries for many years recently went on line to order and set up a new auto delivery for new puppy my ship to address was no longer correct i fixed it went to order the food and it flipped back to the bill to address i fixed it"/>
        <s v="petflow is great i place my order within  days i have dog food sooo convenient to have it shipped right to your door ive been doing business with them now for  years and will continue"/>
        <s v="if i could give it zero i would they never contacted the vet despite giving them fax phone and email and contacting them on multiple occasions i have a prescription for the same dog food but i tried ordering snacks i have a prescription for the dog food i"/>
        <s v="fast shipping and good prices for hard to find dog food"/>
        <s v="great selection timely shipping the boxes are still crap they show up half open beaten up sometimes too small for the bags of food causing them to be ripped open if i could get nutrisource food somewhere convenient i would not use petflow"/>
        <s v="i ordered some thing and the order was approved by the vet because it was a prescription then i found out five days later that the order was not being fulfilled because it was out of stock it seems as if the company should know what it has and doesnt have"/>
        <s v="have spoken to  people to get an order of dry dog food on auto ship to no avail process started late aug with everyone saying it would ship asap i still do not have it i dont understand what the problem is"/>
        <s v="my cat needs prescription hills yd after going thru the verification process  stopping my search i was told you couldnt source it wasted time waiting i was informed after the fact wish i had known in the beginning"/>
        <s v="ive been using petflow for quite a while now and have had nothing but positive experiences generally i receive my order in about four days or less"/>
        <s v="ordered on  received  via fedex&#10;&#10;the box it came in was trashed more than likely from shipping and handling i would suggest using sturdier or reinforced boxes but that probably would add more cost one of the bags was leaking food it seems the bag was not "/>
        <s v="delivery of the product was sloppy&#10;it was raining and the box was left outside where there is a dry place available"/>
        <s v="my only complaint is that the bags of dogfood were not packed properly instead of the big  pound bag being in the usual big boxes that it usually arrives in the  pound bag was crammed into the same size box as the  pound bag with the result that the box a"/>
        <s v="great prices of several items we use thank you"/>
        <s v="the best prices in stock merchandise and quick shipping would use them again"/>
        <s v="petflow carries fromm healthy weight for senior dogs bandit loves it bandits favorite is treat is the inch pizzle chews he has to have them"/>
        <s v="my order was cancelled without any notification it was a sizeable order on a brand new account but not providing notification was both inconvenient and has left me scrambling&#10;&#10;the prices will result in me trying to order from petflow again but the experie"/>
        <s v="i appreciate the discount and sales offered to your large selection of product my items arrive carefully packed and i have yet to receive one dented can or damaged item keep doing what your doing"/>
        <s v="stop accepting orders for items you do not have in stock this has happened twice now"/>
        <s v="always a great experience with petflow product is of great quality and ships fast only place i can find these ears in bulk"/>
        <s v="my dog food order arrived with  exploded and dented cans petflows  email reply was to tell me they will credit my card  today is  and my card has yet to be credited i am not happy about this order number  placed on "/>
        <s v="first time using petflow and im happy with the service i now have autoship with them used chewy autoship in the past but their service has become unreliable in past few months petflow was able to supply prescription food that was out of stock at chewy"/>
        <s v="products and pricing are wonderful shipping is slow compared to chewy thats the only downfall"/>
        <s v="orders are not packed properly and arrive dented this is not the first time customer service did in fact send me a new oder"/>
        <s v="it was entirely on me to send a prescription the order was sat on for weeks and eventually was cancelled without me asking for it now your site shows its out of stock just literally the worst order ive tried to place for prescription food  for which my ca"/>
        <s v="after receiving an email requesting i contact my vet to facilitate getting required prescription for my dog my vet had received no such request i called customer service requesting another prescription be submitted i was treated with arrogance disrespect "/>
        <s v=" thumbs down its  my order was supposed to arrive  today i was told the fraud department canceled my order for reasons they wont disclose they didnt tell me the order was canceled i was simply left waiting when i attempted to reorder payment they said the"/>
        <s v="good service and fast delivery"/>
        <s v="i have purchased from petflow regularly for a number of years they have good prices often the best they ship quickly and ive never had an issue whats not to love"/>
        <s v="my scooters food got here in a very timely manner he loves this food and it is hard to find in our area the cost is reasonable though it would be nice if there was ever a sale on it thank you petflow for helping me provide the best for my fur baby"/>
        <s v="i was very disappointed with my experience i was looking everywhere for the prescription cat food my furbaby needs and petflow was the only place that showed having it in stock but by the time they finally got around to contacting my vet nearly a week aft"/>
        <s v="ziggy went nuts over the treats its his crack cocaine will definitely order again"/>
        <s v="your service and products have always been excellent the only glitch was on my last autoship i never received notice that my order was getting ready to ship if i had i would have pushed it to a week later its not a big deal but i like having the advance n"/>
        <s v="i believe your website was corrupted and my account breached leading to several orders that i did not authorize there was faulty information shown for example the website showed order  xzy was just placed today but when i asked your rep about that order n"/>
        <s v="good food cheap easy"/>
        <s v="i placed a subscription order for prescription food for my pet petflow claimed they had it in stock i was wondering where my order was so i logged into my account to find that the order was canceled because they did not have it in stock the did not cancel"/>
        <s v="it would be nice to get some of the discount codes for nonauto ship orders for frequent order customers&#10;thanks petflow"/>
        <s v="website advertised canned yd thyroid cat food so we ordered a case after a week we were told it wasnt available which left us scrambling for thyroid food for our cat"/>
        <s v="i gave you a top score because we ordered food from you guys all the time this time i didnt get any emails i looked in my junk folder there was nothing there i had to call twice to figure out what was going on i hope you can improve this process"/>
        <s v="have enjoyed using this site to help take care of our for babies great selection decent pricesdelivery on time"/>
        <s v="our girls love the dreambone peanut butter sticks and they are always out or extra expensive on other sites this price is great"/>
        <s v="i had a good experience with this company i ordered my dogs food and received a great price order arrived in the time frame and condition expected i will be reordering as needed&#10;thank you"/>
        <s v="my pups love all of the toys we ordered from petflow most of the toys we ordered are made by kong toys are great for our young aggressive chewer as well as our fairly active  year old senior pup ordering was easy prices are great"/>
        <s v="i submitted a signed prescription from my vet through email for  orders and kept receiving emails from this vendor telling me they couldnt ship until the prescription is verified then more emails saying they would approve it if i would submit a prescripti"/>
        <s v="great communication free and fast shipping and they carry an item thats out of stock everywhere"/>
        <s v="im really happy with all my purchases from petflow affordable prices and fast shipping"/>
        <s v="i have gotten myias can food before from you but this time every single can was dented up not the quality i expect for the price of hills prescription food"/>
        <s v="the worst spoke with a customer service rep ryan and he was courteous and yet at the same time completely unhelpful and unwilling to do what it takes to resolve the issue he was very passiveaggressive so i to him to suck a bag of diks etc etc&#10;my problem w"/>
        <s v="no issues with shipment or product easy ordering"/>
        <s v="my experience was very positive i was able to get some dog treats that i had not been able to purchase for quite some time thank you"/>
        <s v="fast shipping good price"/>
        <s v="my puppy lola has had allergy skin issues and she hates all food and treats until i cane across hills prescription hypo pet flow was so nice to work with great service great prices and the variety is wonderful thank you so much"/>
        <s v="you are asking for me to rate something that hasnt yet been delivered i just tracked it and see that it is expected to be delivered tomorrow well see if that happens&#10;&#10;by the way i ordered from your competitor about  days later than this order and it was d"/>
        <s v="i am pet flow subscriber and i love it my cat food always arrives on time and if i order an item before it only takes  days to arrive or maybe less"/>
        <s v="i appreciate the delivery your prices are fair but it took a longer time to get the food i used to get food from you in  days this was  days which doesnt seem too bad but long if you expect it in  days"/>
        <s v="something went wrong with one of my first orders with your company it was either the dried beef lung or a chew toy but either way no notification was sent to explain why i drive a truck for safewayalbertsons for a living so i understand supply chain delay"/>
        <s v="scam  i tried to order bowls and they sent an email stating they were supposed to ship on the  and that i would get a tracking number in my email  i never got the tracking number so i called and they said my order was canceled because of fraud and they ca"/>
        <s v="placed an order for dogfood from petflow for the st time  not only was delivery quick but price was way better than where i usually purchase  will definitely order from petflow again"/>
        <s v="we are a small chihuahua breeding program and it is most convenient to have our dogfood deliveredwith free shipping"/>
        <s v="i ordered my cats prescription canned food called to check on it several days later  was told my order was being processed then received an email a week after my order date stating my order could not be fulfilled as it was out of stock by that time i was "/>
        <s v="soooo disappointed here needed still need rx canned cat food said it was in stock our vet sent rx right away then i didnt hear anything checked on it a week later they said oops out of stock we have to cancel your order whaaat"/>
        <s v="im usually pretty pleased with petflows delivery system but for some reason this time it took almost a week for me to get my product usually its in within a day or two so i just hope he gets a little bit more through the delivery service other than that i"/>
        <s v="was very pleased with fast courteous service"/>
        <s v="you allowed an order to be placed for rx food when it was not available i had to call to get a cancellation email it was nearly a week later before that was sent"/>
        <s v="i was very pleased with my purchase experience with petflow i ordered a hills prescription diet dry cat food that ive been having a lot of trouble finding i bought it for a better than average price it arrived earlier than quoted and in good condition"/>
        <s v="very good service i love the play pen i order"/>
        <s v="easy use of website for ordering and you have always delivered this hard to find food on time ive come to depend on your consistent service thank you"/>
        <s v="ordering is quick and easy product arrives in    days "/>
        <s v="every one was helpful i am sorry not to be able to get my at food"/>
        <s v="petflow made it easy and my food was delivered quickly with no problems my dogs love their new food and the auto ship makes it hasslefree"/>
        <s v="first time buyer ordered one product which needed vet approval once obtained shipping took a while poor communication as there was none on their part unless i called repeatedly"/>
        <s v="ive been using petflow for years now never had an issue till recently this time around i received a package before i received the shipping notification upon receiving my partial order because one item was on backorder there was  item missing other than th"/>
        <s v="i ordered two cases of food i provided the prescription and the two cases were ready to be shipped i followed up the next two days and i was told was due to the prior holiday weekend but the two cases were ready to be shipped however two days later i was "/>
        <s v="very well made and excellent quality of the product "/>
        <s v="never received product nor heard that it could not be fulfilled item was listed as in stock when purchased"/>
        <s v="always reliable and a great price thank you"/>
        <s v="absolutely friendly staff and helped me right away helped me find the perfect alternative for the same price"/>
        <s v="it was cheaper than anywhere else fast delivery  customer service was also fast and friendly"/>
        <s v="i ordered my dog food almost two weeks ago and im still waiting for it to be shipped or get a refund i have received multiple emails about them not being able to reach banfield pet hospital to get my prescription for my dog but banfield is open from like "/>
        <s v="horrible horrible service i did everything right on my part even then the food for my cats wasnt shipped in a timely manner despite me calling for it and being told it will be shipped asap multiple times only to be told later it is being delayed then bein"/>
        <s v="i placed an order for treats and a few days later the order was cancelled without any notice the reason given was something flagged a fraud alert however when i called the customer service number they couldnt give me specifics all they suggested was tryin"/>
        <s v="i was very encouraged when i first logged into this site as some of the prices are lower than other sites but just after submitting my first order im being told that half my order isnt available at this time when i logged out and went back into the site e"/>
        <s v="i travel for work and i ordered pet food via your site for the first time with my billing address as my home address and my shipping address as the place i was on location working i travel with my two cats my order was cancelled and i was not notified it "/>
        <s v="apparently my order was canceled by the fraud department id like to know why i spoke to someone on the phone as i wanted  of the item but you only had one no one notified me i ordered  from another company thinking i had  coming from you now your out and "/>
        <s v="i tried using a coupon that said expires  on  and it was already expired"/>
        <s v="i will never ever contact pet flow for anything ever again terrible terrible customer service and failure to deliver told me their fraud division refused to ship item i ordered i contacted my credit card companies and all of them said there was zero issue"/>
        <s v="love petflow site carries my favorite products great prices fast shipping and items arrive in good condition a"/>
        <s v="bimonthly order of dog food that is the best price i can find online"/>
        <s v="shows on website the food i needed for my cat was in stockand it wasnt"/>
        <s v="great products service and website"/>
        <s v="my experience isnt complete because i only received one small piece of the order kind of odd i ordered a case of cat food when i placed the order the site said i was only  away from free shipping so i ordered a small kitty toy for  i got an email on monda"/>
        <s v="half of order delivered as expected other half was on perpetual delay petflow team could not provide update except that all prescription orders were delayed this was obviously not the case as the first half of my order was fine and not delayed that said i"/>
        <s v="i tried twice to order the dog food for my  dogs both times it was cancelled by this company their so called fraud prevention dept i was dumbfounded i called to ask why the woman i talked to had no idea and could not transfer me to anyone to talk to about"/>
        <s v="ordered wrong food contacted company before shipped they said it was too far in the process they told me to deny delivery when they come the delivery company dropped off without notice and they denied my return they lost me as a customer over  i purchased"/>
        <s v="product is good but way too many emails"/>
        <s v="took over two weeks for order to arrive&#10;soft cookies are very hard"/>
        <s v="this place is a real joke seems like they are selling items that they dont have we purchased  dog bowls for our feeders after they was supposed to ship them out we called and they said that they canceled our order due to they thought it was fraud how is m"/>
        <s v="every time i order it takes forever to receive i also have received the wrong product and had to reorder and wait even longer kind of a headache customer service is just ok"/>
        <s v="nice selection of premium reasonably priced highquality cat food shipped and delivered quickly with no hassles"/>
        <s v="website is extremely difficult to navigate and customer service is merely okay&#10;after i was told my order was in stock it wasnt and my order was cancelled no well let you know as soon as it gets in or anything just plain canceled&#10;not gonna bother shopping "/>
        <s v="i place my first order with petflow a few days after placing the order i realized i hadnt received an email with shipping information so i called to find out when my order would be delivered i was informed my order was canceled i asked why it was canceled"/>
        <s v="overall it was easy to order however it took more than a week for me to receive my dog food the fl warehouse was out of stock there was no correspondence to let me know that the food was then coming from the nj warehousei had to call in order to find out "/>
        <s v="my parentsdog loves this pet food it arrived when i was advised it would arrive so that was awesome"/>
        <s v="been ordering pet food from petflow for years now and have had nothing but good experience with the company products i order are the best and at the best prices available shipping has always been super fast great company"/>
        <s v="its too hard to cancel auto ship orders it should be a simple button you can press instead you have to contact customer service which takes time for what should be something i can do myself other than that petflow is always fantastic"/>
        <s v="delivery took longer than i expected after a week and half i had not received an email letting me know my order had shipped i contacted customer service to ask and what do you know my order shipped the next day"/>
        <s v="very good customer service happy with product and delivery prescription treats my dog likes they had in stock"/>
        <s v="claimed a dog food product was in stock and even told me that only one was available not the two that i had in my cart so i purchased the one two weeks later no dog food has arrived but i just got an email stating its out of stock and not known when it wi"/>
        <s v="ordering was simple communication was excellent selection prices were great anf items were shipped promptly no problems were encountered at all"/>
        <s v="petflow had the sensitivity select dog food i needed which is hard to find at a reasonable price i received it within a week great company to deal with"/>
        <s v="order on  called on  to verify prescription received told yes will ship soon no contact from you called again on  told will ship that day i expected to receive by  tracking sent stated expected arrival  was never informed of these delays and my cat has no"/>
        <s v="i ordered hills prescription cd ocean fish wet cat food on the st of september i had no knowledge that is was not in stock prior to ordering as it was not noted on the petflow site i got an acknowledgement email from petflow and that was it to make a long"/>
        <s v="transfering a new hardcopy rx was a bit cumbersome&#10;first i was told that i had to send a new rx via us mail then i was told i could simply upload it so it took almost  weeks to receive the product"/>
        <s v="i had some issues with my order but contacted customer support twice and each time has been reassuring its easy to get a hold of a real person and the team has been very professional and courteous in resolving my issues i will continue making purchases fo"/>
        <s v="very happy experience from petflow&#10;thank you"/>
        <s v="dog food i ordered went out of stock immediately after it allowed me to order i called and i was told they could not give me any idea of when it would be in stock i tried to cancel my subscription with them but they told me they wanted to keep it for now "/>
        <s v="frdex didnt deliver the previous order your customer care rep ordered another fromm sur  turf for me and it was delivered"/>
        <s v="i signed up once for autoship  the order took over a week to reach me since that experience i order when i need it and always receive it within a few days i am a regular"/>
        <s v="i bought the august st havent even received any email with shipping last time i talked to them havent shipped yet last time i called didnt even answer"/>
        <s v="i placed an order about  days go by and i realize i hadnt gotten a shipping confirmation number i called and representative said  oh did no one reach out to you no they didnt long story short nothing happened except they held onto my money i canceled the "/>
        <s v="i placed my order a few days ago i then had to get a prescription from the vet and mail it mail it not fax it or email it but mail it i have yet to get notice that my dog treats have been mailed and it had been days my dog has ibd and these are the only t"/>
        <s v="communication with petflow staff was exceptional and professional i truly believe the staff was interested in helping me with the prescription from my vet for the product and clarification expedited the process well"/>
        <s v="super prompt service which included petflow needing to verify a new prescription with my veterinarian fast shipping too much appreciated"/>
        <s v="petflow website had hills yd canned cat food available i ordered a case they sent me a confirmation  then contacted my vet for the required prescription after receiving it  checking their inventory  then with their distributor notified me they dont have i"/>
        <s v="my order was not processed as it was flagged for fraud however i was not informed of this i had to call  days after placing the order to find out"/>
        <s v="ordered prescription cat food that was in stock never heard anything for  weeks then got an email saying it is now out of stock i looked it up again and it is not out of stock total waste of my time and i dont remember the date exactly"/>
        <s v="had what i was looking for good price and fast shipping great job"/>
        <s v="easy website to navigate customer service both via chat and phone were very helpful when i entered my cc number incorrectly shipping was fast too"/>
        <s v="my order was canceled twice without an email or call this is unacceptable and i will never recommend petflow to anyone"/>
        <s v="i have a rescue and wanted to give petflow a try because they had some great deals i placed an order in my name but used my husbands credit cardsame last namei received a confirmation days later never received it i called and was told my order was cancell"/>
        <s v="the crate arrived so quickly it was way to assemble looks great very pleased "/>
        <s v="i placed an order on  and had not heard anything about it by  so i emailed the company and was told that their fraud protection team suggested that they not fulfill the order when i emailed back for an explanation i was told to call a number which i didnt"/>
        <s v="dog food arrived in good condition dry food it was not broken up like some other places where i have ordered good service"/>
        <s v="this site is legitimate i feed my dog chicken soup for the soul weight care for dogs after checking other places they definitely had the best price so glad i found them shipping was minimal but fast set it up for auto ship"/>
        <s v="good site good site good sitegood site"/>
        <s v="i ordered a prescription diet food for my pet on a saturday that monday i called into customer service and confirmed receipt of my pets prescription i expressed urgency to the rep that we were running low and needed this food asap  days later i received a"/>
        <s v="prescription wasnt approved and i didnt get any food"/>
        <s v="fast very secure service easy and safe method of purchase and excellent products affordable pricing"/>
        <s v="nothing but good to say about petflow they have what i want the prices are fair the delivery is fast"/>
        <s v="excellent customer service i ordered etta says premium elk treats  count one arrived not  just the one i called the rep on the phone was more than polite and sent out an order for the missing  chews again the box arrived with one chew not  i called a seco"/>
        <s v="awesome to do business with received product on time"/>
        <s v="very happy that i found this site for my aging dog who needed prescribed treats that he was on most of his life they contacted my vet for approval and i did not have to wait too long before i got my package"/>
        <s v="i had a wonderful experience with petflow my cat max is on a special hills prescription diet for urinary issues it is very difficult to find cd cat food where i live i found petflow online and ordered chicken stew tuna and ocean fish i uploaded the prescr"/>
        <s v="the ordering process was easy however within one day i received an email saying my item had shipped but after  days with no tracking number i called and was told the item was out of stock shortly after that call i received an email saying the item was out"/>
        <s v="petflow and its fine customer service representatives are always dependable always on time forever and always pronpolished"/>
        <s v="excellent customer service well stocked inventory"/>
        <s v="fast shipping  best price when compared with other delivery companies of same product"/>
        <s v="petflow offers competitive prices compared with other online pet supply companies"/>
        <s v="i tried to order litter boxes for my shelter and my order was canceled without my knowledge and after the order was already supposed to have shipped i contacted the company and they canceled my order because they said it was fraudulent are used paypal whi"/>
        <s v="went from bad to worse&#10;ordered rocks and cat treats my package was lost no one reached out i contacted fed ex several days later and its gone i called petflow to get me my order over night from another location they said a manager would get in touch nothn"/>
        <s v="this is my third time ordering from this company the first two times were very positive however after putting in an order on a saturday morning they are telling me that it might leave their warehouse at some point in the day on a thursday so basically alm"/>
        <s v="everything was great&#10;i unfortunately had to let go of my baby  black lab of almost  years&#10;if when i am ready i would use your services with no questions"/>
        <s v="you offer free shipping for orders over  so i try to meet that requirement but then you offer coupons which are really nice but when i apply a coupon it brings my total below the free shipping mark my choices are to accept the shipping charges or buy more"/>
        <s v="this is my first time ordering from petflow and i am very satisfied my order came quickly and the prices are less than other places i ordered from the type of dog food i buy for my dogs is hard to find and im glad petflow has it it saves me time looking f"/>
        <s v="good service arrived when you said it would i was a little confused by the check out on your website but im old"/>
        <s v="my auto ship sat in processing status for  weeks so i paused it so i could order something else i called and the person acted like they didnt want to help once i placed my new order i received my auto ship order at the same time this was over  at one time"/>
        <s v="im unhappy with your service my vet was out of the prescription diet for my cat so i ordered from your website on friday  you charged my credit card on monday  since you charged my card i thought you had the okay from the vet to get the prescription food "/>
        <s v="two times i tried to order a particular flavor of food for my cat and both times your site said it was in stock about  days later after not hearing anything i contacted petflow only to find out that the product was out of stock&#10;&#10;you do not let customers k"/>
        <s v="this is the first time i used pet flow and i was very happy with the results they got the approval from my vet and shipped the products in a timely manner i will be using them again"/>
        <s v="great customer support and very fair pricing speedy delivery will use again and do rexommend"/>
        <s v="good communication about delivery status"/>
        <s v="i am not paul weiler not only are you asking me to rate my experience you have joined my account with his&#10;&#10;i am dawn martin and have canceled my account im a over  years a customer i hope you take my info off pauls account and vdh versa&#10;&#10;thank you"/>
        <s v="the website said they had the product  days later i received an email stating they were canceling my order they did not have the food i had originally ordered"/>
        <s v="good service ordered dog food and it arrived within couple days"/>
        <s v="my product never made it to my doorstep and i still havent received my money back extremely disappointed with the service of this company"/>
        <s v="prices are a little high but the shipping is outstanding i am able to get my dog what she needs"/>
        <s v="i was happy first time ordered food from this company i usually ordered from chewy and then they sent me the wrong food for my dogs i called they were able to change it and asked me to send back the one i had the wrong one the new order yes it was  but it"/>
        <s v="called twice to check on my order people on phone were pleasant but not very helpful my order was canceled without any communication from pet flow i was told that an email was sent but i did not receive one on the day of cancellation or ever very disappoi"/>
        <s v="the cat food arrived on time once i ordered the wrong flavor great customer service for an exchange of flavors"/>
        <s v="package arrived in timely manner"/>
        <s v="great customer service&#10;&#10;it was so easy to set up an account and get reoccurring deliveries and the prices are right"/>
        <s v="my order arrived promptly and packed well thanks"/>
        <s v="i do like petflow for my dogs food and supplies i found the auto ship to be somewhat confusing while i was determining how much dog food to order as my pup was growing im unsure how much the discount is for auto ship and when does it start i do not see di"/>
        <s v="petflow was so helpful in telling me when i should expect my package and sure enough it came on time i couldnt ask for more"/>
        <s v="good products and prices very disappointed that it took  days for delivery im used to chewy with  day delivery"/>
        <s v="great service also was able to find the prescription food i needed for my cat only here after finding it out of stock at my vet and at other web sites both my precious cat and i are very happy now"/>
        <s v="no one called me to tell me my order was going to be late my husband called and gave his credit card several months ago and i have placed orders with this credit card numerous times but for some reason yall decided not to send this order because our last "/>
        <s v="fast reliable shipping"/>
        <s v="easy to order quick free shipping got veterinary food i needed in the large size pet smart wont sell you the large size which is a much better deal been ordering all of chloes treats from you for several years keep up the good work please get her some mor"/>
        <s v="shipping was fast delivery was not not delivered by estimated day but  days after wish it was more accurate"/>
        <s v="all was good not one complaint "/>
        <s v="shipping was on the slow side but worse boxes were destroyed thankfully dog food bags were not ripped open"/>
        <s v="i am always happy with my orders from petflow i get my food within a couple days"/>
        <s v="placed an order received the order late but was sent a discount coupon to make up for it thats nice"/>
        <s v="the site and purchase was fine but then my order was canceled due to the food being out of stock its a prescriptions food so i was pleased to find somewhere that had it everywhere else has said its on backorder then disappointed when it was unavailable"/>
        <s v="super fast shipping lowest price online"/>
        <s v="i was given a  discount off  purchase my order was split and shipped in  shipments  day apart they removed the discount customer service did give me the discount after i requested it satisfied will probably order from them again provided good price on ite"/>
        <s v="ordered dog food and i was informed that it shipped on the twenty second of august its now the third of september and no dog food they said it would take seven to ten days its now been twelve days"/>
        <s v="the service at pet flow is very reliable and the prices are very competetive"/>
        <s v="all good so far but what can i say about dog food on time and price was probably fair so we will see"/>
        <s v="i would give  stars but i had several issues with the website im sure its working through the kinks technology is great until it doesnt work i will say the online chat was on point with helping i think i was actually texting with a real human and my techn"/>
        <s v="i placed an order with the company for high quality dog food when it arrived it had been expired for nearly  months this was my first order and though they refunded me when i complained i still lost faith in them as a company i expect better than expired "/>
        <s v="my dog needed a prescription diet dog food this company is a joke have us the complete run around for  weeks meanwhile my dog suffered i do not recommend this website or this company to anyone"/>
        <s v="exactly what i ordered and quick delivery time"/>
        <s v="i used to enjoy ordering from pet flow for our cats prescription diet however recently the reliability has been terrible and to make it worse the communication about it has been lacking they were very quick to charge my credit card while they place the or"/>
        <s v="im satisfied with the food but you need to use stronger boxes i order  lb bags every month and they are always opening and falling apart"/>
        <s v="this is the nd time you sent me the wrong cheaper item i called before the last order and you promised i would get the correct item as described and pictured"/>
        <s v="good customer service quick reply from pet flow i highly recommend this website for your pets needs"/>
        <s v="petflow has a great variety of foods my dog food is sometimes hard to find and they carry it their prices are competitive also"/>
        <s v="purchased  cases of dog food and many cans were dented from the delivery otherwise good value and quick delivery"/>
        <s v="horrid experience ordered some cat food on a monday and it wasnt until thursday that i was told that the food was out of stock and they didnt know when they would get more i know that cat food is in short supply but the website could have at least said ou"/>
        <s v="i love my dogs new collars they are nice and strong and very reflective i measured their old collars and ordered what i thought would be a perfect size for them unfortunately the collars are too big by alot im hoping there is something that can be done to"/>
        <s v="fast delivery good quality products"/>
        <s v="you are excellent accommodating and understanding i will buy from you again"/>
        <s v="denemarin available&#10;i was pleasantly surprised to find and purchase the above mentioned without a prescription unable to find chewable tabs for my queensland healer locally thank you thank you&#10;please let me know when you get more in stock"/>
        <s v="pet flow usually arrives in a timely manner however quality control and training are needed for packing our products especially canned and treats arrive dented and in crumbs that couple delivery too&#10;longtime customers should not be forced into auto ship  "/>
        <s v="my vet could not get the prescription wet food for my cat i tried for weeks and petflow finally had the food in stock petflow faxed the prescription to my vet and in a couple days i received the case of the wet food via fedex free shipping and i had a  of"/>
        <s v="i place an ordered on august  and messaged the company on august  since i hadnt received a invoice saying that they shipped i then got a message back saying that it was marked fraudulent and they wouldnt be sending it but they never intended to say anothe"/>
        <s v="this is the first time that i ordered from petflow and so far so good no complaints"/>
        <s v="it was all pretty seamless i am a first time customer and will be back"/>
        <s v="easy to order on line prompt delivery no fee for delivery since it was a large bag i ordered  stars"/>
        <s v="looking all over for prescription wet cat food saw a comparison between pet world petco and petflow it showed petflow had what i was looking for in stock so very excited that you were showing science diet in stock ordered  cases gave my vet a heads up you"/>
        <s v="super fast shipping i placed my order and received it  days later great service"/>
        <s v="i was sceptacle but chose to move forward and sure glad i did very prompt delivery have since ordered mega amounts of my cats favorite food again"/>
        <s v="order was quickly shipped but order was not complete due to inaccurate inventory on website and several items were very dirty when they arrived if it hadnt been for tags i would have thought the items were used somewhat disappointing"/>
        <s v="fraud department is out of control ive never known a company so bent on refusing to allow customers to purchase from them good luck with that business model lol"/>
        <s v="i recently purchased a bag of dog food emails kept me updated about when it would be delivered  it did arrive as scheduled it was a good experience  im very satisfied with the service provided"/>
        <s v="quick service  delivery no problems at all"/>
        <s v="shipping took entirely too long wasnt notified about a shipping delay until after package was due"/>
        <s v="friendly folks poor stock on hands&#10;&#10;this is the second time i attempted to order dog food from you a days after ordering both times i received an email stating that was out of stock this was for hills dd potato and venison it would have been nice to know "/>
        <s v="it took way too long to ship the food i called and canceled order while it was still in the warehouse and not processed  they sent it anyway"/>
        <s v="i ordered product&#10;never received it&#10;later told thru text communication that product was out of stock&#10;if so why was it on your website&#10;nobody advised me"/>
        <s v="fraud depoatment has flagged my account they have been no help to get this corrected i would like to purchase form this compnay but they have been no help in correcting their error about mt information being fraud who can i talk to to get this corrected"/>
        <s v="i had to reach out to find out what was happening with my order after never hearing anything"/>
        <s v="you were unable to fill my order and never let me know until i sent an email asking where it was"/>
        <s v="after making a purchase that exceeded the threshold for free shipping i was not able to add on another item after making a purchase the salesperson could not waive the shipping fee on another item i forgot to add on to my original purchase instead she wan"/>
        <s v="i ordered  bags of hills feline dry metabolic  cd which has been hard to find at alot of stores you listed it as in stock i am the veternarian for my pets and you didnt allow me to upload an image of my prescription you sent my clinic an email to get orde"/>
        <s v="i ordered my cat a specialty cat food which at the time was listed as in stock then the next day i received an email saying it was out of stock&#10;to be fair most if not all places were out of stock but thats why i was excited to finally find a store that ha"/>
        <s v="i called to cancel an order within  hrs of placing it was told it was too late but that i once it arrived i can call and request a prepaid label to return so i called when it arrived and was told that rx dog food cannot be returned and that it states that"/>
        <s v="ive been using petflow for my furry babies for a few years now and am very happy with the ease of the website navigation and managing my autoshipments they also have great customer service"/>
        <s v="i get all of the treats that my dog loves on one site for the best price"/>
        <s v="couldnt be much easier and a great price no one even close"/>
        <s v="good company and they had my babys dog food in stock"/>
        <s v="pet flow has excellent prices on the food i was looking to purchase for my cats their prompt delivery was also superb have shopped here twice and will be doing it again regularly"/>
        <s v="we have discovered some awesome dog treats available at very reasonable prices through this company ten points&#10;when we have questions or order something that is temporarily unavailable we experience stellar communication and feel that we have received exc"/>
        <s v="easy fast delivery  thank you"/>
        <s v="the website was easy to use i like the prices of the cat food and i also like the discounts you offer"/>
        <s v="im pleased with the order process and the shipping was as promised i will be ordering from petflow again"/>
        <s v="great price fast shipping"/>
        <s v="we go where fromm dog food is we move a lot and so far have never had an issue receiving our pet food and supplies from pet flow&#10;the ordering process is easy and the site has everything we need for our pets the only reason  stars is that there is no rewar"/>
        <s v="good prices great selection and excellent service i highly recommend petflow"/>
        <s v="prescription food showed in stock on the website ordered and they got a prescription from my vet the next day only then was i notified that they did not have it and did not know when it would be available as they use a thirdparty vendor that does not upda"/>
        <s v="i ordered my cats prescription food and petflow obtained his prescription frim the vet after not hearing anything for a few days i called petflow to make sure the food was in stock the representative said she would call the supplier and email me to let me"/>
        <s v="my experience with petflow has been great items are delivered when i expect them in great condition auto delivery works just as it should"/>
        <s v="easy to use site  like that you give the option to set up an auto shipment for the date i needed it to shipped instead of order now choose auto ship allowed me to set up when i need the shipment instead of waiting or ending up over stocked "/>
        <s v="my experience was good found the items quickly and without any problems"/>
        <s v="i was amazed that they had the same product i had been getting from amazon for more than  less per item so i figured well there must be a limit to how many i can buy nope so i bought more than  of them i feel like since i have suddenly lost over half of m"/>
        <s v="fast and good service thank you"/>
        <s v="convenient and prices are very good wish the shipping was a bit more urgent but will shop with them again"/>
        <s v="easy to shop great prices i got my pet waste bags quickly and wellpackaged will definitely shop with petflow again"/>
        <s v="i switched to petflow from chewy and so far so good chewy doesnt carry fromm which my dogs like the best decided to give them a try and im very satisfied the food arrived about  or  days after i placed my order the expiration date is more than a year from"/>
        <s v="loved the website  they had what i was looking for  ordering was easy i got my dog food  hours later  i will definitely use pet flow for my ongoing pet needs "/>
        <s v="the prescription cat food wd is out of stock but i was&#10;let to order it as if you had it no one seems to be able to get this its an important prescription for my cat who has a fractured pelvis&#10;arnt the making this anymore is there a substitute that might b"/>
        <s v="this company was able to get the dog food we needed and were having trouble getting elsewhere"/>
        <s v="i have a dog that needs prescription food i searched the internet and your website said you had it in stock i ordered it anticipating the amount of time i had until my dogs food ran out well you took over a week to tell me that you couldnt fulfill the ord"/>
        <s v="easy to order slight delay with the product not available in the closest warehouse but arrived well packaged"/>
        <s v="what i loved was that they told me that their fast delivery was delayed because they had to ship from another supplier without me asking where my package was they took initiative and emailed me about the details of my package"/>
        <s v="no product&#10;xxxxxxxxxcccccccczzzzzzzz"/>
        <s v="i ordered prescription cat food from pet flow however a few days later they stated they were out of stock and would ship it as soon as they received it i had to cancel my order and they were very communicative throughout the process i would definitely sho"/>
        <s v="petflow came through for me again when a kitty food subscription was out of stock ill be sticking with petflow thank you"/>
        <s v="i made an order and canceled  days later customer service told me it was taken care of the charge disappeared and i thought all was well then several more days passed and i received a shipping notice i was told it was now too late to stop my already cance"/>
        <s v="one thing i really love petflow is they always have their products available i dont get a constant on back order  like many other mail order purchases i also appreciate the occasional discounts offered to regular customers"/>
        <s v="was able to order special food for my dog that was not available elsewhere delivered quickly and i was kept uo to date on the delivery"/>
        <s v="placed an order and rx was on file waited a few days and didnt hear anything contacted the company and was told sorryits just sitting in fulfillment for some reason then the customer service person said theyd try to expedite that was almost a week ago and"/>
        <s v="our pet food was delivered promptly"/>
        <s v="timely response and followup timely processing once order details prescription food were in place the one area that needs to be addressed is the contradicting information the site provides during the prescription food order process the site noted that foo"/>
        <s v="after placing an order and receiving the shipment i realized i had ordered the wrong food i had set up auto ship for the food so immediately tried to change the type of food on my auto ship when i couldnt change it myself i emailed and the responder took "/>
        <s v="the box that the bag of food arrived in was open that was probably due to the heavy food bag inside without any protective packing"/>
        <s v="i placed an order and without notice it was canceled and the product never arrived"/>
        <s v=" your site told me that i was required to mail the original prescription for my cats hills md food luckily i had asked my vet for a prescription in june so i had an original to mail i dont like to mail this because i have to get a new one anytime i find a"/>
        <s v="dependable well stocked with helpful phone assistance"/>
        <s v="i bought a  pack of duck and a  pack of salmon usually my dog loves salmon but she did not like the salmon from pet flow it was disintegrated little chunks floating in tons of liquid she left her dish unfinished&#10;on the other hand she gobbled down the duck"/>
        <s v="was looking to get my cats food supply from a smaller company than the giant online pet stores and after researching i found petflow&#10;good prices and fast delivery&#10;very satisfied with petflows customer service as well&#10;totally recommended"/>
        <s v="the instock status of food was inaccurate"/>
        <s v="i have used petflow for a long time they carry some hard to find products which i really enjoy they are usually easy to get ahold of too if you call them&#10;&#10;the only areas i see that could afford growth are these&#10;an auto ship program that can be paused or d"/>
        <s v="first time shopper friendly knowledgeable efficient great service fast delivery i will be back"/>
        <s v="finally found a source for the hills prescription diet gluco support md dry cat food i tried my vets local pet stores and amazon my vet suggested that i try you folks success the food was in stock and shipped in a reasonable length of time happy customer "/>
        <s v="this company has labeled me as fraud after a purchase because my billing address didnt match after i called twice to their customer service department and their rep mallory said i could never buy nothing from pet flow ever again im not going to state what"/>
        <s v="working with petflow was wonderful working with fed ex their shipper was not petflow responded to every call or text that i sent them within a few minutes fed ex was another story things got lost and were late they really need to find a better carrier"/>
        <s v="online order was simple delivery was on time my only comment is that you not use plastic bubble for cushioning and instead biodegradable packing"/>
        <s v="i ordered a prescription diet for my dogi thought i was ordering hills metabolic lamb and rice diet as my dog is allergic to chicken the lamb and rice has been difficult to find and online it said petco and petflow had it available i received an email fro"/>
        <s v="this process was flawless"/>
        <s v="easy to order quick delivery"/>
        <s v="always such quick service and exactly what my ginger girl wanted thanks"/>
        <s v="the website is organized and works well ordering went smoothly and my items arrived promptly and the quality is great"/>
        <s v="i ordered  bags of hills science diet dog food for my  rotts and got a good deal i will be buying more in the future"/>
        <s v="ive been a fan of petflow for several years their service is prompt and professional an added plus is your purchase goes to help an animal in a shelter"/>
        <s v="everything was great order came in a timely manner great price no problems would recommend this company"/>
        <s v="i had issues with my order it was fixed and replaced i thank you for the help and fixing it asap"/>
        <s v="we ordered product and after two days you said it was out of stock after all"/>
        <s v="very disappointed our order was canceled by you because you didnt get your order of the goods i know you cant help it if your supplier doesnt come thru for you but our order was placed middle of july  were just told aug  you cant supply"/>
        <s v="i was so thankful that petflow had my dogs prescription food because they were the only place that did even our local vet couldnt get it as soon as my order was complete they contacted my vet to get the process going in less than  business days i ordered "/>
        <s v="exact product i was looking for and at a great price and wonderful shipping service"/>
        <s v="great product dog loves it"/>
        <s v="this was my first time ordering from somewhere other than chewycom im very pleased with their service and theyre cheaper than chewy for the litter i needed you have a new customer well done ps lets go brandon"/>
        <s v="your shipping time was x as long as quoted we ran out of dog food in the meantime i refer a lot of business your way not sure i can anymore"/>
        <s v="food order took a long time to arrive wasnt aware to order before noon on fridays to ensure order received before weekend so it was a long time before order was even received"/>
        <s v="when i ordered said in stockthen i get email not in stocktakes long time to get and multiple deliveryand you have to add up each delivery to make sure its rightprob wont order again i did twice and happened both times"/>
        <s v="items were just as i ordered and shipping was faster then i expected all good things glad we discovered petflow it was our son who has two pups that made the recommendation thankful for that"/>
        <s v="they accepted an order charged my credit card  and all the while the food which was a prescription food wasnt even in stock the item wasnt listed out of stock or on back order at the time i purchased it it was only nearly a week later after i contacted th"/>
        <s v="i purchased  bags of dog food one came right away the other took a while to be delivered"/>
        <s v="wouldnt allow me to place an order had to order through a family member its a new house but its on maps so idk what the problem is"/>
        <s v="your service by email promised to contact my vet about the order for the prescription you failed to do that and had to cancel the order"/>
        <s v="products were good but delivery took a long time and tracking didnt give updates after day "/>
        <s v="awesome experience pet feeder was bent and email was sent explaining how feeder arrived and new feeder was sent out immediately great customer service well shop here again awesome awesome awesome second feeder arrived in excellent condition and my animals"/>
        <s v="great prices and fast shipping awesome autoship discount as well"/>
        <s v="great customer service i provided some feedback regarding couponpromo codes and received a very nice response quickly i was just offering some feedback in didnt wantexpect anything in return however the rep went above and beyond and provided me with a dis"/>
        <s v="petflow has great pricing and service i signed up for the autoship program for out dogs hills science diet they were priced the most competitively my order shipped as promised and even delivered a day earlier than expected"/>
        <s v="i wasnt happy when they told me they would not charge my card unless the item was available and ready to ship out but unfortunately that wasnt the case when they decided to charge my card even if it was a preauthorization or pending i dont like to see my "/>
        <s v="petflow has the best prices on nice dog pens and wonderful customer service"/>
        <s v="at the time i ordered the product your website said that it was in stock but after about a week later it was no longer in stock and i could not get it at all i was really hoping that i could get this since after much research your website showed that it w"/>
        <s v="ive shopped with petflow for years excellent selection very good customer service too the shipping can be a little slow but thats fedex not them i get aggravated with the auto ship and you have to call in to cancel but otherwise dry happy with them"/>
        <s v="i cant actually manage autoship i always get an error that would prompt me to contact costumer service"/>
        <s v="disappointed in your service was told that you had an item in stock to be mailed when i inquired about status of order i was told an error was made and food was not being mailed out of stock "/>
        <s v="i made my first order for blue buffalo wet food for  cases because the price was great the food cost had suddenly skyrocketed on amazon and chewy shipping was fast and exactly right food had extended expiration dates so i immediately repeated my order and"/>
        <s v="my canned dog came dented one can was so dented that it opened and was so spoiled from being out on delivery that my whole kitchen smelled and i had to throw away about  or  of the cans it was so incredibly disgusting"/>
        <s v="they did not fulfill any of my orders few reliable"/>
        <s v="quick shipping great selection of dog foods"/>
        <s v="best price on dog food and super fast shippinglove pet flow"/>
        <s v="always easy to work with  the best customer service "/>
        <s v="easy ordering they kept me updated about my order order was shipped and delivered quickly great service"/>
        <s v="greatprompt service great product linda ryburn"/>
        <s v="i have ordered twice now and the cat food was delivered quickly and best of all with no damage to any cans im very pleased"/>
        <s v="i love petflow there is great healthy pet food on this site&#10;my pets look forward to their healthy food and snacks"/>
        <s v="my order was shipped on august  it is now august  and it has not shown up i would love to cancel because i had to drive  miles to the nearest pet food supplier to buy food no clue where the shipment is"/>
        <s v="very good product and fast shipping my dogs are happy"/>
        <s v="i dont think i will take a risk ordering from this place ever again i placed an order on saturday for a prescription food for my cat i provided the required information to verify my cats prescription i checked the status on the following tuesday and the o"/>
        <s v="unfortunately i ordered  bowls for our rescue it showed them as in stock and id searched everywhere i paid for it and received confirmation of the order then after a few days i received a email that there were no bowls available they were out of stock and"/>
        <s v="best dog food subscription service i use two different brands for my dogs one is a prescription food petflow has the best prices and always provides excellent customer service when i call my orders always arrive right on time i highly recommend petflow fo"/>
        <s v="horrible experience do not buy from petflow they advertise that they have product in stock and allow you to order it fill out entire order credit card info and everything online and tell you we will let you know when it ships then a week later says oh im "/>
        <s v="my order showed food was in stock email stated pending continued to say pending for a few days called and was told it would be sent asap a couple days after that was told it was out of stick and credited ordered through you because your site said it was a"/>
        <s v="fast reliable shipping high quality products for great competitive prices thank you pet flow"/>
        <s v="it was a very pleasant shopping experience i bought mixed vegetable food for my dogs they liked it very much but there were too few kinds of petflow products which were the fly in the ointment but it doesnt matter i think they will improve and i will supp"/>
        <s v="fast shipping thanks"/>
        <s v="on the website it is too easy to set up multiple auto ships would be nice if there was a confirmation box you already have this item part of an auto ship are you sure you want to add another would be nice if people could delete an autoship order without h"/>
        <s v="placed order got email that one item was out of stock and was cancelled when order came another item was not shipped but i never received another cancel notice for that one"/>
        <s v="i ordered food and was told i needed my vet to prescribe it after some back and forth with the vet that happened then petflow informed me that they didnt have the food in stock and instead of backordering it cancelled my order a lot of wasted time for no "/>
        <s v="fabulous great fantastic worth it affordable"/>
        <s v="i originally spoke with a very helpful employee who helped me place my order i received an email verifying the order i then received another email stating the order was vet approved and would ship aug  i looked up my order to check status and saw it was c"/>
        <s v="i requested my auto ship arrive early and it was shipped on  at that time i requested the next auto ship arrive in i believe it was  or  weeks however it appears that another  bag of food was shipped today i certainly do not need  of dry food hoping petfl"/>
        <s v="prices were good and all items arrived in a timely manner website is easy to use"/>
        <s v="you dont deliver parcels&#10;very disappointed"/>
        <s v="i ordered cat food on july th  days ago it still has not arrived i live in oregon early in this misadventure i received a message that it was being shipped from a more distant place nj because the closer warehouse was out of the brand i chose then i got u"/>
        <s v="you guys suck i couldnt even place an order because of ur fraud dept"/>
        <s v="i had hoped that petflow would be a reliable source to order my cats food especially the prescription food that is critically important unfortunately petflow has failed me multiple times canceling my order five days after i placed it&#10;&#10;sometimes the chat w"/>
        <s v="the shipper had damaged the box of dog food and returned it to petflow i received a nice email saying they were shipping a replacement out right away"/>
        <s v="i use petflow because theyre priced right prompt and have what the cats on prescription need"/>
        <s v="good price fast shipping thanks"/>
        <s v="ive recently moved and i was struggling to find my cats food and i found it on this website but sadly i was put on their fraud list right away i called customer service and they told me theres no way for me to talk to the fraud department to get my name o"/>
        <s v="very helpful service over the phone received just what i ordered fast"/>
        <s v="never heard from you guys said my order was reported as fraudulent &#10;seriously you never even got back to me i think your company is super sketch would never ever order from you again&#10;byeeeeeeee"/>
        <s v="great prices and fast shipping"/>
        <s v="order online was easy&#10;check out offered pay pal and was easy to check out&#10;shipping is quick&#10;pricing was great&#10;customer service is fantastic"/>
        <s v="terrible customer service and company to work with site days  business days delivered from purchase date didnt even ship the product until a week after the order and kept making excuses as to why it wasnt being shipped product was dog food for my puppy th"/>
        <s v="this is a place where they have fair prices fast delivery would buy from again a"/>
        <s v="i asked to be shipped on a monday&#10;my order wasnt shipped until tuesday&#10;the expiration date on the dog treats i this november&#10;when i purchase them from chewy or amazon the expiration date is always at least one year out"/>
        <s v="i am happy with petflow there are some inconsistencies with their warehouse packaging i placed an extra order and they shipped out boxes weighing  lb i dont know how fedex moved them i certainly couldnt i believe they need a little more training and need "/>
        <s v="i called customer service to discuss the possibility of your obtaining more fromm cat food in small bag sizes great conversation"/>
        <s v="all past orders have been good and if there were any issues in the past the staff handled it appropriately and quick however this past problem was a slap in the face and took much needed funds away from my rescues petflow did not take responsibility for a"/>
        <s v="where is the rest of my order&#10;&#10;your website shows the hills prescription metabolic and mobility  bag as being in stock yet it has not been shipped to me i do not know whether i have been charged for it&#10;&#10;please respond to me&#10;carol ann no e  olsen"/>
        <s v="first time order on a pet food i couldnt find anywhere else placed order and received order in  business days which included the time the pharmacy contacted my vet was a mailed and updated as to when my order would be delivered will order again"/>
        <s v="very bothersome you dont instantly charge my card sometimes its a day or two later i turn my credit card on and off as ive had so much fraud it takes me many attempts each month to get my order other companies i do regular&#10;busy with do the transaction imm"/>
        <s v="petflow is amazing best brands fast delivery and fair prices"/>
        <s v="i have been happy with petflow ive been able to get the cases of food that my cats like that i was unable to find elsewhere the website is easy to use and the price is as expected"/>
        <s v="ordering was easy enough shipping was the problem petflow uses fedex an unreliable company the order was split without petflow or me being aware the second portion arrived  days later this is unacceptable no packing slip was available on either shipment s"/>
        <s v="i placed a large order for kitten food credit card processed when i looked to find out shipping date a few days later it had been cancelled no notice to me no email nothing i called and they said when a large order is placed they suspect fraud total bs fi"/>
        <s v="theres no status available to see whether or not my vet has been contacted canceling the autoship is deceiving i can only pause it up to  weeks everything about this website is difficult"/>
        <s v="prices were fair and shipment came in a reasonable time"/>
        <s v="good products at good prices and fast delivery ill be using pet flow again"/>
        <s v="the ease of ordering was great  the shipping was fast"/>
        <s v="petflow carries food that others dont that i want the prices are fair and shipping is good i buy formm and nurti source the treats and toys are great"/>
        <s v="ordered  cases canned dog food eleven cans of food severely damaged  cans actually were broke open&#10;excellent place to shop but not so good packing"/>
        <s v="this is in reference to my order  i ordered  packages of these dog treats that your system said were in stock and confirmed the order via email then i receive a subsequent email advising they were out of stock not a good experience and no way to know how "/>
        <s v="customer service wouldnt help located an order i placed approximately  days ago she referred me to the website disclosures we i told her how to do her job she became upset customer service rep said we all have pets as though it wasnt a big deal my dogs or"/>
        <s v="it was so easy to find what i need for my kitties it was easy to order and it was at a great price and the delivery was very fast petflow is the best"/>
        <s v="ecxellent always helpful"/>
        <s v="my pups really like the dr marty freez dried food&#10;and i like being able to get better pricing from petflow"/>
        <s v="i ordered  boxes of arm and hammer litter i received  yesterday the packing box was not strong enough plus tape was not holding the box had holes plus one of the two boxes had broken open and litter all over the boxes inside i should have  boxes to com so"/>
        <s v="easy to navigate around the site delivery was quick and my items were packaged nicely"/>
        <s v="the food i needed was in stock when i purchased it when i didnt get an email that it had shipped i looked at my account online the account said it was delivered to my address it was not at my house so i called pet flow and was told that my order had been "/>
        <s v="i recently ordered hills science diet feline wd your website indicated that it was in stock however after several days of waiting for shipping info to come through i called to check on the order i was told that it was out of stock then a few days later yo"/>
        <s v="great products fair prices fast service"/>
        <s v="easy toorder and fast to deliver"/>
        <s v="shipping was quick however a food product needed to be exchanged due to manufacturer changed formula and didnt want old formula sold customer service was unbelievably rude and lacking concern completely i wont spend another dollar with them again and i ha"/>
        <s v="started our automatic delivery program it worked flawlessly i was able to correct a mistake in my order without any problem"/>
        <s v="the initial order went great when it came time to reorder our cats diabetic food it was out of stock we waited hoping it would return by the time we needed it but we were sent scrambling to find another source"/>
        <s v="reliable repeat order program at reasonable prices"/>
        <s v="petfow is consistently good overall timely shipping and mostly reasonable in costs any issues ive had were always addressed to satisfaction"/>
        <s v="great prices always in stock and fast delivery excellent customer service"/>
        <s v="i have shopped petflow for years but lately they are having difficulties filling and shipping orders i order when i am about  weeks out from having either dog or cat food they cant ship in a timely manneri have cancelled my last  orders due to shipping i "/>
        <s v="unfortunately the delivery was promised for a specific acceptable date then changed by petflows carrier to the next day and to make your service unusable delayed yet another day&#10;learn to honor your commitments if you want my ongoing business expectations "/>
        <s v="while there were a couple of mishaps in my order petflow went out of its way to make sure everything was made right in fact they went above and beyond ive been recommending them to my friends and family with confidence have ordered and will definitely ord"/>
        <s v="great company very fast shipping prices are competitive"/>
        <s v="petflow has the best price on the dog food i purchase for my dog ordering is simple and delivery is fast"/>
        <s v="excellent product selection and pricing we are so happy that there is a wide variety of pet products customer service is above par"/>
        <s v="the package arrived on time and everything inside was good"/>
        <s v="ordered hills wd wet cat food website said in stock i get a confirmation email and am asked to be patient as they contact my veterinarian for approval about a week later i get an email saying the food is now out of stock veterinarian was prompt in their r"/>
        <s v="nobody including my vet could get this particular rx product it was out of stock everywhere so i was thrilled to see pfs website say it was in stock i did the order arranged the rx and my vet responded to fax the next day i assumed it was all set and plan"/>
        <s v="products arrive on time and are very well packaged"/>
        <s v="my cat only wants a certain brand of talapia for breakfast each morning and since the supply chain issues we havent been able to find it from our usual source its a popular grain free brand and they havent been able to keep this brand in stock in any of t"/>
        <s v="i wish i could give a five star because i love the availability for delivery it did take a little long to receive the order but i didnt like the packaging when i opened the box i cut the bag of dog food even thought i opened it carefully just in case ther"/>
        <s v="cats like food that was ordered yet again the box was partially open when delivered some cans dented what goes"/>
        <s v="easy to use website products desired always in stock so far"/>
        <s v="when i ordered wd canned cat food i know it has to be approved by my vet and that it takes a little longer because it is prescription it was in stock when i ordered it and i thought with my request once it was approved i would get a case believing a case "/>
        <s v="was out of the dogfood that i wanted but i guess that was not their fault they cancelled the order automatically instead of giving me the option for back order or to cancel it myself"/>
        <s v="petflow is fast and accurate at shipping out my order but the packing leaves something to be desired i order two cases of canned dog food with each order and the box usually shows up damaged andor repaired but the cans are ok this time three of the  cans "/>
        <s v="everything was great&#10;&#10;everything was great until the shipping i dont know what happened but it took too long this time and i had to go locally and buy the same things that almost cost me double i cant have my cat who has kidney issues eat anything else bu"/>
        <s v="petflow always processes orders quickly and accurately shipment is excellent"/>
        <s v="extremely poor packaging with using cheap boxes and very little tape that results in receiving damaged products even walmart and amazon use better boxes and more tape for sealing"/>
        <s v="i ordered something out of stock so it was the case they said they would let me know when it came back in the customer service was very fine"/>
        <s v="the profit racks is something like speed bumps to hold me back from completing my purchase i dont like it"/>
        <s v="always have available merchandise the staff is very helpful and friendly"/>
        <s v="petflow has always been great and prompt customer service always friendly the only thing i wish for one day is for fromm products dog to go on sale once in a while  "/>
        <s v="you helped us by getting the dr marty had huge problems we received from you you spent hours trying to get this for our pup it came so fast our dog really to get this we found you by google we now will be getting this from you nice job cindy"/>
        <s v="i recently had a very helpful and pleasant experience with petflow they had left out one item by mistake in my order and also replaced a bag of dog food that came with a small hole in it no questions asked they just said they would replace it no hassle of"/>
        <s v="always easy  convenient to order our dogs food online"/>
        <s v="competitive prices and fast delivery i would order from them again "/>
        <s v="i appreciated the email stating the dog food i ordered would be a few days late im glad they sell fromms its the only dog food my dogs have been used to"/>
        <s v="great to deal with easy ordering and fast delivery thanks petflow"/>
        <s v="really one star is too high of a rating i tried to order hills science prescription diet wd wet food for my cat and saw where petflow had it available petflow verified with my vet that my cat was supposed to have the food and then i got a notice that petf"/>
        <s v="i ordered a prescription canned food for my cat you emailed me asking me to contact my vet because you didnt have approval for the food my vet approved then you canceled my order because you didnt even have the product available what a joke of a process t"/>
        <s v="your website specifically said you had my prescription cat food in stock so i ordered it  twice only after you took all my personal info and told me you were getting ready to ship my order did you inform me the food was out of stock i lost a week of findi"/>
        <s v="petflow is wonderful and always comes to my rescue when other places cannot they contact the veterinarian promptly to verify my cats prescription and the food is delivered in record time im completely satisfied with petflow"/>
        <s v="i just started using petflow for my dogs first prescription food as i found the prices better than competition they even reached out to our vet to get the prescription and in just a few days i had the food on my porch easy peasy"/>
        <s v="shipment arrived right on time thank you"/>
        <s v="very slow delivery&#10;no delivery status report&#10;much slower than chewy"/>
        <s v="first order went overall well need more discounts"/>
        <s v="awesome customer service carolina is professional and always provides fantastic customer service resolved my problem with a smile thanks"/>
        <s v="cats dont like and they dont take returns what do i do with such expensive food took over a week to get when chewy does  day shipping at most"/>
        <s v="placed an order and it was at my door in a couple of days"/>
        <s v="im disappointed with autoship items cant be added if theyre in stock when in stock and added they arent shipped if out of stock that is theyre not reserved when the order is placed why use autoship ive started ordering and buying directly and pay a penalt"/>
        <s v="placed my order on july th  im still waiting for my shipment ive had to buy food locally due to get him by i texted  emailed my concerns  was told its been approved  would be shipping in a few days as of today july th still no shipping notification or why"/>
        <s v="had an issue with a previous order petflow issued a credit for that order so i ordered again and this time everything was great i appreciate a company that makes things right i will be ordering from them again"/>
        <s v="i would say the customer service rep has had the issue i called about many times so she certainly understood the frustration i think petflow as a company leaves a lot to be desired regarding how they handle things the  stars is for the young lady whom i s"/>
        <s v="petflow delivers to my door and not to the post office and the order is accurate and secure i love them"/>
        <s v="i have dealt with pet flow for over a year now  prices very reasonable customer service great very quick delivery  have recommended them to others will continue to use them in the future"/>
        <s v="i still have not received my order or a ship date i ordered two weeks ago and the item was in stock i am out of food and disappointed"/>
        <s v="worst pet online company unreliable delivery service overall horrible pet online company do not use this company for your furry babies i am a very dissatisfied customer"/>
        <s v="customer service was good disappointed that i was able to add an item to my cart check out and process an order only to find out a week later it was not available to order"/>
        <s v="always ship fast worked hard to get my prescription food customer service is very responsive"/>
        <s v="i was very happy to find petflow since they have some products i no longer can get on chewy their ordering was smooth prices fair and i have used them twice now and i will again"/>
        <s v="ordered hard to get dog food  arrived on time as ordered"/>
        <s v="very pleased with your service especially the people that answered the phone i wait only a minute to speak to someone they are very pleasant and professional thank you"/>
        <s v="it to long to get then i only got  order then you tell me i cant get the can foodi differently wont buy from you again"/>
        <s v="still has not yet shipped despite a  day wait on the website ive contacted support via text and despite this my dogs food has not shipped"/>
        <s v="customer service very helpful quick response to text message"/>
        <s v="i would like thank pet flow and especially the young lady i spoke to when i called in about my order i have always been very happy with your service especially now service and customer satisfaction have always been extraordinary"/>
        <s v="they sent me a duplicate order and told me i could return it if i pay the shipping not good business practice lost this customer of a shipping charge that was their fault"/>
        <s v="i ordered a product you listed as in stock&#10;gave info for vet clinic&#10;order was marked shipped in account but no tracking supplied&#10;after a few days i looked on line and account said script denied by clinic&#10;then i received an email saying out of stock and or"/>
        <s v="finding birdfood in  lbs is very hard the order went great and was delivered fast very happy"/>
        <s v="my orders were canceled and i didnt get any email letting me know i had to contact customer service and they told me they were canceled"/>
        <s v="good experience and they had what i wanted and quick delivery ill use you again"/>
        <s v="i think the communication around delivery was good and the prices were good but the separate package i was sent of wet food to fulfill the order had dents along the side which i am reluctant to give to any of the cats we care for so in that regard im unsu"/>
        <s v="only picked your website because of the promised  off first order and it wasnt valid for my products"/>
        <s v="exceptional communication  deliver right on time"/>
        <s v="i ordered specific food was told two to three times just hadnt been packed and shipped vet provided prescription last minute told didnt have in inventory they repeatedly were dishonest caveat emptor"/>
        <s v="my order was canceled by you guys because you didnt have the product"/>
        <s v="appreciative of recent discount offered when purchasing greater than  worth of products i feed approximately  cats so i buy in larger quantities when on sale canned food continues to arrive dented and one can popped open on last delivery but ive already i"/>
        <s v="i am very satisfied with petflow service is great delivery is fast"/>
        <s v="so happy i found this website  they have all my frenchies products  will order again soon"/>
        <s v="i know its a specialty food but i think for the amount of food delivered for the price is still too high"/>
        <s v="order was processed very quickly and website is very easy to navigate"/>
        <s v="excellent service they keep me informed on my orders if there is a problem they inform me in advance good job"/>
        <s v="this was my first order with petflow i ordered a bag of puppy food and fed ex was to deliver i received a notice stating that it was delivered and i checked and it was not there&#10;petflow and fedex were both excellent in finding the dog food&#10;great customer "/>
        <s v="easy to use website ordering  delivery were quick and easy"/>
        <s v="my cat has a very sensitive system and no one had her food except petflow you got it here quickly and it was correct thank you"/>
        <s v="long time returning customer love this company"/>
        <s v="great prices fast shipping"/>
        <s v="fast delivery and better prices than petsmart or petco purchased  lbs of dry blue buffalo"/>
        <s v="first i couldnt remember the name of the dog food replied to one of their ads asking about it immediately they replied that theyd find it sent me the link and bingo ordered it and it came in about  days its the one food dog can eat without scratching his "/>
        <s v="excellent selection of dog food and treats good prices"/>
        <s v="readily replaced an item damaged in shipping very helpful customer service"/>
        <s v="had the quality brands need at best price"/>
        <s v="lately i have a few problems with the items ordered&#10;some chews looked really bad and i ordered some bird items that were damaged&#10;however customer service were very helpful and sent corrected items&#10;these things happen in shipment"/>
        <s v="your site was the only one that had the prescription diet my cat needed also when i went online to look for another option there was no way i could look at the ingredient list i called someone using the number you listed she also was unable to get the lis"/>
        <s v="we have  german shepards who decided to become really picky after ordering this food they eat it right up they love it i have noticed even after just a couple weeks it has also calmed down scoobys scratching some we havent been able to pinpoint why he scr"/>
        <s v="i have been using petflow for over  years their prices are great and shipping is always super fast"/>
        <s v="trustworthy company pet food shipped quickly just as good as competitors i can always rely on them"/>
        <s v="took  days for delivery ran out of dog food in the interim several emails and a phone contact to customer service nobody could tell me where my order was i received several messages none of which could tell me a correct delivery date frustrating"/>
        <s v="delivery is fast my cats love hills cat food great job hills"/>
        <s v="good price on dog food order tracking provided and fast shipping"/>
        <s v="quick customer service a variety of dog foods to choose from"/>
        <s v="i called to change an order for a later date and told her to make sure she keeps the newest date well she cancelled both orders when i called back to find out why the girl was very rude because i was upset and said the earlier call she didnt know what she"/>
        <s v="ordered with a coupon perfect delivery"/>
        <s v="only received half of our order and cannot get the auto ship part to work correctly also a very hard to navigate and unclear website not user friendly"/>
        <s v="my food order was lost in transit and after waiting for  days and having to contact the company they made it up to me by simply sending me a new order while shipping issues may not be the vendors fault communication and customer satisfaction should still "/>
        <s v="placed my first order everything arrived in wonderful condition and was priced at great prices"/>
        <s v="so great and will help if there is a problem with order al ways on time"/>
        <s v="a few things went wrong items shipped from two warehouses which is okay but took an extra few days for shipping didnt ship immediately the first shipment they shorted me a bag of food so since the chat feature wasnt working email stated they are behind on"/>
        <s v="good fast delivery and cat food was in good shape when it got here best price i could find on it too i will definitely use petflow again"/>
        <s v="will order again  stars"/>
        <s v="fast delivery available products&#10;i was able to find a certain dog food that was not available on another pet food website&#10;thanks petflow"/>
        <s v="it was great i will always order my food from here"/>
        <s v="have been using perflow for several years with  standard poodles was nice to have a lb bag of food delivered every month before they ran out plus always good prices on treats dog toothpaste bird food etc my dog gets excited to find out whats in the box"/>
        <s v="product is a little light for  pound dog shipping was quick arrived early and in good shape"/>
        <s v="petflow has always been easy to use and a good source of our pets food i just wish the shipping time was a little faster"/>
        <s v="i had found some bones at a grocery store that my dogs loved i hadnt seen them anywhere else so i saved a wrapper and checked online sure enough petflow had them i literally ordered as box full the price was way better than the store and i got them delive"/>
        <s v="very unhappy with lack of service or effort to fill script for hills diet food for kidney issues we provided the vets prescription along with the vets email which the vet said hed approve the script if petflow would just email him for approval after petfl"/>
        <s v="i am so glad that i found petflow i can get my cats their farmina dry food at a great price with fast service"/>
        <s v="petflow website is very easy to navigate able to place my order quickly and receive product in a short time"/>
        <s v="they sent me an email of monthly coupon codes i used one for  off there were no exclusions listed  it worked in my cart until after i submitted my order when they removed my coupon  my credit card was charged for  more than the total shown when i submitte"/>
        <s v="i have three auto ships over the past three months that were all canceled and i was not notified that they were canceled id call up to find out a week later where they were and they said oh we ran out so i order for the third time and i put the order in l"/>
        <s v="every order i place gets cancelled due to not in stock"/>
        <s v="ordered prescription cat food site accepted order and said available they followed up via email to get vet prescription three days later email me food is out of stock and they were cancelling order"/>
        <s v="pet flow is the worst place to get your pets food i decided to go with then since not everyone has that perticular brand since im on auto ship program it should be shipped every  weeks and first time i didnt get it ive been told there was double order i d"/>
        <s v="the folks at petflow are v nice they responded to my query quite promptly and gave me a credit because my order was delayed in shipping&#10;the notsogood part i didnt find out unril after id placed my order that it would be shipped the following week which fo"/>
        <s v="easy order process and set up of automatic delivery good price"/>
        <s v="delivery on schedule very happy with"/>
        <s v="you had our dog food listed as in stock so we ordered two bags after quite a bit of time you alerted us that it wasnt in stock that put us a week plus behind and we ran out of food this is a special diet food for our dog and not easily found very bad expe"/>
        <s v="im happy with the product that i order however the lack of date of delivery makes it hard for a customer to be able to receive it or plan to schedule to be home ive gotten email notices saying your shipment will be there tomorrow with no actual date but c"/>
        <s v="this is the third time i have ordered this cat food and the order was submitted and accepted leading me to believe i would be receiving the product three or four days later i receive an email that it is out of stock dont keep sending me emails to order it"/>
        <s v="i have been having a hard time finding some pet food faves for the dog and stumbled upon your site and you had those hard to find faves for him yay"/>
        <s v="i ordered my dogs brand of dry food fast and easy to order web site they carry my dogs brand fromm which not many physical stores do fast shipping too"/>
        <s v="your company led me on to beleive the food i ordered was in process of delivery you cancelled the order when i was down to one can at home then i had to struggle to find food for my cat with no advice from you i will not ever order from you again"/>
        <s v="i have ordered before and my order was the same rx cat food even in the middle of covid first time customer and it was fast this time days after ordering it still didnt ship i asked for it to be cancelled and was told they werent sure if it could be but t"/>
        <s v="process was seamless as far as ordering and receiving my order in a timely manner had no issues and would highly recommend petflow to anyone looking for good service and product selection"/>
        <s v="it would be nice to be able to edit your autoship if the item is backorder online i have had the item on backorder twice and the last was canceled i do not like having to make a phone call when it should be easy to make the changes online this goes for th"/>
        <s v="originally my order was to ship on july th then an email said the shipment would be late and would arrive today it currently is pm and i do not have my order"/>
        <s v="petflow had all the items i needed delivered them promptly and quickly responded to questionsconcerns i had"/>
        <s v="fast shipping with sturdy packaging good price user friendly website thanks so much"/>
        <s v="ordered wet dog food came quick and what i ordered"/>
        <s v="easy online ordering and prompt delivery"/>
        <s v="i order my cat food and it arrived quickly cannot ask for anything better&#10;&#10;oscr"/>
        <s v="we needed a certain vet approved cat food petflow faxed my vet for authorization and returned the approval petflow went to work on filling the order unfortunately it was over the th of july holiday  ran into delivery problems but petflow followed up with "/>
        <s v="i suppose i purchased something though i dont recall"/>
        <s v="i love that this site carries fromm gold brand and fast delivery"/>
        <s v="the box arrived half open and crushed and ripped open on one corner but the  bags of prescription dog food were still fine inside i informed petflow and they promptly replied and said they would initiate a complaint with the shipping company as long as th"/>
        <s v="i got what i ordered but it took ten days and a lot of the cans were dented and banged up these days i guess i should be glad that i got my order at all"/>
        <s v="i had never heard of this company but decided to use them for their prices i was amazed at how effectively they communicated how quickly the products arrived and the price was better than their competitors i will shop them again for sure"/>
        <s v="the price was very good but the delivery was sloppy and careless i came home to find the boxes laying on my lower stair step and on the walkway leading to the stairs they couldve easily been stolen as they were so close to the public sidewalk when i order"/>
        <s v="great price but out of stock why take the order in the first place waste of time and effort never coming back"/>
        <s v="i was very disappointed i ordered a case of hills prescription diet cd canine urinary care chicken  vegetable stew canned dog food and all of sudden it was cancelled"/>
        <s v="they had my cats prescription diet in stock when i couldnt find it anyplace else my order was delivered more quickly than anticipated ill use them again"/>
        <s v="the food was in stock when i ordered it took so long for your people to get the prescription from the vet someone even called me thinking they was calling the vets office it was out of stock so i never got my order it was canceled if i could have gave no "/>
        <s v="package wasnt taped very securely many of the cans were dinged or dented and worst of all was the godzilla sized cockroach i had to kill when i opened the package will not be using you again"/>
        <s v="my order arrived on the scheduled date and was complete"/>
        <s v="ive shopped at petflow for years ive always been impressed with the quality of goods the low prices and the fast shipping will do business again"/>
        <s v="it was very disappointing to have my order canceled after the item i purchased was out of stock when i ordered the item it was shown as being in stock a more accurate representation of this would be appreciated considering this is online retail"/>
        <s v="shopping was easy website easy to navigate prices were good"/>
        <s v="i received my shipment of  bags of dry dog food and found the box they were shipped in crawling with ants one of the bags had a small tear in it which caused the ants i called customer service at petflow and they immediately sent me a new bag to replace t"/>
        <s v="never received what i ordered even though i was charged for it"/>
        <s v="i am very happy with the services i receive from pet flo&#10;i do on occasion have difficulty with using the web site it will keep saying my password is in correct"/>
        <s v="i ordered puppy food and was given tracking in less than  days shipment was fast and efficient"/>
        <s v="had what i needed fast shipping"/>
        <s v="i was impressed by how fast i got that items i ordered and that they were available for auto ship now my three babies will never have to be without their chews "/>
        <s v="i have a late shipment of cat litter twice now i know shipping and supplies are messed up in our country so i understand what i dont understand is why you system doesnt alert you that the product is not in stock so you can let me know before my delivery s"/>
        <s v="great price and good product my cat and i are happy thank you"/>
        <s v="i order on a regular basis i receive my order within a couple of days of placing it never disappointed"/>
        <s v="petflow had the prescription dog food that two of my vets could not get shipping was quick and the price competitive"/>
        <s v="i was looking for the cheapest price on our puppy food i came across petflow and was excited you carried both brands of food for our gigi girl and new pup miles and they both can be delivered right to our front door i immediately enrolled in your autoship"/>
        <s v="prices are great and shipping is fast and on time my only criticism is the packing for shipping cans are arriving dented and boxes are often partially opened from not being taped properly overall very happy and will still keep shopping "/>
        <s v="received food promptly well packaged and in good condition"/>
        <s v="petflow has the cat food that i prefer many other vendors do not carry it"/>
        <s v="i found what i needed at cheaper prices and the customer service was superior petflow has a new customer and i highly recommend"/>
        <s v="petflow is always on point with my order never had a bad experience with them"/>
        <s v="i had the perfect petflow experience it took  days to get to me because of delays in middletown which was not there fault will be buying more dog food from them"/>
        <s v="i received my order but shorrt  little clay boxes and some of them with the box open already"/>
        <s v="love the selection and convenience of the auto ship recently added prescription food for one of our dogs and that was just as easy as everything else highly recommend"/>
        <s v="unable to ship a pet food product after leaving me on hold for a week what else can i say "/>
        <s v="petflow consistently meets and exceeds my expectations phone operators are extremely pleasant and helpful and get things done recently there was a sales tax exemption for pet food and the staff gave me a credit for the state tax that was going to be appli"/>
        <s v="i was very pleased buying from petflow honestly i wasnt familiar with them and they were the only ones with inventory of the dog food i was looking for the order process was clean and efficient they contacted my vet was prescription food notices were well"/>
        <s v="reputable company good prices and selection"/>
        <s v="i have consistently had double filled orders delayed orders without notification shipped orders without advance notification orders that started autoshipping that werent supposed tothe past  months has been a disaster this convenient service has become an"/>
        <s v="fast an easy the prices were great"/>
        <s v="i was looking for avoderm canned dog food as my previous supplied has been out for a very long time you have the food and the price is good i ordered it and got it in a few days  no problem with delivery my two dogs are very happy to be back on the food t"/>
        <s v="product was perfect shipping was super fast and customer service was polite helpful and efficient if i need other pet products this will be the first place i check thank you petflow"/>
        <s v="fast easy going price"/>
        <s v="as always my order arrived as scheduled with updates enroute and was well packaged consistently good service"/>
        <s v="i had a question about mixing different proteins using the stella  chewy freeze dried food and got a response much faster than i had anticipated i was able to complete my purchase without having to wait until the next day the food arrived quickly and my r"/>
        <s v="great product selection and order expediently processed and shipped"/>
        <s v="i am not sure about your products coz this was my very first order  i was waiting for my order longtime and when i logged in and checked status showed cancelled&#10;when u send order confirmation email why you cant send the cancellation email"/>
        <s v="petflow is a great company and is one of the few who sell nutrisource dog food that was recommended by our breeder for our pure bred shih tzu at a reasonable price  she has been on this food since she was weaned and is  year old now and very healthy she j"/>
        <s v="trustworthy company i recommend them"/>
        <s v="i am a loyal petflow customer for  years i am so happy to use their website i regularly order food and toys for my dog i place an order online and immediately receive confirmation then amazingly i get the order within  days petflow carries anything you ne"/>
        <s v="sent quickly great experiences so farthank you&#10;judith"/>
        <s v="recommend this vendor the items i wanted were in stock i had a coupon yeah and the checkout was two clicks since i was already registered and my information was stored i received the ahipping information within hours and the  cases of dog food arrived pac"/>
        <s v="had the cat food i needed just before i was about to run out and received quickly"/>
        <s v="always helpful courteous on time delivery"/>
        <s v="delivery was fast in spite of coming all the way across the country  i cannot find the bowls i received in this order with food anywhere else i only see bigger sizes elsewhere since my girls are small i prefer the smaller bowls by ourpets the bowls are st"/>
        <s v="have plenty of choices the shipping speeds are all time high and prices are reasonable for the items that are being sold at the website would buy again for my beloved pet"/>
        <s v="excellent customer service solving an issue with my order"/>
        <s v="everything was great it was definitely time for new dry dog food i only wish i could buy a smaller size everything else is perfect"/>
        <s v="satisfied with nutrisource dry dog food but pricey"/>
        <s v="good service i like how they keep you informed about your order "/>
        <s v="petflow sells the dog food and treats we prefer at a competitive price and the free shipping is so fast we live in a rural area where many items arent available and we really appreciate being able to shop with them"/>
        <s v="fast shipping great products"/>
        <s v="fast efficient quality product that arrives when expected for a reasonable price"/>
        <s v="i love that i can call and they have my account pulled up and bam ordered excellent customer service"/>
        <s v="quick shipment kept me informed good price and will buy from them again"/>
        <s v="i ordered kong squeak ballsm my dog loves them and also loses them so now we have some extras the price was much better than on amazon"/>
        <s v="first time using petflow i received the order nicely packed and delivered on time priced at a good value"/>
        <s v="i just changed vets so if i am still able to buy my special cat food i will return to ordering it from petflow as they are outstanding"/>
        <s v="very easy to order i needed prescription treats  they contacted  got approval from my vet  had my order in just a few days they were also cheaper than other pet mail order companies"/>
        <s v="user friendly website good prices and fast shipping"/>
        <s v="easy website to navigatequick response and deliveryvery satisfied"/>
        <s v="my kitty was diagnosed with kidney disease&#10;petflow helped me get set up on recurring food for his new diet i did have to reach out and communicate with them regarding the rx and i was impressed with the timely response and care they took to help me&#10;thank "/>
        <s v="they had what i was looking for and the delivery was very fast"/>
        <s v="nutrisource small  medium breed puppy chicken  rice dry dog food lb i just got  cairn terriers the breeder said this was the best puppy food pet flow made it so easy to place my order and the price was good i also picked up some nice dog toy"/>
        <s v="the product was available the price was fair but the ordering process kept trying to lock me in to repeating delivery it took me an unreasonable amount of time to navigate the form"/>
        <s v="i like that its compact and doesnt take up much room the food doesnt flow as well as id like but all gravity feeders work about the same the water spout could be lower theres quite a bit of water left the container must be tilted to use all the water simp"/>
        <s v="great selection and prices prefer to shop here"/>
        <s v="in this instance petflow was the only place i could acquire the exact item that i wanted and it arrived in a timely fashion in fact if they are still carrying it i will order more"/>
        <s v="i have been purchasing cat food from you all for over  years  since i got my cat i have not had any problems but my last order was shipped and it was dog food  your mistake i asked for you all to do a rush and you rushed alright you came and picked up the"/>
        <s v="has the products i need quick shipping at no charge over a certain amount packing well down"/>
        <s v="great communications came in short time"/>
        <s v="the company did not ship my pet food canceled the order and failed to notify me the only reason i noticed is because a week had went by and no dog food when i contacted them they advised they needed more information i asked why they didnt request that and"/>
        <s v="i have recently had a bad experience with chewy however i have found you i have  dog and  cats and so far you have their food i will look for other things as they come up so far everything is great"/>
        <s v="easy online ordering and super fast delivery"/>
        <s v="very efficient and convenient to have your unappreciative cats food and litter appear at your front door  highly recommend "/>
        <s v="it has been  days since my order was confirmed and it has not shipped when i contacted petflow i was told that first time rx orders can sometimes take a while to be approved but this feels ridiculous"/>
        <s v="i love petflows auto delivery system its easy to use and i can change the schedule with a couple clicks packages always arrive secure and on time"/>
        <s v="love pet flow great customer service quick shipping highly recommended&#10;have foods others dont"/>
        <s v="i was glad to find what i needed on your site but i was concerned about shipment via federal express in my opinion they are unreliable my shipment was delayed but thankfully arrived before i became worried"/>
        <s v="perfect transaction perfect delivery perfect communication your my store"/>
        <s v="i ordered veterinary dog treats so gave petflow all necessary vetinary info after no emails from them for quite a few days i emailed to see when order would be shipped out they said soon after a couple of days i called back to check to make sure that they"/>
        <s v="we have ordered through petflow a few times now and are very happy with our experiences we will continue to order our dog food and other pet items through them"/>
        <s v="always used chewy but not anymore u guys r really on top of ur game thank you anna sutocky"/>
        <s v="very fast and easy shipment of dog food  five stars&#10;their use of fedex is a problem  one star&#10;fedex drivers repeatedly damage my property repeatedly notified fedex other deliveries like ups or amazon have not had a problem"/>
        <s v="petflow was easy and fast to respond and deliver i was using chewy but it took forever to get approval for the dog food needed and i had trouble with them on every order so petflow was a relief how easily it went thank you for that and i would recommend p"/>
        <s v="my order was correct and received very timely i have no complaints"/>
        <s v="perfect my dogs thank you and extremely fast will absolutely shop here again"/>
        <s v="first fedex lost the package left on a neighbors doorstep might not be such a big deal in the city but in the country thats a game changer neighbor finally brought the package up to the house a couple of days later&#10;&#10;second product was short dated this is "/>
        <s v="this company was there for me when i couldnt find my cats prescription food anywhere thankful to have found it quick script review quick shipping"/>
        <s v="i ordered science diet wd wet cat food from them because their website said they had it in stock about a week later i got an email saying they were cancelling my order because they didnt have any in and didnt know when they would be getting it they didnt "/>
        <s v="reliable good products timely delivery"/>
        <s v="love it&#10;&#10;good products convenient quality communication and on time delivery"/>
        <s v="ive been having a hard time finding this cat food and when i did find it usually the bags were sold out this made it easy and convenient for me to order this online and got it in a couple of days before we ran out"/>
        <s v="easy site to navigate product was originally out of stock but i was notified once the product was available delivered as scheduled my cat loves the product it is a prescription food for diabetic cats hopefully i will see an improvement in his condition"/>
        <s v="the product dog food is excellent my dogs love it looking forward to do more beisness with soon"/>
        <s v="i was impressed by the selection price and delivery time of petflow getting ready to place my second order"/>
        <s v="order was correct and arrived quickly"/>
        <s v="petflow was a company that i had not heard of prior i was in need of hills cat food which was not available anywhere locally or online except at petflow i even ordered more than originally planned for they got the okay from my vet and had the order shippe"/>
        <s v="great delivery  promotions for cheaper food"/>
        <s v="great prices and fast friendly service i will continue making this my goto for pet supplies"/>
        <s v="tired ordering a product that said in stock twice now and both times i get an email a few days later saying my order was cancelled because it cant be fulfilled if it was in stock why cant it be fulfilled"/>
        <s v="this product is excellent i believe for my dogs and they love it this is however the second time i have had a bag ripped open when it arrived and food in the box and not the bag dont know if this is a problem at the packing end or the delivery end wish it"/>
        <s v="easy site to use with great prices and a large variety of options"/>
        <s v="never received my order  fedex lost it no refund or anything at all fedex express that they left it at the front door but how my gate was closed and my cameras capture nothing at all and no one was home i also called fedex several more times with no luck "/>
        <s v="i ordered cat food from petflow it showed in stock and i waited for it to ship for about a week i called customer service and the lady indicated that my order was processed needed vet prescription approval and that i should receive a tracking email that d"/>
        <s v="great way to buy my dogs food products and needs no hassles and comes straight to my door"/>
        <s v="incredible rude and out of touch representatives they didnt have my item in stock and then made me replace a second order for what they did have in stock the next day i get notified that my order was for resale and flagged as fraud even though i placed it"/>
        <s v="i disappointed in the way my packages where sent to me for example when you sent my case of dog food it was put in box that could have fit cases instead of  the rest was filed with packing papers to make it weigh more to charge more"/>
        <s v="reasonably effective but annoyingly disorganized looking for alternatives"/>
        <s v="got my online order very quickly and was pleased with how easy it was will definitely use again"/>
        <s v="after hunting high and low through my usual pet food sources i was able to find the two items that had been back ordered everywhere else delivery was fast and saved me the risk of switching brands with my dogs"/>
        <s v="we needed a shipping kennel large a bed for the kennel a toy a small bed and dog food all that got shipped was the dog food toy and small bed after visiting the pet smart store they had all we needed in stock although a higher price"/>
        <s v="my first order and i was mailed wrong product when second order can it will be out of date in  months i like to know i have a newer product"/>
        <s v="quick easy and better priced than most of the competition definitely an underknown source for pet supplies"/>
        <s v="good time on delivery just mad about the way the box showed up was thrown over my fence and box was damaged and retaped because it was so damaged think about who you ship you packages by the delivery to my house was a fedx driver who did even look to see "/>
        <s v="great choices these days it is so necessary to have a reliable resource especially for our pet family"/>
        <s v="&#10;excellent everything a company"/>
        <s v="i am so happy you carry fromm echo loves it and she gobbles it down i also love that you deliver to my home&#10;&#10;thanks again&#10;joni"/>
        <s v="please dont say you have something in stock if you really do not i was misled then was not even informed that there was a delay until i reached out myself terrible customer service"/>
        <s v="my order was shipped immediately and reasonably got what i ordered and the pooch is thrilled"/>
        <s v="everywhere was out of my pets food ordering from your site was easy and i received my shipment a few days later thanks"/>
        <s v="amazing prices quick shipping"/>
        <s v="just got a new puppy that has to have toy breed puppy proplan its been almost impossible to find it but happily petflow has it  it shipped fast love auto ship so we dont run out price is also good"/>
        <s v="we were notified that our dogs prescription food was out of stock with our usual retailer so i did an internet search and petflow was the only retailer that popped up as having the item in stock i waited for shipping confirmation and never received it so "/>
        <s v="i appreciate finding products at an affordable price at petflow i usually find those products at a better price than other sites shipping was fast and flawless"/>
        <s v="i have have ordered the freeze dried beef treats for a whilethe last two orders have been at least  to  crumbs this is very disappointing and an expensive bag of unusable if this is not corrected i will have to find another source usually i am very please"/>
        <s v="great products and very good customer service"/>
        <s v="fast shipping all items accounted for and in perfect condition"/>
        <s v="petflow has the best prices great communication with me regarding the status of my order  shipping is quick"/>
        <s v="my st package was received missing items after just one phone call everything was handled professionally and a few days later i received my missing items would order again"/>
        <s v="petflow came through for me when i couldnt find my cats food anywhere else im extremely grateful"/>
        <s v="twice now i have ordered preacription food from petflow that was listed as in stock and twice my orders jave been cancelled because the food was not in fact in stock both times i spoke with customer support that was clearly copy pasting replies off of a p"/>
        <s v="excellent service"/>
        <s v="generally ive been very pleased but the last shipment  cases of canned hog food had two damaged and open cans in it not a great response when i raised the issue since i hadnt discovered it until i got to the th of  cans otherwise no complaints"/>
        <s v="my cats food was listed as in stock on the site but my order was cancelled a week later because it was never actually in stock"/>
        <s v="delivery was delayed and this was not acceptable i will utilize another company that can deliver in  dayd"/>
        <s v="as ordered fast shipping i was so happy to be able to get my canned cat food order when chewy and amazon failed me petflow has gained a loyal customer"/>
        <s v="outstanding price for what i ordered i shopped around amazon walmart and numerous websites none even came close to your price package showed up on time excellent experience my cats thank you"/>
        <s v="fast shipping and excellent price&#10;thank you"/>
        <s v="i normally dont write reviews but i hope employees are retrained after seeing this i hadnt ever been on your website or heard of the company but my  year old fell in love with a puppy from a girl i know in utah after adopting the puppy we asked what food "/>
        <s v="the dog food we need is hard to find petflow always has it at a very good price it usually arrives in a day or two great service"/>
        <s v="im a little disappointed with petflow i ordered dog food on june rd maiming because you said it was in stock then a few days later i get an email saying that your local location was out of stock and you had to get it from another location and it was now g"/>
        <s v="fast easy to order prescription products fast shipping fantastic customer service  knowledgeable sympathetic responds quickly range of items to purchase is awesome petflow outdoes all other online pet companies on so many levels they were my saving grace "/>
        <s v="my order was processed very slowly and then canceled i was initially told that the only thing holding up my order of hill prescription diet for my cat was vet approval which i had submitted with my order close to a week elapsed and then i was told that th"/>
        <s v="very reliable when i place an order with petflow i know ill be getting what i ordered on time"/>
        <s v="great customer service had the prescription food my dog needed all the others were out of stock glad i found this site"/>
        <s v="naturvet yellow to green lawn spray  containerscontents were defective&#10;product was diluted to colored water my guess is they froze and thawed somewhere before shipping"/>
        <s v="petflow ran out of dog food in my area so found it in las vegas i got the last  bags"/>
        <s v="i got the food the quickest out of any company including amazon and their customer service gets back to you right away with any questions fabulous job"/>
        <s v="food bags are always intact delivery always on time customer service is excellent"/>
        <s v="great customer service great prices and fast shipping "/>
        <s v="i always order my dog fromm food and treats from you shipping is excellent"/>
        <s v="great price smooth transaction and quick shipping whats not to love"/>
        <s v="waited over  weeks for food to arrive for my new puppy to refill his stock we received from the breeder petflow had a great price and great reviews but when i inquired where my order was i was just told that it didnt ship due to fraud protection and they "/>
        <s v="ive used petflow for my boys food since the very beginning since i adopted him and they always deliver it on time each month they have an excellent selection of pet food available on their website and not to mention they give away  food to  dog in need fo"/>
        <s v="inventory shortage put order in and next day they dont have my babies brand so its not their fault purina discontinued the small bites&#10;now we are playing find the food they care for sorry couldnt give  stars"/>
        <s v="i have been very happy with petflow i am disabled and it is so nice to just have my dogs food show up at my door so far the items i need have been in stock which is pretty incredible in these times"/>
        <s v="i started an auto ship program with this company because cat food was running scarce in the grocery store unfortunately even this company cant keep it in stock either"/>
        <s v="the pups love the new food we found on petflow it was easy to order and arrived in no time being that its large breed formula i just wish it came in bigger chunks so they didnt inhale it at dinner time"/>
        <s v="great service good customer service the only hiccup i can see is shipping  sticks folded over in a  box"/>
        <s v="they had everything in stock and was delivered in a timely manner"/>
        <s v="great place to buy our pet supplies fast service pet flow is the best"/>
        <s v="always great to do business with ease of ordering and easy to return"/>
        <s v="i waited over a week for your pharma dept to reach out to my vet to get scrip for order i finally had to make the call myself with your rep on the line and i got right through your pharma folk really dropped the ball&#10;&#10;all the while my cat was waiting for "/>
        <s v="i was really pleased that u had the food my cat loves he is diabetic and could not find his food anywhere he refused to eat anything else got so thin i found his food through ur company and now he is gaining weight very happy kitty"/>
        <s v="i was in need of food for my cat with diabetes my vet was backordered and even chewy was out of stock but im so glad i happened upon this company and they had the food i needed available i appreciate it so much they were easy and pleasant to work with tha"/>
        <s v="worst experience with pet flow i place order and my shipping and billing address is not same you will add my account to fraud activity and dont proceed order such a unprofessional supports team cant buy in future its last time"/>
        <s v="i never received my purchase you were out of stock of my cats prescription diet even though your website said it was in stock you should keep your website up to date with what is in stock and what is out of stock because i would have never wasted my time "/>
        <s v="fast shipping easy to order and understand web site best prices around&#10;no hassles"/>
        <s v="ordered prescription dog food you said you had in stock but it very clearly was not in stock and almost two weeks later im still waiting for it not cool"/>
        <s v="the shipping box isnt strong and they package my dry dog food with the cans and the cans cut the dry food bag and it spills"/>
        <s v="i placed an order for hills glucosupport for my diabetic cat it was the weekend and i was unable to get all of the vet information directly from the vet hospital itself to place the order so i googled it i placed the order and paid for the order the order"/>
        <s v="this is the second time the cat food that i need said it was available and the second time my order was cancelled because they didnt have it if you dont have it dont say that you do i could have looked for it someplace else instead"/>
        <s v="your phone reps have always been very helpful answered my questions and given me some good advice about purchases were sold"/>
        <s v="great customer service they answered my inquiries so fast and they were super friendly"/>
        <s v="petflow works hard to earn your business and trust had an initial snafu but now orders are working smoothly"/>
        <s v="i requested a  refund after being told by petflow that i needed to renew my vets prescription i wanted to just buy the prescription dog food from my vet petflow said they could give me a credit for  but not a refund this is a classic case of petflow winni"/>
        <s v="i have ordered from petflow twice and both experiences were the same complete trash my cat eats prescription food and it is out of stock everywhere so i am ecstatic to find it on petflow i order and it took two days for my vet approval i get an email that"/>
        <s v="petflow has great prices on fromm products and delivery is great"/>
        <s v="petflows order fulfillment needs to be improved it took  days for the food that i ordered to arrive and that was after i called to see where it was and got the order prioritized for shipping if you are truthful on your website whether the food is being sh"/>
        <s v="your orders have all been fast and with no warning it took a week i will not be using you anymore as you are not dependable"/>
        <s v="great price  fast shipping  great communication"/>
        <s v="better prices than elsewhere called customer service for some assistance and the woman was very helpful will use again"/>
        <s v="wanted to try another pet food home delivery service for a change and decided to give petflow a go they were a great find and im glad i did prices were comparable and delivery was even faster packaged very well with no dented cans"/>
        <s v="prices fair but shipping times have increased"/>
        <s v="i love the variety of high quality products and brands that pet flow offers i also love how quickly they ship my order always arrives within a couple days"/>
        <s v="dont even bother if you order anything they will message you a week later saying its out of stock then the very next day its back in stock again"/>
        <s v="i was excited to see that a particular prescription wet food was back in stock on the website as it has been out of stock for over a month i placed the order online and then followed up  days later as i didnt hear any thing about shipping i was told that "/>
        <s v="cancelled my orders&#10;without telling me"/>
        <s v="very happy with the customer service only issue i had is how long it took to process my order and ship it would pay extra for faster processing and shipping"/>
        <s v="fast  easy and correct "/>
        <s v="its ok it was shipped on june st and an email tuesday said itd arrive today wed after arriving here in portland today at am fedex tracking said at pm that its being delayed a day until tomorrow thursday because of weather it doesnt affect me  i wouldnt ca"/>
        <s v="i ordered prescription pet food for my cat it took them about five days to tell me the order was cancelled because they couldnt get the food they shouldnt have taken the order in the first place"/>
        <s v="this is my third order they have products others dont and at a great price"/>
        <s v="always holds the inventory and deliver in a timely manner"/>
        <s v="worst customer service i tried doing an order twice and they couldnt send it out i will never use this company or recommend it"/>
        <s v="wonderful service i recommend"/>
        <s v="excellent service and the only delay we had was from our veterinarian sending them the prescription"/>
        <s v="i am so impressed with not only how easy ordering was but how quickly it was delivered i would never use anyone else thank you very much"/>
        <s v="i am new to petflow this was my first order website was easy to use and my item arrived promptly"/>
        <s v="disappointed that an item was there to select as available only to find out it was not p"/>
        <s v="i like using petflow and other sites which are similar they are super convenient and reliable however the cost of shipping stops me from only using their service"/>
        <s v="your website said you had the prescription cat food i needed i bothered my vet for the prescription order your company said the order was being filled then im told that it is out of stock&#10;&#10;how does this happen"/>
        <s v="always the highest quality products  superior customer service a"/>
        <s v="petflow had what i needed in special food for my cat i couldnt find it anywhere thank you so much the service was awesome"/>
        <s v="good service and a fair price thank you plan to order again"/>
        <s v="wonderful experience petflow was the only place that had the prescription food i needed for my cat they expedited my order when i expressed my needs sadly my cat passed away saturday but he loved this particular brand of food so i am very grateful that he"/>
        <s v="i have been ordering from petflow for some time now i always have a good experience with fast shipping and easy ordering i have a dog and two cats so i order often great company to do business with&#10;rob"/>
        <s v="petflow is great they processed my kitties prescription quickly and shipped my order promptly"/>
        <s v="shipping is so slow compared to chewy i use chewy whenever possible for that reason"/>
        <s v="i have had nothing but positive experiences with petflow"/>
        <s v="petflow was the only source for prescription food for my cat all local stores and vets all said they were out and it was on back order so petflow was a kitty saver"/>
        <s v="fedex took more than a week to deliver&#10;usps is better even the fedex tracking is not accurate and very slow or sometimes not even up to date"/>
        <s v="customer service was not friendly they charged and shipped me two bags of my dogs food when i only purchased one when i called back to dispute the charge they were not very helpful and kept insisting that i bring the super heavy bag to fedex for return"/>
        <s v="when fed x lost my order i called customer service and the order was replaced without hesitation that is excellent service"/>
        <s v="slow shipping went to order another bag and couldnt find it"/>
        <s v="petflow is a good company to buy cat food from i especially like having it she directly to my door i have to order a prescription type of food for my pet and cannot find it anywhere else petflow has exactly what i need"/>
        <s v="i was able to find what i needed that others didnt have turnaround was quick and order was correct"/>
        <s v="products in stock delivered in timely fashion positive experience"/>
        <s v="great selection had things others were out of great price shipped next day"/>
        <s v="after reading many reviews i cancelled my order before it was shipped many people stated they could not cancel their auto ship and weret happy with the delivery since i dont know this company and didnt know their reputation i cancelled and ordered from ch"/>
        <s v="great price and shipped well and arrived quickly"/>
        <s v="only cools for  minutes at best  not worth it i should have invested more money and got a better product"/>
        <s v="the pharmacy said my dogs food wasnt approved while my vet said it was always approved customer service was awful in fixing the situation didnt get my dogs food for a week discontinued auto ship and wont buy another thing from pet flow horrible customer s"/>
        <s v="i love the fact they carry fromms dog food their web ordering works fine and they deliver in a reasonable amount of time chewy is faster where i live&#10;&#10;however every time i have ordered dog food in cans they come  badly dented i dont mean a little dent her"/>
        <s v="i had the opportunity to subscribe and my pet food came in a timely manner i am very happy"/>
        <s v="shipped quick reasonably priced"/>
        <s v="great variety fast shipping"/>
        <s v="petflow autoship is convenient efficient and economical weve been happy customers for years highly recommend "/>
        <s v="works well but no instructions on how to adjust float"/>
        <s v="great price and quick shipping of the pigeon grains i use"/>
        <s v="easy easy easy the same quality same shipping speed cheapest place"/>
        <s v="great service for the buck and great for your pet fish"/>
        <s v="the most wonderful customer service and the most wonderful products that keep my dog happy"/>
        <s v="i love the company and the fact that they dont support brands that support animal testing its a  start due to shipping always being late and they dont have an app yet but im not leaving them because of that"/>
        <s v="good selection of products but took a long time to receive"/>
        <s v="had the product in stock and they called the vet"/>
        <s v="items not as advertised even after calling customer service described the wrong item picture not correct either that was sent&#10;took way longer than expected not likely to recommend or order again"/>
        <s v="had an issue with my order customer service was rude and terrible will never spend my money with this company again"/>
        <s v="excellent always the best"/>
        <s v="pet flow always has the dog food in stock for my pet all through pandemic they were reliable and supplies on hand and timely delivery"/>
        <s v="customer service was awesome the shipping was very fast and i was very pleased with the variety of food i will definitely order again"/>
        <s v="fromm dog food is so awesome my elderly dogs were on wet dog food and they liked it till i took them to my friends house she had the beef fromm out for her dogs my dogs decided they like that food better than theirs it was a month of trying to get them to"/>
        <s v="poorly packaged for shipment but arrived quickly"/>
        <s v="great customer service i needed my cats prescription cat food asap and they pushed the process faster for me"/>
        <s v="fast deliveries and one of the few places i found farmina dog food now im on auto delivery"/>
        <s v="i ordered cat food on  and fedex has yet to deliver it stating that the address is incorrect when it is not after hours on the phone trying to get this package i am left with no other choice but to request a refund i still dont have the cat food and am ti"/>
        <s v="we love using petflow for our pets needs the prices are competitive and its so easy to changedelaycancel our order"/>
        <s v="shipping was fast my only concern is my dog food best by date is sept  just concerned not fresh maybe older stock"/>
        <s v="petflow is the best hands down great customer service and prices"/>
        <s v="they had the food i had been searching for in stock quick shipping"/>
        <s v="super great company with fast service and great shipping"/>
        <s v="great company with very quick shipping i will be using them from now on"/>
        <s v="excellent products and outstanding service fast delivery"/>
        <s v="good price fast delivery"/>
        <s v="we have been using petflow for many years and always have great service and value"/>
        <s v="petflow has the products i need and gets them to me quickly ive used auto ship and when ive had to switch my schedule they were happy to accommodate and adjust and their customer service is so responsive i have been a loyal client for years and plan to re"/>
        <s v="every one at pet flow was extremely helpful they spent as much time as needed on the phone with me to pick the puppy food i needed when it turned out that my pup did not need the prescription i was told they were unable to take it back but they refunded h"/>
        <s v="when i ordered they knew they were out of stock i called asked questions and didnt get a direct answer"/>
        <s v="i was so happy to find my pet food in stock here actually the maker of the pet food let me know that petflow had the product in stock there was no shipping fee on the  lb bag and it arrived promptly all the way from across the country"/>
        <s v="ordered canned dog food found the price to be competitive and shipping was timely"/>
        <s v="i would advise anyone that has had a poor experience with this website  which appears to be just a website where they drop ship orders but dont actually have a warehouse to contact the attorney general in nevada where this guy or company is located&#10;if the"/>
        <s v="ordered cat food when i ordered it was in stock now saying they have none and that the online allows them to sell bags so long as they at least have  sad"/>
        <s v="i ordered dry cat food that you said you had and waited for you to tell me when it shipped you never told me you were out of it i had to get in touch with you to find out stupidly i checked for that same product a week or so later and same thing your on l"/>
        <s v="ordered md dry cat food and you waited so long to let me know you were&#10;out of it other companies let you know on the site where you are ordering&#10;that they are out wasted time"/>
        <s v="great product fast shipping"/>
        <s v="having to contact support to cancel an auto ship is ridiculous straight from the comcast book of customer service"/>
        <s v="this is the first time using petflow and i loved the experience they have great prices and fast shipping i love the selection of food also"/>
        <s v="scam site they lie and say they have stock of things they know they have no stock for just to get your information"/>
        <s v="i like pet flow and the convenience of buy fromm cat food from them"/>
        <s v="i placed an order for prescription pet food the website stated food prescriptions could be emailed or mailed so i emailed the food prescription using the email address they listed on their website for this purpose this resulted in back and forth with a re"/>
        <s v="i was trying to order prescription cat food that is in short supply your company let me order it sign up for your account contacted my vet for the prescription and went through the whole process and then told me you are out of stock why didnt you tell me "/>
        <s v="i have plenty too much food right now how can i cancel automatic service"/>
        <s v="i trust them they usually have the product that i want and if not they will let me know"/>
        <s v="this place is amazing prices really cannot be beat  and we shop around every time we stock up petflow doesnt carry all of the foods we buy but the ones they do are consistently cheaper than elsewhere including delivery&#10;&#10;i hope petflow will carry more of t"/>
        <s v="my total order was to receive  offhowever my order was split and i only received  off on the lesser item and was taxed on both i may inform my credit card company of this transaction based on your response"/>
        <s v="have always had good service from petflow"/>
        <s v="keep posting that they have hill science diet md when they dont"/>
        <s v="i have only received part of my order that i made on may th it is now the nd and i have still not received the dog food i ordered"/>
        <s v="our saint bernard was recently diagnosed with gastroparesis and needed limited ingredient treats hills makes a line of them that petflow has a great variety of at great prices shipping is super fast"/>
        <s v="excellent service&#10;thank you"/>
        <s v="i have ordered only once from flowpet but so far so good and on that note i will give them  stars there was a good variety with good prices and the order came more quickly than i expected i expect i will be shopping there more"/>
        <s v="fast shipping easy to get in contact with them if you have questions"/>
        <s v="ordered special diet  days and nothing had to order chewy  got it in  days"/>
        <s v="very friendly and knowledgeable people at petflow willing to go the extra mile to help"/>
        <s v="it is easy to change my order the staff is always easy to communicate with they are alice there to help me when i run out of food my goldens sometimes have friends over for the week"/>
        <s v="so happy you carry fromm my dog thrive on this food i love the convenience of delivery to my door the best part is shipping is included"/>
        <s v="i placed my order from canada and dealt with a customer service rep she was very friendly helpful and efficient my order was delivered very quickly to a parcel receiver in bellingham wa i am very satisfied with petflow"/>
        <s v="ms jessie at petflow was extremely helpful in fulfilling my order she was knowledgeable pleasant and very efficient i am very satisfied with the service i got"/>
        <s v="always ships quickly and arrives promptly you can trust petflow to handle your order right"/>
        <s v="took way to long to get here this was a cat food order and im use to getting it at least in a couple days when i order from amazon or chewy not sure ill order from them again"/>
        <s v="this is a great company good selection of products and at fair and reasonable prices including shipping costs delivery is very timely while so many firms are still using the pandemic as an excuse to pricegouge it is so refreshing and a pleasure to deal wi"/>
        <s v="have been waiting in my prescription for a month and still havent received sent in digital and paper copy that still had problem with them verifying and actually sending the prescription so frustrating would not recommend vetsource for pet prescriptions h"/>
        <s v="my dog is on rx dog food hills science diet dd i decided to start getting it from you i order it  changing flavorsprotein because the one i wanted said out or stock a few days later i havent heard anything so i calltext and im told that it is waiting vet "/>
        <s v="i have purchased many milk bone pill pocket packets they usually come in  pouches per box which helps to keep them from being crushed in shipment i usually purchase  boxes at a time shipping is slower then other suppliers"/>
        <s v="cancelled my order saying supply of product from manufacturer was unavailable so i went to another vendor who had no problem filling my order"/>
        <s v="received my product of prescription kitty snacks quickly&#10;thank you"/>
        <s v="pet flow has been very reliable my dogs food arrives as ordered the food is fresh and arrives quickly&#10;i have had a few problems with the website where i could not change an amount on the review your order page which was frustrating however calling custome"/>
        <s v="very good service and fast deliveryi have no complaints"/>
        <s v="items arrived quickly before i was notified that they were shipped one item was missing from the order it took a few days before i received an email that the item was out of stock credit for the item came quickly very pleased with my purchase"/>
        <s v="excellent customer service&#10;petflow inadvertently sent me an extra case of cat food i alternate the types of food so i was fine with keeping the extra food but needed to pay for that one and add another of the alternate kind the gentleman with whom i spoke"/>
        <s v="friendly when i had questions fast delivery easy to order quickly online"/>
        <s v="efficient fast shipping and great customer service&#10;&#10;good selection of animal products"/>
        <s v="very happy with products wish food was a bit cheaper"/>
        <s v="i had been looking for the puppy kibble our breeder has been using for their litter of puppies petflow was the only site that carried it very easy to work with and on time delivery thank you"/>
        <s v="staff is very friendly and helpful there was a prompt response to my question they have a vast selection and great prices they came through when i had trouble finding my finicky cats food they are my go to store"/>
        <s v="the constant urging to use autoship i can understand what i cant understand is the meaningless onetime pittance of a discount as an incentive coupled with an almost forced compliance by changing my selections to include it for me it is the most obnoxious "/>
        <s v="i tried to purchase prescription cat food for my cat on  the vet did not receive communication through you so i emailed and texted in a prescription on  both of which replied and said it was sent to the correct team and should be processed asap then i rec"/>
        <s v="i needed to order a variety of cat food that had been sold out at local shops  online retailers for some time i discovered petflow through a link on the manufacturers website i was skeptical that they could even deliver but ended up being pleasantly surpr"/>
        <s v="easy to navigate site prompt delivery"/>
        <s v="my second order experience was just as great as the first one great business"/>
        <s v="my order is always delivered in a timely manner if there is ever a question i get answers quickly in a professional and friendly way"/>
        <s v="petflow has been my goto for years now for a reason"/>
        <s v="excellent availability of products customer service shipping and communication"/>
        <s v="so easy to order my pets prescription meds on petflow they contact your vet directly for approval which takes all the work out of my hands shipping is quick and its very easy to amend the shipment schedule if needed&#10;thank you petflow for such awesome serv"/>
        <s v="i was searching for a specific food for my new puppy that was not available in many places found it here ordered and had it so fast itd make your head spin  thank you "/>
        <s v="i received my product before the original date i was very impressed since i never heard of them but i will continue to use them i highly recommend them"/>
        <s v="excellent service and product our fur baby loves the butcher block champ bones"/>
        <s v="when the package came everything was so jammed in there that the stella and chewy patties were crushed i purchased  bags of the stella and each bag had broken pieces in there"/>
        <s v="petflow had the dog food that i needed that everyone else was out of it came quickly and without any issues their website was easy to navigate also"/>
        <s v="when other sites were out of the prescription food my dog needs petflow was the only place i could find it and at a good price too delivery was fast also"/>
        <s v="great service competitive pricing"/>
        <s v="petflow had a rocky start with me because it was difficult to get customer service but they have improved so much in that department that a  star is appropriate they are the only pet delivery that has my dogs dry food and they give a years worth of coupon"/>
        <s v="delivery was okay no issues with package or product price okay too"/>
        <s v="great company fast delivery"/>
        <s v="i order  eight pound bags of prescription cat food kept getting emails about it being backordered on the website at tims of purchase it stated they were in stock placed an additional order for two  pounds of same food and that was cancelled by petflow for"/>
        <s v="always helpful and answer my questions and concerns"/>
        <s v="easy to use website and fast shipping"/>
        <s v="my order is always on time and very easy to order"/>
        <s v="i made a large order and you guys cancelled my order saying that it was a fraud there was never a time where i got an email or any contact to see if it was a fraud my dogs are now with no food due to this lack of responsibility i was informed that every t"/>
        <s v="i love the service petflow provides they have a huge variety of products plus they also offer great deals finally i must say customer service is extremely friendly to use through texting theyll help you right away thank you so much"/>
        <s v="i ordered prescription food for my cat a week went by with no shipping information i contacted pet flow and was advised that the food wasnt even in stock even though they got the approval from my vet waste of time that i couldve been searching for this pr"/>
        <s v="ordered prescription food and insulin syringes for my diabetic cat syringes came a few days later the  bags of prescription food did not after  days with no update i called customer service just to find out the food was out of stock i was never notified t"/>
        <s v="great customer service and i really appreciate it"/>
        <s v="great site for dog supplies will continue to use if prices are good"/>
        <s v="i moved over to petflow kicking and screaming from chewy chewy stopped carrying verus and petflow is now my merchant for all my canine needs i could not be happier with the customer service i like getting advance notice that my autoship is preparing to sh"/>
        <s v="with the price of dog food getting more expensive i was looking for the best price for chicken soup for the soul canned dog food pet flow had the best price when compared to other online retailers this was my first time ordering from pet flow the delivery"/>
        <s v="always arriving promptly and the correct products in the order"/>
        <s v="the best place to purchase all of my dogs need excellent service and always fast  love love lovestella loves it too"/>
        <s v="this was my first time using the site usually use a competitors site but this website showed up and i clicked to see what it was&#10;the prices are similar to the site i usually use some of the items were slightly cheaper some more expensive&#10;one huge con was "/>
        <s v="my ordered was submitted then cancelled days later i would have just bought it somewhere else should have just said out of stock now i have to scramble to find food"/>
        <s v="ordered hard to find diabetic cat food the the  lb bags are out of stock at all  companies that carry it petflow shows on the site that the  lb bags are in stock order on may th and vet approved was told that on the th its send to the warehouse for shippi"/>
        <s v="products are good but the ones i wanted were out of stock or very low"/>
        <s v="great product price communication and transaction"/>
        <s v="i was very disappointed i ordered my rx can cat food the payment was made the payment was returned this is the first email from petflow i have not received an email why my payment was returned or why i did not receive my order"/>
        <s v="quick and easy  i just entered the order and the vet details and my order was on its way the next day"/>
        <s v="my cat likes the friskies sensation cat foodi wish petflow has a larger selection of cat and dog food that weigh  lbs or less as i grow older i find it difficult to lift bags over  lbs"/>
        <s v="orders are accurate and delivered on time price is a little high at this time but no higher than other sites are charging for same pet food"/>
        <s v="ive only used petflow once first time but everything was great easy to navigate the site received order quickly packaged safely i had a general question and customer service was very nice and knowledgeable ill be a repeat customer and very glad to have fo"/>
        <s v="frustrated with the lack of customer service regarding my cat food order our vets office personally called to ok a prescription diet for our cat as we could not find it anywhere and we were running out we did not get any official notification that you end"/>
        <s v="my items from petflow always arrive quickly and accurately i enjoy using petflow for my dogs needs i highly recommend"/>
        <s v="trustworthy accommodating and much variety"/>
        <s v="products ordered came quickly and accurately the website makes reordering easy"/>
        <s v="we have shopped with pet flow for about  years and they always provide excellent service and products"/>
        <s v="ready for some captains plate sardines  mackeral now look forward to this against the grain next when they are available for purchase again&#10;&#10;thank you for getting this delivery to us as you were the only pet food company that could provide us with shrimp "/>
        <s v="every order i have placed has been canceled i call to verify everything is ok daily i am told that its being packed to ship i call again the next day and am told its shipping that day both orders have done this usually  hours later the order is canceled b"/>
        <s v="im very disappointed as the item u always order was not in stock and currently remains out of stock"/>
        <s v="fast delivery and they carry what i need"/>
        <s v="petflow was very easy to order from and was shipped out almost immediately the dog food arrived very quickly i would definitely recommend them to pet owners"/>
        <s v="ive used petflow on and for  years the delivery has always been spot on but occasionally a food change required a different vendor glad ive returned"/>
        <s v="i am always skeptical when ordering from an online store for the first time no need to worry about petflow my  bags of dog food came in a timely manner and the packaging was neat there was no crushed bags very happy customer"/>
        <s v="i successfully ordered prescription hills md through you and later you told me you were out of stock you should have known you were out of stock before allowing me to order"/>
        <s v="i had not used petflow before but they were one of the few retailers that had the pet food i needed in stock their turnaround time from order placement to shipping was incredibly quick as was the shipping time they were also very communicative each step o"/>
        <s v="ive always been able to change my scheduled auto shipment when every i need to they are quick to response and send out packages very quickly been using this company for about  years and love their services"/>
        <s v="ive never dealt with an online pet store that was so easy to work with they confirm my dogs food prescriptions and still get the food to me in just a few days im looking forward to buying treats and other supplies from them as well"/>
        <s v="customer service was fine but i could not purchase what i wanted to for my cat i ordered veterinary products and i chose the vet i went to from the search i knew pet flow or vetsource would need to contact the vet but did not know how they would then i go"/>
        <s v="i love the service i receive when i place my order if i have any issues i call and the customer service is the best"/>
        <s v="ordered cat food then received email that the order was cancelled because it was outofstock"/>
        <s v="petflow was a great shopping experience but the shipping information was not accurate on the website i did have to reach out to customer service to get the correct information other than that no complaints will definitely shop with them again"/>
        <s v="good communication and reasonable prices&#10;slow delivery time knocked this review down to four stars"/>
        <s v="it was nice that petflow actually carried the brand of dog food i get i was excited to sign up for autoship so i could stop making my husband pick up the dog food  miles away from me on his way home from work my order took over a week to arrive didnt come"/>
        <s v="great quality of products and super fast shipping"/>
        <s v="perfect&#10;fast&#10;efficient as always"/>
        <s v="when i was given a prescription for my cat that had just gotten a procedure to clear a urinary tract blockage i tried having the prescription filled by my regular vet they were out of stock of what was needed so i turned to petflow all my experience with "/>
        <s v="orders are shipped quickly prices are comparable to other companies"/>
        <s v="timely delivery no glitches and great product"/>
        <s v="the products that i ordered were as described at a fair price and arrived on time&#10; very happy customer"/>
        <s v="i had never ordered from pet flow before their website was easy and the cat food arrived promptly"/>
        <s v="i enjoyed finally finding a website that still has my cotton de tulear food that she has been on her whole life and seems to be selling out everywhere i sure hope this website keeps it in stock for the next time i need to order it"/>
        <s v="i ordered a large pet carrier and was sent a small i did contact customer service and they are suppose to send a large that was a week ago so i am still waiting"/>
        <s v="fast easy great price and i stick of my pups fave food"/>
        <s v="ordered for the first and last time when petflow was the only place that had any of my cats specialty prescription food in stock they said they called the vet office to confirm and approve the prescription but did not call the office i gave them and then "/>
        <s v="i use this site to order tracheas for my  dogsthey are a natural treat and my dogs love them this company has been very good about getting my orders to me in a timely manner so my dogs never have to miss their saturday special treat i know their prices ar"/>
        <s v="im so thankful that i found petflow&#10;its nice to know there are online options for my fur babythe prices are great and the fact that petflow gives back to pups in need makes me feel good&#10;thank you petflow"/>
        <s v="petflow usually has products other sites are out of what relief but stock up as things are getting harder to find petflow delivers quickly and in good shape"/>
        <s v="said an item was in stock when it wasnt i waited a week before being notified that it was even in the warehouse to be shipped in the meantime i was counting on the shipment for my diabetic cat i will never recommend or give the company another try"/>
        <s v="great transaction good price free delivery"/>
        <s v="quality communication and price"/>
        <s v="i have  cats two of them are eating special food for health issues it has been hard to find canned food especially proplan since the pandemic i have to search for cat food every week at the  pet stores in our area which is very stressful i was so glad tha"/>
        <s v="when i had a problem you fixed it fast ty"/>
        <s v="i buy birdseed in  lb quantities theseed quality is excellent the mixes are well balanced and the seed is fresh and viable so i am able to germinate some to use as soft food to my birds the price was reasonable when so many others are using inflation as a"/>
        <s v="ive always had a great experience w petflow i even found a better deal at another site and wanted to cancel my auto ship the customer service rep gave me a discount instead and i kept my auto ship active and its still active today excellent customer reten"/>
        <s v="only place i could get this hills formula dry food for my cat my cat is fussy and wont eat other dry foods"/>
        <s v="petflow customer service agents are efficient yet courteous the company clearly embraces the concept of the customer is always right ive been using this service for five years and have always been pleased"/>
        <s v="service and customer service is excellent"/>
        <s v="this was my first time purchasing from this company i attempted to purchase  items of the  items that i ordered i only received  those  items that i did not receive  were charged to my credit card and then i was notified after the fact that these items we"/>
        <s v="easy to order online  customer service is quick to respond  resolve any issues will order again"/>
        <s v="i love petflow much better than chewy"/>
        <s v="the ease of changing or adding to existing orders could be just a little easier its muchimproved from what it used to be for sure but it still takes far too long to setup an order for autoship make it easy and more efficient please"/>
        <s v="every order is fulfilled quickly and accurately and then shipped really fast i love petflow"/>
        <s v="was very disappointed with shipping time for this order and delivery information was delayed twice"/>
        <s v="while i wish petflow did not use fedex i did not get my package or replacement package petflow was wonderful through an annoying process"/>
        <s v="quick delivery on the dog food i ordered im thankful for petflow because they carry canine caviar which is a hardtofind dog food my french bulldog does great on this food no allergies"/>
        <s v="petflow has great pricing and fast delivery they also have great customer service who do a fabulous job of following up on your order i will definitely be ordering from them again"/>
        <s v="super easy to order from and they shipped our food and treats quickly"/>
        <s v="quick ordering process and they obtained the prescription from my vet just as quick where other sites never completed the process it was smooth and i will order again"/>
        <s v="the petflow site was easy to navigate i found the size of the dog food bag i wanted for the right price the communication was superb including delivery information  i would order from them anytime"/>
        <s v="happy with my order pup got a really cute stuffed llama that i had my eye on for quite a while price was excellent also bella pate not always easy to find in a retail outlet"/>
        <s v="the case of hill id digestive care was delivered damaged when i opened the case three cans were blown and the rest had visual damage to each can i called pet flow to advise and wanted to send the complete case back to them they said prescription dog food "/>
        <s v="i placed an order for a second time with petflow first time was great however this second order never shipped and upon inquiring about the status i was informed that our fraud department suggested we not fill this order take care what"/>
        <s v="quick cat food shipping fair price and easy ordering all good"/>
        <s v="i ordered two packages of dry cat food  hills prescription diet gastrointestinal biome digestive  fiber care chicken dry cat &#10;i used to order it on chewycom or amazoncom for medical reasons my cat needs this food unfortunately and for an unknown reason  t"/>
        <s v="took longer than we thought but it was ok but everything was good"/>
        <s v="this was a remarkable experience i received the wrong order i meant to purchase  bags of lamb and peas large breed i received lamb and rice i called and the same day they shipped the correct  bags i wanted&#10;this is a model example of perfect customer servi"/>
        <s v="ordered my pets food that needs a prescription you said it was in stock i looked for a way to email the prescription to you but couldnt find one on your site&#10;&#10;i gave you all the information you need to verify and order to food from my vet a week later you"/>
        <s v="product packed well great communication"/>
        <s v="easy to order through my vet and super fast shipping no complaints"/>
        <s v="the product came on time and as described cant wait to order from them again"/>
        <s v="we are now  days beyond the promised delivery date when i contacted the company they said i should have planned better im wondering if the company even has this product"/>
        <s v="first time i ordered from pet flow my order was cancelled by petflow because my items were not in stock after i ordered them however i had been charged via pay pal and then had to wait for a refund needless to say i cancelled my auto shipment and will not"/>
        <s v="my pets prescription food has been out of stock everywhere for weeks i was recommended a replacement to help my cat while i tried to find something in stock but then i found his diet in stock on pet flow so i chose to purchase that almost a week later i g"/>
        <s v="i was told to mail in the prescription for the productthan i got an email that they did not have the product and now i dont have the prescription&#10;it would have been a lot easier if i was told they did not have it"/>
        <s v="petflow has always delivered when expected there have been a very few rare occasions when something happened due to the courier service but petflow made it right immediately also the food i buy is hard to find in local stores but is available through petf"/>
        <s v="very happy with the experience customer&#10;service very pleasant and speed of order sorry the food is out of stock still but would order here again once it comes back in thank you"/>
        <s v="though my order was sent to the wrong address the company made it right by resending the product to the correct address quickly and without a hastle"/>
        <s v="easy to order delivery was great"/>
        <s v="quick shipping and responsive staff to customer inquiries"/>
        <s v="seemed to take a long time from order to delivery but mist disappointing was a couple of the cans were dented and leaked all the liquid throughout the box"/>
        <s v="excellent service prompt delivery able to purchase an item i couldnt find anywhere else"/>
        <s v="needed to return a bag of cat food that my cats did not do well on wanted to exchange for two bags of a different food was a simple process involving one phone call received a return label to send back unopened bag of cat food and received my replacement "/>
        <s v="fantastic service quick delivery and the food was unspoiled and not damaged will be coming back for more kitty thanks you too "/>
        <s v="petflow does an outstanding job when it comes to providing timely deliveries they also have a wide variety of products from which to choose thank yu petflow"/>
        <s v="i have discovered petflow to be a resource to depend on&#10;the last shipment of the blue wilderness turkey of which&#10;i usually order the  pack of   oz cans   free&#10;shipping included was received minus  carton a quick call&#10;to petflow with no hassel resolution w"/>
        <s v="they had great products to choose from that arrive on time and fast for all things i have ever bought"/>
        <s v="there was some confusion about what and when my order was to be shipped after a few messages my order was delivered and all was well"/>
        <s v="i went with petflow for our dogs food because they had the cheapest shipping rate my surprise was although it was the cheapest it was also the fastest"/>
        <s v="ordering was very easy and they had a much quicker processing time than other places customer service was very friendly"/>
        <s v="my latest order of two  pound bags of fromm dog food arrived in a box that had been badly damaged and the top bag of food had a four inch slash in it dog food had leaked out all over my porch and entryway and no doubt in the fedex truck&#10;&#10;pet flow immediat"/>
        <s v="prescription product was supposedly in stock until i found out days later"/>
        <s v="my dog food order always arrives exactly when promised and that assurance is why i have been a petflow customer for such a long time"/>
        <s v="have been getting my dog food auto shipped for many years i am very pleased with the delivery always on time and always in perfect condition i have not ever experienced a problem"/>
        <s v="twice in the past week i have ordered cat food that was shown to be in stock only to get an email a few days later telling me that it wasnt available that is very frustrating and quite annoying and doesnt make me want to order from them again"/>
        <s v="excellent customer service and customerfriendly policies&#10;i had ordered ver diet food for my cat i used  can out of the case and it turned out that my cat was allergic to the food&#10;&#10;oi called petflow customer service to see if there was someplace local i co"/>
        <s v="i had never heard of petflow before but after another company i use for pet supplies didnt have a brand i was looking for i did an online search to find where to buy my product petflow came up as being one of the companies that carried it after researchin"/>
        <s v="fast service and delivery i had emailed customer service and they responded quickly"/>
        <s v="everyone was out of a particular flavor of the food my kitties really like i added my name to be notified when it was back in stock and they did that promptly my order experience was wonderful  everything i ordered came thru promptly and in good order can"/>
        <s v="got the wrong product they did reach out but still waiting to see how we go about sending it back and get our refund&#10;fran dolmage"/>
        <s v="i place a large order for dog and cat supplies on wednesday it received an order confirmation with tracking number the following monday i recieved an email saying my order would be delivered tomorrow tuesday by end of day&#10;when my order did not arrive tues"/>
        <s v="website was easy to use but unfortunately it said that one of the items i purchased was in stock but days later i received an email that said that they actually did not have it in stock since its backordered they said i wouldnt be charged until they actua"/>
        <s v="was so happy to find and buy these bowls&#10;needed small ones  &#10;needed stainless steel  &#10;needed weighted bottoms  &#10;pretty fast shipping  &#10;thank you so much petflow"/>
        <s v="prices are reasonable shipping is fast happy with the ordering"/>
        <s v="my order was cancelled because my vet for some reason wouldnt approve the prescription food request from petflow and said i had to give petflow the written prescription i have i could not find a way in petflow systems to upload the prescription form on th"/>
        <s v="you guys really should say that you have products available for purchase if you literally dont have any in stock"/>
        <s v="st order  most cans dented  unusable customer service ordered replacement the replacement got cancelled as they were out of stock i had to call again to get the refund the system didnt know it was a replacement&#10;&#10;a week later their site says in stock so i "/>
        <s v="get my name right i did happen to type it out on my information portion of my account not hard figure out"/>
        <s v="best price service and product"/>
        <s v="great price the shipping was good and everything arrived as expected i will order from petflow again"/>
        <s v="absolutely terrible they list food in stock that they dont actually have they then hold funds for two weeks to then cancel the order&#10;&#10;get organized and be honest about what you really have in stock"/>
        <s v="always get what i order in a timely fashion"/>
        <s v="they executed the order beautifully the box arrived as expected i ordered sealed dog treats so i have not opened fully yet&#10;&#10;this is my second order and they have not done well on both"/>
        <s v="one of the few places that has grain free greenies and can ship them expeditiously"/>
        <s v="the product i ordered was shipped and delivered within  days thats amazing"/>
        <s v="i was lied to from customer service they also implied that i was stupid we live out in the sticks and they tried to convince me that fedex was going to deliver to me on easter sunday i do not appreciate being lied to"/>
        <s v="your delivery is exceptional i am also pleased that you carry fromme&#10;there arent a lot of pet stores that do"/>
        <s v="easy to order great prices fast shipping&#10;thank you petflow"/>
        <s v="always have what i need and receive it in  dsys"/>
        <s v="you take orders for items you dont have available"/>
        <s v="order filled promptly and delivered very timely great service"/>
        <s v="there was a bit of confusion between petflow and the vet i received an email  days after i placed my order saying the vet had yet to respond to the prescription the vet said they had no record of being contacted but after i gave the phone number to the ve"/>
        <s v="shipping quick and correct products excellent and as described"/>
        <s v="easy convenient to use one of the items i ordered was no longer in stock i was notified and refunded immediately there is a wide range of products available to chose from at very competitive prices great service"/>
        <s v="my dog now needs kidney support food i ordered her kibble and pet flow contacted my vet for authorization we had her new food in  days thank you pet flow for being so prompt in responding to my request"/>
        <s v="advertised dog food they didnt have felt i was suckered in to get personal information ordered food twice website said in stock they canceled both orders saying didnt have yet didnt change status on the website had also enrolled in autoship website wouldn"/>
        <s v="i ordered food and have been waiting for a response let you with my vets numbers and even left a text per instructions and nothing im still waiting for any sort of reply"/>
        <s v="i ordered a type of prescription dry cat food made by hills hills said you had i in stock and so did your website i placed my order with veterinary information for prescription approval this probably took one day not more than two but as time went on i re"/>
        <s v="awesome company will definitely be using them moving forward to order my dogs food "/>
        <s v="item showed in stock took almost a week for them to state it wasnt available and to check back for when its in stock yet when i looked at their website they didnt change the items availability so just keep taking peoples information even though its not av"/>
        <s v="when i order it says you have product a week later you say you dont have it and cancel order you need to change this no for sure what is in stock this has happened to me before non way to run a business you dont care about the customer doubt i will order "/>
        <s v="we have ordered dog  puppy food from petflow for many years and always received excellent service on our last order of  bags one of the bags was out of the box it had been torn open and taped shut with clear shipping tape there was a fed ex label on it re"/>
        <s v="easy ordering and perfect delivery"/>
        <s v="product bought as advertised online sales works perfectly shipping was fast this is my second transaction with this company and am very pleased"/>
        <s v="ordered veterinarian prescribed food for diabetic cat and was advised through email it will ship within  days was then emailed  days later with a full order cancellation not being aware of how to fulfill orders due to inventory issues is one thing and und"/>
        <s v="ordered but had to update my credit card thought the order was canceled after several attempts after updating the card all orders went through and were processed now i have three bags of food and spent more than that i intended to"/>
        <s v="placed order based on website saying product was in stock vet approved prescription dog food in one day contacted customer service twice over  days to determine order status finally on day  we received an email saying the product was not in stock and refu"/>
        <s v="the petflow website listed for sale prescription cat food that it turns out was not in stock when i ordered that food apparently no one checked whether it was in stock and my order was processed i then had to jump through a number of hoops to get to them "/>
        <s v="one of the kitty litter bags had small tears in it so about a third of a cup was spilled in the box"/>
        <s v="this was a good experience overall products we wanted were available and reasonably priced we even tried a new product that is now a hit in our household  thank you"/>
        <s v="petflow has everything i was looking for the items i ordered were delivered promptly without any damage to bags of kibble or cans ill definitely keep ordering from petflow"/>
        <s v="never received the product after a couple weeks the order was cancelled since the product was never available to begin with apparently petflow has no idea what their inventory actually is i was never actually charged for the product"/>
        <s v="i love petflowcom because they are not the big guy they are all pet passionate people like me they carry products i trust"/>
        <s v="simple to order and came amazingly fast"/>
        <s v="your customer service was as usual excellent but the delivery service was not up to par because they changed the delivery date a few times tho that may have been due to weather problems which understandably is out of anyones control"/>
        <s v="great competitive pricing the only complaint is they make it difficult to cancel existing programs you have to place a phone call in order to do this they do not make it possible online through your account"/>
        <s v="customer service was easy to get in touch with and very courteous"/>
        <s v="customer service responds quickly very helpful  courteous a pleasure to do business with"/>
        <s v="the item i ordered was  and still is  shown as stock on the website it is not in stock had it been out of stock i would not have placed the order when i called petflow to see if they had inventory they told me they could not check because the prescription"/>
        <s v="mostly all my goods are damaged cans are bent and creased and half the treats are in the bottom of the bag for my rabbit treat sticks"/>
        <s v="i am aware no one can predict the weather but this particular order was important on two separate occasions i was informed my order would arrive  as it is i am still waiting below is the time frame which honestly is ridiculous&#10;your package is&#10;on its way&#10;s"/>
        <s v="i am very satisfied with petflo and the customer service i had to call to make a change with special instructions before my delivery and the representative was able to take care of that for me promptly without any hesitation or any issues i would definite"/>
        <s v="i will start by saying they always have what i need in stock which is a huge plus my two main issues are longer shipping times and the last time i ordered i accidentally ordered the wrong size can of food because the picture was of a smaller can it was my"/>
        <s v="high quality difficult to find dog food at reasonable prices fast delivery with free shipping with minimum purchase of  i believe is the current threshold been ordering fromms gold dry dog food from them for years and it is always fresh and genuine its th"/>
        <s v="i love petflow the site is very userfriendly and customizable&#10;i dont like shopping and their home delivery makes getting my pets food a breeze&#10;and they carry my preferred brands"/>
        <s v="i looked everywhere for this particular hills science diet adult tender chicken dinner canned cat food  to  yrsand you folks were the only online business that carried this product for my cat it arrived safely at my frontgate i live in a very rural area o"/>
        <s v="i have used pet flow foe about  years they have any thing you want&#10;relative to dogs and deliver it quickly they can put you on a program for delivery so you dont have to call them they also can deliver to other addresses if you happen to be out of town fo"/>
        <s v="they kept messing my order up double charged&#10;and one of the phone operators was very aggravating"/>
        <s v="on my first order i ordered one small bag of dog food my dog has a few food allergies and this was a new flavor so a  pound bag would do upon arrival i always check the expiration date on all food i order and noticed this bag was about to expire i wasnt c"/>
        <s v="shipping was not as quick as it said but once i called them they looked into it they made sure it went out that day"/>
        <s v="shipping is fast and dog food is fresh"/>
        <s v="quite frankly my disappointment is because i really didnt order this time my order was processed without me hitting the accept button it was sent any way"/>
        <s v="i chatted with a rep to see if petflow carried taste of the wild wet food it was out of stock and rep asked if id like and email when the product came in they emailed me it was in stock i ordered it and it was delivered my dog is a very happy pup now&#10;than"/>
        <s v="had a difficult time find the dog food and found it here quick delivery"/>
        <s v="you charged me for prescription cat food and for non prescription cat food but only delivered the nonprescription cat food"/>
        <s v="one of the few sites that has fromm dog food quick free delivery i also like your give back to the pet community policy"/>
        <s v="fair prices and very fast free shipping i will shop here again"/>
        <s v="fair prices fast shipping large assortment of products"/>
        <s v="i ordered a prescription dog food that was listed as available then wasted time and attention coordinating with our busy veterinarian was never advised the item was on back order and had to reach out to the company to find out the dog food hadnt been sent"/>
        <s v="easy online ordering usually has what i need but doesnt ship as fast as other companies"/>
        <s v="it has been almost two weeks and i have not received my order i called to inquire where it might bei was told to call fed ex the folks at fed ex told me they couldnt deliver my package because the road was to muddyalthough the mail has been delivered ever"/>
        <s v="ordered two items but only one was available real time inventory to indicate whether stock is available for purchase would help the customer"/>
        <s v="great selection great prices great service"/>
        <s v="i am unable to cancel my automatic shipment why is it so difficult"/>
        <s v="i was able to purchase cat food here that i couldnt find anywhere else delivery was quick"/>
        <s v="my order did not arrive on time and my puppy was getting low on food but their customer service was friendly and willing to do whatever to make it right i appreciate the customer service and how easy it was to connect with someone through text to explain "/>
        <s v="the canned cat food i ordered from petflow was out of stock at other major online pet supply retailers for extended periods of time this special food was less expensive at petflow and arrived quick my order was packed in a sturdy box with adequate packing"/>
        <s v="i have been trusting my pets needs to petflow for several years now my food is on auto delivery and can be changed as needed with no problems the customer service has been excellent i have had a small issue here and there and they take care of it right aw"/>
        <s v="right in time delivery fresh food my gsp thanks yall"/>
        <s v="good company to deal with"/>
        <s v="great user friendly site delivery has been fairly quick too i appreciate the auto order program"/>
        <s v="i placed my order for my dogs kibble it arrived in  days amazing so happy with petflow"/>
        <s v="petflow makes it easy to use their autoship easily change the datesthey let you know when its getting ready so you can speed it up or slow it down and the dog food prices are very competitive plus its delivered to my door"/>
        <s v="excellent service quick delivery"/>
        <s v="i received the wrong size canned dog food they could not help"/>
        <s v="do not buy first order wrong canned food then didnt have inventory to send correct food with no time line then requested refund after i returned wrong food next day to them and still one week later no refund"/>
        <s v="quick and efficient delivery of prescription dog food that was out of stock at other online retailers petflow contacted my veterinarian right away for approval after i placed my order very happy with the customer service"/>
        <s v="excellent customer service and lightning fast shipping the fromms crunchy os are my dogs favorite treats and i couldnt locate them while traveling on our rv i found petflow and stocked up"/>
        <s v="excellent customer service and amazing shipping thanks for making it so easy to order"/>
        <s v="great shipping"/>
        <s v="excellent service fast and friendly"/>
        <s v="the order was shipped quickly and with no problems an easy smooth transaction"/>
        <s v="made the switch from the other options out there about  months ago and could not be more impressed from the selection freshness of product speed of shipping that puts the others to shame  not to mention arriving very securely packed without the dented can"/>
        <s v="i needed an addition to my regular order and it was taken care of efficiently and expeditiously"/>
        <s v="ive been a customer of petflow for  years and they are an excellent reliable company i rarely have an issue and when i have its usually not on their end but more so on the shipping and delivery end nevertheless petflow customer service always makes it rig"/>
        <s v="best company to deal with unbelievable customer service"/>
        <s v="love buying from petflow prices are great and shipping is super fast am a repeat customer"/>
        <s v="great online store&#10;lots of products good prices&#10;and excellent customer service support team"/>
        <s v="i give one star because i never actually received the dog food i ordered i placed an order for prescription dog food received notice there was an issue with the prescription so i called the vet but was told the issue was not on their end then petflow canc"/>
        <s v="i have a legged cat that was shot before i adopted him willie is a special guy on a special diet i was running low several pet food outlets said they had none and werent expecting to get any maybe it was discontinued&#10;i should look for a replacement&#10;i foun"/>
        <s v="products have always been delivered on time website for updatingcanceling orders has had glitches on several occasions"/>
        <s v="i thought it took to long to receive my order"/>
        <s v="hands down the best price in bulk cow ears for my dog a local shop wanted twice as much for the exact same product customer for life here"/>
        <s v="i was looking for a place that sold the food i need for my dogs at a good price and i have found it"/>
        <s v="i have been trying to find a prescription food for my cat and was delighted when petflows website said they had it in stock unfortunately it turns out that its probably not in stock the website should be updated appropriately responses to my emails were q"/>
        <s v="easy to navigate web site fast and efficient online ordering and delivery"/>
        <s v="the shelves were bare for the cat food that i have been feeding my cat and i couldnt find her food anywhere i called the company that makes her food they were out too but i was told of a place to call low and behold they had her food so i bought a case an"/>
        <s v="treats almost expired in a very recent order i purchased multiple bags of merrick dog treats  i just realized they all expired already"/>
        <s v="no other supplier had this cat food and my cat really needed it fast delivery and service ill buy again"/>
        <s v="i am a returning customer pet flows prices and their customers service are exceptional i will not shop anywhere else for my doggie food"/>
        <s v="i couldnt find my yellow lab her food anywhere  im used to it being delivered on a regular basis my vet found you online and let me know thanks to you she has her regular diet "/>
        <s v="petflow provides and delivers product as expected the fourstar rating is because of their return policy which is stricter than the other online pet sites"/>
        <s v="great customer service and very fast delivery thanks"/>
        <s v="petflow has always come through on my orders delivery is prompt only issue is every so often delivery service is a little rough with the package  but thats on them not petflow only once damage was excessive called petflow and they took care of it"/>
        <s v="our cats require a prescription food petflow has always had it in stock when others have been out of stock a real life saver weve never had any issues with petflow"/>
        <s v="our order shipped so fast very happy with you"/>
        <s v="i ordered  cases of canned dog food one case turned out to be something different so i called petflow and they gave me a credit for the wrong food&#10;i donated the case to a local animal shelter and i was happy with their service"/>
        <s v="great price on the right product when i needed help with the order telephone help was easy and effective with no wait time"/>
        <s v="petflow has the products i want at a reasonable price delivery is great"/>
        <s v="very hard to find my dogs prescription food but you had it and sent it to me quickly thanks so much"/>
        <s v="i truly love all the products my dog ginger loves them too you are an excellent company i really love doing business with you you are fast and i have never&#10;had a problem with you thanks connie sower"/>
        <s v="great company to work with provides excellent customer service"/>
        <s v="been very happy with the price i pay for my dog food good selection of other items for my dog fast delivery"/>
        <s v="best customer service calls are actually answered quickly by humans that are always helpful and resolve issues"/>
        <s v="my last order was supposed to be  canine caviar buffalo toothpick dog treats  i was sent one in a box so i was  short not the first time that has happened either the most frustrating part about this time was that when i called customer service they said t"/>
        <s v="vet approved and im a vet "/>
        <s v="i never received my order told my credit card was not valid it was a good credit card there was nothing i could do to correct any info so as a result i will not be using your website sorry i like convenience of shopping on line"/>
        <s v="the entire process of getting my dogs prescription liver support dog food was quick and easy"/>
        <s v="great prices fast shipping and easy to use website whats not to love my new goto place for everything my maltipoo puppy needs"/>
        <s v="your customer service team is fast efficient and respectful thank you for hiring outstanding people"/>
        <s v="whenever ive contacted customer service they have always been very helpful and so nice their pricing is great and shipping is fast"/>
        <s v="i am very satisfied with petflow feed products i find this company dependable while trying to keep costs within reason for the consumer i like the convenience of many products available for dogs as well as cats free shipping is appreciated with prompt and"/>
        <s v="my order was accurate prompt and a good competitive price so thankful we found you we will be reordering for our sweet pups and kitties"/>
        <s v="first shipment of dog food was good second shipment had the wrong food shipped"/>
        <s v="they had what i was looking for  delivery was quick and easy"/>
        <s v="love the selection and the speedy delivery"/>
        <s v="i used amazon subscribe  save for years but in the last couple of years it either is not in stock or shipping takes  days petflow has no supply issues ships immediately and is cheaper needless to say i have switched both subscriptions to petflow"/>
        <s v="my dog needed her prescription dog food my normal supplier had been out for sometime i was in a panic reached out to petflow explained the situation how most pet suppliers were out of stock of the hills id small bites food petflow reassured me that they h"/>
        <s v="petflow never fails to provide quick turnaround times and has the food thats best for my dog their customer service folks are the best"/>
        <s v="they have the dog food i want at a price i like"/>
        <s v="ordered little stinker pads received in record time good price"/>
        <s v="fast ship&#10;great product line"/>
        <s v="i was excited to find petflow i ordered my cat food on march  it is now april   i have yet to receive my order i am waiting and hoping it will come soon"/>
        <s v="petflow had my hard to find dog food in stock ordering was easy and shipping was very fast  days second time ive used them and will continue to do so in the future"/>
        <s v="easy ordering quick delivery great customer service"/>
        <s v="i am pleased with the ease of ordering ive found quick delivery on canned food but the large bags of dry food usually take a lot longer to receive"/>
        <s v="everything went very well&#10;thanks for thst"/>
        <s v="although their losing me as a customer is out of their control im unable to give them a better review&#10;perhaps if their leadership would utilize a more reliable carrier than fedex theyd get my business back&#10;they do have excellent customer service and i lik"/>
        <s v="ordered hills rx dog food item was shown as in stock with anticipated shipping date order was accepted days later i received an email stating food was out of stocki thought good was on its way and it wasnt even in stock not a good experiencefirst and last"/>
        <s v="excellent website that makes ordering pet products a snap especially repeat orders really appreciate the fair prices and reasonable shipping rates"/>
        <s v="web site shows product prescription pet food in stock we ordered it and were charged called to check on order and told it will ship next monday several days later i get an email saying the product is out of stock and my order is being cancelled so now im "/>
        <s v="purchased a cat harness sizing was accurate and quick delivery"/>
        <s v="i like the great service with petflow alot time and time again they have what i need for my pup"/>
        <s v="all went well thank you"/>
        <s v="these ppl are so dumb dont bother with a third party place was with chewy for five years never had a problem had to switch to these  for prescription food been with them for  months and had to call  times in one wk bc they couldnt get anything right its n"/>
        <s v="quick service company had product not available at other sites"/>
        <s v="petflow was the only store i could find that had the cat food i needed in stock their price was competitive and they had free shipping the case of food arrived right on time"/>
        <s v="fast shipping good communication "/>
        <s v="great quick service always reliable"/>
        <s v="excellent customer service i had a problem with one of the items in my order but the issue was quickly resolved i highly recommend pet flow"/>
        <s v="you showed  oz cans in the photo and sent me  oz cans&#10;very misleading"/>
        <s v="this company took my order for prescription dog food and sat on it over a week before canceling my order because it wasnt in stock by then my sick dog had run out of food and i had to order from somewhere else"/>
        <s v="not much to add to the  stars i had to call them about my billing address and they were great to work with  friendly attentive and very helpful"/>
        <s v="i have only done  set of purchases so far but am very pleased petflow had cat food that pretty much all other sites and stores do not and delivered as quickly as chewycom would have"/>
        <s v="petflow had our hills prescription food in stock and shipped it to us in j just a few dayschewy stopped stocking our food a while agothank you petflow"/>
        <s v="product in stock as needed and always shipped promptly"/>
        <s v="we are elderly wonderful that the heavy dog food bags are delivered to our front door"/>
        <s v="you keep on accepting my order and then you later say it is out of stock why not refuse to accept the order that you do not have in stock"/>
        <s v="you asked so even though i know it is horrid times to expect our shipments to to be filled  because it was my dogs only source of food and not to be notified until shipment day you didnt have it wasnt what i would have expected notification so i could fin"/>
        <s v="service was awesome wrote an email asking about my order and it was not even an hour and i heard a response i am a customer for good now"/>
        <s v="i have a cat who has no teeth&#10;finding squeeze treats he likes has been a challenge&#10;my cat loves these treats&#10;plus they are healthy treats"/>
        <s v="good fast service good prices"/>
        <s v="im very satisfied with my order from petflow due to the product i ordered petflow had to notify my pets veterinarian  they did this quickly&#10;therefore i received my order within days&#10;i will definitely be ordering from them again"/>
        <s v="you had what we were searching everywhere for unfortunately  days afterwards the quantity was cut in half  stars for a full order but only  for taking away a bag of rabbit cookies"/>
        <s v="horrible the lack of communication with the company and warehouse i called and was told i would receive a call back and never did they had me counting on a shipment for over a week and canceled it  days later due to no product  and for me to find outi cal"/>
        <s v="excellent service of our favorite dog food fromm is the best food"/>
        <s v="website is easy to navigate great pricing and orders ship out quicklyautoship makes it simple to ensure ms hunter always has her favorite food in her bowl"/>
        <s v="glad i found you shipped order right away you made my dog very happy"/>
        <s v="my  year old diabetic cat was out on a diet of royal canin pv diet absolutely no one had this food i found petflow while surfing the web one night and saw that they had the food i needed i ordered the food there was a bit of a delay with my prescription a"/>
        <s v="petflow is awesome great customer service"/>
        <s v="fantastic customer service great prices fast shipping i am trying to purchase less from large retails like you know who and havent had to for any pet food or most pet supplies since finding petflow"/>
        <s v="dog wont eat the food is so stiff if wont come out of can"/>
        <s v="my second time buying my pet food at petflow  what i like the most is the possibilito buy two packs with a better price the delivery is free and is ok  not to fast but ok  is good to know that it took to  days to delivery than you need to buy in advance"/>
        <s v="the process to order a prescription food is ridiculous the instructions on how to handle the prescription are incredibly unclear and the expected timeline of when your order will be delivered even more confusing i placed my order immediately emailed the p"/>
        <s v="great service you had the cat food i needed when every other place was out of stock prompt delivery thanks so much"/>
        <s v="availability of special diet and fast friendly customer service"/>
        <s v="no problems quick and efficient"/>
        <s v="great customer service always have the products that i need when i need them thank you petflow"/>
        <s v="i have been ordering from petflow for sometime now and i truly love it  its hard to find certain brands like fromm from your local pet stores so i airways shop here did i mention shipping is pretty fast i am happy customer"/>
        <s v="i was able to find the food for my cat herehe has ibd and can only eat certain foods these kind people give great service answered all my questions im very pleased with pet flows service"/>
        <s v="i buy crickets very often i got  and  were dead usually always there are some dead but this time the number was higher not good"/>
        <s v="very satisfied with my order i was notified when the treats my dog eats were available they contacted her vets for the prescription information  sent out immediately"/>
        <s v="ordered prescription food on a time crunch confided x with customer service it was ordered confirmed and waiting to ship and then finally cancelled after a week horrible service"/>
        <s v="my dogs love the buffalo treats great value and service"/>
        <s v="they always have what my parrots need and everything is fairly priced"/>
        <s v="i was able to connect with customer service about issues with my prescription and they took care of it and i received my cat food thank you"/>
        <s v="very user friendly process good variety of product reasonable prices love the free shipping with orders over  keep up the great work"/>
        <s v="good products and good service and delivery"/>
        <s v="my dogs food was not available where i usually purchase it so i tried petflow they had the food and i received it the next day i was so pleased to find a company that stocks the dog food i use and sends it quickly and efficiently i have since used petflow"/>
        <s v="after being informed in the th hour from another site that my auto ship dog food was not in stock and the order could not be filled i went to the pet flow site they had the food i needed and it arrived as promised i was very impressed and grateful"/>
        <s v="first shipment was short contacted customer service via email and a replacement item was shipped immediately great customer service"/>
        <s v="very happy you carry verus delivery is quick&#10;thank you"/>
        <s v="petflow was fantastic food was in stock at a great price  even though bigger companies did not have it claiming supply chain problems delivery was super speedy customer service prompt and friendly highly recommend"/>
        <s v="i was relieved that petflow had the urinary diet food for my cat when other big name pet suppliers were sold out ordering ease and timely shipping were other plus factors"/>
        <s v="my vet recommended this website for my prescription cat food i enjoy the fact that you can add promo codes when they arise for online auto ship orders i am also able to get my cat litter&#10;&#10;the only issue i have is that petflow does not sell multicat tidyca"/>
        <s v="have been a satisfied customer for a while with pet flow&#10;more importantly our dog gets excited when his box with his favorite treats arrive&#10;pet flow has acceptable prices and prompt service on their high quality products"/>
        <s v="they were fast with the shipping and awesome prices"/>
        <s v="i have never had to wait so long for an order from pet flow my poor cat has run out of his special diet food and we have been waiting for i order both canned and dry food for him and his canned food is in back order im disappointed on how long ive had to "/>
        <s v="i do like pet flow as my go to food delivery system sometimes the products are a day or two late one of my deliveries actually contained two  lb bags in one box which i was not happy with also i would appreciate some packing like paper or something to cov"/>
        <s v="fast shipping great price and the dog food we needed we couldnt be happier with the transaction thanks petflow"/>
        <s v="i have purchased the oxbow organic hay before and oxbow is a great company the products were fine and the time it took to get the order out was fast however fedex lost the first order not unusual the customer service rep at your company was kind enough to"/>
        <s v="there is obviously a shortage on royal canin cat food and i called royal canaan and they recommended this site so i ordered a case and when they were filling my order they didnt have any so that was that and and i still dont have any food ordered for her "/>
        <s v="i have used pet flow for years and theyve always done a good job and provided what i needed this time they didnt have what i needed and they were a little late in letting me know but other than that i have no complaints"/>
        <s v="i placed my  order for prescription dog food on a sunday night received someone elses order on thursday called customer service and advised of issue asked that they ship correct order at no charge with overnight delivery was told they wont ship overnight "/>
        <s v="excellent service fast delivery"/>
        <s v="impressed the dog food arrived in perfect condition in a box that fit the bag something that doesnt happen with other companies"/>
        <s v="i love petflow for great customer service fast and reliable service great dog food for my babies in great price&#10;im petflow customer since i became doggy mommy almost  years ago my  golden retrievers are doing amazing on farmina food"/>
        <s v="i adore petflow i love what the company is and stands for and the donations they make unfortunately they just dont have everything i buy for my pets so i find myself going through other companies to get them i would love to see them grow though and offer "/>
        <s v="good service although a bit slower than our other service which may have been due to the vet not responding promptly"/>
        <s v="this was my first time ordering with petflow and i must say it was great it was a prescription food it was faster than ordering with chewy would highly recommend"/>
        <s v="had the product my babies needed when everyone else was out fast and easy checkout and fast shipping"/>
        <s v="quickly received ill be back "/>
        <s v="great service had the items i needed and i love the giving back to needy animals"/>
        <s v="i get the same dog food every time last time i ordered it took longer than expected to receive it but this time it was tracked and arrived earlier than expected totally satisfied"/>
        <s v="great service good prices"/>
        <s v="normally i am very happy with petflow with the exception of some packaging missteps this time it just took too long to get here but everything else was good not sure if that was due to the shipping issues the country is having now or if it was internal by"/>
        <s v="i received a substitute product that would not work in my household of pets i called and immediately the product i had ordered was sent to me from a different warehouse"/>
        <s v="great to deal with fast shipping highly recommend"/>
        <s v="fast shipping not a big selection of fish products but what they do carry have very good prices"/>
        <s v="all of my normal vendors were out of my babys food but i was able to order via petflow and it arrived within  days thank you"/>
        <s v="i am very happy to have found petflow i run a neonatal kitten rescue and it is vital i am able to find the same productsfood i use on a daily basis not being able to find and purchase certain foods is critical for some kittens i only leave one star off be"/>
        <s v="petflow was the only location i could find the prescription food i needed for my cat everybody else was out of stock it took  business days to get the vet approval and to receive the order longer than other vendors but at least they had what i needed over"/>
        <s v="after i gave my credit card info and counted on receiving the shipment i was then told later on that it was out of stock"/>
        <s v="the order process was great as wellas the returns my dog food that i ordered came in a package all tore up delivery by fedex which i have issues with with other shipments from now on i will not be buying anything on line from companys that use fedex"/>
        <s v="waited  months for my cats favorite wet canned food to come in finally got a notification that it was in and would be shipped to me i noticed the address was incorrect  old address so i corrected it after another week i got a notification that it would be"/>
        <s v="i just ordered from petflow for the first time and had a great experience the food i needed was in stock and i was able to get a discount as a firsttimer the package arrived promptly i have no complaints"/>
        <s v="good selection prices and delivery"/>
        <s v="love love petflow they had my cats food in stock when no another vendors have it and shipping is fast thanks again petflow for keeping my cat happy"/>
        <s v="i was grateful to find petflow because they were the only company online or in store that had stock of my furboys prescription food as a pet parent i was panicking they handled contacting our vet for the prescription  had the food to us within a week than"/>
        <s v="well considering i only got part of my order and nobody knew where the rest of it went and they had to reissue it as well as it being prescription food and first time ordering with company id say it didnt go well"/>
        <s v="had competitive prices with other online retailers customer service prompt and pleasant when i called with a question fast shipping all as expected had products when other online retailers were out of stock"/>
        <s v="easy orderinglove getting the discount  really helps in this day and time please continue offering more higher discounts and customers will choose you every time shipping was quick great packaging thanks"/>
        <s v="great prices on fromm dog food fast delivery on a great product"/>
        <s v="i have shopped petflow for years and have always gotten accurate orders fast shipping and very good pricesespecially with autoship"/>
        <s v="i didnt get the flavor cat food i ordered  its my cats favorite and the reason i ordered from you"/>
        <s v="i have ordered from them only a couple of times but i received good service and a timely delivery"/>
        <s v="great service fast delivery "/>
        <s v="petflow shipments are always late will not be ordering from petflow anymore"/>
        <s v="always helpful customer service ive been with them for more than ten years much easier than schlepping to the store every month to buy their food i have five doggies"/>
        <s v="price is reasonable slow on shipping and several of the cans were dented and caved in so will check careful for leaks before i feed my dogs"/>
        <s v="i love the service its so quick and every order is always correct"/>
        <s v="petflow since they came online has been an important part of my supply chain&#10;reliable  good prices  helping animals&#10;thank you"/>
        <s v="petflow took care of my request and shipped my order rapidly this was much apppreciated"/>
        <s v="great product fail on fedex ground delivery&#10;driver didnt delivery on first attempt drove past my house need to address this"/>
        <s v="i was truly in a bind trying to get prescription cat food fast for my cat with a newly diagnosed urinary tract disease the gentleman i spoke with over the phone was compassionate toward my situation and genuinely helpful in quickly getting my prescription"/>
        <s v="petflow has been excellent with every order i have placed i will continue to use this company and products"/>
        <s v="usually a  this was only a  as one of the cans was dented"/>
        <s v="petflow carries the brands of foods i use for our cat  guide puppy in training our guide dog school likes us to use fromm family foods fromm is made in the usa  fromm brand is not carried by many stores or online shops auto ship helps me be sure not to ru"/>
        <s v="fast shipping new customer very happy autoship prices are very good"/>
        <s v="competitive pricing dependable shipping and carries prescription food at better prices than the vets office offers"/>
        <s v="first time using this business and it was a very positive one i ordered a large bag of victor dog food and it was delivered very quickly will use them again"/>
        <s v="very helpful and extremely friendly"/>
        <s v="the only place i can consistently find my dogs brand of food easy to ordrr and fast shipping prices are reasonable as well with autoship the prices are even better"/>
        <s v="i purchased science diet wet puppy food for my new puppy and he refused to eat it i contacted customer service by email and explained my situation that same day i received notification that i was being refunded my purchase price&#10;that is excellent customer"/>
        <s v="i purchased an item online said only two left i ordered two got an email the next day they were our whats the point of having an inventory notice online if its not accurate and other orders are allowed the product you just paid gir disappointing"/>
        <s v="horrible buying experience i will never buy it from you guys again"/>
        <s v="wow customer service fast and genuine  but this is also a rare company that gives back in amazing ways sure they are smaller but thats where usually the care happens thank you petflow"/>
        <s v="since there is a shortage of my dogs prescription diet i called several times to get information on deliveryevery time i had a helpful and friendly employee on the phonethey understood my concerns and did everything possible to helpmy pup got his food tha"/>
        <s v="i would give it  stars except that the flap doesnt quite close otherwise it is a good door for the price that allows my year old great dane not to have to stoop as much as he goes through"/>
        <s v="easy to order and at a great price so impressed that i chose to have a standing order for our beautiful breezy"/>
        <s v="quick response time and friendly customer service"/>
        <s v="i like that pet flow is accurate with the information they share with me and the options i have with my orders thats really important to me id also like to ask that the dm food i get from now on be the savory select cat food instead of the pate which my c"/>
        <s v="happy with the product however when i ordered it said it would ship immediately and  days later it finally shipped i needed the dog food and with that  day delay it made me go purchase a smaller bag to get me through"/>
        <s v="very easy online ordering and pretty fast delivery im not able to purchase fromm dog food where i live i actually found petflow on fromms website"/>
        <s v="very fast delivery"/>
        <s v="i ordered the dog food on march th still waiting delivery its been almost two weeks my orders from pet flow in the past have been delivered quickly"/>
        <s v="shipping takes too long but i can deal with that what is unacceptable is when you have items listed in stock when you really dont specially when it comes to items that need a veterinarian prescription i dont care how big of a company you are thats why the"/>
        <s v="very easy to order prompt delivery of product ordered"/>
        <s v="my order arrived in a timely manner beautifully packed with recyclable materials i received discounts that compare favorably to other online pet suppliers i wanted to order fromm products and fromms familyowned company will only sell through certain compa"/>
        <s v="pet flow was willing to sell me a product they did not have in stock pet flow said that the manufacturer hills science diet had the pet food in their warehouse i telephoned hills science diet and they also report not having the purchased cat food in stock"/>
        <s v="in my last order for dog food to petflow the order was first just later than expected when i called up customer service i was told that orders were piling up at petflow but that the order would be given an expedited designation by the customer service per"/>
        <s v="best company ever ive used them for years theyre dependable and refund your money if your dog reacts badly to a new food or treat etc or if a treat they sold has been recalled by its company which is not petflows fault their prices are even lower than che"/>
        <s v="great service arrived quickly and got exactly what i ordered"/>
        <s v="my dog loves this dog food and it was very quick getting to us thankyou"/>
        <s v="product almost always in stock good variety of the brands my dogs use quick delivery but the packaging always arrives damaged likely because its just too heavy"/>
        <s v="i ordered two bags of dog food and it was delivered in a beat up box and dropped  feet from my covered porch in the rain sure the seller didnt leave it in the rain but are responsible for the safe arrival of the package my star rating is because i contact"/>
        <s v="ive been buying from petflow for years and im very happy with their products and prices the only issues i ever have is with the delivery companies constantly changing the delivery date otherwise i love petflow"/>
        <s v="service was good and efficient price seems a bit high pound bag of dog food was twice the price i would have paid for a  pound bag at walmart but with transportation down would order again"/>
        <s v="petflow always comes through for me no complaints"/>
        <s v="perfect timing to get my prescription food for my kitty"/>
        <s v="until now i have had no issues with petflow  order food for dog  dog food delivered promptly&#10;&#10;this time i ordered the dog food as usual and have waited waited waited for it to be delivered three days after getting this request for a review i have finally "/>
        <s v="this is the only place that has my dogs treats customer service has been great with changing a delivery date due to weather and checking on expiration dates"/>
        <s v="you got always what i need for my pets and more and the shipping is always on time"/>
        <s v="super slow at shipping that makes me not use them often"/>
        <s v="excellent service delivery etc i love petflow"/>
        <s v="im so happy to have found you you will have a customer for life"/>
        <s v="my box was damaged along with the contents inside i emailed explaining what happened and was not satisfied with the customer service will never be ordering from petflow again and will tell everyone i know not to horrific"/>
        <s v="fast excellent service"/>
        <s v="good prices and fast delivery i will continue to order from you all and recommend your site"/>
        <s v="i placed my order and then called tomake sure that the product was in stock i was told the product i wanted  oz can was not available but they would change it to the  oz cans i told the gentleman that it wasnt my first choice but if he promises thatthe pr"/>
        <s v="i love petflow shipping is fast customer service is great and i especially love the fact that they feed shelter animals every time you make a purchase"/>
        <s v="excellent service dependable"/>
        <s v="we are very happy with petflow they always have exactly what we need and we receive all products in a timely manner"/>
        <s v="with petflow i have been able to find good quality pet supplies at exceptional prices and i usually receive my order the next day i have no complaints"/>
        <s v="i contacted petflow about getting food for my dog the representative had the information already on file and was extremely helpful she notified me of the automatic refills and i received the food after three days very efficient and i would recommend this "/>
        <s v="product was great but delivery took  days to long for the premium price"/>
        <s v="you usually deliver quite quickly but this took a week in addition there was just one sheet of brown paper and many of the cans were dented"/>
        <s v="real quick in shipment and correct itemresonable price"/>
        <s v="ive always had good experiences with pet flow but the last order had some issues a bag of dry dog food had a hole in it and some of the cans were dented pretty badly well i contacted their customer service and they sent out a completely new order for free"/>
        <s v=" times i have ordered from your company and each time the shipping has not been what was stated it has each time shipped later than the stated ship date when i would inquire there would be excuses your prices are the same as competitors but their shipping"/>
        <s v="the petflow folks are always helpful great products for my animal kids  thank you"/>
        <s v="would not accept a copy of the prescription for medications wanted it mailed caused further delays other online firms dont require this"/>
        <s v="i am very pleased with petflow  the pet food i was needing was not in stock at a local big box store that normally has the best price petflow had it in stock smaller poundage however with their  off first  autoship orders i was able to get more pounds at "/>
        <s v="had the products i wanted and received items quickly"/>
        <s v="timely delivery and had my cats prescription food when other vendors did not"/>
        <s v="i did not hear from pet flow quickly that they could not fill my order of specific dietary cat food but they cancelled my order and i believe will not show on my credit card i understand there is shortage of pet food right now but their website said in st"/>
        <s v="i ordered a food which my pets really need since it is prescribed it was out of stock but i wasnt told promptly i had to contact support to learn they were out and planned to cancel my order days later "/>
        <s v="great products fast shipping"/>
        <s v="excellent product quality very professional customer service prompt delivery"/>
        <s v="i love petflow they feature my dogs brand of food which he has eaten since birth fromm as well as a good selection of treats and toys ordering is a breeze online and the deliveries are prompt even with all the delays in the supply chain and delivery servi"/>
        <s v="my dog was given dry dog food canned dog food and pet flow dog food all at the same time he rooted around until he found the pet flow that is always his first choice he loves it"/>
        <s v="outstanding company with great service prices and fast shipping"/>
        <s v="they always seem to have our dogs food whereas as certain stores rarely do and im continuously told that its all due to covid which im sick of hearing yet petflow always comes through which is why ill continue to purchase our dogs food through them depend"/>
        <s v="i feel that if you sent the prescription authorization for all  bags of food to my vet they would of be authorized by sending over a script for  bags then another for the remainder bags caused a problem and  script was denied for being a duplicate"/>
        <s v="my products were delivered in a timely fashion and no damage to any of the cans"/>
        <s v="great deal kept me apprised of the status and arrived as promised"/>
        <s v="i have been a customer of perflow for years always happy with the products they carry and their customer service department"/>
        <s v="i was waiting for my order on  shipped on  delay in arizona delay in san diego  delivered on  i dont know the delay problem&#10;felipe lopez"/>
        <s v="website is ease to use service has been good prices reasonable"/>
        <s v="excellent prices fast shipping thank you"/>
        <s v="received fast shipping on product and prompt and courteous customer service from petflow reps"/>
        <s v="petflow had the food that i needed for my dog in stock and less than  hrs of placing the order my vet sent in the script and the food arrived within  days int was great ti be able to find the food that was hard to find on other sites"/>
        <s v="excellent customer service great and fast shipping very pleased"/>
        <s v="we have used petflow for dog food purchases for about a year everything about the service was great however my low rating is based on the customer service interface on their website i discovered i can buy the product cheaper locally and tried to cancel my"/>
        <s v="the beef pizzle steer bully sticks dog treats gave both of my shih tzus terrible diarrhea and i only gave them a small piece"/>
        <s v="i have ordered online for the convenience but your delivery company has made it inconvenient i am sorry but trying to carry a large heavy box from my condo mailboxes to my unit so it is not stolen is too difficult my daughter will pickup the food at her l"/>
        <s v="easy to order and find items on your web site fast delivery and friendly help"/>
        <s v="great prices dependable free shipping"/>
        <s v="my dog food arrived quickly and was just what i ordered will use pedflow again thanks"/>
        <s v="i ordered an instock item which took two weeks to receive and then it was the wrong item first and last time ordering from this company"/>
        <s v="they had the food when no one else did and shipped it quickly happy customer"/>
        <s v="fast delivery of the perfect puppy food for my little baby going to order some more puppy treats so glad to offend you all"/>
        <s v="delivery is a little slow i sent coupons to you but they were never applied to my account they should have been sent back to me thats bad business"/>
        <s v="the prices are comparable to other sites but petflow offers coupons and deals that keep bringing me back to shop here shipping is fast too"/>
        <s v="the lid on my automatic dog feeder and water combo was broke when i got it"/>
        <s v="it was easy to place my order and delivery was in a timely manner i will order again from petflow"/>
        <s v="with shortage of pet food currently challenging all pet owners i appreciate your quick shipping policies i realize that it is hard to keep stock on hand and you certainly helped us secure supplies for our  cats thanks for the prompt service and we look fo"/>
        <s v="prompt when shipping items in stock not so prompt in communicating when items are back ordered and the website shows them still in stock i placed an order my vet approved february  i checked on it february  and was advised the wet food was cancelled becau"/>
        <s v="packaging was poorly done on feed bags needs to send in stronger boxes"/>
        <s v="everything arrived in good shape happy with my purchase"/>
        <s v="great products and fast delivery recipe for success"/>
        <s v="it is helpful to have pet food delivered pet flow gets my order correct and it comes on time thanks"/>
        <s v="thanks for having the food i wanted when no one else did quick delivery too"/>
        <s v="always reliable for stock and fast shipping"/>
        <s v="my order was shipped fast well packed&#10;it was here in a timely manner very pleased with transaction will buy from again h"/>
        <s v="shipping is too long and items arent shipped together"/>
        <s v="great first time buyer experience delivered in a timely manner and in good condition"/>
        <s v="great customer service easy online ordering prompt action and delivery thanks petflow"/>
        <s v="for years i have been happy with petflow"/>
        <s v="petflow prices are very competitive and their shipping speed is excellent i had a question once and received a reply within minutes not hours or days like some other companies very pleased with petflow"/>
        <s v="what a great company fast shipping great products when i searched many sites for my cats favorite brand with no luck i found petflow very happy i did would highly recommend"/>
        <s v="some cans were damaged and dented it would be good if the products are in good shape prior to shipping"/>
        <s v="i was so impressed the package was delivered within just a couple of days impeccable execution"/>
        <s v="not happy back order food reordered and delivered without the discount thinking about switching to chewy"/>
        <s v="hard to give a review when i havent received my order yet because it has been delayed  times i know that times are hard for a lot of companies so im going to keep my fingers crossed and hope the cat food gets here before our cats eat us "/>
        <s v="quality dog food good prices fast delivery"/>
        <s v="they always have what i need in stock at reasonable prices and i usually receive my order within a week great customer service too"/>
        <s v="love it great place to shop"/>
        <s v="every time i reach out to petflow they resolve an issue almost instantaneously my cat food cans came completely dented and partially opened they replaced all of them quickly my  off coupon didnt go through they credited it immediately their customer servi"/>
        <s v="the cat food i bought to help my cat lose weight is inferior to purina products in every measurable metric these varieties contain ingredients that should never be fed to a cat"/>
        <s v="great service great quality great prices"/>
        <s v="the instinct dog food is great howeer the fedex shipping sucks the package sat on the truck for  days being listed as out for delivery as common occurrence i would order from petflow more if they did not use fedex"/>
        <s v="when i order my food is always delivered very quickly without any delay or problem we have been getting our two dogs food from petflow for years now and are very happy with the service we have received"/>
        <s v="i really enjoy petflow you have all the dog food products i need  its delivered in a very timely fashion"/>
        <s v="i wish you could get expiration dates on products before they ship especially on auto ships"/>
        <s v="as a new customer with  cats and a feral family of cats ive been pleased with the product selection and the timely shipping thanks"/>
        <s v="my first order and it was easy and arrived quickly"/>
        <s v="great customer service over the phone as i was concerned about being out of food and they were receptive and put the order as a stat order"/>
        <s v="very happy with the delivery process and how fast it arrived"/>
        <s v="a year ago i would have given you five stars but in the last two months or maybe three you have not been able to deliver the kind of pet food my dog eats honest kitchen turkey or chicken and the last time i ordered stellas beef you sent only a very small "/>
        <s v="i am very satisfied fast delivery discounts "/>
        <s v="great prices communication and follow up always a pleasure to do business with"/>
        <s v="thank you so much for getting charles his food so quickly hes had pancreatitis for almost a year which means he is on a very strict diet of prescription foods only i order on monday and you have charles his food by thursday friday at the latest thank you "/>
        <s v="easy to place an order and quick and timely delivery"/>
        <s v="fast and easy helpful customer service and great products"/>
        <s v="fast delivery and quality product damage that required disposal of some product but unclear if result of shipper or not"/>
        <s v="appreciated the quick turnover and delivery of y prescription dog food and the good communication about timing"/>
        <s v="good price  fast shipping"/>
        <s v="i like the decent prices and fast delivery however every package arrives damaged everytime the contents are often damaged too they would get a higher rating if that is remedied"/>
        <s v="for the last three shipments it ran into several issues&#10;for various reasons my shipments were delayed&#10;i no longer can rely on the fact that my dogs food will be delivered in a timely manner&#10;i am looking into over options"/>
        <s v="great selection received everything quickly on time and as ordered"/>
        <s v="two months in a row they messed my orders up so bad i had too buy dog food to get them through until delivery it caused my dogs upset tummies loose poo and itching doesnt make them or me very happy&#10;&#10;i have had issues before but this is the last time i do "/>
        <s v="got the prescription promptly after poor start now all is well good service fixing the early problem"/>
        <s v="i cannot give a review as yet because my product has been back ordered for some time i am a first time purchaser at pet flow and found the website to be easy to navigate i browsed through the site and found so many good products  products i will definitel"/>
        <s v="great service  fast shipping "/>
        <s v="i was pleasantly surprised at how quick i received it"/>
        <s v="i love ordering from petflow for all my pets needs dog food cat food treats and anything else that my pets need i love that they are a small business and they have great customer service and always keep everything i order fresh i have been buying from pet"/>
        <s v="petflow had what i was looking for and at a good price and the shipping was fast"/>
        <s v="it took way too long to receive my order chewy does a much better job"/>
        <s v="we received our order on time and free delivery was convenient"/>
        <s v="i love petflow easy ordering and quick delivery never any issues at all so glad i found this company"/>
        <s v="love pet flow have used them for over a decade highly recommend any customer service calls are quickly resolved but i have only had  the whole time"/>
        <s v="customer for years pet flow is our favorite dog food center"/>
        <s v="the price is fair and delivery was quick"/>
        <s v="the prices are good shipping was quick and i was kept up to date from the order confirmation through the delivery notification"/>
        <s v="we and our cats loved all the toys we selected and they arrived safely and&#10;in a good amount of shipping time will order more in the future"/>
        <s v="ive ordered twice in the last couple of weeks prescription cat food and nexguard and both times they reached out to my vet in a timely manner and i received my orders within a few days&#10;will definitely use them again"/>
        <s v="good prices fast shipping"/>
        <s v="petflow maintains a huge assortment of animal foods and provides prompt shipment"/>
        <s v="was told shipment would arrive in  days was told on fifth day being delivered between  am and  or  pm didnt arrive until  days later and no one worked over weekend to assist me&#10;&#10;good prices bad info order well in advance of day needed"/>
        <s v="i changed my address  weeks before moving in november placed an order for  weeks after the move and my food was still delivered to the wrong address customer service never fixed it placed another order in feb and it was also delivered to the wrong address"/>
        <s v="pet flow did everything correctly fedex lies and claims they deliver packages when they do not"/>
        <s v="i feed a very good high quality dog food i live in a small town and unfortunately the little store where i purchased my dogs food stopped selling all pet products i was going to have to drive  minutes each way to another city to get dog food a friend in t"/>
        <s v="good selection and prices during a difficult time but i was disappointed that two items i ordered turned out to be out of stock but that was not indicated at the time i placed the order i only found out later when the instock items were shipped and as a r"/>
        <s v="petflow is great they consistently have my pups dog food in stock as well as some cool toys "/>
        <s v="everything is wonderful except for the fact that its difficult to cancel reoccurring orders this shouldnt be made into such a hassle that i have to call for that to be done"/>
        <s v="happy i made the switch&#10;&#10;i recently switch from a competitor to petflow for all my daily pet needs i made this switch because their prices were simply better lower than the leading competitor for same or similar products delivery service is as good if not"/>
        <s v="no problem with company but will only ship with fedex and fedex lost my package so never received my order from petflow and what i ordered has been on backorder ever since"/>
        <s v="bought a case of cat food from petflow as chewy was out of stock at the time and product did not ship for over a week at the end of the week i cancelled the order and emailed customer support which confirmed order would be cancelled two weeks later my acc"/>
        <s v="my order arrived on time in great condition and my pup loves her new food"/>
        <s v="super easy shipping and processing experience they contact the vet directly and deliver incredibly quickly"/>
        <s v="treats were shipped really fast and was a better price and service compared to amazon"/>
        <s v="fast delivery especially good for heavy stuff i just wish there was a wider variety of cat treats and toys the dental treat that i wanted to get was sold out its been sold out for a while hope its restocked soon"/>
        <s v="the ease of ordering and how fast my order arrived was awesome"/>
        <s v="i had the best girl with customer service who was able to secure a nice discount for our auto ship order thank you"/>
        <s v="the system has twice now changed my auto delivery date to a year in the future making it impossible for me to correct it online and schedule an immediate delivery because i am only allowed to select a delivery date after the last delivery which according "/>
        <s v="placed my first order with petflow and had a issue locating my order details i contacted petflow customer service and received a a response within  hours that resolved my issue very impressed with their response to my questions and received my order on ti"/>
        <s v="i love petflows selection and mission please try to have your shipping times better reflect how long it will take with the supply chain issues it would be better to say a package will arrive later and be happily surprised if it arrives early vs saying it "/>
        <s v="petflows shipping was quick and efficient i love that my order is helping others in need im glad that my pets food and supplements are available through pet flow the only thing i ask is to add merrick canned dog food with healthy grains"/>
        <s v="i had a problem and their customer service rectified the problem&#10;very pleased with how it was handled"/>
        <s v="fast shipping product arrives in great shape no holes or banged up boxes auto ship is flexible and ways to edit great notifications for shipping and arrival always fresh food with good dates"/>
        <s v="most of the representatives i spoketexted with were wonderful i was disappointed because while waiting for prescription dog food to ship i was given a few different responses depending on who answered petflow customer service line&#10;but now i received what "/>
        <s v="took a little longer than estimated for it to ship but thats probably the manufacturer availability being what it is right now for pet food i am extremely happy to have found another resource for prescription kibble fast handling  shipping when ready"/>
        <s v="pet flow order came even faster than expected"/>
        <s v="i ordered prescription science diet cd canned food it arrived on time this is the first time i ordered from petflow i hope to order from them later intime"/>
        <s v="my cat winnie loves nutro wet cat food and i was able to find the wet food winnie loves petflow sent it right out to us quickly i am happy i found petflow"/>
        <s v="food is shipped quickly every time and communication is excellent wish theyd get rid of the one button in checkout that makes you check just ship once every time"/>
        <s v="i have relied upon petflow for hard to find foods even from online sources their product delivery is fast and reliable their website is efficient and easy to maneuver no problems have cropped up as happens sometimes on amazon i have always been pleased wi"/>
        <s v="pet flow was the only place that had the prescription food i needed&#10;they were very helpful by making my order a critical ship so that i would have the food in time for my pet to be boarded"/>
        <s v="i have been shopping at petflow and am very pleased with their products price  service they are prompt on shipping and keep you informed if there are any issues with your order my dogs love the bones  beef tendons"/>
        <s v="never received what i ordered  days later they told me it was ever in stock i will never order again from this loser company"/>
        <s v="i appreciated being informed that you were out of an item i was refunded promptly i had ordered  to take advantage of free shipping i inquired if i was going to be charged shipping on the one item it took some time to verify that i wouldnt be charged than"/>
        <s v="no complaints &#10;i got what i wanted and it came soon"/>
        <s v="this company stinks i ordered enough to get free shipping then they email me and say they do not have the dog feeder that was the entire reason for the purchase so i ask them to cancel it it was already shipped so i ask can i return it  they said yes and "/>
        <s v="i ordered prescription cat food said it was in stock but it wasnt after waiting for shipping confirmation that never cae after several emails i was informed that you canceled my order "/>
        <s v="petflow needs some serious work on its autoship program i am supposed to get a shipment of dog food every three weeks my autoship records show my last shipped  and my next ship date  considering this is only february your autoship program needs some serio"/>
        <s v="you provided excellent service my order was shipped when i was told and it was complete i will definitely be reordering thank you"/>
        <s v="fast easy ordering and my dog loves the food"/>
        <s v="petflow is a wonderful place to get everything for your furbaby their prices and stock are superb and they ship immediately im so glad i found them"/>
        <s v="weve ordered from this company many times and have only had one issue which was out of their control canned food arrived badly dented but pet flow immediately issued us a replacement other than that their delivery service is fast and good i would recommen"/>
        <s v="i reached out to customer support they responded very quickly and were very helpful and easy to work with"/>
        <s v="i have not received my order and have not heard back from petflow"/>
        <s v="you had the prescription food i needed when no one else did  thank you"/>
        <s v="i texted petflow with an issue i was having with my account they contacted me shortly afterwards asked for my email address associated with my account and fixed the issue within minutes the associate who helped me was polite informative and a pleasure to "/>
        <s v="shipment was much faster than chewy within my own state whose ship center is only maybe an hour away from where i live thank you as i had ran out of food for my dogs and this shipment was well packaged and super fast"/>
        <s v="i adopted a special needs cat and we rely on hills prescription diet digestive care canned food he came to me with a  can supply and it works really well for him to maintain his weight and keep his tummy happy its the only food he can eat without it comin"/>
        <s v="on time when product is available"/>
        <s v="great product but i knew that glad i could get it deliveredseemed almost twice as expensive as my local source"/>
        <s v="great shoplow pricefast delivery"/>
        <s v="no issues order was received quickly except for the bengals shirt wasnt in time for the game but understand it"/>
        <s v="great deals on dog food with quick delivery"/>
        <s v="this was my first order and was pleased with the entire experience&#10;looking forward to ordering when i need food again"/>
        <s v="i ordered the van ness medium crock heavyweight dishes the dishes were delivered in a timely manor and in excellent condition the price was outstanding we are very happy with petflow and will order again"/>
        <s v="was disappointed in how long it took my order to get here"/>
        <s v="petflow was efficient with excellent customer service will continue to order from this fabulous pet source"/>
        <s v="my order never arrived fed ex said it did but there is no  pound box of dog food anywhere"/>
        <s v="by requiring our vet to set up an account with your company you made it impossible to purchase our cats prescription diet so we went with another company that easily connected with our vet and got the job done your customer service was friendly and easy t"/>
        <s v="i have had my dog food delivered by petflow for several years all was good until the last  mo of  my orders were delayed to the point of having to go to a retail store and purchase dog food on  occasions one order was  days late thankfully as of  things a"/>
        <s v="very angry with you because i could not buy the food for my puppy since you asked the veterinary clinic for a code in the mail that you sent and they did not know what the code was i hope that in the future you will cause fewer problems and help more"/>
        <s v="pet flow never disappoints me or my fur babies my orders are sent quickly and always correct rarely do i have to call customer service and only if i need to make a change to my auto orders i am a very loyal customer and dont plan on changing "/>
        <s v="easy ordering quick delivery makes it so easy thank you"/>
        <s v="i ordered a product&#10;&#10;there was some type of glitch in my credit card process&#10;waited and waited for the delivery&#10;&#10;finally called and then was told of the issue&#10;&#10;no email&#10;no notifications&#10;&#10;just left in the dark&#10;&#10;i ran out of dog food for my dog while at my "/>
        <s v="this was my first order with petflow they had product in stock that i couldnt find elsewhere and they shipped fast very pleased"/>
        <s v="with the problems today about getting pet food it is reassuring to me that when i order food for my cat or dog it is never out of stock well done and thank you"/>
        <s v="the site shows in stock when in fact it is not&#10;when you call customer service they tell you it was just purchased  its now unavailable&#10;yet a few days  now weeks later it still shows it is in stock&#10;this place cannot be trusted"/>
        <s v="ill have an opinion when i confirm the new bag my dogs food came in and more often than not the bags are slicedripped open slipping in the box theyre delivered in resulting in having to get a new bag which costs your company more money your staff needs to"/>
        <s v="use a different shipping company took  days to get to me "/>
        <s v="my cat had emergency surgery for bladder stones i had to immediately switch his food and everything was prescription level i couldnt find it anywhere locally this happened over the weekend the price from pet flow was among the lowest i could find if not t"/>
        <s v="the shipment was packed the best that i have seen no bent cans package was far better than other vendors that i have bought from"/>
        <s v="i have been using auto ship with this company for quite sometime and have liked the product for my dogs recently tho the food we choose has been out of stock and this disappointing hopefully this will be in stock again soon"/>
        <s v="my papillons love fromm duck  veg i mixed it with their old dry food  they would sit  pick out the fromm duck"/>
        <s v="the order was filled as promised i ordered aquarium supplies gravel and lighting and arrived as ordered shipping was a little slow but there were delays due to weather from fedex the new jersey warehouse was out of one of the items i ordered but quickly f"/>
        <s v="petflow provides everything i need for my senior dog nora prices are competitive items are in stock quick delivery and outstanding customer service we are happy and loyal customers"/>
        <s v="i ordered cat food&#10;the order didnt go through  petflow said that the vet didnt think they were a reputable vendor&#10;never heard that before"/>
        <s v="have been using petflow for years&#10;&#10;love the price and free delivery phone staff are always friendly products are what i want for my furrbabbies usually get them a toy great selection"/>
        <s v="website listed my cats prescription cat food as available so i ordered it several days later i receive notice that it is out of stock so now my cat has to go a few days without her prescription cat food this was my first time using your company and it wil"/>
        <s v="very nice company to work with "/>
        <s v="i was very pleased with the order that i received and how promptly it was delivered and i certainly recommend this company for your pets food ordering online was very simple and id say i received my shipment within maybe less than a week after i placed th"/>
        <s v="available inventory and good pricing made this the go to choice to feed my pets"/>
        <s v="i like shopping at petflow have been doing it for over  years and like ordering nutrisource dog food since they are probably the only ones that carry it online lately ive been taking advantage of their  discount on nutrisource but on the negative side my "/>
        <s v="you had my hard to find food&#10;i like your tracking method&#10;arrived timely"/>
        <s v="lady who took my order was very professional knowledgeable helpful and caring she placed my order fast and without any trouble great experience"/>
        <s v="the one thing about petflow is they just get it done you order your product you get instant verification and confirmation to your email and then when shipped you get the tracking number along with any updates from the carrier that might come up this is th"/>
        <s v="i shopped online for royal canin digest sensitive cat food and your website showed you had it in stock i placed  orders each for  cans within  minutes of your website updating that it had stock your email confirmation stated that the first order would shi"/>
        <s v="great company product arrived quickly and not damaged i am a very happy customer"/>
        <s v="very fast and accurate delivery&#10;thank you"/>
        <s v="good price quick delivery good product"/>
        <s v="they have the food i want for my dogs and it arrives quickly"/>
        <s v="i just want to share a wow from petflow i received the collar i purchased but the release button was so difficult to open that i called to ask if easier to just buy a new one or replace it first the guy was sooo nice he said no thats fine we will ship you"/>
        <s v="everything is always prefect packaging and shipping is great"/>
        <s v="love petflow they have the fromm brand i want which is hard to find for delivery&#10;&#10;i sometimes wish packages would come quicker but last delivery was faster than previous&#10;&#10;good prices easy checkout process like that they save previous orders i dont do auto"/>
        <s v="my first time using g pet flow very pleasant experience"/>
        <s v="have a good product selectionprompt delivery and give discounts for long time customers thanks"/>
        <s v="transaction was perfect ordering was easy shipping and handling was completed in a timely manor order was received as ordered henry was thrilled with a new ball pleasant surprise"/>
        <s v="excellent service arrived quickly and very healthy dog food"/>
        <s v="excellent shipping excellent packaging competitive prices easy ordering"/>
        <s v="they have a great selection of foods i love that they help pets in need and they offer rewards for referrals"/>
        <s v="excellent source for my sweet frenchies needs wonderful customer service they very quickly replaced  cases of canned fromms that were damaged in shipping and i enjoy looking thru the site to find special treats and maybe another toy "/>
        <s v="petflow had the brand of dog food i needed and it arrived in  days your online ordering was quick and efficient keep up the great service"/>
        <s v="wonderful company the shipping time was super fast and the customer service team was very helpful i had an issue with my order and when i called customer service they were quick to help solve the issue i have never used petflow before but i will stick wit"/>
        <s v="excellent transaction"/>
        <s v="your company sucks im never buying any thing from you again "/>
        <s v="cat food in stock quick shipping everything in good shape"/>
        <s v="i am very happy with my order from petflow i found cat food on their site that i was unable to find any where else it was shipped quickly great place to shop for pets"/>
        <s v="super fast shipping and easy to deal with processed my dogs prescription food fast with a straightforward process switched from chewy who were awful to deal with"/>
        <s v="i have had a very hard time finding taste of the wild wet dog food anywhere for my dog and pet flow had it i ordered it and they sent it right out their site was easy to use and the ordering process was easy as well i will be using pet flow again"/>
        <s v="petflow has been charging me for dog food they couldnt source they charged my credit card for two bags of dog food but only delivered one i had to call monthly to get the refund after showing them the shipping weight did not equate to the  bags but one i "/>
        <s v="pet flow is doing an excellent job of coping with the shipping issues generated by the pandemic i appreciate that you keep me informed about my orders and shipments as you deal with events that compact my order it enables me to plan for our pet needs than"/>
        <s v="all are ok thank you"/>
        <s v="i am so thrilled with the fast delivery and awesome service thank you for the great job"/>
        <s v="as a new customer to petflow it is worth nothing that their website prices and delivery was outstanding and exceeded my expectation thank you"/>
        <s v="excellent service the price was right and the delivery was super fast"/>
        <s v="hello&#10;what a difficult experience ordered rx food for a very sick kitten on january  th then reached to customer service on the th to enquire about the timelines for a local store was out of stock and was running out of food for the kitten then was reassu"/>
        <s v="freeze dried dog food if handled wrong will arrive as powder order arrived next day in excellent condition thank you"/>
        <s v="ive used petflow for a number of years now and have not been disappointed once  even during the crazy shipping times of covid their site is easy to shop and they provide me with lots of flexibility when i need to adjust my standing dog food shipment if yo"/>
        <s v="easily found the dog food i wanted many other sites and all local stores were out of the royal canin yorkshire terrier loaf in sauce that both my daughter and i feed our yorkies not only did you have it but the delivery was exceptionally quick even ahead "/>
        <s v="finally found a store that has my preferred dog food in stock thanks for your prompt service"/>
        <s v=" wish you had a place where buyers could communicate with shippers upon purchase on where to place packages shipper left package out on stairs in full view of potential thieves packages need to be placed inside of my  ft gate at front door&#10;&#10; several cans "/>
        <s v="petflow online shopping is a great way to shop we live in a rural area not a lot of places to shop at petflow i can get fromme pet food for my pets to eat healthy i also can get healthy treats for my pets if not for pet flow online i would be driving  mil"/>
        <s v="these tail wagers  beef rib bones  are so loved by my dogs but i am only allowed to buy  at a time which i dont like but they are way cheaper than publix which is where i was buying them i will continue to purchase because the dogs love them but i may hav"/>
        <s v="price was good shipping was good but one bag of rabbit food out of about  identical bags in the order was not rabbit food but hampster food to their credit i did not pursue this or notify them of the problem just wasnt worth my time i need things to be co"/>
        <s v="repeat customer  love them"/>
        <s v="it is so nice to have a reliable way to get what i need for my cat"/>
        <s v="first order and didnt have any difficulties or problems"/>
        <s v="i ordered treats for my fur babies i got a great price on them this was the first time i had ordered got the treats in a few days best service thank you"/>
        <s v="product was on time buy packaging was smashed you need to strengthen you packaging"/>
        <s v="enjoyed the prompt service will use them in the future"/>
        <s v="im happy they had the product i need and that theyre willing to do the autoship the only thing is that i requested for it to be delivered by the th and now its going to be five days late so i had to go somewhere else and pay full price in the interim beca"/>
        <s v="delivery is always super fast and much appreciated"/>
        <s v="prompt service and competively priced"/>
        <s v="paid for order to only be refunded days later as it was not in stock though it is not the fault that dog food companies cannot get the ingredients to make the food it is petflows fault that the food appears on the website as being in stock when it is not "/>
        <s v="ordered  products two were out of stock i contacted petfllow multiple times to cancel the two out of stock products one cancelled correctly but the other already shipped so i received a  off inconvenience discount on it then after all that two of the same"/>
        <s v="i ordered prescription dog food and it was listed in stock placed the order and sent in the prescription to the email listed two days later got an email saying they were having difficulty getting the prescription i sent it again and they confirmed receivi"/>
        <s v="local vets out of prescribed cat food  could not find any anywhere on line either even with a popular and well known pet supplier accidentally found pet flow and they had the food out cat needs they got the prescription right away and processed i sent it "/>
        <s v="items shipped wrong twice customer service promised to let me know if the items were discontinued or if they were going to replace them yet again and never emailed or called back terrible customer support still havent been credited back for my items"/>
        <s v="quick service n delivery"/>
        <s v="items arrived promptly im very pleased they offer bones made in the usa which my dogs love"/>
        <s v="i would have preferred to get my items a bit sooner as i have from other pet vendors i also wish i could get the grain version of honest kitchens base mix i had to go elsewhere to do so"/>
        <s v="we started using pet flow a year ago to order pet treatsour regular place was out of stock so i searched around  found pet flowthey are better priced and price doesnt go up and down constantlysuper easy to order but if you need to callcustomer service is "/>
        <s v="i have  macaw parrots so the ae toys i ordered are the same quality i have ordered for  years now from other companies price was reasonable and shipping time very reasonable plus i paid no shipping costs will definitely order again in a couple months"/>
        <s v="very easy to use and very fast shipping thank you i will use you again for my future orders"/>
        <s v="from start to finish my order was handled with professional ease i will continue to purchase from petflow"/>
        <s v="i ordered puppy food through petflow because it was the only place beside amazon that i could get it i was getting a new puppy on tuesday and i chose petflow because it said oneday shipping i didnt choose amazon because theres was twoday and i needed it f"/>
        <s v="i recently ordered  pounds of kibble it was delivered quickly and the next day i found out my puppy had some dietary restrictions i contacted petflow and they were very helpful i was able to return the unopened bag and receive a full refund i am so impres"/>
        <s v="i have ordered from petflow almost  years the service and prices are wonderful your staff is so responsive and knowledgeable best quality of products would never use anyone else im a true fan"/>
        <s v="the right products delivered on a timely basis and in good shape"/>
        <s v="the reason why i did not give  stars because its not vacuum sealed i guess for easy stocking of the product but it wont be fresh anymore who ever is i charged of the stocking the product put a pin hole in each bag tell me if im wrong"/>
        <s v="very happy that what i need for my dog is in stock and it ships in a timely manner&#10;thank you&#10;jean havens"/>
        <s v="i signed up for the automatic order to find this dog food my dog would eat that according to reviews was healthy friday january    am est pet flow wrote order received order    my order did not get a tracking order at first so i confirmed via email the em"/>
        <s v="i placed my order  days ago i still have not been advised when it will be shipped"/>
        <s v="my order was canceled and no one bothered to tell me first time trying to order  not happy with this"/>
        <s v="i found petflow after searching high and low for the royal canin pv wet cat food when the company i usually buy from was out of stock due to the nature of the situation with our cat it was very important we located this food and thanks to petflow and thei"/>
        <s v="sent me the wrong product twice in a row customer service was great in apologizing and refunding my payment after two wrong shipments but i shouldnt have to go through calling them twice for a simple order i think they need to educate their warehouse peop"/>
        <s v="they carry the fromm food our jack russell terriers love great website easy to find what we want reorder function makes shopping easy orders ship quickly been using this site for several years and we are very happy using"/>
        <s v="absolute scam of a company twice now they have sent an autoship that i had paused and charged me then when you call they want you do go and ship it back to them for their mistake instead of sending someone to pick it up&#10;&#10;also you cant cancel autoships on "/>
        <s v="i was running really low on my dog petes dry food&#10;i could not find royal canin adult bulldog food anywhere over the last month even my automatic delivery sevice was out of stock&#10;i looked online and petflow had it in stock yippee&#10;i ordered it with a discou"/>
        <s v="ordered from pet flow for the first time my dogs food arrived quickly and i got a great price on the food wil be ordering again"/>
        <s v="i still havent received my product it was estimated  days for delivery and we are almost  weeks out no updates whatsoever"/>
        <s v="this was my first order with petflow one item arrived in days but the other item is still pending with zero communication if its out of stock as it is in so many places just communicate that"/>
        <s v="i went online to order my dogs prescription food  it showed that it was in stock when i ordered it said that i would receive in about  days when this date past i emailed the response made no mention that it was out of stock  days later i called  was infor"/>
        <s v="order as expected and on time prices great value"/>
        <s v="petflow was literally the only source for my dogs hills hypotreats which are on back order customer service was really helpful and product was delivered on a timely basis with adequate followup"/>
        <s v="always get my order fast and accurate"/>
        <s v="my experience overall has been very positive during the past two years my order is processed and shipped within a reasonable timeframe it has been very convenient to have heavy bags of dog food delivered to my door petflow also helps me to keep from havin"/>
        <s v="fast shipping great pricesamazing customer service"/>
        <s v="website showed the prescription food i needed as available for quite some time since i placed my order i received my shipment of toys and no food was delivered i called on the status of the prescription dog food and was told i would get a response back an"/>
        <s v="i had a problem with a shipment not being delivered petflow solved the problem quickly and kept me informed"/>
        <s v="i am so impressed with every stage in purchasing the cat food i needed i set up auto purchase that gave me a discount but when i went to check out they did not have enough to send so i thought i would lose it no same deal they notified me every step of th"/>
        <s v="always pleased with petflow been with them for years"/>
        <s v="very fast shipping which is really important all the products i need are on this website"/>
        <s v="good food good  and delivered to the front door&#10;great service too"/>
        <s v="this was the first time i ordered from pet flow they were really great i got my order within a few days will definitely order from them again"/>
        <s v="your service has been very good i will continue to use your products"/>
        <s v="have been ordering from petflow for more than  years and have never been disappointed with their service and prices they keep you informed on the progress of your order and items arrive in a timely manor auto ship is the best service they offer"/>
        <s v="always very helpfulprofessionalunderstanding if you have a question or concern or if you need guidance on something willing to match pricing and more than likely do better than competition only down side is they use fed ex who leaves the package somewhere"/>
        <s v="i love this company i have always got what i need from them you should give them a try"/>
        <s v="i like that some of my auto ship order wasnt ready for shipment and you shipped each individual packages automatically without charging me a shipping fee even though the contents of either package didnt meet the cost requirement for free shipping im so ap"/>
        <s v="i have been ordering from petflow for years now even have auto ship it works out great and have recommended it to friends"/>
        <s v="fast convenient delivery never a problem so much easier than shopping at the pet or grocery store love petflow"/>
        <s v="always reliable with super fast shipping and a lot of choices&#10;highly recommend"/>
        <s v="my experience with petflow has been all positive they care about there customers"/>
        <s v="this was my first order it arrived promptly petflow was the only vendor that had the item in stock i would and will order from this vendor again very satisfied with them"/>
        <s v="food came in a timely manner"/>
        <s v="ordered dog food and the food was received in a timely manner never had a problem with petflow"/>
        <s v="ordered a veterinarian prescription diet for my dog the food was delivered promptly in  to  days this was at a time when the food was back ordered and couldnt get it at many other places will now be using petflow as my main supplier been very happy with t"/>
        <s v="perfect  every order"/>
        <s v="although there are supply issues the customer service team is excellent and so helpful i also receive email letting me know they are still on top of my backorder when it comes in"/>
        <s v="i love pet flow the shipping is fast and their prices cant be beat super cute products and a great variety of dog treats"/>
        <s v="petflow not only had what i needed but also at a price that was lower than where i purchase locally my order came in a timely manner and i received free shipping which i was very happy about"/>
        <s v="petflow has always been there wfull answers great delivery no bs about anything"/>
        <s v="petflow makes it easy for me to get a specialty dog food that i am unable to get locally as i live in a rural area so far no damages to any of my shipments and delivery has been fast i also like how they have a variety of toys at reasonable prices"/>
        <s v="ive only used your company once so i cant give an honest opinion of pet flow&#10;what i can see is that you should look at switching which company you ship with or at least give options of other shipping companies fedex is horrible i used u use them at the cl"/>
        <s v="this is the second ordered i placed with you i had hoped it was going to be a lasting relationship sadly it is not in the first case i placed my order only part of the order was shipped when it arrived i was notified that the other item was out of stock t"/>
        <s v="great website glad i found it as an alternative to my usual my usual store was out of a specific food and i was able to find it here for a good price"/>
        <s v="website and order process were both easy shipping was efficient"/>
        <s v="better prices than chewy fast shipping thank you"/>
        <s v="first time buyer impressed by variety and choices of products wonderful service"/>
        <s v="hi for over a week told me food item was in stock and would be shipped shortly called several times and was told the same story yesterday i was emailed a message that it was out of stock and they would let me know when they had it in inventory that doesnt"/>
        <s v="thank you kittys love theirs items"/>
        <s v="i phoned prior to placing an order to verify that my finicky cats food was in stock and informed that it was three days later it still hadnt shipped when i phoned again to ask when it would ship i was informed that it was out of stock&#10;&#10;i should have been "/>
        <s v="so glad i found petflow recently i moved to another city and state and i was having a hard time finding the food that my standard poodle had been eating i ordered from another company when i was getting low however  weeks after my order i still had not re"/>
        <s v="i order a bag of fromm dog food and the process could not have been any smoother the order came very quickly i would definitely order from petflow again"/>
        <s v="i couldnt find the pet food i have been using in stock at all of my regular vendors so i tried petflow because they had it and i have no complaints shipped and arrived on time and i was sent updates along the way which i really appreciate"/>
        <s v="i ordered purina pro plan veterinary diet ha on  it showed that it was in stock and my prescription was verified but as of  still has not shipped"/>
        <s v="placed order by phone on the th was told the order would ship either that evening or monday never received a shipping notice so i finally called on wednesday to check on status was told by recording to leave a message and a rep would get back to me no cal"/>
        <s v="the company carries great products and is quick to respond with customer service if you wish to cancel your auto ship it is cumbersome but it does get done&#10;the biggest drawback is that they use fedex as their shipper and no other option fedex is absolutel"/>
        <s v="your website and customer reps have no idea if products you have are in stock&#10;i place and order thinking you have food for my pets then i get an email stating food is on back order&#10;i need a more reliable company that has food in stock to buy"/>
        <s v="when i order a prescription diet cat food it should not take  phone calls to get it shipped this is not optional food that can be replaced with something else temporarily it is something my cat needs to live on my first phone call i was told the authoriza"/>
        <s v="this was my first time using pet flow i found the site very east to use and the package came earlier than expected with no problem in packaging they deserve a  star"/>
        <s v="i got my exact order very quickly i was impressed because i buy online often and it usually is not what i ordered poor quality shipped in separate boxes andor late as all get out&#10;not petflow all nice quality good condition quick delivery in same box five "/>
        <s v="web site ordering and autoship process is terrible very clunky and has caused problems with orders twice now most recently resulted in receiving double order of  lbs of dog food and charged  different prices texted customer about this almost a week ago an"/>
        <s v="my last order had  items that were out of stock and therefore didnt make my monthly order i received communication regarding one item being shipped upon it being restocked but the nd item was never acknowledged restocked nor substituted for"/>
        <s v="easy to order prices are comparable and shipping right to my door great ive had one order that was messed up i called customer service and the lady was very helpful professional and quickly fixed my issue petflow is fantastic the only issue im having now "/>
        <s v="in a world where cat food is an item on the hard to find list i googled where can i find and discovered your website i am thankful you were able to supply and continue to supply the food my kitties love thank you"/>
        <s v="good selection easy to shop and a good price the only thing i could ask for is a way to check order status if its there i couldnt find it otherwise a very good first experience and ill be back"/>
        <s v="so happy to find yall and be able to order and receive the product a lot of places are out thank you"/>
        <s v="the worst dont buy from them they screw everything up from the spelling of my name my phone number and not telling me they were out of something i paid for and it was an urgent order"/>
        <s v="the pet service i usually use was out of the cat food i needed you had it your service is as good or better than what i usually use you were fast and you kept me aware of its status you have a new customer im very pleased thank you"/>
        <s v="unfortunately my last  ordered have taken over a week to arrive the last order apparently got stuck in the system and sat for a week in order shipping status promoting a phone call to resolve"/>
        <s v="the plus with petflow is that they carry fromm and they dont price the product more than anyone else maybe the company controls that either way that is the plushowevershipping takes way too long that is where chewey excels we are all in a hurry these days"/>
        <s v="very accommodating whenever i have to change my auto order they have no problem changing the date"/>
        <s v="horrible customer service repetitive delays in the purchases and buy with petflow made my life harder it lost the good convenience that i previously had"/>
        <s v="petflow has most of the items that i need for my fur babies fast delivery and good communication if something in my auto ship program isnt available their customer service is the best"/>
        <s v="received text stating it was being shipped that dayth six days later received another text stating was being shipped that dayth"/>
        <s v="i thought i was ordering small  oz cans of dog food based on my item search and photo results however unknown to me the  oz cans were outofstock so the order defaulted to the larger  oz cans which is what was shipped to me these larger cans spoil before i"/>
        <s v="arrived quickly and in good condition just what we needed especially when these are so hard to find"/>
        <s v=" out of my  items were cracked the packing was horrible  and even though i heard from someone finally today  now your out of stock for my items  you did put the money back on my card i really needed those items"/>
        <s v="love petflow been using them for years"/>
        <s v="part of my order was defective and i wrote to tell them so i received a form letter of acknowledgement back but it took  days for an actual response the item is being replaced but has not yet shipped and i think their customer service is pretty poor"/>
        <s v="as soon as i gave him his first taste he wouldnt leave me alone after he ate lol what a great come back"/>
        <s v="great i initially got only two of the four items i ordered  but the rest of the items i ordered came the next day"/>
        <s v="this was my first order from petflow but it wont be my last the dog food that i needed was available the website was easy to navigate and the order arrived on time im a happy customer"/>
        <s v="this would be five stars customers service was fast friendly and helpful i deducted  stars because my order took so long to arrivethis was i m sure due to unforseen circumstances like our recent weathercovid and such however i was told at the time i place"/>
        <s v="ordering dog food and treats online works out great"/>
        <s v="packaging has improved the lb bags i order are finally coming in the proper sized boxes  my last very large order  bags were packed well and the tape helda first your customer service on the phone was awesome luckily for me because i find the website very"/>
        <s v="good selection of pet food easy to order and shipping fast"/>
        <s v="great service quick shipping ive been ordering fromm dog dog food for over  years from petflow and have always been very satisfied with their service"/>
        <s v="my dog is on a prescription dog food and i couldnt find any i called petflow and talked to the sweetest lady who helped me set up my order for recurring so i dont have to worry about it im sorry i cannot remember that ladys name but a big shout out to her"/>
        <s v="i ordered a lb bag of dog food along with a lb of dog food when the delivery day came i only received the small bag so i called pet flow to find out what happened seemed they ran out of my dogs food at the nearest wearhouse and had to send it to me from l"/>
        <s v="great on time delivery box and contents in good condition"/>
        <s v="petflow tries very hard to do what is right i had a code for  off online it took the discount  then on the receipt it was gone i left a message and someone called me back he didnt question the perc and immediately took the  off congrats for returning the "/>
        <s v=" of my deliveries have had slashes in the bag so i havent been able to use the food ive complained and most times they sent me a new bag but very inconvenient"/>
        <s v="ordered nearly two weeks ago rx dog food status was always shipping had to hound no pun them for status finally just gave up and cancelled the order look elsewhere"/>
        <s v="great service prompt delivery"/>
        <s v="good selection and reasonable shipping times always have trouble ordering"/>
        <s v="i was very happy with service from customer service"/>
        <s v="the one reason i placed an order with this company was for a specific item they listed on their web site i had to order another very small item to qualify for free shipping so i did i was later informed the main item was no longer in stock and never had a"/>
        <s v="was disappointed on my order the item i ordered was out of stock and replacement with something else without informing"/>
        <s v="i give one star only because  wasnt an option i placed my order then get an email stating that the product i ordered was unavailable in fact discontinued then i start getting emails saying my payment through paypal wouldnt authorizeworked fine for everyon"/>
        <s v="the box was falling apart i cant imagine how the delivery driver managed to carry it to the porch fortunately the bags of food are intact and not&#10;damaged"/>
        <s v="excellent order on time i will order something soon thank you"/>
        <s v="i really loved my experience with petflow the items i ordered were well packaged and arrived in a timely manner&#10;i plan on continuing to do business with them"/>
        <s v="fabulous website  excellent customer support  service "/>
        <s v="i placed my order on january and did not receive my package until january i was expecting shipping to be sooner and i almost ran out of food for my  working dogs although i appreciate that petflow carries open farm i will not be ordering the dr tims from "/>
        <s v="excellent company i made a mistake and had to cancel an order and it was  no problem fast great service  highly recommend"/>
        <s v="great company to order products wanted since pet store where i normally gets them have quit handling these wonderful treats great service also"/>
        <s v="first order for new puppy food that wasnt available locally process was easy delivery was on time and packaged well will order again"/>
        <s v="horrible customer service i order food for my dog they charged but didnt send it i called them a week later and they said they didnt have it in stock meanwhile they charged it already they sent it later on without a hurry  days later i havent received it "/>
        <s v="i spent a lot of time with my review so i will submit but beware you have to accept certain terms and conditions to submit a review&#10;&#10;everything went fine for a year and a half our dog needs a prescription diet then for the last shipment they said the orde"/>
        <s v="accurate and timely delivery&#10;&#10;thanks"/>
        <s v="ordered prescription cat food my vet approved the prescription in one day waited a week with no delivery called customer service and was told as soon as the pharmacy warehouse sends it out ill get an email after waiting  days with no email or food i cance"/>
        <s v="it has taken too long to receive my order finally got one of the items but cant even download the shipping information for the other item i ordered prescription food for my dog something i needed in a timely manner"/>
        <s v="always there to answer questions and to help out"/>
        <s v="being told it was delivered and it wasnt i di nt receive the shipment until several days later this is not acceptable"/>
        <s v="only received  of rx cat food order placed in december &#10;no way to check on line&#10;calls to customer service have not resulted in any feedback as to status"/>
        <s v="placed order  being advised shipment would be made within  days never received shipment called every few days  continuously received same story  to be shipped within  days now  days later still have received nothing  including an acknowledgement that cann"/>
        <s v="excellent customer service patiently worked with me to solve problem with order"/>
        <s v="generally timely and professional service my major reason for not buying everything through petflow is your use of fedex ground to deliver packages in this area north georgia fedex is terrible most delivery packages in this area go through their austell g"/>
        <s v="my order was fulfilled in two days without hiccups great prices products and shipping"/>
        <s v="petflow is the only supplier i can get the cat food my cat likes from i can get the food he likes in bulk and it is at a good price he eats a can every day of one kind and he is very picky thanks for being there"/>
        <s v="check your bank balances people if youre on autoship even if youre not check your bank balances the food is great my dog loves the food no problems there i bought   lb bags of this dog food for the first time on november  for  so then a week later on dece"/>
        <s v="no problems with the product but shipping was very slow allow  or more days to get your food from them"/>
        <s v="overall i love petflow but in this particular case where my autoship was delayed due to outofstock conditions i feel i was not notified sufficiently quickly enough to react as a result the hills prescription cat food i had ran out and i needed to switch m"/>
        <s v="they make it easy love how they call your vet for prescription food fast deliveries"/>
        <s v="called petflow to see if i could get meow mix they were very helpful and&#10;i ordered a multi pack box i received it right away everybody was very&#10;police and nice will definitely use again"/>
        <s v="have ordered from petflow many have always had fast efficient service"/>
        <s v="my package was stolen and they reached out and provided me with a new bag at no cost"/>
        <s v="petflow helped me out in a pinch when other companies were out of my cats prescription food petflow came through for me i really appreciate that as she is older and needs her special food"/>
        <s v="reasonable prices quick fulfilment and delivery its always like this thanks"/>
        <s v="my order arrived incomplete and it was downhill from there on i dont have time to detail my problems trying to get things straightened out i had been satisfied with my experiences with pet flow in the past but this was a total mess"/>
        <s v="they could not deliver i called and called and received excuse after excuseended up cancelling my order and order through amazon"/>
        <s v="my auto ship from petflow is so easy to use its easy to add or remove products depending on what my animals need that month and if i end up needing something extra i can order and receive it quickly on the rare occasions that something is backordered i ge"/>
        <s v="have ordered my furkids prescription food several times your customer service has always been great"/>
        <s v="pet flow still carries the brands i feed my dogs and at fair prices some outlets dont have the variety and choices i find on pet flow"/>
        <s v="dog gates are sturdy shipped quickly great service"/>
        <s v="the app is difficult i tried to cancel the order and it didnt work i am going to stop the pet flow auto matic orders they are difficult i had a double order the time before too much trouble to change m upotn"/>
        <s v="pet flow shipments are always ontime and there is sometimes a discount"/>
        <s v="great selection ordering was easy and my order arrived quickly and in good order my experience was very positive"/>
        <s v="products have been great with all the limited choices due to allergies i have been great full to find what i need"/>
        <s v="i ordered dog treats from the company my order was delivered within  to  days through the christmas holiday two bags came cracked i called and they redelivered two more bags and didnt charge the customer service was really good it took no time to get the "/>
        <s v="product delivered on time as promised quality is excellent"/>
        <s v="not good service a lot of back and forth and useless waiting"/>
        <s v="i would usually leave  stars but my pups dog food on several occasions has arrived late  so in result  ive had to go to stores to buy the same kibble"/>
        <s v="shipping dates are really slow which can be annoying for thing you cannot get locally they always run  days later than expected it seems when you have  hungry parrots that can be an issue they also have a limited selection of foods for dogs and birds but "/>
        <s v="i placed my order thursday the th asked by chat if saturday is a business dayit isnt because the warehouses that have the supplies dont work weekends fine was told it would ship friday and maybe fedex would deliver saturday but i would have it monday its "/>
        <s v="first time customer&#10;easy online ordering&#10;great price&#10;delivery prompt&#10;ill be sharing this company info without a doubt"/>
        <s v="my two kittens were recently prescribed a hydrolyzed protein diet because of the pandemic the food was next to impossible to find petflow had the products that i needed and quickly processed and delivered my order im so grateful to have found this site th"/>
        <s v="still havent received my order this is an awful experience will be my last"/>
        <s v="reliable and excellent"/>
        <s v="order place has stalled on colorado from vegas on its way to indiana tracking is not being updated and the response time to email is a day or more behind"/>
        <s v="customer service is top notch i love that i can message about my order in an email or text and get a reply quickly great discount for new customers and a constant supply of my pets food thank you pet flow"/>
        <s v="i really like your products the frequency of communication about a shipment and my pets are happy too "/>
        <s v="pricing good i was kept informed of delayed shipment due to weather will buy again"/>
        <s v="i was luckily to find what i needed at a great orice shipping was fast and because i met the minimum i got free shipping will shop again"/>
        <s v="been with petflow going on  years now they always help me if i need specialty food or just basic pet food so many choices and the treats too thank you for meeting my expectations in each box i receive fan for life&#10;&#10;denice"/>
        <s v="delivery was quick and im very happy with the red gravel red gravel is hard to find"/>
        <s v=" discount on quality dog food&#10;is perfect"/>
        <s v="petflow falsely advertised a food as in stock then withheld the funds they took from my account i was diligent thankfully but despite my best efforts it still took  calls to customer service to get my money back each cs rep provided conflicting info with "/>
        <s v="very fast service great deals on the food i purchase"/>
        <s v="placed an order for a prescription dog food on  which your web site said was in stock which was a surprise because all other pet stores were out of stock received a confirmation with an order number pending charge on our credit card pending charge dropped"/>
        <s v="would really like invoice included with shipment would alleviate one step in filing claims"/>
        <s v="great customer service an order was placed and an item was missing i sent an email to report it and they sent the item out immediately no questions asked will continue to be a customer"/>
        <s v="easy to order great price and fast shipping"/>
        <s v="petflow came through when other trusted online pet food providers dropped the ball even with the order itself and managing fedex  they kept engaged until the entire was completely fulfilled and delivered service is tough to put a price tag on thx petflow"/>
        <s v="horrible communication useless customer service promised emails never received in stock item still not received after  days new tracking number refers to item already delivered not item still waiting for this was my first and last order"/>
        <s v="they have the dog food i use but not the cat food they are slower to deliver than other sites"/>
        <s v="good fast service"/>
        <s v="pet flow staff have been knowledgeable polite and able to meet my needs every time i have called the products carried are high quality and competitively priced"/>
        <s v="great to do business with very fast delivery will use again"/>
        <s v="each order comes as anticipated and very timely"/>
        <s v="first time ordering from petflow the online ordering process was quick and easy and we received the order very promptly highly recommend pet flow"/>
        <s v="petflow has a great selection and affordable prices on a variety of dog and cat foods they ship quickly and always send notifications on the status of your order"/>
        <s v="ordered three bags of dog food one was delivered promptly the other almost two weeks to arrive and when it did one of the bags had opened and spilled kibble all over the box"/>
        <s v="ive ordered from petflow for over  years&#10;ordered always delivered on time prices are righteous highly recommend"/>
        <s v="never did get my order and it took  days for you to let me know it was out of stock"/>
        <s v="my dog hannah absolutely loves this new pet food she smells it from the other end of my house and comes running waiting impatiently only to devour it in no time plus the delivery was prompt thank you so much"/>
        <s v="very fast delivery great discount &#10;thanks"/>
        <s v="my order arrived on time and complete one product i wanted to order was out of stock but theres an option to get an email notification when its available which is extremely helpful"/>
        <s v="im very happy with petflow they were great with me and my vet to get the vet to prescribe canine tds my vet was not so nice"/>
        <s v="been a customer for several years now reliable shipping and excellent email notice to help me adjust my autoship if needed excellent customer service by phone when needed"/>
        <s v="out of the last ten orders three were messed up and did not deliver on time one of which required our cat sitter to go to a specialty pet shop to get food while we were on vacation"/>
        <s v="my recent order was delayed due to weather and the shipping company when i spoke with the petflow customer service they were helpful tracking the package and keeping me posted on when it would be received i appreciate this help"/>
        <s v="i didnt get my delivery but when i talked to the customer service man we discovered i hadnt changed my address at petflow since i moved in may it got sent to the old house but he went ahead and sent a replacement to my new address he was very kind even wh"/>
        <s v="i have received numerous orders from this company and they are always accurate and timely thats why i will continue to order from them"/>
        <s v="quick response to my order with delivery time kept me updated"/>
        <s v="my order came in good time i have been unable to locate hill science diet food through my usual sources however petflow came through with flying colors not only was i able to obtain some of the wet food i normally feed my cats but i was able to obtain com"/>
        <s v="very good company with a wide selection of products timely delivery and easy to order i like this site very much"/>
        <s v="great selection of product i have always found my selections in stock deliver is unbelievably fast"/>
        <s v="coupons never are useable for purchase of fromm dog food&#10;&#10;delivery is by fedex in a word fedex is lousy i realize this is another company but they are making petflow look bad and they chose them"/>
        <s v="my buddy loves the treats from petflow on my last order one item he dearly loves was left off because it was out of stock to my surprise when petflows new shipment arrived they sent the item sopleased never has that happen with any company that is strictl"/>
        <s v="competitive prices great delivery honest and trustworthy"/>
        <s v="overflow consistently delivers high quality cat food to my house what could be better"/>
        <s v="my cat passed away unexpectedly a couple days after ordering her prescription food online i contacted customer service via text  very convenient option they were not able to return the food because it had already shipped but when i shared my situation the"/>
        <s v="i love the convenience but petflows online ordering setup is sooooo difficult to use result ive had multiple unwanted shipments no matter what i do&#10;&#10;for months ive tried to get rid of an extra autoship program i cancelled chat reps cancelled finally a pho"/>
        <s v="love the extensive variety of pet foods especially the better brands prices are comparable to or better than others delivery is quick only one constructive feedback is the shopping cart view i would prefer it could be full screen"/>
        <s v="i still havent received my order&#10;&#10;i ordered some dog food and a  chinchilla chew to get free shipping&#10;&#10;the chinchilla toy came quickly and it was in a huge box that could have fit the bag of dog food that i ordered as well&#10;&#10;the dog food still has not come"/>
        <s v="ive been buying quality pet food from petflow for about three years they carry quality brands they have excellent customer service and their website is easy to navigate i like the autoship option which is also easy to edit so i have only great things to s"/>
        <s v="on time and best price good by amazon"/>
        <s v="i had trouble finding my cats prescription food customer service was marvelous and ultimately i was able to secure a bag for her"/>
        <s v="place the order  days ago and still no shipment yet call them a few days ago and was informed that it was ready to ship but still no info whatsoever"/>
        <s v="very timely service thanks"/>
        <s v="great  quick delivery thanks"/>
        <s v="one of the few places i could find what i needed at a great price was the cherry on top it shipped quickly and got here fast i now have some happy cory catfish"/>
        <s v="always get my order quickly and good prices too"/>
        <s v="i was pleasantly surprised that petflow had the special canned cat food that i was looking for and couldnt find locally additionally the shipment was very well packed and arrived quickly this was my first time to order from petflow and i was impressed wil"/>
        <s v="everything came to my home in time before i ran out of dog food the one toy was slow but it all still made it to my home so the dog could enjoy it"/>
        <s v="love this company always have what i order&#10;shipment comes really fast&#10;never had a problem with petflow"/>
        <s v="great products&#10;great prices&#10;fast shipping&#10;employees on phone are so courteoushelpful and knowledgeable&#10;exceptional place to shop"/>
        <s v="easy website layout and good selection of pet food i love the fromm dry cat food selection and my cat loves his treats too my cat approves petflow"/>
        <s v="excellent quick delivery with best pricing  will definitely be a returning customer"/>
        <s v="my initial shipment was damaged but the csr was extremely helpful and sent me a replacement promptly"/>
        <s v="its been over two weeks and i have yet to receive a shipping confirmation will likely dispute order"/>
        <s v="received exactly what i ordered and in excellent condition thank you"/>
        <s v="i love using petflow they have wonderful options for my dog and good communication on orders highly recommend"/>
        <s v="very nice better than expected we purchased it for ferrell cats to stay warm we set it up in our house and our cat thinks its his new house he loves it"/>
        <s v="petflows customer service is exceptional the website is easy to navigate and check out super fast shipping"/>
        <s v="pet flow continues to carry the special dog food that i require for my pet at a good price and they ship it super fast very satisfied with their service"/>
        <s v="petflow offers a wide variety of limited ingredient snacks for my dogs and the prices are very reasonable"/>
        <s v="i was sucked in by the promise of a discount in exchange for my email address then i couldnt use the discount because it had a previously undisclosed minimum order requirement which was extremely high i felt tricked i would normally order  bag of dog food"/>
        <s v="service extremely quick and they seem to have a supply over and above what other entities have on hand first time with petflow but will certainly look to them as an option in the future"/>
        <s v="ive used petflow for years and have always received top notch service i love the enormous variety of products available for my  dogs and ive easily found the best products for each  is  and the other is  they also include the sources for the products whic"/>
        <s v="pet flow is wonderful but the delivery leaves much to be desired fed ex refuses to bring my packages to my front door instead they are left in the street"/>
        <s v="petflow has been fine not stellar with occasional hiccoughs on prescription food authorization lately theyve been completely unreliable as a retailer causing us to cancel our subscriptions and move to chewy"/>
        <s v="wide variety of products and fast service on orders even if they are specialty items"/>
        <s v="the product was good and well packaged but it was a week late and required me to go all over the local area multiple times to supplement the food until me order got here id be perfectly happy and would definitely order things again if pet flow would stop "/>
        <s v="my dog food took  week and  to arrive to me"/>
        <s v="petflow is great you call and always get a live person right away ive been with them for years cant beat their customer service"/>
        <s v="i thought i had cancelled one order to order a different food it turned out i got both orders i was told it would be fine to keep them both and use them and just set a later date for my auto shipping"/>
        <s v="petflow delivers quickly they have an autoship program you can change your auto ship as many times as you want and they have the best prices for the quality of products"/>
        <s v="my order of dog food was shipped on a monday said friday delivery and did not come till the next monday with that delay i had to go get dog food i didnt want to in order to get by until my order came chewy takes  days i guess ill go back there"/>
        <s v="i purchased some hard to find puppy food because no stores in my area carry it i found it in stock with petflow i ordered it and they use fedex as their shipping carrier i have had numerous problems with getting my packages late via fedex i emailed petflo"/>
        <s v="great selection and easy to check out shipment came in a timely manner"/>
        <s v="petflow is efficient and speedy i never worry that my product will arrive on time"/>
        <s v="petflow is fast and accurate they beat amazon on delivery time the prices are on target and no complaints about the product from stanley or bruski very glad we found them thank you"/>
        <s v="love the quick shipping love the cost of foods ie royal canin love that items are in stock and love the customer service&#10;what else is there"/>
        <s v="i made an order from petflow awhile back never received the order when i checked the order it had been canceled due to an error by the veterinarian unfortunately no one told me it was cancelled i called the veterinarian and their internal communications g"/>
        <s v="i received my complete order it was a few days later than usual but that was to be expected at christmas time the problem was that a bottle of white dog shampoo had opened up inside the box and covered a  pound bag of dog food and a raincoat with a whole "/>
        <s v="my one complaint is that you cannot cancel an order on your online account had to call numerous times to get a customer service agent to fix a mistake on ordering very frustrating hope they make changes with online ordering"/>
        <s v="so much care was placed into packing my order it was wonderful there was a lot of cushion in the box so the cans didnt arrive all bent i will definitely place another order soon"/>
        <s v="they shipped my wet catfood over a week after i placed the order scheduling it to be delivered the nd of december and could do nothing to delay or cancel the order even before ups had it so my food is going to freeze over and over again while we are gone "/>
        <s v="prompt shipping i ordered dr marty for my fussy dog and he likes it so i will order again"/>
        <s v="petflow is a class act&#10;always have my product in stock and fast free shipping&#10;a"/>
        <s v="i have been buying my dog food from petflow for years now it has always arrived quickly and fresh and my dog is happy"/>
        <s v="very reliable auto ship and quick with off cycle purchases"/>
        <s v="excellent service with competitive pricing"/>
        <s v="dented dog food cans at times sent concern about this five days ago and have yet to receive a response"/>
        <s v="there was a mistake in the order and they didnt hesitate to make it right great customer service great product"/>
        <s v="great products offered with fast delivery thank you"/>
        <s v="the price was right and the quality was great that along with fast shipping gives petflow  stars"/>
        <s v="great site i discovered it by accident after chewy was out of my cats food i gave it a try and was pleasantly surprised how wonderful petflow was the delivery was very fast the product fresh and well packaged they saved the day now i ordered again and thi"/>
        <s v="i discovered petflow when another major retailer had no inventory of my cats preferred flavor of prescription food i enjoyed the experience and fresh inventory so much that ive been buying from petflow ever since"/>
        <s v="i searched at least six different retailers to find this special canned pt food specially formulated for my small breed senior picky eater with only  remaining teeth to no avail i was desperate as my little yr old girl turns away from nearly all other sim"/>
        <s v="never had a problem have recommended"/>
        <s v="order was easy to place and delivery was prompt thank you"/>
        <s v="thank you for the ease of ordering  the speed of getting my order delivered also i am very impressed with your website"/>
        <s v="i have been ordering my dogs food from petflow for a few years they always have a quick turn around from order being placed to delivery my dogs eat fromms large breed dog food which can only be purchased in specialty stores petflow has been wonderful to o"/>
        <s v="i have had a great experience with petflow only once i had a packagedelivery that was stuck somewhere unknown customer service immediately sent it to me again without question i was grateful and impressed&#10;also when you place an order with petflow you need"/>
        <s v="always quality items from pet flow and they are recieved in a timely manner"/>
        <s v="i like this company they have a great selection of dog foods that are difficult to find other places their prices are comparable to other sites although they may be a few dollars higher i like that they say they do note food to animal shelters"/>
        <s v="false info on delivery date  no follow up  product seems to be stuck in transit in a black hole in neighboring state product is over a week delayed from promised date with no follow up status update  will never deal with pet flow again  not a well run bus"/>
        <s v="great communication speedy service and delivery even when supplies are low thank you"/>
        <s v="very pleasant experience good customer service&#10;fast delivery prices are ok"/>
        <s v="placed order and received item earlier than anticipated will definitely us this vendor again considering we have four bernese mountain dogs they do eat"/>
        <s v="im still waiting for my dog food delivery or even an update no news since it reached my local distribution center  days ago "/>
        <s v="things came well packaged and timely no complaints"/>
        <s v="took  days in transit the packaging was taped and retaped the treats were on each side of the package front and back no doubt they will be dust when i open them this company needs to step up there game in the shipping department"/>
        <s v="prices were good product availability was good shipping was good and free im happy with them"/>
        <s v="petflow is responsive to clients with good prices and discounts fast shipping"/>
        <s v="except for a blip on the refund all is well will continue to get my fog food here"/>
        <s v="what i wanted quickly received with terrific phone support"/>
        <s v="huge variety of pet supplies and fast shipping"/>
        <s v="i couldnt find my cats favorite food in any of major stores or any of the major online store but petflow had it and was able to get fast and easy"/>
        <s v="great service shipped my order out quickly they had a cat food i have been searching for but was out of stock everywhere luckily they had it in abundance thank you so much "/>
        <s v="very prompt and courteous and take care to answer emails"/>
        <s v="had product and delivered in a timely manner"/>
        <s v="quick and easy"/>
        <s v="i changed my delivery date and the shipment still came"/>
        <s v="received the wrong items messaged  hrs ago and no response"/>
        <s v="fast delivery and great product as usual package came undamaged"/>
        <s v="best offer i could find for the price delivered promptly and just when needed i will be using petflow in the future"/>
        <s v="super service for shipping my fromm gold dog food highly recommend"/>
        <s v="the store itself has great prices and selection however the shipping of those products has been a nightmare placed an order on the morning of  spoke to someone on the phone inquiring as to the location from which the products were coming from i was told t"/>
        <s v="shipped fast and had the items in stock that others didnt what more can you ask for"/>
        <s v="excellent service and the best pricing so glad i found you thanks "/>
        <s v="very pleased with pet flows service and products"/>
        <s v="great prices and selections of high rated dog foods shipping free over  and fast"/>
        <s v="petflow has the best prices for pet food and deliveries are reliable sometimes my cats wet food is not in stock but when that happens it is not in stock anywhere"/>
        <s v="every time i order from here they always double my order i ordered one big bag of dog food and i received two and charged for two instead of one this is the second time they did this i will not order from them again"/>
        <s v="great dog food my maltese acts like a pup and she is  she has been eating salmon a la veg for  yrs"/>
        <s v="excellent service best dog food ever would not feed my dog anything else then natural balance"/>
        <s v="staff were very good at listening and finding a solution that would help me"/>
        <s v="excellent customer service and fast shipping"/>
        <s v="my delivery isnt not comingvery very slowly"/>
        <s v="i was very pleased with my order i found an item for my birds that i couldnt find anywhere else for a cheaper price and it arrived very quickly"/>
        <s v="petflow apparently doesnt put in packing so i got all of cans dented up petflow needs to protect the cans"/>
        <s v="been ordering from petflow for along timequick shippingcompetitive priceshas the brand of dogfood we wantwish they offered prescription medications"/>
        <s v="i was with this company for many years but repeated mix ups with my food delays and supply issues took a toll moved my business to chewy didnt want to buy my fur babies have to eat"/>
        <s v="we ordered pet food on nov  and received it today dec  way to long i have three emails telling me earlier dates probably our last order from pet flow"/>
        <s v="you need to improve on your customer service on the phone you also need to improve on your deliveries services meaning when customers ordered products from your website&#10;it needs to be more accurate in the amount of products you have online website store t"/>
        <s v="i am very happy with my purchase of cat food from petflow the only issue i had was trying to find out on the web site how i could check out otherwise great"/>
        <s v="they have great customer service and they try very hard to please their customers they also have a wide variety of pet foods"/>
        <s v="love this company great to work with and carry alot of different foods"/>
        <s v="very few notices of what was going on i finally sent  emails and made a phone call joseph was very kind it took  days to get here wonder if it would come i had to buy dog food in the meantime not happy product was good and why did it come from new jersy n"/>
        <s v="i wouldve given a  star review however with my last order it wouldve been nice if i was informed that my order for dog food was not available from where it is usually shipped i usually get it within a week but since it was coming from much farther away it"/>
        <s v="only half my order arrived so far fedex dropped the busted box in the middle of the front yard and left i wonder if the second half will show up or if fedex will make it disappear like last order"/>
        <s v="great service as usual even over the holiday weekend order was accurate and delivered on time"/>
        <s v="website easy appreciate the discount&#10;other places were sold out of the dog food i need so thankful it was in stock and delivered in a decent timeframe"/>
        <s v="thanks for having the food in stock now its get to him to actually eat the food"/>
        <s v="great experience&#10;fast shipping and great communication with seller"/>
        <s v="shipping not according to what was indicated at the time the order was placed"/>
        <s v="excellent transaction  will shop again"/>
        <s v="petsmart stopped carrying the avoderm brand then petsmart followed&#10;im very frustrated with them since they still advertise the products yet not in stock or not available&#10;i contacted avoderm and they recommend petflow&#10;my initial purchase took longer that e"/>
        <s v="my hund loves the chow we ordered from petflow"/>
        <s v="i always get what i need in a quick turnaround for my  year old hound"/>
        <s v="great product great price"/>
        <s v="the folks at petflow were kind enough to give me a  credit for fedexs deplorable delivery service they held my shipment hostage in their distribution center for   days&#10;my shipment was correct  sent out as quickly as they received the approval from my vet"/>
        <s v="great and prompt service and delivery the bag charge was a bit of a surprise though might be wise to hide that under one of the other headings"/>
        <s v="i placed orders during weekends the return email said my order would be placed the following monday and email would be sent of when to expect delivery i have had to call customer service a couple times and order was finally put thru my dogs do better when"/>
        <s v="i thought that the price was high compared to the vets office other than that the experience was good"/>
        <s v="i had a very frustrating experience with petflow my original order was scheduled for nextday delivery however it took close to a week from getting the cat food i ordered petflow misled me on my delivery date this is the only food my cat can digest  so it "/>
        <s v="very happy with my purchase experience excellent help thank you"/>
        <s v="i paid for a package of food for my chihuahua that needed a recipe from the vet but we could not get it so i would like to have my money back"/>
        <s v="i wrote to the company regarding a complaint about customer service claiming that i didnt have funds to pay for an order that was an auto ship and said backordered and after ordering something else i got billed for it not knowing what this charge was i ca"/>
        <s v="petflow carries our dogs preferred high quality food  treats we auto order and receive our shipments quickly"/>
        <s v="i like petflow i have ordered from them before this time it took way too long to get my order and the only reason i got it when i did is because i called and complained then they showed it being shipped right away but it still took  days after complaining"/>
        <s v="the whole reason why i ordered from petflow is because of their quick shipping in  days it took over a week for my food to arrive i had tobuy another brand of food that upset all of my dogs stomachs never again"/>
        <s v="i was very happy to be able to find a food item that i needed that was sold out on chewy amazon and all of my local pet supply stores the only reason for the  stars instead of  was the delivery notifications i understand delivery delays especially right n"/>
        <s v="very impressed with being able to get what i need for my furbabies special food so far its always been in stock unlike the competitor sites and various pet stores prices are a smidgen lower than everywhere ive normally gone delivery is  at this point my f"/>
        <s v="easy website to navigate fair prices and fast shipping"/>
        <s v="customer service has definitely declined website keeps changing making it difficult to order when you want iused to order  different products at  different times of the month and still get the auto ship discount now i get nothingbeen a member since &#10;looki"/>
        <s v="third time they have got the order wrong "/>
        <s v="i have been pleased in the past with available dog foods treats toys etc and delivery i have experienced a lot of out of stock items that i have on autoship i have had to buy these items on my own else where"/>
        <s v="fast delivery"/>
        <s v="great discount on hill science canned food for my dopey cat its becoming difficult to find the chicken n rice flavor so it was a relief that you had it"/>
        <s v="you carry the dog food that my puppy needs for his first year the prices are reasonable and affordable"/>
        <s v="i tried to switch my monthly orders for food treats meds and flea collars to petflow it was a disaster i get how the economy is currently but your communication is terrible i cant work with a company that takes days to acknowledge a request and i see all "/>
        <s v="can someone contact me&#10;"/>
        <s v="excellent product delivered quickly competitive pricing"/>
        <s v="need a better way to let people know that their order was shipped with a tracking number had to text you to find out when my order was to be shipped when i received an email telling my that it was shipped and there was no tracking info available need to l"/>
        <s v="i was able to get my dogs food from you when no other retailer had it thank you"/>
        <s v="product was as advertisedworks great arrival was fastprice was good service was friendly and professional great company"/>
        <s v=" days after i should have recieved my order i called because i did not know why or where it waswell was told by a very rude lady she would send an e mail to hurry up my order at another warehouse because they had none i asked why they didnot notify me it "/>
        <s v="fast service good prices arrived in great condition has follow up emails"/>
        <s v="chewys orders always arrived within  days i decided to give petflow a try after close to a week i had to call petflow to ask where the dog food order was they said they delayed getting the order through  waited until the next day to initiate the order and"/>
        <s v="i love that my choice of dog food is always ready to deliver to our door when we need it auto ship is great and not having to lug the big bags home from the store is even better"/>
        <s v="the products i ordered arrived quickly and website was easy to navigate"/>
        <s v="disappointed i created my first order on  and order still hasnt even shipped  no communication updates either uggh"/>
        <s v="very happy with my purchase shipping is fast and communication is excellent"/>
        <s v="it was supper easy to place my order shipping was quick"/>
        <s v="good job sending package on timely basis thank you"/>
        <s v="always super fast shipping and great packaging"/>
        <s v="always good condition of cat bagged food arrived in great shape and the order was correcttimely order"/>
        <s v="had products i couldnt find any other site"/>
        <s v="dog food was listed in stock at time of placing order after a few days of showing shipped ends up order wasnt shipped i called and was informed that it was out of stock in the warehouse"/>
        <s v="never received my order in over a month and spoke to over  customer service people dont buy from this company "/>
        <s v="order placing was easy great site set up like the autoship offer too already referred them to my neighbor"/>
        <s v="ordering was easy and my purchases arrived quickly which is wonderful during these times&#10;i give this site a  instead of  because i was unable to read reviews on the products i bought my cats are not eating one of them and would like to know what other buy"/>
        <s v="saved from having my kitten upset i have been unable to find the food my kitten eats after several trips to pet store with no luck went online to royal canin site and pet flow was a recommended store to order from fortunately for my kitten yall had plenty"/>
        <s v="i liked the prices and the toys and treats available but several of the items that i ordered sold out and were removed from my order after id checked out and paid for them however i will be giving them another chance when the supply chain problems are bet"/>
        <s v="good service"/>
        <s v="fast shipping and great inventory of cheap toys"/>
        <s v="we use auto ship for most of the products we buy online i found pet flows autoship program to be extremely difficult to manage and no longer use it as a result i often buy pet products from other suppliers we have  pets and buy a lot of pet products"/>
        <s v="speedy delivery stuff usually comes within  or  days good customer service i called to ask a question about my product and they answered quickly and with good telephone manner i just signed up for autoship well see how that goes i just wished they carried"/>
        <s v="we love the convenience of auto shipping we were surprised at how easy it is to add or delete items for a specific auto ship or for future orders the prices are fantastic and i like that i can still find fromm products here"/>
        <s v="very smooth experience good price and reasonable and quick shipping"/>
        <s v="order and paid for dry dog food and  cans of wet dog food the day they shipped it i got an email saying they will refund me cause they are all of sudden out of that particular wet dog food i then had to run everywhere to find it at the last minute&#10;when th"/>
        <s v="everything went very smoothly from ordering all the way to delivery i was very happy and will use them again"/>
        <s v="delivery was delayed  times said  day delivery i got it in days not satisfied with delivery"/>
        <s v="ordered prescription dog food but got nothing but excuses for over a week their reps made one excuse after another as to why my dogs food was not shipped"/>
        <s v="excellent service im a happy customer"/>
        <s v="i am totally impressed with petflow they deliver product quickly and have the pet food in stock and if they are out of stock they will send email to let you know that it is back in stock they are now the only one that carries my dogs food and i hope they "/>
        <s v="i have been&#10;using petflow for several years because they carry the type of dog food i want my dogs to have and no stores anywhere near me have it in fact trying to get high quality dog food id have to travel an hour one way so it is very convenient to hav"/>
        <s v="very fast shipping they sell good quality items"/>
        <s v="very good customer service contacted my vet for prescription diet food and shipped out immediately highly recommend"/>
        <s v="great products and service that excels more than satisfied consumer from maryland "/>
        <s v="i spoke with a very helpful woman who checked with supply  found a case of hills savory cat food our local petsmart had been out of it for a while my  year old cat loves that particular food and takes her meds with itshe has hyperthyroidism the food arriv"/>
        <s v="i placed an order on  received an email saying i would get a shipping confirmation when it shipped when not received by  i reached out to customer service and was told it was delivered on  as of  i still have no food  was forced to order elsewhere your cu"/>
        <s v="my husband shopped here last christmas and gave it  stars i like the site because they have unusual things and make great gift items"/>
        <s v="i requested the heavy package be left at the garage door under the overhang but it was left at the front door instead otherwise very easy convenient efficient order and delivery"/>
        <s v="excellent service and everything packed with care"/>
        <s v="currently waiting to receive order know distribution system is messed up i will try to explain to my hungry miniature doxie would have been helpful if at the point of order for petflow to made a statement that delivery could take up to x weeks or more and"/>
        <s v="i love the quick delivery when we order our dogs food so convenient"/>
        <s v="good cat loved it"/>
        <s v="ordered dog food for the first from petflow the ordering was simple easy website navigation and the product arrived in a timely manner"/>
        <s v="they let me order food and charged me and called my vet to confirm the prescription and they didnt even have the food in stock in these times of cat food shortages wasting my entire week thinking i had found food for my cat was detrimental to my finding m"/>
        <s v="very good customer service&#10;they work with you to get you just what you want"/>
        <s v="ive used petflow for a year now and love it the orders are easy to complete and quick to deliver&#10;i had to call customer service to change my order and quickly received the credit on my card i switched dog food brand and mistakenly forgot to cancel my auto"/>
        <s v="package was a week late but i believe that was fedex fault when i contacted petflow about the delay the response came relatively quickly and they let me know they contacted fedex to figure out the issue i received the package the next day the customer ser"/>
        <s v="great pricing however i wasnt able to use my  on my second order as promised i did rate the company a  star however after reading the other  star ratings i feel im just another customer that was mislead"/>
        <s v="very slow to ship resulted in poor arrival time i thought  days was enough time but was wrong"/>
        <s v="i spoke with somebody in chat and i canceled this order i was told that my order was canceled i asked for confirmation that my order was canceled to an email they told me we dont do that two days later i had two of my  lids show up at my door after it was"/>
        <s v="although i have had great success with using petflow in the past currently their service is quite poor i had a older cat is needs vet prescribed food after ordering food recently petflow informed me the vet indicated i have no relationship with them ok i "/>
        <s v="petflow has cat food that i cant find elsewhere which is nice i like their automatic programs except for not being able to edit them ive been sent products that i cant use and have to contribute to the humane society delivery is always fast and well packa"/>
        <s v="my dog food always arrives on time they always correct if a mistake happens we are happy with the service"/>
        <s v="this gate is working very well at our house the twoway open door is terrific we are very happy"/>
        <s v="great prices selection fast shipping love petflow"/>
        <s v="excellent selection of items and their delivery was spot on and timely i tried them when chewy did not have the brand of food that i was looking for i learned that since chewy was purchased by petsmart they no longer carry fromms dog food"/>
        <s v="thank you so much petflow you have the prescription wetfood available for my halo"/>
        <s v="the delivery of our canned dog food was quick we had a problem with one of the cases due to the shipper and petflow customer service was excellent"/>
        <s v="never received the dog food i ordered nor did anyone follow up after i called them inquiring about the missing order super disappointing untrustworthy and poor customer service"/>
        <s v="petflow is a great company to do my on line buying from the customer service persons are the best"/>
        <s v="like the quick service and available products i have only had one problem since using petflow ordered pill pouches and they arrived smashed good company that i have recommended"/>
        <s v="always get my pups treats and food from petflow great service and super quick delivery with updates"/>
        <s v="on oct th after not being able to obtain the prescription canned dog food needed through normal online pet care provider for over  days i found the petflow website which showed the food was in stock to be sure i called the same day  spoke to an agent who "/>
        <s v="customer service is excellent what they sayhappens and quickly delivery is fast packaged very well notifications of shipment delays when to expect delivery are outstanding&#10;love this companythey genuinely understand how important our fur babies are to us b"/>
        <s v="i had a hard time finding what i wanted and petflow had it fair price fair shipping cost and timely i will be a repeat customer"/>
        <s v="always what they promised great deals"/>
        <s v="i ordered a few items using an account credit when one of the items was out of stock at one warehouse and had to be shipped from a different warehouse they charged my paypal account without my consent for this item that was already paid for using the acco"/>
        <s v="great prices easy to order and prompt delivery im a convert"/>
        <s v="i have ordered the  pack of bully sticks from petflow several times they are an expensive item anywhere and the cost keeps going up as with everything these days their prices are fair and their shipping is fast one thing i have noticed is that the total a"/>
        <s v="ordered online instead of my local store who is almost always out of stock i just order when the old bag is halfway empty  food comes within a couple of days usually no issues"/>
        <s v="my order was filled shortly after it was placed but  days after it was due to be delivered only of  boxes has been the other two boxes are sitting at a fed ex center waiting to be loaded onto the delivery truck the petflow customer service people were ver"/>
        <s v="i ordered my dogs food and had it within a couple days and free delivery to boot"/>
        <s v="our order was delivered very fast  the price was reasonable the website is easy to use"/>
        <s v="came on time and exactly what i needed couldnt find it anywhere else thanks"/>
        <s v="placed order and received it in less than one week"/>
        <s v="what a mess this company is i thought chewy was annoying&#10;&#10;i will never use petflow again"/>
        <s v="when i received my order the box and the bag of dog food had been ripped open i called customer service and they had a new bag out the same day awesome customer service thank you very much"/>
        <s v="outstanding well trained smart friendly  knowledgable customer service and i depend heavily on the autoship program"/>
        <s v="ordered everything i have a chew everything puppy i placed my order then received an email for a couple items not in the warehouse that was fine but never received either an email or receipt for my items or what my final cost was they did state i wouldnt "/>
        <s v="i love petflow they always have what i need for my dog  and ship it out fast a service every order"/>
        <s v="everyone at petflow seems to be familiar with their inventory  very helpful great place to shop for your pets needs"/>
        <s v="the treats were perfect and fast shipping thank you"/>
        <s v="petflow was recommended by my girlfriend and i switched dog food and my dog loves it and i have no complaints  recommend and i can set up times of delivery between bags"/>
        <s v="just started auto ship of a cat food for skin allergies made by hills and once i know how much i will need of blue buffalos i will make it auto ship the hills i am running into availability of just ordering when i need it or at the vets it was even a prob"/>
        <s v="love pet flow very kind and friendly customer service they always have my cat bff weruva in and the  off is always a plus"/>
        <s v="i have been pleased with petflow customer service has been great products are good the only problem i have had is using your website to cancel autoship i have only been able to pause it i dont know if this is intentional or an oversight i know i can call "/>
        <s v="my doggies food comes so quickly after i order its always in perfect condition"/>
        <s v="always an easy transaction we order our dog food from here regularly"/>
        <s v="didnt have my order in stock and canceled my shipment with a puppy it is hard to just up and switch food when an order doesnt arrive as expected so had to go to extra lengths to find the specific food"/>
        <s v="awesome as usual  always on time great customer service and fantastic product"/>
        <s v="our toy poodle has been permanently put on hills canned stew due to health issues but we found it was not available due to a supply shortage then we turned to petflow and found her entire supply with fast delivery petflow looks out for our furry kids and "/>
        <s v="i love the autoship option for my cat items purchases in particular i order large containersboxes of cat litterpetflow does an excellent job of packing it and it always arrives undamaged they also keep me informed of any shipment delays etc"/>
        <s v="i began using petflow several years ago i love them because&#10; i can speak to a real american born person who always helps me&#10; they carry brands from small companies such as fromm&#10; somehow they get fedex to deliver to my house on time fedex usually does not"/>
        <s v="product was delivered quickly on time with no damage"/>
        <s v="excellent communication and reliable timely deliveries customer service is the best ive ever worked with my goto supplier for quality pet food"/>
        <s v="excellent customer service and easy auto ship options"/>
        <s v="good service selection prices"/>
        <s v="customer service has always been polite and helpful but unfortunately i have needed to use them frequently with my autoship orders i had  pets getting prescription diets but they kept sending the requests for refill to the incorrect veterinarian then some"/>
        <s v="the item i ordered turned out to be unavailable i received an email a few days after ordering which informed me of that fact i dont know why you cant update your website so someone doesnt end up ordering something you dont actually have thankfully i was a"/>
        <s v="i placed an order and had to cancel i was shocked how quickly my text message was received and taken care of not entirely trusting the text system i called customer service and the lady was courteous and confirmed order was already canceled customer servi"/>
        <s v="petflow is wonderful the lady i spoke with taking my order was terrific my pet food all arrived quickly and in good condition delivered right to my front door  thank you petflow "/>
        <s v="i wish i had known about you sooner i order my pups dog food  it arrives the next day thank you for such great service"/>
        <s v="products are great good selection could have been better communication on the order status and shipping times compared to other companier i order from taking  or  days to prepare an order to ship is too slow especially with little to no communication from"/>
        <s v="i was pleasantly surprised that petflow had products that chewy had out of stock and they shipped it free and fast good work petflow i will definitely buy from you again"/>
        <s v="always great service and excellent selection"/>
        <s v="have been waiting for almost  weeks for the dog food i ordered they said it got lost"/>
        <s v="i really like pet flow and would order from them more but it seems like they are frequently out of stock of the products i want so i am then forced to go elsewhere and shop"/>
        <s v="great price and item was shipped out in timely fashion"/>
        <s v="petflow has excellent customer service i ordered a case of canned dog food and it once again came with almost all the cans dented i called to let them know and they sent me a new case of cans without dents would have liked the original shipment to have co"/>
        <s v="when it comes to the phone reps i have always had friendly and competent service from petflow however the inadequacies of the website have me at the point of switching companies i have set up autoship for rx cat food when i log in there is just no way for"/>
        <s v="customer service was great but i was disappointed in the bully sticks they were the right length but very small around not what i expected"/>
        <s v="i liked the idea that at petflow i can get fromm dog food and treats delivered right to my door with free shipping"/>
        <s v="can you wait til i receive my order so far your premature review begging is a turn off"/>
        <s v="great site lots of items i couldnt find elsewhere especially limited ingredient feline canned shipping was fast will buy again for sure"/>
        <s v="i am so very pleased with petflow every shipment arrives on time prices are fair customer service is outstanding and shipments arrive properly packed have never had anything broken"/>
        <s v="i have  cats for whom the chickennnreast is a regular morning treat they all look forward to it every day"/>
        <s v="delivery of my product arrived timely but i needed to cancel my autoship when you select to cancel there is no option to cancel only pause i had to wait until the next day to call and and speak with someone to cancel and when asked why i had to share with"/>
        <s v="my experience with petflow was excellent their pricing and availability of products is very good the kept me informed of my order status from start to finish they were the only company that had what i needed and i received my order promptly i will continu"/>
        <s v="bad experience took forever to acknowledge receipt of pet rx all the while losing time to secure the limited supply of product i ordered by the time they confirmed receipt of the script and acknowledged the order the supply dwindled and i lost the product"/>
        <s v="always fast shipping and great products "/>
        <s v="products are fine website is fine but i have a problem with auto ship set up it is impossible to cancel auto ship program i can delay and change the date of shipment but cannot cancel without calling the office and because of this have received duplicate "/>
        <s v="my puppy and cat love it&#10;i love how big the bowl and reserve tank are and how quite the motor is as well as the way the water circulates in the bowl no splashing i had the large original drinkwell pet fountain and so far i prefer this one a lot over the d"/>
        <s v="this was the very first time i ever purchased from the site and i was a little nervous in the beginning but that was all changed when i found out that they shipped on the day they said they were going to and i received it when i needed it i am very happy "/>
        <s v="its been weeks and i havent received the good yet i cant believe they are asking my opinion of an item that hasnt arrived yet"/>
        <s v="the orders are always late the customer service rep was rude and unhelpful i had to speak to the manager to get some resolve"/>
        <s v="because as a customer petflow mislead me  petflow sold me merchandise and the sold it to another customer then sent me a message that they were now out of stock  and petflow still has not refunded my money  we will never shop with petflow again  ta"/>
        <s v="first time ordering with this company placed the order on  by  still hadnt received it i called and apparently the shipment got lost employee offered to send out another order but declined to give any type of promo code or discount even though i told her "/>
        <s v="unfortunately when i placed my order my items were in stock then i got an email saying they were out of stock and i was refunded havent order again"/>
        <s v="very punctual and nice but the fedex delivery person did not do his job left the box near the mail box and not at the door i am senior and cannot pick up this heave box"/>
        <s v="petflow came through for me with a prescription order when chewy could not hours on the phone with chewy and multiple customer service agents and chewy failed  they have problems over there i contacted petflow and they took my prescription and had my cat "/>
        <s v="love the convenience of not having to shop and hoist large bags of food"/>
        <s v="i ordered treats that showed in stock they never came so i emailed they said they were now out of stock and would notify me when in stock they ended up cancelling my order  not a good experience for first time customer"/>
        <s v="great fast service great intro prices for new customers when you do autoship"/>
        <s v="horrible customer service keeps lying to me about when my order is going to come in every time i looked it up it was supposed to be delivered today at at  in the morning now too and it never showed up and i cant seem to find the damn email to tell me wher"/>
        <s v="most anything i was looking for i was available on petflow and at a good price"/>
        <s v="received mats exceptionally quickly for a very good price"/>
        <s v="fast order great packaging great price"/>
        <s v="i love the service however  bags of dog food i have received had busted bags and dog food all in the boxes"/>
        <s v="i used to use other wellknown online mail pet services but they stopped carrying the brand of dog food i have given my beloved english singer spaniel for  years i then discovered petflow carried this brand they are courteous professional and most importan"/>
        <s v="i ordered a product that said it was in stock only to be told  days later it was out of stock the website is misleading"/>
        <s v="great prices products and customer service"/>
        <s v="the kitty litter box split and was all over the box"/>
        <s v="fast carefully packed service"/>
        <s v="this is a fantastic gate it looks divine and was easy to assemble perfect for my maltese thank you"/>
        <s v="you take orders knowing products not available no trust ever again"/>
        <s v="petflow has a good selection of products they are almost always in stock the have competitive pricing and they deliver quickly usually  days"/>
        <s v="reliable product easy ordering process dependable delivery thanks petflow"/>
        <s v="i have place  orders with petflow both orders shipped out on the same day packages arrived quickly excellent company highly recommend"/>
        <s v="great selection of products  emphasis on very healthy items good price points  delivery is always on time  in good condition"/>
        <s v="thank you for carrying my dogs prescription dog food hills metabolic your website was the only trustworthy site in stock my dog beau says thanks for his food too"/>
        <s v="i ordered food for my dog on the petflow website my first order took a little while because they needed to verify with my vet since it was a prescription food my second order was shipped the next day and arrived a day later at my house excellent service t"/>
        <s v="great customer service quick  courteous"/>
        <s v="ive been using petflow for years for my dogs food subcritical platform the customer service is outstanding the product diversity is unbeatable"/>
        <s v="placed order for dog food that i needed asap then days later petflow cancelled order and wont refund my payment for  to  days i had to then find a physical store that sold my brand of food so aggravated didnt they know my order wouldnt be fulfilled when t"/>
        <s v="all item sent even if it took more than one box for same free shipping"/>
        <s v="products ordered  stars ease of ordering  stars speed of shipping which may or may not be petflows issue  stars my order included dog food i was only given  tracking number and unfortunately that tracking number was for the items shipped separately from t"/>
        <s v="ordered butcher block bones and a box of dog biscuits at checkout there was no information that the bones were out of stock you shipped only the dog biscuits i cancelled order you said it already shipped and we could just go ahead and keep the biscuits or"/>
        <s v="i was impressed with how quickly my order arrived it was protected in a strong box very professional thank you"/>
        <s v="i ordered a new flexi leash for my canine having carefully researched various sites and noting petflow for my first time decided to have a go and was pleasantly surprised at the pricing service and delivery they run out of the leash but notified me immedi"/>
        <s v="product that is not available elsewhere is available on petflow which i appreciate with supply issues from the manufacturer petflow provides another option to find the pet food im looking for&#10;&#10;shipping time is slower that other online sites so i need to p"/>
        <s v="first time using will use again"/>
        <s v="your selection and prices are good i also appreciate the discounts available only thing i have a problem with is fedex delivery but since i eventually get my order ill be okay with it"/>
        <s v="excellent service however now i can not find the product anymore&#10;vital essentials relief hemp dog chews relieves inflammation"/>
        <s v="i have been trying to find the special urinary diet treats for my fur baby for months i finally found them on your site only to be told weeks later whoops you dont have them well put it on your website then that they are unavailable"/>
        <s v="great selection and services&#10;happy dogs"/>
        <s v="everything from locating products on the website to check out was very easy i wish that some kind of summary or packing slip was included with the delivery but other than that everything went as smoothly as it could thank you"/>
        <s v="petflow has the products i need and if they dont they can explain to me why they dont and why i cant find the product anywhere else something might be happening at the manufatcurers end or with the distributer etc they are always very helpful if i have to"/>
        <s v="it seems a bit difficult to delete an autoship maybe its me"/>
        <s v="not very long shipping from the date of the order prices same as vet"/>
        <s v="ordered on  prescription approved the same day item was in stock estimated delivery oct   days for a prescription assuming it arrives on the th and no update at all unacceptable and the same thing happened the last time i ordered terrible service they als"/>
        <s v="i get all my dog food and treats from you usually all is good and no problemshowever last order the  lb bag of their nutrisource weight management bag was torn and kibble leaked out into delivery box i do not like giving my pups any food or treats where t"/>
        <s v="petflow always has the prescription diet dog food in stock my dog requires i dont have to wait for them to ship thank you for your service"/>
        <s v="ive used this company twice and both calls were speedy and user friendly ive also used chewy and those calls tend to be cumbersome nice people at both companies ex chewy asks lots of questions before i can place my order i believe petflow just needed my p"/>
        <s v="love the products and ease of ordering my problem is with the actual shippingpackaging of items being sent to my house often everything no matter what size or weight is thrown into the same weakly sealed one strip of packing tape thin cardboard box by the"/>
        <s v="my purchase was delivered in a timely manner&#10;prices are fabulous just  at any other retail store is  ish&#10;&#10;once im finally moved into my new house i will start automatic shipping "/>
        <s v="always correct  timely a bit of delay due to getting items further than nv to az end point but that is expected in the shipping issues across all businesses"/>
        <s v="so far so good&#10;petsmart has let me down with late shipping not in stock and lb bags of dog food with way too much powder they refuse to ship in boxes that match the large bags and simple will not use any kind of packing&#10;fthat we be dun wit does mfers&#10;petf"/>
        <s v="first time ordering autoship for dog food so far so good"/>
        <s v="quick delivery and always coupons to be found"/>
        <s v="quick dependable service with diverse item selection most companies now offer free shipping on all orders which should be a consideration here"/>
        <s v="great product the company you use for shipping is horrible boxes opened when delivered bags of food broke open from throwing it down on the ground poor shipping"/>
        <s v="great prices and products in stock ready to ship i will definitely order again"/>
        <s v="great service and fast delivery excellent "/>
        <s v="always a pleasure shopping with pet flow"/>
        <s v="great company quick shipping i order dog food from them all the time but was disappointed on the last dog toy i bought this time my little dog that doesnt really destroy toys had this stuffed pizza toy destroyed after  minutes i probably wont order any mo"/>
        <s v="always got what my cats want and always delivered on time petflow gives me one less thing i have to worry about with there auto ship"/>
        <s v="great company with excellent customer service"/>
        <s v="great prices excellent shipping time thank you"/>
        <s v="nd time ordering from petflow and i am a very happy customer i read a lot of bad reviews online about this company and was a bit concerned but honestly ive had an excellent experience with them so far the order was accurate and i received the products in "/>
        <s v="excellent customer service very professional and accommodating&#10;thank you"/>
        <s v="petflows prices are good and the delivery is super fast"/>
        <s v="i ordered prescription food from them which needed my vets approval spent over  at first the food order was put on hold until january   i contacted the customer service and they were able to get rid of the pause but they still had to contact my vet before"/>
        <s v="competitive pricing product availability and fast shipping thank you petflow"/>
        <s v="gave petflow a chance because chewy was out of stock on one of the items i needed and petflow showed it in stock after placing and paying for the order i got an email stating one of my items was out of stock turns out it was the same one chewy was out of "/>
        <s v="i think im going to like this sifting litter box that i just bought its different from anything i ever used before but its simple enough to figure out"/>
        <s v="i loved the selection and ease of checkout on petflow the one time i dealt with customer service was completely painless and i would recommend this company to any pet owner the only improvement that i can think of would be to have a way to save items for "/>
        <s v="competitive price&#10;fast delivery"/>
        <s v="good pricing great variety quick service need i say more"/>
        <s v="the first time i ordered my dogs canned food the experience was pretty negative as none of my requests were taken care of it was if they just ignored me the second time was a better experience"/>
        <s v="ordered item  weeks ago web site said in stock  called twice did not receive any real answers or satisfaction said it was problem at he suppliers warehouse update just received email that product just shipped all is good"/>
        <s v="first i was told my food order was on its way and shipped then told it was on back ordered and cant be delivered  i want to cancel my order but have no where to call or know how to do it&#10;but company sends constant emails &#10;also i ordered toys based on my d"/>
        <s v="they have products of dog food i cant find anywhere else"/>
        <s v="products are great service was great the packaging for shipment was terrible both boxes were broken open due to poor lack of packing material it was amazing items ordered were still in the boxes"/>
        <s v="my dogs are happy and so am i with the services on delivery of their foodsand my cats are happy too"/>
        <s v="there no price gauging my order was received quickly and packaged perfectly i will order through them again"/>
        <s v="respond to emails very quickly take care of a problem pronto"/>
        <s v="it is difficult at times to get dog food during this pandemic petflow is dependable thank you"/>
        <s v="excellent service and delivery selection of products is probably the best that ive yet to find shipping has been on time pricing is very competitive thank you for a positive experience"/>
        <s v="the replacement squeakers i purchased were supposed to be large unfortunately they were medium sized merely passed off as large they were barely bigger than the small squeakers i also purchased"/>
        <s v="it was supposed to be here thursday it is now wednesday almost a week late and no estimated delivery date i was hoping this would be convenient however now its way worse than just driving  minutes to the pet store"/>
        <s v="overall the service is good but i have a routine shipping monthly on the th unfortunately my order of prescription dog food was not picked up by fedex until the th and not shipped until the th now it looks like i will run out of food a day early not good"/>
        <s v="prices are good however shipping time not so good my items took about  days to arrive when using other company  days tops this probably why i will not shop with pet flow again"/>
        <s v="love the delivery its heavy for me to carry to the trunk and then into my house plus the food is great and so are the treats thanks"/>
        <s v="ordered several teddy bear toys  enough to get free shipping arrived so quick my dog loves these toys  they are quite durable and shes quite a chewer ive got enough to last for a while got a good price too not dependent upon quantity  better than petsmart"/>
        <s v="ordered fromms pate canned food for my dogs upcoming surgery promptly shipped but delivery was held up with no updates contacted pet flow to see if they could get any information aimee quickly responded that she would contact the shipper and would get a f"/>
        <s v="great service reasonable prices good quality will definitely buy again"/>
        <s v="usually we have a great experience with petflow this time however was a real struggle i was told over and over by petflow that they reached out to our vet for food approval but my vet told me they never received any contact from them i even went to my vet"/>
        <s v="i contacted customer service because i received the wrong dog food and they immediately resolved the situation and sent me a return shipping label this company has some of the best and quickest customer service agents ive ever dealt with"/>
        <s v="excellent fast service"/>
        <s v="very easy ordering only site that had the wet food i needed took a little longer to ship but was received in an acceptable period of time"/>
        <s v="i have been a returning customer for a while now petflow has always had excellent service it is most appreciated thank you"/>
        <s v="petflow had the specialty prescription dog food my vet could not get they made the buying process easy and shipped quickly i will keep shopping with petflow"/>
        <s v="great customer service their text option is awesome"/>
        <s v="my order was well wrapped and delivered in a timely fashion i will continue to use pet flow and highly recommend them"/>
        <s v="love this company so easy to work with"/>
        <s v="excellent service i would recommend"/>
        <s v="amazing service the prescription dog food i needed was back ordered by the manufacturer i explained to the petflow customer service that that was the only food my dog could eat they did an online search and found it and had it shipped to me this was not t"/>
        <s v="i appreciate how fast my orders are delivered and that they have exactly what i am looking for"/>
        <s v="see csr file"/>
        <s v="easy to order form the site order shipped and arrived quickly"/>
        <s v="ordered lb bag of dog food and order was processed immediately and delivery was quick"/>
        <s v="found this vendor on line  they were one of the only sites that had the prescription dog food i needed none of the local pet stores had this food in stock i ordered the food from them at a reasonable price and received the shipment in a timely manner well"/>
        <s v="i have no idea what i bought from your site but all my online cat food orders have been prompt and the requested product was the one i received but if this was the royal canin cat food order  my god the price not you the manufacturer lee hoffman"/>
        <s v="my cats eat a pretty particular food that can be hard to find found it on petflow and for an affordable price everything arrived safely and quickly you can contact them directly by text and email i did to check on shipment status and a real person got bac"/>
        <s v="ordered dog food which they said was in stock  prescription food for my dog after paying for it the next day they tell me  oh we are out of that this is the only food he can eat prescribed "/>
        <s v="great service great value"/>
        <s v="great selection of in stock items and shipping is quick and dependable"/>
        <s v="petflow had what i needed in cat food that i couldnt find anywhere else however it took nearly a week to ship although they were several days ahead of their shipping estimate the long shipping may be mostly due to supply chain problemshard to tell now"/>
        <s v="when our vet said he wanted our aussies food changed i had to cancel our standing order  order the new food i contacted petflow by email  received an immediate reply i am so impressed by the ease  speed with which my problem was handled thanks for the gre"/>
        <s v="you need to allow electronic upload of prescriptions for pet food i had to mail the hard copy and then wait for you to get approval from my vet after you received it this took about  days and why would you even need approval when i mailed you the actual o"/>
        <s v="this place is da bomb they have very fast very nice customer service and that is far and few between these days do not hesitate do it do it u will not regret i was using chewy and pet smart and im out with those as long as they keep my dogs in stock im a "/>
        <s v="great experience will use them again"/>
        <s v="easy to find exactly what i was looking for quick delivery"/>
        <s v="i was very happy with my experience i placed an order for my cats food it shipped quickly and i got it within two days of being shipped the cans were excellently packed and the price for food was great i was and am satisfied with my experience and will co"/>
        <s v="friendly staff good selection of dog food"/>
        <s v="wrong food sent now i have to return it&#10;redbox it drive to fedx haul in in"/>
        <s v="we and our  german shorthair pups think your quick service and price are excellent"/>
        <s v="i ordered id chicken stew after two weeks i called you and you said your order is out of stock but still shows available"/>
        <s v="i always feel as though they truly want to make their customers feel satisfied i appreciate that very much"/>
        <s v="rder email confirmation was delayed and the email notification that shipment will be delayed was also late customer service needs improvement"/>
        <s v="super convenient great selection of grain free options prompt delivery"/>
        <s v="couldnt locate my brand of food in new state n city where i now reside found your website and luckily i now have my dogs favorite brands of food best part same price as it was in minnesota at chuck n dons store better it was delivered to my door i will be"/>
        <s v="i was forced to buy two items to get to the minimal amount only one was shipped not the one i wanted"/>
        <s v="couldnt find our dogs food anywhere you were the only place we found and you got it to us so fast and even contacted our vet for approval"/>
        <s v="i have been ordering from petflow for several years now and have always been satisfied with the products and the delivery recently they went above and beyond on an order that was delivered damaged the customer service was excellent and i was totally satis"/>
        <s v="great phone help on getting oscars rx for science diet in and the food shipped quickly"/>
        <s v="petflow had a prescription food in stock for my pet that other sites did not they also had a great promotion for new autoship customers and a separate promotion that saved me money on my prescription food when i had trouble applying the coupon code at che"/>
        <s v="petflow has excellent prices and a great variety of items their customer service is exellent also however it does take a bit longer than competitors to receive the ordered items and they shipped us the wrong item twice they did pay for the returned shippi"/>
        <s v="petflow was a great find with all the shortages and difficulties getting our cats hills science diet and with the price gouging at competitor sites it was certainly gratifying to find what i was looking for at petflow our cats are finicky and spoiled and "/>
        <s v="each time i placed an order of what was supposed to be in stock the company took my order and my credit card information and then days later told me the product was no longer available it really felt like a bait and switch after it happened  times really "/>
        <s v="specialty food said available on website called to be sure available too emailed a week later on backorder very poor customer service"/>
        <s v="i still havent received my dog food fedex keeps saying exception and attempted delivery that never occurred"/>
        <s v="i couldnt find this prescription treat for my dog anywhere but petflow had it in stock my dog is happy she can have a couple of treats a day now thanks to petflow"/>
        <s v="fast delivery  easy to use website&#10;thank you&#10;laura"/>
        <s v="fast service as usual product in good condition well packaged"/>
        <s v="wonderful product arrived as promised good company to do business with"/>
        <s v="ordered rx catcase cansblue wu on  vet contacted on  responded same day on  still no confirmation that order had shipped&#10;&#10;  had made calls earlyon to check to see if everything had been approved processed and had specifically asked when placing the order "/>
        <s v="as usual everything arrived timely and accurately"/>
        <s v="i ordered the prescription dogfood i needed nothing happened i called customer service and they told me they would expedite getting it shipped&#10;a day later i got an email saying it was out of stock this should not have happened now i am hunting for the foo"/>
        <s v="discount was removed by site after checkout ordered from different supplier will not buy from petflow again"/>
        <s v="i have been satisfied with all orders placed"/>
        <s v="received my delivery on the day it was promised"/>
        <s v="the quality if your products is what keeps me coming back also you have a few things i have never seen anywhere else i would purchase a lot more from petflow if you had discounts or rewards for loyal customers i spend a ton of money on my dogs most of it "/>
        <s v="love the service they try to make sure my order is filled every month"/>
        <s v="i ordered online a specialty food product that generally has been in short supply but the order was canceled soon after i placed it when i called customer service to clarify the rep did a search of warehouse inventory and at first found the product was ou"/>
        <s v="products are good just shipping a heavy bag of aquarium gravel with a plastic container of cat food in the same package is asking for disaster i understand it saves on shipping costs but its inconvenient to pickup hundreds of food pebbles"/>
        <s v="they advertised a product that they never had&#10;i paid for it and waited along time for responses"/>
        <s v="i ordered food for my dog almost  weeks ago and have never received it i called  todays after placing the order and was told it would be shipped out the next day that was two weeks ago friday i called back again and was told they were looking into it and "/>
      </sharedItems>
    </cacheField>
    <cacheField name="processes_review" numFmtId="0">
      <sharedItems>
        <s v="i shopped product milk bone pill pouches several weeks our dog on holistic herbal supplements dosing requires about five pouches a day petflow hands down a best price retailer my target product great value consumer customer service prompt courteous effici"/>
        <s v="arm hammer litter dust free clumpingseal which difficult find i used wear a mask handling other litter not necessary now no smell i have it on auto ship which makes it convenient it less expensive than buying in store"/>
        <s v="i have been with them since my orders are on time when there was a delay during covid they were sending out notices updates i had an issue with my fed ex people taking my dog food company immediately send another order out me they are wonderful always res"/>
        <s v="petflow was able ship an important dog food product that was not available from other online merchants it was frustrating contacting usual sources until petflow showed up on a browser search we had not heard of petflow before we will not forget them"/>
        <s v="i received a damaged pet food bag customer service people were so responsive wonderful i received a replacement bag immediately i always prefer petflow because your shipping always professional with no loose food or mess i always promote you my pet friend"/>
        <s v="this second time i have received rancid dog food from this company first time they finally answered my email said they would resend order they resent order item was wrong they then ignored my email didnt respond my phone call&#10;as of right now they are igno"/>
        <s v="company was very responsive problems i had manoeuvering their site shipping was well within reasonable expectations&#10;my only issue has do with site not being easy me actually mazelike in its degree of difficulty i wish it would be more customer friendly pe"/>
        <s v="ordered dog food days later no shipment no contact have call cancel order delete your payment method pretty much a fake joke site"/>
        <s v="people there if contacted go up beyond answer questions help orders are processed in record time shipped out fast&#10;very happy with switch over using them very satisfied customer"/>
        <s v="this was my first purchase from petflow i am impressed first when i set up my my new account i had issues with logging in i received email with digit security code but when i used link use it i wasnt sent page enter after multiple trys i gave up monday mo"/>
        <s v="firsttime customer i ordered canned cat food because of good price free shippinggood timely deliverygood&#10;however packaging was terrible both boxes split open from one box cans had popped open spilling liquid throughout three other cans were so badly dente"/>
        <s v="ive discovered petflow because i searched best value i could find bully sticks my dogs ive been really happy with my purchases will look them other pet supplies in future"/>
        <s v="good product but it would have been easier if these bags were boxed separately being a little old lady its hard manage both of them together but its all good"/>
        <s v="i have had a great experience with petflow they carry fromm dog food which can be hard find good prices website easy use i can adjust date of my subscription as needed"/>
        <s v="i had change my password past three times i attempted place an order everytime i ended up having call customer service place order when i tried tell agent what was happening with order app i kept getting replies that basically called me a liar what was ha"/>
        <s v="i was surprised be able talk an actual person whenever i called support one of few places i can buy best food my dog"/>
        <s v="quality fromm dog food treats that can not be found on other sites exceptional service"/>
        <s v="i placed a large order my nd one petflow was running a good special unfortunately they had some internet issues which delayed my order however it arrived fairly quickly giving issues one of dry food bags had a puncture hole in it when i spoke a representa"/>
        <s v="shipping usually pretty fast which much appreciated there seems be an issue with using my credit card on petflow page but now i just use paypal that seems work out fine"/>
        <s v="one of best things i love besides great pet product selection how petflow ships orders if something heavy being shipped with something that can easily be crushed there a u shaped piece of cardboard inserted in box create a protective space easily crushed "/>
        <s v="had a technical problem with my account had call help your rep was very helpful got food ordered delivered quickly"/>
        <s v="really pleasant helpful people on phones lowest price by far of any fast n free shipping great experience"/>
        <s v="i have used pet flow in past many years ago with success dont remember having same issues ive had recently when i started using there company again a dog food called rockster which produced in europe only sold via a couple store fronts petflow where i liv"/>
        <s v="my first experience was terrible i placed an order on may th on may th it was not even being processed i cancelled it placed an order in chewycom got it at same day&#10;i will not use petflow anymore"/>
        <s v="cannot cancel an auto ship online cannot update expired credit card on auto ship online had call nobody available until am eastern finally pause auto ship place new order do not ever set up any auto ship"/>
        <s v="first transaction auto ship went well cheaper than chewy all downhill after that cant log into account change or cancel autoship tried password reset never get email checked junk email as well contact support ok well send you a password reset email umm co"/>
        <s v="i placed an order on may thupdates tracking with fedex did not occur past second day ultimately an agent ordered a replacement order on may on may th shipment was on a truck delivery but did not arrivethe site still said it would be delivered by end of da"/>
        <s v="i just discovered petflow great selection prices just like or better than online retailer named after a jungle i usually get my order in days using standard shipping will continue shopping here"/>
        <s v="items i ordered were exactly what i wanted they were delivered in a timely manner"/>
        <s v="my delivery was very delayed then showed up even a day later than it was supposed very dissatisfied with this past order petflow wouldnt even offer expedite shipping even though delay was on their end didnt even offed a discount a future order"/>
        <s v="when i called order anything customer service representatives that represent your company they are so so nice very knowledgeable just i just love them theyre great"/>
        <s v="product ordered needed be shipped from a further destination fedex gave an arrival date of monday may then changed their arrival date sunday may it actually arrived on tuesday may i had go store buy some dry food see me through tuesday"/>
        <s v="we purchased canned dog food from petflow their prices were lowest we were able find as this brand was hard find elsewhere ordering was very easy shipping was quick flawless we will continue purchase from petflow"/>
        <s v="petflow only place i can find fromm dog food their prices are reasonable they ship quickly"/>
        <s v="it was able order easily delivery was prompt products had good variety"/>
        <s v="i find best price on my preferred cat food at petflow everything also packaged neatly arrived in perfect shape petflow has been great only criticism would be that it took nearly a week receive order but now i factor this in when i place an order ill absol"/>
        <s v="i have shopped at a couple of different online pet sites only be disappointed frustrated when i found petflow say least i was skeptical but my surprise petflow came through as promised not only did they process my order quickly it was shipped just as fast"/>
        <s v="items were received in a timely manner were packaged well descriptions on your website were accurate very detailed this was very helpful"/>
        <s v="i love your fast shipping fact that you use boxes that are strong enough hold contents you carry bags of dr kelseys kitty litter instead of new lb boxes boxes are too heavy me but i can handle pound bags your prices are best"/>
        <s v="i had a very friendly young lady help me order my cat food her name savannah it was a pleasure having her help me today&#10;&#10;today at bottom of this page some unknown reason someone chose type in date as may not so"/>
        <s v="customer service outstanding always kind helpful courteous professional petflow often has special discounts ive applied my purchases can be counted on have special brand flavor of dog food my admittedly spoiled princess dog eats when i cant find it anywhe"/>
        <s v="this second time that ive been sent two shipments system said i needed update my credit card i did then it was double charged foible shipped"/>
        <s v="there was an issue with shipping petflow team resolved it within hours ive been a customer of petflow several years they always come through my kiddos me thank you"/>
        <s v="i had an issue with shipping damage they fixed problem right away a"/>
        <s v="i placed my order on rd of may after a number of phone calls my order hadnt been shipped on th of may i asked my money be refunded i more than understand business small my account stated that my order was shipped on rd when in actuality it never shipped a"/>
        <s v="just discovered this company great price super fast shipping will definitely be back highly recommend"/>
        <s v="petflow has always been great with wonderful customer service support my only issue that they dont protect their canned food deliveries very well i always end up with a few dented cans they do offer make it right i just wish it wasnt every time"/>
        <s v="my order arrived later than expected some of items were damaged leading a frustrating return process petflow has its pros cons i would advise potential customers weigh them carefully before making a purchase"/>
        <s v="person was very kind but as soon as i hung up phone my order was delivered it seems me she should have been able tell it was shipped i never received an email stating my order was shipped"/>
        <s v="great prices great customer service really fast delivery"/>
        <s v="we can count on petflow delivery ontime with autoship like this easy way ordering my dogs food"/>
        <s v="very good prices product arrived in about a week we are perhaps spoiled by next day two day delivery but thankfully i had anticipated running out of dog food"/>
        <s v="great customer service whoever i speak with always helps me with my issue"/>
        <s v="nice quality collar with a quick release snap i love this beautiful blue collar matching leash petflow best"/>
        <s v="i arrived at site via a link that promised a discount discount appeared on checkout page i checked out with discount applied however discount was not included in final billing so i feel i was cheated"/>
        <s v="you bet everyone elses prices your delivery was great order was correct"/>
        <s v="web site difficult navigate it takes several attempts order a bag of dog food"/>
        <s v="petflow had dog food product i was looking i had spent a long time searching other various web sites not having any luck petflow was very good with communications shippingdelivery of my order very excited find them"/>
        <s v="start order did not go through after attempts using my debit card point of me being highly suspicious about a scam it was not until i called phone number because rep in chat text were dismissal that i was notified there was a problem with companys system "/>
        <s v="days since i placed my order online called verify that my order was coming from nj warehouse im in nj about an hr away from warehouse i still dont even have a comfirmation that my order has even shipped"/>
        <s v="they canceled an order without telling me when i sent an email asking what happened response was a little on snarky side i asked a follow up question never received a reply i thought id try this out but its not worththe headache rudeness ill never stray f"/>
        <s v="shipping took way longer than chewys box that fedex eventually delivered was in horrible shape"/>
        <s v="my credit card always getting flagged fraud with this site site itself has good selection with great prices but if i want continue using it i have make a paypal acct"/>
        <s v="price was right time receive product was fast only issue was packaging lbs of cat food lbs littler in a box that could not handle weight cat littler box broke open we had little everywhere"/>
        <s v="all items arrived within a few days well packed&#10;ordered dog food was a bit worried about possibly getting a short expiration date&#10;the food had an expiration date of over a year&#10;very pleased"/>
        <s v="did not like how mostly everything i looked was out of stock&#10;did not like how i was charged an extra not told prior my order came from a different warehouse so i was charged differently this should not have been my fault i shouldve only paid what i origin"/>
        <s v="i called ask a few questions rep could not answer anything luckily i called back got a rep who could basic questions also once when i was a prior customer then with my last order i called assistance was assured my issues would be handled they werent i wou"/>
        <s v="i have had two auto shipments of dog food messed up in less than months first of all i do auto ship with you i order bags of victor nutrapro every weeks my first problem was an order of two bags sent me one was not in a box was taped shut where it had bee"/>
        <s v="shipping was by slow boat very disappointed in that"/>
        <s v="always fair price prompt shipping great products choices"/>
        <s v="it was very helpful have that special with off of purchase its hard me as a senior on a fixed income"/>
        <s v="easy transaction good selection good prices quick shipment"/>
        <s v="shipping literally always late i know that out of your control but it would be worth talking fed ex about it im sure you are losing return business"/>
        <s v="quick delivery of a hardtofind product my dog loves"/>
        <s v="petflow has good prices if you have&#10;coupon codes use google incognito"/>
        <s v="i ordered a case of cans of dog food when it came cans were severely dented i called company they did send out a new case very quickly when new set of came were damaged unusable this isnt cheap dog food packagingshrink wrapping wasnt messed up so im not s"/>
        <s v="online ordering easy product selection great delivery fast good customer service boot"/>
        <s v="we needed dog food asap so petflow rescue plus their subscription program gets food us on time without having wait order we love it"/>
        <s v="easy order delivered in a timely matter when i had a problem with a delivery as crushed cans or a torn bag of dry dog food it was taken care of"/>
        <s v="sure easy navigate experience was quick they have good deals ill definitely be back recommend others"/>
        <s v="good prices selections fast delivery"/>
        <s v="i made a mistake on my order customer service immediately corrected it me"/>
        <s v="always willing put up with my constant changes"/>
        <s v="accurate timely i depend on them every month"/>
        <s v="shipped from nevada ohio then back california it took days get food"/>
        <s v="i love connivence of having my dogs food delivered directly my home it so easy have auto ship if i want choose additional products i just go on line"/>
        <s v="great customer service love your sales i order litter use pharmacy great products"/>
        <s v="very helpful friendly support staff reliable shipping"/>
        <s v="prices are awesome super fast shipping"/>
        <s v="i love selection of products offered my dogs loved treats they received prices are amazing"/>
        <s v="everything was great as alwaysvery courteous helpful"/>
        <s v="extremely fast processing delivery i placed my order night time april food my dog left at my door april pm truly greyhound speed thank you perflow"/>
        <s v="i did not get my dog food i asked fed ex about it it lost i got cat food litter but not dog food&#10;&#10;can you resend it"/>
        <s v="i love pet flow toys are always best quality have a lot of options great service"/>
        <s v="i bought large bags of open farm food from you but now you only sell small bags"/>
        <s v="i love this food my schipperke it has great ingredients delivery very fast i would have recommend fromms friends"/>
        <s v="websites very easy use product arrived promptly product arrived in great shape product that arrived was exactly what was ordered no complaints"/>
        <s v="reasonably priced fromm dry dog food&#10;easy website browse place an order shipping was on time&#10;&#10;will order from this site again"/>
        <s v="petflow had product i needed would rate a star but product took an excessive time ship recieve"/>
        <s v="none"/>
        <s v="quick&#10;easy&#10;kept you informed&#10;open communication"/>
        <s v="a very smooth seamless process secure my spot in breeders upcoming litter"/>
        <s v="easy order i received correct shipment"/>
        <s v="hard find dog food at a good price e quick free shipping"/>
        <s v="easy order wide variety of product choices great prices"/>
        <s v="ordering was easy delivery was fast i found what i wanted"/>
        <s v="cant beat prices very convenient service"/>
        <s v="great prices loved free shipping"/>
        <s v="highly recommended thank you guys providing absolutely phenomenal service"/>
        <s v="my shipment reached grand junction co which close where i live then it was shipped back nevada then back grand junction this second time this has happened all of cans were damaged when i received my shipment"/>
        <s v="love how tall it isand lookjust what i was looking forwas shipped very fast"/>
        <s v="pet flow was very good about my special order they had reach out my vet get script dog food did so i received my order right after that thank you"/>
        <s v="had a problem with my order duplicate customer service fixed right away answered phone with a person i could understand super plus that"/>
        <s v="my order came with cans dented out of this not first time"/>
        <s v="good company order better prices"/>
        <s v="you had items i wanted at a good price my order was filled shipped as advertised ill use your service again thank you"/>
        <s v="ive always had good reliable service from petflow im very happy with experience"/>
        <s v="my card number failed go through properly i didnt know it so i finally called company when i didnt get my product they explained me what had happened i said oh lets go ahead use number again when i went ahead they give me discount my trouble you cant beat"/>
        <s v="always get anything i order on a timely basis"/>
        <s v="prices were extremely competitive everything arrived without a problem delivery was fast"/>
        <s v="i have yet get my order it was easy ordering"/>
        <s v="best value bully sticks nobody comes close every place way more expensive"/>
        <s v="i received what i ordered pronto great prices compared petco i saved compared petco"/>
        <s v="had everything i needed ordering was quick easy speedy delivery"/>
        <s v="furkids love treats customer service was top notch great communication"/>
        <s v="quick shipping a great price i will be a returning customer"/>
        <s v="super fast shipping awesome fantastic prices"/>
        <s v="great communication with frequent updates on my order tracking"/>
        <s v="wish there were more options length of time dog food ordering"/>
        <s v="experience was great shipping was fast very happy with my purchase"/>
        <s v="its a great product family dog loves it"/>
        <s v="lured in by low pricing i ordered a case of a new dog food canned try it out i ended up converting my dog over about days onto this new food i then ordered more cases with petflow of same food i had auditioned transitioned my dog onto&#10;&#10;what a nightmare th"/>
        <s v="order came just as promised very quick shipping"/>
        <s v="best price fast delivery"/>
        <s v="i think you provide good service deliver your products on a timely basis"/>
        <s v="good prices large selection fast delivery good response questions"/>
        <s v="super fast shipping competitive pricing accurate order delivered"/>
        <s v="as i said before a mistake was made with my order customer service immediately fixed it"/>
        <s v="wonderful find natural balance venison canned food in stock delivereddelivered"/>
        <s v="package was never delivered days after order"/>
        <s v="they had what i needed hardtofind item in stock shipped quickly"/>
        <s v="very easy navigate website excellent prices great selection just an overall best experience second none"/>
        <s v="i received my order promptly these people are on their game sure"/>
        <s v="user friendly online shopping experience very good prices"/>
        <s v="i was pleased with prices products at petflow"/>
        <s v="quick delivery on great product at a great price"/>
        <s v="great prices good service"/>
        <s v="got what i ordered it was delivered on time"/>
        <s v="pet flow had an out of stock item we have been looking over months my dogs are so happy"/>
        <s v="great prices free fast shipping awesome"/>
        <s v="higgins parrots feed"/>
        <s v="fast shipping great fresh seed brands i use higgins"/>
        <s v="easy place an order great prices fast shipping"/>
        <s v="good customer service great prices"/>
        <s v="i always get good service at a good price in a very good time"/>
        <s v="good price on pigeon feed shipped with no damage"/>
        <s v="company affordable customer service exceptional"/>
        <s v="everything was perfect thank you"/>
        <s v="great prices prompt delivery"/>
        <s v="ordered you didnt have in stock still waiting"/>
        <s v="easy order at a fair price this day age"/>
        <s v="easy place order delivered on time"/>
        <s v="good price timely delivery"/>
        <s v="they get my stuff i ordered me within a few days"/>
        <s v="love product very fast serviceshipping"/>
        <s v="like always quick reliable"/>
        <s v="good i will purchase again"/>
        <s v="you had what i wanted you got it me quickly"/>
        <s v="you had product that i needed it was shipped quickly"/>
        <s v="great shipping speed bones i ordered are great"/>
        <s v="good price fast shipping"/>
        <s v="fast efficient service"/>
        <s v="easy ordering experience good products"/>
        <s v="my dog loves it"/>
        <s v="fast easy&#10;good price"/>
        <s v="i order in no time my order delivered staff also quite helpful with advice customer service"/>
        <s v="i am committed feeding my cat required ingredients suggested by my vet give tammy quality of life as she grows older because of cost of prescription diet food i have shop around best affordable prices which petflow has provided my number one choice price "/>
        <s v="i needed a prescription food you say you stock your instructions were mail prescription in this seems bazaar in online world after a few days you emailed me saying that i could email a scanned in image of prescirption&#10;&#10;why didnt you provide this right up "/>
        <s v="always fast service good prices"/>
        <s v="best price on kmr liquid powder"/>
        <s v="great service pricing&#10;&#10;thank you"/>
        <s v="first petflow shipped my product wrong address even though they confirmed via email text that address would be updated correct address shipment secondly do not rely on their autoship they have constant delays so it not dependable like everything else abou"/>
        <s v="great service&#10;easy order&#10;shipped quickly&#10;thanks"/>
        <s v="excellent customer service thank you"/>
        <s v="i found what i needed quickly not many shippers carry nutrisource i also got a significant discount through my capital one addon so i bought bags get free delivery they were delivered very quickly as well i am disappointed that they dont participate in fr"/>
        <s v="easy navigate website lots of name brand foods at reasonable prices"/>
        <s v="best prices anywhere great communication from petflow received food four days after ordered pet flow notified me on day order was delayed one day in st paul location but was quicker delivery time than other companies i have used so was very happy find pet"/>
        <s v="shipment was received in a timely manner however cost of canned food i purchased almost can i would have expected a little bit of packaging material in box almost all of cans have big dents in them from being shipped i am glad that though that they carry "/>
        <s v="due shipping restrictions i was unable reroute delivery via my fedex delivery manager this a big issue me because i live in an apartment complex with a lot of theft having my cats expensive food stolen too much of a risk take when ordering from petflow"/>
        <s v="website very easy navigate our purchases were shipped arrived quickly our home prices are best ive found all these things have added up me be a repeat customer"/>
        <s v="easy order quick shipping makes petflow a winner in my book"/>
        <s v="good selection of cat foods good quality fast shipping with fair prices"/>
        <s v="product a case less than competitors&#10;shipping time relatively timely they product came in manageable size boxes not one oversized heavy box"/>
        <s v="they are very responsive an item was missing from my shipment it was reshipped within a day or two"/>
        <s v="fedex failed deliver package even though it was shown as delivered boxes of milk bones one call petflow sent a replacement one week later fedex package showed up most likely dropped off by a neighbor called petflow they said keep treats donate a pet shelt"/>
        <s v="timely orders great communication wonderful products"/>
        <s v="they gave me a credit because something i ordered was no longer in stock new items came very fast"/>
        <s v="it was my second order second time it was easy with high expectations&#10;thank you nice service"/>
        <s v="tried chewy but there no comparison pet flow your service far above them my order always delivered quickly customer service department great helpful i am a returning customer pet flow best"/>
        <s v="prompt services delivery competitive pricing"/>
        <s v="lowest price i could find fast shipping knowledgeable polite customer serviceone small flaw wasnt able use paypal no biggie"/>
        <s v="always good products always good prices repeat customer many times over"/>
        <s v="i received packages in good shape as promised with little delay products were as described much appreciated thank you petflow"/>
        <s v="had call in because of recent c card change efficient quick delivery thank you"/>
        <s v="petflow offers items my dog at lower prices than other pet supply websites there arent as many choices as bigger websites but i look at petflow first when i need something because of their good prices my order shipped quickly accurately"/>
        <s v="i can change order they always catch up with changes"/>
        <s v="that it got delivered in time your price fare"/>
        <s v="they got my order out me in a timely matter a good price"/>
        <s v="we needed small litter pans were able find them at petflow not only were we able buy quantity we required but these were also lowest price available online thank you petflow"/>
        <s v="easy use website i found product i wanted notifications sent through whole process after purchase was made product arrived when specified in whole undamaged form well packed"/>
        <s v="i am very happy with fast delivery also knowing that my ordered items are available im still learning how navigate auto shipment with petflows system there are too many shipment options on page i have accidentally double ordered because of how auto shipme"/>
        <s v="we appreciate your efforts keep orijen products in stock past five years our puppy has been alive you get them us fast thanks"/>
        <s v="great customer service chews need be long lasting"/>
        <s v="this was first time i had use a prescription food staff was on ball got taken care right of way shipped me in days"/>
        <s v="auto ship a lifesaver prices are comparable store prices but never having worry about running out fantastic they are always on time as promised"/>
        <s v="they are still bothering my vet a prescription on an i order i canceled annoying"/>
        <s v="best prices fast free delivery you can get cashbak with rakuten"/>
        <s v="i got what i order when was suppost be deliver"/>
        <s v="reliable easy ordering quick shipping their prices fish food we use best you can find&#10;dont hesitate use petflow&#10;theyre outstanding"/>
        <s v="always great finds at great prices on your site"/>
        <s v="i was very pleased about shipping that it came on day it said it would also i like price a lot of people in amazon are price gouging so this nice thank you"/>
        <s v="fast shipping was provided as i was running low on canned dog food only problem was some of cans were smashed they still were able be opened but tough get all food oyt"/>
        <s v="love large guinea pig house she loves cloth ones without a bottom petflow was only place i could find them so happy they had them i will absolutely continue order from them"/>
        <s v="quick shipping easy websitecost up tho"/>
        <s v="rapid response&#10;personal interchange&#10;human contact"/>
        <s v="first time customer ordered prescription food so it had be approved by my vet still had my order in less than a week thanks speedy delivery"/>
        <s v="this was my first time purchasing products available my cockatiels while limited were good quality issue i have with packaging of pounds of millet they need be put in a bag first prevent seeds from spilling out into larger box it creates wasteage a mess b"/>
        <s v="very professional my orders are always right on time"/>
        <s v="i have a been a long time chewy customer you beat their price on one of items then with autoship you beat price on other item so i gave you a try you delivered&#10;&#10;i am new plan stay"/>
        <s v="timely delivery wide choice of product at a competitive price"/>
        <s v="original order on damaged in transit heard nothing a week after i called replacement order initiated supposed be delivered on its now order still showing intransit from nj with no additional info as eta or when my order should be delivered very poor perfo"/>
        <s v="a better value than their competitors fast service thank you"/>
        <s v="had my product in stock great price payed shipping thank you"/>
        <s v="always fast friendly service"/>
        <s v="fast delivery cans not dented price"/>
        <s v="my order was processed shipped promptly at a very good price"/>
        <s v="prices are comparable free delivery great"/>
        <s v="so happy get my very hard find dog food"/>
        <s v="we like ordering from petflow orders come quick it easy get what we need our babies"/>
        <s v="easy order it shipped quickly pup enjoying toys"/>
        <s v="so easy order online was quickly delivered my home"/>
        <s v="i like that i was able find food my dog that hard locate in pet stores my order was received within five days my pup was very happy i will definitely make more purchases from petflow"/>
        <s v="i have used pet flow a number of times they are usually on time get things shipped timely"/>
        <s v="what can i sayevery order on delivered in a very reasonable time selection of products as well as price spot on"/>
        <s v="great wish they had an app wish shipping was faster"/>
        <s v="never no discount or coupon fromm food spend dollars a month on from food"/>
        <s v="you see brands of dog food other companies do not"/>
        <s v="love sales that petflow sometimes has i always get what i ordered as expected in a timely manner easy check out too"/>
        <s v="i called help with an order agent wanted me be schooled on how add an auto order i just wanted her help me delete start new order she said in a not nice way that if i didnt learn i would call each time im staying with chewy best service always helpful che"/>
        <s v="name brand item at good price there was a problem with my credit card being accepted i called talked a real human being was helped promptly&#10;customer service with real people getting either rare today"/>
        <s v="whenever i have a problem its always taken care of immediately"/>
        <s v="company easy work with helpful when i have had problems easy work with resolve any issues shipping timely also"/>
        <s v="i got my order on time it was less expensive than any other place"/>
        <s v="fast easy shop order plus customer service was great answering my questions via email"/>
        <s v="you have a toy that my dog loves i have trouble finding it but you have it so thank you"/>
        <s v="customer service nonexistent shipping takes forever"/>
        <s v="better prices than chewy shipping a bit slower but worth it if you just plan ahead&#10;&#10;first order with them took about a week get second larger order only took a few days from east west coast not bad at all good selection of products also"/>
        <s v="prices good fast leaning a but much on subscribing my cat an animal things need be flexible not locked into same food delivered regularly cant i get a discount without subscribing"/>
        <s v="ordered twice order was canceled with no explanation finally called they said my cardorder was suspicious that i needed call i went ahead ordered from petco instead they had no issues with my payment then i asked them take me off their mailing list which "/>
        <s v="i ordered dog food it was delivered next day"/>
        <s v="when item was ordered i didnt receive any communication as when it would arrive that was accurate after email stating that it was ordered also initially form of payment used was incorrect company didnt notify me or communicate with me so that i could corr"/>
        <s v="always have fromm dog food in stock always received my order within days great service"/>
        <s v="you ship so fast i really appreciate plus your products prices are really good affordable i can count on my dogs getting exactly what they need thank you"/>
        <s v="great customer service when an issue arises"/>
        <s v="petflows customer service great always someone helpful answer phone solve issues"/>
        <s v="ordering from their website easy they have good prices fast shipping"/>
        <s v="well it all started with me not noticing that shipping address was wron i didnt notice it until order was done so i sent an email a test if i remember correctly i then received a phone call discussed wrong shipping address with someone who assured me that"/>
        <s v="i had been shopping from another company but prices were just getting steep i found petflowcom have reasonable prices all products i needed my fur babies customer service has been great i recommend pet flow all parents up fur babies"/>
        <s v="i searched internet petflow had best price blue buffalo brand delivery was quick we are very satisfied"/>
        <s v="if i could give a rating of zero stars i would i order two different times both were immediately cancelled no reason given i texted emailed you company with no response i have since started using a different pet company my needs&#10;no customer service at all"/>
        <s v="easy use website food arrived on time"/>
        <s v="you offer fast shipping my fussy cat who only eats three things i appreciate your quick turnaround time"/>
        <s v="delivery was delayed i was expecting it friday it got pushed until monday this was my first time ordering so ill be wary if i order again be mindful of delays not sure if this experience those on auto ship have"/>
        <s v="excellent telephone info easy buyreceive what our pets needed qualityprice were best i could find also"/>
        <s v="my dog had dental surgery i needed more royal canin canned food my usual stores out of stock i discovered petflow online great price super fast ship my new go store i recommended many friends"/>
        <s v="easy order on line quick delivery when i called customer service they were exceptional"/>
        <s v="only place i can get smallbreed dog food i need fairly fast shipping very helpful customer service"/>
        <s v="petflow has lost me has a customer weve been ordering on a consistent basis since july so just shy of years this final straw has been last two months when we decided order all our food month in one large order we have been told we are fraudulent then petf"/>
        <s v="ive been ordering from my chihuahua since he was a puppy hes now two years old everything so quick prompt best company ive ever dealt with when it comes my dogs thank you"/>
        <s v="amazing company that im glad i found your prices are great your customer service super friendly helpful"/>
        <s v="petflow had best overall price with shipping i could find anywhere on items i needed shipping took a few days but only one company offers next day delivery their goods prices are increasing"/>
        <s v="no problems fast shipping"/>
        <s v="we never received this order&#10;we have received several emails that say our order was delivered but it has not arrived"/>
        <s v="product arrived quickly as i was running low"/>
        <s v="my order my precious pets arrived promptly in good condition my dogs have loved food treats i have been pleasantly surprised so much that i have made a second order"/>
        <s v="i ordered kong toys my pitbull just loves them squeaker a prolonged one so it really keeps him entertained&#10;i would recommend these anyone who has a curious pup&#10;as petflow they have a vast array of items experience was a pleasant one i would recommend doin"/>
        <s v="fast delivery fairpriced excellent service my chessie thank you"/>
        <s v="petflow had all information from a purchase from some time ago&#10;immediately filled order sent pet food which arrived in no time&#10;smooth"/>
        <s v="i ordered well over a week ago still have not received it"/>
        <s v="product was just what i was looking we have three large dogs they enjoy big bones chew on local store that we use purchase them from no longer carries them i told vet this she suggested go online i found petflow was very happy find same bones a a great pr"/>
        <s v="easy order fast delivery"/>
        <s v="amazingly fast shipping our dog has allergies so getting right dog food consistently important petflow has come through twice now us"/>
        <s v="pet flows price science diet was less expensive than other online suppliers i checked with i received my order within two days of ordering overall i was happy with my shopping experience"/>
        <s v="convenience of having products delivered my door a big plus dog food always fresh if when i have call assistance everyone friendly helpful"/>
        <s v="order was filled quickly shipped right my door i know from experience that if i had a problem with my order it would be worked out it a great company"/>
        <s v="items i needed were in stock when i couldnt find them elsewhere i have switched my subscription service petflow fast shipping too"/>
        <s v="part of my order was incorrect but they promptly took care of it arranging pick up incorrect items delivering correct ones"/>
        <s v="i found dog food i needed an excellent price it was delivered quickly"/>
        <s v="i was hesitant after i made purchase as i looked at comments saw how people had trouble with shipping i was grateful have not experienced this i immediately received a tracking number my order arrived on time"/>
        <s v="fast shipping lower prices than many other places ive bought my dogs favorite brand of food"/>
        <s v="i received a broke cracked pet carrier they shipped a new one very next day it arrived in good condition"/>
        <s v="easy ordering fast shipping"/>
        <s v="wrong dog bowls were sent then they wanted me return them by fedex would send me correct ones but when they did that they sent them by fedex ground they would not have arrived in time when i called they said there was nothing they could do except cancel i"/>
        <s v="i am a first time customer of pet flow representative was available upon calling ask a few questions rep was very courteous knowledgeable answer all my questions able track order which arrived in two days yes i will order again"/>
        <s v="i love that my dogs favorite dog food i order gets delivered right my front door in a matter of two days whats better than that"/>
        <s v="prompt delivery product just as described arrived without damage"/>
        <s v="came timely it was easy order"/>
        <s v="ordered prescription food my diabetic dog first time with petflow transaction was handled smoothly correctly order arrived on time as expected"/>
        <s v="wonderful company great selection of products super quick shipping very reasonable prices outstanding customer service"/>
        <s v="great pricing free shipping acceptable shipping time"/>
        <s v="ordering was easy shipping was fast"/>
        <s v="petflow always in stock ships immediately my pet supplies arrive in perfect condition no complaints here"/>
        <s v="petflow website easy navigate my order was processed shipped quickly accurately"/>
        <s v="sitejabber website reviews complaints&#10;thanks your review was successfully submitted woo hoo &#10;our internal mod team will take a look notify you when its posted&#10;&#10;thumbnail of user ardigoc&#10;ardigo c&#10; reviews helpful votes&#10;whew&#10;april th &#10;i ordered a few items "/>
        <s v="fast delivery always have what i want at reasonable prices"/>
        <s v="i ordered my dogs food it came right in time"/>
        <s v="was happy get our new puppy food we were looking at a good deal however dog food bag had a hole in it food was scattered everywhere box was falling apart which was not a big deal except that our food bag had a hole in it"/>
        <s v="fast easy service timely delivery easy return well be back order again in future"/>
        <s v="my order was correct came quickly was as advertised my doggos love love love this food i loved ordering experience"/>
        <s v="my order hasnt been shipped after over a week when i reached out i was told i had call management im glad i received a prompt response but i dont want call anyone i didnt want wait any longer so i went back chewy although your prices were a fraction bette"/>
        <s v="excellent items packing was also excellent fast shipping will order again"/>
        <s v="most items are always in stock reasonably priced my orders are shipped promptly keep up great work"/>
        <s v="very nice quick with my order unlike some other companies who delay my package love it coupons please send more because we in a recession thank you"/>
        <s v="been ordering from petflow a few years now they have fast shipping always get my order correct i also like that they have many different foods products choose from"/>
        <s v="my first time with petflow it was a fluke how i heard about them glad i did wonderful website easy use im not a tech savvy person love autodelivery discount variety they have my little ones flavor of pure vita dog food hard find online but petflow had it "/>
        <s v="always a positive experience quick delivery has always resolved promptly if there are any issues"/>
        <s v="quick delivery good prices trustworthy we always get what we ordered thank you"/>
        <s v="representatives are very understanding easy work with"/>
        <s v="i had a little trouble placing order initially but that was apparently me rather than site once order was placed i received an email stating that one of items was out of stock would ship from another location i went website found that on remaining parts o"/>
        <s v="you have decent prices quality products i am a customer life"/>
        <s v="both times that we have ordered we have gotten out purchase when promised&#10;only thing i have that may need be worked on ordering site it took me like times finally fulfill my order"/>
        <s v="love pet flowbeen using them years now"/>
        <s v="ive never heard of this company they sent me an order confirmation wouldnt tell me what credit card was used but apparently someone targeting them gain what i have no idea how does using a stolen credit card ship something someone who didnt order going be"/>
        <s v="petflow amazing dog food i ordered was out of stock from other company i have used so i was so pleased petflow had it in stock it got me quickly which surprised me since it came fed ex who i have not had a great experience with speedy delivery so thrilled"/>
        <s v="all of my experiences with petflow are amazing"/>
        <s v="first attempt pay failed due a fraud control with my credit card after i approved it website did not let me retry payment it was some glitch i attempted calling petflow during business hours but i was put on an endless wait of over minutes i ended up canc"/>
        <s v="very quick delivery high quality products i really appreciated how good they were at communicating status of order as well will definitely shop with them again"/>
        <s v="you should have known when i placed my order that you did not have it in stock"/>
        <s v="easy shopping great products comparable prices fast shipping"/>
        <s v="shipping was quick order was right prices are getting awful high but i guess that due our rotten economy"/>
        <s v="if i could give you a star i would i was a new customer i purchased a bag of dog food my dog that has a super sensitive stomach i waited days food never arrived so i had call customer service them finally tell me that i was flagged fraud so my dog had no "/>
        <s v="buyer beware petflow had so many excuses as why they couldnt ship my prescription order cc wouldnt work vet clinic wasnt on record it was my account was flagged fraudinformed fraud dept would reach out me never happened then my order of hard find food wen"/>
        <s v="quick service easy use"/>
        <s v="i buy canned dog food i should have split my order into two because i could have taken advantage of two discounts that way it was an expensive order but i only used one discount my fault it cost me&#10;petflow has best price on dog food that i buy i tell peop"/>
        <s v="web site needs be a little eiser use i have a hard time adjusting auto ship without out deleting product resubmitted increase or decrease amount of product&#10;&#10;also i need pigeon grit be added sale i also use versa laga grit red stone"/>
        <s v="petflow has food toys my dogs love website easy use my orders arrive quickly"/>
        <s v="customer service awesome ordering online quick easy my dog loves these treats"/>
        <s v="super delivered my home price good"/>
        <s v="very helpful polite phone staff prompt delivery a positive shopper experience will continue shop my cats rx food from petflow"/>
        <s v="i placed an order my card was charged then credited a day or so later then i was locked out of my account i created another account same thing happened all no reason my orders were never shipped it was a waste of my time i dont understand what problem was"/>
        <s v="well you know what they say about st impressions&#10;the csrs are never on same page when asked same questions when csrs were asked when will i receive my shipment answers varied between csrs&#10;one csr said everything will ship on monday while yet another said "/>
        <s v="delivery slower than chewy occasionally items are sold out"/>
        <s v="it only recently that we came back petflow after a period of being away no particular reason this we are very pleased with experience will be coming back as a customer meanwhile we had been doing business with a major competitor of yours their customer se"/>
        <s v="my dogs were having an allergy attack you gave me ideas on what do what buy allergies it really helped"/>
        <s v="shipping was superfast koko got her favorite food at a price that left me amazed not mention a bit piqued at myself paying so much more from other major online stores last several years note that this wasnt any kind of sale it was petflows regular price s"/>
        <s v="pet flow always gets my order right delivers in a couple of days"/>
        <s v="they had product i needed at a great price fast shipping too"/>
        <s v="place order first time on petflow a difficult product find on after almost two weeks i attempted log in my account on website which had been deleted my payment had post via my bank on no refund so i called customer service was told my order had been cance"/>
        <s v="ordering was very easy cost was less than most places shipping time was outstanding days that was over a weekend"/>
        <s v="i had some issues on broken items due poor packaging i let pet flow know they took care of it i have been using pet flow a long time this my first problem yes i will keep purchasing from pet flow"/>
        <s v="my order was canceled i was given no notification about cancellation additionally when i talked a customer service person inquire they were not helpful either they couldnt tell me what caused cancellation because payment done through a third party it was "/>
        <s v="products i needed were very reasonably priced delivered my door step quickly"/>
        <s v="shame on petflow&#10;&#10;the shipment of dog food year old dogs failed be shipped&#10;&#10;ordered on i was informed my vet had approved hills prescription wd canned dog food&#10;&#10;on petflow informed me due uncertain times were currently delayed on email too busy fulfill an"/>
        <s v="good product good service"/>
        <s v="first time purchase two orders were cancelled no reasons i called customer service they said they will investigate send me an explanation email received no explanation nothingand agent attitude was terrible one of order refund has not been issued until i "/>
        <s v="i did not order anything but received multiple emails about an order being delivered my name my address&#10;i didnt receive anything&#10;something seriously amiss here"/>
        <s v="overrall experience with this online vendor excellent however they frequently run out of products often sometimes they delay thr shipments&#10;the possitive that they try help clients when they call on phone"/>
        <s v="petflow my first choice dog supplies great customer service friendly people who genuinely care about their customers"/>
        <s v="i never placed an order with you but my credit card was charged by someone else"/>
        <s v="prices are very competitive shipment arrived very quickly"/>
        <s v="great price with opportunity get free shipping fast accurate shipping order filling they had dog food i was looking"/>
        <s v="i still havent received my order&#10;it took over two weeks receive a call from petflow after placing my order evidently they didnt have my full address that has been at least a week still have not received a shipping notification i ordered puppy food because"/>
        <s v="good company nice people that can be reached by phone right away no robots&#10;&#10;good selection of products very helpful do not rush you&#10;&#10;petflow carries my favorite cat dog food orijen"/>
        <s v="i ordered boxes of pound cat litter i got a great deal hr shipping an easy shopping experience plus raukten had cash back this was a better deal than chewycom which usually best i am very happy"/>
        <s v="fast delivery&#10;accurate order"/>
        <s v="good products at good prices delivered timely"/>
        <s v="very good service thank you"/>
        <s v="every time i order from petflow i get fast service its nice know when i need food or treats or toys they are on their way quickly i also like receiving tracking information keep in loop"/>
        <s v="order canceled no reason or notice given"/>
        <s v="great prices fast delivery almost everything taking care of your pets"/>
        <s v="did not like that i buy a membership in order save on my purchasevery disappointed with that part of checkout"/>
        <s v="left product out by street in rainit was covered in plasticbut still by street bad news"/>
        <s v="i ordered some guinea pig food price was better than any other place it shipped out fast company did a great job emailing when it shipped out with tracking products arrived perfectly packaged in a box that was just right size shipment nothing was damaged "/>
        <s v="i have ordered twice now from this company fast shipping boxes arrived in tact no problems"/>
        <s v="i had been looking best auto ship on wet cat food found petflow be best they ship quickly whole experience just great"/>
        <s v="good prices great customer service you also carry brands that mainstream stores do not"/>
        <s v="i ordered dog food be sent my daughters while she keeping my dog you evidently canceled my order was not advised by petflow"/>
        <s v="i always did love petflow only switched after years of buying from them because it took a bit longer receive product than was convenient after finding out that they carry a product i was not able get at my current pet food company i decided try again it s"/>
        <s v="account flagged as fraud long wait time customer service had give credit card info over phone cant get a password email reset even though you recognize my email address so cant access account"/>
        <s v="petflow published an anniversary discount of orders over i was so frustrated when my order wouldnt accept discount i called petflow spoke a real person bonus points better still customer service rep was apologetic friendly worked with me get discount appl"/>
        <s v="website takes too long navigate&#10;shipping takes too long&#10; days from order delivery"/>
        <s v="great prices fast shipping only compliant several cans were dented but they were still sealed"/>
        <s v="this a fake account i already called my bank you a few weeks ago someone using my email address an old card that already marked fraudulent purchase cat supplies i dont even own a cat i have unsubscribed continue get these emails from your company when i c"/>
        <s v="friendly competent person that took care of my problem quickly"/>
        <s v="star may or may not be fair but its make a point i have not prior history or account with petflow i randomly started receiving multiple daily emails from petflow regarding multiple orders made including order updates multiple people in multiple states i s"/>
        <s v="i ordered cat food when it didnt come i was just running out i called they didnt even bother tell me that it had been cancelled because they couldnt verify that order was from a real person"/>
        <s v="round cat scratcher fitted perfectly inside a round woven basket that my cats love i had remove cardboard supports which was easy do&#10;many thanks"/>
        <s v="not sure why but i had a monthly subscription set up with my name old address some credit card i dont own not sure what caused it website wouldnt let me cancel anything so i had call in talk with someone get them cancel it person was really helpful but it"/>
        <s v="easy online ordering product came as promised with no issues"/>
        <s v="pricing ease of using your website"/>
        <s v="we received a shipment from petflow never made an order when we contacted petflow customer service rescinded order sent a notice fedex pick up package we were supposed leave package outdoors after days we contacted customer service again pick up package f"/>
        <s v="i keep getting emails about orders i did not submit showing a shipping address in mexico ny i am reluctant click on any link in their email message will not call number listed as this appears be a scam"/>
        <s v="excellent service super fast delivery"/>
        <s v="first time i used automatic dog bowl it leaks around fitting"/>
        <s v="my purchased was flagged canceledi have called twice no one can tell me whyi am pissed"/>
        <s v="ordered times from petflow great customer service every time they answer calls respond emails honestly do everything you would want from a company not mention affordable prices"/>
        <s v="lb bags of dog food in one box too heavy i cant move it"/>
        <s v="i am getting emails about orders i did not place i have replied back numerous times i am not jeff i have not placed any orders with you based on this experience i never will i would like you leave me alone"/>
        <s v="delivery time product wasnt as promised it was completely unacceptable"/>
        <s v="amazing experience&#10;my package was delivered on time very fast"/>
        <s v="product was delivered as promised"/>
        <s v="pet flow always has my dogs food in stock it arrives very quickly"/>
        <s v="easy use app ordering always quick delivery also if i order a large bag of food my dog i get free shipping"/>
        <s v="have had very good experience with petflow&#10;good products with great shipping&#10;will order more"/>
        <s v="price was much better than most other places that i have purchased i reached out you about changing my shipment response was great i will continue purchase from this company"/>
        <s v="quick reliable service ive been with them a while now sometimes it takes longer in winter"/>
        <s v="i love convenience of petflow i live in a rural area they are best price value having my dogs specialty food shipped they make it easy with auto shipments even when i need change dates its very easy shipping always as expected as well"/>
        <s v="i have never shopped with you guys remove my email from your marketing emails company"/>
        <s v="first time purchasing beats amazon prices"/>
        <s v="i always find a great selection of products competitive pricing"/>
        <s v="all was well with initial service product problem with your packaging of two large bags of dog food in one box box quality mediocre at best dog food too heavy too large box box broke open this could be foreseen also many seniors order from you boxes are t"/>
        <s v="i am happily impressed with personal service speed of delivery from petflow as long as petflow carries pet food i use i will continue shop petflow"/>
        <s v="exceedingly expensive&#10;if i oculd attach a screen print id show prove it you look at price same item from chewy most other reputable companies i put chewys link here but trust pilot doesnt allow links too bad because it was proof&#10;chewy oz cans of medley&#10;an"/>
        <s v="ive been buying from petflow several years every order has been carefully packaged timely delivered shop with confidence"/>
        <s v="what i ordered was in stock order fulfilled promptly"/>
        <s v="great quality products very quick shipping"/>
        <s v="i bought kong monster balls our beagle her second set of them she loves them so much she hardly plays with any of her other toys"/>
        <s v="your two representatives tristan ryan were knowledgeable professional courteous they helped me through process of creating a subscription account"/>
        <s v="good prices delivered as expected"/>
        <s v="you cancelled my order because i made it while traveling abroad dont worry i will never visit your website again"/>
        <s v="my dogs most favorite treats are impossible find thankfully petflow has them in stock regularly no more rationing their favorites always fast shipping arrives in great condition"/>
        <s v="prices of blues buffalo wilderness canned dog food was good delivery was late bc it was out of stock which was fine however six of cans were dented which i wont use"/>
        <s v="fast shipping prices in line with other companies"/>
        <s v="great prices fast delivery"/>
        <s v="great selection price fast delivery"/>
        <s v="had never heard of this company before was planning use chewy our order but found this company in an online search they offered a coupon so i opted give them a try our order was prescription dog food so we had go through mailing in script same every compa"/>
        <s v="easy navigate website you had food both my pets"/>
        <s v="very pleased with purchase price was great better than amazon free shipping over certain amount fast also very well packaged often from a it looks like it rode behind truck not in it very happy with petflow they be my new goto supplier thank you petflow"/>
        <s v="my first order was cancelled in error by merchant they were quick resolve this when i called unfortunately same thing happened again when i ordered other merchandise again they were quick resolve this with a phone call customer service folks are excellent"/>
        <s v="easy me order package showed up in a very timely manner"/>
        <s v="prices are good&#10;wish delivery was faster"/>
        <s v="i added a few things my cart left a bit get some lunch i came back several emails telling me about contents of my cart coupons on such it had been like minutes yall was already bugging me calm hell down&#10;&#10;further i had off coupon so i applied that but beca"/>
        <s v="i have sent in prescription several times my order still has not been filled it way too time consuming"/>
        <s v="i havent received order after two weeks i havent received a reply from help desk about when its coming"/>
        <s v="petflow definitely had best price on this item that i could find including prompt free shipping"/>
        <s v="fast great prices great selection super customer service"/>
        <s v="best prices that ive found great customer service shipped my order promptly"/>
        <s v="found pet flow purely by accident when looking a specific dog food kibble online made my first order which was shipped promptly arrived in a few days i also noticed that prices are very competitive shipping free over a purchase"/>
        <s v="i know that road conditions my order were difficult but delay was minimal"/>
        <s v="likes good pricing fast shipping&#10;dislikes not disclosing all information about pet food ingredients lack of customer support"/>
        <s v="my first experience was excellentfrom quality of productmy dog loves chicken treatsto customer service sale was a great way me become acquainted as i do live on a budget"/>
        <s v="your website very intrusive hard navigate all i wanted do was look up availability choose pay it invariably brings up prior views goes all over even signed me up recurring deliveries decided leave shop somewhere else"/>
        <s v="i have been using this company years will continue do so they carry highquality product have a great customer service fast shipping"/>
        <s v="petflow has such a variety of options your pet i have a very picky cat cant always find her choice of food at pet store thankfully i discovered petflow they were way less expensive than store i normally shop at had exactly what i needed food arrived in pa"/>
        <s v="price was good product was received promptly ordering was easy only issue was that most of cans in one case were severely dented customer service responded quickly provided a new case"/>
        <s v="ive ordered several times from petflow&#10;they have excellent products easy website navigate good customer service"/>
        <s v="low prices fast shipping"/>
        <s v="quick delivery when everyone else so slow or delayed accurate orders petflow cares about animals by donating a portion of profits"/>
        <s v="i received dog food i ordered in a timely manner they offer a wide variety of food"/>
        <s v="fast shipping on hard find item thanks"/>
        <s v="i order from petflow a lot never been disappointed"/>
        <s v="upon placing order i received email from petflowasking me allow a couple of days while vet contacted around middle of week food was delivered as promised with no hassles my cat can not conusme any other food this veterinerian prescribed diet seems so far "/>
        <s v="i had call customer service regarding an auto ship that i needed sooner somehow i had an extra bag of cat food arrive i may have made error but when i called petflow representative they were willing take bag back however i wanted keep it as product has ke"/>
        <s v="food arrives quickly well packaged they carry fromm dog food which chewy petco dont carry"/>
        <s v="item was priced very fairly shipping was soo fast just an excellent experience"/>
        <s v="when i got my package i found that i was only sent half of my order i called customer service got ready go rounds with someone telling me they were sorry but it wasnt like that at all i was immediately sent another shipment no fuss or hassle me it service"/>
        <s v="i already reported that this my email not dale leonards i was told that dales account was removed from your records please remove my email from your records&#10;thank you&#10;d beatson"/>
        <s v="lots of finger pointing between my vet petflow im not sure what problem was but vet said he never heard from&#10;petflow vet so preset want processed first time in last year ive had any issues with process on prescription dog food anyways once i stirred pot l"/>
        <s v="it was easy find product place order shipping was super speedy which my cats appreciated"/>
        <s v="it arrived in time no delays or hiccups in delivery"/>
        <s v="its always great great low price super fast shipping great experience all way aroundlove pet flowthanks"/>
        <s v="pedros mom allison was attentive helpful pleasant shes a truly a professional customer service agent"/>
        <s v="thank you excellent customer service"/>
        <s v="constant account hacks i would be recommend"/>
        <s v="my account was hacked my credit card information was mixed in with at least one other strangers information when i advised petflow about problem i was merely told i had been victim of some outsiders actions start a new account with a different email addre"/>
        <s v="easy use website fast easy shipping great products it would be nice if free shipping limit was lowered"/>
        <s v="very cool customer service quick shipping price high but puppies love it"/>
        <s v="wrong product was shipped petflow immediately sent out correct food my dog great customer service will definitely buy from then again"/>
        <s v="pet flow most awesome online pet food provider in market even w trivial issues we incurred they prevailed as winner so did we thanks"/>
        <s v="package order was ok just left at wrong house i did not see any notice of delivery"/>
        <s v="i have always had good service from petflow i have received damaged cans they have always taken care of me i donate damaged cans shelter customer service reps have always been very friendly professional i love that they also donate shelters rescues it mea"/>
        <s v="just switched over you from many years with chewycom ongoing out of stock our prescription food then far too many cute apologies&#10;&#10;came you fill you had inventory twice actually now i am on auto with you&#10;&#10;thank you"/>
        <s v="i ordered items one never shipped both items were coming out of same warehouse shipping st item took days when my order arrived i called tell them my nd item never came customer service was great said they would rush that item out since it was their fault"/>
        <s v="very hard work with even though i had a prescription from veterinarian office which they never contacted carolina beach kept sending me same message if you have a copy of your prescription please email a clear copy along with your order number we may be a"/>
        <s v="ease of ordering modifying my auto ship order"/>
        <s v="all of information you need fill my order you have on file which helps things go very smoothly"/>
        <s v="i tried ordering dog food twice both my orders were cancelled some reason never received an email saying it was canceled just never reviewed package had log onto my account check what was going on both times ended up having get dog food that my dog has ne"/>
        <s v="everything came quickly but bird treat sticks came all broken up i wish there was a better way send them"/>
        <s v="i am getting emails telling me that my order on its way or its delivered i did not order anything recently please get this straight&#10;nothing being charged on my credit card i just get emails saying my order on its way some address i dont even recognize in "/>
        <s v="no issues will order again"/>
        <s v="i placed an order with no explanation or email they canceled it i logged on my account see why it was taking so long deliver it just said order canceled i called customer support waited on hold minutes then it just hung up on me worst customer service eve"/>
        <s v="every time i have called everyone very respectful answers my questions"/>
        <s v="order came fast&#10;staff answered my email quickly helpfully&#10;this company actually has real people who answer phone are sp pleasant helpful&#10;prices are good"/>
        <s v="always works perfectlyorder online what i ordered delivers in a few days"/>
        <s v="it was real fast service get bag of pet food our puppy appreciated it"/>
        <s v="it was great receive dog food in three days delivered my door lowest price"/>
        <s v="i ordered two cases of merrick grain free chunky pappys pot roast canned dog food i received one case of correct item one of another food one of my dogs has a chicken allergy so we checked ingredients on cans we didnt order they had chicken in them i call"/>
        <s v="although i received an email stating my order needed be fulfilled by a further distanced warehouse that my order could take up extra days this company was able deliver my goods on original date&#10;&#10;this was important because no one in my area had this certai"/>
        <s v="it was easy place order online it came quickly"/>
        <s v="great service ships on time have purchased multiple times"/>
        <s v="this account was supposed be closed as it fraudulent still getting emails it looks like their purchase went though please close this account"/>
        <s v="very good prices on dog food we need also fast shipping"/>
        <s v="my e mail bein used through your website without being verified by myself i am not using your website at all"/>
        <s v="fast efficient delivery of a difficult find product"/>
        <s v="my account was hacked charges were made then i was told times they restarted my autoship but never did then locked my account meanwhile im expected my dogs food that i cant get around town"/>
        <s v="great prices i texted with a request was answered within hours with a nicely stated response"/>
        <s v="i have been dealing with your company a very long time just love doing so all of representatives are so friendly helpful a quality that seems lost in these times"/>
        <s v="two of things i ordered were out of stock but there was no indication when i placed order that they were so i was quite disappointed when i opened box two items were not inlcuded"/>
        <s v="mr bigdog samson loves cranberry treats parmesan treats best hell eat both but picks out cranberry first art"/>
        <s v="outstanding customer service reps they are very knowledgeable helpful thank you"/>
        <s v="what a great place shop dog food"/>
        <s v="there a glitch in your system my account kept going auto fill even though i cancelled it back in i should not have a problem now that i asked have my account deleted"/>
        <s v="prices were great orders were sent right away"/>
        <s v="great service ultrafast delivery"/>
        <s v="twice now ive relied on petflow send me my blue wilderness but its been out of stock very disappointing"/>
        <s v="my order was canceled i wasnt notified when i called find out why i was told it was flagged as fraud due quality in my order i explained it was not fraud it was less than a month of food my two dogs i was told they would reach out team that blocked order "/>
        <s v="my login was hacked a fraudulent order was placed using my account even after i asked petflow cancel order fully delete my account they still sent me a request review order on trustpilot seriously"/>
        <s v="petflow always has best pricing fast shipping auto ship wonderful never forgetting all your pets needs its also customizable would definitely recommend petflow"/>
        <s v="great selection ontime shopping"/>
        <s v="prices speedy shipping best feeding hungry dogs even better"/>
        <s v="prices are generally same as amazon service better prefer support a private company when possible they sell fromm products"/>
        <s v="petflow a great place that offers best bang your buck&#10;toys were as described pups were very happy"/>
        <s v="i screwed up my order mikaila fixed it without a problem my items arrived quickly i appreciated new customer discount as well"/>
        <s v="we have used petflow years through course of many dogs have always found them very informative caring a company that we do buisness with monthy between petflow chewy there no better fullservice animal food etc provider"/>
        <s v="petflow always responsive great at filling our monthly auto ship order happy do business with them"/>
        <s v="even though i have complained before petflow continues package two lb bags of food on one box resulting in gedex carrier drop box contents inside burst open"/>
        <s v="i got a great deal on a great product i was worried because i had never shopped with petflow before i received my order in a timely fashion i received plenty of notification about status of my order particular dog feeder i was looking was out of stock oth"/>
        <s v="easy ordering process my only complaint that it would be more convenient see past orders order again or edit an order as having go thru search products needed my cat on special diet just need be able order his food in a quick easy fashion"/>
        <s v="easy fast reasonable"/>
        <s v="easy place order items arrived as described when expected very happy with everything"/>
        <s v="i love that you donate a meal a homeless animal with my purchase its a wonderful way help them not forget them also your shipping exemplary i wish more companies were like pet flow"/>
        <s v="petflows phone wraps are very pleasant knowledgeable on how help you my english cream golden retriever walter needs a veterinarian prescription dry dog food i used get it through chewy but lately theyve been having a hard time keeping it stocked when it w"/>
        <s v="order was cancelled i had call email weeks calls emails&#10;&#10;supposedly due some unknown reason my account was flagged as fraudulent no real explanation&#10;&#10;i was told a few times reset my pw however my account has been disabled&#10;&#10;i was told several times an emai"/>
        <s v="shipping seems take a bit longer than it used but i suppose its a common problem petflow does update their delivery date notifications though"/>
        <s v="i live in florida my email was used order twice shipments went texas probably using a stolen credit card i was not charged talked petflo representative last week with information"/>
        <s v="im so glad you asked i will be back process was simple professional unbelievably fast thank you"/>
        <s v="mallory was awesome&#10;she deserves a raise&#10;only issue still waiting&#10;been billed finally got notification it shipped possibly because it had go vet&#10;anyway again i will ask mallory next time"/>
        <s v="this first time ive ordered from this outfit i was totally pleased with transaction their price for&#10;the dogfood i ordered was reasonable they shipped quickly rocco dog a happy camper"/>
        <s v="love fact its cheaper comes right my door no shipping cost great deals"/>
        <s v="i was looking that specific dog food our new puppy petflow was only online store that i could find verus brand"/>
        <s v="i found food i was looking price high but industry standard i liked option purchase a large bag of them thanks"/>
        <s v="pet flow way go i order my fur baby food all time from pet flow my delivery on time that why they are best&#10;thank you pet flow all of team that works there shadow said woof"/>
        <s v="you send me a survey link yet i still havent received items surely you know this communication terrible takes several days any response hopefully ill get items soon i understand weather delay but my items have basically gone nowhere i ordered from another"/>
        <s v="while prices at petflow may be good there are severe problems with having products in stock it seems that no matter what i order wet or dry cat food cat litter its out of stock or has come from a further away location it didnt use be like this petflow was"/>
        <s v="reliable great choices"/>
        <s v="everything i order was right i get fast delivery"/>
        <s v="easy ordering fast delivery competitive prices&#10;&#10;my only complaint too many texts emails"/>
        <s v="i had recently ordered food from pat flow with no issue a couple of times my card was compromised i had an issue with it resolved it but recently some reason no one will give me an explanation of why i am not able order food from you even if my card uptod"/>
        <s v="you carry quality products i feed my dogs cat fromm annamaet wellness in addition you deliver these foods in a timely fashion i am a very satisfied customer i recommend you all my animal stewards"/>
        <s v="there no option cancel an auto ship so beware when you sign up one i am still trying cancel it there only a pause option online i can not get a support person contact me"/>
        <s v="your fast delivery customer service packaging excellent"/>
        <s v="my dog food that on automatic order size i usually get was out of stock so i was told unable ship received no food however that same dog food was available in a larger size noone took time let me know that not very good customer service"/>
        <s v="it took over one week get my order delivered"/>
        <s v="i requested few times add more selections of versele laga pigeon feeds grits like gerrymandering champion black label ic start etc pls pls pls"/>
        <s v="very easy order products arrived quickly in great shape thank you"/>
        <s v="i experienced a problem with my order not their fault customer service was so quick help me fix it really appreciate immediate response care that was given my order then arrived safely packed well"/>
        <s v="besides canned dog food i ordered bags of rather fragile treats they arrived a little crushed company quickly shipped four new bags of treats they arrived in very good condition i was impressed at how quickly easily customer service agent handled this"/>
        <s v="still not delivered on th&#10; days ago&#10;terrible"/>
        <s v="i did not place this order i have already notified you about this what going on with these correspondences"/>
        <s v="quick shipping unfortunately cans of dog food were badly dented"/>
        <s v="shipping so inconsistent took almost days receive my dog food this happens about every months hard foresee when i need order leaving my pets without food so im forced buy dog food elsewhere"/>
        <s v="canceled my needed vet cat food order because email doesnt match when i literally called them asking them what was going on here wouldnt send out my cat food horrible service will look do business elsewhere unless they have some killer deals"/>
        <s v="this was our first time buying on here i found what i needed at a great price it was easy order arrived quickly thank you"/>
        <s v="you had product that i needed at a fair price plus your shipping was on time"/>
        <s v="fast shipping great product even better price what i purchased&#10;i have made my second order will continue do so with petflow"/>
        <s v="good selection of high quality products shipped promptly authentic product from approved distributor packaged securely shipping"/>
        <s v="great customer service&#10;very prompt fix slight problem"/>
        <s v="great as usual easy quick reliable&#10;thanks"/>
        <s v="i called because my order was delayed twice gentleman i spoke with was very condescending i told him that nowhere on website does it state how long or how your purchase will take or ve shipped i explained him that i have dogs it hard me get an exact time "/>
        <s v="after a little confusion on your website about autoship i was helped along by a pleasant customer svc lady smooth transaction great price on what i needed usually purchased at chewy more came in days in a roomy box that my senior cat vinnie played in days"/>
        <s v="experience with pet flow always so great i love customer service how helpful everyone"/>
        <s v="great service lots of dog food choices"/>
        <s v="ordering was easy delivery was quick"/>
        <s v="they worked with me very well when my cat refused eat brand of prescription food id bought"/>
        <s v="service was great combined with best price you cant go wrong"/>
        <s v="i really appreciate that petflow carries fromm its difficult get petflow delivers quickly"/>
        <s v="i would give a star getting dog food in a timely matter fedex worse by far ill have find a local shop in my town buy as shipping rates a minus"/>
        <s v="company canceled my order tines with no notification bad company bad customer service zero stars ill keep shopping with chewycom"/>
        <s v="my order went wrong address wasnt delivered thank you replacing it"/>
        <s v="excellent pet products at bargain prices"/>
        <s v="products were shipped quick a great price i was searching bird toys budgie there were plenty of toys pick from on site"/>
        <s v="orders arrive on time prices are good i recommend"/>
        <s v="my orders are always delivered within days great service price"/>
        <s v="they always have items i am looking at a great price check out easy delivery fast"/>
        <s v="this company was awful deal with they never sent my product gave me a hard time about my refund"/>
        <s v="although fedex most miserable pos low life carrier your agent putting deliver porch actually worked they usually just kick it out door on way past ill buy from you again"/>
        <s v="its nice get a heads up before a shipment goes out in case i need adjust contents or timing shipping always prompt selection of food treats etc quite amazing"/>
        <s v="i ordered roaches not one of them was dead everyone of them was alive healthy&#10;very fast shipping very fair price&#10;i will definitely be doing more business with petflow"/>
        <s v="great plentiful selection of pet supplies prompt delivery excellent customer service"/>
        <s v="website has alot of choices delivery was on time"/>
        <s v="i mostly order kibble bull sticks i order it always comes quickly"/>
        <s v="petflow ships promptly every time we order our fromm dog food from them excellent customer service"/>
        <s v="i ordered cat food my fur babies it always arrives on time petflow has great communication with its costumersi like extra help if i cant find somethingnice people"/>
        <s v="tried place large order using off but ran into out of stock items making it difficult once order was finally placed got another out of stock notice if petflow be depended on supply pet needs shouldnt they have items in stock"/>
        <s v="petflow has been good me my dog elsahappy with productsprice shipping"/>
        <s v="great company deal with they notify you when your next shipment coming you can adjust that date if needed good prices too"/>
        <s v="easy ordering quick shipping"/>
        <s v="products arrived undamaged with heavy cans that great"/>
        <s v="had food in stock promptly shipped"/>
        <s v="i received my first bully sticks from my dogs breeder when my bernese mountain dog treated them like candy doc suggested i only order natures own grass feed steer service price reliability have been excellent i am am auto ship customer now"/>
        <s v="i changed suppliers of canned dog food got same product a substantially reduced price&#10;im happy"/>
        <s v="great prices great service"/>
        <s v="phone reps were great on both occasions this month they worked diligently get my order dates changed on lb bag of catfood ferals got it shipped out same day"/>
        <s v="while checkout experience was decent i was able save money with a coupon this all made me happy once my package was delivered i was not happy i bought bags of dog treats my boys of those bags of same kindflavor all expire next month they will not be eaten"/>
        <s v="you are reliable honest efficient timely"/>
        <s v="filters search were not fluid or user friendly so many items out of stock but that was not known making it time consuming i nearly gave up twice because of experience not sure how rest of site as i only searched cat food a dog bone"/>
        <s v="order process easy great service corresponding with our vet"/>
        <s v="easy find what i needed at a good price&#10;thanks"/>
        <s v="shipment always delayed customer service never responds email"/>
        <s v="i ordered by wet dog food from pet flow several reasons those being price difference between a competing online dog food distributor ease of ordering friendliness helpfulness of agent i spoke with fast delivery of product&#10;&#10;the price difference with or wit"/>
        <s v="item i needed was in stock process was very easy i had my order within days on time i will continue order through petflow"/>
        <s v="i was waiting notification that my prescription had been verified by vet andor that my order had been shipped after several days i contacted petflow ask what was up i got an email saying order was cancelled out of concern fraud i was a longtime customer o"/>
        <s v="my orders were cancelled without notification twice"/>
        <s v="i have had a horrible experience which still date not resolved placed an order not a first time customer my vet was contacted sent back approval prescription food internal petflow issue isnt adjuticating approval noone will help me or call me back after m"/>
        <s v="easy begin auto ship has special dog food we were searching that highly rated having ingredients important long lives of optimal health shipment notices sent keep us informed of when expect order received order in timely manner with zero problems"/>
        <s v="shipment was quick product was packaged well"/>
        <s v="solid reliable company purchase from customer service seems supportive if anything beyond a typical order needed"/>
        <s v="great website excellent prices quick deliveries i will only get my dogs food from petflow going forward"/>
        <s v="best price fast shipping my hungry dogs"/>
        <s v="had just what i needed at a great price very quick shipping had trouble getting order through a couple of times but i persisted am glad i did will definitely tell my local shelter about them i am a cat socializer they might be interested in purchasing fro"/>
        <s v="awesome servicegreat packaginggreat pricesvery convenient"/>
        <s v="pleased with all my purchases people are helpful"/>
        <s v="auto ship does not work advance notice of order was supposed come but does not auto ship does not take changed scheduled when modified days before shipment date will not use auto ship or this company again order dog food"/>
        <s v="my order was canceled i was never notified i only discovered that it was cancelled after i logged onto my account find out when my order would be delivered i called was given no explanation cancellation or when dog food would be delivered never again"/>
        <s v="they are doing a great job left chewy them havent looked back since"/>
        <s v="easy website me always a pleasure speak customer service if you need them auto ship easy changing ship date products a breeze you get a nice discount too"/>
        <s v="quick shipping competitive prices thank you"/>
        <s v="shipping was faster than i expected best of all items were in perfect condition no dented cans or boxes which has not always been case so i especially appreciate it"/>
        <s v="product was in stock added cart quick checkout process meant i was in out in less than five minutes"/>
        <s v="i have now ordered a couple of times i am satisfied orders are correct well packaged on time if not early i will be ordering on a regular basis from this company i have nothing but praise them excellent"/>
        <s v="i called customer service because my order had not shipped after several days woman i spoke with in customer service was very polite helpful my order was shipped out next day i received notifications of shipping status throughout process my order arrived "/>
        <s v="very fast shipping had my order in a few days i was able saveoney as well great company"/>
        <s v="i placed an order called three days later make sure it was coming that day i was then told that my order was cancelled possible fraud i was never notified by a phone call or email that this happened she couldnt place a new order because it would still go "/>
        <s v="prices are good delivery timely my problem has been with ordering from your website system cannot seem store my credit card information properly last time it was so bad i had have one of your staff order me"/>
        <s v="petflow reps are always helpful make good on any issues you have"/>
        <s v="too long shipment had keep emailing when order would ship items were in stock dont know what hold up was"/>
        <s v="great company quick delivery have all pet products we need"/>
        <s v="petflow had brands that i have difficulty obtaining elsewhere their prices are good food i ordered my dog with allergies arrived in good condition"/>
        <s v="great price on chinchilla food that purchased i always shop away petflow had best price i received it super quick"/>
        <s v="firsttime experience"/>
        <s v="i changed address delivery it got mailed twice one went wrong address but i still had pay it"/>
        <s v="i ordered canned prescription royal canin wet food at a cost of most of cans were dented on top bottom it could be bad my cat eat what a waste i usually order from chewycom but they were out of stock"/>
        <s v="discovered petflow due chewy being out of stock several weeks of my dogs prescription canned dog food i got name of petflow from a trusted dog friend food arrived quickly thank you"/>
        <s v="willingness help me through ordering process first timei was having some technical difficulty"/>
        <s v="excellent service very quick delivery"/>
        <s v="never had a bad experience prices are extremely reasonable customer services awesome"/>
        <s v="customer service extraordinary any problem ive had was corrected swiftly expertly cheerfully these people seem genuinely interested in taking care of our pets"/>
        <s v="good price fast service"/>
        <s v="it was my first time ordering with this company it will be my last one they canceled my order didnt notify me when i called them they said it was flagged fraud had be canceled i asked why they said they cant give me any additional info my order wasnt big "/>
        <s v="i didnt even place order that triggered this review pop up it was fraud im still dealing with canceling of my credit card because your website wasnt secure&#10;&#10;also even on this page my name coming up as james shearer that not my name honestly im not going g"/>
        <s v="carries brand not found in most pet stores efficient fast delivery"/>
        <s v="awesome professional support with timely shipping great prices as well"/>
        <s v="prompt response when i had a problem with my order they gave me a credit because my dog will not eat food i ordered"/>
        <s v="great experience on website delivery"/>
        <s v="excellent pricing shipping notification packing of order just wished they had more selection available"/>
        <s v="im was technologically inept on computer had call company order my product person who answered phone was so courteous helpful because of her i will continue order my dogs food from petflow"/>
        <s v="everything i was looking was in stock delivery was quick"/>
        <s v="whole process went smooth&#10;fast shipping&#10;very satisfied"/>
        <s v="using petflow was easy i was able find substrate my tortoise that was not available near me i also ordered wet cat food it was trouble with fedex that will make me reconsider using petflow again my catfood was shipped all over place arrived a week later t"/>
        <s v="two reasons terrific customer service product pricing simply put they earned my business sometimes low pricing actually best price i could find means low quality customer service but not at petflow my first order from petflow arrived damaged due knife cut"/>
        <s v="ordered prescription dog food no email telling me you got order i called they said it would be coming out of a warehouse did not know from where or when still no email had go buy food locally which i am disabled it was alot of work extra money after about"/>
        <s v="i was looking better pricing my dogs food that how i found pet flow i want feed them a better dog food than what in most grocery stores i was happy find pet flow they have good customer service great prices with dogs i need a good price i will be ordering"/>
        <s v="they always have what i am looking at a fair price in particular i order fromms dog food they are one of few places that carry it shipping quick as well"/>
        <s v="easy awesome new pet products online orderdelivery company recommended all pet parents"/>
        <s v="they had what i needed in stock it came fast"/>
        <s v="website was easy navigate shipping was fast compared prices petflow was best by far will definitely order again"/>
        <s v="after deciding what brand of dog food i wanted my new puppy i did a search best price&#10;petflow had best price"/>
        <s v="recieved last product i ordered i called your company let you know product was damaged bent i told person box was not damaged so product had have been put in box damaged&#10;he didnt want hear it was really rude"/>
        <s v="this was a new company me with a good buy on products i needed so i decided give them a try i am very disappointed i never received an order confirmation email as stated checked my spam was rather referred my email provider immediately without even offeri"/>
        <s v="everything was quick easy custer service rep was knowledgeable professional pleasant"/>
        <s v="could not pay with paypal some reason kept getting message problem with connection"/>
        <s v="i appreciate their communication with me in regards orders delivery"/>
        <s v="i can always find products i want my dogs at really good prices"/>
        <s v="there was a delay in shipping order had be split but throughout everything they kept me highly informed of everything going on best part me customer service representative who responded my email was kind helpful informative"/>
        <s v="great fast service plenty of communication you cant ask more"/>
        <s v="i had get a specialty cat food our cat who has dietary restrictions i was unable use a coupon that had been sent me i called immediately it was taken care of i was able use that coupon they quickly confirmed prescription with our vet delivered in a timely"/>
        <s v="easy use fast cheaper than other pet supply companies"/>
        <s v="over last year there has been significant shipping delays with my autoship order issue seems be primarily with nj warehouse where they dont work night weekends etc there a discconnect between product forecasting order entry supply chain these operations a"/>
        <s v="petflow always gets my order correct has great prices i never have worry about running out of food my dogs cats"/>
        <s v="my cat would not eat several differert canned cat foods i tried one stomach hair she has not thrown up since you now have a returning customer thanks"/>
        <s v="shipment on time customer service great"/>
        <s v="not a good experience at all i choose your company because of a discount you offered me fir being a first time customer i never got discount because your ad was misleading i was only going get discount if i signed up auto refills that was not mentioned wi"/>
        <s v="fast shipping&#10;had food i needed happy have a promo code as well &#10;great communication with shipping delivery"/>
        <s v="exact product i was buying locally at petsmart a prescription cat food but in a larger economy bag about less shipped free on time ill be a regular customer now"/>
        <s v="very happy with product way it was pack got it in time frame i was told whats more important my cat love it you guys where only place who have it in stock thank you so much"/>
        <s v="ten business days after placing my order being charged order product has yet ship business days after placing order i contacted customer service who indicated they would check with supplier get back me i was told it could take up business days my order sh"/>
        <s v="trouble free delivery arrived when expected as expected no complaints at all would recommend"/>
        <s v="tried ordering twiceboth times orders got cancelled by their team neither time did they reach out me inform me they were cancelled it was just after waiting days a shipping confirmation after getting an email they were fulfilling order i had reach out ask"/>
        <s v="got what i ordered delivered quickly"/>
        <s v="although i had never purchased from petflow before they delivered quick on time product was exactly as advertised"/>
        <s v="had dog food i used processed my order quickly i received it quickly&#10;only problem i had was box that it was shipped in was totally broken luckily dog food wasnt"/>
        <s v="good selection of products pricing was very competitive shipping was super fast"/>
        <s v="good service competitive prices products arrive in good condition in a timely manner"/>
        <s v="they went above beyond call ensure satisfaction after carrier had lost a shipment i highly recommend petflow anyone looking quality goods at a fair price"/>
        <s v="could not buy cat food without a prescriptionlike what hell that about its all so veterinarians can get paid its total b absolutely uncalled"/>
        <s v="availability&#10;&#10;good price&#10;&#10;easy scheduling"/>
        <s v="good products quality excellent customer service"/>
        <s v="ordering needed vet diet my dog has been easy more communication regarding order when it shipped will be delivered would make it a perfect transaction"/>
        <s v="you falsely advertised an item you advertised item was in stock then when it was supposed ship i receive an email stating was out of stock but on your website it still this day states it in stock now i cant cancel auto ship i can only delay it im unable r"/>
        <s v="extremely friendly helpful customer service quality items always available shipping always quick they donate a bowl of food with your order winwin"/>
        <s v="very happy i ordered food one day received it next"/>
        <s v="i have received my puppys food in a timely manner he loves it thanks"/>
        <s v="of cans were extremely dented one of seven damaged cans was leaking"/>
        <s v="super quick response time when i accidently ordered a toy i didnt want&#10;website user friendly huge amount of items choose from&#10;i used shop a chewy but i needed a prescription it was easier pick my vet from you list than going through all of chewys site als"/>
        <s v="petflow wonderful many varieties of food your pets my only gripe that after placing an order i got a thank you email wa picture on it saying review yr item get back they gave it me only one of my reviews very good sweet customer service reps have never fo"/>
        <s v="customer service has been great but shipping practices need work i have complained on multiple occasions that my shipment of canned dog food arrives damaged they pack too many flats of cans in same box dont use any packing materials prevent against damage"/>
        <s v="after ordering i did not get a tracking number or shipping confirmation even after getting a notice that food was shipped my paypal payment was taken right away&#10;i also was put on autopay without my permission&#10;i had manually cancel an autopsy i didnt agree"/>
        <s v="ive been overcharged my orders since mid august due incorrect sales tax i informed company of this explaining why we were overcharged including documentation from state proving correct rate but was continuously blown off disregarded i shouldnt have prove "/>
        <s v="concerned about package that i ordered weeks ago that still has not arrived im running out of canned food my dogs"/>
        <s v="i have a recurring order needed modify tried messed it up ended up having two recurring orders called customer service a very friendly person helped me navigate delete one"/>
        <s v="overall a good experience i am not a fan of website could be a bit more user friendly shipping takes too long orders take a while process availability of products ok pricessales could be better"/>
        <s v="first time ordering prescription food order my pup customer service was so helpful track order deliver as soon possible very helpful trustworthy"/>
        <s v="as advertised product with timely service"/>
        <s v="was on time order right thank you"/>
        <s v="hi i live mile off county roadfed x only delivery outfit that will come up here in winter you shipped my food with them so i got it in a short time way go tim"/>
        <s v="need tape top bottom end edges just middle not enough on large bags"/>
        <s v="its extremely easy order anything&#10;i really appreciate that its always on time when they say youll receive it&#10;they also give you a tracking number so you can keep track of your order&#10;its a great company so easy ordering what you need"/>
        <s v="deliveries arrive in good condition on time"/>
        <s v="petflow carries particular brands of food my pups that i are most nutritious made by family run companies in us"/>
        <s v="i have been using this service over years i have never had a bad experience with either product or customer service everyone i have dealt with has been friendly knowledgeable professional"/>
        <s v="shipment arrived torn from stem stern keel meager attempts at retaping most likely by carrier packaging too light weight in box amazed that all product was still in box even tho box was near total destruction i notified pet flow get zero response im think"/>
        <s v="apparently when i placed my order item was in stock my card was charged i expected shipment soon a couple days later i got a refund of my purchase with no explanation explanation came a couple days later that they were out of stock seems a bit odd that it"/>
        <s v="usually i dont have any issues this time shipment of cat food was all over place cans were not secure in case many were severely dented almost like someone just threw case in box"/>
        <s v="responsive customer support"/>
        <s v="price prompt delivery"/>
        <s v="i found this company online when place i usually order from was out ordered three bags on saturday product shipped on monday arrived my home on wednesday i live in a very rural area as well would definitely recommend"/>
        <s v="quick shipping helpful customer support quality cat food purchase best price too thank you"/>
        <s v="there was a bit of confusion with customer service rep when i called regarding prescription diet food my dog i had already sent script customer support but when i called let them know it was there she said i needed send it customer support better listenin"/>
        <s v="i ordered tetracolor xl tropical granules fish food my fish thank you i got it just in time as i ran out of days servings left speedy delivery great price"/>
        <s v="my package was delivered damaged they quickly replaced it without questions"/>
        <s v="has what i needed delivered it in good time"/>
        <s v="easy navigate website found dog food i was looking with discounts applied by petflow was able get lowest price i could find anywhere"/>
        <s v="this was first time i had shopped with petflow found it be very easy find what i needed"/>
        <s v="i will never order anything from this company again they do not have food i ordered but its on back order now they are holding my credit card hostage wont cancel my order"/>
        <s v="my orders are always punctual good this time was especially essential that my order was expedited faster than usual as my dog sitter who was taking care of my dog during a family death over holidays didnt tell me he was almost out of food thank you sendin"/>
        <s v="my account showed a backorder order more product then got a bunch of products good months"/>
        <s v="i needed find a specific prescription food my diabetic dog they had it along with some other options that my vet would approve if my dog didnt like this one they got in touch with my vet immediately verify his prescription shipped food me within hours"/>
        <s v="petflow has a great selection of products great prices fast shipping i buy nulo cod lentils weight management dog food my guys love it"/>
        <s v="cheaper then other places fast shipping i was very pleased"/>
        <s v="all of my dealings with pet have been positive my dog food always delivered in a timely manner"/>
        <s v="easy order competitive prices orders arrive fast"/>
        <s v="i purchased milk bone pill pockets this was a really good price they shipped my order quick ill definitely be back"/>
        <s v="fast shipping almost always have foods i am looking in stock immediate shipment"/>
        <s v="quick service good packing good prices"/>
        <s v="cumbersome internet system caused two orders register rather than one canceling orders immediately still did not stop an extra bag of dog food from arriving causing multiple emails finally return"/>
        <s v="i received this order so quickly which i really appreciated it surprised me it was so fast"/>
        <s v="took days order arrive multiple erroneous ails re expected arrival had go buy at store andorder was delivered after i left area"/>
        <s v="this has be my th or more times that i have either purchased dog cat food from petflow delivery service excellent also selection wonderful price just same or less than in stores its so nice come home your fur babies food here"/>
        <s v="was kept informed about items back ordered other items shipped separately"/>
        <s v="petflow a great place pet products at reasonable prices delivery reliable as well"/>
        <s v="ive ordered bulk cat litter from petflow several times now they offer a great price great products quick shipping will be ordering again"/>
        <s v="website was easy navigate checkout was quick easy track shipping delivery within a short period of time"/>
        <s v="i can count on petflow carry food that my furry babies like"/>
        <s v="incredibly fast service perfect packaging everything absolutely wonderful"/>
        <s v="i love petflow there are always so helpful easy order i love how i get free shipping theyre always on time customer service great i have definitely recommended petflow friends family"/>
        <s v="i have ordered from petflow several times my items always arrived without issues prices are lowest in every store online site that i could find i had a small issue it was taken care of immediately customer service was quick assist super friendly helpful"/>
        <s v="offer quality dog food treats&#10;fast order filling shipping&#10;reasonable prices great clearances"/>
        <s v="ease of ordering product better than described costs are reasonable very prompt shipping"/>
        <s v="petflow delivers treats my dog prefers with pandemic we werent always able get her treats at store thats how we found petflow yay"/>
        <s v="always have great order takers fast efficient"/>
        <s v="confirmed my order dog food did not ship it nor contact me i ran out of food my dog unacceptable harm my dog or anyones pet will never do business with a company that disregards health of their real customers apparently this issue not isolated my experien"/>
        <s v="website was easy use checkout was quick"/>
        <s v="easy ordering very fast delivery"/>
        <s v="great product quick service will definitely buy from them again"/>
        <s v="timely delivery large selection of products notification of products arrival that had been out of stock great web thank you petflow"/>
        <s v="i ordered trays of special vet approved canned dog food it arrived quickly well packaged no delays even though they had confirm with vet"/>
        <s v="more often than not my dogs food backordered so then i have scramble find her food then days later backordered item ships i then have bags of food that i didnt budget"/>
        <s v="i have used petflow a few years every order has been filled accurately timely communications regarding order status has been excellent i would give a five star rating except minimum order size shipping costs"/>
        <s v="i love products i feel shipping takes a long time much longer than other companies i buy from"/>
        <s v="awesome website many brands choose from easy ordering dog food canine cuisine loved by all furry friends definitely recommend petflowcom"/>
        <s v="i dont like that orders were placed only charged i still dont have either of orders"/>
        <s v="easy make a order a good delivery"/>
        <s v="shipping used be very quick but now it seems although items show in stock it takes a week items ship it disappointing as i grew accustomed fast service"/>
        <s v="i was able find what i needed at a good price shipping delivery was very timely too"/>
        <s v="petflow has consistently met my expectations even when having ship from nevada what normally ships from new jersey"/>
        <s v="first time purchasing from pet flow ordered dr martys small breed food a bag of treats great fast shipping my dog likes food"/>
        <s v="all online ordered prescribed cat food they took care of rest they confirmed with vet bam day later food was at my door"/>
        <s v="representative was super friendly easy work with quick resolve my issue"/>
        <s v="great price very quick shipping great talk"/>
        <s v="everything was so easy&#10;&#10;placing order shipment just delivery time was a bit slower than chewy"/>
        <s v="i never received a notification that i had an upcoming subscription order being processed i was unable edit delivery date when i reached out customer service several times i got zero response&#10;the day i was notified i had this order being processed within "/>
        <s v="your prices were best we could find quick delivery"/>
        <s v="i had trouble finding verus dog food anywhere else but petfow had it delivered at a good price"/>
        <s v="easy ordering product in stock cheapest price among other sales outlets reliable shipping delivery"/>
        <s v="ive placed multiple orders with petflow each time its delivered really fast with great prices an excellent service"/>
        <s v="my order never arrived i ordered tear stain tablets two different treats please send me my order or credit my account"/>
        <s v="on time delivery"/>
        <s v="pet flow was fast with shipping delivered when promised merchandise was excellent condition exactly as pictured very pleased"/>
        <s v="greatest part was followup when my package got damaged you all replaced it my only criticism that your tape doesnt hold especially in harsh rain"/>
        <s v="ordering was easy delivery was prompt customer service exemplary"/>
        <s v="my product order was in stock i received in a timely fashion"/>
        <s v="i ordered a product on january still have not received it ive written petflow inquiring about this never received a response"/>
        <s v="i can always count on my pet food delivery be on time well packaged"/>
        <s v="in last year service has gone from fantastic spectacularly frustrating my last interactions have been frustrating point of closing my account i have a hospitalized friend in another state i was purchasing food his dogs having petflow deliver it his home t"/>
        <s v="love carrier it was easy get my cat in through top door was just right size will fit my pound cat as well had it within a few days of ordering it"/>
        <s v="cancelled my order claimed it was fraud refused sell me"/>
        <s v="you carry my product but took awhile arrive"/>
        <s v="product i ordered was out of stock yet system still allowed me order it even though it was out of stock i cannot trust system give me correct stocking of this item"/>
        <s v="shipping was fast i saved a lot with coupon they sent a first time shopper got heated mats our dogs"/>
        <s v="pet flow a great place your pet needs we have been very satisfied"/>
        <s v="flagged my purchases as fraud then refused allow me repurchase"/>
        <s v="we were counting on our fromm dog food autoship order be shipped on date that petflow said they would ship according them they got very busy during holidays this order did not ship until following week as a result we had just enough food mixswitch another"/>
        <s v="product was in stock order was filled correctly quickly"/>
        <s v="delivery was on time at a better cost than other merchants"/>
        <s v="dog food was delivered family members home it arrived quickly in good condition"/>
        <s v="i placed my order online easily i did receive an email stating shipping would be delayed but they kept communication open it was only delayed by days i received my items as expected"/>
        <s v="company delivered when promised with exact items ordered my only complaint its a little one that it was difficult follow order once it was in system so that i could see where it stood"/>
        <s v="overall petflow has good service competitive pricing products they handle website could be much more user friendly adjust an order or make changes a saved order can be very confusing"/>
        <s v="carry brand i was seeking"/>
        <s v="i was low on food my dog because i forgot order so it got here pretty quickly i was down pretty low i called see when it was going arrive spoke a very lovely helpful woman in their customer service"/>
        <s v="a large variety of pet food products choose from package arrives intact an animal gets a bowl of food with my purchase&#10;thank you"/>
        <s v="they were very friendly they would take your phone calls if your computer wasnt working delivery was always on time i appreciate that thank you"/>
        <s v="quality of pet food fact that you carry fromm cant get it many places its a trusted brand by me my family"/>
        <s v="competitive prices shipped well with no damage"/>
        <s v="petflow only online source that seems be able maintain stock of particular taste of wild canned variety that we prefer feed our guys shipping free above or so since we get multiple cases no problem shipping fedex so order traceable too we have ordered mul"/>
        <s v="where begin first inventory on their site isnt real in my case veterinary dog food i ordered was be shipped from manufacturer who was out of stock second rather than them inform me i called order status three times first two i was told orders processing t"/>
        <s v="i didnt make an order someone hacked my account tried set up an auto ship order an address that not mine"/>
        <s v="this was my first order from petflow i found out my dog has some pretty extensive allergies with each passing day i had no choice but feed him stuff he was allergic until my new food arrived from petflow i regret switching from my usual provider i was giv"/>
        <s v="i was told when i ordered days arrival it took days i have a kennel of puppies needed food&#10;will never order again from you it has happened several times"/>
        <s v="everything went smooth i had ask help using sight received it well"/>
        <s v="petflow website easy navigate their autoship easy too i appreciate getting notices that it will be shipping that i need make changes if any by a certain date i also get emails keeping me up date on my orders"/>
        <s v="didnt help at all basically said i can not order item move on"/>
        <s v="reasonable prices very good communication notification system only con that some products are not always available back ordered"/>
        <s v="petflow great because they sell dry food i feed my cat it isnt around anywhere else i also want say thank you receiving my order days after i ordered it often it can take up a week"/>
        <s v="great company great service great products"/>
        <s v="i couldnt access my account because i couldnt remember my password your account recovery system not very good at all"/>
        <s v="order was wrong i called young lady that answered was very professional efficient she took care of problem i could hear smile in her voice"/>
        <s v="order took almost a week reach me when i called check where it was i was told you were experiencing delays it would have been good customer service tell me that via email before i called"/>
        <s v="i absolutely love petflow i am thankful fast shipping fact they work so well with my vet get my diabetic dog food she needs"/>
        <s v="i ordered lb bags of dog food one bag was damaged on arrival they replaced entire order sending replacement bags more than made up it one thing replacement boxes actually had more packaging material hold up better in shipment that first shipment with dama"/>
        <s v="impossible website entry customer service didnt answer my questions delivery late i dont have my shipment yet"/>
        <s v="i have ordered from petflow a few years nownever had a problem my last order was a total nightmare dealing with your customer service reps rude condescending passive aggressive emails sent me when all i asked was wheres my dog food i ordered on dec st ful"/>
        <s v="i have used these folks a couple of years they have best price product i buy delivery quite prompt"/>
        <s v="slow on getting order outhard understand ordering system"/>
        <s v="easy use find items with quick delivery"/>
        <s v="intuitive site allows me easily order reorder dog food varieties i need good electronic notifications confirming orders tracking shipping projected order arrivals i like easy"/>
        <s v="it took a little long receive items due product availability this not st timewhen i did receive it tge order was fine"/>
        <s v="always get a great deal with coupons food arrives exactly when they told you will be ordering again soon"/>
        <s v="customer service terrible i will not order from you again"/>
        <s v="i loved petflow they used be really good with getting my orders out right away i placed an order on called a few days later as my order still was not sent out customer service said they were noting that my items needed be sent out asap still were not ship"/>
        <s v="communication regarding shipping was lacking in past ship dates estimated arrival times were closer reality"/>
        <s v="my order was cancelled without them letting me know i received lousy customer service trying figure out why placed my order again but of course price of one of my items has gone up customer service will not help"/>
        <s v="i was cents short free shipping so i added treats that never got added order got charged shipping package was so heavy fedex dumped it in wrong lobby not even bothering drop it at my door&#10;you make us order so much not give free shipping when with tax my o"/>
        <s v="it took a very very long time get my house ive switched chewy because their shipments get me in one days"/>
        <s v="havent received product you want a review ordered on needing it no later than wont receive it until th if lucky but still asked review maybe make your automated emails review tied delivery of items would be nice"/>
        <s v="package came in good condition when it was running late i have a coupon next order that they sent"/>
        <s v="ive been with petflow many years product alway delivered promptly no damage if you do have a damaged can they make it good love this company"/>
        <s v="ryan was exceptionally helpful because of his assistance i will continue shop at petflow"/>
        <s v="years doing business with you petflow&#10;poor resolve item i have been buying from you years&#10;&#10;i will look forward discussing this with senior corporate manager&#10;&#10;with years in corporate myself with customer support responsibilities pehaps i could assist getti"/>
        <s v="they always have what i need in stock at a great price especially with use of coupon options"/>
        <s v="if i could give petflow stars i would their customer service awful awful awful they take forever ship items on offchance that they actually have items available will require a huge waste of time on your part rectify issues that they create they consistent"/>
        <s v="my order was placed december i still dont have it two weeks just too long ordering from petflow just too unpredictable sometimes its days sometimes its weeks i had buy from another source"/>
        <s v="please give alerts or notifications when you cant fulfill an auto ship order i have find out by checking my account after expected shipment date has passed im out of my cats prescription kd food have voiced my concerns multiple times over phone that notic"/>
        <s v="delivers as promised checks that it was received i am thrilled that i found petflow"/>
        <s v="i like that you sent food price was lower than most other places i did not like not being able order food because it seemed automatically turn on auto shipping that i didnt want i couldnt find a way turn off auto shipping so i couldnt order food"/>
        <s v="made an order just like i have several times before they canceled order but did not let us know no email no phone call nothing we bought from petco will from now on"/>
        <s v="i have tried use petflow a few times their monthly shipment of dog food i have always come across issues first order my first bag of dog food was delivered on time second order of dog food was delivered with tape all around it i removed tape see that bag "/>
        <s v="still havent received our order so ordered from received in two days which good so our senior dogs do not have eat puppy chow"/>
        <s v="order not shipped from warehouse about a week still shows as not picked up i had check status call cancel it after days"/>
        <s v="no follow up regarding status of order no order received very disappointed"/>
        <s v="like others my order was canceled without notice i only found out when i checked my order online after days a rep at petflow said that they automatically cancel orders because of fraud concerns if shipping address different than billing address even thoug"/>
        <s v="where my order which was oredered on order bergen k cafe"/>
        <s v="my orders are taking longer longer get its taking about a week in beginning they came in a few days i have ended up going only location nearby that carries fromm dog food while waiting my dogs food a week ahead of time should be enough time but it hasnt b"/>
        <s v="love convenience customer service"/>
        <s v="everything ships quickly&#10;was disappointed that i couldnt find one medication through petflow"/>
        <s v="placed an order dog food waited over a week without updates so i followed up only find out my order was canceled but i was never notified this caused such a delay with getting food that i am currently out of had order from somewhere else still waiting"/>
        <s v="easy reorder shipping fast free"/>
        <s v="great experience fast shipping i havent been able order my cats food from anywhere else because it was out of stock petflow got it me"/>
        <s v="ordering online was easy shipping was fast had an item that was out of stock they let me know then shipped it when it was back in stock great do business with"/>
        <s v="great selection of products carry name brand at a reasonable price quick shipping quick response from customer service if something wrong with your order they correct it in a timely manner very happy with my service from petflow will definitely recommend "/>
        <s v="my order was cancelled by fraud department without any notice m i wouldnt recommend petflow my worst enemy i have tried reset my password correct problem but when they say they sent a password reset i never receive it"/>
        <s v="sorry not sure if its my phone or your website used always order online but last few times i cant seem get all way through place order ill have go back calling my orders in"/>
        <s v="best prices fast shipping very happy"/>
        <s v="i have dogs not one of them would play with it they totally ignored it"/>
        <s v="horrible company ordered food my dog got an email saying we received your order called a week later as never received my order or an email saying it shipped they said they cancelled my order could not say why as they are not allowed seriously you can not "/>
        <s v="company absolutely awsomanother company sent me petfkow im so happy they did i will contiune shop at petflow thank you being petflow"/>
        <s v="great prices fast delivery we we were using chewy which great but they dont carry food we need new dog i am very happy with my recent petflow experience"/>
        <s v="communications correspondences via email was better than most pet stores"/>
        <s v="i am very impressed that my order was received before expected none of cans of food were damaged food very fresh price right petflow now my goto from now on zignature kangaroo formula canned dog food thanks being so on top of things"/>
        <s v="terrible just terrible not helpful at all still waiting my dogs medication its going on weeks now i keep getting run around from everyone i speak im over this company yall need get ur stufftogether"/>
        <s v="ordering can be made easier delivery took longer than ecpected"/>
        <s v="first was excellent selection offered at a fair price then there was delivery no easy challenge since ihe order was placed over holiday we had a major snow storm guess what buddyholley my bearded collie was enjoying his food treats earlier than excepted w"/>
        <s v="i have a dog who allergic everything basically so i used online chat customer service person helped me locate a food treats that basically only have duck one of only things shes not allergic"/>
        <s v="delivered on time was able brands i wanted not available on other sites like chewey"/>
        <s v="fast shipping fair prices excellent customer service"/>
        <s v="had products in stock quick delivery great customer service"/>
        <s v="easy navigate website items shipped fast"/>
        <s v="petflow always delivers good products in a timely manner they are also only online provider of my dogs food"/>
        <s v="twice my order has been canceled due fear of fraud no one ever reaches out me ask im frustrated that a week later when my order isnt received i call find out it was canceled they have my email phone number"/>
        <s v="i placed an order recently from petflow they had best price on items i was searching i didnt need items right away i appreciated that i could request date i would like items shipped me highly recommend petflow"/>
        <s v="fast shipping great prices accurate order"/>
        <s v="i had put numerous orders in this product in past two years order got canceled many times i was told i would be notified when they came in i was never notified i just happened come back your site see that you had them in stock otherwise good product we ha"/>
        <s v="in past customer service was always exceptional my last phone call pertaining a delivery delay was met with indifference a lack of resolution ill continue shop at petflow but will think twice before inquiring about a problem"/>
        <s v="my dog food took foreverrrrr get here each time i called customer service it rang about times phone would hang up i emailed them it took days them get back me rep said they are overwhelmed because they are a small company id say hire more people because t"/>
        <s v="i contacted customer support online cancel my auto ship i accidently set a second one while trying cancel i had auto ship orders i made it clear i wanted them both canceled because my order increased by almost too pricey i found my order cheaper somewhere"/>
        <s v="package arrived late again&#10;&#10;fed ex should not be your carrier"/>
        <s v="easy order i love automatic ordering"/>
        <s v="terrible customer service worst company ever do business with even supervisors are rude they constantly hang up without addressing any of your issues"/>
        <s v="i placed an order which was received by petflow with a ship date of dec th dec th still had not heard a word called customer service who told me petflow had canceled order because it was flagged as fraudulent by them not my bank i will never use this comp"/>
        <s v="easy order process quick response order"/>
        <s v="i stopped using chewy when company was bought by petsmart im glad i chose petflo"/>
        <s v="i placed my order on received an email that my order would ship on i contacted petflow on about my order not shipping yet when i received a response next day i was informed due stock issues my order was cancelled but yet i wasnt notified until i reached o"/>
        <s v="dog food i ordered came quickly i didnt have pay shipping food i ordered changed look of bag so i thought i was sent wrong food petflow responded immediately my issue"/>
        <s v="even with your promos ex current promo pft off amazon still better priced i get better sizes better autoship deals we are working with tough times folks you need step up your game on competition or get left behind not trying be rude its just facts"/>
        <s v="i have an account at petflow since june &#10;unfortunately my order of cat food was cancelled without any notificationsuch an unexpected behavior of company customer service when i called them explain order was blocked by fraud prevention department without a"/>
        <s v="youre fine dont be so insecure i used you once ive gotten like emails from you its too much now you want be rated its coming off very needy insecure keep having lowest prices i will keep using you stop with all email or im gone seriously"/>
        <s v="had product i was looking for my cat fast service"/>
        <s v="our beloved newfie died a day or so after we received his auto shipment of food from perflow we had not even opened box allison from petflow offered hers petflows sincere condolences she said just set unopen box outside on porch she would have fedex pick "/>
        <s v="actually i am writing see if i can return an unopened bag of food winnie did not like it back on her original food"/>
        <s v="best price on dog food i buy very quick shipping"/>
        <s v="good sales on good products fast shipping"/>
        <s v="my beloved dog passed away unexpectedly just after i had received a large shipment of food supplies i contacted petflow they arranged have products picked up right away closed out my auto ship orders so i would not have do that ive used petflow more than "/>
        <s v="what made my experience great was finding product i wanted a little more getting it ordered quickly easily got what i needed in just a few days before running out of product at home excellent service great products"/>
        <s v="i wanted purchase a item on your website but item only showed one color blue i contacted you about wanting item in gray you person went out in whrs found that you had it in gray told me order it email order number her she would make sure i received gray l"/>
        <s v="i got a good price on tillys treasures beef liver chunks my dog loves them"/>
        <s v="easy order great delivery great product"/>
        <s v="i used love petflow because prices were reasonable with quality items dependable shipping i have a small house so i cannot stockpile dog food so i order close finishing a bag well now when things used arrive in about days of ordering it can be weeks or da"/>
        <s v="i have been buying my dogs pet food from them years they are very reasonably priced are flexible enough allow me change my order depending on dogs we have"/>
        <s v="my delivery address really complicated caused a few issues when i attempted place my order but customer service was quick respond my messages they handled situation effectively efficiently once shipped order reached me in a very reasonable amount of time&#10;"/>
        <s v="prices selection were great shipping was fast received emails regarding status of order shipping"/>
        <s v="toy was so little shampoo was expensive but worth it"/>
        <s v="my auto ship easy convenient arrives quickly after it ships food always in stock so i never have worry"/>
        <s v="i tried change what we are receiving on recurring order instead of changing item it sent me an additional bag of dog food"/>
        <s v="great prices on kong squeez ball"/>
        <s v="beware pet flow can accuse you of theft cat food value from them&#10;absolutely terrible experience with my order number &#10;after receiving order confirmation from petflow&#10;i was expect receiving tracking number shipment but when i login my account order status "/>
        <s v="good quality products cheaper prices fast shipping"/>
        <s v="ive struggled purchasing food my fiv cat because her vet under my partners name but im one buying chewy specifically made my life hell thank you petflow i appreciate yall im great full my kitty gets her special food now"/>
        <s v="with cost of this pet food increasing every year i decided switch petflow away from my usual supplier because of discount making my dogs food more affordable really helped a lot im hoping this company continues offer competitive pricing"/>
        <s v="i always get my dogs food on time"/>
        <s v="i have had a good relationship w petflow up until my last text message was ignored natural balance canned dog food was discontinued supposedly due supply issues i researched other foods decided on nutrisource which petflow carries i ordered cases confirma"/>
        <s v="great customer service quick shipping"/>
        <s v="great quality shipping was very fast definitely will be ordering from them again"/>
        <s v="liked that ordering easy i did not like how very long it took receive order"/>
        <s v="my order never arrived i called your company person i spoke was incredibly unprofessional sounding i asked why my order hasnt shown up he said it was canceled by their fraud department i asked why or what triggered this was told he couldnt tell me why the"/>
        <s v="you were only company that had product i needed my special needs cat"/>
        <s v="first customer service rep wasnt nearly has helpful as second one i talked with third person was reassuring now wait refund"/>
        <s v="i was really happy with pet flow until two things happened one i found some thing i could only buy at chewy their customer service light years beyond petflow&#10;&#10;the other that petflow wanted a profile of me my pets names things in a way that made me feel li"/>
        <s v="fast accurate shipping fair prices have ordered twice will continue order"/>
        <s v="was great i enjoyed it a lot song made me feel special"/>
        <s v="always fast shipments i order two pound bags of food at a time only concern packaging needs more tape on box or they need be shipped in two boxes last shipment tape had broke someone carrier must have retaped it there was clear package tape on top of orig"/>
        <s v="prices are high food i feed i realize it may not be petflows fault but there was a huge increase in cost in just a few months also delivery seems take a week with fedex seems long me"/>
        <s v="my orders are taking longer longer arrive last order was over days until i received it i order early so my boy doesnt run out but these times are ridiculous currently looking another provider"/>
        <s v="wonderful products my cats can ask assistance should i need it great ontime deliveries my purchases very good service from petflow folks that do great jobs me my kitties"/>
        <s v="where do i begin i order tennis balls then yall wanna chancel my order fraudulent because your customer service person over phone says why would you buy tennis balls im sorry i have multiple dogs like wth worse part i had call yall days after my order fig"/>
        <s v="quick friendly people help with an easy phone call dependable deliveries updates i really like their customer satisfaction approach business"/>
        <s v="i had a major issue with my package being held up on fedex side i emailed into petflow support see if they could help i didnt hear back however i called a few days later person that answered was so kind helpful they reshipped product i left call crying ju"/>
        <s v="received food in timely manner good price"/>
        <s v="great prices&#10;fast delivery&#10;a place count on"/>
        <s v="even though this litter was out of stock no date when available they kept me informed of my in order status i did end up of canceling they were in great about be this too"/>
        <s v="awesome company with good deals prompt service delivered right your door i would highly recommend petflow all your pets needs"/>
        <s v="what your company needs work your delivery time your company takes way long from date of purchase get product your customer company chewy gets it me in hours learn their method"/>
        <s v="great selection of dog foods snacks great customer service order arrive in just a few days"/>
        <s v="great price quick shipping delivery"/>
        <s v="love prices quick service my only concern i cant seem apply auto ship discount"/>
        <s v="name brand products fast shipping great couponsdeals"/>
        <s v="first i was sent wrong items i called was told they would ship right ones out asap next am i spent over on dog treats bags original delivery took a week customer service emailed me a fed ex label ship wrong treats back i had drive a fed ex drop off do it "/>
        <s v="ordered natures logic food at a great price delivered quickly shipping free&#10;what not like about this"/>
        <s v="difficult make an accurate credit card charge"/>
        <s v="my shipping box came damaged nearly falling apart when it arrived at my door&#10;&#10;plus my bag of dr marty food was cut with a razor food was inside shipping box i have a picture if needed&#10;&#10;and finally it took nearly days i ordered early sunday morning product"/>
        <s v="very good customer service package arrived on time everything that i asked was in box complete"/>
        <s v="i needed a bag of dog food proceeded with buy it now when i received order confirmation i saw that an item i had previously purchased was still in my cart they said they would not remove an item from my order immediately after i wasnt happy with item when"/>
        <s v="products available competitive pricing delivery delay not too bad considering holidays"/>
        <s v="appreciate great selection of fromm dry dog food service great very fast shipping"/>
        <s v="we have been using petflow years they are consistently fast with shipping if there are any issues maybe x in years they are responsive it gets resolved fast thank you"/>
        <s v="ordered on line less than in stores it was delivered me"/>
        <s v="lack of availability of specific treats i was looking was only reason i did not leave a star rating otherwise prices delivery time correctness of order was great thanks luka remi are headoverheels with their tasty treats"/>
        <s v="i spoke with customer service weeks ago my concern was not addressed&#10;my original account was under my personal gmail i had an auto ship on there years a few months ago my password did not work when i tried repeatedly reset it i never received reset emailn"/>
        <s v="when i started really look around petflow offers best price especially since it comes right my door in rural vermont dog food has become crazy expensive"/>
        <s v="i have used petflow several years they are a quality organization i recently had an issue with a delivery a return both issues were resolved quickly one via phone other through email they also took time follow up make sure i was satisfied"/>
        <s v="website was easy maneuver great product selection good prices along with fast delivery time"/>
        <s v="your products are healthy reasonable in price i also received my purchases in days paid no shipping due buying more in merchandise i also get pleasure help animals in need thanks being there"/>
        <s v="found it odd that a very popular item on internet was discontinued i ordered but only got one they refunded my other one fast made&#10;it look like they were selling them too low stopped so they didnt have keep filling orders"/>
        <s v="i like ordering online dont like getting out delivered my door"/>
        <s v="shipping time awful when i placed order it said it will ship next two days it didnt ship a whole weeks"/>
        <s v="very reliable when ordering a product even if on backorder you are kept informed impressive"/>
        <s v="best prices around initially we will see if they continue offering these deals i have referred a few friends so im hoping they dont disappoint"/>
        <s v="slow shipping slow answer e mails dont have items in stock"/>
        <s v="im still waiting on my last order i am out of kidney can food i have dogs i supplement dog treats through amazon as they deliver way quicker but prescription kidney food i cannot as i tracked my last order it showed its been sitting in homestead fed ex de"/>
        <s v="i just started using you a few months ago was a little concerned because of some of your reviews but i liked your prices thought id give you a try glad i did you have totally delivered me ive had several large orders dog cat products star"/>
        <s v="ive been a client some time i had just bought a lb bag of merrick senior dog food vet said that my year old dog reacted badly ingredients in senior food which caused severe diarrhea go back what i had been doing person who answered my call credited my acc"/>
        <s v="i found this company a couple months ago wow very impressed product line outstanding prices are best ive seen last but not least shipping super fast ive had such a wonderful experience with their easy online ordering system ive never had contact customer "/>
        <s v="order was easy place delivery updates were all great"/>
        <s v="i received no notice of canceled order or assistance in correcting order"/>
        <s v="we have ordered over a year from pet flow have never experienced any issues what they promise we get i will be staying with them"/>
        <s v="cheaper price takes a little longer shipping though"/>
        <s v="great service products i use my pets"/>
        <s v="i have had a subscription dogfood on file years that prescription most of time it delayed or outright cancelled then i have call change a different flavor in order get dog food last time this happened i had change flavor twice request a new order times be"/>
        <s v="i placed ab order first time product was not going arrive over a week that was unexceptable your competition chewy it arrives usually in two days i cancelled my order o my auto ship"/>
        <s v="reliable delivery dels autoship"/>
        <s v="fast delivery great prices what else could anyone want"/>
        <s v="always get excellent customer service if there an issue vert easy deal with"/>
        <s v="ordered product it never shipped i had call customer service get it shipped"/>
        <s v="after my order being cancelled i dont know maybe three times i emailed them get it cleared up i explain i moved got married mention perhaps its my maiden name ryan tells me fraud says not process so first i ask okay whats reason do i need call ryan says t"/>
        <s v="i appreciated ease of ordering but was not really happy with shipping time it took too long come"/>
        <s v="petflow great fast efficient customer service helpful"/>
        <s v="i switched pet flow from chewy bc their prices got high their customer service dramatically declined prices auto ship discounts are much better at pet flow their customer service personnel are superior chewys only reason i gave stars bc they dont carry pe"/>
        <s v="as promised so delivered"/>
        <s v="when i place my order i can relax it arrives quickly always fresh ready my two senior dogs i am so happy that i have this service dont have lug heavy bags of questionable freshness"/>
        <s v="i placed an order your company took money out of my account days went by with no tracking or anything so i called see what was going on your tech support told me she didnt know when i would be getting my order so i canceled it than after i canceled your c"/>
        <s v="my order was easy place arrived quickly will order from you again would recommend"/>
        <s v="my dogs went crazy over all these treats very happy"/>
        <s v="representative was understanding of my situation was quick resolve issue very nice patient"/>
        <s v="great company work withalways responsivewith quick delivery but costs seem continue escalate over last two years as everything"/>
        <s v="my dog a senior with a heart condition must have a special lowsodium diet when her food doesnt arrive on time her diet condition compromised typically i receive orders in days i need depend this reliability my last order took days arrive when i called inq"/>
        <s v="my little maltese loves small bites beef frittata i wish you had other flavors in small bites small breed dogs"/>
        <s v="shipping as surprisingly slow"/>
        <s v="so when ordering food my canaries theres been times in shipping process bad experiences two times orders get returned due poor packaging petflow uses dont really understand why lb bags are shipped in thin big box without any protection inside that reason "/>
        <s v="first time using pet flow my dog food was ordered in time arrive three days before a big trip it was delayed came day after i left customer service had been called several times&#10;i asked a refund was told i would get a credit im going back chewy until pet "/>
        <s v="i always order our dogs regular food diet petflow as well as a subscription all items arrive well"/>
        <s v="great service i can always depend on pet flow"/>
        <s v="an excellent company with wonderful customer service orders are shipped efficiently with care an added plus their charitable donation policy"/>
        <s v="took over a week before product even got prepared shipping zero communication"/>
        <s v="instead of a usual delivery of business days after my orders placement it took business days two calls your service"/>
        <s v="while prices are much better than chewys shipping slow only reason we wait so long it arrive because of money we save"/>
        <s v="i placed an order cat food that petflow cancelled with no notice after wondering why it hadnt arrived yet i checked on status was told it had been cancelled because they thought my email was fraudulent if i wanted place a new order it would have be with a"/>
        <s v="super friendly staff wonderful company"/>
        <s v="had a problem with password was locked out when i called they said too bad you have wait time out they did not reset it or help any further"/>
        <s v="absolutely worst company i have ever used date delivery of our dog food will never use them again they like use excuse that its holidays theyre backed up deliveries&#10;&#10;then shut your doors stop taking orders until you can deliver dont waste my time with you"/>
        <s v="ordered dog food with a few toys on wednesday night if youre a pet store somebody orders dog food well before weekend you ship it out before weekend right never again with these people have fun losing money on this order what an absolute joke of a pet sup"/>
        <s v="i generally like pet flow but i find website very confusing my cat has prescription food i sent script in with first order when reordered however it asks this information again i had call find out that it isnt necessary"/>
        <s v="shipment quick notified timely of any deviation shipping of order reasonable price"/>
        <s v="it was a great experience overall ordering was easy it was delivered quickly price was great"/>
        <s v="willingness listen my issue try work out a solution"/>
        <s v="delivery on time or close scheduled time"/>
        <s v="best price anywhere in fact i bought what other shops were selling same price one fast quick shipping totally satisfied customer"/>
        <s v="excellent selection pet food product came quickly enjoyed quality communication throughout experience"/>
        <s v="shipping times amount of available products"/>
        <s v="customer service was excellent"/>
        <s v="super fast shipping good selection of dog foods good prices"/>
        <s v="tried get my auto shipment moved up a few days sooner instead they cancelled it when they finally shipped it appeared that i was only being charged instead of i figured bc of mixup when i checked later in day was added back emailing about it has gotten ze"/>
        <s v="bryan was great he explained things followed up right away im thankful i connected with him about my issue"/>
        <s v="always fast shipping always have what i need"/>
        <s v="switched over from chewy because natures logic dry dog food was a bit cheaper but shipping very slow last package arrived opened bully stick sizing inconsistent seems foul"/>
        <s v="i have no complaints about company other than you using fedex as your shipper i seem have issues with them every time always changing delivery dates this time they left boxes in plain sight in front of my garage allowing them get wet in rain before i coul"/>
        <s v="treats had small fine bones in them"/>
        <s v="i honestly have never done a review ever well i have ordered twice from this company each time there was issues first time help people were amazing rushed fix it right away so obviously i ordered again but this time omg i had make a new email because it l"/>
        <s v="didnt receive an acknowledgement from pet flow on line order placed on a sunday i called monday morning asking a tracking number idea of when i could expect pounds of dog food i got a snarky no reply never did receive from pet flow any documentation of or"/>
        <s v="dry kibble ordered on nov still has not arrived supposed be delivered today they are very responsive emails communications good company but need soem updated shipping procedures bw"/>
        <s v="service rep said business days it took days had go local store buy food get by mailing system slow lately"/>
        <s v="i had a concern with my orderthe customer service was outstanding far better than i expected my problem was taken care of very quickly i will be ordering again soon"/>
        <s v="it took a very long time multiple emails customer service see why my order didnt ship i ordered two items only received one no explanation where other item"/>
        <s v="again so many products out of stocknot available which means i have go other sources get what i need"/>
        <s v="she was extremely helpful very kind situation i had"/>
        <s v="company was prompt in getting my order out door it took delivery service some extra time"/>
        <s v="five stars&#10;i highly recommend this company their selection excellent they are competitively priced"/>
        <s v="my pomsky years old loves fromm dog food from petflow&#10;its always fresh duck her favorite she likes salmon too&#10;food always shipped quickly&#10;i havent needed customer service but sure they are great too"/>
        <s v="representatives very helpful friendly great bonuses"/>
        <s v="i can order fromm dog food website easy use delivery fast"/>
        <s v="having product i needed fast shipping"/>
        <s v="always dependable shipped everything on time let you change dates on your auto ship just a great company customer service also awesome"/>
        <s v="listen my concern fixed issue quickly"/>
        <s v="have been a client years only issue tons of promotions sent via text never on froms which only product we buy"/>
        <s v="shipping was delayed straight days whilst i was told repeatedly that item would ship next day generally i would give petflow stars however this last experience was less than stellar&#10;&#10;i want be fair mindful that warehouse working conditions are difficult p"/>
        <s v="first time order puppy food our sons puppy price was fantastic with free super fast delivery was very impressed i am a seasoned value shopper highly recommend will definitely order from here again"/>
        <s v="most of my experiences have been excellent unfortunately my last order of fussie cat dry food was less than good i normal order lbs bag ive had no issues cats love it last order i purchased lbs bag my cats refuse eat it i did call pet flow inquire if they"/>
        <s v="shippingsecond order fr youfirst order completely messed up you can check your logs see second order said delivery day of supposed delivery it was still in new jersey got all items both times but not easy process except ordering paying wellll second time "/>
        <s v="ive been buying from petflow years now been very happy with them prices are competitive items are usually in stock or quickly restocked shipping prompt one time i called customer service as i wanted add a bag of food id forgotten include in an order peopl"/>
        <s v="i placed an order dog food when i noticed it hadnt shipped after a week i reached out customer service no reply back over a week later looked up my order status it showed that it was cancelled was never notified&#10;will never use this company again now im bu"/>
        <s v="our cats have been put on a sensitive diet petflow had best price what we needed online ordering was simple shipping was fast will definitely order from them again"/>
        <s v="exceptionally responsive customer service also good products"/>
        <s v="easy order prompt shipping competitive prices great service"/>
        <s v="when i received a case of blue buffalo cans in a very damaged box with cans being severely dented i was immediately sent a full replacement i also ordered lights my dogs collar only works im hoping receive replacements those as well"/>
        <s v="i love that you donate pet charities carry nutrisource"/>
        <s v="quick shipping product works barking has decreased markedly"/>
        <s v="we needed order prescription food our cat it kept getting cancelled&#10;each time it got cancelled we called got a different answer fraud dept credit card company etc&#10;each time person on phone said they would take care of it&#10;finally someone must of actually t"/>
        <s v="bad customer service overpriced poor quality food shop somewhere else"/>
        <s v="my mind blown they wont fill my order dumb useless took almost two weeks respond me never seen a company who didnt want business last time ill shop there"/>
        <s v="petflow a great company they go above beyond provide excellent customer service"/>
        <s v="ive been ordering from petflow years i used order from chewy but petflow offered better discounts so i switched them most things my only issue with petflow shipping thats just such a minor issue that it really isnt even review worthy doesnt occur often i "/>
        <s v="you stopped part of my order without telling me at all took me all kinds of communications find out what problem was i was not am not a happy customer check your records my order it should tell you what went wrong&#10;&#10;how dare you now try lecture me about wh"/>
        <s v="my first order was cancelled with no notice&#10;my second order was placed but sent wrong address via fed ex then i received an email saying that they cant process my order it was already processed so when i called see what this was about i was told i would n"/>
        <s v="was available sent promptly"/>
        <s v="product great so far issue that i have that clumps from urine are heavier than any other product that ive used in past years"/>
        <s v="only issue i have that there not count in bottle was given only five dollars off my next order"/>
        <s v="took almost gays get puppy food which i ordered a week before getting puppy then when it did arrive bag was not properly sealed food had spilled out all in box"/>
        <s v="competitive prices great customer service excellent packaging of products fast delivery easy website navigate get all you are looking what more can you ask i highly recommend this company"/>
        <s v="i ordered dog food on line never received a confirmation a few days later i called was told warehouse was working on it three days later i called again they said it was in warehouse with stiff competition on line pet food supplies i dont feel that i need "/>
        <s v="liked convenience of getting our pet food delivered what i dislike time it takes get delivery we were down our last kibble when package arrived not sure service dependable enough"/>
        <s v="thank you this opportunity provide constructive feedback on my experience&#10;when i received my pet barriers i had ordered two they came on separate days which fine but they were both in horrible shape on arrival both boxes open on both or one end some taped"/>
        <s v="it would be nice get some discounts items that are less than"/>
        <s v="i ordered my pet supplies on monday did not receive it"/>
        <s v="ive purchased from petflow many years usually dog treats food always good products good service highly recommend"/>
        <s v="easy use website quick delivery"/>
        <s v="great service good prices quality products"/>
        <s v="great company always on time with my order"/>
        <s v="orders are correct intact upon delivery which always fast any issues or delays are quickly communicated tone of communication always congenial helpful me i can buy my dogs healthier preferred foods that bigbox stores do not carry i also like that sizes of"/>
        <s v="i love how fast they ship but im annoyed my first order products were expiring in weeks so i had use bags of sweet potato fries before they expired that didnt happen they seemed okay so i used them until they were gone&#10;this latest order fries dont expire "/>
        <s v="good products service price only problem you are out of stock too often"/>
        <s v="petflow has provided exceptional service great prices very good selection of products foods my pets about years i highly recommend this company"/>
        <s v="ordering easy shipping always fast my favorite site ordering cat food supplies"/>
        <s v="shipping has been so fast each time ive ordered excellent customer service great selection of pet food items theyve won my business"/>
        <s v="easy order delivery was good as well"/>
        <s v="not as familiar with navigating your website thus found it confusing confusing perhaps as i use it more ill become better with it products are excellent prices are excellent too"/>
        <s v="easy website delivery updates promptness of delivery"/>
        <s v="i never received my package have been waiting about weeks since order i would recommend petco or something like that"/>
        <s v="a great place get pet food that quality my gigi girl"/>
        <s v="great experience from ordering delivery"/>
        <s v="order has been cancelled by petflow i was not even notified thankfully chewy had my back"/>
        <s v="i placed a order on i sent a text on asking when my order would arrive i was told my order was flagged never shipped person didnt know why or what that meant why wouldnt i get a email or a call if a problem was encountered you have all my contact informat"/>
        <s v="fast shipping always consistent with supply my shih tzu approves a happy baby thank you pet flow"/>
        <s v="your prevention protection not accurate please fix it"/>
        <s v="shipped me very fast no damage packaged well enough prevent damage i wish fromm allowed discounts auto ship but i understand it up them allow that not petflows fault at all"/>
        <s v="i appreciated receiving an email when item i needed was back in stock i waited buy it from petflow because their price was so much more affordable this service was so helpful"/>
        <s v="second time ordering prescription food told its in stock a week later they cancel order stating its not in stock never again"/>
        <s v="i have ordered twice each time delivery has been delayed order this time was not properly packaged box was literally falling apart patched together with more tape than cardboard i am surprised entire order made it here i wondered why you are able sell fan"/>
        <s v="sales experience was fine delivery not so much again their chosen delivery company left my very heavy package sitting in front of my garage all see with no knock or ring at door let me know it was there thankfully it wasnt raining that day i am not sure i"/>
        <s v="dog food came quickly"/>
        <s v="ordered boxes of arm hammer fragrance free super scoop cat litter two weeks ago never received it"/>
        <s v="numerous choices at excellent prices fast shipping excellent customer service highly recommend"/>
        <s v="i was told i would receive a tracking number my package i placed on friday i did not so i called days later on tuesday at i understand company doesnt work on weekends brian answered phone he was very rude when i asked a tracking number saying why would th"/>
        <s v="i ordered a prescription cat food where website indicated that it was in stock when i had not received a status update after a few days i sent an email inquiring about status was told that it was out of stock which i had suspected since it was out of stoc"/>
        <s v="website doesnt work right horrible navigate i got food i didnt order whats with that shipping was fast prices were good"/>
        <s v="purchased toys my red squirrel he loves them that r safe durable costumer service truly customer service helpful polite this company a joy deal with"/>
        <s v="great service people thank you"/>
        <s v="i ordered cat food delivery on i am still waiting it be shipped me there has been no update"/>
        <s v="i love products they carry i love communication only negative that they are out of my items a lot however i know that probably has more do with company who makes it than them"/>
        <s v="products were in stock website was easy use prices were comparable other things online retailers"/>
        <s v="great products fresh free shipping&#10;great pricing"/>
        <s v="even though delivery company brought my package a day later than they predicted it was still earlier than estimated date i got when i placed my order all items arrived in good condition i got a very reasonable price"/>
        <s v="food my pet needs was listed on your website so i placed an order then a few days later received a message my order could not be filled items should not be listed or show as out of stock if unavailable"/>
        <s v="my order got canceled without any notification me on separate occasions i found out by checking website on status of my order"/>
        <s v="i am extremely happy with ease of ordering from you"/>
        <s v="ordered two times both times it was stated in stock after placing order i was notified sorry out of stock worst website ever if you dont have it in stock ready ship then dont state in stock"/>
        <s v="id never heard of petflow before they came up in a google search very glad they did i was able buy some blue buffalo kitten food at a lower price than petsmart petco chewy&#10;&#10;i also got a bunch of my kittens favorite clicker training treats at a reasonable "/>
        <s v="good communication shipped fast great product"/>
        <s v="i ordered item was not in stock but it doesnt say that online then when i try reach out find out ifwhen item will be in stock communication was minimal none"/>
        <s v="customer service awesome i was having trouble using a couopon woman i talked with took care of it its important me that my purchase will feed a doggie"/>
        <s v="your website said wet cat food was in stock i never received my order because you are out of food"/>
        <s v="always satisfied with service i have gotten at pet flow delivered in a timely manner packaged well in good shape when it arrives products we use are always available"/>
        <s v="great prices timely delivery great products"/>
        <s v="package arrived promptly was wellpacked ordering was easy product just what my cats love too its hard find"/>
        <s v="prices great selectiondeals appealing preparation shipping could be quicker customer service agent was snarky&#10;still choosing over chewy"/>
        <s v="speedy service with a personal touch they also carry some brands we cant get elsewhere they are lifesavers"/>
        <s v="very quick service on fromm dog food our new puppy we were not able find this brand elsewhere happily pet flow was able keep him on his regular brand"/>
        <s v="fraud team kept flagging my credit card cancelling my shipment even though ive purchased here many times there was no issue with my bank"/>
        <s v="variety of flavors fancy feast wet cat food limited right now but i was able find what i wanted at a great price at pet flow shipping was fast"/>
        <s v="order i placed arrived on time i question whether this product was actual item from original product made by another company my beagle would not eat this brand but ate real brand from manufacturer dog food didnt even look like real food"/>
        <s v="love science diet pet food love their price"/>
        <s v="happy with petflow good prices delivered timely packaged well"/>
        <s v="my dog loves petflow pet food taste very good logistics also very fast nutrition very balanced"/>
        <s v="products are great customer service excellent shipping fast thank you very much"/>
        <s v="pros very wide selection of dog cat items i think you could probably find what you would get at any other petretailer comparable prices website was easy enough navigate there were discount codes available&#10;cons autoship that i set up did not get shipped un"/>
        <s v="i will forever be a customer food gets here fast helps other dogs in need every time you purchase plus i prefer support a small business highly recommend have passed on friends"/>
        <s v="was able place my order easily only issue was a slight delay in delivery due warehouse stocking i was quickly notified that my delivery would arrive a day later i was delighted when it did"/>
        <s v="i placed an order two days later i received an email from you saying something like your fraud review team advised you not fill my order no explanation ive never had anything like this happen me before"/>
        <s v="my orders are always on time if not im promptly notified expectations are properly set"/>
        <s v="i love company but communication bad ive had a standing order a long time they where unable fill dog food there was no communication or replacement i had place this order on my own very disappointed"/>
        <s v="order was processed as always however i was surprised it took so long receive i used order get it within days this time it took"/>
        <s v="on time delivery ease of use website"/>
        <s v="product i was looking was available was able place my order without a hassle"/>
        <s v="it was great service my stuff was delivered quickly"/>
        <s v="i just recently discovered petflow they provided me with best price customer service speedy delivery item that i was looking i will definitely choose petflow future purchases"/>
        <s v="great customer service dog food arrived on time"/>
        <s v="shipping was quick my order was accurate customer service fantastic"/>
        <s v="terribly disappointed with this retailer order was confirmed yet i never received a shipping notification when i requested a status update was told their fraud prevention team suggested not filling order what a load of crap i use identical payment source "/>
        <s v="easy order i received everything very fastwith free shipping im planning on buying more pet items from this site sure its rare that you receive ordered things within days from most pet sites free unless you pay"/>
        <s v="i needed get my prescription pet food that was sold out everywhere this was only place that had it submitting my vet info prescription was easy food arrived quickly"/>
        <s v="company was great in fulfilling my order of hills rx derm complete dry dog food although a delay between veterinarian petflow in timeliness of my order some of that was beyond petflows control once things were in order order came as expected overall i was"/>
        <s v="competitive prices good selection of bird food quick shipping"/>
        <s v="my order constantly being canceled why cant i stay on a list until product back in stock so it can be shipped me"/>
        <s v="over a year i have an autosubscribe food order price went up on food i reached out see if you would honor a competitors price without hesitation you did thank you so much your superior customer service quick seamless orderdelivery"/>
        <s v="web site easy use great deals on all pet supplies wide variety of pet foods especially what i need my cavalier i recommended petflow all my pet parents"/>
        <s v="ordered cat food on sale cases received email item was out of stock very disappointed should have been offered sale price when item returned stock"/>
        <s v="wonderful fast fast"/>
        <s v="had inquire whether or not my order had shipped which it hadnt inquired twice was told both times had not been shipped on second inquiry i also asked that if it was not going be shipped today cancel interestingly it has been shipped today"/>
        <s v="i have a difficult time finding this product petflow had what i needed fast delivery"/>
        <s v="great prices fast shipping they actually have dog food i need in right size bag that i cant find anywhere else so glad i stumbled upon this company"/>
        <s v="ordered food got message later that it was out of stock so website isnt accurately updated waited as they said they would ship as soon as they got it in stock then i got a message that they canceled my order so this was first last time i will try this sit"/>
        <s v="quick quick delivery after several deliveries of same order lb bag of prescription dry cat food shipping box holding bag has become more compact instead of a foot long of brown packing paper crumpled wrapped around bag fend off damage makes a great tail c"/>
        <s v="i love petflow i prefer them chewy petsmart i feel like they are geared more towards consumer their pets not political posturing i buy my pets want a company committed my pets"/>
        <s v="csr told me my card was fraudulent my order would not ship i bought dog food from another place then i notice petflow had shipped my order after telling me it was cancelled i wont shop here again"/>
        <s v="easy order&#10;my order was a repeat order site made it easy identify previous order&#10;the site facilitated scanning coupons which gave me a discount&#10;communications regarding order placement shipping delivery were timely accurate&#10;the item delivered was as order"/>
        <s v="weve been using petflow many years now every aspect of their service has always been amazing premium kibble reasonable price product arrives quickly"/>
        <s v="always delivered quickly you carry high quality cat food thank you"/>
        <s v="i ordered a couple hundred dollars worth of stuff all but items were unable be shipped on backorder why do they have items listened that they clearly dont have in stock one or two items ok but pretty much my entire order you might want call ask if they ha"/>
        <s v="main complaint damaged cans over over again&#10;&#10;i have been told call requests additional packing additional boxes email notifications on auto ship status i do all these things still petflow comes up short&#10;&#10;if something out of stock at time of shipping not a"/>
        <s v="spoke with a rep named ryan he was extremely rude hung up after saying have a good day because he couldnt answer my questions about a product pet flow says they have in stock"/>
        <s v="products were damaged petflow replaced them immediately l"/>
        <s v="everything as described fast service"/>
        <s v="i like that shipment can happen same same day as order date delivery fast packaging can be better as ive gotten several dented cans"/>
        <s v="this company has very quickly response nice servicepeople are very friendly helpful"/>
        <s v="i ordered prescription food my sick cat submitted my vets prescription with order made payment my vet confirmed it was approved same day its not on backorder but it has now been two weeks my order still hasnt shipped or been delivered i havent received an"/>
        <s v="having dog food delivered takes a large load off my schedule delivery people are very courteous friendly"/>
        <s v="i had paused my auto ship then ordered what i needed weeks later i have another shipment of lbs of dog food"/>
        <s v="petflow unfortunately very inconsistent with their delivery we recently received orders within days after not getting anything approximately weeks"/>
        <s v="great service had product i needed shipped received in very reasonable time i will shop with petflow again"/>
        <s v="two orders placed at different times showed in stock gave all my billing info got confirmation of order a week later got an email order canceled due no stock my cat needed this food asap was quite disappointed that it took a week notify me two times they "/>
        <s v="as usual many of cans were dented in shipping i assume makes it difficult stack store&#10;may not order again"/>
        <s v="i had a issue with my picky cat he would not eat food i purchased i contacted them they helped me out"/>
        <s v="great product shipping was fast they communicated every step of way will definitely order from them again"/>
        <s v="discount on my order order itself delivery time are all star&#10;&#10; maybe you should change name from petflow star"/>
        <s v="i appreciate that i can quickly reach a customer service representative on phone when i have a question about a product or an order im glad that petflow donates food needy animals i also like that petflow not connected companies that sell live animals how"/>
        <s v="while i needed this product was up on its delivery time id like pre notification of sending this allows me plan about being home etc"/>
        <s v="i ordered a prescription diet my cat accidentally typed incorrect vet in prescription referral one that has a very similar name as that of my vet petflow emailed me that vet didnt have any records of my cat i when contacted them confused i found out why&#10;&#10;"/>
        <s v="your website needs be better maintained i ordered product listed as being in stock got a confirmation email then two days later ordercwas cancelled with no explanation i called only reason you got stars customer support was so nice however product i was t"/>
        <s v="items that were on backorder were listed as in stock on website customer service wasnt helpful couldnt say when items might be back in stock called back cancel order after finding items cheaper on amazon was told that items were already back in stock were"/>
        <s v="i have tried order cat food at least times this year from petflow they have canceled every order due supply shortages even though when i placed my orders food showed on website as in stock it has been very frustrating i am tired of wasting my time orderin"/>
        <s v="i placed an order signedup ongoing orders but next email i received was one offering a discount that was never offered me until after i ordered signed on reapeat orders&#10;thats terrible &#10;that not a way do business with repeat customers"/>
        <s v="both times that i have ordered from petflow my orders had delayed shipping dispite me calling emailing them"/>
        <s v="i placed an order online because it showed item in stock i didnt receive any notifications that it wasnt in stock until i emailed in a query at that point all i received was a notification that my order was canceled again with no reason as why very frustr"/>
        <s v="i would not have provided my personal information if i had known you dont have what i need not happy"/>
        <s v="petflow has grown on me i have used their competitor a long time but tried petflow when i initiated a food change i have found petflow be responsive helpful quite honestly i feel their service has continued improve over time i have been using them they"/>
        <s v="great product shipping times im so happy have found this company"/>
        <s v="very knowledgeable helpful assistance over phone quality product prices cant be beat"/>
        <s v="item i needed was in stock priced better than competition arrived timely as needed"/>
        <s v="recently i ordered over in treats they came in one large box half of treats raw freeze dried had turned dust in their packages it was likely due rough handling during shipping that had never happened before ive been ordering treats from petflow years i ca"/>
        <s v="i guess my card was declined my second order of fromms cat food cases but instead of telling me by text email call i was just ignored when i was down one lonely can wondering where my cat food wasi emailed no response my question just a well get back you "/>
        <s v="your website lied said a product was in stock when it wasnt we ordered it heard nothing from you i had call several times then i was finally told my order was canceled because it was back ordered so was it never in stock begin with ill never order or atte"/>
        <s v="i had a slight issue with a couple of cans that were shipped customer service representative said they would issue a credit on my next order very professional courteous service"/>
        <s v="my order was cancelled i did not know it no email nothing i had log into my account find out i have reordered hopefully product will be sent"/>
        <s v="everything i always need personal help with my orders which usually include a prescription my cat prescription i have a open one that i usually have send a picture of petflow seems only online site that will talk me personally in order get this done as op"/>
        <s v="people on phone are friendly helpful"/>
        <s v="what a great business work with when i made an error ordered wrong food customer service was happy take it back get me right food&#10;what a pleasure work with such nice helpful staff a most unusual treat today"/>
        <s v="i originally ordered a can case of cd chicken stew a can case of cd tuna stew was told that they were both in stock about a week later i got case of chicken stew but but still am waiting case of tuna stew i just called a little while ago see why case ot t"/>
        <s v="excellent product ive been buying from them years fast service"/>
        <s v="i ordered cases of hills cd wet can food one stew one fish i only received stew my invoice shows that i was charged both&#10;but no explanation on why i didnt get full order"/>
        <s v="wanted order dog kibble but price on select description page was but when i started processing order cart jumped it i called explained problem guy hung up on me i called again second guy also hung up on me petflow will never see another order anything fro"/>
        <s v="would give this company zero stars if possible have ordered from chewy petco pet nirvana vetsource with absolutely no issues whatsoever using same credit card i used petflow however twice petflow cancelled my order with no notice i didnt discover until i "/>
        <s v="i have tried order food my cat times each time order being cancelled because they did not have product in stock i didnt understand why would show a product in stock when in fact they didnt have it"/>
        <s v="great product exactly how it was described&#10;works great my dogs"/>
        <s v="so glad i found this company products in stock ships quickly appreciate great service"/>
        <s v="i was never told you did not have product instock i ordered it my debit card was charged three days later i was told you were out of stock refunded me next time tell me you were out of stock dont make me go through process of ordering something you clearl"/>
        <s v="both orders was delivered on time petflow provides a tracker number so that you can track your order items in both boxes came spillproof dog food bags were tightly sealed petflow also offered me off both of my boxed items thusfar our house yorkipoo maltes"/>
        <s v="it nice product"/>
        <s v="pet flow kept canceling my order asking me resubmit it even though it was out of stock they gave me deep discounts on order but they were never able deliver it this a serious situation because my cat cannot live without her prescription food they said a m"/>
        <s v="hello&#10;i really enjoyed experience of shopping with petflow&#10;at first purchase was cancelled because product was out of stock pet flow solved issue i was informed at every step prices are very competitive&#10;i can say that petflow my favorite store now"/>
        <s v="customer service great delivery a bit slow order shipped september its september th i still do have my item"/>
        <s v="cheapest place purchase my dogs fromm dog food it always arrives on my doorstep fresh i feel confident in purchasing with petflow"/>
        <s v="i was pleased find what i needed at a good price but also saw a number of things that were much higher than on other sites my order was shipped within hrs arrived in good condition i appreciate messages keeping me informed every step of way there are good"/>
        <s v="thank goodness petflow i needed prescription treats i could not find any where even my vets office was out i had not heard of petflow before you came me my lab bellas rescue fast shipping thank you we appreciate you so much we will be back"/>
        <s v="an honest informative explanation my cats appreciate it please send me your list of us cat food manufacturers i fiddled with your email until i couldnt view it or print it&#10;&#10;thanks"/>
        <s v="love this cat tower my girls have a great time climbing lounging its very sturdy was delivered promptly thank you"/>
        <s v="great products reviews that help pet parents too bad items dont ship during weekend great products resources thanks"/>
        <s v="they were very helpful my cat food was delivered on time"/>
        <s v="it took longer that buying it directly or with other companies"/>
        <s v="i have been getting auto deliveries many years recently went on line order set up a new auto delivery new puppy my ship address was no longer correct i fixed it went order food it flipped back bill address i fixed it but order still shipped wrong address "/>
        <s v="petflow great i place my order within days i have dog food sooo convenient have it shipped right your door ive been doing business with them now years will continue"/>
        <s v="if i could give it zero i would they never contacted vet despite giving them fax phone email contacting them on multiple occasions i have a prescription same dog food but i tried ordering snacks i have a prescription dog food it works snacks as well accor"/>
        <s v="fast shipping good prices hard find dog food"/>
        <s v="great selection timely shipping boxes are still crap they show up half open beaten up sometimes too small bags of food causing them be ripped open if i could get nutrisource food somewhere convenient i would not use petflow"/>
        <s v="i ordered some thing order was approved by vet because it was a prescription then i found out five days later that order was not being fulfilled because it was out of stock it seems as if company should know what it has doesnt have in stock before it acce"/>
        <s v="have spoken people get an order of dry dog food on auto ship no avail process started late aug with everyone saying it would ship asap i still do not have it i dont understand what problem"/>
        <s v="my cat needs prescription hills yd after going thru verification process stopping my search i was told you couldnt source it wasted time waiting i was informed after fact wish i had known in beginning"/>
        <s v="ive been using petflow quite a while now have had nothing but positive experiences generally i receive my order in about four days or less"/>
        <s v="ordered on received via fedex&#10;&#10;the box it came in was trashed more than likely from shipping handling i would suggest using sturdier or reinforced boxes but that probably would add more cost one of bags was leaking food it seems bag was not sealed properl"/>
        <s v="delivery of product was sloppy&#10;it was raining box was left outside where there a dry place available"/>
        <s v="my only complaint that bags of dogfood were not packed properly instead of big pound bag being in usual big boxes that it usually arrives in pound bag was crammed into same size box as pound bag with result that box arrived in damaged condition had been t"/>
        <s v="great prices of several items we use thank you"/>
        <s v="best prices in stock merchandise quick shipping would use them again"/>
        <s v="petflow carries fromm healthy weight senior dogs bandit loves it bandits favorite treat inch pizzle chews he has have them"/>
        <s v="my order was cancelled without any notification it was a sizeable order on a brand new account but not providing notification was both inconvenient has left me scrambling&#10;&#10;the prices will result in me trying order from petflow again but experienced servic"/>
        <s v="i appreciate discount sales offered your large selection of product my items arrive carefully packed i have yet receive one dented can or damaged item keep doing what your doing"/>
        <s v="stop accepting orders items you do not have in stock this has happened twice now"/>
        <s v="always a great experience with petflow product of great quality ships fast only place i can find these ears in bulk"/>
        <s v="my dog food order arrived with exploded dented cans petflows email reply was tell me they will credit my card today my card has yet be credited i am not happy about this order number placed on"/>
        <s v="first time using petflow im happy with service i now have autoship with them used chewy autoship in past but their service has become unreliable in past few months petflow was able supply prescription food that was out of stock at chewy"/>
        <s v="products pricing are wonderful shipping slow compared chewy thats only downfall"/>
        <s v="orders are not packed properly arrive dented this not first time customer service did in fact send me a new oder"/>
        <s v="it was entirely on me send a prescription order was sat on weeks eventually was cancelled without me asking it now your site shows its out of stock just literally worst order ive tried place prescription food which my cat has had go without because i kept"/>
        <s v="after receiving an email requesting i contact my vet facilitate getting required prescription my dog my vet had received no such request i called customer service requesting another prescription be submitted i was treated with arrogance disrespect unprofe"/>
        <s v="thumbs down its my order was supposed arrive today i was told fraud department canceled my order reasons they wont disclose they didnt tell me order was canceled i was simply left waiting when i attempted reorder payment they said fish food was that out o"/>
        <s v="good service fast delivery"/>
        <s v="i have purchased from petflow regularly a number of years they have good prices often best they ship quickly ive never had an issue whats not love"/>
        <s v="my scooters food got here in a very timely manner he loves this food it hard find in our area cost reasonable though it would be nice if there was ever a sale on it thank you petflow helping me provide best my fur baby"/>
        <s v="i was very disappointed with my experience i was looking everywhere prescription cat food my furbaby needs petflow was only place that showed having it in stock but by time they finally got around contacting my vet nearly a week after i placed my order it"/>
        <s v="ziggy went nuts over treats its his crack cocaine will definitely order again"/>
        <s v="your service products have always been excellent only glitch was on my last autoship i never received notice that my order was getting ready ship if i had i would have pushed it a week later its not a big deal but i like having advance notice in case i wa"/>
        <s v="i believe your website was corrupted my account breached leading several orders that i did not authorize there was faulty information shown example website showed order xzy was just placed today but when i asked your rep about that order number he told me"/>
        <s v="good food cheap easy"/>
        <s v="i placed a subscription order prescription food my pet petflow claimed they had it in stock i was wondering where my order was so i logged into my account find that order was canceled because they did not have it in stock did not cancel my autoshipment ju"/>
        <s v="it would be nice get some of discount codes nonauto ship orders frequent order customers&#10;thanks petflow"/>
        <s v="website advertised canned yd thyroid cat food so we ordered a case after a week we were told it wasnt available which left us scrambling thyroid food our cat"/>
        <s v="i gave you a top score because we ordered food from you guys all time this time i didnt get any emails i looked in my junk folder there was nothing there i had call twice figure out what was going on i hope you can improve this process"/>
        <s v="have enjoyed using this site help take care of our babies great selection decent pricesdelivery on time"/>
        <s v="our girls love dreambone peanut butter sticks they are always out or extra expensive on other sites this price great"/>
        <s v="i had a good experience with this company i ordered my dogs food received a great price order arrived in time frame condition expected i will be reordering as needed&#10;thank you"/>
        <s v="my pups love all of toys we ordered from petflow most of toys we ordered are made by kong toys are great our young aggressive chewer as well as our fairly active year old senior pup ordering was easy prices are great"/>
        <s v="i submitted a signed prescription from my vet through email orders kept receiving emails from this vendor telling me they couldnt ship until prescription verified then more emails saying they would approve it if i would submit a prescription from my vet i"/>
        <s v="great communication free fast shipping they carry an item thats out of stock everywhere"/>
        <s v="im really happy with all my purchases from petflow affordable prices fast shipping"/>
        <s v="i have gotten myias can food before from you but this time every single can was dented up not quality i expect price of hills prescription food"/>
        <s v="worst spoke with a customer service rep ryan he was courteous yet at same time completely unhelpful unwilling do what it takes resolve issue he was very passiveaggressive so i him suck a bag of diks etc etc&#10;my problem was getting an uploaded prescription "/>
        <s v="no issues with shipment or product easy ordering"/>
        <s v="my experience was very positive i was able get some dog treats that i had not been able purchase quite some time thank you"/>
        <s v="fast shipping good price"/>
        <s v="my puppy lola has had allergy skin issues she hates all food treats until i cane across hills prescription hypo pet flow was so nice work with great service great prices variety wonderful thank you so much"/>
        <s v="you are asking me rate something that hasnt yet been delivered i just tracked it see that it expected be delivered tomorrow well see if that happens&#10;&#10;by way i ordered from your competitor about days later than this order it was delivered last week sohow w"/>
        <s v="i am pet flow subscriber i love it my cat food always arrives on time if i order an item before it only takes days arrive or maybe less"/>
        <s v="i appreciate delivery your prices are fair but it took a longer time get food i used get food from you in days this was days which doesnt seem too bad but long if you expect it in days"/>
        <s v="something went wrong with one of my first orders with your company it was either dried beef lung or a chew toy but either way no notification was sent explain why i drive a truck safewayalbertsons a living so i understand supply chain delays but what i do"/>
        <s v="scam i tried order bowls they sent an email stating they were supposed ship on that i would get a tracking number in my email i never got tracking number so i called they said my order was canceled because of fraud they cant tell me why or how but they so"/>
        <s v="placed an order dogfood from petflow st time not only was delivery quick but price was way better than where i usually purchase will definitely order from petflow again"/>
        <s v="we are a small chihuahua breeding program it most convenient have our dogfood deliveredwith free shipping"/>
        <s v="i ordered my cats prescription canned food called check on it several days later was told my order was being processed then received an email a week after my order date stating my order could not be fulfilled as it was out of stock by that time i was out "/>
        <s v="soooo disappointed here needed still need rx canned cat food said it was in stock our vet sent rx right away then i didnt hear anything checked on it a week later they said oops out of stock we have cancel your order whaaat"/>
        <s v="im usually pretty pleased with petflows delivery system but some reason this time it took almost a week me get my product usually its in within a day or two so i just hope he gets a little bit more through delivery service other than that its ok i know ev"/>
        <s v="was very pleased with fast courteous service"/>
        <s v="you allowed an order be placed rx food when it was not available i had call get a cancellation email it was nearly a week later before that was sent"/>
        <s v="i was very pleased with my purchase experience with petflow i ordered a hills prescription diet dry cat food that ive been having a lot of trouble finding i bought it a better than average price it arrived earlier than quoted in good condition"/>
        <s v="very good service i love play pen i order"/>
        <s v="easy use of website ordering you have always delivered this hard find food on time ive come depend on your consistent service thank you"/>
        <s v="ordering quick easy product arrives in days"/>
        <s v="every one was helpful i am sorry not be able get my at food"/>
        <s v="petflow made it easy my food was delivered quickly with no problems my dogs love their new food auto ship makes it hasslefree"/>
        <s v="first time buyer ordered one product which needed vet approval once obtained shipping took a while poor communication as there was none on their part unless i called repeatedly"/>
        <s v="ive been using petflow years now never had an issue till recently this time around i received a package before i received shipping notification upon receiving my partial order because one item was on backorder there was item missing other than backordered"/>
        <s v="i ordered two cases of food i provided prescription two cases were ready be shipped i followed up next two days i was told was due prior holiday weekend but two cases were ready be shipped however two days later i was told that product was out of stock bu"/>
        <s v="very well made excellent quality of product"/>
        <s v="never received product nor heard that it could not be fulfilled item was listed as in stock when purchased"/>
        <s v="always reliable a great price thank you"/>
        <s v="absolutely friendly staff helped me right away helped me find perfect alternative same price"/>
        <s v="it was cheaper than anywhere else fast delivery customer service was also fast friendly"/>
        <s v="i ordered my dog food almost two weeks ago im still waiting it be shipped or get a refund i have received multiple emails about them not being able reach banfield pet hospital get my prescription my dog but banfield open from like am pm everyday"/>
        <s v="horrible horrible service i did everything right on my part even then food my cats wasnt shipped in a timely manner despite me calling it being told it will be shipped asap multiple times only be told later it being delayed then being offered have it get "/>
        <s v="i placed an order treats a few days later order was cancelled without any notice reason given was something flagged a fraud alert however when i called customer service number they couldnt give me specifics all they suggested was trying place order again "/>
        <s v="i was very encouraged when i first logged into this site as some of prices are lower than other sites but just after submitting my first order im being told that half my order isnt available at this time when i logged out went back into site everything i "/>
        <s v="i travel work i ordered pet food via your site first time with my billing address as my home address my shipping address as place i was on location working i travel with my two cats my order was cancelled i was not notified it was cancelled fraud when i c"/>
        <s v="apparently my order was canceled by fraud department id like know why i spoke someone on phone as i wanted of item but you only had one no one notified me i ordered from another company thinking i had coming from you now your out i will have pay more than"/>
        <s v="i tried using a coupon that said expires on it was already expired"/>
        <s v="i will never ever contact pet flow anything ever again terrible terrible customer service failure deliver told me their fraud division refused ship item i ordered i contacted my credit card companies all of them said there was zero issues with any of my c"/>
        <s v="love petflow site carries my favorite products great prices fast shipping items arrive in good condition a"/>
        <s v="bimonthly order of dog food that best price i can find online"/>
        <s v="shows on website food i needed my cat was in stockand it wasnt"/>
        <s v="great products service website"/>
        <s v="my experience isnt complete because i only received one small piece of order kind of odd i ordered a case of cat food when i placed order site said i was only away from free shipping so i ordered a small kitty toy i got an email on monday that my order ha"/>
        <s v="half of order delivered as expected other half was on perpetual delay petflow team could not provide update except that all prescription orders were delayed this was obviously not case as first half of my order was fine not delayed that said if they antic"/>
        <s v="i tried twice order dog food my dogs both times it was cancelled by this company their so called fraud prevention dept i was dumbfounded i called ask why woman i talked had no idea could not transfer me anyone talk about it i got an email from another per"/>
        <s v="ordered wrong food contacted company before shipped they said it was too far in process they told me deny delivery when they come delivery company dropped off without notice they denied my return they lost me as a customer over i purchased bag of food fro"/>
        <s v="product good but way too many emails"/>
        <s v="took over two weeks order arrive&#10;soft cookies are very hard"/>
        <s v="this place a real joke seems like they are selling items that they dont have we purchased dog bowls our feeders after they was supposed ship them out we called they said that they canceled our order due they thought it was fraud how making a purchase a fr"/>
        <s v="every time i order it takes forever receive i also have received wrong product had reorder wait even longer kind of a headache customer service just ok"/>
        <s v="nice selection of premium reasonably priced highquality cat food shipped delivered quickly with no hassles"/>
        <s v="website extremely difficult navigate customer service merely okay&#10;after i was told my order was in stock it wasnt my order was cancelled no well let you know as soon as it gets in or anything just plain canceled&#10;not gonna bother shopping here again"/>
        <s v="i place my first order with petflow a few days after placing order i realized i hadnt received an email with shipping information so i called find out when my order would be delivered i was informed my order was canceled i asked why it was canceled was to"/>
        <s v="overall it was easy order however it took more than a week me receive my dog food fl warehouse was out of stock there was no correspondence let me know that food was then coming from nj warehousei had call in order find out when my order was being deliver"/>
        <s v="my parentsdog loves this pet food it arrived when i was advised it would arrive so that was awesome"/>
        <s v="been ordering pet food from petflow years now have had nothing but good experience with company products i order are best at best prices available shipping has always been super fast great company"/>
        <s v="its too hard cancel auto ship orders it should be a simple button you can press instead you have contact customer service which takes time what should be something i can do myself other than that petflow always fantastic"/>
        <s v="delivery took longer than i expected after a week half i had not received an email letting me know my order had shipped i contacted customer service ask what do you know my order shipped next day"/>
        <s v="very good customer service happy with product delivery prescription treats my dog likes they had in stock"/>
        <s v="claimed a dog food product was in stock even told me that only one was available not two that i had in my cart so i purchased one two weeks later no dog food has arrived but i just got an email stating its out of stock not known when it will be in decepti"/>
        <s v="ordering was simple communication was excellent selection prices were great anf items were shipped promptly no problems were encountered at all"/>
        <s v="petflow had sensitivity select dog food i needed which hard find at a reasonable price i received it within a week great company deal with"/>
        <s v="order on called on verify prescription received told yes will ship soon no contact from you called again on told will ship that day i expected receive by tracking sent stated expected arrival was never informed of these delays my cat has now run out of fo"/>
        <s v="i ordered hills prescription cd ocean fish wet cat food on st of september i had no knowledge that was not in stock prior ordering as it was not noted on petflow site i got an acknowledgement email from petflow that was it make a long tedious story short "/>
        <s v="transfering a new hardcopy rx was a bit cumbersome&#10;first i was told that i had send a new rx via us mail then i was told i could simply upload it so it took almost weeks receive product"/>
        <s v="i had some issues with my order but contacted customer support twice each time has been reassuring its easy get a hold of a real person team has been very professional courteous in resolving my issues i will continue making purchases my fourlegged friends"/>
        <s v="very happy experience from petflow&#10;thank you"/>
        <s v="dog food i ordered went out of stock immediately after it allowed me order i called i was told they could not give me any idea of when it would be in stock i tried cancel my subscription with them but they told me they wanted keep it now i am calling agai"/>
        <s v="frdex didnt deliver previous order your customer care rep ordered another fromm sur turf me it was delivered"/>
        <s v="i signed up once autoship order took over a week reach me since that experience i order when i need it always receive it within a few days i am a regular"/>
        <s v="i bought august st havent even received any email with shipping last time i talked them havent shipped yet last time i called didnt even answer"/>
        <s v="i placed an order about days go by i realize i hadnt gotten a shipping confirmation number i called representative said oh did no one reach out you no they didnt long story short nothing happened except they held onto my money i canceled order now im wait"/>
        <s v="i placed my order a few days ago i then had get a prescription from vet mail it mail it not fax it or email it but mail it i have yet get notice that my dog treats have been mailed it had been days my dog has ibd these are only treats she can have so im a"/>
        <s v="communication with petflow staff was exceptional professional i truly believe staff was interested in helping me with prescription from my vet product clarification expedited process well"/>
        <s v="super prompt service which included petflow needing verify a new prescription with my veterinarian fast shipping too much appreciated"/>
        <s v="petflow website had hills yd canned cat food available i ordered a case they sent me a confirmation then contacted my vet required prescription after receiving it checking their inventory then with their distributor notified me they dont have it wouldnt i"/>
        <s v="my order was not processed as it was flagged fraud however i was not informed of this i had call days after placing order find out"/>
        <s v="ordered prescription cat food that was in stock never heard anything weeks then got an email saying it now out of stock i looked it up again it not out of stock total waste of my time i dont remember date exactly"/>
        <s v="had what i was looking good price fast shipping great job"/>
        <s v="easy website navigate customer service both via chat phone were very helpful when i entered my cc number incorrectly shipping was fast too"/>
        <s v="my order was canceled twice without an email or call this unacceptable i will never recommend petflow anyone"/>
        <s v="i have a rescue wanted give petflow a try because they had some great deals i placed an order in my name but used my husbands credit cardsame last namei received a confirmation days later never received it i called was told my order was cancelled because "/>
        <s v="crate arrived so quickly it was way assemble looks great very pleased"/>
        <s v="i placed an order on had not heard anything about it by so i emailed company was told that their fraud protection team suggested that they not fulfill order when i emailed back an explanation i was told call a number which i didnt do but i think i should "/>
        <s v="dog food arrived in good condition dry food it was not broken up like some other places where i have ordered good service"/>
        <s v="this site legitimate i feed my dog chicken soup soul weight care dogs after checking other places they definitely had best price so glad i found them shipping was minimal but fast set it up auto ship"/>
        <s v="good site good site good sitegood site"/>
        <s v="i ordered a prescription diet food my pet on a saturday that monday i called into customer service confirmed receipt of my pets prescription i expressed urgency rep that we were running low needed this food asap days later i received an email canceling my"/>
        <s v="prescription wasnt approved i didnt get any food"/>
        <s v="fast very secure service easy safe method of purchase excellent products affordable pricing"/>
        <s v="nothing but good say about petflow they have what i want prices are fair delivery fast"/>
        <s v="excellent customer service i ordered etta says premium elk treats count one arrived not just one i called rep on phone was more than polite sent out an order missing chews again box arrived with one chew not i called a second time again rep was very kind "/>
        <s v="awesome do business with received product on time"/>
        <s v="very happy that i found this site my aging dog who needed prescribed treats that he was on most of his life they contacted my vet approval i did not have wait too long before i got my package"/>
        <s v="i had a wonderful experience with petflow my cat max on a special hills prescription diet urinary issues it very difficult find cd cat food where i live i found petflow online ordered chicken stew tuna ocean fish i uploaded prescription from my vet food w"/>
        <s v="ordering process was easy however within one day i received an email saying my item had shipped but after days with no tracking number i called was told item was out of stock shortly after that call i received an email saying item was out of stock not goo"/>
        <s v="petflow its fine customer service representatives are always dependable always on time forever always pronpolished"/>
        <s v="excellent customer service well stocked inventory"/>
        <s v="fast shipping best price when compared with other delivery companies of same product"/>
        <s v="petflow offers competitive prices compared with other online pet supply companies"/>
        <s v="i tried order litter boxes my shelter my order was canceled without my knowledge after order was already supposed have shipped i contacted company they canceled my order because they said it was fraudulent are used paypal which a secure account they could"/>
        <s v="went from bad worse&#10;ordered rocks cat treats my package was lost no one reached out i contacted fed ex several days later its gone i called petflow get me my order over night from another location they said a manager would get in touch nothng i ordered fr"/>
        <s v="this my third time ordering from this company first two times were very positive however after putting in an order on a saturday morning they are telling me that it might leave their warehouse at some point in day on a thursday so basically almost a week "/>
        <s v="everything was great&#10;i unfortunately had let go of my baby black lab of almost years&#10;if when i am ready i would use your services with no questions"/>
        <s v="you offer free shipping orders over so i try meet that requirement but then you offer coupons which are really nice but when i apply a coupon it brings my total below free shipping mark my choices are accept shipping charges or buy more bring value back a"/>
        <s v="this my first time ordering from petflow i am very satisfied my order came quickly prices are less than other places i ordered from type of dog food i buy my dogs hard find im glad petflow has it it saves me time looking it"/>
        <s v="good service arrived when you said it would i was a little confused by check out on your website but im old"/>
        <s v="my auto ship sat in processing status weeks so i paused it so i could order something else i called person acted like they didnt want help once i placed my new order i received my auto ship order at same time this was over at one time very frustrating wil"/>
        <s v="im unhappy with your service my vet was out of prescription diet my cat so i ordered from your website on friday you charged my credit card on monday since you charged my card i thought you had okay from vet get prescription food me i thought it would be "/>
        <s v="two times i tried order a particular flavor of food my cat both times your site said it was in stock about days later after not hearing anything i contacted petflow only find out that product was out of stock&#10;&#10;you do not let customers know that an item ou"/>
        <s v="this first time i used pet flow i was very happy with results they got approval from my vet shipped products in a timely manner i will be using them again"/>
        <s v="great customer support very fair pricing speedy delivery will use again do rexommend"/>
        <s v="good communication about delivery status"/>
        <s v="i am not paul weiler not only are you asking me rate my experience you have joined my account with his&#10;&#10;i am dawn martin have canceled my account im a over years a customer i hope you take my info off pauls account vdh versa&#10;&#10;thank you"/>
        <s v="website said they had product days later i received an email stating they were canceling my order they did not have food i had originally ordered"/>
        <s v="good service ordered dog food it arrived within couple days"/>
        <s v="my product never made it my doorstep i still havent received my money back extremely disappointed with service of this company"/>
        <s v="prices are a little high but shipping outstanding i am able get my dog what she needs"/>
        <s v="i was happy first time ordered food from this company i usually ordered from chewy then they sent me wrong food my dogs i called they were able change it asked me send back one i had wrong one new order yes it was but its still not here as of yet leaving "/>
        <s v="called twice check on my order people on phone were pleasant but not very helpful my order was canceled without any communication from pet flow i was told that an email was sent but i did not receive one on day of cancellation or ever very disappointed di"/>
        <s v="cat food arrived on time once i ordered wrong flavor great customer service an exchange of flavors"/>
        <s v="package arrived in timely manner"/>
        <s v="great customer service&#10;&#10;it was so easy set up an account get reoccurring deliveries prices are right"/>
        <s v="my order arrived promptly packed well thanks"/>
        <s v="i do like petflow my dogs food supplies i found auto ship be somewhat confusing while i was determining how much dog food order as my pup was growing im unsure how much discount auto ship when does it start i do not see discount auto ship on orders also a"/>
        <s v="petflow was so helpful in telling me when i should expect my package sure enough it came on time i couldnt ask more"/>
        <s v="good products prices very disappointed that it took days delivery im used chewy with day delivery"/>
        <s v="great service also was able find prescription food i needed my cat only here after finding it out of stock at my vet at other web sites both my precious cat i are very happy now"/>
        <s v="no one called me tell me my order was going be late my husband called gave his credit card several months ago i have placed orders with this credit card numerous times but some reason yall decided not send this order because our last names are not same so"/>
        <s v="fast reliable shipping"/>
        <s v="easy order quick free shipping got veterinary food i needed in large size pet smart wont sell you large size which a much better deal been ordering all of chloes treats from you several years keep up good work please get her some more piggy sticksthanks"/>
        <s v="shipping was fast delivery was not not delivered by estimated day but days after wish it was more accurate"/>
        <s v="all was good not one complaint"/>
        <s v="shipping was on slow side but worse boxes were destroyed thankfully dog food bags were not ripped open"/>
        <s v="i am always happy with my orders from petflow i get my food within a couple days"/>
        <s v="placed an order received order late but was sent a discount coupon make up it thats nice"/>
        <s v="site purchase was fine but then my order was canceled due food being out of stock its a prescriptions food so i was pleased find somewhere that had it everywhere else has said its on backorder then disappointed when it was unavailable"/>
        <s v="super fast shipping lowest price online"/>
        <s v="i was given a discount off purchase my order was split shipped in shipments day apart they removed discount customer service did give me discount after i requested it satisfied will probably order from them again provided good price on item needed"/>
        <s v="ordered dog food i was informed that it shipped on twenty second of august its now third of september no dog food they said it would take seven ten days its now been twelve days"/>
        <s v="service at pet flow very reliable prices are very competetive"/>
        <s v="all good so far but what can i say about dog food on time price was probably fair so we will see"/>
        <s v="i would give stars but i had several issues with website im sure its working through kinks technology great until it doesnt work i will say online chat was on point with helping i think i was actually texting with a real human my technical issues were sol"/>
        <s v="i placed an order with company high quality dog food when it arrived it had been expired nearly months this was my first order though they refunded me when i complained i still lost faith in them as a company i expect better than expired food there prices"/>
        <s v="my dog needed a prescription diet dog food this company a joke have us complete run around weeks meanwhile my dog suffered i do not recommend this website or this company anyone"/>
        <s v="exactly what i ordered quick delivery time"/>
        <s v="i used enjoy ordering from pet flow our cats prescription diet however recently reliability has been terrible make it worse communication about it has been lacking they were very quick charge my credit card while they place order then several days later e"/>
        <s v="im satisfied with food but you need use stronger boxes i order lb bags every month they are always opening falling apart"/>
        <s v="this nd time you sent me wrong cheaper item i called before last order you promised i would get correct item as described pictured"/>
        <s v="good customer service quick reply from pet flow i highly recommend this website your pets needs"/>
        <s v="petflow has a great variety of foods my dog food sometimes hard find they carry it their prices are competitive also"/>
        <s v="purchased cases of dog food many cans were dented from delivery otherwise good value quick delivery"/>
        <s v="horrid experience ordered some cat food on a monday it wasnt until thursday that i was told that food was out of stock they didnt know when they would get more i know that cat food in short supply but website could have at least said out of stock like oth"/>
        <s v="i love my dogs new collars they are nice strong very reflective i measured their old collars ordered what i thought would be a perfect size them unfortunately collars are too big by alot im hoping there something that can be done correct this matter"/>
        <s v="fast delivery good quality products"/>
        <s v="you are excellent accommodating understanding i will buy from you again"/>
        <s v="denemarin available&#10;i was pleasantly surprised find purchase above mentioned without a prescription unable find chewable tabs my queensland healer locally thank you thank you&#10;please let me know when you get more in stock"/>
        <s v="pet flow usually arrives in a timely manner however quality control training are needed packing our products especially canned treats arrive dented in crumbs that couple delivery too&#10;longtime customers should not be forced into auto ship offered same disc"/>
        <s v="my vet could not get prescription wet food my cat i tried weeks petflow finally had food in stock petflow faxed prescription my vet in a couple days i received case of wet food via fedex free shipping i had a off coupon from my online coupon locator my ca"/>
        <s v="i place an ordered on august messaged company on august since i hadnt received a invoice saying that they shipped i then got a message back saying that it was marked fraudulent they wouldnt be sending it but they never intended say another email saying so"/>
        <s v="this first time that i ordered from petflow so far so good no complaints"/>
        <s v="it was all pretty seamless i am a first time customer will be back"/>
        <s v="easy order on line prompt delivery no fee delivery since it was a large bag i ordered stars"/>
        <s v="looking all over prescription wet cat food saw a comparison between pet world petco petflow it showed petflow had what i was looking in stock so very excited that you were showing science diet in stock ordered cases gave my vet a heads up youd be contacti"/>
        <s v="super fast shipping i placed my order received it days later great service"/>
        <s v="i was sceptacle but chose move forward sure glad i did very prompt delivery have since ordered mega amounts of my cats favorite food again"/>
        <s v="order was quickly shipped but order was not complete due inaccurate inventory on website several items were very dirty when they arrived if it hadnt been tags i would have thought items were used somewhat disappointing"/>
        <s v="fraud department out of control ive never known a company so bent on refusing allow customers purchase from them good luck with that business model lol"/>
        <s v="i recently purchased a bag of dog food emails kept me updated about when it would be delivered it did arrive as scheduled it was a good experience im very satisfied with service provided"/>
        <s v="quick service delivery no problems at all"/>
        <s v="shipping took entirely too long wasnt notified about a shipping delay until after package was due"/>
        <s v="friendly folks poor stock on hands&#10;&#10;this second time i attempted order dog food from you a days after ordering both times i received an email stating that was out of stock this was hills dd potato venison it would have been nice know that this item was ou"/>
        <s v="it took way too long ship food i called canceled order while it was still in warehouse not processed they sent it anyway"/>
        <s v="i ordered product&#10;never received it&#10;later told thru text communication that product was out of stock&#10;if so why was it on your website&#10;nobody advised me"/>
        <s v="fraud depoatment has flagged my account they have been no help get this corrected i would like purchase form this compnay but they have been no help in correcting their error about mt information being fraud who can i talk to get this corrected"/>
        <s v="i had reach out find out what was happening with my order after never hearing anything"/>
        <s v="you were unable fill my order never let me know until i sent an email asking where it was"/>
        <s v="after making a purchase that exceeded threshold free shipping i was not able add on another item after making a purchase salesperson could not waive shipping fee on another item i forgot add on my original purchase instead she wanted me purchase more item"/>
        <s v="i ordered bags of hills feline dry metabolic cd which has been hard find at alot of stores you listed it as in stock i am veternarian my pets you didnt allow me upload an image of my prescription you sent my clinic an email get order approved same day sen"/>
        <s v="i ordered my cat a specialty cat food which at time was listed as in stock then next day i received an email saying it was out of stock&#10;to be fair most if not all places were out of stock but thats why i was excited finally find a store that had it availa"/>
        <s v="i called cancel an order within hrs of placing it was told it was too late but that i once it arrived i can call request a prepaid label return so i called when it arrived was told that rx dog food cannot be returned that it states that on website i said "/>
        <s v="ive been using petflow my furry babies a few years now am very happy with ease of website navigation managing my autoshipments they also have great customer service"/>
        <s v="i get all of treats that my dog loves on one site best price"/>
        <s v="couldnt be much easier a great price no one even close"/>
        <s v="good company they had my babys dog food in stock"/>
        <s v="pet flow has excellent prices on food i was looking purchase my cats their prompt delivery was also superb have shopped here twice will be doing it again regularly"/>
        <s v="we have discovered some awesome dog treats available at very reasonable prices through this company ten points&#10;when we have questions or order something that temporarily unavailable we experience stellar communication feel that we have received excellent "/>
        <s v="easy fast delivery thank you"/>
        <s v="website was easy use i like prices of cat food i also like discounts you offer"/>
        <s v="im pleased with order process shipping was as promised i will be ordering from petflow again"/>
        <s v="great price fast shipping"/>
        <s v="we go where fromm dog food we move a lot so far have never had an issue receiving our pet food supplies from pet flow&#10;the ordering process easy site has everything we need our pets only reason stars that there no rewards program otherwise as long as they "/>
        <s v="good prices great selection excellent service i highly recommend petflow"/>
        <s v="prescription food showed in stock on website ordered they got a prescription from my vet next day only then was i notified that they did not have it did not know when it would be available as they use a thirdparty vendor that does not update their site wa"/>
        <s v="i ordered my cats prescription food petflow obtained his prescription frim vet after not hearing anything a few days i called petflow make sure food was in stock representative said she would call supplier email me let me know i received an email saying f"/>
        <s v="my experience with petflow has been great items are delivered when i expect them in great condition auto delivery works just as it should"/>
        <s v="easy use site like that you give option set up an auto shipment date i needed it shipped instead of order now choose auto ship allowed me set up when i need shipment instead of waiting or ending up over stocked"/>
        <s v="my experience was good found items quickly without any problems"/>
        <s v="i was amazed that they had same product i had been getting from amazon more than less per item so i figured well there must be a limit how many i can buy nope so i bought more than of them i feel like since i have suddenly lost over half of my income due "/>
        <s v="fast good service thank you"/>
        <s v="convenient prices are very good wish shipping was a bit more urgent but will shop with them again"/>
        <s v="easy shop great prices i got my pet waste bags quickly wellpackaged will definitely shop with petflow again"/>
        <s v="i switched petflow from chewy so far so good chewy doesnt carry fromm which my dogs like best decided give them a try im very satisfied food arrived about or days after i placed my order expiration date more than a year from now so food fresh not outdated"/>
        <s v="loved website they had what i was looking ordering was easy i got my dog food hours later i will definitely use pet flow my ongoing pet needs"/>
        <s v="prescription cat food wd out of stock but i was&#10;let order it as if you had it no one seems be able get this its an important prescription my cat who has a fractured pelvis&#10;arnt making this anymore there a substitute that might be ok like one of other hill"/>
        <s v="this company was able get dog food we needed were having trouble getting elsewhere"/>
        <s v="i have a dog that needs prescription food i searched internet your website said you had it in stock i ordered it anticipating amount of time i had until my dogs food ran out well you took over a week tell me that you couldnt fulfill order leaving me scram"/>
        <s v="easy order slight delay with product not available in closest warehouse but arrived well packaged"/>
        <s v="what i loved was that they told me that their fast delivery was delayed because they had ship from another supplier without me asking where my package was they took initiative emailed me about details of my package"/>
        <s v="no product&#10;xxxxxxxxxcccccccczzzzzzzz"/>
        <s v="i ordered prescription cat food from pet flow however a few days later they stated they were out of stock would ship it as soon as they received it i had cancel my order they were very communicative throughout process i would definitely shop with them aga"/>
        <s v="petflow came through me again when a kitty food subscription was out of stock ill be sticking with petflow thank you"/>
        <s v="i made an order canceled days later customer service told me it was taken care of charge disappeared i thought all was well then several more days passed i received a shipping notice i was told it was now too late stop my already canceled order i am not a"/>
        <s v="one thing i really love petflow they always have their products available i dont get a constant on back order like many other mail order purchases i also appreciate occasional discounts offered regular customers"/>
        <s v="was able order special food my dog that was not available elsewhere delivered quickly i was kept uo date on delivery"/>
        <s v="placed an order rx was on file waited a few days didnt hear anything contacted company was told sorryits just sitting in fulfillment some reason then customer service person said theyd try expedite that was almost a week ago still no order or communicatio"/>
        <s v="our pet food was delivered promptly"/>
        <s v="timely response followup timely processing once order details prescription food were in place one area that needs be addressed contradicting information site provides during prescription food order process site noted that food nonmedicine prescriptions ca"/>
        <s v="after placing an order receiving shipment i realized i had ordered wrong food i had set up auto ship food so immediately tried change type of food on my auto ship when i couldnt change it myself i emailed responder took care of issue me changed product fo"/>
        <s v="box that bag of food arrived in was open that was probably due heavy food bag inside without any protective packing"/>
        <s v="i placed an order without notice it was canceled product never arrived"/>
        <s v="your site told me that i was required mail original prescription my cats hills md food luckily i had asked my vet a prescription in june so i had an original mail i dont like mail this because i have get a new one anytime i find a better price somewhere e"/>
        <s v="dependable well stocked with helpful phone assistance"/>
        <s v="i bought a pack of duck a pack of salmon usually my dog loves salmon but she did not like salmon from pet flow it was disintegrated little chunks floating in tons of liquid she left her dish unfinished&#10;on other hand she gobbled down duck"/>
        <s v="was looking get my cats food supply from a smaller company than giant online pet stores after researching i found petflow&#10;good prices fast delivery&#10;very satisfied with petflows customer service as well&#10;totally recommended"/>
        <s v="instock status of food was inaccurate"/>
        <s v="i have used petflow a long time they carry some hard find products which i really enjoy they are usually easy get ahold of too if you call them&#10;&#10;the only areas i see that could afford growth are these&#10;an auto ship program that can be paused or deleted by "/>
        <s v="first time shopper friendly knowledgeable efficient great service fast delivery i will be back"/>
        <s v="finally found a source hills prescription diet gluco support md dry cat food i tried my vets local pet stores amazon my vet suggested that i try you folks success food was in stock shipped in a reasonable length of time happy customer cat thank you appare"/>
        <s v="this company has labeled me as fraud after a purchase because my billing address didnt match after i called twice their customer service department their rep mallory said i could never buy nothing from pet flow ever again im not going state what i do a li"/>
        <s v="working with petflow was wonderful working with fed ex their shipper was not petflow responded every call or text that i sent them within a few minutes fed ex was another story things got lost were late they really need find a better carrier"/>
        <s v="online order was simple delivery was on time my only comment that you not use plastic bubble cushioning instead biodegradable packing"/>
        <s v="i ordered a prescription diet my dogi thought i was ordering hills metabolic lamb rice diet as my dog allergic chicken lamb rice has been difficult find online it said petco petflow had it available i received an email from petflow indicating order was on"/>
        <s v="this process was flawless"/>
        <s v="easy order quick delivery"/>
        <s v="always such quick service exactly what my ginger girl wanted thanks"/>
        <s v="website organized works well ordering went smoothly my items arrived promptly quality great"/>
        <s v="i ordered bags of hills science diet dog food my rotts got a good deal i will be buying more in future"/>
        <s v="ive been a fan of petflow several years their service prompt professional an added plus your purchase goes help an animal in a shelter"/>
        <s v="everything was great order came in a timely manner great price no problems would recommend this company"/>
        <s v="i had issues with my order it was fixed replaced i thank you help fixing it asap"/>
        <s v="we ordered product after two days you said it was out of stock after all"/>
        <s v="very disappointed our order was canceled by you because you didnt get your order of goods i know you cant help it if your supplier doesnt come thru you but our order was placed middle of july were just told aug you cant supply"/>
        <s v="i was so thankful that petflow had my dogs prescription food because they were only place that did even our local vet couldnt get it as soon as my order was complete they contacted my vet get process going in less than business days i ordered got approval"/>
        <s v="exact product i was looking at a great price wonderful shipping service"/>
        <s v="great product dog loves it"/>
        <s v="this was my first time ordering from somewhere other than chewycom im very pleased with their service theyre cheaper than chewy litter i needed you have a new customer well done ps lets go brandon"/>
        <s v="your shipping time was x as long as quoted we ran out of dog food in meantime i refer a lot of business your way not sure i can anymore"/>
        <s v="food order took a long time arrive wasnt aware order before noon on fridays ensure order received before weekend so it was a long time before order was even received"/>
        <s v="when i ordered said in stockthen i get email not in stocktakes long time get multiple deliveryand you have add up each delivery make sure its rightprob wont order again i did twice happened both times"/>
        <s v="items were just as i ordered shipping was faster then i expected all good things glad we discovered petflow it was our son who has two pups that made recommendation thankful that"/>
        <s v="they accepted an order charged my credit card all while food which was a prescription food wasnt even in stock item wasnt listed out of stock or on back order at time i purchased it it was only nearly a week later after i contacted them regarding order af"/>
        <s v="i purchased bags of dog food one came right away other took a while be delivered"/>
        <s v="wouldnt allow me place an order had order through a family member its a new house but its on maps so idk what problem"/>
        <s v="your service by email promised contact my vet about order prescription you failed do that had cancel order"/>
        <s v="products were good but delivery took a long time tracking didnt give updates after day"/>
        <s v="awesome experience pet feeder was bent email was sent explaining how feeder arrived new feeder was sent out immediately great customer service well shop here again awesome awesome awesome second feeder arrived in excellent condition my animals are in love"/>
        <s v="great prices fast shipping awesome autoship discount as well"/>
        <s v="great customer service i provided some feedback regarding couponpromo codes received a very nice response quickly i was just offering some feedback in didnt wantexpect anything in return however rep went above beyond provided me with a discount wonderful "/>
        <s v="petflow has great pricing service i signed up autoship program out dogs hills science diet they were priced most competitively my order shipped as promised even delivered a day earlier than expected"/>
        <s v="i wasnt happy when they told me they would not charge my card unless item was available ready ship out but unfortunately that wasnt case when they decided charge my card even if it was a preauthorization or pending i dont like see my balance increase unle"/>
        <s v="petflow has best prices on nice dog pens wonderful customer service"/>
        <s v="at time i ordered product your website said that it was in stock but after about a week later it was no longer in stock i could not get it at all i was really hoping that i could get this since after much research your website showed that it was available"/>
        <s v="ive shopped with petflow years excellent selection very good customer service too shipping can be a little slow but thats fedex not them i get aggravated with auto ship you have call in cancel but otherwise dry happy with them"/>
        <s v="i cant actually manage autoship i always get an error that would prompt me contact costumer service"/>
        <s v="disappointed in your service was told that you had an item in stock be mailed when i inquired about status of order i was told an error was made food was not being mailed out of stock"/>
        <s v="i made my first order blue buffalo wet food cases because price was great food cost had suddenly skyrocketed on amazon chewy shipping was fast exactly right food had extended expiration dates so i immediately repeated my order had same great experience im"/>
        <s v="my canned dog came dented one can was so dented that it opened was so spoiled from being out on delivery that my whole kitchen smelled i had throw away about or of cans it was so incredibly disgusting"/>
        <s v="they did not fulfill any of my orders few reliable"/>
        <s v="quick shipping great selection of dog foods"/>
        <s v="best price on dog food super fast shippinglove pet flow"/>
        <s v="always easy work with best customer service"/>
        <s v="easy ordering they kept me updated about my order order was shipped delivered quickly great service"/>
        <s v="greatprompt service great product linda ryburn"/>
        <s v="i have ordered twice now cat food was delivered quickly best of all with no damage any cans im very pleased"/>
        <s v="i love petflow there great healthy pet food on this site&#10;my pets look forward their healthy food snacks"/>
        <s v="my order was shipped on august it now august it has not shown up i would love cancel because i had drive miles nearest pet food supplier buy food no clue where shipment"/>
        <s v="very good product fast shipping my dogs are happy"/>
        <s v="i dont think i will take a risk ordering from this place ever again i placed an order on saturday a prescription food my cat i provided required information verify my cats prescription i checked status on following tuesday order status was shipping a coup"/>
        <s v="unfortunately i ordered bowls our rescue it showed them as in stock id searched everywhere i paid it received confirmation of order then after a few days i received a email that there were no bowls available they were out of stock i wouldnt be receiving m"/>
        <s v="best dog food subscription service i use two different brands my dogs one a prescription food petflow has best prices always provides excellent customer service when i call my orders always arrive right on time i highly recommend petflow all of your pets "/>
        <s v="horrible experience do not buy from petflow they advertise that they have product in stock allow you order it fill out entire order credit card info everything online tell you we will let you know when it ships then a week later says oh im sorry we dont a"/>
        <s v="my order showed food was in stock email stated pending continued say pending a few days called was told it would be sent asap a couple days after that was told it was out of stick credited ordered through you because your site said it was available when n"/>
        <s v="fast reliable shipping high quality products great competitive prices thank you pet flow"/>
        <s v="it was a very pleasant shopping experience i bought mixed vegetable food my dogs they liked it very much but there were too few kinds of petflow products which were fly in ointment but it doesnt matter i think they will improve i will support them"/>
        <s v="fast shipping thanks"/>
        <s v="on website it too easy set up multiple auto ships would be nice if there was a confirmation box you already have this item part of an auto ship are you sure you want add another would be nice if people could delete an autoship order without have call cust"/>
        <s v="placed order got email that one item was out of stock was cancelled when order came another item was not shipped but i never received another cancel notice that one"/>
        <s v="i ordered food was told i needed my vet prescribe it after some back forth with vet that happened then petflow informed me that they didnt have food in stock instead of backordering it cancelled my order a lot of wasted time no result"/>
        <s v="fabulous great fantastic worth it affordable"/>
        <s v="i originally spoke with a very helpful employee who helped me place my order i received an email verifying order i then received another email stating order was vet approved would ship aug i looked up my order check status saw it was canceled i called was"/>
        <s v="i requested my auto ship arrive early it was shipped on at that time i requested next auto ship arrive in i believe it was or weeks however it appears that another bag of food was shipped today i certainly do not need of dry food hoping petflow will help "/>
        <s v="prices were good all items arrived in a timely manner website easy use"/>
        <s v="you dont deliver parcels&#10;very disappointed"/>
        <s v="i ordered cat food on july th days ago it still has not arrived i live in oregon early in this misadventure i received a message that it was being shipped from a more distant place nj because closer warehouse was out of brand i chose then i got updates th"/>
        <s v="you guys suck i couldnt even place an order because of ur fraud dept"/>
        <s v="i had hoped that petflow would be a reliable source order my cats food especially prescription food that critically important unfortunately petflow has failed me multiple times canceling my order five days after i placed it&#10;&#10;sometimes chat window on their"/>
        <s v="shipper had damaged box of dog food returned it petflow i received a nice email saying they were shipping a replacement out right away"/>
        <s v="i use petflow because theyre priced right prompt have what cats on prescription need"/>
        <s v="good price fast shipping thanks"/>
        <s v="ive recently moved i was struggling find my cats food i found it on this website but sadly i was put on their fraud list right away i called customer service they told me theres no way me talk fraud department get my name off of list so i never got actual"/>
        <s v="very helpful service over phone received just what i ordered fast"/>
        <s v="never heard from you guys said my order was reported as fraudulent &#10;seriously you never even got back me i think your company super sketch would never ever order from you again&#10;byeeeeeeee"/>
        <s v="great prices fast shipping"/>
        <s v="order online was easy&#10;check out offered pay pal was easy check out&#10;shipping quick&#10;pricing was great&#10;customer service fantastic"/>
        <s v="terrible customer service company work with site days business days delivered from purchase date didnt even ship product until a week after order kept making excuses as why it wasnt being shipped product was dog food my puppy that could only be ordered on"/>
        <s v="this a place where they have fair prices fast delivery would buy from again a"/>
        <s v="i asked be shipped on a monday&#10;my order wasnt shipped until tuesday&#10;the expiration date on dog treats i this november&#10;when i purchase them from chewy or amazon expiration date always at least one year out"/>
        <s v="i am happy with petflow there are some inconsistencies with their warehouse packaging i placed an extra order they shipped out boxes weighing lb i dont know how fedex moved them i certainly couldnt i believe they need a little more training need use commo"/>
        <s v="i called customer service discuss possibility of your obtaining more fromm cat food in small bag sizes great conversation"/>
        <s v="all past orders have been good if there were any issues in past staff handled it appropriately quick however this past problem was a slap in face took much needed funds away from my rescues petflow did not take responsibility a screw up on an order i was "/>
        <s v="where rest of my order&#10;&#10;your website shows hills prescription metabolic mobility bag as being in stock yet it has not been shipped me i do not know whether i have been charged it&#10;&#10;please respond me&#10;carol ann no e olsen"/>
        <s v="first time order on a pet food i couldnt find anywhere else placed order received order in business days which included time pharmacy contacted my vet was a mailed updated as when my order would be delivered will order again"/>
        <s v="very bothersome you dont instantly charge my card sometimes its a day or two later i turn my credit card on off as ive had so much fraud it takes me many attempts each month get my order other companies i do regular&#10;busy with do transaction immediately su"/>
        <s v="petflow amazing best brands fast delivery fair prices"/>
        <s v="i have been happy with petflow ive been able get cases of food that my cats like that i was unable find elsewhere website easy use price as expected"/>
        <s v="ordering was easy enough shipping was problem petflow uses fedex an unreliable company order was split without petflow or me being aware second portion arrived days later this unacceptable no packing slip was available on either shipment so no information"/>
        <s v="i placed a large order kitten food credit card processed when i looked find out shipping date a few days later it had been cancelled no notice me no email nothing i called they said when a large order placed they suspect fraud total bs first only time you"/>
        <s v="theres no status available see whether or not my vet has been contacted canceling autoship deceiving i can only pause it up weeks everything about this website difficult"/>
        <s v="prices were fair shipment came in a reasonable time"/>
        <s v="good products at good prices fast delivery ill be using pet flow again"/>
        <s v="ease of ordering was great shipping was fast"/>
        <s v="petflow carries food that others dont that i want prices are fair shipping good i buy formm nurti source treats toys are great"/>
        <s v="ordered cases canned dog food eleven cans of food severely damaged cans actually were broke open&#10;excellent place shop but not so good packing"/>
        <s v="this in reference my order i ordered packages of these dog treats that your system said were in stock confirmed order via email then i receive a subsequent email advising they were out of stock not a good experience no way know how long before i can recei"/>
        <s v="customer service wouldnt help located an order i placed approximately days ago she referred me website disclosures we i told her how do her job she became upset customer service rep said we all have pets as though it wasnt a big deal my dogs order had no "/>
        <s v="it was so easy find what i need my kitties it was easy order it was at a great price delivery was very fast petflow best"/>
        <s v="ecxellent always helpful"/>
        <s v="my pups really like dr marty freez dried food&#10;and i like being able get better pricing from petflow"/>
        <s v="i ordered boxes of arm hammer litter i received yesterday packing box was not strong enough plus tape was not holding box had holes plus one of two boxes had broken open litter all over boxes inside i should have boxes com soon you did notify me that some"/>
        <s v="easy navigate around site delivery was quick my items were packaged nicely"/>
        <s v="food i needed was in stock when i purchased it when i didnt get an email that it had shipped i looked at my account online account said it was delivered my address it was not at my house so i called pet flow was told that my order had been cancelled becau"/>
        <s v="i recently ordered hills science diet feline wd your website indicated that it was in stock however after several days of waiting shipping info come through i called check on order i was told that it was out of stock then a few days later you canceled my "/>
        <s v="great products fair prices fast service"/>
        <s v="easy toorder fast deliver"/>
        <s v="shipping was quick however a food product needed be exchanged due manufacturer changed formula didnt want old formula sold customer service was unbelievably rude lacking concern completely i wont spend another dollar with them again i have told all pet pa"/>
        <s v="started our automatic delivery program it worked flawlessly i was able correct a mistake in my order without any problem"/>
        <s v="initial order went great when it came time reorder our cats diabetic food it was out of stock we waited hoping it would return by time we needed it but we were sent scrambling find another source"/>
        <s v="reliable repeat order program at reasonable prices"/>
        <s v="petfow consistently good overall timely shipping mostly reasonable in costs any issues ive had were always addressed satisfaction"/>
        <s v="great prices always in stock fast delivery excellent customer service"/>
        <s v="i have shopped petflow years but lately they are having difficulties filling shipping orders i order when i am about weeks out from having either dog or cat food they cant ship in a timely manneri have cancelled my last orders due shipping i will wait try"/>
        <s v="unfortunately delivery was promised a specific acceptable date then changed by petflows carrier next day make your service unusable delayed yet another day&#10;learn honor your commitments if you want my ongoing business expectations saturday do not mean mond"/>
        <s v="while there were a couple of mishaps in my order petflow went out of its way make sure everything was made right in fact they went above beyond ive been recommending them my friends family with confidence have ordered will definitely order again thanks es"/>
        <s v="great company very fast shipping prices are competitive"/>
        <s v="petflow has best price on dog food i purchase my dog ordering simple delivery fast"/>
        <s v="excellent product selection pricing we are so happy that there a wide variety of pet products customer service above par"/>
        <s v="package arrived on time everything inside was good"/>
        <s v="ordered hills wd wet cat food website said in stock i get a confirmation email am asked be patient as they contact my veterinarian approval about a week later i get an email saying food now out of stock veterinarian was prompt in their response so unfortu"/>
        <s v="nobody including my vet could get this particular rx product it was out of stock everywhere so i was thrilled see pfs website say it was in stock i did order arranged rx my vet responded fax next day i assumed it was all set planned around it shipping soo"/>
        <s v="products arrive on time are very well packaged"/>
        <s v="my cat only wants a certain brand of talapia breakfast each morning since supply chain issues we havent been able find it from our usual source its a popular grain free brand they havent been able keep this brand in stock in any of their stores that also "/>
        <s v="i wish i could give a five star because i love availability delivery it did take a little long receive order but i didnt like packaging when i opened box i cut bag of dog food even thought i opened it carefully just in case there should be some type of pr"/>
        <s v="cats like food that was ordered yet again box was partially open when delivered some cans dented what goes"/>
        <s v="easy use website products desired always in stock so far"/>
        <s v="when i ordered wd canned cat food i know it has be approved by my vet that it takes a little longer because it prescription it was in stock when i ordered it i thought with my request once it was approved i would get a case believing a case was held my or"/>
        <s v="was out of dogfood that i wanted but i guess that was not their fault they cancelled order automatically instead of giving me option back order or cancel it myself"/>
        <s v="petflow fast accurate at shipping out my order but packing leaves something be desired i order two cases of canned dog food with each order box usually shows up damaged andor repaired but cans are ok this time three of cans where bent with one actually cr"/>
        <s v="everything was great&#10;&#10;everything was great until shipping i dont know what happened but it took too long this time i had go locally buy same things that almost cost me double i cant have my cat who has kidney issues eat anything else but this brand of can"/>
        <s v="petflow always processes orders quickly accurately shipment excellent"/>
        <s v="extremely poor packaging with using cheap boxes very little tape that results in receiving damaged products even walmart amazon use better boxes more tape sealing"/>
        <s v="i ordered something out of stock so it was case they said they would let me know when it came back in customer service was very fine"/>
        <s v="profit racks something like speed bumps hold me back from completing my purchase i dont like it"/>
        <s v="always have available merchandise staff very helpful friendly"/>
        <s v="petflow has always been great prompt customer service always friendly only thing i wish one day fromm products dog go on sale once in a while"/>
        <s v="you helped us by getting dr marty had huge problems we received from you you spent hours trying get this our pup it came so fast our dog really get this we found you by google we now will be getting this from you nice job cindy"/>
        <s v="i recently had a very helpful pleasant experience with petflow they had left out one item by mistake in my order also replaced a bag of dog food that came with a small hole in it no questions asked they just said they would replace it no hassle of fuss ve"/>
        <s v="always easy convenient order our dogs food online"/>
        <s v="competitive prices fast delivery i would order from them again"/>
        <s v="i appreciated email stating dog food i ordered would be a few days late im glad they sell fromms its only dog food my dogs have been used"/>
        <s v="great deal with easy ordering fast delivery thanks petflow"/>
        <s v="really one star too high of a rating i tried order hills science prescription diet wd wet food my cat saw where petflow had it available petflow verified with my vet that my cat was supposed have food then i got a notice that petflow cancelled my order be"/>
        <s v="i ordered a prescription canned food my cat you emailed me asking me contact my vet because you didnt have approval food my vet approved then you canceled my order because you didnt even have product available what a joke of a process thanks wasting every"/>
        <s v="your website specifically said you had my prescription cat food in stock so i ordered it twice only after you took all my personal info told me you were getting ready ship my order did you inform me food was out of stock i lost a week of finding food my p"/>
        <s v="petflow wonderful always comes my rescue when other places cannot they contact veterinarian promptly verify my cats prescription food delivered in record time im completely satisfied with petflow"/>
        <s v="i just started using petflow my dogs first prescription food as i found prices better than competition they even reached out our vet get prescription in just a few days i had food on my porch easy peasy"/>
        <s v="shipment arrived right on time thank you"/>
        <s v="very slow delivery&#10;no delivery status report&#10;much slower than chewy"/>
        <s v="first order went overall well need more discounts"/>
        <s v="awesome customer service carolina professional always provides fantastic customer service resolved my problem with a smile thanks"/>
        <s v="cats dont like they dont take returns what do i do with such expensive food took over a week get when chewy does day shipping at most"/>
        <s v="placed an order it was at my door in a couple of days"/>
        <s v="im disappointed with autoship items cant be added if theyre in stock when in stock added they arent shipped if out of stock that theyre not reserved when order placed why use autoship ive started ordering buying directly pay a penalty doing that"/>
        <s v="placed my order on july th im still waiting my shipment ive had buy food locally due get him by i texted emailed my concerns was told its been approved would be shipping in a few days as of today july th still no shipping notification or why there a delay"/>
        <s v="had an issue with a previous order petflow issued a credit that order so i ordered again this time everything was great i appreciate a company that makes things right i will be ordering from them again"/>
        <s v="i would say customer service rep has had issue i called about many times so she certainly understood frustration i think petflow as a company leaves a lot be desired regarding how they handle things stars young lady whom i spoke with"/>
        <s v="petflow delivers my door not post office order accurate secure i love them"/>
        <s v="i have dealt with pet flow over a year now prices very reasonable customer service great very quick delivery have recommended them others will continue use them in future"/>
        <s v="i still have not received my order or a ship date i ordered two weeks ago item was in stock i am out of food disappointed"/>
        <s v="worst pet online company unreliable delivery service overall horrible pet online company do not use this company your furry babies i am a very dissatisfied customer"/>
        <s v="customer service was good disappointed that i was able add an item my cart check out process an order only find out a week later it was not available order"/>
        <s v="always ship fast worked hard get my prescription food customer service very responsive"/>
        <s v="i was very happy find petflow since they have some products i no longer can get on chewy their ordering was smooth prices fair i have used them twice now i will again"/>
        <s v="ordered hard get dog food arrived on time as ordered"/>
        <s v="very pleased with your service especially people that answered phone i wait only a minute speak someone they are very pleasant professional thank you"/>
        <s v="it long get then i only got order then you tell me i cant get can foodi differently wont buy from you again"/>
        <s v="still has not yet shipped despite a day wait on website ive contacted support via text despite this my dogs food has not shipped"/>
        <s v="customer service very helpful quick response text message"/>
        <s v="i would like thank pet flow especially young lady i spoke when i called in about my order i have always been very happy with your service especially now service customer satisfaction have always been extraordinary"/>
        <s v="they sent me a duplicate order told me i could return it if i pay shipping not good business practice lost this customer of a shipping charge that was their fault"/>
        <s v="i ordered a product you listed as in stock&#10;gave info vet clinic&#10;order was marked shipped in account but no tracking supplied&#10;after a few days i looked on line account said script denied by clinic&#10;then i received an email saying out of stock order cancelle"/>
        <s v="finding birdfood in lbs very hard order went great was delivered fast very happy"/>
        <s v="my orders were canceled i didnt get any email letting me know i had contact customer service they told me they were canceled"/>
        <s v="good experience they had what i wanted quick delivery ill use you again"/>
        <s v="i think communication around delivery was good prices were good but separate package i was sent of wet food fulfill order had dents along side which i am reluctant give any of cats we care so in that regard im unsure of whether ask a partial refund andor "/>
        <s v="only picked your website because of promised off first order it wasnt valid my products"/>
        <s v="exceptional communication deliver right on time"/>
        <s v="i ordered specific food was told two three times just hadnt been packed shipped vet provided prescription last minute told didnt have in inventory they repeatedly were dishonest caveat emptor"/>
        <s v="my order was canceled by you guys because you didnt have product"/>
        <s v="appreciative of recent discount offered when purchasing greater than worth of products i feed approximately cats so i buy in larger quantities when on sale canned food continues arrive dented one can popped open on last delivery but ive already informed y"/>
        <s v="i am very satisfied with petflow service great delivery fast"/>
        <s v="so happy i found this website they have all my frenchies products will order again soon"/>
        <s v="i know its a specialty food but i think amount of food delivered price still too high"/>
        <s v="order was processed very quickly website very easy navigate"/>
        <s v="excellent service they keep me informed on my orders if there a problem they inform me in advance good job"/>
        <s v="this was my first order with petflow i ordered a bag of puppy food fed ex was deliver i received a notice stating that it was delivered i checked it was not there&#10;petflow fedex were both excellent in finding dog food&#10;great customer service"/>
        <s v="easy use website ordering delivery were quick easy"/>
        <s v="my cat has a very sensitive system no one had her food except petflow you got it here quickly it was correct thank you"/>
        <s v="long time returning customer love this company"/>
        <s v="fast delivery better prices than petsmart or petco purchased lbs of dry blue buffalo"/>
        <s v="first i couldnt remember name of dog food replied one of their ads asking about it immediately they replied that theyd find it sent me link bingo ordered it it came in about days its one food dog can eat without scratching his hide off lovely be it"/>
        <s v="excellent selection of dog food treats good prices"/>
        <s v="readily replaced an item damaged in shipping very helpful customer service"/>
        <s v="had quality brands need at best price"/>
        <s v="lately i have a few problems with items ordered&#10;some chews looked really bad i ordered some bird items that were damaged&#10;however customer service were very helpful sent corrected items&#10;these things happen in shipment"/>
        <s v="your site was only one that had prescription diet my cat needed also when i went online look another option there was no way i could look at ingredient list i called someone using number you listed she also was unable get list of ingredients but told me s"/>
        <s v="we have german shepards who decided become really picky after ordering this food they eat it right up they love it i have noticed even after just a couple weeks it has also calmed down scoobys scratching some we havent been able pinpoint why he scratches "/>
        <s v="i have been using petflow over years their prices are great shipping always super fast"/>
        <s v="trustworthy company pet food shipped quickly just as good as competitors i can always rely on them"/>
        <s v="took days delivery ran out of dog food in interim several emails a phone contact customer service nobody could tell me where my order was i received several messages none of which could tell me a correct delivery date frustrating"/>
        <s v="delivery fast my cats love hills cat food great job hills"/>
        <s v="good price on dog food order tracking provided fast shipping"/>
        <s v="quick customer service a variety of dog foods choose from"/>
        <s v="i called change an order a later date told her make sure she keeps newest date well she cancelled both orders when i called back find out why girl was very rude because i was upset said earlier call she didnt know what she was doing i may just switch back"/>
        <s v="ordered with a coupon perfect delivery"/>
        <s v="only received half of our order cannot get auto ship part work correctly also a very hard navigate unclear website not user friendly"/>
        <s v="my food order was lost in transit after waiting days having contact company they made it up me by simply sending me a new order while shipping issues may not be vendors fault communication customer satisfaction should still matter"/>
        <s v="placed my first order everything arrived in wonderful condition was priced at great prices"/>
        <s v="so great will help if there a problem with order al ways on time"/>
        <s v="a few things went wrong items shipped from two warehouses which okay but took an extra few days shipping didnt ship immediately first shipment they shorted me a bag of food so since chat feature wasnt working email stated they are behind on answering so i"/>
        <s v="good fast delivery cat food was in good shape when it got here best price i could find on it too i will definitely use petflow again"/>
        <s v="will order again stars"/>
        <s v="fast delivery available products&#10;i was able find a certain dog food that was not available on another pet food website&#10;thanks petflow"/>
        <s v="it was great i will always order my food from here"/>
        <s v="have been using perflow several years with standard poodles was nice have a lb bag of food delivered every month before they ran out plus always good prices on treats dog toothpaste bird food etc my dog gets excited find out whats in box"/>
        <s v="product a little light pound dog shipping was quick arrived early in good shape"/>
        <s v="petflow has always been easy use a good source of our pets food i just wish shipping time was a little faster"/>
        <s v="i had found some bones at a grocery store that my dogs loved i hadnt seen them anywhere else so i saved a wrapper checked online sure enough petflow had them i literally ordered as box full price was way better than store i got them delivered what could b"/>
        <s v="very unhappy with lack of service or effort fill script hills diet food kidney issues we provided vets prescription along with vets email which vet said hed approve script if petflow would just email him approval after petflow related they could not reach"/>
        <s v="i am so glad that i found petflow i can get my cats their farmina dry food at a great price with fast service"/>
        <s v="petflow website very easy navigate able place my order quickly receive product in a short time"/>
        <s v="they sent me an email of monthly coupon codes i used one off there were no exclusions listed it worked in my cart until after i submitted my order when they removed my coupon my credit card was charged more than total shown when i submitted order when i c"/>
        <s v="i have three auto ships over past three months that were all canceled i was not notified that they were canceled id call up find out a week later where they were they said oh we ran out so i order third time i put order in last friday tomorrow morning fri"/>
        <s v="every order i place gets cancelled due not in stock"/>
        <s v="ordered prescription cat food site accepted order said available they followed up via email get vet prescription three days later email me food out of stock they were cancelling order"/>
        <s v="pet flow worst place get your pets food i decided go with then since not everyone has that perticular brand since im on auto ship program it should be shipped every weeks first time i didnt get it ive been told there was double order i didnt get it again "/>
        <s v="folks at petflow are v nice they responded my query quite promptly gave me a credit because my order was delayed in shipping&#10;the notsogood part i didnt find out unril after id placed my order that it would be shipped following week which forced me scrambl"/>
        <s v="easy order process set up of automatic delivery good price"/>
        <s v="delivery on schedule very happy with"/>
        <s v="you had our dog food listed as in stock so we ordered two bags after quite a bit of time you alerted us that it wasnt in stock that put us a week plus behind we ran out of food this a special diet food our dog not easily found very bad experience we wont "/>
        <s v="im happy with product that i order however lack of date of delivery makes it hard a customer be able receive it or plan schedule be home ive gotten email notices saying your shipment will be there tomorrow with no actual date but comes a couple of days la"/>
        <s v="this third time i have ordered this cat food order was submitted accepted leading me believe i would be receiving product three or four days later i receive an email that it out of stock dont keep sending me emails order it if it out of stock"/>
        <s v="i have been having a hard time finding some pet food faves dog stumbled upon your site you had those hard find faves him yay"/>
        <s v="i ordered my dogs brand of dry food fast easy order web site they carry my dogs brand fromm which not many physical stores do fast shipping too"/>
        <s v="your company led me on beleive food i ordered was in process of delivery you cancelled order when i was down one can at home then i had struggle find food my cat with no advice from you i will not ever order from you again"/>
        <s v="i have ordered before my order was same rx cat food even in middle of covid first time customer it was fast this time days after ordering it still didnt ship i asked it be cancelled was told they werent sure if it could be but they would let me know days "/>
        <s v="process was seamless as far as ordering receiving my order in a timely manner had no issues would highly recommend petflow anyone looking good service product selection"/>
        <s v="it would be nice be able edit your autoship if item backorder online i have had item on backorder twice last was canceled i do not like having make a phone call when it should be easy make changes online this goes cancelation of an autosgip as well"/>
        <s v="originally my order was ship on july th then an email said shipment would be late would arrive today it currently pm i do not have my order"/>
        <s v="petflow had all items i needed delivered them promptly quickly responded questionsconcerns i had"/>
        <s v="fast shipping with sturdy packaging good price user friendly website thanks so much"/>
        <s v="ordered wet dog food came quick what i ordered"/>
        <s v="easy online ordering prompt delivery"/>
        <s v="i order my cat food it arrived quickly cannot ask anything better&#10;&#10;oscr"/>
        <s v="we needed a certain vet approved cat food petflow faxed my vet authorization returned approval petflow went work on filling order unfortunately it was over th of july holiday ran into delivery problems but petflow followed up with carrier petflow monitore"/>
        <s v="i suppose i purchased something though i dont recall"/>
        <s v="i love that this site carries fromm gold brand fast delivery"/>
        <s v="box arrived half open crushed ripped open on one corner but bags of prescription dog food were still fine inside i informed petflow they promptly replied said they would initiate a complaint with shipping company as long as food was fine nothing else need"/>
        <s v="i got what i ordered but it took ten days a lot of cans were dented banged up these days i guess i should be glad that i got my order at all"/>
        <s v="i had never heard of this company but decided use them their prices i was amazed at how effectively they communicated how quickly products arrived price was better than their competitors i will shop them again sure"/>
        <s v="price was very good but delivery was sloppy careless i came home find boxes laying on my lower stair step on walkway leading stairs they couldve easily been stolen as they were so close public sidewalk when i order from other companies they have courtesy "/>
        <s v="great price but out of stock why take order in first place waste of time effort never coming back"/>
        <s v="i was very disappointed i ordered a case of hills prescription diet cd canine urinary care chicken vegetable stew canned dog food all of sudden it was cancelled"/>
        <s v="they had my cats prescription diet in stock when i couldnt find it anyplace else my order was delivered more quickly than anticipated ill use them again"/>
        <s v="food was in stock when i ordered it took so long your people get prescription from vet someone even called me thinking they was calling vets office it was out of stock so i never got my order it was canceled if i could have gave no stars i would of do you"/>
        <s v="package wasnt taped very securely many of cans were dinged or dented worst of all was godzilla sized cockroach i had kill when i opened package will not be using you again"/>
        <s v="my order arrived on scheduled date was complete"/>
        <s v="ive shopped at petflow years ive always been impressed with quality of goods low prices fast shipping will do business again"/>
        <s v="it was very disappointing have my order canceled after item i purchased was out of stock when i ordered item it was shown as being in stock a more accurate representation of this would be appreciated considering this online retail"/>
        <s v="shopping was easy website easy navigate prices were good"/>
        <s v="i received my shipment of bags of dry dog food found box they were shipped in crawling with ants one of bags had a small tear in it which caused ants i called customer service at petflow they immediately sent me a new bag replace damaged one i did not hav"/>
        <s v="never received what i ordered even though i was charged it"/>
        <s v="i am very happy with services i receive from pet flo&#10;i do on occasion have difficulty with using web site it will keep saying my password in correct"/>
        <s v="i ordered puppy food was given tracking in less than days shipment was fast efficient"/>
        <s v="had what i needed fast shipping"/>
        <s v="i was impressed by how fast i got that items i ordered that they were available auto ship now my three babies will never have be without their chews"/>
        <s v="i have a late shipment of cat litter twice now i know shipping supplies are messed up in our country so i understand what i dont understand why you system doesnt alert you that product not in stock so you can let me know before my delivery should be here "/>
        <s v="great price good product my cat i are happy thank you"/>
        <s v="i order on a regular basis i receive my order within a couple of days of placing it never disappointed"/>
        <s v="petflow had prescription dog food that two of my vets could not get shipping was quick price competitive"/>
        <s v="i was looking cheapest price on our puppy food i came across petflow was excited you carried both brands of food our gigi girl new pup miles they both can be delivered right our front door i immediately enrolled in your autoship i also love that you are a"/>
        <s v="prices are great shipping fast on time my only criticism packing shipping cans are arriving dented boxes are often partially opened from not being taped properly overall very happy will still keep shopping"/>
        <s v="received food promptly well packaged in good condition"/>
        <s v="petflow has cat food that i prefer many other vendors do not carry it"/>
        <s v="i found what i needed at cheaper prices customer service was superior petflow has a new customer i highly recommend"/>
        <s v="petflow always on point with my order never had a bad experience with them"/>
        <s v="i had perfect petflow experience it took days get me because of delays in middletown which was not there fault will be buying more dog food from them"/>
        <s v="i received my order but shorrt little clay boxes some of them with box open already"/>
        <s v="love selection convenience of auto ship recently added prescription food one of our dogs that was just as easy as everything else highly recommend"/>
        <s v="unable ship a pet food product after leaving me on hold a week what else can i say"/>
        <s v="petflow consistently meets exceeds my expectations phone operators are extremely pleasant helpful get things done recently there was a sales tax exemption pet food staff gave me a credit state tax that was going be applied order keep up good work"/>
        <s v="i was very pleased buying from petflow honestly i wasnt familiar with them they were only ones with inventory of dog food i was looking order process was clean efficient they contacted my vet was prescription food notices were well timed delivery as expec"/>
        <s v="reputable company good prices selection"/>
        <s v="i have consistently had double filled orders delayed orders without notification shipped orders without advance notification orders that started autoshipping that werent supposed tothe past months has been a disaster this convenient service has become any"/>
        <s v="fast an easy prices were great"/>
        <s v="i was looking avoderm canned dog food as my previous supplied has been out a very long time you have food price good i ordered it got it in a few days no problem with delivery my two dogs are very happy be back on food they ate years i will be ordering as"/>
        <s v="product was perfect shipping was super fast customer service was polite helpful efficient if i need other pet products this will be first place i check thank you petflow"/>
        <s v="fast easy going price"/>
        <s v="as always my order arrived as scheduled with updates enroute was well packaged consistently good service"/>
        <s v="i had a question about mixing different proteins using stella chewy freeze dried food got a response much faster than i had anticipated i was able complete my purchase without having wait until next day food arrived quickly my rosie loves it will definite"/>
        <s v="great product selection order expediently processed shipped"/>
        <s v="i am not sure about your products coz this was my very first order i was waiting my order longtime when i logged in checked status showed cancelled&#10;when u send order confirmation email why you cant send cancellation email"/>
        <s v="petflow a great company one of few who sell nutrisource dog food that was recommended by our breeder our pure bred shih tzu at a reasonable price she has been on this food since she was weaned year old now very healthy she just loves it&#10;thanks petflow"/>
        <s v="trustworthy company i recommend them"/>
        <s v="i am a loyal petflow customer years i am so happy use their website i regularly order food toys my dog i place an order online immediately receive confirmation then amazingly i get order within days petflow carries anything you need your pet a wonderful c"/>
        <s v="sent quickly great experiences so farthank you&#10;judith"/>
        <s v="recommend this vendor items i wanted were in stock i had a coupon yeah checkout was two clicks since i was already registered my information was stored i received ahipping information within hours cases of dog food arrived packaged welland with no dents i"/>
        <s v="had cat food i needed just before i was about run out received quickly"/>
        <s v="always helpful courteous on time delivery"/>
        <s v="delivery was fast in spite of coming all way across country i cannot find bowls i received in this order with food anywhere else i only see bigger sizes elsewhere since my girls are small i prefer smaller bowls by ourpets bowls are sturdy nonskid a good s"/>
        <s v="have plenty of choices shipping speeds are all time high prices are reasonable items that are being sold at website would buy again my beloved pet"/>
        <s v="excellent customer service solving an issue with my order"/>
        <s v="everything was great it was definitely time new dry dog food i only wish i could buy a smaller size everything else perfect"/>
        <s v="satisfied with nutrisource dry dog food but pricey"/>
        <s v="good service i like how they keep you informed about your order"/>
        <s v="petflow sells dog food treats we prefer at a competitive price free shipping so fast we live in a rural area where many items arent available we really appreciate being able shop with them"/>
        <s v="fast shipping great products"/>
        <s v="fast efficient quality product that arrives when expected a reasonable price"/>
        <s v="i love that i can call they have my account pulled up bam ordered excellent customer service"/>
        <s v="quick shipment kept me informed good price will buy from them again"/>
        <s v="i ordered kong squeak ballsm my dog loves them also loses them so now we have some extras price was much better than on amazon"/>
        <s v="first time using petflow i received order nicely packed delivered on time priced at a good value"/>
        <s v="i just changed vets so if i am still able buy my special cat food i will return ordering it from petflow as they are outstanding"/>
        <s v="very easy order i needed prescription treats they contacted got approval from my vet had my order in just a few days they were also cheaper than other pet mail order companies"/>
        <s v="user friendly website good prices fast shipping"/>
        <s v="easy website navigatequick response deliveryvery satisfied"/>
        <s v="my kitty was diagnosed with kidney disease&#10;petflow helped me get set up on recurring food his new diet i did have reach out communicate with them regarding rx i was impressed with timely response care they took help me&#10;thank you"/>
        <s v="they had what i was looking delivery was very fast"/>
        <s v="nutrisource small medium breed puppy chicken rice dry dog food lb i just got cairn terriers breeder said this was best puppy food pet flow made it so easy place my order price was good i also picked up some nice dog toy"/>
        <s v="product was available price was fair but ordering process kept trying lock me in repeating delivery it took me an unreasonable amount of time navigate form"/>
        <s v="i like that its compact doesnt take up much room food doesnt flow as well as id like but all gravity feeders work about same water spout could be lower theres quite a bit of water left container must be tilted use all water simple fix would be raise one s"/>
        <s v="great selection prices prefer shop here"/>
        <s v="in this instance petflow was only place i could acquire exact item that i wanted it arrived in a timely fashion in fact if they are still carrying it i will order more"/>
        <s v="i have been purchasing cat food from you all over years since i got my cat i have not had any problems but my last order was shipped it was dog food your mistake i asked you all do a rush you rushed alright you came picked up dog food mean while my cat st"/>
        <s v="has products i need quick shipping at no charge over a certain amount packing well down"/>
        <s v="great communications came in short time"/>
        <s v="company did not ship my pet food canceled order failed notify me only reason i noticed because a week had went by no dog food when i contacted them they advised they needed more information i asked why they didnt request that notify me answer i received w"/>
        <s v="i have recently had a bad experience with chewy however i have found you i have dog cats so far you have their food i will look other things as they come up so far everything great"/>
        <s v="easy online ordering super fast delivery"/>
        <s v="very efficient convenient have your unappreciative cats food litter appear at your front door highly recommend"/>
        <s v="it has been days since my order was confirmed it has not shipped when i contacted petflow i was told that first time rx orders can sometimes take a while be approved but this feels ridiculous"/>
        <s v="i love petflows auto delivery system its easy use i can change schedule with a couple clicks packages always arrive secure on time"/>
        <s v="love pet flow great customer service quick shipping highly recommended&#10;have foods others dont"/>
        <s v="i was glad find what i needed on your site but i was concerned about shipment via federal express in my opinion they are unreliable my shipment was delayed but thankfully arrived before i became worried"/>
        <s v="perfect transaction perfect delivery perfect communication your my store"/>
        <s v="i ordered veterinary dog treats so gave petflow all necessary vetinary info after no emails from them quite a few days i emailed see when order would be shipped out they said soon after a couple of days i called back check make sure that they had item in "/>
        <s v="we have ordered through petflow a few times now are very happy with our experiences we will continue order our dog food other pet items through them"/>
        <s v="always used chewy but not anymore u guys r really on top of ur game thank you anna sutocky"/>
        <s v="very fast easy shipment of dog food five stars&#10;their use of fedex a problem one star&#10;fedex drivers repeatedly damage my property repeatedly notified fedex other deliveries like ups or amazon have not had a problem"/>
        <s v="petflow was easy fast respond deliver i was using chewy but it took forever get approval dog food needed i had trouble with them on every order so petflow was a relief how easily it went thank you that i would recommend petflow everyone with pet"/>
        <s v="my order was correct received very timely i have no complaints"/>
        <s v="perfect my dogs thank you extremely fast will absolutely shop here again"/>
        <s v="first fedex lost package left on a neighbors doorstep might not be such a big deal in city but in country thats a game changer neighbor finally brought package up house a couple of days later&#10;&#10;second product was short dated this midjune of product has bbd"/>
        <s v="this company was there me when i couldnt find my cats prescription food anywhere thankful have found it quick script review quick shipping"/>
        <s v="i ordered science diet wd wet cat food from them because their website said they had it in stock about a week later i got an email saying they were cancelling my order because they didnt have any in didnt know when they would be getting it they didnt char"/>
        <s v="reliable good products timely delivery"/>
        <s v="love it&#10;&#10;good products convenient quality communication on time delivery"/>
        <s v="ive been having a hard time finding this cat food when i did find it usually bags were sold out this made it easy convenient me order this online got it in a couple of days before we ran out"/>
        <s v="easy site navigate product was originally out of stock but i was notified once product was available delivered as scheduled my cat loves product it a prescription food diabetic cats hopefully i will see an improvement in his condition"/>
        <s v="product dog food excellent my dogs love it looking forward do more beisness with soon"/>
        <s v="i was impressed by selection price delivery time of petflow getting ready place my second order"/>
        <s v="order was correct arrived quickly"/>
        <s v="petflow was a company that i had not heard of prior i was in need of hills cat food which was not available anywhere locally or online except at petflow i even ordered more than originally planned they got okay from my vet had order shipped my home within"/>
        <s v="great delivery promotions cheaper food"/>
        <s v="great prices fast friendly service i will continue making this my goto pet supplies"/>
        <s v="tired ordering a product that said in stock twice now both times i get an email a few days later saying my order was cancelled because it cant be fulfilled if it was in stock why cant it be fulfilled"/>
        <s v="this product excellent i believe my dogs they love it this however second time i have had a bag ripped open when it arrived food in box not bag dont know if this a problem at packing end or delivery end wish it wouldnt happen again"/>
        <s v="easy site use with great prices a large variety of options"/>
        <s v="never received my order fedex lost it no refund or anything at all fedex express that they left it at front door but how my gate was closed my cameras capture nothing at all no one was home i also called fedex several more times with no luck they say they"/>
        <s v="i ordered cat food from petflow it showed in stock i waited it ship about a week i called customer service lady indicated that my order was processed needed vet prescription approval that i should receive a tracking email that day or following did not rec"/>
        <s v="great way buy my dogs food products needs no hassles comes straight my door"/>
        <s v="incredible rude out of touch representatives they didnt have my item in stock then made me replace a second order what they did have in stock next day i get notified that my order was resale flagged as fraud even though i placed it through them explained "/>
        <s v="i disappointed in way my packages where sent me example when you sent my case of dog food it was put in box that could have fit cases instead of rest was filed with packing papers make it weigh more charge more"/>
        <s v="reasonably effective but annoyingly disorganized looking alternatives"/>
        <s v="got my online order very quickly was pleased with how easy it was will definitely use again"/>
        <s v="after hunting high low through my usual pet food sources i was able find two items that had been back ordered everywhere else delivery was fast saved me risk of switching brands with my dogs"/>
        <s v="we needed a shipping kennel large a bed kennel a toy a small bed dog food all that got shipped was dog food toy small bed after visiting pet smart store they had all we needed in stock although a higher price"/>
        <s v="my first order i was mailed wrong product when second order can it will be out of date in months i like know i have a newer product"/>
        <s v="quick easy better priced than most of competition definitely an underknown source pet supplies"/>
        <s v="good time on delivery just mad about way box showed up was thrown over my fence box was damaged retaped because it was so damaged think about who you ship you packages by delivery my house was a fedx driver who did even look see if this was spot deliver j"/>
        <s v="great choices these days it so necessary have a reliable resource especially our pet family"/>
        <s v="excellent everything a company"/>
        <s v="i am so happy you carry fromm echo loves it she gobbles it down i also love that you deliver my home&#10;&#10;thanks again&#10;joni"/>
        <s v="please dont say you have something in stock if you really do not i was misled then was not even informed that there was a delay until i reached out myself terrible customer service"/>
        <s v="my order was shipped immediately reasonably got what i ordered pooch thrilled"/>
        <s v="everywhere was out of my pets food ordering from your site was easy i received my shipment a few days later thanks"/>
        <s v="amazing prices quick shipping"/>
        <s v="just got a new puppy that has have toy breed puppy proplan its been almost impossible find it but happily petflow has it it shipped fast love auto ship so we dont run out price also good"/>
        <s v="we were notified that our dogs prescription food was out of stock with our usual retailer so i did an internet search petflow was only retailer that popped up as having item in stock i waited shipping confirmation never received it so i contacted petflow "/>
        <s v="i appreciate finding products at an affordable price at petflow i usually find those products at a better price than other sites shipping was fast flawless"/>
        <s v="i have have ordered freeze dried beef treats a whilethe last two orders have been at least crumbs this very disappointing an expensive bag of unusable if this not corrected i will have find another source usually i am very pleased with petflow recommend t"/>
        <s v="great products very good customer service"/>
        <s v="fast shipping all items accounted in perfect condition"/>
        <s v="petflow has best prices great communication with me regarding status of my order shipping quick"/>
        <s v="my st package was received missing items after just one phone call everything was handled professionally a few days later i received my missing items would order again"/>
        <s v="petflow came through me when i couldnt find my cats food anywhere else im extremely grateful"/>
        <s v="twice now i have ordered preacription food from petflow that was listed as in stock twice my orders jave been cancelled because food was not in fact in stock both times i spoke with customer support that was clearly copy pasting replies off of a pdf since"/>
        <s v="excellent service"/>
        <s v="generally ive been very pleased but last shipment cases of canned hog food had two damaged open cans in it not a great response when i raised issue since i hadnt discovered it until i got th of cans otherwise no complaints"/>
        <s v="my cats food was listed as in stock on site but my order was cancelled a week later because it was never actually in stock"/>
        <s v="delivery was delayed this was not acceptable i will utilize another company that can deliver in dayd"/>
        <s v="as ordered fast shipping i was so happy be able get my canned cat food order when chewy amazon failed me petflow has gained a loyal customer"/>
        <s v="outstanding price what i ordered i shopped around amazon walmart numerous websites none even came close your price package showed up on time excellent experience my cats thank you"/>
        <s v="fast shipping excellent price&#10;thank you"/>
        <s v="i normally dont write reviews but i hope employees are retrained after seeing this i hadnt ever been on your website or heard of company but my year old fell in love with a puppy from a girl i know in utah after adopting puppy we asked what food she was a"/>
        <s v="dog food we need hard find petflow always has it at a very good price it usually arrives in a day or two great service"/>
        <s v="im a little disappointed with petflow i ordered dog food on june rd maiming because you said it was in stock then a few days later i get an email saying that your local location was out of stock you had get it from another location it was now going be del"/>
        <s v="fast easy order prescription products fast shipping fantastic customer service knowledgeable sympathetic responds quickly range of items purchase awesome petflow outdoes all other online pet companies on so many levels they were my saving grace during cov"/>
        <s v="my order was processed very slowly then canceled i was initially told that only thing holding up my order of hill prescription diet my cat was vet approval which i had submitted with my order close a week elapsed then i was told that supplier could not pr"/>
        <s v="very reliable when i place an order with petflow i know ill be getting what i ordered on time"/>
        <s v="great customer service had prescription food my dog needed all others were out of stock glad i found this site"/>
        <s v="naturvet yellow green lawn spray containerscontents were defective&#10;product was diluted colored water my guess they froze thawed somewhere before shipping"/>
        <s v="petflow ran out of dog food in my area so found it in las vegas i got last bags"/>
        <s v="i got food quickest out of any company including amazon their customer service gets back you right away with any questions fabulous job"/>
        <s v="food bags are always intact delivery always on time customer service excellent"/>
        <s v="great customer service great prices fast shipping"/>
        <s v="i always order my dog fromm food treats from you shipping excellent"/>
        <s v="great price smooth transaction quick shipping whats not love"/>
        <s v="waited over weeks food arrive my new puppy refill his stock we received from breeder petflow had a great price great reviews but when i inquired where my order was i was just told that it didnt ship due fraud protection they refused discuss further yes i "/>
        <s v="ive used petflow my boys food since very beginning since i adopted him they always deliver it on time each month they have an excellent selection of pet food available on their website not mention they give away food dog in need each food purchase we make"/>
        <s v="inventory shortage put order in next day they dont have my babies brand so its not their fault purina discontinued small bites&#10;now we are playing find food they care sorry couldnt give stars"/>
        <s v="i have been very happy with petflow i am disabled it so nice just have my dogs food show up at my door so far items i need have been in stock which pretty incredible in these times"/>
        <s v="i started an auto ship program with this company because cat food was running scarce in grocery store unfortunately even this company cant keep it in stock either"/>
        <s v="pups love new food we found on petflow it was easy order arrived in no time being that its large breed formula i just wish it came in bigger chunks so they didnt inhale it at dinner time"/>
        <s v="great service good customer service only hiccup i can see shipping sticks folded over in a box"/>
        <s v="they had everything in stock was delivered in a timely manner"/>
        <s v="great place buy our pet supplies fast service pet flow best"/>
        <s v="always great do business with ease of ordering easy return"/>
        <s v="i waited over a week your pharma dept reach out my vet get scrip order i finally had make call myself with your rep on line i got right through your pharma folk really dropped ball&#10;&#10;all while my cat was waiting her special food"/>
        <s v="i was really pleased that u had food my cat loves he diabetic could not find his food anywhere he refused eat anything else got so thin i found his food through ur company now he gaining weight very happy kitty"/>
        <s v="i was in need of food my cat with diabetes my vet was backordered even chewy was out of stock but im so glad i happened upon this company they had food i needed available i appreciate it so much they were easy pleasant work with thanks petflow"/>
        <s v="worst experience with pet flow i place order my shipping billing address not same you will add my account fraud activity dont proceed order such a unprofessional supports team cant buy in future its last time"/>
        <s v="i never received my purchase you were out of stock of my cats prescription diet even though your website said it was in stock you should keep your website up date with what in stock what out of stock because i would have never wasted my time ordering it i"/>
        <s v="fast shipping easy order understand web site best prices around&#10;no hassles"/>
        <s v="ordered prescription dog food you said you had in stock but it very clearly was not in stock almost two weeks later im still waiting it not cool"/>
        <s v="shipping box isnt strong they package my dry dog food with cans cans cut dry food bag it spills"/>
        <s v="i placed an order hills glucosupport my diabetic cat it was weekend i was unable get all of vet information directly from vet hospital itself place order so i googled it i placed order paid order order was cancelled by your company as something in informa"/>
        <s v="this second time cat food that i need said it was available second time my order was cancelled because they didnt have it if you dont have it dont say that you do i could have looked it someplace else instead"/>
        <s v="your phone reps have always been very helpful answered my questions given me some good advice about purchases were sold"/>
        <s v="great customer service they answered my inquiries so fast they were super friendly"/>
        <s v="petflow works hard earn your business trust had an initial snafu but now orders are working smoothly"/>
        <s v="i requested a refund after being told by petflow that i needed renew my vets prescription i wanted just buy prescription dog food from my vet petflow said they could give me a credit but not a refund this a classic case of petflow winning battle losing wa"/>
        <s v="i have ordered from petflow twice both experiences were same complete trash my cat eats prescription food it out of stock everywhere so i am ecstatic find it on petflow i order it took two days my vet approval i get an email that now food sold out my orde"/>
        <s v="petflow has great prices on fromm products delivery great"/>
        <s v="petflows order fulfillment needs be improved it took days food that i ordered arrive that was after i called see where it was got order prioritized shipping if you are truthful on your website whether food being shipped from nj or nv warehouses then i can"/>
        <s v="your orders have all been fast with no warning it took a week i will not be using you anymore as you are not dependable"/>
        <s v="great price fast shipping great communication"/>
        <s v="better prices than elsewhere called customer service some assistance woman was very helpful will use again"/>
        <s v="wanted try another pet food home delivery service a change decided give petflow a go they were a great find im glad i did prices were comparable delivery was even faster packaged very well with no dented cans"/>
        <s v="prices fair but shipping times have increased"/>
        <s v="i love variety of high quality products brands that pet flow offers i also love how quickly they ship my order always arrives within a couple days"/>
        <s v="dont even bother if you order anything they will message you a week later saying its out of stock then very next day its back in stock again"/>
        <s v="i was excited see that a particular prescription wet food was back in stock on website as it has been out of stock over a month i placed order online then followed up days later as i didnt hear any thing about shipping i was told that they just received a"/>
        <s v="cancelled my orders&#10;without telling me"/>
        <s v="very happy with customer service only issue i had how long it took process my order ship it would pay extra faster processing shipping"/>
        <s v="fast easy correct"/>
        <s v="its ok it was shipped on june st an email tuesday said itd arrive today wed after arriving here in portland today at am fedex tracking said at pm that its being delayed a day until tomorrow thursday because of weather it doesnt affect me i wouldnt care ot"/>
        <s v="i ordered prescription pet food my cat it took them about five days tell me order was cancelled because they couldnt get food they shouldnt have taken order in first place"/>
        <s v="this my third order they have products others dont at a great price"/>
        <s v="always holds inventory deliver in a timely manner"/>
        <s v="worst customer service i tried doing an order twice they couldnt send it out i will never use this company or recommend it"/>
        <s v="wonderful service i recommend"/>
        <s v="excellent service only delay we had was from our veterinarian sending them prescription"/>
        <s v="i am so impressed with not only how easy ordering was but how quickly it was delivered i would never use anyone else thank you very much"/>
        <s v="i am new petflow this was my first order website was easy use my item arrived promptly"/>
        <s v="disappointed that an item was there select as available only find out it was not p"/>
        <s v="i like using petflow other sites which are similar they are super convenient reliable however cost of shipping stops me from only using their service"/>
        <s v="your website said you had prescription cat food i needed i bothered my vet prescription order your company said order was being filled then im told that it out of stock&#10;&#10;how does this happen"/>
        <s v="always highest quality products superior customer service a"/>
        <s v="petflow had what i needed in special food my cat i couldnt find it anywhere thank you so much service was awesome"/>
        <s v="good service a fair price thank you plan order again"/>
        <s v="wonderful experience petflow was only place that had prescription food i needed my cat they expedited my order when i expressed my needs sadly my cat passed away saturday but he loved this particular brand of food so i am very grateful that he had a coupl"/>
        <s v="i have been ordering from petflow some time now i always have a good experience with fast shipping easy ordering i have a dog two cats so i order often great company do business with&#10;rob"/>
        <s v="petflow great they processed my kitties prescription quickly shipped my order promptly"/>
        <s v="shipping so slow compared chewy i use chewy whenever possible that reason"/>
        <s v="i have had nothing but positive experiences with petflow"/>
        <s v="petflow was only source prescription food my cat all local stores vets all said they were out it was on back order so petflow was a kitty saver"/>
        <s v="fedex took more than a week deliver&#10;usps better even fedex tracking not accurate very slow or sometimes not even up date"/>
        <s v="customer service was not friendly they charged shipped me two bags of my dogs food when i only purchased one when i called back dispute charge they were not very helpful kept insisting that i bring super heavy bag fedex return"/>
        <s v="when fed x lost my order i called customer service order was replaced without hesitation that excellent service"/>
        <s v="slow shipping went order another bag couldnt find it"/>
        <s v="petflow a good company buy cat food from i especially like having it she directly my door i have order a prescription type of food my pet cannot find it anywhere else petflow has exactly what i need"/>
        <s v="i was able find what i needed that others didnt have turnaround was quick order was correct"/>
        <s v="products in stock delivered in timely fashion positive experience"/>
        <s v="great selection had things others were out of great price shipped next day"/>
        <s v="after reading many reviews i cancelled my order before it was shipped many people stated they could not cancel their auto ship weret happy with delivery since i dont know this company didnt know their reputation i cancelled ordered from chewy now i cant g"/>
        <s v="great price shipped well arrived quickly"/>
        <s v="only cools minutes at best not worth it i should have invested more money got a better product"/>
        <s v="pharmacy said my dogs food wasnt approved while my vet said it was always approved customer service was awful in fixing situation didnt get my dogs food a week discontinued auto ship wont buy another thing from pet flow horrible customer service"/>
        <s v="i love fact they carry fromms dog food their web ordering works fine they deliver in a reasonable amount of time chewy faster where i live&#10;&#10;however every time i have ordered dog food in cans they come badly dented i dont mean a little dent here there that"/>
        <s v="i had opportunity subscribe my pet food came in a timely manner i am very happy"/>
        <s v="shipped quick reasonably priced"/>
        <s v="great variety fast shipping"/>
        <s v="petflow autoship convenient efficient economical weve been happy customers years highly recommend"/>
        <s v="works well but no instructions on how adjust float"/>
        <s v="great price quick shipping of pigeon grains i use"/>
        <s v="easy easy easy same quality same shipping speed cheapest place"/>
        <s v="great service buck great your pet fish"/>
        <s v="most wonderful customer service most wonderful products that keep my dog happy"/>
        <s v="i love company fact that they dont support brands that support animal testing its a start due shipping always being late they dont have an app yet but im not leaving them because of that"/>
        <s v="good selection of products but took a long time receive"/>
        <s v="had product in stock they called vet"/>
        <s v="items not as advertised even after calling customer service described wrong item picture not correct either that was sent&#10;took way longer than expected not likely recommend or order again"/>
        <s v="had an issue with my order customer service was rude terrible will never spend my money with this company again"/>
        <s v="excellent always best"/>
        <s v="pet flow always has dog food in stock my pet all through pandemic they were reliable supplies on hand timely delivery"/>
        <s v="customer service was awesome shipping was very fast i was very pleased with variety of food i will definitely order again"/>
        <s v="fromm dog food so awesome my elderly dogs were on wet dog food they liked it till i took them my friends house she had beef fromm out her dogs my dogs decided they like that food better than theirs it was a month of trying get them eat their food i asked "/>
        <s v="poorly packaged shipment but arrived quickly"/>
        <s v="great customer service i needed my cats prescription cat food asap they pushed process faster me"/>
        <s v="fast deliveries one of few places i found farmina dog food now im on auto delivery"/>
        <s v="i ordered cat food on fedex has yet deliver it stating that address incorrect when it not after hours on phone trying get this package i am left with no other choice but request a refund i still dont have cat food am tired of wasting hours talking low lev"/>
        <s v="we love using petflow our pets needs prices are competitive its so easy changedelaycancel our order"/>
        <s v="shipping was fast my only concern my dog food best by date sept just concerned not fresh maybe older stock"/>
        <s v="petflow best hands down great customer service prices"/>
        <s v="they had food i had been searching in stock quick shipping"/>
        <s v="super great company with fast service great shipping"/>
        <s v="great company with very quick shipping i will be using them from now on"/>
        <s v="excellent products outstanding service fast delivery"/>
        <s v="good price fast delivery"/>
        <s v="we have been using petflow many years always have great service value"/>
        <s v="petflow has products i need gets them me quickly ive used auto ship when ive had switch my schedule they were happy accommodate adjust their customer service so responsive i have been a loyal client years plan remain one"/>
        <s v="every one at pet flow was extremely helpful they spent as much time as needed on phone with me pick puppy food i needed when it turned out that my pup did not need prescription i was told they were unable take it back but they refunded half cost"/>
        <s v="when i ordered they knew they were out of stock i called asked questions didnt get a direct answer"/>
        <s v="i was so happy find my pet food in stock here actually maker of pet food let me know that petflow had product in stock there was no shipping fee on lb bag it arrived promptly all way from across country"/>
        <s v="ordered canned dog food found price be competitive shipping was timely"/>
        <s v="i would advise anyone that has had a poor experience with this website which appears be just a website where they drop ship orders but dont actually have a warehouse contact attorney general in nevada where this guy or company located&#10;if they are pretendi"/>
        <s v="ordered cat food when i ordered it was in stock now saying they have none that online allows them sell bags so long as they at least have sad"/>
        <s v="i ordered dry cat food that you said you had waited you tell me when it shipped you never told me you were out of it i had get in touch with you find out stupidly i checked that same product a week or so later same thing your on line app said you had it i"/>
        <s v="ordered md dry cat food you waited so long let me know you were&#10;out of it other companies let you know on site where you are ordering&#10;that they are out wasted time"/>
        <s v="great product fast shipping"/>
        <s v="having contact support cancel an auto ship ridiculous straight from comcast book of customer service"/>
        <s v="this first time using petflow i loved experience they have great prices fast shipping i love selection of food also"/>
        <s v="scam site they lie say they have stock of things they know they have no stock just get your information"/>
        <s v="i like pet flow convenience of buy fromm cat food from them"/>
        <s v="i placed an order prescription pet food website stated food prescriptions could be emailed or mailed so i emailed food prescription using email address they listed on their website this purpose this resulted in back forth with a representative who conveye"/>
        <s v="i was trying order prescription cat food that in short supply your company let me order it sign up your account contacted my vet prescription went through whole process then told me you are out of stock why didnt you tell me up front you were out of stock"/>
        <s v="i have plenty too much food right now how can i cancel automatic service"/>
        <s v="i trust them they usually have product that i want if not they will let me know"/>
        <s v="this place amazing prices really cannot be beat we shop around every time we stock up petflow doesnt carry all of foods we buy but ones they do are consistently cheaper than elsewhere including delivery&#10;&#10;i hope petflow will carry more of vegetarian canned"/>
        <s v="my total order was receive offhowever my order was split i only received off on lesser item was taxed on both i may inform my credit card company of this transaction based on your response"/>
        <s v="have always had good service from petflow"/>
        <s v="keep posting that they have hill science diet md when they dont"/>
        <s v="i have only received part of my order that i made on may th it now nd i have still not received dog food i ordered"/>
        <s v="our saint bernard was recently diagnosed with gastroparesis needed limited ingredient treats hills makes a line of them that petflow has a great variety of at great prices shipping super fast"/>
        <s v="excellent service&#10;thank you"/>
        <s v="i have ordered only once from flowpet but so far so good on that note i will give them stars there was a good variety with good prices order came more quickly than i expected i expect i will be shopping there more"/>
        <s v="fast shipping easy get in contact with them if you have questions"/>
        <s v="ordered special diet days nothing had order chewy got it in days"/>
        <s v="very friendly knowledgeable people at petflow willing go extra mile help"/>
        <s v="it easy change my order staff always easy communicate with they are alice there help me when i run out of food my goldens sometimes have friends over week"/>
        <s v="so happy you carry fromm my dog thrive on this food i love convenience of delivery my door best part shipping included"/>
        <s v="i placed my order from canada dealt with a customer service rep she was very friendly helpful efficient my order was delivered very quickly a parcel receiver in bellingham wa i am very satisfied with petflow"/>
        <s v="ms jessie at petflow was extremely helpful in fulfilling my order she was knowledgeable pleasant very efficient i am very satisfied with service i got"/>
        <s v="always ships quickly arrives promptly you can trust petflow handle your order right"/>
        <s v="took way long get here this was a cat food order im use getting it at least in a couple days when i order from amazon or chewy not sure ill order from them again"/>
        <s v="this a great company good selection of products at fair reasonable prices including shipping costs delivery very timely while so many firms are still using pandemic as an excuse pricegouge it so refreshing a pleasure deal with petflow this only company i "/>
        <s v="have been waiting in my prescription a month still havent received sent in digital paper copy that still had problem with them verifying actually sending prescription so frustrating would not recommend vetsource pet prescriptions hoping get my order one d"/>
        <s v="my dog on rx dog food hills science diet dd i decided start getting it from you i order it changing flavorsprotein because one i wanted said out or stock a few days later i havent heard anything so i calltext im told that it waiting vet authorization i ca"/>
        <s v="i have purchased many milk bone pill pocket packets they usually come in pouches per box which helps keep them from being crushed in shipment i usually purchase boxes at a time shipping slower then other suppliers"/>
        <s v="cancelled my order saying supply of product from manufacturer was unavailable so i went another vendor who had no problem filling my order"/>
        <s v="received my product of prescription kitty snacks quickly&#10;thank you"/>
        <s v="pet flow has been very reliable my dogs food arrives as ordered food fresh arrives quickly&#10;i have had a few problems with website where i could not change an amount on review your order page which was frustrating however calling customer service resolved "/>
        <s v="very good service fast deliveryi have no complaints"/>
        <s v="items arrived quickly before i was notified that they were shipped one item was missing from order it took a few days before i received an email that item was out of stock credit item came quickly very pleased with my purchase"/>
        <s v="excellent customer service&#10;petflow inadvertently sent me an extra case of cat food i alternate types of food so i was fine with keeping extra food but needed pay that one add another of alternate kind gentleman with whom i spoke straighten everything out "/>
        <s v="friendly when i had questions fast delivery easy order quickly online"/>
        <s v="efficient fast shipping great customer service&#10;&#10;good selection of animal products"/>
        <s v="very happy with products wish food was a bit cheaper"/>
        <s v="i had been looking puppy kibble our breeder has been using their litter of puppies petflow was only site that carried it very easy work with on time delivery thank you"/>
        <s v="staff very friendly helpful there was a prompt response my question they have a vast selection great prices they came through when i had trouble finding my finicky cats food they are my go store"/>
        <s v="constant urging use autoship i can understand what i cant understand meaningless onetime pittance of a discount as an incentive coupled with an almost forced compliance by changing my selections include it me it most obnoxious pushy waste of my time i may"/>
        <s v="i tried purchase prescription cat food my cat on vet did not receive communication through you so i emailed texted in a prescription on both of which replied said it was sent correct team should be processed asap then i received an email on stating you we"/>
        <s v="i needed order a variety of cat food that had been sold out at local shops online retailers some time i discovered petflow through a link on manufacturers website i was skeptical that they could even deliver but ended up being pleasantly surprised ive sin"/>
        <s v="easy navigate site prompt delivery"/>
        <s v="my second order experience was just as great as first one great business"/>
        <s v="my order always delivered in a timely manner if there ever a question i get answers quickly in a professional friendly way"/>
        <s v="petflow has been my goto years now a reason"/>
        <s v="excellent availability of products customer service shipping communication"/>
        <s v="so easy order my pets prescription meds on petflow they contact your vet directly approval which takes all work out of my hands shipping quick its very easy amend shipment schedule if needed&#10;thank you petflow such awesome service"/>
        <s v="i was searching a specific food my new puppy that was not available in many places found it here ordered had it so fast itd make your head spin thank you"/>
        <s v="i received my product before original date i was very impressed since i never heard of them but i will continue use them i highly recommend them"/>
        <s v="excellent service product our fur baby loves butcher block champ bones"/>
        <s v="when package came everything was so jammed in there that stella chewy patties were crushed i purchased bags of stella each bag had broken pieces in there"/>
        <s v="petflow had dog food that i needed that everyone else was out of it came quickly without any issues their website was easy navigate also"/>
        <s v="when other sites were out of prescription food my dog needs petflow was only place i could find it at a good price too delivery was fast also"/>
        <s v="great service competitive pricing"/>
        <s v="petflow had a rocky start with me because it was difficult get customer service but they have improved so much in that department that a star appropriate they are only pet delivery that has my dogs dry food they give a years worth of coupons offset expens"/>
        <s v="delivery was okay no issues with package or product price okay too"/>
        <s v="great company fast delivery"/>
        <s v="i order eight pound bags of prescription cat food kept getting emails about it being backordered on website at tims of purchase it stated they were in stock placed an additional order two pounds of same food that was cancelled by petflow not being in stoc"/>
        <s v="always helpful answer my questions concerns"/>
        <s v="easy use website fast shipping"/>
        <s v="my order always on time very easy order"/>
        <s v="i made a large order you guys cancelled my order saying that it was a fraud there was never a time where i got an email or any contact see if it was a fraud my dogs are now with no food due this lack of responsibility i was informed that every time i make"/>
        <s v="i love service petflow provides they have a huge variety of products plus they also offer great deals finally i must say customer service extremely friendly use through texting theyll help you right away thank you so much"/>
        <s v="i ordered prescription food my cat a week went by with no shipping information i contacted pet flow was advised that food wasnt even in stock even though they got approval from my vet waste of time that i couldve been searching this prescription food else"/>
        <s v="ordered prescription food insulin syringes my diabetic cat syringes came a few days later bags of prescription food did not after days with no update i called customer service just find out food was out of stock i was never notified that it was out of sto"/>
        <s v="great customer service i really appreciate it"/>
        <s v="great site dog supplies will continue use if prices are good"/>
        <s v="i moved over petflow kicking screaming from chewy chewy stopped carrying verus petflow now my merchant all my canine needs i could not be happier with customer service i like getting advance notice that my autoship preparing ship i like updates when there"/>
        <s v="with price of dog food getting more expensive i was looking best price chicken soup soul canned dog food pet flow had best price when compared other online retailers this was my first time ordering from pet flow delivery was fast items were received in pe"/>
        <s v="always arriving promptly correct products in order"/>
        <s v="best place purchase all of my dogs need excellent service always fast love love lovestella loves it too"/>
        <s v="this was my first time using site usually use a competitors site but this website showed up i clicked see what it was&#10;the prices are similar site i usually use some of items were slightly cheaper some more expensive&#10;one huge con was that i spent an hour f"/>
        <s v="my ordered was submitted then cancelled days later i would have just bought it somewhere else should have just said out of stock now i have scramble find food"/>
        <s v="ordered hard find diabetic cat food the lb bags are out of stock at all companies that carry it petflow shows on site that lb bags are in stock order on may th vet approved was told that on th its send warehouse shipping called on th see why ive not got a"/>
        <s v="products are good but ones i wanted were out of stock or very low"/>
        <s v="great product price communication transaction"/>
        <s v="i was very disappointed i ordered my rx can cat food payment was made payment was returned this first email from petflow i have not received an email why my payment was returned or why i did not receive my order"/>
        <s v="quick easy i just entered order vet details my order was on its way next day"/>
        <s v="my cat likes friskies sensation cat foodi wish petflow has a larger selection of cat dog food that weigh lbs or less as i grow older i find it difficult lift bags over lbs"/>
        <s v="orders are accurate delivered on time price a little high at this time but no higher than other sites are charging same pet food"/>
        <s v="ive only used petflow once first time but everything was great easy navigate site received order quickly packaged safely i had a general question customer service was very nice knowledgeable ill be a repeat customer very glad have found petflow"/>
        <s v="frustrated with lack of customer service regarding my cat food order our vets office personally called ok a prescription diet our cat as we could not find it anywhere we were running out we did not get any official notification that you ended up being out"/>
        <s v="my items from petflow always arrive quickly accurately i enjoy using petflow my dogs needs i highly recommend"/>
        <s v="trustworthy accommodating much variety"/>
        <s v="products ordered came quickly accurately website makes reordering easy"/>
        <s v="we have shopped with pet flow about years they always provide excellent service products"/>
        <s v="ready some captains plate sardines mackeral now look forward this against grain next when they are available purchase again&#10;&#10;thank you getting this delivery us as you were only pet food company that could provide us with shrimp daddy our cats thank you ve"/>
        <s v="every order i have placed has been canceled i call verify everything ok daily i am told that its being packed ship i call again next day am told its shipping that day both orders have done this usually hours later order canceled by you i have never receiv"/>
        <s v="im very disappointed as item u always order was not in stock currently remains out of stock"/>
        <s v="fast delivery they carry what i need"/>
        <s v="petflow was very easy order from was shipped out almost immediately dog food arrived very quickly i would definitely recommend them pet owners"/>
        <s v="ive used petflow on years delivery has always been spot on but occasionally a food change required a different vendor glad ive returned"/>
        <s v="i am always skeptical when ordering from an online store first time no need worry about petflow my bags of dog food came in a timely manner packaging was neat there was no crushed bags very happy customer"/>
        <s v="i successfully ordered prescription hills md through you later you told me you were out of stock you should have known you were out of stock before allowing me order"/>
        <s v="i had not used petflow before but they were one of few retailers that had pet food i needed in stock their turnaround time from order placement shipping was incredibly quick as was shipping time they were also very communicative each step of way&#10;&#10;i will b"/>
        <s v="ive always been able change my scheduled auto shipment when every i need they are quick response send out packages very quickly been using this company about years love their services"/>
        <s v="ive never dealt with an online pet store that was so easy work with they confirm my dogs food prescriptions still get food me in just a few days im looking forward buying treats other supplies from them as well"/>
        <s v="customer service was fine but i could not purchase what i wanted my cat i ordered veterinary products i chose vet i went from search i knew pet flow or vetsource would need contact vet but did not know how they would then i got an email that pet flow coul"/>
        <s v="i love service i receive when i place my order if i have any issues i call customer service best"/>
        <s v="ordered cat food then received email that order was cancelled because it was outofstock"/>
        <s v="petflow was a great shopping experience but shipping information was not accurate on website i did have reach out customer service get correct information other than that no complaints will definitely shop with them again"/>
        <s v="good communication reasonable prices&#10;slow delivery time knocked this review down four stars"/>
        <s v="it was nice that petflow actually carried brand of dog food i get i was excited sign up autoship so i could stop making my husband pick up dog food miles away from me on his way home from work my order took over a week arrive didnt come when it said it wo"/>
        <s v="great quality of products super fast shipping"/>
        <s v="perfect&#10;fast&#10;efficient as always"/>
        <s v="when i was given a prescription my cat that had just gotten a procedure clear a urinary tract blockage i tried having prescription filled by my regular vet they were out of stock of what was needed so i turned petflow all my experience with petflow has be"/>
        <s v="orders are shipped quickly prices are comparable other companies"/>
        <s v="timely delivery no glitches great product"/>
        <s v="products that i ordered were as described at a fair price arrived on time&#10; very happy customer"/>
        <s v="i had never ordered from pet flow before their website was easy cat food arrived promptly"/>
        <s v="i enjoyed finally finding a website that still has my cotton de tulear food that she has been on her whole life seems be selling out everywhere i sure hope this website keeps it in stock next time i need order it"/>
        <s v="i ordered a large pet carrier was sent a small i did contact customer service they are suppose send a large that was a week ago so i am still waiting"/>
        <s v="fast easy great price i stick of my pups fave food"/>
        <s v="ordered first last time when petflow was only place that had any of my cats specialty prescription food in stock they said they called vet office confirm approve prescription but did not call office i gave them then canceled order i tried reorder within h"/>
        <s v="i use this site order tracheas my dogsthey are a natural treat my dogs love them this company has been very good about getting my orders me in a timely manner so my dogs never have miss their saturday special treat i know their prices are great because i "/>
        <s v="im so thankful that i found petflow&#10;its nice know there are online options my fur babythe prices are great fact that petflow gives back pups in need makes me feel good&#10;thank you petflow"/>
        <s v="petflow usually has products other sites are out of what relief but stock up as things are getting harder find petflow delivers quickly in good shape"/>
        <s v="said an item was in stock when it wasnt i waited a week before being notified that it was even in warehouse be shipped in meantime i was counting on shipment my diabetic cat i will never recommend or give company another try"/>
        <s v="great transaction good price free delivery"/>
        <s v="quality communication price"/>
        <s v="i have cats two of them are eating special food health issues it has been hard find canned food especially proplan since pandemic i have search cat food every week at pet stores in our area which very stressful i was so glad that i found petflow on line s"/>
        <s v="when i had a problem you fixed it fast ty"/>
        <s v="i buy birdseed in lb quantities theseed quality excellent mixes are well balanced seed fresh viable so i am able germinate some use as soft food my birds price was reasonable when so many others are using inflation as an excuse profiteering it was shipped"/>
        <s v="ive always had a great experience w petflow i even found a better deal at another site wanted cancel my auto ship customer service rep gave me a discount instead i kept my auto ship active its still active today excellent customer retention greatly apprec"/>
        <s v="only place i could get this hills formula dry food my cat my cat fussy wont eat other dry foods"/>
        <s v="petflow customer service agents are efficient yet courteous company clearly embraces concept of customer always right ive been using this service five years have always been pleased"/>
        <s v="service customer service excellent"/>
        <s v="this was my first time purchasing from this company i attempted purchase items of items that i ordered i only received those items that i did not receive were charged my credit card then i was notified after fact that these items were out of stock that my"/>
        <s v="easy order online customer service quick respond resolve any issues will order again"/>
        <s v="i love petflow much better than chewy"/>
        <s v="ease of changing or adding existing orders could be just a little easier its muchimproved from what it used be sure but it still takes far too long setup an order autoship make it easy more efficient please"/>
        <s v="every order fulfilled quickly accurately then shipped really fast i love petflow"/>
        <s v="was very disappointed with shipping time this order delivery information was delayed twice"/>
        <s v="while i wish petflow did not use fedex i did not get my package or replacement package petflow was wonderful through an annoying process"/>
        <s v="quick delivery on dog food i ordered im thankful petflow because they carry canine caviar which a hardtofind dog food my french bulldog does great on this food no allergies"/>
        <s v="petflow has great pricing fast delivery they also have great customer service who do a fabulous job of following up on your order i will definitely be ordering from them again"/>
        <s v="super easy order from they shipped our food treats quickly"/>
        <s v="quick ordering process they obtained prescription from my vet just as quick where other sites never completed process it was smooth i will order again"/>
        <s v="petflow site was easy navigate i found size of dog food bag i wanted right price communication was superb including delivery information i would order from them anytime"/>
        <s v="happy with my order pup got a really cute stuffed llama that i had my eye on quite a while price was excellent also bella pate not always easy find in a retail outlet"/>
        <s v="case of hill id digestive care was delivered damaged when i opened case three cans were blown rest had visual damage each can i called pet flow advise wanted send complete case back them they said prescription dog food cannot be returned he representative"/>
        <s v="i placed an order a second time with petflow first time was great however this second order never shipped upon inquiring about status i was informed that our fraud department suggested we not fill this order take care what"/>
        <s v="quick cat food shipping fair price easy ordering all good"/>
        <s v="i ordered two packages of dry cat food hills prescription diet gastrointestinal biome digestive fiber care chicken dry cat &#10;i used order it on chewycom or amazoncom medical reasons my cat needs this food unfortunately an unknown reason this cat food tempo"/>
        <s v="took longer than we thought but it was ok but everything was good"/>
        <s v="this was a remarkable experience i received wrong order i meant purchase bags of lamb peas large breed i received lamb rice i called same day they shipped correct bags i wanted&#10;this a model example of perfect customer service"/>
        <s v="ordered my pets food that needs a prescription you said it was in stock i looked a way email prescription you but couldnt find one on your site&#10;&#10;i gave you all information you need verify order food from my vet a week later you canceled order a week i kno"/>
        <s v="product packed well great communication"/>
        <s v="easy order through my vet super fast shipping no complaints"/>
        <s v="product came on time as described cant wait order from them again"/>
        <s v="we are now days beyond promised delivery date when i contacted company they said i should have planned better im wondering if company even has this product"/>
        <s v="first time i ordered from pet flow my order was cancelled by petflow because my items were not in stock after i ordered them however i had been charged via pay pal then had wait a refund needless say i cancelled my auto shipment will not order from petflo"/>
        <s v="my pets prescription food has been out of stock everywhere weeks i was recommended a replacement help my cat while i tried find something in stock but then i found his diet in stock on pet flow so i chose purchase that almost a week later i got an email f"/>
        <s v="i was told mail in prescription productthan i got an email that they did not have product now i dont have prescription&#10;it would have been a lot easier if i was told they did not have it"/>
        <s v="petflow has always delivered when expected there have been a very few rare occasions when something happened due courier service but petflow made it right immediately also food i buy hard find in local stores but available through petflow i love convenien"/>
        <s v="very happy with experience customer&#10;service very pleasant speed of order sorry food out of stock still but would order here again once it comes back in thank you"/>
        <s v="though my order was sent wrong address company made it right by resending product correct address quickly without a hastle"/>
        <s v="easy order delivery was great"/>
        <s v="quick shipping responsive staff customer inquiries"/>
        <s v="seemed take a long time from order delivery but mist disappointing was a couple of cans were dented leaked all liquid throughout box"/>
        <s v="excellent service prompt delivery able purchase an item i couldnt find anywhere else"/>
        <s v="needed return a bag of cat food that my cats did not do well on wanted exchange two bags of a different food was a simple process involving one phone call received a return label send back unopened bag of cat food received my replacement food within i bel"/>
        <s v="fantastic service quick delivery food was unspoiled not damaged will be coming back more kitty thanks you too"/>
        <s v="petflow does an outstanding job when it comes providing timely deliveries they also have a wide variety of products from which choose thank yu petflow"/>
        <s v="i have discovered petflow be a resource depend on&#10;the last shipment of blue wilderness turkey of which&#10;i usually order pack of oz cans free&#10;shipping included was received minus carton a quick call&#10;to petflow with no hassel resolution was what i expected&#10;a"/>
        <s v="they had great products choose from that arrive on time fast all things i have ever bought"/>
        <s v="there was some confusion about what when my order was be shipped after a few messages my order was delivered all was well"/>
        <s v="i went with petflow our dogs food because they had cheapest shipping rate my surprise was although it was cheapest it was also fastest"/>
        <s v="ordering was very easy they had a much quicker processing time than other places customer service was very friendly"/>
        <s v="my latest order of two pound bags of fromm dog food arrived in a box that had been badly damaged top bag of food had a four inch slash in it dog food had leaked out all over my porch entryway no doubt in fedex truck&#10;&#10;pet flow immediately sent me another b"/>
        <s v="prescription product was supposedly in stock until i found out days later"/>
        <s v="my dog food order always arrives exactly when promised that assurance why i have been a petflow customer such a long time"/>
        <s v="have been getting my dog food auto shipped many years i am very pleased with delivery always on time always in perfect condition i have not ever experienced a problem"/>
        <s v="twice in past week i have ordered cat food that was shown be in stock only get an email a few days later telling me that it wasnt available that very frustrating quite annoying doesnt make me want order from them again"/>
        <s v="excellent customer service customerfriendly policies&#10;i had ordered ver diet food my cat i used can out of case it turned out that my cat was allergic food&#10;&#10;oi called petflow customer service see if there was someplace local i could return remaining cans i"/>
        <s v="i had never heard of petflow before but after another company i use pet supplies didnt have a brand i was looking i did an online search find where buy my product petflow came up as being one of companies that carried it after researching company reading "/>
        <s v="fast service delivery i had emailed customer service they responded quickly"/>
        <s v="everyone was out of a particular flavor of food my kitties really like i added my name be notified when it was back in stock they did that promptly my order experience was wonderful everything i ordered came thru promptly in good order cant ask better ser"/>
        <s v="got wrong product they did reach out but still waiting see how we go about sending it back get our refund&#10;fran dolmage"/>
        <s v="i place a large order dog cat supplies on wednesday it received an order confirmation with tracking number following monday i recieved an email saying my order would be delivered tomorrow tuesday by end of day&#10;when my order did not arrive tuesday evening "/>
        <s v="website was easy use but unfortunately it said that one of items i purchased was in stock but days later i received an email that said that they actually did not have it in stock since its backordered they said i wouldnt be charged until they actually shi"/>
        <s v="was so happy find buy these bowls&#10;needed small ones &#10;needed stainless steel &#10;needed weighted bottoms &#10;pretty fast shipping &#10;thank you so much petflow"/>
        <s v="prices are reasonable shipping fast happy with ordering"/>
        <s v="my order was cancelled because my vet some reason wouldnt approve prescription food request from petflow said i had give petflow written prescription i have i could not find a way in petflow systems upload prescription form on their site frustrating becau"/>
        <s v="you guys really should say that you have products available purchase if you literally dont have any in stock"/>
        <s v="st order most cans dented unusable customer service ordered replacement replacement got cancelled as they were out of stock i had call again get refund system didnt know it was a replacement&#10;&#10;a week later their site says in stock so i try ordering more ve"/>
        <s v="get my name right i did happen type it out on my information portion of my account not hard figure out"/>
        <s v="best price service product"/>
        <s v="great price shipping was good everything arrived as expected i will order from petflow again"/>
        <s v="absolutely terrible they list food in stock that they dont actually have they then hold funds two weeks then cancel order&#10;&#10;get organized be honest about what you really have in stock"/>
        <s v="always get what i order in a timely fashion"/>
        <s v="they executed order beautifully box arrived as expected i ordered sealed dog treats so i have not opened fully yet&#10;&#10;this my second order they have not done well on both"/>
        <s v="one of few places that has grain free greenies can ship them expeditiously"/>
        <s v="product i ordered was shipped delivered within days thats amazing"/>
        <s v="i was lied from customer service they also implied that i was stupid we live out in sticks they tried convince me that fedex was going deliver me on easter sunday i do not appreciate being lied"/>
        <s v="your delivery exceptional i am also pleased that you carry fromme&#10;there arent a lot of pet stores that do"/>
        <s v="easy order great prices fast shipping&#10;thank you petflow"/>
        <s v="always have what i need receive it in dsys"/>
        <s v="you take orders items you dont have available"/>
        <s v="order filled promptly delivered very timely great service"/>
        <s v="there was a bit of confusion between petflow vet i received an email days after i placed my order saying vet had yet respond prescription vet said they had no record of being contacted but after i gave phone number vet call petflow they were told that ord"/>
        <s v="shipping quick correct products excellent as described"/>
        <s v="easy convenient use one of items i ordered was no longer in stock i was notified refunded immediately there a wide range of products available chose from at very competitive prices great service"/>
        <s v="my dog now needs kidney support food i ordered her kibble pet flow contacted my vet authorization we had her new food in days thank you pet flow being so prompt in responding my request"/>
        <s v="advertised dog food they didnt have felt i was suckered in get personal information ordered food twice website said in stock they canceled both orders saying didnt have yet didnt change status on website had also enrolled in autoship website wouldnt let m"/>
        <s v="i ordered food have been waiting a response let you with my vets numbers even left a text per instructions nothing im still waiting any sort of reply"/>
        <s v="i ordered a type of prescription dry cat food made by hills hills said you had i in stock so did your website i placed my order with veterinary information prescription approval this probably took one day not more than two but as time went on i received n"/>
        <s v="awesome company will definitely be using them moving forward order my dogs food"/>
        <s v="item showed in stock took almost a week them state it wasnt available check back when its in stock yet when i looked at their website they didnt change items availability so just keep taking peoples information even though its not available this a poor bu"/>
        <s v="when i order it says you have product a week later you say you dont have it cancel order you need change this no sure what in stock this has happened me before non way run a business you dont care about customer doubt i will order with you sgain"/>
        <s v="we have ordered dog puppy food from petflow many years always received excellent service on our last order of bags one of bags was out of box it had been torn open taped shut with clear shipping tape there was a fed ex label on it reading repackaged&#10;we we"/>
        <s v="easy ordering perfect delivery"/>
        <s v="product bought as advertised online sales works perfectly shipping was fast this my second transaction with this company am very pleased"/>
        <s v="ordered veterinarian prescribed food diabetic cat was advised through email it will ship within days was then emailed days later with a full order cancellation not being aware of how fulfill orders due inventory issues one thing understandable not being a"/>
        <s v="ordered but had update my credit card thought order was canceled after several attempts after updating card all orders went through were processed now i have three bags of food spent more than that i intended"/>
        <s v="placed order based on website saying product was in stock vet approved prescription dog food in one day contacted customer service twice over days determine order status finally on day we received an email saying product was not in stock refunded order i "/>
        <s v="petflow website listed sale prescription cat food that it turns out was not in stock when i ordered that food apparently no one checked whether it was in stock my order was processed i then had jump through a number of hoops get them a prescription from v"/>
        <s v="one of kitty litter bags had small tears in it so about a third of a cup was spilled in box"/>
        <s v="this was a good experience overall products we wanted were available reasonably priced we even tried a new product that now a hit in our household thank you"/>
        <s v="petflow has everything i was looking items i ordered were delivered promptly without any damage bags of kibble or cans ill definitely keep ordering from petflow"/>
        <s v="never received product after a couple weeks order was cancelled since product was never available begin with apparently petflow has no idea what their inventory actually i was never actually charged product"/>
        <s v="i love petflowcom because they are not big guy they are all pet passionate people like me they carry products i trust"/>
        <s v="simple order came amazingly fast"/>
        <s v="your customer service was as usual excellent but delivery service was not up par because they changed delivery date a few times tho that may have been due weather problems which understandably out of anyones control"/>
        <s v="great competitive pricing only complaint they make it difficult cancel existing programs you have place a phone call in order do this they do not make it possible online through your account"/>
        <s v="customer service was easy get in touch with very courteous"/>
        <s v="customer service responds quickly very helpful courteous a pleasure do business with"/>
        <s v="item i ordered was still shown as stock on website it not in stock had it been out of stock i would not have placed order when i called petflow see if they had inventory they told me they could not check because prescription diet was inventoried in anothe"/>
        <s v="mostly all my goods are damaged cans are bent creased half treats are in bottom of bag my rabbit treat sticks"/>
        <s v="i am aware no one can predict weather but this particular order was important on two separate occasions i was informed my order would arrive as it i am still waiting below time frame which honestly ridiculous&#10;your package is&#10;on its way&#10;shipping historyhid"/>
        <s v="i am very satisfied with petflo customer service i had call make a change with special instructions before my delivery representative was able take care of that me promptly without any hesitation or any issues i would definitely order from them again"/>
        <s v="i will start by saying they always have what i need in stock which a huge plus my two main issues are longer shipping times last time i ordered i accidentally ordered wrong size can of food because picture was of a smaller can it was my fault but picture "/>
        <s v="high quality difficult find dog food at reasonable prices fast delivery with free shipping with minimum purchase of i believe current threshold been ordering fromms gold dry dog food from them years it always fresh genuine its only food i feed my lb dog h"/>
        <s v="i love petflow site very userfriendly customizable&#10;i dont like shopping their home delivery makes getting my pets food a breeze&#10;and they carry my preferred brands"/>
        <s v="i looked everywhere this particular hills science diet adult tender chicken dinner canned cat food yrsand you folks were only online business that carried this product my cat it arrived safely at my frontgate i live in a very rural area of southern califo"/>
        <s v="i have used pet flow foe about years they have any thing you want&#10;relative dogs deliver it quickly they can put you on a program delivery so you dont have call them they also can deliver other addresses if you happen be out of town a period they accuratel"/>
        <s v="they kept messing my order up double charged&#10;and one of phone operators was very aggravating"/>
        <s v="on my first order i ordered one small bag of dog food my dog has a few food allergies this was a new flavor so a pound bag would do upon arrival i always check expiration date on all food i order noticed this bag was about expire i wasnt comfortable feedi"/>
        <s v="shipping was not as quick as it said but once i called them they looked into it they made sure it went out that day"/>
        <s v="shipping fast dog food fresh"/>
        <s v="quite frankly my disappointment because i really didnt order this time my order was processed without me hitting accept button it was sent any way"/>
        <s v="i chatted with a rep see if petflow carried taste of wild wet food it was out of stock rep asked if id like email when product came in they emailed me it was in stock i ordered it it was delivered my dog a very happy pup now&#10;thank you your prompt service"/>
        <s v="had a difficult time find dog food found it here quick delivery"/>
        <s v="you charged me prescription cat food non prescription cat food but only delivered nonprescription cat food"/>
        <s v="one of few sites that has fromm dog food quick free delivery i also like your give back pet community policy"/>
        <s v="fair prices very fast free shipping i will shop here again"/>
        <s v="fair prices fast shipping large assortment of products"/>
        <s v="i ordered a prescription dog food that was listed as available then wasted time attention coordinating with our busy veterinarian was never advised item was on back order had reach out company find out dog food hadnt been sent"/>
        <s v="easy online ordering usually has what i need but doesnt ship as fast as other companies"/>
        <s v="it has been almost two weeks i have not received my order i called inquire where it might bei was told call fed ex folks at fed ex told me they couldnt deliver my package because road was muddyalthough mail has been delivered every daythe school bus has r"/>
        <s v="ordered two items but only one was available real time inventory indicate whether stock available purchase would help customer"/>
        <s v="great selection great prices great service"/>
        <s v="i am unable cancel my automatic shipment why it so difficult"/>
        <s v="i was able purchase cat food here that i couldnt find anywhere else delivery was quick"/>
        <s v="my order did not arrive on time my puppy was getting low on food but their customer service was friendly willing do whatever make it right i appreciate customer service how easy it was connect with someone through text explain issue"/>
        <s v="canned cat food i ordered from petflow was out of stock at other major online pet supply retailers extended periods of time this special food was less expensive at petflow arrived quick my order was packed in a sturdy box with adequate packing material ca"/>
        <s v="i have been trusting my pets needs petflow several years now my food on auto delivery can be changed as needed with no problems customer service has been excellent i have had a small issue here there they take care of it right away i also use petflow send"/>
        <s v="right in time delivery fresh food my gsp thanks yall"/>
        <s v="good company deal with"/>
        <s v="great user friendly site delivery has been fairly quick too i appreciate auto order program"/>
        <s v="i placed my order my dogs kibble it arrived in days amazing so happy with petflow"/>
        <s v="petflow makes it easy use their autoship easily change datesthey let you know when its getting ready so you can speed it up or slow it down dog food prices are very competitive plus its delivered my door"/>
        <s v="excellent service quick delivery"/>
        <s v="i received wrong size canned dog food they could not help"/>
        <s v="do not buy first order wrong canned food then didnt have inventory send correct food with no time line then requested refund after i returned wrong food next day them still one week later no refund"/>
        <s v="quick efficient delivery of prescription dog food that was out of stock at other online retailers petflow contacted my veterinarian right away approval after i placed my order very happy with customer service"/>
        <s v="excellent customer service lightning fast shipping fromms crunchy os are my dogs favorite treats i couldnt locate them while traveling on our rv i found petflow stocked up"/>
        <s v="excellent customer service amazing shipping thanks making it so easy order"/>
        <s v="great shipping"/>
        <s v="excellent service fast friendly"/>
        <s v="order was shipped quickly with no problems an easy smooth transaction"/>
        <s v="made switch from other options out there about months ago could not be more impressed from selection freshness of product speed of shipping that puts others shame not mention arriving very securely packed without dented cans that have become norm at amzn "/>
        <s v="i needed an addition my regular order it was taken care of efficiently expeditiously"/>
        <s v="ive been a customer of petflow years they are an excellent reliable company i rarely have an issue when i have its usually not on their end but more so on shipping delivery end nevertheless petflow customer service always makes it right"/>
        <s v="best company deal with unbelievable customer service"/>
        <s v="love buying from petflow prices are great shipping super fast am a repeat customer"/>
        <s v="great online store&#10;lots of products good prices&#10;and excellent customer service support team"/>
        <s v="i give one star because i never actually received dog food i ordered i placed an order prescription dog food received notice there was an issue with prescription so i called vet but was told issue was not on their end then petflow cancelled my order so i "/>
        <s v="i have a legged cat that was shot before i adopted him willie a special guy on a special diet i was running low several pet food outlets said they had none werent expecting get any maybe it was discontinued&#10;i should look a replacement&#10;i found pet flow onl"/>
        <s v="products have always been delivered on time website updatingcanceling orders has had glitches on several occasions"/>
        <s v="i thought it took long receive my order"/>
        <s v="hands down best price in bulk cow ears my dog a local shop wanted twice as much exact same product customer life here"/>
        <s v="i was looking a place that sold food i need my dogs at a good price i have found it"/>
        <s v="i have been trying find a prescription food my cat was delighted when petflows website said they had it in stock unfortunately it turns out that its probably not in stock website should be updated appropriately responses my emails were quick but were cann"/>
        <s v="easy navigate web site fast efficient online ordering delivery"/>
        <s v="shelves were bare cat food that i have been feeding my cat i couldnt find her food anywhere i called company that makes her food they were out too but i was told of a place call low behold they had her food so i bought a case it would be shipped asap we a"/>
        <s v="treats almost expired in a very recent order i purchased multiple bags of merrick dog treats i just realized they all expired already"/>
        <s v="no other supplier had this cat food my cat really needed it fast delivery service ill buy again"/>
        <s v="i am a returning customer pet flows prices their customers service are exceptional i will not shop anywhere else my doggie food"/>
        <s v="i couldnt find my yellow lab her food anywhere im used it being delivered on a regular basis my vet found you online let me know thanks you she has her regular diet"/>
        <s v="petflow provides delivers product as expected fourstar rating because of their return policy which stricter than other online pet sites"/>
        <s v="great customer service very fast delivery thanks"/>
        <s v="petflow has always come through on my orders delivery prompt only issue every so often delivery service a little rough with package but thats on them not petflow only once damage was excessive called petflow they took care of it"/>
        <s v="our cats require a prescription food petflow has always had it in stock when others have been out of stock a real life saver weve never had any issues with petflow"/>
        <s v="our order shipped so fast very happy with you"/>
        <s v="i ordered cases of canned dog food one case turned out be something different so i called petflow they gave me a credit wrong food&#10;i donated case a local animal shelter i was happy with their service"/>
        <s v="great price on right product when i needed help with order telephone help was easy effective with no wait time"/>
        <s v="petflow has products i want at a reasonable price delivery great"/>
        <s v="very hard find my dogs prescription food but you had it sent it me quickly thanks so much"/>
        <s v="i truly love all products my dog ginger loves them too you are an excellent company i really love doing business with you you are fast i have never&#10;had a problem with you thanks connie sower"/>
        <s v="great company work with provides excellent customer service"/>
        <s v="been very happy with price i pay my dog food good selection of other items my dog fast delivery"/>
        <s v="best customer service calls are actually answered quickly by humans that are always helpful resolve issues"/>
        <s v="my last order was supposed be canine caviar buffalo toothpick dog treats i was sent one in a box so i was short not first time that has happened either most frustrating part about this time was that when i called customer service they said they were going"/>
        <s v="vet approved im a vet"/>
        <s v="i never received my order told my credit card was not valid it was a good credit card there was nothing i could do correct any info so as a result i will not be using your website sorry i like convenience of shopping on line"/>
        <s v="entire process of getting my dogs prescription liver support dog food was quick easy"/>
        <s v="great prices fast shipping easy use website whats not love my new goto place everything my maltipoo puppy needs"/>
        <s v="your customer service team fast efficient respectful thank you hiring outstanding people"/>
        <s v="whenever ive contacted customer service they have always been very helpful so nice their pricing great shipping fast"/>
        <s v="i am very satisfied with petflow feed products i find this company dependable while trying keep costs within reason consumer i like convenience of many products available dogs as well as cats free shipping appreciated with prompt reliable service i find w"/>
        <s v="my order was accurate prompt a good competitive price so thankful we found you we will be reordering our sweet pups kitties"/>
        <s v="first shipment of dog food was good second shipment had wrong food shipped"/>
        <s v="they had what i was looking delivery was quick easy"/>
        <s v="love selection speedy delivery"/>
        <s v="i used amazon subscribe save years but in last couple of years it either not in stock or shipping takes days petflow has no supply issues ships immediately cheaper needless say i have switched both subscriptions petflow"/>
        <s v="my dog needed her prescription dog food my normal supplier had been out sometime i was in a panic reached out petflow explained situation how most pet suppliers were out of stock of hills id small bites food petflow reassured me that they has product in s"/>
        <s v="petflow never fails provide quick turnaround times has food thats best my dog their customer service folks are best"/>
        <s v="they have dog food i want at a price i like"/>
        <s v="ordered little stinker pads received in record time good price"/>
        <s v="fast ship&#10;great product line"/>
        <s v="i was excited find petflow i ordered my cat food on march it now april i have yet receive my order i am waiting hoping it will come soon"/>
        <s v="petflow had my hard find dog food in stock ordering was easy shipping was very fast days second time ive used them will continue do so in future"/>
        <s v="easy ordering quick delivery great customer service"/>
        <s v="i am pleased with ease of ordering ive found quick delivery on canned food but large bags of dry food usually take a lot longer receive"/>
        <s v="everything went very well&#10;thanks thst"/>
        <s v="although their losing me as a customer out of their control im unable give them a better review&#10;perhaps if their leadership would utilize a more reliable carrier than fedex theyd get my business back&#10;they do have excellent customer service i like fact the"/>
        <s v="ordered hills rx dog food item was shown as in stock with anticipated shipping date order was accepted days later i received an email stating food was out of stocki thought good was on its way it wasnt even in stock not a good experiencefirst last time i "/>
        <s v="excellent website that makes ordering pet products a snap especially repeat orders really appreciate fair prices reasonable shipping rates"/>
        <s v="web site shows product prescription pet food in stock we ordered it were charged called check on order told it will ship next monday several days later i get an email saying product out of stock my order being cancelled so now im a week closer running out"/>
        <s v="purchased a cat harness sizing was accurate quick delivery"/>
        <s v="i like great service with petflow alot time time again they have what i need my pup"/>
        <s v="all went well thank you"/>
        <s v="these ppl are so dumb dont bother with a third party place was with chewy five years never had a problem had switch these prescription food been with them months had call times in one wk bc they couldnt get anything right its not like i can get a prescrip"/>
        <s v="quick service company had product not available at other sites"/>
        <s v="petflow was only store i could find that had cat food i needed in stock their price was competitive they had free shipping case of food arrived right on time"/>
        <s v="fast shipping good communication"/>
        <s v="great quick service always reliable"/>
        <s v="excellent customer service i had a problem with one of items in my order but issue was quickly resolved i highly recommend pet flow"/>
        <s v="you showed oz cans in photo sent me oz cans&#10;very misleading"/>
        <s v="this company took my order prescription dog food sat on it over a week before canceling my order because it wasnt in stock by then my sick dog had run out of food i had order from somewhere else"/>
        <s v="not much add stars i had call them about my billing address they were great work with friendly attentive very helpful"/>
        <s v="i have only done set of purchases so far but am very pleased petflow had cat food that pretty much all other sites stores do not delivered as quickly as chewycom would have"/>
        <s v="petflow had our hills prescription food in stock shipped it us in j just a few dayschewy stopped stocking our food a while agothank you petflow"/>
        <s v="product in stock as needed always shipped promptly"/>
        <s v="we are elderly wonderful that heavy dog food bags are delivered our front door"/>
        <s v="you keep on accepting my order then you later say it out of stock why not refuse accept order that you do not have in stock"/>
        <s v="you asked so even though i know it horrid times expect our shipments to be filled because it was my dogs only source of food not be notified until shipment day you didnt have it wasnt what i would have expected notification so i could find it elsewhere ah"/>
        <s v="service was awesome wrote an email asking about my order it was not even an hour i heard a response i am a customer good now"/>
        <s v="i have a cat who has no teeth&#10;finding squeeze treats he likes has been a challenge&#10;my cat loves these treats&#10;plus they are healthy treats"/>
        <s v="good fast service good prices"/>
        <s v="im very satisfied with my order from petflow due product i ordered petflow had notify my pets veterinarian they did this quickly&#10;therefore i received my order within days&#10;i will definitely be ordering from them again"/>
        <s v="you had what we were searching everywhere unfortunately days afterwards quantity was cut in half stars a full order but only taking away a bag of rabbit cookies"/>
        <s v="horrible lack of communication with company warehouse i called was told i would receive a call back never did they had me counting on a shipment over a week canceled it days later due no product me find outi called them"/>
        <s v="excellent service of our favorite dog food fromm best food"/>
        <s v="website easy navigate great pricing orders ship out quicklyautoship makes it simple ensure ms hunter always has her favorite food in her bowl"/>
        <s v="glad i found you shipped order right away you made my dog very happy"/>
        <s v="my year old diabetic cat was out on a diet of royal canin pv diet absolutely no one had this food i found petflow while surfing web one night saw that they had food i needed i ordered food there was a bit of a delay with my prescription its readability bu"/>
        <s v="petflow awesome great customer service"/>
        <s v="fantastic customer service great prices fast shipping i am trying purchase less from large retails like you know who havent had any pet food or most pet supplies since finding petflow"/>
        <s v="dog wont eat food so stiff if wont come out of can"/>
        <s v="my second time buying my pet food at petflow what i like most possibilito buy two packs with a better price delivery free ok not fast but ok good know that it took days delivery than you need buy in advance"/>
        <s v="process order a prescription food ridiculous instructions on how handle prescription are incredibly unclear expected timeline of when your order will be delivered even more confusing i placed my order immediately emailed prescription almost a week late th"/>
        <s v="great service you had cat food i needed when every other place was out of stock prompt delivery thanks so much"/>
        <s v="availability of special diet fast friendly customer service"/>
        <s v="no problems quick efficient"/>
        <s v="great customer service always have products that i need when i need them thank you petflow"/>
        <s v="i have been ordering from petflow sometime now i truly love it its hard find certain brands like fromm from your local pet stores so i airways shop here did i mention shipping pretty fast i am happy customer"/>
        <s v="i was able find food my cat herehe has ibd can only eat certain foods these kind people give great service answered all my questions im very pleased with pet flows service"/>
        <s v="i buy crickets very often i got were dead usually always there are some dead but this time number was higher not good"/>
        <s v="very satisfied with my order i was notified when treats my dog eats were available they contacted her vets prescription information sent out immediately"/>
        <s v="ordered prescription food on a time crunch confided x with customer service it was ordered confirmed waiting ship then finally cancelled after a week horrible service"/>
        <s v="my dogs love buffalo treats great value service"/>
        <s v="they always have what my parrots need everything fairly priced"/>
        <s v="i was able connect with customer service about issues with my prescription they took care of it i received my cat food thank you"/>
        <s v="very user friendly process good variety of product reasonable prices love free shipping with orders over keep up great work"/>
        <s v="good products good service delivery"/>
        <s v="my dogs food was not available where i usually purchase it so i tried petflow they had food i received it next day i was so pleased find a company that stocks dog food i use sends it quickly efficiently i have since used petflow treats other doggie goodie"/>
        <s v="after being informed in th hour from another site that my auto ship dog food was not in stock order could not be filled i went pet flow site they had food i needed it arrived as promised i was very impressed grateful"/>
        <s v="first shipment was short contacted customer service via email a replacement item was shipped immediately great customer service"/>
        <s v="very happy you carry verus delivery quick&#10;thank you"/>
        <s v="petflow was fantastic food was in stock at a great price even though bigger companies did not have it claiming supply chain problems delivery was super speedy customer service prompt friendly highly recommend"/>
        <s v="i was relieved that petflow had urinary diet food my cat when other big name pet suppliers were sold out ordering ease timely shipping were other plus factors"/>
        <s v="my vet recommended this website my prescription cat food i enjoy fact that you can add promo codes when they arise online auto ship orders i am also able get my cat litter&#10;&#10;the only issue i have that petflow does not sell multicat tidycat breeze pee pads "/>
        <s v="have been a satisfied customer a while with pet flow&#10;more importantly our dog gets excited when his box with his favorite treats arrive&#10;pet flow has acceptable prices prompt service on their high quality products"/>
        <s v="they were fast with shipping awesome prices"/>
        <s v="i have never had wait so long an order from pet flow my poor cat has run out of his special diet food we have been waiting i order both canned dry food him his canned food in back order im disappointed on how long ive had wait my cats food"/>
        <s v="i do like pet flow as my go food delivery system sometimes products are a day or two late one of my deliveries actually contained two lb bags in one box which i was not happy with also i would appreciate some packing like paper or something cover dog food"/>
        <s v="fast shipping great price dog food we needed we couldnt be happier with transaction thanks petflow"/>
        <s v="i have purchased oxbow organic hay before oxbow a great company products were fine time it took get order out was fast however fedex lost first order not unusual customer service rep at your company was kind enough replace order i like your company but i "/>
        <s v="there obviously a shortage on royal canin cat food i called royal canaan they recommended this site so i ordered a case when they were filling my order they didnt have any so that was that and i still dont have any food ordered her i dont know whats going"/>
        <s v="i have used pet flow years theyve always done a good job provided what i needed this time they didnt have what i needed they were a little late in letting me know but other than that i have no complaints"/>
        <s v="i placed my order prescription dog food on a sunday night received someone elses order on thursday called customer service advised of issue asked that they ship correct order at no charge with overnight delivery was told they wont ship overnight on friday"/>
        <s v="excellent service fast delivery"/>
        <s v="impressed dog food arrived in perfect condition in a box that fit bag something that doesnt happen with other companies"/>
        <s v="i love petflow great customer service fast reliable service great dog food my babies in great price&#10;im petflow customer since i became doggy mommy almost years ago my golden retrievers are doing amazing on farmina food"/>
        <s v="i adore petflow i love what company stands donations they make unfortunately they just dont have everything i buy my pets so i find myself going through other companies get them i would love see them grow though offer more what i can find or even find a r"/>
        <s v="good service although a bit slower than our other service which may have been due vet not responding promptly"/>
        <s v="this was my first time ordering with petflow i must say it was great it was a prescription food it was faster than ordering with chewy would highly recommend"/>
        <s v="had product my babies needed when everyone else was out fast easy checkout fast shipping"/>
        <s v="quickly received ill be back"/>
        <s v="great service had items i needed i love giving back needy animals"/>
        <s v="i get same dog food every time last time i ordered it took longer than expected receive it but this time it was tracked arrived earlier than expected totally satisfied"/>
        <s v="great service good prices"/>
        <s v="normally i am very happy with petflow with exception of some packaging missteps this time it just took too long get here but everything else was good not sure if that was due shipping issues country having now or if it was internal by shipping out later t"/>
        <s v="i received a substitute product that would not work in my household of pets i called immediately product i had ordered was sent me from a different warehouse"/>
        <s v="great deal with fast shipping highly recommend"/>
        <s v="fast shipping not a big selection of fish products but what they do carry have very good prices"/>
        <s v="all of my normal vendors were out of my babys food but i was able order via petflow it arrived within days thank you"/>
        <s v="i am very happy have found petflow i run a neonatal kitten rescue it vital i am able find same productsfood i use on a daily basis not being able find purchase certain foods critical some kittens i only leave one star off because of amount of time it take"/>
        <s v="petflow was only location i could find prescription food i needed my cat everybody else was out of stock it took business days get vet approval receive order longer than other vendors but at least they had what i needed overall pleased with this purchase"/>
        <s v="after i gave my credit card info counted on receiving shipment i was then told later on that it was out of stock"/>
        <s v="order process was great as wellas returns my dog food that i ordered came in a package all tore up delivery by fedex which i have issues with with other shipments from now on i will not be buying anything on line from companys that use fedex"/>
        <s v="waited months my cats favorite wet canned food come in finally got a notification that it was in would be shipped me i noticed address was incorrect old address so i corrected it after another week i got a notification that it would be delivered tomorrow "/>
        <s v="i just ordered from petflow first time had a great experience food i needed was in stock i was able get a discount as a firsttimer package arrived promptly i have no complaints"/>
        <s v="good selection prices delivery"/>
        <s v="love love petflow they had my cats food in stock when no another vendors have it shipping fast thanks again petflow keeping my cat happy"/>
        <s v="i was grateful find petflow because they were only company online or in store that had stock of my furboys prescription food as a pet parent i was panicking they handled contacting our vet prescription had food us within a week thank you petflow"/>
        <s v="well considering i only got part of my order nobody knew where rest of it went they had reissue it as well as it being prescription food first time ordering with company id say it didnt go well"/>
        <s v="had competitive prices with other online retailers customer service prompt pleasant when i called with a question fast shipping all as expected had products when other online retailers were out of stock"/>
        <s v="easy orderinglove getting discount really helps in this day time please continue offering more higher discounts customers will choose you every time shipping was quick great packaging thanks"/>
        <s v="great prices on fromm dog food fast delivery on a great product"/>
        <s v="i have shopped petflow years have always gotten accurate orders fast shipping very good pricesespecially with autoship"/>
        <s v="i didnt get flavor cat food i ordered its my cats favorite reason i ordered from you"/>
        <s v="i have ordered from them only a couple of times but i received good service a timely delivery"/>
        <s v="great service fast delivery"/>
        <s v="petflow shipments are always late will not be ordering from petflow anymore"/>
        <s v="always helpful customer service ive been with them more than ten years much easier than schlepping store every month buy their food i have five doggies"/>
        <s v="price reasonable slow on shipping several of cans were dented caved in so will check careful leaks before i feed my dogs"/>
        <s v="i love service its so quick every order always correct"/>
        <s v="petflow since they came online has been an important part of my supply chain&#10;reliable good prices helping animals&#10;thank you"/>
        <s v="petflow took care of my request shipped my order rapidly this was much apppreciated"/>
        <s v="great product fail on fedex ground delivery&#10;driver didnt delivery on first attempt drove past my house need address this"/>
        <s v="i was truly in a bind trying get prescription cat food fast my cat with a newly diagnosed urinary tract disease gentleman i spoke with over phone was compassionate toward my situation genuinely helpful in quickly getting my prescription verified by vet my"/>
        <s v="petflow has been excellent with every order i have placed i will continue use this company products"/>
        <s v="usually a this was only a as one of cans was dented"/>
        <s v="petflow carries brands of foods i use our cat guide puppy in training our guide dog school likes us use fromm family foods fromm made in usa fromm brand not carried by many stores or online shops auto ship helps me be sure not run out&#10;only negative i find"/>
        <s v="fast shipping new customer very happy autoship prices are very good"/>
        <s v="competitive pricing dependable shipping carries prescription food at better prices than vets office offers"/>
        <s v="first time using this business it was a very positive one i ordered a large bag of victor dog food it was delivered very quickly will use them again"/>
        <s v="very helpful extremely friendly"/>
        <s v="only place i can consistently find my dogs brand of food easy ordrr fast shipping prices are reasonable as well with autoship prices are even better"/>
        <s v="i purchased science diet wet puppy food my new puppy he refused eat it i contacted customer service by email explained my situation that same day i received notification that i was being refunded my purchase price&#10;that excellent customer service that stan"/>
        <s v="i purchased an item online said only two left i ordered two got an email next day they were our whats point of having an inventory notice online if its not accurate other orders are allowed product you just paid gir disappointing"/>
        <s v="horrible buying experience i will never buy it from you guys again"/>
        <s v="wow customer service fast genuine but this also a rare company that gives back in amazing ways sure they are smaller but thats where usually care happens thank you petflow"/>
        <s v="since there a shortage of my dogs prescription diet i called several times get information on deliveryevery time i had a helpful friendly employee on phonethey understood my concerns did everything possible helpmy pup got his food thanks petflow directly "/>
        <s v="i would give it stars except that flap doesnt quite close otherwise it a good door price that allows my year old great dane not have stoop as much as he goes through"/>
        <s v="easy order at a great price so impressed that i chose have a standing order our beautiful breezy"/>
        <s v="quick response time friendly customer service"/>
        <s v="i like that pet flow accurate with information they share with me options i have with my orders thats really important me id also like ask that dm food i get from now on be savory select cat food instead of pate which my cat wont eat thank you"/>
        <s v="happy with product however when i ordered it said it would ship immediately days later it finally shipped i needed dog food with that day delay it made me go purchase a smaller bag get me through"/>
        <s v="very easy online ordering pretty fast delivery im not able purchase fromm dog food where i live i actually found petflow on fromms website"/>
        <s v="very fast delivery"/>
        <s v="i ordered dog food on march th still waiting delivery its been almost two weeks my orders from pet flow in past have been delivered quickly"/>
        <s v="shipping takes too long but i can deal with that what unacceptable when you have items listed in stock when you really dont specially when it comes items that need a veterinarian prescription i dont care how big of a company you are thats why they have co"/>
        <s v="very easy order prompt delivery of product ordered"/>
        <s v="my order arrived in a timely manner beautifully packed with recyclable materials i received discounts that compare favorably other online pet suppliers i wanted order fromm products fromms familyowned company will only sell through certain companies that "/>
        <s v="pet flow was willing sell me a product they did not have in stock pet flow said that manufacturer hills science diet had pet food in their warehouse i telephoned hills science diet they also report not having purchased cat food in stock"/>
        <s v="in my last order dog food petflow order was first just later than expected when i called up customer service i was told that orders were piling up at petflow but that order would be given an expedited designation by customer service person day after that "/>
        <s v="best company ever ive used them years theyre dependable refund your money if your dog reacts badly a new food or treat etc or if a treat they sold has been recalled by its company which not petflows fault their prices are even lower than chewyi tell peopl"/>
        <s v="great service arrived quickly got exactly what i ordered"/>
        <s v="my dog loves this dog food it was very quick getting us thankyou"/>
        <s v="product almost always in stock good variety of brands my dogs use quick delivery but packaging always arrives damaged likely because its just too heavy"/>
        <s v="i ordered two bags of dog food it was delivered in a beat up box dropped feet from my covered porch in rain sure seller didnt leave it in rain but are responsible safe arrival of package my star rating because i contacted customer no service with photos o"/>
        <s v="ive been buying from petflow years im very happy with their products prices only issues i ever have with delivery companies constantly changing delivery date otherwise i love petflow"/>
        <s v="service was good efficient price seems a bit high pound bag of dog food was twice price i would have paid a pound bag at walmart but with transportation down would order again"/>
        <s v="petflow always comes through me no complaints"/>
        <s v="perfect timing get my prescription food my kitty"/>
        <s v="until now i have had no issues with petflow order food dog dog food delivered promptly&#10;&#10;this time i ordered dog food as usual have waited waited waited it be delivered three days after getting this request a review i have finally gotten an email stating t"/>
        <s v="this only place that has my dogs treats customer service has been great with changing a delivery date due weather checking on expiration dates"/>
        <s v="you got always what i need my pets more shipping always on time"/>
        <s v="super slow at shipping that makes me not use them often"/>
        <s v="excellent service delivery etc i love petflow"/>
        <s v="im so happy have found you you will have a customer life"/>
        <s v="my box was damaged along with contents inside i emailed explaining what happened was not satisfied with customer service will never be ordering from petflow again will tell everyone i know not horrific"/>
        <s v="fast excellent service"/>
        <s v="good prices fast delivery i will continue order from you all recommend your site"/>
        <s v="i placed my order then called tomake sure that product was in stock i was told product i wanted oz can was not available but they would change it oz cans i told gentleman that it wasnt my first choice but if he promises thatthe product was available then "/>
        <s v="i love petflow shipping fast customer service great i especially love fact that they feed shelter animals every time you make a purchase"/>
        <s v="excellent service dependable"/>
        <s v="we are very happy with petflow they always have exactly what we need we receive all products in a timely manner"/>
        <s v="with petflow i have been able find good quality pet supplies at exceptional prices i usually receive my order next day i have no complaints"/>
        <s v="i contacted petflow about getting food my dog representative had information already on file was extremely helpful she notified me of automatic refills i received food after three days very efficient i would recommend this company all my friends dog owner"/>
        <s v="product was great but delivery took days long premium price"/>
        <s v="you usually deliver quite quickly but this took a week in addition there was just one sheet of brown paper many of cans were dented"/>
        <s v="real quick in shipment correct itemresonable price"/>
        <s v="ive always had good experiences with pet flow but last order had some issues a bag of dry dog food had a hole in it some of cans were dented pretty badly well i contacted their customer service they sent out a completely new order free so they really made"/>
        <s v="times i have ordered from your company each time shipping has not been what was stated it has each time shipped later than stated ship date when i would inquire there would be excuses your prices are same as competitors but their shipping much more reliab"/>
        <s v="petflow folks are always helpful great products my animal kids thank you"/>
        <s v="would not accept a copy of prescription medications wanted it mailed caused further delays other online firms dont require this"/>
        <s v="i am very pleased with petflow pet food i was needing was not in stock at a local big box store that normally has best price petflow had it in stock smaller poundage however with their off first autoship orders i was able get more pounds at a cheaper cost"/>
        <s v="had products i wanted received items quickly"/>
        <s v="timely delivery had my cats prescription food when other vendors did not"/>
        <s v="i did not hear from pet flow quickly that they could not fill my order of specific dietary cat food but they cancelled my order i believe will not show on my credit card i understand there shortage of pet food right now but their website said in stock&#10;&#10;go"/>
        <s v="i ordered a food which my pets really need since it prescribed it was out of stock but i wasnt told promptly i had contact support learn they were out planned cancel my order days later"/>
        <s v="great products fast shipping"/>
        <s v="excellent product quality very professional customer service prompt delivery"/>
        <s v="i love petflow they feature my dogs brand of food which he has eaten since birth fromm as well as a good selection of treats toys ordering a breeze online deliveries are prompt even with all delays in supply chain delivery services thoughtfully packed thi"/>
        <s v="my dog was given dry dog food canned dog food pet flow dog food all at same time he rooted around until he found pet flow that always his first choice he loves it"/>
        <s v="outstanding company with great service prices fast shipping"/>
        <s v="they always seem have our dogs food whereas as certain stores rarely do im continuously told that its all due covid which im sick of hearing yet petflow always comes through which why ill continue purchase our dogs food through them dependable punctual wi"/>
        <s v="i feel that if you sent prescription authorization all bags of food my vet they would of be authorized by sending over a script bags then another remainder bags caused a problem script was denied being a duplicate"/>
        <s v="my products were delivered in a timely fashion no damage any of cans"/>
        <s v="great deal kept me apprised of status arrived as promised"/>
        <s v="i have been a customer of perflow years always happy with products they carry their customer service department"/>
        <s v="i was waiting my order on shipped on delay in arizona delay in san diego delivered on i dont know delay problem&#10;felipe lopez"/>
        <s v="website ease use service has been good prices reasonable"/>
        <s v="excellent prices fast shipping thank you"/>
        <s v="received fast shipping on product prompt courteous customer service from petflow reps"/>
        <s v="petflow had food that i needed my dog in stock less than hrs of placing order my vet sent in script food arrived within days int was great ti be able find food that was hard find on other sites"/>
        <s v="excellent customer service great fast shipping very pleased"/>
        <s v="we have used petflow dog food purchases about a year everything about service was great however my low rating based on customer service interface on their website i discovered i can buy product cheaper locally tried cancel my autoship order when clicking "/>
        <s v="beef pizzle steer bully sticks dog treats gave both of my shih tzus terrible diarrhea i only gave them a small piece"/>
        <s v="i have ordered online convenience but your delivery company has made it inconvenient i am sorry but trying carry a large heavy box from my condo mailboxes my unit so it not stolen too difficult my daughter will pickup food at her local pet store bring it "/>
        <s v="easy order find items on your web site fast delivery friendly help"/>
        <s v="great prices dependable free shipping"/>
        <s v="my dog food arrived quickly was just what i ordered will use pedflow again thanks"/>
        <s v="i ordered an instock item which took two weeks receive then it was wrong item first last time ordering from this company"/>
        <s v="they had food when no one else did shipped it quickly happy customer"/>
        <s v="fast delivery of perfect puppy food my little baby going order some more puppy treats so glad offend you all"/>
        <s v="delivery a little slow i sent coupons you but they were never applied my account they should have been sent back me thats bad business"/>
        <s v="prices are comparable other sites but petflow offers coupons deals that keep bringing me back shop here shipping fast too"/>
        <s v="lid on my automatic dog feeder water combo was broke when i got it"/>
        <s v="it was easy place my order delivery was in a timely manner i will order again from petflow"/>
        <s v="with shortage of pet food currently challenging all pet owners i appreciate your quick shipping policies i realize that it hard keep stock on hand you certainly helped us secure supplies our cats thanks prompt service we look forward future purchases than"/>
        <s v="prompt when shipping items in stock not so prompt in communicating when items are back ordered website shows them still in stock i placed an order my vet approved february i checked on it february was advised wet food was cancelled because my vet turned i"/>
        <s v="packaging was poorly done on feed bags needs send in stronger boxes"/>
        <s v="everything arrived in good shape happy with my purchase"/>
        <s v="great products fast delivery recipe success"/>
        <s v="it helpful have pet food delivered pet flow gets my order correct it comes on time thanks"/>
        <s v="thanks having food i wanted when no one else did quick delivery too"/>
        <s v="always reliable stock fast shipping"/>
        <s v="my order was shipped fast well packed&#10;it was here in a timely manner very pleased with transaction will buy from again h"/>
        <s v="shipping too long items arent shipped together"/>
        <s v="great first time buyer experience delivered in a timely manner in good condition"/>
        <s v="great customer service easy online ordering prompt action delivery thanks petflow"/>
        <s v="years i have been happy with petflow"/>
        <s v="petflow prices are very competitive their shipping speed excellent i had a question once received a reply within minutes not hours or days like some other companies very pleased with petflow"/>
        <s v="what a great company fast shipping great products when i searched many sites my cats favorite brand with no luck i found petflow very happy i did would highly recommend"/>
        <s v="some cans were damaged dented it would be good if products are in good shape prior shipping"/>
        <s v="i was so impressed package was delivered within just a couple of days impeccable execution"/>
        <s v="not happy back order food reordered delivered without discount thinking about switching chewy"/>
        <s v="hard give a review when i havent received my order yet because it has been delayed times i know that times are hard a lot of companies so im going keep my fingers crossed hope cat food gets here before our cats eat us"/>
        <s v="quality dog food good prices fast delivery"/>
        <s v="they always have what i need in stock at reasonable prices i usually receive my order within a week great customer service too"/>
        <s v="love it great place shop"/>
        <s v="every time i reach out petflow they resolve an issue almost instantaneously my cat food cans came completely dented partially opened they replaced all of them quickly my off coupon didnt go through they credited it immediately their customer service best"/>
        <s v="cat food i bought help my cat lose weight inferior purina products in every measurable metric these varieties contain ingredients that should never be fed a cat"/>
        <s v="great service great quality great prices"/>
        <s v="instinct dog food great howeer fedex shipping sucks package sat on truck days being listed as out delivery as common occurrence i would order from petflow more if they did not use fedex"/>
        <s v="when i order my food always delivered very quickly without any delay or problem we have been getting our two dogs food from petflow years now are very happy with service we have received"/>
        <s v="i really enjoy petflow you have all dog food products i need its delivered in a very timely fashion"/>
        <s v="i wish you could get expiration dates on products before they ship especially on auto ships"/>
        <s v="as a new customer with cats a feral family of cats ive been pleased with product selection timely shipping thanks"/>
        <s v="my first order it was easy arrived quickly"/>
        <s v="great customer service over phone as i was concerned about being out of food they were receptive put order as a stat order"/>
        <s v="very happy with delivery process how fast it arrived"/>
        <s v="a year ago i would have given you five stars but in last two months or maybe three you have not been able deliver kind of pet food my dog eats honest kitchen turkey or chicken last time i ordered stellas beef you sent only a very small package&#10;&#10;i havent r"/>
        <s v="i am very satisfied fast delivery discounts"/>
        <s v="great prices communication follow up always a pleasure do business with"/>
        <s v="thank you so much getting charles his food so quickly hes had pancreatitis almost a year which means he on a very strict diet of prescription foods only i order on monday you have charles his food by thursday friday at latest thank you once again"/>
        <s v="easy place an order quick timely delivery"/>
        <s v="fast easy helpful customer service great products"/>
        <s v="fast delivery quality product damage that required disposal of some product but unclear if result of shipper or not"/>
        <s v="appreciated quick turnover delivery of y prescription dog food good communication about timing"/>
        <s v="i like decent prices fast delivery however every package arrives damaged everytime contents are often damaged too they would get a higher rating if that remedied"/>
        <s v="last three shipments it ran into several issues&#10;for various reasons my shipments were delayed&#10;i no longer can rely on fact that my dogs food will be delivered in a timely manner&#10;i am looking into over options"/>
        <s v="great selection received everything quickly on time as ordered"/>
        <s v="two months in a row they messed my orders up so bad i had too buy dog food get them through until delivery it caused my dogs upset tummies loose poo itching doesnt make them or me very happy&#10;&#10;i have had issues before but this last time i do not recommend "/>
        <s v="got prescription promptly after poor start now all well good service fixing early problem"/>
        <s v="i cannot give a review as yet because my product has been back ordered some time i am a first time purchaser at pet flow found website be easy navigate i browsed through site found so many good products products i will definitely use my husky on a prescri"/>
        <s v="great service fast shipping"/>
        <s v="i was pleasantly surprised at how quick i received it"/>
        <s v="i love ordering from petflow all my pets needs dog food cat food treats anything else that my pets need i love that they are a small business they have great customer service always keep everything i order fresh i have been buying from petflow so many yea"/>
        <s v="petflow had what i was looking at a good price shipping was fast"/>
        <s v="it took way too long receive my order chewy does a much better job"/>
        <s v="we received our order on time free delivery was convenient"/>
        <s v="i love petflow easy ordering quick delivery never any issues at all so glad i found this company"/>
        <s v="love pet flow have used them over a decade highly recommend any customer service calls are quickly resolved but i have only had whole time"/>
        <s v="customer years pet flow our favorite dog food center"/>
        <s v="price fair delivery was quick"/>
        <s v="prices are good shipping was quick i was kept up date from order confirmation through delivery notification"/>
        <s v="we our cats loved all toys we selected they arrived safely and&#10;in a good amount of shipping time will order more in future"/>
        <s v="ive ordered twice in last couple of weeks prescription cat food nexguard both times they reached out my vet in a timely manner i received my orders within a few days&#10;will definitely use them again"/>
        <s v="good prices fast shipping"/>
        <s v="petflow maintains a huge assortment of animal foods provides prompt shipment"/>
        <s v="was told shipment would arrive in days was told on fifth day being delivered between am or pm didnt arrive until days later no one worked over weekend assist me&#10;&#10;good prices bad info order well in advance of day needed"/>
        <s v="i changed my address weeks before moving in november placed an order weeks after move my food was still delivered wrong address customer service never fixed it placed another order in feb it was also delivered wrong address customer svc finally gave me a "/>
        <s v="pet flow did everything correctly fedex lies claims they deliver packages when they do not"/>
        <s v="i feed a very good high quality dog food i live in a small town unfortunately little store where i purchased my dogs food stopped selling all pet products i was going have drive minutes each way another city get dog food a friend in dog rescue world told "/>
        <s v="good selection prices during a difficult time but i was disappointed that two items i ordered turned out be out of stock but that was not indicated at time i placed order i only found out later when instock items were shipped as a result i missed out on c"/>
        <s v="petflow great they consistently have my pups dog food in stock as well as some cool toys"/>
        <s v="everything wonderful except fact that its difficult cancel reoccurring orders this shouldnt be made into such a hassle that i have call that be done"/>
        <s v="happy i made switch&#10;&#10;i recently switch from a competitor petflow all my daily pet needs i made this switch because their prices were simply better lower than leading competitor same or similar products delivery service as good if not better that my previo"/>
        <s v="no problem with company but will only ship with fedex fedex lost my package so never received my order from petflow what i ordered has been on backorder ever since"/>
        <s v="bought a case of cat food from petflow as chewy was out of stock at time product did not ship over a week at end of week i cancelled order emailed customer support which confirmed order would be cancelled two weeks later my account charged ordered that wa"/>
        <s v="my order arrived on time in great condition my pup loves her new food"/>
        <s v="super easy shipping processing experience they contact vet directly deliver incredibly quickly"/>
        <s v="treats were shipped really fast was a better price service compared amazon"/>
        <s v="fast delivery especially good heavy stuff i just wish there was a wider variety of cat treats toys dental treat that i wanted get was sold out its been sold out a while hope its restocked soon"/>
        <s v="ease of ordering how fast my order arrived was awesome"/>
        <s v="i had best girl with customer service who was able secure a nice discount our auto ship order thank you"/>
        <s v="system has twice now changed my auto delivery date a year in future making it impossible me correct it online schedule an immediate delivery because i am only allowed select a delivery date after last delivery which according their system was months from "/>
        <s v="placed my first order with petflow had a issue locating my order details i contacted petflow customer service received a a response within hours that resolved my issue very impressed with their response my questions received my order on time would purchas"/>
        <s v="i love petflows selection mission please try have your shipping times better reflect how long it will take with supply chain issues it would be better say a package will arrive later be happily surprised if it arrives early vs saying it will arrive early "/>
        <s v="petflows shipping was quick efficient i love that my order helping others in need im glad that my pets food supplements are available through pet flow only thing i ask add merrick canned dog food with healthy grains"/>
        <s v="i had a problem their customer service rectified problem&#10;very pleased with how it was handled"/>
        <s v="fast shipping product arrives in great shape no holes or banged up boxes auto ship flexible ways edit great notifications shipping arrival always fresh food with good dates"/>
        <s v="most of representatives i spoketexted with were wonderful i was disappointed because while waiting prescription dog food ship i was given a few different responses depending on who answered petflow customer service line&#10;but now i received what was needed "/>
        <s v="took a little longer than estimated it ship but thats probably manufacturer availability being what it right now pet food i am extremely happy have found another resource prescription kibble fast handling shipping when ready"/>
        <s v="pet flow order came even faster than expected"/>
        <s v="i ordered prescription science diet cd canned food it arrived on time this first time i ordered from petflow i hope order from them later intime"/>
        <s v="my cat winnie loves nutro wet cat food i was able find wet food winnie loves petflow sent it right out us quickly i am happy i found petflow"/>
        <s v="food shipped quickly every time communication excellent wish theyd get rid of one button in checkout that makes you check just ship once every time"/>
        <s v="i have relied upon petflow hard find foods even from online sources their product delivery fast reliable their website efficient easy maneuver no problems have cropped up as happens sometimes on amazon i have always been pleased with my experiences with p"/>
        <s v="pet flow was only place that had prescription food i needed&#10;they were very helpful by making my order a critical ship so that i would have food in time my pet be boarded"/>
        <s v="i have been shopping at petflow am very pleased with their products price service they are prompt on shipping keep you informed if there are any issues with your order my dogs love bones beef tendons"/>
        <s v="never received what i ordered days later they told me it was ever in stock i will never order again from this loser company"/>
        <s v="i appreciated being informed that you were out of an item i was refunded promptly i had ordered take advantage of free shipping i inquired if i was going be charged shipping on one item it took some time verify that i wouldnt be charged thank you but i wa"/>
        <s v="no complaints &#10;i got what i wanted it came soon"/>
        <s v="this company stinks i ordered enough get free shipping then they email me say they do not have dog feeder that was entire reason purchase so i ask them cancel it it was already shipped so i ask can i return it they said yes sent me shipping label then sai"/>
        <s v="i ordered prescription cat food said it was in stock but it wasnt after waiting shipping confirmation that never cae after several emails i was informed that you canceled my order"/>
        <s v="petflow needs some serious work on its autoship program i am supposed get a shipment of dog food every three weeks my autoship records show my last shipped my next ship date considering this only february your autoship program needs some serious work"/>
        <s v="you provided excellent service my order was shipped when i was told it was complete i will definitely be reordering thank you"/>
        <s v="fast easy ordering my dog loves food"/>
        <s v="petflow a wonderful place get everything your furbaby their prices stock are superb they ship immediately im so glad i found them"/>
        <s v="weve ordered from this company many times have only had one issue which was out of their control canned food arrived badly dented but pet flow immediately issued us a replacement other than that their delivery service fast good i would recommend this comp"/>
        <s v="i reached out customer support they responded very quickly were very helpful easy work with"/>
        <s v="i have not received my order have not heard back from petflow"/>
        <s v="you had prescription food i needed when no one else did thank you"/>
        <s v="i texted petflow with an issue i was having with my account they contacted me shortly afterwards asked my email address associated with my account fixed issue within minutes associate who helped me was polite informative a pleasure communicate with about "/>
        <s v="shipment was much faster than chewy within my own state whose ship center only maybe an hour away from where i live thank you as i had ran out of food my dogs this shipment was well packaged super fast"/>
        <s v="i adopted a special needs cat we rely on hills prescription diet digestive care canned food he came me with a can supply it works really well him maintain his weight keep his tummy happy its only food he can eat without it coming back up if you know what "/>
        <s v="on time when product available"/>
        <s v="great product but i knew that glad i could get it deliveredseemed almost twice as expensive as my local source"/>
        <s v="great shoplow pricefast delivery"/>
        <s v="no issues order was received quickly except bengals shirt wasnt in time game but understand it"/>
        <s v="great deals on dog food with quick delivery"/>
        <s v="this was my first order was pleased with entire experience&#10;looking forward ordering when i need food again"/>
        <s v="i ordered van ness medium crock heavyweight dishes dishes were delivered in a timely manor in excellent condition price was outstanding we are very happy with petflow will order again"/>
        <s v="was disappointed in how long it took my order get here"/>
        <s v="petflow was efficient with excellent customer service will continue order from this fabulous pet source"/>
        <s v="my order never arrived fed ex said it did but there no pound box of dog food anywhere"/>
        <s v="by requiring our vet set up an account with your company you made it impossible purchase our cats prescription diet so we went with another company that easily connected with our vet got job done your customer service was friendly easy communicate with"/>
        <s v="i have had my dog food delivered by petflow several years all was good until last mo of my orders were delayed point of having go a retail store purchase dog food on occasions one order was days late thankfully as of things are looking upknock on wood hap"/>
        <s v="very angry with you because i could not buy food my puppy since you asked veterinary clinic a code in mail that you sent they did not know what code was i hope that in future you will cause fewer problems help more"/>
        <s v="pet flow never disappoints me or my fur babies my orders are sent quickly always correct rarely do i have call customer service only if i need make a change my auto orders i am a very loyal customer dont plan on changing"/>
        <s v="easy ordering quick delivery makes it so easy thank you"/>
        <s v="i ordered a product&#10;&#10;there was some type of glitch in my credit card process&#10;waited waited delivery&#10;&#10;finally called then was told of issue&#10;&#10;no email&#10;no notifications&#10;&#10;just left in dark&#10;&#10;i ran out of dog food my dog while at my home in new hampshire&#10;had dr"/>
        <s v="this was my first order with petflow they had product in stock that i couldnt find elsewhere they shipped fast very pleased"/>
        <s v="with problems today about getting pet food it reassuring me that when i order food my cat or dog it never out of stock well done thank you"/>
        <s v="site shows in stock when in fact it not&#10;when you call customer service they tell you it was just purchased its now unavailable&#10;yet a few days now weeks later it still shows it in stock&#10;this place cannot be trusted"/>
        <s v="ill have an opinion when i confirm new bag my dogs food came in more often than not bags are slicedripped open slipping in box theyre delivered in resulting in having get a new bag which costs your company more money your staff needs get with program its "/>
        <s v="use a different shipping company took days get me"/>
        <s v="my cat had emergency surgery bladder stones i had immediately switch his food everything was prescription level i couldnt find it anywhere locally this happened over weekend price from pet flow was among lowest i could find if not exact same as competitor"/>
        <s v="shipment was packed best that i have seen no bent cans package was far better than other vendors that i have bought from"/>
        <s v="i have been using auto ship with this company quite sometime have liked product my dogs recently tho food we choose has been out of stock this disappointing hopefully this will be in stock again soon"/>
        <s v="my papillons love fromm duck veg i mixed it with their old dry food they would sit pick out fromm duck"/>
        <s v="order was filled as promised i ordered aquarium supplies gravel lighting arrived as ordered shipping was a little slow but there were delays due weather from fedex new jersey warehouse was out of one of items i ordered but quickly filled order via las veg"/>
        <s v="petflow provides everything i need my senior dog nora prices are competitive items are in stock quick delivery outstanding customer service we are happy loyal customers"/>
        <s v="i ordered cat food&#10;the order didnt go through petflow said that vet didnt think they were a reputable vendor&#10;never heard that before"/>
        <s v="have been using petflow years&#10;&#10;love price free delivery phone staff are always friendly products are what i want my furrbabbies usually get them a toy great selection"/>
        <s v="website listed my cats prescription cat food as available so i ordered it several days later i receive notice that it out of stock so now my cat has go a few days without her prescription cat food this was my first time using your company it will most lik"/>
        <s v="very nice company work with"/>
        <s v="i was very pleased with order that i received how promptly it was delivered i certainly recommend this company your pets food ordering online was very simple id say i received my shipment within maybe less than a week after i placed order theyre a pleasur"/>
        <s v="available inventory good pricing made this go choice feed my pets"/>
        <s v="i like shopping at petflow have been doing it over years like ordering nutrisource dog food since they are probably only ones that carry it online lately ive been taking advantage of their discount on nutrisource but on negative side my last bag came with"/>
        <s v="you had my hard find food&#10;i like your tracking method&#10;arrived timely"/>
        <s v="lady who took my order was very professional knowledgeable helpful caring she placed my order fast without any trouble great experience"/>
        <s v="one thing about petflow they just get it done you order your product you get instant verification confirmation your email then when shipped you get tracking number along with any updates from carrier that might come up this main reason i use them above an"/>
        <s v="i shopped online royal canin digest sensitive cat food your website showed you had it in stock i placed orders each cans within minutes of your website updating that it had stock your email confirmation stated that first order would ship out same day seco"/>
        <s v="great company product arrived quickly not damaged i am a very happy customer"/>
        <s v="very fast accurate delivery&#10;thank you"/>
        <s v="good price quick delivery good product"/>
        <s v="they have food i want my dogs it arrives quickly"/>
        <s v="i just want share a wow from petflow i received collar i purchased but release button was so difficult open that i called ask if easier just buy a new one or replace it first guy was sooo nice he said no thats fine we will ship you a new one just throw ou"/>
        <s v="everything always prefect packaging shipping great"/>
        <s v="love petflow they have fromm brand i want which hard find delivery&#10;&#10;i sometimes wish packages would come quicker but last delivery was faster than previous&#10;&#10;good prices easy checkout process like that they save previous orders i dont do automated because "/>
        <s v="my first time using g pet flow very pleasant experience"/>
        <s v="have a good product selectionprompt delivery give discounts long time customers thanks"/>
        <s v="transaction was perfect ordering was easy shipping handling was completed in a timely manor order was received as ordered henry was thrilled with a new ball pleasant surprise"/>
        <s v="excellent service arrived quickly very healthy dog food"/>
        <s v="excellent shipping excellent packaging competitive prices easy ordering"/>
        <s v="they have a great selection of foods i love that they help pets in need they offer rewards referrals"/>
        <s v="excellent source my sweet frenchies needs wonderful customer service they very quickly replaced cases of canned fromms that were damaged in shipping i enjoy looking thru site find special treats maybe another toy"/>
        <s v="petflow had brand of dog food i needed it arrived in days your online ordering was quick efficient keep up great service"/>
        <s v="wonderful company shipping time was super fast customer service team was very helpful i had an issue with my order when i called customer service they were quick help solve issue i have never used petflow before but i will stick with them going forward"/>
        <s v="excellent transaction"/>
        <s v="your company sucks im never buying any thing from you again"/>
        <s v="cat food in stock quick shipping everything in good shape"/>
        <s v="i am very happy with my order from petflow i found cat food on their site that i was unable find any where else it was shipped quickly great place shop pets"/>
        <s v="super fast shipping easy deal with processed my dogs prescription food fast with a straightforward process switched from chewy who were awful deal with"/>
        <s v="i have had a very hard time finding taste of wild wet dog food anywhere my dog pet flow had it i ordered it they sent it right out their site was easy use ordering process was easy as well i will be using pet flow again"/>
        <s v="petflow has been charging me dog food they couldnt source they charged my credit card two bags of dog food but only delivered one i had call monthly get refund after showing them shipping weight did not equate bags but one i missed a few calls now theyve "/>
        <s v="pet flow doing an excellent job of coping with shipping issues generated by pandemic i appreciate that you keep me informed about my orders shipments as you deal with events that compact my order it enables me plan our pet needs thanks so much&#10;&#10;gunnys gra"/>
        <s v="all are ok thank you"/>
        <s v="i am so thrilled with fast delivery awesome service thank you great job"/>
        <s v="as a new customer petflow it worth nothing that their website prices delivery was outstanding exceeded my expectation thank you"/>
        <s v="excellent service price was right delivery was super fast"/>
        <s v="hello&#10;what a difficult experience ordered rx food a very sick kitten on january th then reached customer service on th enquire about timelines a local store was out of stock was running out of food kitten then was reassured that purchase would be shipped "/>
        <s v="freeze dried dog food if handled wrong will arrive as powder order arrived next day in excellent condition thank you"/>
        <s v="ive used petflow a number of years now have not been disappointed once even during crazy shipping times of covid their site easy shop they provide me with lots of flexibility when i need adjust my standing dog food shipment if youre looking a friendly alt"/>
        <s v="easily found dog food i wanted many other sites all local stores were out of royal canin yorkshire terrier loaf in sauce that both my daughter i feed our yorkies not only did you have it but delivery was exceptionally quick even ahead of your predicted da"/>
        <s v="finally found a store that has my preferred dog food in stock thanks your prompt service"/>
        <s v="wish you had a place where buyers could communicate with shippers upon purchase on where place packages shipper left package out on stairs in full view of potential thieves packages need be placed inside of my ft gate at front door&#10;&#10; several cans are dama"/>
        <s v="petflow online shopping a great way shop we live in a rural area not a lot of places shop at petflow i can get fromme pet food my pets eat healthy i also can get healthy treats my pets if not pet flow online i would be driving miles one way shop in stores"/>
        <s v="these tail wagers beef rib bones are so loved by my dogs but i am only allowed buy at a time which i dont like but they are way cheaper than publix which where i was buying them i will continue purchase because dogs love them but i may have found a replac"/>
        <s v="price was good shipping was good but one bag of rabbit food out of about identical bags in order was not rabbit food but hampster food their credit i did not pursue this or notify them of problem just wasnt worth my time i need things be correct first tim"/>
        <s v="repeat customer love them"/>
        <s v="it so nice have a reliable way get what i need my cat"/>
        <s v="first order didnt have any difficulties or problems"/>
        <s v="i ordered treats my fur babies i got a great price on them this was first time i had ordered got treats in a few days best service thank you"/>
        <s v="product was on time buy packaging was smashed you need strengthen you packaging"/>
        <s v="enjoyed prompt service will use them in future"/>
        <s v="im happy they had product i need that theyre willing do autoship only thing that i requested it be delivered by th now its going be five days late so i had go somewhere else pay full price in interim because they didnt ship at all in time period that i re"/>
        <s v="delivery always super fast much appreciated"/>
        <s v="prompt service competively priced"/>
        <s v="paid order only be refunded days later as it was not in stock though it not fault that dog food companies cannot get ingredients make food it petflows fault that food appears on website as being in stock when it not dont sell things you dont actually have"/>
        <s v="ordered products two were out of stock i contacted petfllow multiple times cancel two out of stock products one cancelled correctly but other already shipped so i received a off inconvenience discount on it then after all that two of same product was ship"/>
        <s v="i ordered prescription dog food it was listed in stock placed order sent in prescription email listed two days later got an email saying they were having difficulty getting prescription i sent it again they confirmed receiving it five days later no dog fo"/>
        <s v="local vets out of prescribed cat food could not find any anywhere on line either even with a popular well known pet supplier accidentally found pet flow they had food out cat needs they got prescription right away processed i sent it it arrived when we we"/>
        <s v="items shipped wrong twice customer service promised let me know if items were discontinued or if they were going replace them yet again never emailed or called back terrible customer support still havent been credited back my items"/>
        <s v="quick service n delivery"/>
        <s v="items arrived promptly im very pleased they offer bones made in usa which my dogs love"/>
        <s v="i would have preferred get my items a bit sooner as i have from other pet vendors i also wish i could get grain version of honest kitchens base mix i had go elsewhere do so"/>
        <s v="we started using pet flow a year ago order pet treatsour regular place was out of stock so i searched around found pet flowthey are better priced price doesnt go up down constantlysuper easy order but if you need callcustomer service greatthey also have a"/>
        <s v="i have macaw parrots so ae toys i ordered are same quality i have ordered years now from other companies price was reasonable shipping time very reasonable plus i paid no shipping costs will definitely order again in a couple months"/>
        <s v="very easy use very fast shipping thank you i will use you again my future orders"/>
        <s v="from start finish my order was handled with professional ease i will continue purchase from petflow"/>
        <s v="i ordered puppy food through petflow because it was only place beside amazon that i could get it i was getting a new puppy on tuesday i chose petflow because it said oneday shipping i didnt choose amazon because theres was twoday i needed it faster than t"/>
        <s v="i recently ordered pounds of kibble it was delivered quickly next day i found out my puppy had some dietary restrictions i contacted petflow they were very helpful i was able return unopened bag receive a full refund i am so impressed with this kind of cu"/>
        <s v="i have ordered from petflow almost years service prices are wonderful your staff so responsive knowledgeable best quality of products would never use anyone else im a true fan"/>
        <s v="right products delivered on a timely basis in good shape"/>
        <s v="reason why i did not give stars because its not vacuum sealed i guess easy stocking of product but it wont be fresh anymore who ever i charged of stocking product put a pin hole in each bag tell me if im wrong"/>
        <s v="very happy that what i need my dog in stock it ships in a timely manner&#10;thank you&#10;jean havens"/>
        <s v="i signed up automatic order find this dog food my dog would eat that according reviews was healthy friday january am est pet flow wrote order received order my order did not get a tracking order at first so i confirmed via email email was apologetic offer"/>
        <s v="i placed my order days ago i still have not been advised when it will be shipped"/>
        <s v="my order was canceled no one bothered tell me first time trying order not happy with this"/>
        <s v="i found petflow after searching high low royal canin pv wet cat food when company i usually buy from was out of stock due nature of situation with our cat it was very important we located this food thanks petflow their customer service they exceeded my ex"/>
        <s v="sent me wrong product twice in a row customer service was great in apologizing refunding my payment after two wrong shipments but i shouldnt have go through calling them twice a simple order i think they need educate their warehouse people wont be orderin"/>
        <s v="they carry fromm food our jack russell terriers love great website easy find what we want reorder function makes shopping easy orders ship quickly been using this site several years we are very happy using"/>
        <s v="absolute scam of a company twice now they have sent an autoship that i had paused charged me then when you call they want you do go ship it back them their mistake instead of sending someone pick it up&#10;&#10;also you cant cancel autoships on website you have p"/>
        <s v="i was running really low on my dog petes dry food&#10;i could not find royal canin adult bulldog food anywhere over last month even my automatic delivery sevice was out of stock&#10;i looked online petflow had it in stock yippee&#10;i ordered it with a discount it ar"/>
        <s v="ordered from pet flow first time my dogs food arrived quickly i got a great price on food wil be ordering again"/>
        <s v="i still havent received my product it was estimated days delivery we are almost weeks out no updates whatsoever"/>
        <s v="this was my first order with petflow one item arrived in days but other item still pending with zero communication if its out of stock as it in so many places just communicate that"/>
        <s v="i went online order my dogs prescription food it showed that it was in stock when i ordered it said that i would receive in about days when this date past i emailed response made no mention that it was out of stock days later i called was informed that it"/>
        <s v="order as expected on time prices great value"/>
        <s v="petflow was literally only source my dogs hills hypotreats which are on back order customer service was really helpful product was delivered on a timely basis with adequate followup"/>
        <s v="always get my order fast accurate"/>
        <s v="my experience overall has been very positive during past two years my order processed shipped within a reasonable timeframe it has been very convenient have heavy bags of dog food delivered my door petflow also helps me keep from having stop at pet store "/>
        <s v="fast shipping great pricesamazing customer service"/>
        <s v="website showed prescription food i needed as available quite some time since i placed my order i received my shipment of toys no food was delivered i called on status of prescription dog food was told i would get a response back did not i was told by repr"/>
        <s v="i had a problem with a shipment not being delivered petflow solved problem quickly kept me informed"/>
        <s v="i am so impressed with every stage in purchasing cat food i needed i set up auto purchase that gave me a discount but when i went check out they did not have enough send so i thought i would lose it no same deal they notified me every step of way made sur"/>
        <s v="always pleased with petflow been with them years"/>
        <s v="very fast shipping which really important all products i need are on this website"/>
        <s v="good food good delivered front door&#10;great service too"/>
        <s v="this was first time i ordered from pet flow they were really great i got my order within a few days will definitely order from them again"/>
        <s v="your service has been very good i will continue use your products"/>
        <s v="have been ordering from petflow more than years have never been disappointed with their service prices they keep you informed on progress of your order items arrive in a timely manor auto ship best service they offer"/>
        <s v="always very helpfulprofessionalunderstanding if you have a question or concern or if you need guidance on something willing match pricing more than likely do better than competition only down side they use fed ex who leaves package somewhere in vicinity o"/>
        <s v="i love this company i have always got what i need from them you should give them a try"/>
        <s v="i like that some of my auto ship order wasnt ready shipment you shipped each individual packages automatically without charging me a shipping fee even though contents of either package didnt meet cost requirement free shipping im so appreciative i didnt h"/>
        <s v="i have been ordering from petflow years now even have auto ship it works out great have recommended it friends"/>
        <s v="fast convenient delivery never a problem so much easier than shopping at pet or grocery store love petflow"/>
        <s v="always reliable with super fast shipping a lot of choices&#10;highly recommend"/>
        <s v="my experience with petflow has been all positive they care about there customers"/>
        <s v="this was my first order it arrived promptly petflow was only vendor that had item in stock i would will order from this vendor again very satisfied with them"/>
        <s v="food came in a timely manner"/>
        <s v="ordered dog food food was received in a timely manner never had a problem with petflow"/>
        <s v="ordered a veterinarian prescription diet my dog food was delivered promptly in days this was at a time when food was back ordered couldnt get it at many other places will now be using petflow as my main supplier been very happy with them"/>
        <s v="perfect every order"/>
        <s v="although there are supply issues customer service team excellent so helpful i also receive email letting me know they are still on top of my backorder when it comes in"/>
        <s v="i love pet flow shipping fast their prices cant be beat super cute products a great variety of dog treats"/>
        <s v="petflow not only had what i needed but also at a price that was lower than where i purchase locally my order came in a timely manner i received free shipping which i was very happy about"/>
        <s v="petflow has always been there wfull answers great delivery no bs about anything"/>
        <s v="petflow makes it easy me get a specialty dog food that i am unable get locally as i live in a rural area so far no damages any of my shipments delivery has been fast i also like how they have a variety of toys at reasonable prices"/>
        <s v="ive only used your company once so i cant give an honest opinion of pet flow&#10;what i can see that you should look at switching which company you ship with or at least give options of other shipping companies fedex horrible i used u use them at clinic i wor"/>
        <s v="this second ordered i placed with you i had hoped it was going be a lasting relationship sadly it not in first case i placed my order only part of order was shipped when it arrived i was notified that other item was out of stock this happened again recent"/>
        <s v="great website glad i found it as an alternative my usual my usual store was out of a specific food i was able find it here a good price"/>
        <s v="website order process were both easy shipping was efficient"/>
        <s v="better prices than chewy fast shipping thank you"/>
        <s v="first time buyer impressed by variety choices of products wonderful service"/>
        <s v="hi over a week told me food item was in stock would be shipped shortly called several times was told same story yesterday i was emailed a message that it was out of stock they would let me know when they had it in inventory that doesnt work when it food y"/>
        <s v="thank you kittys love theirs items"/>
        <s v="i phoned prior placing an order verify that my finicky cats food was in stock informed that it was three days later it still hadnt shipped when i phoned again ask when it would ship i was informed that it was out of stock&#10;&#10;i should have been notified of t"/>
        <s v="so glad i found petflow recently i moved another city state i was having a hard time finding food that my standard poodle had been eating i ordered from another company when i was getting low however weeks after my order i still had not received it i orde"/>
        <s v="i order a bag of fromm dog food process could not have been any smoother order came very quickly i would definitely order from petflow again"/>
        <s v="i couldnt find pet food i have been using in stock at all of my regular vendors so i tried petflow because they had it i have no complaints shipped arrived on time i was sent updates along way which i really appreciate"/>
        <s v="i ordered purina pro plan veterinary diet ha on it showed that it was in stock my prescription was verified but as of still has not shipped"/>
        <s v="placed order by phone on th was told order would ship either that evening or monday never received a shipping notice so i finally called on wednesday check on status was told by recording leave a message a rep would get back me no call just received an em"/>
        <s v="company carries great products quick respond with customer service if you wish cancel your auto ship it cumbersome but it does get done&#10;the biggest drawback that they use fedex as their shipper no other option fedex absolutely terrible their customer serv"/>
        <s v="your website customer reps have no idea if products you have are in stock&#10;i place order thinking you have food my pets then i get an email stating food on back order&#10;i need a more reliable company that has food in stock buy"/>
        <s v="when i order a prescription diet cat food it should not take phone calls get it shipped this not optional food that can be replaced with something else temporarily it something my cat needs live on my first phone call i was told authorization from my vet "/>
        <s v="this was my first time using pet flow i found site very east use package came earlier than expected with no problem in packaging they deserve a star"/>
        <s v="i got my exact order very quickly i was impressed because i buy online often it usually not what i ordered poor quality shipped in separate boxes andor late as all get out&#10;not petflow all nice quality good condition quick delivery in same box five stars"/>
        <s v="web site ordering autoship process terrible very clunky has caused problems with orders twice now most recently resulted in receiving double order of lbs of dog food charged different prices texted customer about this almost a week ago have not heard a wo"/>
        <s v="my last order had items that were out of stock therefore didnt make my monthly order i received communication regarding one item being shipped upon it being restocked but nd item was never acknowledged restocked nor substituted"/>
        <s v="easy order prices are comparable shipping right my door great ive had one order that was messed up i called customer service lady was very helpful professional quickly fixed my issue petflow fantastic only issue im having now backordered products but that"/>
        <s v="in a world where cat food an item on hard find list i googled where can i find discovered your website i am thankful you were able supply continue supply food my kitties love thank you"/>
        <s v="good selection easy shop a good price only thing i could ask a way check order status if its there i couldnt find it otherwise a very good first experience ill be back"/>
        <s v="so happy find yall be able order receive product a lot of places are out thank you"/>
        <s v="worst dont buy from them they screw everything up from spelling of my name my phone number not telling me they were out of something i paid it was an urgent order"/>
        <s v="pet service i usually use was out of cat food i needed you had it your service as good or better than what i usually use you were fast you kept me aware of its status you have a new customer im very pleased thank you"/>
        <s v="unfortunately my last ordered have taken over a week arrive last order apparently got stuck in system sat a week in order shipping status promoting a phone call resolve"/>
        <s v="plus with petflow that they carry fromm they dont price product more than anyone else maybe company controls that either way that plushowevershipping takes way too long that where chewey excels we are all in a hurry these days including me i look receive "/>
        <s v="very accommodating whenever i have change my auto order they have no problem changing date"/>
        <s v="horrible customer service repetitive delays in purchases buy with petflow made my life harder it lost good convenience that i previously had"/>
        <s v="petflow has most of items that i need my fur babies fast delivery good communication if something in my auto ship program isnt available their customer service best"/>
        <s v="received text stating it was being shipped that dayth six days later received another text stating was being shipped that dayth"/>
        <s v="i thought i was ordering small oz cans of dog food based on my item search photo results however unknown me oz cans were outofstock so order defaulted larger oz cans which what was shipped me these larger cans spoil before i can finish them as i have a sm"/>
        <s v="arrived quickly in good condition just what we needed especially when these are so hard find"/>
        <s v="out of my items were cracked packing was horrible even though i heard from someone finally today now your out of stock my items you did put money back on my card i really needed those items"/>
        <s v="love petflow been using them years"/>
        <s v="part of my order was defective i wrote tell them so i received a form letter of acknowledgement back but it took days an actual response item being replaced but has not yet shipped i think their customer service pretty poor"/>
        <s v="as soon as i gave him his first taste he wouldnt leave me alone after he ate lol what a great come back"/>
        <s v="great i initially got only two of four items i ordered but rest of items i ordered came next day"/>
        <s v="this was my first order from petflow but it wont be my last dog food that i needed was available website was easy navigate order arrived on time im a happy customer"/>
        <s v="this would be five stars customers service was fast friendly helpful i deducted stars because my order took so long arrivethis was i m sure due unforseen circumstances like our recent weathercovid such however i was told at time i placed my order that it "/>
        <s v="ordering dog food treats online works out great"/>
        <s v="packaging has improved lb bags i order are finally coming in proper sized boxes my last very large order bags were packed well tape helda first your customer service on phone was awesome luckily me because i find website very cumbersome when good savings "/>
        <s v="good selection of pet food easy order shipping fast"/>
        <s v="great service quick shipping ive been ordering fromm dog dog food over years from petflow have always been very satisfied with their service"/>
        <s v="my dog on a prescription dog food i couldnt find any i called petflow talked sweetest lady who helped me set up my order recurring so i dont have worry about it im sorry i cannot remember that ladys name but a big shout out her all her advice patience wit"/>
        <s v="i ordered a lb bag of dog food along with a lb of dog food when delivery day came i only received small bag so i called pet flow find out what happened seemed they ran out of my dogs food at nearest wearhouse had send it me from las vegas they had sent me"/>
        <s v="great on time delivery box contents in good condition"/>
        <s v="petflow tries very hard do what right i had a code off online it took discount then on receipt it was gone i left a message someone called me back he didnt question perc immediately took off congrats returning call giving no arguments it was refreshing"/>
        <s v="of my deliveries have had slashes in bag so i havent been able use food ive complained most times they sent me a new bag but very inconvenient"/>
        <s v="ordered nearly two weeks ago rx dog food status was always shipping had hound no pun them status finally just gave up cancelled order look elsewhere"/>
        <s v="great service prompt delivery"/>
        <s v="good selection reasonable shipping times always have trouble ordering"/>
        <s v="i was very happy with service from customer service"/>
        <s v="one reason i placed an order with this company was a specific item they listed on their web site i had order another very small item qualify free shipping so i did i was later informed main item was no longer in stock never had an option cancel other smal"/>
        <s v="was disappointed on my order item i ordered was out of stock replacement with something else without informing"/>
        <s v="i give one star only because wasnt an option i placed my order then get an email stating that product i ordered was unavailable in fact discontinued then i start getting emails saying my payment through paypal wouldnt authorizeworked fine everyone else bu"/>
        <s v="box was falling apart i cant imagine how delivery driver managed carry it porch fortunately bags of food are intact not&#10;damaged"/>
        <s v="excellent order on time i will order something soon thank you"/>
        <s v="i really loved my experience with petflow items i ordered were well packaged arrived in a timely manner&#10;i plan on continuing do business with them"/>
        <s v="fabulous website excellent customer support service"/>
        <s v="i placed my order on january did not receive my package until january i was expecting shipping be sooner i almost ran out of food my working dogs although i appreciate that petflow carries open farm i will not be ordering dr tims from petflow any longer w"/>
        <s v="excellent company i made a mistake had cancel an order it was no problem fast great service highly recommend"/>
        <s v="great company order products wanted since pet store where i normally gets them have quit handling these wonderful treats great service also"/>
        <s v="first order new puppy food that wasnt available locally process was easy delivery was on time packaged well will order again"/>
        <s v="horrible customer service i order food my dog they charged but didnt send it i called them a week later they said they didnt have it in stock meanwhile they charged it already they sent it later on without a hurry days later i havent received it yet i don"/>
        <s v="i spent a lot of time with my review so i will submit but beware you have accept certain terms conditions submit a review&#10;&#10;everything went fine a year a half our dog needs a prescription diet then last shipment they said order was submitted then a few day"/>
        <s v="accurate timely delivery&#10;&#10;thanks"/>
        <s v="ordered prescription cat food my vet approved prescription in one day waited a week with no delivery called customer service was told as soon as pharmacy warehouse sends it out ill get an email after waiting days with no email or food i canceled order bou"/>
        <s v="it has taken too long receive my order finally got one of items but cant even download shipping information other item i ordered prescription food my dog something i needed in a timely manner"/>
        <s v="always there answer questions help out"/>
        <s v="being told it was delivered it wasnt i di nt receive shipment until several days later this not acceptable"/>
        <s v="only received of rx cat food order placed in december &#10;no way check on line&#10;calls customer service have not resulted in any feedback as status"/>
        <s v="placed order being advised shipment would be made within days never received shipment called every few days continuously received same story be shipped within days now days later still have received nothing including an acknowledgement that cannot ship wh"/>
        <s v="excellent customer service patiently worked with me solve problem with order"/>
        <s v="generally timely professional service my major reason not buying everything through petflow your use of fedex ground deliver packages in this area north georgia fedex terrible most delivery packages in this area go through their austell ga facility austel"/>
        <s v="my order was fulfilled in two days without hiccups great prices products shipping"/>
        <s v="petflow only supplier i can get cat food my cat likes from i can get food he likes in bulk it at a good price he eats a can every day of one kind he very picky thanks being there"/>
        <s v="check your bank balances people if youre on autoship even if youre not check your bank balances food great my dog loves food no problems there i bought lb bags of this dog food first time on november so then a week later on december they had a off sale so"/>
        <s v="no problems with product but shipping was very slow allow or more days get your food from them"/>
        <s v="overall i love petflow but in this particular case where my autoship was delayed due outofstock conditions i feel i was not notified sufficiently quickly enough react as a result hills prescription cat food i had ran out i needed switch my girls temporari"/>
        <s v="they make it easy love how they call your vet prescription food fast deliveries"/>
        <s v="called petflow see if i could get meow mix they were very helpful and&#10;i ordered a multi pack box i received it right away everybody was very&#10;police nice will definitely use again"/>
        <s v="have ordered from petflow many have always had fast efficient service"/>
        <s v="my package was stolen they reached out provided me with a new bag at no cost"/>
        <s v="petflow helped me out in a pinch when other companies were out of my cats prescription food petflow came through me i really appreciate that as she older needs her special food"/>
        <s v="reasonable prices quick fulfilment delivery its always like this thanks"/>
        <s v="my order arrived incomplete it was downhill from there on i dont have time detail my problems trying get things straightened out i had been satisfied with my experiences with pet flow in past but this was a total mess"/>
        <s v="they could not deliver i called called received excuse after excuseended up cancelling my order order through amazon"/>
        <s v="my auto ship from petflow so easy use its easy add or remove products depending on what my animals need that month if i end up needing something extra i can order receive it quickly on rare occasions that something backordered i get excellent communicatio"/>
        <s v="have ordered my furkids prescription food several times your customer service has always been great"/>
        <s v="pet flow still carries brands i feed my dogs at fair prices some outlets dont have variety choices i find on pet flow"/>
        <s v="dog gates are sturdy shipped quickly great service"/>
        <s v="app difficult i tried cancel order it didnt work i am going stop pet flow auto matic orders they are difficult i had a double order time before too much trouble change m upotn"/>
        <s v="pet flow shipments are always ontime there sometimes a discount"/>
        <s v="great selection ordering was easy my order arrived quickly in good order my experience was very positive"/>
        <s v="products have been great with all limited choices due allergies i have been great full find what i need"/>
        <s v="i ordered dog treats from company my order was delivered within days through christmas holiday two bags came cracked i called they redelivered two more bags didnt charge customer service was really good it took no time get other two bags also i will defin"/>
        <s v="product delivered on time as promised quality excellent"/>
        <s v="not good service a lot of back forth useless waiting"/>
        <s v="i would usually leave stars but my pups dog food on several occasions has arrived late so in result ive had go stores buy same kibble"/>
        <s v="shipping dates are really slow which can be annoying thing you cannot get locally they always run days later than expected it seems when you have hungry parrots that can be an issue they also have a limited selection of foods dogs birds but what they do h"/>
        <s v="i placed my order thursday th asked by chat if saturday a business dayit isnt because warehouses that have supplies dont work weekends fine was told it would ship friday maybe fedex would deliver saturday but i would have it monday its shipping from nj ky"/>
        <s v="first time customer&#10;easy online ordering&#10;great price&#10;delivery prompt&#10;ill be sharing this company info without a doubt"/>
        <s v="my two kittens were recently prescribed a hydrolyzed protein diet because of pandemic food was next impossible find petflow had products that i needed quickly processed delivered my order im so grateful have found this site theyre amazing"/>
        <s v="still havent received my order this an awful experience will be my last"/>
        <s v="reliable excellent"/>
        <s v="order place has stalled on colorado from vegas on its way indiana tracking not being updated response time email a day or more behind"/>
        <s v="customer service top notch i love that i can message about my order in an email or text get a reply quickly great discount new customers a constant supply of my pets food thank you pet flow"/>
        <s v="i really like your products frequency of communication about a shipment my pets are happy too"/>
        <s v="pricing good i was kept informed of delayed shipment due weather will buy again"/>
        <s v="i was luckily find what i needed at a great orice shipping was fast because i met minimum i got free shipping will shop again"/>
        <s v="been with petflow going on years now they always help me if i need specialty food or just basic pet food so many choices treats too thank you meeting my expectations in each box i receive fan life&#10;&#10;denice"/>
        <s v="delivery was quick im very happy with red gravel red gravel hard find"/>
        <s v="discount on quality dog food&#10;is perfect"/>
        <s v="petflow falsely advertised a food as in stock then withheld funds they took from my account i was diligent thankfully but despite my best efforts it still took calls customer service get my money back each cs rep provided conflicting info with previous re"/>
        <s v="very fast service great deals on food i purchase"/>
        <s v="placed an order a prescription dog food on which your web site said was in stock which was a surprise because all other pet stores were out of stock received a confirmation with an order number pending charge on our credit card pending charge dropped off "/>
        <s v="would really like invoice included with shipment would alleviate one step in filing claims"/>
        <s v="great customer service an order was placed an item was missing i sent an email report it they sent item out immediately no questions asked will continue be a customer"/>
        <s v="easy order great price fast shipping"/>
        <s v="petflow came through when other trusted online pet food providers dropped ball even with order itself managing fedex they kept engaged until entire was completely fulfilled delivered service tough put a price tag on thx petflow"/>
        <s v="horrible communication useless customer service promised emails never received in stock item still not received after days new tracking number refers item already delivered not item still waiting this was my first last order"/>
        <s v="they have dog food i use but not cat food they are slower deliver than other sites"/>
        <s v="good fast service"/>
        <s v="pet flow staff have been knowledgeable polite able meet my needs every time i have called products carried are high quality competitively priced"/>
        <s v="great do business with very fast delivery will use again"/>
        <s v="each order comes as anticipated very timely"/>
        <s v="first time ordering from petflow online ordering process was quick easy we received order very promptly highly recommend pet flow"/>
        <s v="petflow has a great selection affordable prices on a variety of dog cat foods they ship quickly always send notifications on status of your order"/>
        <s v="ordered three bags of dog food one was delivered promptly other almost two weeks arrive when it did one of bags had opened spilled kibble all over box"/>
        <s v="ive ordered from petflow over years&#10;ordered always delivered on time prices are righteous highly recommend"/>
        <s v="never did get my order it took days you let me know it was out of stock"/>
        <s v="my dog hannah absolutely loves this new pet food she smells it from other end of my house comes running waiting impatiently only devour it in no time plus delivery was prompt thank you so much"/>
        <s v="very fast delivery great discount &#10;thanks"/>
        <s v="my order arrived on time complete one product i wanted order was out of stock but theres an option get an email notification when its available which extremely helpful"/>
        <s v="im very happy with petflow they were great with me my vet get vet prescribe canine tds my vet was not so nice"/>
        <s v="been a customer several years now reliable shipping excellent email notice help me adjust my autoship if needed excellent customer service by phone when needed"/>
        <s v="out of last ten orders three were messed up did not deliver on time one of which required our cat sitter go a specialty pet shop get food while we were on vacation"/>
        <s v="my recent order was delayed due weather shipping company when i spoke with petflow customer service they were helpful tracking package keeping me posted on when it would be received i appreciate this help"/>
        <s v="i didnt get my delivery but when i talked customer service man we discovered i hadnt changed my address at petflow since i moved in may it got sent old house but he went ahead sent a replacement my new address he was very kind even when it was my fault"/>
        <s v="i have received numerous orders from this company they are always accurate timely thats why i will continue order from them"/>
        <s v="quick response my order with delivery time kept me updated"/>
        <s v="my order came in good time i have been unable locate hill science diet food through my usual sources however petflow came through with flying colors not only was i able obtain some of wet food i normally feed my cats but i was able obtain comparable choic"/>
        <s v="very good company with a wide selection of products timely delivery easy order i like this site very much"/>
        <s v="great selection of product i have always found my selections in stock deliver unbelievably fast"/>
        <s v="coupons never are useable purchase of fromm dog food&#10;&#10;delivery by fedex in a word fedex lousy i realize this another company but they are making petflow look bad they chose them"/>
        <s v="my buddy loves treats from petflow on my last order one item he dearly loves was left off because it was out of stock my surprise when petflows new shipment arrived they sent item sopleased never has that happen with any company that strictly pets before"/>
        <s v="competitive prices great delivery honest trustworthy"/>
        <s v="overflow consistently delivers high quality cat food my house what could be better"/>
        <s v="my cat passed away unexpectedly a couple days after ordering her prescription food online i contacted customer service via text very convenient option they were not able return food because it had already shipped but when i shared my situation they refund"/>
        <s v="i love convenience but petflows online ordering setup sooooo difficult use result ive had multiple unwanted shipments no matter what i do&#10;&#10;for months ive tried get rid of an extra autoship program i cancelled chat reps cancelled finally a phone call seeme"/>
        <s v="love extensive variety of pet foods especially better brands prices are comparable or better than others delivery quick only one constructive feedback shopping cart view i would prefer it could be full screen"/>
        <s v="i still havent received my order&#10;&#10;i ordered some dog food a chinchilla chew get free shipping&#10;&#10;the chinchilla toy came quickly it was in a huge box that could have fit bag of dog food that i ordered as well&#10;&#10;the dog food still has not come yes it might be"/>
        <s v="ive been buying quality pet food from petflow about three years they carry quality brands they have excellent customer service their website easy navigate i like autoship option which also easy edit so i have only great things say about this company thank"/>
        <s v="on time best price good by amazon"/>
        <s v="i had trouble finding my cats prescription food customer service was marvelous ultimately i was able secure a bag her"/>
        <s v="place order days ago still no shipment yet call them a few days ago was informed that it was ready ship but still no info whatsoever"/>
        <s v="very timely service thanks"/>
        <s v="great quick delivery thanks"/>
        <s v="one of few places i could find what i needed at a great price was cherry on top it shipped quickly got here fast i now have some happy cory catfish"/>
        <s v="always get my order quickly good prices too"/>
        <s v="i was pleasantly surprised that petflow had special canned cat food that i was looking couldnt find locally additionally shipment was very well packed arrived quickly this was my first time order from petflow i was impressed will definitely order again"/>
        <s v="everything came my home in time before i ran out of dog food one toy was slow but it all still made it my home so dog could enjoy it"/>
        <s v="love this company always have what i order&#10;shipment comes really fast&#10;never had a problem with petflow"/>
        <s v="great products&#10;great prices&#10;fast shipping&#10;employees on phone are so courteoushelpful knowledgeable&#10;exceptional place shop"/>
        <s v="easy website layout good selection of pet food i love fromm dry cat food selection my cat loves his treats too my cat approves petflow"/>
        <s v="excellent quick delivery with best pricing will definitely be a returning customer"/>
        <s v="my initial shipment was damaged but csr was extremely helpful sent me a replacement promptly"/>
        <s v="its been over two weeks i have yet receive a shipping confirmation will likely dispute order"/>
        <s v="received exactly what i ordered in excellent condition thank you"/>
        <s v="i love using petflow they have wonderful options my dog good communication on orders highly recommend"/>
        <s v="very nice better than expected we purchased it ferrell cats stay warm we set it up in our house our cat thinks its his new house he loves it"/>
        <s v="petflows customer service exceptional website easy navigate check out super fast shipping"/>
        <s v="pet flow continues carry special dog food that i require my pet at a good price they ship it super fast very satisfied with their service"/>
        <s v="petflow offers a wide variety of limited ingredient snacks my dogs prices are very reasonable"/>
        <s v="i was sucked in by promise of a discount in exchange my email address then i couldnt use discount because it had a previously undisclosed minimum order requirement which was extremely high i felt tricked i would normally order bag of dog food at a time bu"/>
        <s v="service extremely quick they seem have a supply over above what other entities have on hand first time with petflow but will certainly look them as an option in future"/>
        <s v="ive used petflow years have always received top notch service i love enormous variety of products available my dogs ive easily found best products each other they also include sources products which i find very important deliveries have always been on tim"/>
        <s v="pet flow wonderful but delivery leaves much be desired fed ex refuses bring my packages my front door instead they are left in street"/>
        <s v="petflow has been fine not stellar with occasional hiccoughs on prescription food authorization lately theyve been completely unreliable as a retailer causing us cancel our subscriptions move chewy"/>
        <s v="wide variety of products fast service on orders even if they are specialty items"/>
        <s v="product was good well packaged but it was a week late required me go all over local area multiple times supplement food until me order got here id be perfectly happy would definitely order things again if pet flow would stop using fedex their shipper"/>
        <s v="my dog food took week arrive me"/>
        <s v="petflow great you call always get a live person right away ive been with them years cant beat their customer service"/>
        <s v="i thought i had cancelled one order order a different food it turned out i got both orders i was told it would be fine keep them both use them just set a later date my auto shipping"/>
        <s v="petflow delivers quickly they have an autoship program you can change your auto ship as many times as you want they have best prices quality of products"/>
        <s v="my order of dog food was shipped on a monday said friday delivery did not come till next monday with that delay i had go get dog food i didnt want in order get by until my order came chewy takes days i guess ill go back there"/>
        <s v="i purchased some hard find puppy food because no stores in my area carry it i found it in stock with petflow i ordered it they use fedex as their shipping carrier i have had numerous problems with getting my packages late via fedex i emailed petflow give "/>
        <s v="great selection easy check out shipment came in a timely manner"/>
        <s v="petflow efficient speedy i never worry that my product will arrive on time"/>
        <s v="petflow fast accurate they beat amazon on delivery time prices are on target no complaints about product from stanley or bruski very glad we found them thank you"/>
        <s v="love quick shipping love cost of foods ie royal canin love that items are in stock love customer service&#10;what else there"/>
        <s v="i made an order from petflow awhile back never received order when i checked order it had been canceled due an error by veterinarian unfortunately no one told me it was cancelled i called veterinarian their internal communications got confused that why th"/>
        <s v="i received my complete order it was a few days later than usual but that was be expected at christmas time problem was that a bottle of white dog shampoo had opened up inside box covered a pound bag of dog food a raincoat with a whole bottle of blue shamp"/>
        <s v="my one complaint that you cannot cancel an order on your online account had call numerous times get a customer service agent fix a mistake on ordering very frustrating hope they make changes with online ordering"/>
        <s v="so much care was placed into packing my order it was wonderful there was a lot of cushion in box so cans didnt arrive all bent i will definitely place another order soon"/>
        <s v="they shipped my wet catfood over a week after i placed order scheduling it be delivered nd of december could do nothing delay or cancel order even before ups had it so my food going freeze over over again while we are gone christmas if i dont pay a big fe"/>
        <s v="prompt shipping i ordered dr marty my fussy dog he likes it so i will order again"/>
        <s v="petflow a class act&#10;always have my product in stock fast free shipping&#10;a"/>
        <s v="i have been buying my dog food from petflow years now it has always arrived quickly fresh my dog happy"/>
        <s v="very reliable auto ship quick with off cycle purchases"/>
        <s v="excellent service with competitive pricing"/>
        <s v="dented dog food cans at times sent concern about this five days ago have yet receive a response"/>
        <s v="there was a mistake in order they didnt hesitate make it right great customer service great product"/>
        <s v="great products offered with fast delivery thank you"/>
        <s v="price was right quality was great that along with fast shipping gives petflow stars"/>
        <s v="great site i discovered it by accident after chewy was out of my cats food i gave it a try was pleasantly surprised how wonderful petflow was delivery was very fast product fresh well packaged they saved day now i ordered again this time price was great o"/>
        <s v="i discovered petflow when another major retailer had no inventory of my cats preferred flavor of prescription food i enjoyed experience fresh inventory so much that ive been buying from petflow ever since"/>
        <s v="i searched at least six different retailers find this special canned pt food specially formulated my small breed senior picky eater with only remaining teeth no avail i was desperate as my little yr old girl turns away from nearly all other similar produc"/>
        <s v="never had a problem have recommended"/>
        <s v="order was easy place delivery was prompt thank you"/>
        <s v="thank you ease of ordering speed of getting my order delivered also i am very impressed with your website"/>
        <s v="i have been ordering my dogs food from petflow a few years they always have a quick turn around from order being placed delivery my dogs eat fromms large breed dog food which can only be purchased in specialty stores petflow has been wonderful order food "/>
        <s v="i have had a great experience with petflow only once i had a packagedelivery that was stuck somewhere unknown customer service immediately sent it me again without question i was grateful impressed&#10;also when you place an order with petflow you need stand "/>
        <s v="always quality items from pet flow they are recieved in a timely manner"/>
        <s v="i like this company they have a great selection of dog foods that are difficult find other places their prices are comparable other sites although they may be a few dollars higher i like that they say they do note food animal shelters"/>
        <s v="false info on delivery date no follow up product seems be stuck in transit in a black hole in neighboring state product over a week delayed from promised date with no follow up status update will never deal with pet flow again not a well run business"/>
        <s v="great communication speedy service delivery even when supplies are low thank you"/>
        <s v="very pleasant experience good customer service&#10;fast delivery prices are ok"/>
        <s v="placed order received item earlier than anticipated will definitely us this vendor again considering we have four bernese mountain dogs they do eat"/>
        <s v="im still waiting my dog food delivery or even an update no news since it reached my local distribution center days ago"/>
        <s v="things came well packaged timely no complaints"/>
        <s v="took days in transit packaging was taped retaped treats were on each side of package front back no doubt they will be dust when i open them this company needs step up there game in shipping department"/>
        <s v="prices were good product availability was good shipping was good free im happy with them"/>
        <s v="petflow responsive clients with good prices discounts fast shipping"/>
        <s v="except a blip on refund all well will continue get my fog food here"/>
        <s v="what i wanted quickly received with terrific phone support"/>
        <s v="huge variety of pet supplies fast shipping"/>
        <s v="i couldnt find my cats favorite food in any of major stores or any of major online store but petflow had it was able get fast easy"/>
        <s v="great service shipped my order out quickly they had a cat food i have been searching but was out of stock everywhere luckily they had it in abundance thank you so much"/>
        <s v="very prompt courteous take care answer emails"/>
        <s v="had product delivered in a timely manner"/>
        <s v="quick easy"/>
        <s v="i changed my delivery date shipment still came"/>
        <s v="received wrong items messaged hrs ago no response"/>
        <s v="fast delivery great product as usual package came undamaged"/>
        <s v="best offer i could find price delivered promptly just when needed i will be using petflow in future"/>
        <s v="super service shipping my fromm gold dog food highly recommend"/>
        <s v="store itself has great prices selection however shipping of those products has been a nightmare placed an order on morning of spoke someone on phone inquiring as location from which products were coming from i was told that my order was being packaged wou"/>
        <s v="shipped fast had items in stock that others didnt what more can you ask"/>
        <s v="excellent service best pricing so glad i found you thanks"/>
        <s v="very pleased with pet flows service products"/>
        <s v="great prices selections of high rated dog foods shipping free over fast"/>
        <s v="petflow has best prices pet food deliveries are reliable sometimes my cats wet food not in stock but when that happens it not in stock anywhere"/>
        <s v="every time i order from here they always double my order i ordered one big bag of dog food i received two charged two instead of one this second time they did this i will not order from them again"/>
        <s v="great dog food my maltese acts like a pup she she has been eating salmon a la veg yrs"/>
        <s v="excellent service best dog food ever would not feed my dog anything else then natural balance"/>
        <s v="staff were very good at listening finding a solution that would help me"/>
        <s v="excellent customer service fast shipping"/>
        <s v="my delivery isnt not comingvery very slowly"/>
        <s v="i was very pleased with my order i found an item my birds that i couldnt find anywhere else a cheaper price it arrived very quickly"/>
        <s v="petflow apparently doesnt put in packing so i got all of cans dented up petflow needs protect cans"/>
        <s v="been ordering from petflow along timequick shippingcompetitive priceshas brand of dogfood we wantwish they offered prescription medications"/>
        <s v="i was with this company many years but repeated mix ups with my food delays supply issues took a toll moved my business chewy didnt want buy my fur babies have eat"/>
        <s v="we ordered pet food on nov received it today dec way long i have three emails telling me earlier dates probably our last order from pet flow"/>
        <s v="you need improve on your customer service on phone you also need improve on your deliveries services meaning when customers ordered products from your website&#10;it needs be more accurate in amount of products you have online website store amount of products"/>
        <s v="i am very happy with my purchase of cat food from petflow only issue i had was trying find out on web site how i could check out otherwise great"/>
        <s v="they have great customer service they try very hard please their customers they also have a wide variety of pet foods"/>
        <s v="love this company great work with carry alot of different foods"/>
        <s v="very few notices of what was going on i finally sent emails made a phone call joseph was very kind it took days get here wonder if it would come i had buy dog food in meantime not happy product was good why did it come from new jersy nevada closer"/>
        <s v="i wouldve given a star review however with my last order it wouldve been nice if i was informed that my order dog food was not available from where it usually shipped i usually get it within a week but since it was coming from much farther away it took da"/>
        <s v="only half my order arrived so far fedex dropped busted box in middle of front yard left i wonder if second half will show up or if fedex will make it disappear like last order"/>
        <s v="great service as usual even over holiday weekend order was accurate delivered on time"/>
        <s v="website easy appreciate discount&#10;other places were sold out of dog food i need so thankful it was in stock delivered in a decent timeframe"/>
        <s v="thanks having food in stock now its get him actually eat food"/>
        <s v="great experience&#10;fast shipping great communication with seller"/>
        <s v="shipping not according what was indicated at time order was placed"/>
        <s v="excellent transaction will shop again"/>
        <s v="petsmart stopped carrying avoderm brand then petsmart followed&#10;im very frustrated with them since they still advertise products yet not in stock or not available&#10;i contacted avoderm they recommend petflow&#10;my initial purchase took longer that expected howe"/>
        <s v="my hund loves chow we ordered from petflow"/>
        <s v="i always get what i need in a quick turnaround my year old hound"/>
        <s v="great product great price"/>
        <s v="folks at petflow were kind enough give me a credit fedexs deplorable delivery service they held my shipment hostage in their distribution center days&#10;my shipment was correct sent out as quickly as they received approval from my vet"/>
        <s v="great prompt service delivery bag charge was a bit of a surprise though might be wise hide that under one of other headings"/>
        <s v="i placed orders during weekends return email said my order would be placed following monday email would be sent of when expect delivery i have had call customer service a couple times order was finally put thru my dogs do better when their food isnt chang"/>
        <s v="i thought that price was high compared vets office other than that experience was good"/>
        <s v="i had a very frustrating experience with petflow my original order was scheduled nextday delivery however it took close a week from getting cat food i ordered petflow misled me on my delivery date this only food my cat can digest so it became an emergency"/>
        <s v="very happy with my purchase experience excellent help thank you"/>
        <s v="i paid a package of food my chihuahua that needed a recipe from vet but we could not get it so i would like have my money back"/>
        <s v="i wrote company regarding a complaint about customer service claiming that i didnt have funds pay an order that was an auto ship said backordered after ordering something else i got billed it not knowing what this charge was i called in find out customer "/>
        <s v="petflow carries our dogs preferred high quality food treats we auto order receive our shipments quickly"/>
        <s v="i like petflow i have ordered from them before this time it took way too long get my order only reason i got it when i did because i called complained then they showed it being shipped right away but it still took days after complaining i needed dog food "/>
        <s v="whole reason why i ordered from petflow because of their quick shipping in days it took over a week my food arrive i had tobuy another brand of food that upset all of my dogs stomachs never again"/>
        <s v="i was very happy be able find a food item that i needed that was sold out on chewy amazon all of my local pet supply stores only reason stars instead of was delivery notifications i understand delivery delays especially right now but i received different "/>
        <s v="very impressed with being able get what i need my furbabies special food so far its always been in stock unlike competitor sites various pet stores prices are a smidgen lower than everywhere ive normally gone delivery at this point my first order came wit"/>
        <s v="easy website navigate fair prices fast shipping"/>
        <s v="customer service has definitely declined website keeps changing making it difficult order when you want iused order different products at different times of month still get auto ship discount now i get nothingbeen a member since &#10;looking around a better d"/>
        <s v="third time they have got order wrong"/>
        <s v="i have been pleased in past with available dog foods treats toys etc delivery i have experienced a lot of out of stock items that i have on autoship i have had buy these items on my own else where"/>
        <s v="fast delivery"/>
        <s v="great discount on hill science canned food my dopey cat its becoming difficult find chicken n rice flavor so it was a relief that you had it"/>
        <s v="you carry dog food that my puppy needs his first year prices are reasonable affordable"/>
        <s v="i tried switch my monthly orders food treats meds flea collars petflow it was a disaster i get how economy currently but your communication terrible i cant work with a company that takes days acknowledge a request i see all bbb complaints your concept gre"/>
        <s v="can someone contact me"/>
        <s v="excellent product delivered quickly competitive pricing"/>
        <s v="need a better way let people know that their order was shipped with a tracking number had text you find out when my order was be shipped when i received an email telling my that it was shipped there was no tracking info available need let people know actu"/>
        <s v="i was able get my dogs food from you when no other retailer had it thank you"/>
        <s v="product was as advertisedworks great arrival was fastprice was good service was friendly professional great company"/>
        <s v="days after i should have recieved my order i called because i did not know why or where it waswell was told by a very rude lady she would send an e mail hurry up my order at another warehouse because they had none i asked why they didnot notify me it was "/>
        <s v="fast service good prices arrived in great condition has follow up emails"/>
        <s v="chewys orders always arrived within days i decided give petflow a try after close a week i had call petflow ask where dog food order was they said they delayed getting order through waited until next day initiate order then they were short staffed then ma"/>
        <s v="i love that my choice of dog food always ready deliver our door when we need it auto ship great not having lug big bags home from store even better"/>
        <s v="products i ordered arrived quickly website was easy navigate"/>
        <s v="disappointed i created my first order on order still hasnt even shipped no communication updates either uggh"/>
        <s v="very happy with my purchase shipping fast communication excellent"/>
        <s v="it was supper easy place my order shipping was quick"/>
        <s v="good job sending package on timely basis thank you"/>
        <s v="always super fast shipping great packaging"/>
        <s v="always good condition of cat bagged food arrived in great shape order was correcttimely order"/>
        <s v="had products i couldnt find any other site"/>
        <s v="dog food was listed in stock at time of placing order after a few days of showing shipped ends up order wasnt shipped i called was informed that it was out of stock in warehouse"/>
        <s v="never received my order in over a month spoke over customer service people dont buy from this company"/>
        <s v="order placing was easy great site set up like autoship offer too already referred them my neighbor"/>
        <s v="ordering was easy my purchases arrived quickly which wonderful during these times&#10;i give this site a instead of because i was unable read reviews on products i bought my cats are not eating one of them would like know what other buyers said or if they add"/>
        <s v="saved from having my kitten upset i have been unable find food my kitten eats after several trips pet store with no luck went online royal canin site pet flow was a recommended store order from fortunately my kitten yall had plenty of cans me order very s"/>
        <s v="i liked prices toys treats available but several of items that i ordered sold out were removed from my order after id checked out paid them however i will be giving them another chance when supply chain problems are better"/>
        <s v="good service"/>
        <s v="fast shipping great inventory of cheap toys"/>
        <s v="we use auto ship most of products we buy online i found pet flows autoship program be extremely difficult manage no longer use it as a result i often buy pet products from other suppliers we have pets buy a lot of pet products"/>
        <s v="speedy delivery stuff usually comes within or days good customer service i called ask a question about my product they answered quickly with good telephone manner i just signed up autoship well see how that goes i just wished they carried fancy feast gril"/>
        <s v="we love convenience of auto shipping we were surprised at how easy it add or delete items a specific auto ship or future orders prices are fantastic i like that i can still find fromm products here"/>
        <s v="very smooth experience good price reasonable quick shipping"/>
        <s v="order paid dry dog food cans of wet dog food day they shipped it i got an email saying they will refund me cause they are all of sudden out of that particular wet dog food i then had run everywhere find it at last minute&#10;when lb victor dry dog food arrive"/>
        <s v="everything went very smoothly from ordering all way delivery i was very happy will use them again"/>
        <s v="delivery was delayed times said day delivery i got it in days not satisfied with delivery"/>
        <s v="ordered prescription dog food but got nothing but excuses over a week their reps made one excuse after another as why my dogs food was not shipped"/>
        <s v="excellent service im a happy customer"/>
        <s v="i am totally impressed with petflow they deliver product quickly have pet food in stock if they are out of stock they will send email let you know that it back in stock they are now only one that carries my dogs food i hope they always will thank you petf"/>
        <s v="i have been&#10;using petflow several years because they carry type of dog food i want my dogs have no stores anywhere near me have it in fact trying get high quality dog food id have travel an hour one way so it very convenient have it shipped directly my ho"/>
        <s v="very fast shipping they sell good quality items"/>
        <s v="very good customer service contacted my vet prescription diet food shipped out immediately highly recommend"/>
        <s v="great products service that excels more than satisfied consumer from maryland"/>
        <s v="i spoke with a very helpful woman who checked with supply found a case of hills savory cat food our local petsmart had been out of it a while my year old cat loves that particular food takes her meds with itshe has hyperthyroidism food arrived as promised"/>
        <s v="i placed an order on received an email saying i would get a shipping confirmation when it shipped when not received by i reached out customer service was told it was delivered on as of i still have no food was forced order elsewhere your customer service "/>
        <s v="my husband shopped here last christmas gave it stars i like site because they have unusual things make great gift items"/>
        <s v="i requested heavy package be left at garage door under overhang but it was left at front door instead otherwise very easy convenient efficient order delivery"/>
        <s v="excellent service everything packed with care"/>
        <s v="currently waiting receive order know distribution system messed up i will try explain my hungry miniature doxie would have been helpful if at point of order petflow made a statement that delivery could take up x weeks or more if that unacceptable cancel o"/>
        <s v="i love quick delivery when we order our dogs food so convenient"/>
        <s v="good cat loved it"/>
        <s v="ordered dog food first from petflow ordering was simple easy website navigation product arrived in a timely manner"/>
        <s v="they let me order food charged me called my vet confirm prescription they didnt even have food in stock in these times of cat food shortages wasting my entire week thinking i had found food my cat was detrimental my finding more in a timely fashion shame "/>
        <s v="very good customer service&#10;they work with you get you just what you want"/>
        <s v="ive used petflow a year now love it orders are easy complete quick deliver&#10;i had call customer service change my order quickly received credit on my card i switched dog food brand mistakenly forgot cancel my automatic refill order great customer service"/>
        <s v="package was a week late but i believe that was fedex fault when i contacted petflow about delay response came relatively quickly they let me know they contacted fedex figure out issue i received package next day customer service was friendly helpful"/>
        <s v="great pricing however i wasnt able use my on my second order as promised i did rate company a star however after reading other star ratings i feel im just another customer that was mislead"/>
        <s v="very slow ship resulted in poor arrival time i thought days was enough time but was wrong"/>
        <s v="i spoke with somebody in chat i canceled this order i was told that my order was canceled i asked confirmation that my order was canceled an email they told me we dont do that two days later i had two of my lids show up at my door after it was canceled i "/>
        <s v="although i have had great success with using petflow in past currently their service quite poor i had a older cat needs vet prescribed food after ordering food recently petflow informed me vet indicated i have no relationship with them ok i called vet the"/>
        <s v="petflow has cat food that i cant find elsewhere which nice i like their automatic programs except not being able edit them ive been sent products that i cant use have contribute humane society delivery always fast well packaged"/>
        <s v="my dog food always arrives on time they always correct if a mistake happens we are happy with service"/>
        <s v="this gate working very well at our house twoway open door terrific we are very happy"/>
        <s v="great prices selection fast shipping love petflow"/>
        <s v="excellent selection of items their delivery was spot on timely i tried them when chewy did not have brand of food that i was looking i learned that since chewy was purchased by petsmart they no longer carry fromms dog food"/>
        <s v="thank you so much petflow you have prescription wetfood available my halo"/>
        <s v="delivery of our canned dog food was quick we had a problem with one of cases due shipper petflow customer service was excellent"/>
        <s v="never received dog food i ordered nor did anyone follow up after i called them inquiring about missing order super disappointing untrustworthy poor customer service"/>
        <s v="petflow a great company do my on line buying from customer service persons are best"/>
        <s v="like quick service available products i have only had one problem since using petflow ordered pill pouches they arrived smashed good company that i have recommended"/>
        <s v="always get my pups treats food from petflow great service super quick delivery with updates"/>
        <s v="on oct th after not being able obtain prescription canned dog food needed through normal online pet care provider over days i found petflow website which showed food was in stock be sure i called same day spoke an agent who confirmed their database did in"/>
        <s v="customer service excellent what they sayhappens quickly delivery fast packaged very well notifications of shipment delays when expect delivery are outstanding&#10;love this companythey genuinely understand how important our fur babies are us bravo pet flow"/>
        <s v="i had a hard time finding what i wanted petflow had it fair price fair shipping cost timely i will be a repeat customer"/>
        <s v="always what they promised great deals"/>
        <s v="i ordered a few items using an account credit when one of items was out of stock at one warehouse had be shipped from a different warehouse they charged my paypal account without my consent this item that was already paid using account credit i will never"/>
        <s v="great prices easy order prompt delivery im a convert"/>
        <s v="i have ordered pack of bully sticks from petflow several times they are an expensive item anywhere cost keeps going up as with everything these days their prices are fair their shipping fast one thing i have noticed that total amount that my receipt says "/>
        <s v="ordered online instead of my local store who almost always out of stock i just order when old bag halfway empty food comes within a couple of days usually no issues"/>
        <s v="my order was filled shortly after it was placed but days after it was due be delivered only of boxes has been other two boxes are sitting at a fed ex center waiting be loaded onto delivery truck petflow customer service people were very kind pleasant work"/>
        <s v="i ordered my dogs food had it within a couple days free delivery boot"/>
        <s v="our order was delivered very fast price was reasonable website easy use"/>
        <s v="came on time exactly what i needed couldnt find it anywhere else thanks"/>
        <s v="placed order received it in less than one week"/>
        <s v="what a mess this company i thought chewy was annoying&#10;&#10;i will never use petflow again"/>
        <s v="when i received my order box bag of dog food had been ripped open i called customer service they had a new bag out same day awesome customer service thank you very much"/>
        <s v="outstanding well trained smart friendly knowledgable customer service i depend heavily on autoship program"/>
        <s v="ordered everything i have a chew everything puppy i placed my order then received an email a couple items not in warehouse that was fine but never received either an email or receipt my items or what my final cost was they did state i wouldnt be charged i"/>
        <s v="i love petflow they always have what i need my dog ship it out fast a service every order"/>
        <s v="everyone at petflow seems be familiar with their inventory very helpful great place shop your pets needs"/>
        <s v="treats were perfect fast shipping thank you"/>
        <s v="petflow was recommended by my girlfriend i switched dog food my dog loves it i have no complaints recommend i can set up times of delivery between bags"/>
        <s v="just started auto ship of a cat food skin allergies made by hills once i know how much i will need of blue buffalos i will make it auto ship hills i am running into availability of just ordering when i need it or at vets it was even a problem before pande"/>
        <s v="love pet flow very kind friendly customer service they always have my cat bff weruva in off always a plus"/>
        <s v="i have been pleased with petflow customer service has been great products are good only problem i have had using your website cancel autoship i have only been able pause it i dont know if this intentional or an oversight i know i can call cancel but it mo"/>
        <s v="my doggies food comes so quickly after i order its always in perfect condition"/>
        <s v="always an easy transaction we order our dog food from here regularly"/>
        <s v="didnt have my order in stock canceled my shipment with a puppy it hard just up switch food when an order doesnt arrive as expected so had go extra lengths find specific food"/>
        <s v="awesome as usual always on time great customer service fantastic product"/>
        <s v="our toy poodle has been permanently put on hills canned stew due health issues but we found it was not available due a supply shortage then we turned petflow found her entire supply with fast delivery petflow looks out our furry kids that we are very grat"/>
        <s v="i love autoship option my cat items purchases in particular i order large containersboxes of cat litterpetflow does an excellent job of packing it it always arrives undamaged they also keep me informed of any shipment delays etc"/>
        <s v="i began using petflow several years ago i love them because&#10; i can speak a real american born person who always helps me&#10; they carry brands from small companies such as fromm&#10; somehow they get fedex deliver my house on time fedex usually does not deliver "/>
        <s v="product was delivered quickly on time with no damage"/>
        <s v="excellent communication reliable timely deliveries customer service best ive ever worked with my goto supplier quality pet food"/>
        <s v="excellent customer service easy auto ship options"/>
        <s v="good service selection prices"/>
        <s v="customer service has always been polite helpful but unfortunately i have needed use them frequently with my autoship orders i had pets getting prescription diets but they kept sending requests refill incorrect veterinarian then somehow changed pet names t"/>
        <s v="item i ordered turned out be unavailable i received an email a few days after ordering which informed me of that fact i dont know why you cant update your website so someone doesnt end up ordering something you dont actually have thankfully i was able fin"/>
        <s v="i placed an order had cancel i was shocked how quickly my text message was received taken care of not entirely trusting text system i called customer service lady was courteous confirmed order was already canceled customer service a lost art these days bu"/>
        <s v="petflow wonderful lady i spoke with taking my order was terrific my pet food all arrived quickly in good condition delivered right my front door thank you petflow"/>
        <s v="i wish i had known about you sooner i order my pups dog food it arrives next day thank you such great service"/>
        <s v="products are great good selection could have been better communication on order status shipping times compared other companier i order from taking or days prepare an order ship too slow especially with little no communication from you as when order will b"/>
        <s v="i was pleasantly surprised that petflow had products that chewy had out of stock they shipped it free fast good work petflow i will definitely buy from you again"/>
        <s v="always great service excellent selection"/>
        <s v="have been waiting almost weeks dog food i ordered they said it got lost"/>
        <s v="i really like pet flow would order from them more but it seems like they are frequently out of stock of products i want so i am then forced go elsewhere shop"/>
        <s v="great price item was shipped out in timely fashion"/>
        <s v="petflow has excellent customer service i ordered a case of canned dog food it once again came with almost all cans dented i called let them know they sent me a new case of cans without dents would have liked original shipment have come not damaged"/>
        <s v="when it comes phone reps i have always had friendly competent service from petflow however inadequacies of website have me at point of switching companies i have set up autoship rx cat food when i log in there just no way me add extra items my order take "/>
        <s v="customer service was great but i was disappointed in bully sticks they were right length but very small around not what i expected"/>
        <s v="i liked idea that at petflow i can get fromm dog food treats delivered right my door with free shipping"/>
        <s v="can you wait til i receive my order so far your premature review begging a turn off"/>
        <s v="great site lots of items i couldnt find elsewhere especially limited ingredient feline canned shipping was fast will buy again sure"/>
        <s v="i am so very pleased with petflow every shipment arrives on time prices are fair customer service outstanding shipments arrive properly packed have never had anything broken"/>
        <s v="i have cats whom chickennnreast a regular morning treat they all look forward it every day"/>
        <s v="delivery of my product arrived timely but i needed cancel my autoship when you select cancel there no option cancel only pause i had wait until next day call and speak with someone cancel when asked why i had share with a complete stranger that my furbaby"/>
        <s v="my experience with petflow was excellent their pricing availability of products very good kept me informed of my order status from start finish they were only company that had what i needed i received my order promptly i will continue buying prescription "/>
        <s v="bad experience took forever acknowledge receipt of pet rx all while losing time secure limited supply of product i ordered by time they confirmed receipt of script acknowledged order supply dwindled i lost product mind you that took days days yet my debit"/>
        <s v="always fast shipping great products"/>
        <s v="products are fine website fine but i have a problem with auto ship set up it impossible cancel auto ship program i can delay change date of shipment but cannot cancel without calling office because of this have received duplicate shipments"/>
        <s v="my puppy cat love it&#10;i love how big bowl reserve tank are how quite motor as well as way water circulates in bowl no splashing i had large original drinkwell pet fountain so far i prefer this one a lot over drinkwell"/>
        <s v="this was very first time i ever purchased from site i was a little nervous in beginning but that was all changed when i found out that they shipped on day they said they were going i received it when i needed it i am very happy with service will use it ag"/>
        <s v="its been weeks i havent received good yet i cant believe they are asking my opinion of an item that hasnt arrived yet"/>
        <s v="orders are always late customer service rep was rude unhelpful i had speak manager get some resolve"/>
        <s v="because as a customer petflow mislead me petflow sold me merchandise sold it another customer then sent me a message that they were now out of stock petflow still has not refunded my money we will never shop with petflow again ta"/>
        <s v="first time ordering with this company placed order on by still hadnt received it i called apparently shipment got lost employee offered send out another order but declined give any type of promo code or discount even though i told her i had go out an purc"/>
        <s v="unfortunately when i placed my order my items were in stock then i got an email saying they were out of stock i was refunded havent order again"/>
        <s v="very punctual nice but fedex delivery person did not do his job left box near mail box not at door i am senior cannot pick up this heave box"/>
        <s v="petflow came through me with a prescription order when chewy could not hours on phone with chewy multiple customer service agents chewy failed they have problems over there i contacted petflow they took my prescription had my cat food shipped me arriving "/>
        <s v="love convenience of not having shop hoist large bags of food"/>
        <s v="i ordered treats that showed in stock they never came so i emailed they said they were now out of stock would notify me when in stock they ended up cancelling my order not a good experience first time customer"/>
        <s v="great fast service great intro prices new customers when you do autoship"/>
        <s v="horrible customer service keeps lying me about when my order going come in every time i looked it up it was supposed be delivered today at at in morning now too it never showed up i cant seem find damn email tell me where hell my order then i call at your"/>
        <s v="most anything i was looking i was available on petflow at a good price"/>
        <s v="received mats exceptionally quickly a very good price"/>
        <s v="fast order great packaging great price"/>
        <s v="i love service however bags of dog food i have received had busted bags dog food all in boxes"/>
        <s v="i used use other wellknown online mail pet services but they stopped carrying brand of dog food i have given my beloved english singer spaniel years i then discovered petflow carried this brand they are courteous professional most importantly quick delive"/>
        <s v="i ordered a product that said it was in stock only be told days later it was out of stock website misleading"/>
        <s v="great prices products customer service"/>
        <s v="kitty litter box split was all over box"/>
        <s v="fast carefully packed service"/>
        <s v="this a fantastic gate it looks divine was easy assemble perfect my maltese thank you"/>
        <s v="you take orders knowing products not available no trust ever again"/>
        <s v="petflow has a good selection of products they are almost always in stock have competitive pricing they deliver quickly usually days"/>
        <s v="reliable product easy ordering process dependable delivery thanks petflow"/>
        <s v="i have place orders with petflow both orders shipped out on same day packages arrived quickly excellent company highly recommend"/>
        <s v="great selection of products emphasis on very healthy items good price points delivery always on time in good condition"/>
        <s v="thank you carrying my dogs prescription dog food hills metabolic your website was only trustworthy site in stock my dog beau says thanks his food too"/>
        <s v="i ordered food my dog on petflow website my first order took a little while because they needed verify with my vet since it was a prescription food my second order was shipped next day arrived a day later at my house excellent service thank you"/>
        <s v="great customer service quick courteous"/>
        <s v="ive been using petflow years my dogs food subcritical platform customer service outstanding product diversity unbeatable"/>
        <s v="placed order dog food that i needed asap then days later petflow cancelled order wont refund my payment days i had then find a physical store that sold my brand of food so aggravated didnt they know my order wouldnt be fulfilled when they took payment"/>
        <s v="all item sent even if it took more than one box same free shipping"/>
        <s v="products ordered stars ease of ordering stars speed of shipping which may or may not be petflows issue stars my order included dog food i was only given tracking number unfortunately that tracking number was items shipped separately from dog food i never "/>
        <s v="ordered butcher block bones a box of dog biscuits at checkout there was no information that bones were out of stock you shipped only dog biscuits i cancelled order you said it already shipped we could just go ahead keep biscuits or donate them that was ni"/>
        <s v="i was impressed with how quickly my order arrived it was protected in a strong box very professional thank you"/>
        <s v="i ordered a new flexi leash my canine having carefully researched various sites noting petflow my first time decided have a go was pleasantly surprised at pricing service delivery they run out of leash but notified me immediately they would get it back in"/>
        <s v="product that not available elsewhere available on petflow which i appreciate with supply issues from manufacturer petflow provides another option find pet food im looking for&#10;&#10;shipping time slower that other online sites so i need plan further ahead recei"/>
        <s v="first time using will use again"/>
        <s v="your selection prices are good i also appreciate discounts available only thing i have a problem with fedex delivery but since i eventually get my order ill be okay with it"/>
        <s v="excellent service however now i can not find product anymore&#10;vital essentials relief hemp dog chews relieves inflammation"/>
        <s v="i have been trying find special urinary diet treats my fur baby months i finally found them on your site only be told weeks later whoops you dont have them well put it on your website then that they are unavailable"/>
        <s v="great selection services&#10;happy dogs"/>
        <s v="everything from locating products on website check out was very easy i wish that some kind of summary or packing slip was included with delivery but other than that everything went as smoothly as it could thank you"/>
        <s v="petflow has products i need if they dont they can explain me why they dont why i cant find product anywhere else something might be happening at manufatcurers end or with distributer etc they are always very helpful if i have call them on phone too help p"/>
        <s v="it seems a bit difficult delete an autoship maybe its me"/>
        <s v="not very long shipping from date of order prices same as vet"/>
        <s v="ordered on prescription approved same day item was in stock estimated delivery oct days a prescription assuming it arrives on th no update at all unacceptable same thing happened last time i ordered terrible service they also promised update me twice when"/>
        <s v="i get all my dog food treats from you usually all good no problemshowever last order lb bag of their nutrisource weight management bag was torn kibble leaked out into delivery box i do not like giving my pups any food or treats where container has been op"/>
        <s v="petflow always has prescription diet dog food in stock my dog requires i dont have wait them ship thank you your service"/>
        <s v="ive used this company twice both calls were speedy user friendly ive also used chewy those calls tend be cumbersome nice people at both companies ex chewy asks lots of questions before i can place my order i believe petflow just needed my phone number fas"/>
        <s v="love products ease of ordering my problem with actual shippingpackaging of items being sent my house often everything no matter what size or weight thrown into same weakly sealed one strip of packing tape thin cardboard box by time it arrives at my house "/>
        <s v="my purchase was delivered in a timely manner&#10;prices are fabulous just at any other retail store ish&#10;&#10;once im finally moved into my new house i will start automatic shipping"/>
        <s v="always correct timely a bit of delay due getting items further than nv az end point but that expected in shipping issues across all businesses"/>
        <s v="so far so good&#10;petsmart has let me down with late shipping not in stock lb bags of dog food with way too much powder they refuse ship in boxes that match large bags simple will not use any kind of packing&#10;fthat we be dun wit does mfers&#10;petflow met our nee"/>
        <s v="first time ordering autoship dog food so far so good"/>
        <s v="quick delivery always coupons be found"/>
        <s v="quick dependable service with diverse item selection most companies now offer free shipping on all orders which should be a consideration here"/>
        <s v="great product company you use shipping horrible boxes opened when delivered bags of food broke open from throwing it down on ground poor shipping"/>
        <s v="great prices products in stock ready ship i will definitely order again"/>
        <s v="great service fast delivery excellent"/>
        <s v="always a pleasure shopping with pet flow"/>
        <s v="great company quick shipping i order dog food from them all time but was disappointed on last dog toy i bought this time my little dog that doesnt really destroy toys had this stuffed pizza toy destroyed after minutes i probably wont order any more stuffe"/>
        <s v="always got what my cats want always delivered on time petflow gives me one less thing i have worry about with there auto ship"/>
        <s v="great company with excellent customer service"/>
        <s v="great prices excellent shipping time thank you"/>
        <s v="nd time ordering from petflow i am a very happy customer i read a lot of bad reviews online about this company was a bit concerned but honestly ive had an excellent experience with them so far order was accurate i received products in days thats amazing e"/>
        <s v="excellent customer service very professional accommodating&#10;thank you"/>
        <s v="petflows prices are good delivery super fast"/>
        <s v="i ordered prescription food from them which needed my vets approval spent over at first food order was put on hold until january i contacted customer service they were able get rid of pause but they still had contact my vet before shipping order me i had "/>
        <s v="competitive pricing product availability fast shipping thank you petflow"/>
        <s v="gave petflow a chance because chewy was out of stock on one of items i needed petflow showed it in stock after placing paying order i got an email stating one of my items was out of stock turns out it was same one chewy was out of stock on if i cant trust"/>
        <s v="i think im going like this sifting litter box that i just bought its different from anything i ever used before but its simple enough figure out"/>
        <s v="i loved selection ease of checkout on petflow one time i dealt with customer service was completely painless i would recommend this company any pet owner only improvement that i can think of would be have a way save items future purchase"/>
        <s v="competitive price&#10;fast delivery"/>
        <s v="good pricing great variety quick service need i say more"/>
        <s v="first time i ordered my dogs canned food experience was pretty negative as none of my requests were taken care of it was if they just ignored me second time was a better experience"/>
        <s v="ordered item weeks ago web site said in stock called twice did not receive any real answers or satisfaction said it was problem at he suppliers warehouse update just received email that product just shipped all good"/>
        <s v="first i was told my food order was on its way shipped then told it was on back ordered cant be delivered i want cancel my order but have no where call or know how do it&#10;but company sends constant emails &#10;also i ordered toys based on my dogs weight but the"/>
        <s v="they have products of dog food i cant find anywhere else"/>
        <s v="products are great service was great packaging shipment was terrible both boxes were broken open due poor lack of packing material it was amazing items ordered were still in boxes"/>
        <s v="my dogs are happy so am i with services on delivery of their foodsand my cats are happy too"/>
        <s v="there no price gauging my order was received quickly packaged perfectly i will order through them again"/>
        <s v="respond emails very quickly take care of a problem pronto"/>
        <s v="it difficult at times get dog food during this pandemic petflow dependable thank you"/>
        <s v="excellent service delivery selection of products probably best that ive yet find shipping has been on time pricing very competitive thank you a positive experience"/>
        <s v="replacement squeakers i purchased were supposed be large unfortunately they were medium sized merely passed off as large they were barely bigger than small squeakers i also purchased"/>
        <s v="it was supposed be here thursday it now wednesday almost a week late no estimated delivery date i was hoping this would be convenient however now its way worse than just driving minutes pet store"/>
        <s v="overall service good but i have a routine shipping monthly on th unfortunately my order of prescription dog food was not picked up by fedex until th not shipped until th now it looks like i will run out of food a day early not good"/>
        <s v="prices are good however shipping time not so good my items took about days arrive when using other company days tops this probably why i will not shop with pet flow again"/>
        <s v="love delivery its heavy me carry trunk then into my house plus food great so are treats thanks"/>
        <s v="ordered several teddy bear toys enough get free shipping arrived so quick my dog loves these toys they are quite durable shes quite a chewer ive got enough last a while got a good price too not dependent upon quantity better than petsmart highly recommend"/>
        <s v="ordered fromms pate canned food my dogs upcoming surgery promptly shipped but delivery was held up with no updates contacted pet flow see if they could get any information aimee quickly responded that she would contact shipper would get a free replacement"/>
        <s v="great service reasonable prices good quality will definitely buy again"/>
        <s v="usually we have a great experience with petflow this time however was a real struggle i was told over over by petflow that they reached out our vet food approval but my vet told me they never received any contact from them i even went my vet twice get the"/>
        <s v="i contacted customer service because i received wrong dog food they immediately resolved situation sent me a return shipping label this company has some of best quickest customer service agents ive ever dealt with"/>
        <s v="excellent fast service"/>
        <s v="very easy ordering only site that had wet food i needed took a little longer ship but was received in an acceptable period of time"/>
        <s v="i have been a returning customer a while now petflow has always had excellent service it most appreciated thank you"/>
        <s v="petflow had specialty prescription dog food my vet could not get they made buying process easy shipped quickly i will keep shopping with petflow"/>
        <s v="great customer service their text option awesome"/>
        <s v="my order was well wrapped delivered in a timely fashion i will continue use pet flow highly recommend them"/>
        <s v="love this company so easy work with"/>
        <s v="excellent service i would recommend"/>
        <s v="amazing service prescription dog food i needed was back ordered by manufacturer i explained petflow customer service that that was only food my dog could eat they did an online search found it had it shipped me this was not service i was expecting due lac"/>
        <s v="i appreciate how fast my orders are delivered that they have exactly what i am looking"/>
        <s v="see csr file"/>
        <s v="easy order form site order shipped arrived quickly"/>
        <s v="ordered lb bag of dog food order was processed immediately delivery was quick"/>
        <s v="found this vendor on line they were one of only sites that had prescription dog food i needed none of local pet stores had this food in stock i ordered food from them at a reasonable price received shipment in a timely manner well done"/>
        <s v="i have no idea what i bought from your site but all my online cat food orders have been prompt requested product was one i received but if this was royal canin cat food order my god price not you manufacturer lee hoffman"/>
        <s v="my cats eat a pretty particular food that can be hard find found it on petflow an affordable price everything arrived safely quickly you can contact them directly by text email i did check on shipment status a real person got back me quickly ill definitel"/>
        <s v="ordered dog food which they said was in stock prescription food my dog after paying it next day they tell me oh we are out of that this only food he can eat prescribed"/>
        <s v="great service great value"/>
        <s v="great selection of in stock items shipping quick dependable"/>
        <s v="petflow had what i needed in cat food that i couldnt find anywhere else however it took nearly a week ship although they were several days ahead of their shipping estimate long shipping may be mostly due supply chain problemshard tell now"/>
        <s v="when our vet said he wanted our aussies food changed i had cancel our standing order order new food i contacted petflow by email received an immediate reply i am so impressed by ease speed with which my problem was handled thanks great customer service"/>
        <s v="you need allow electronic upload of prescriptions pet food i had mail hard copy then wait you get approval from my vet after you received it this took about days why would you even need approval when i mailed you actual original script anyway whole proces"/>
        <s v="this place da bomb they have very fast very nice customer service that far few between these days do not hesitate do it do it u will not regret i was using chewy pet smart im out with those as long as they keep my dogs in stock im a life long petflow cust"/>
        <s v="great experience will use them again"/>
        <s v="easy find exactly what i was looking quick delivery"/>
        <s v="i was very happy with my experience i placed an order my cats food it shipped quickly i got it within two days of being shipped cans were excellently packed price food was great i was am satisfied with my experience will continue shop here"/>
        <s v="friendly staff good selection of dog food"/>
        <s v="wrong food sent now i have return it&#10;redbox it drive fedx haul in in"/>
        <s v="we our german shorthair pups think your quick service price are excellent"/>
        <s v="i ordered id chicken stew after two weeks i called you you said your order out of stock but still shows available"/>
        <s v="i always feel as though they truly want make their customers feel satisfied i appreciate that very much"/>
        <s v="rder email confirmation was delayed email notification that shipment will be delayed was also late customer service needs improvement"/>
        <s v="super convenient great selection of grain free options prompt delivery"/>
        <s v="couldnt locate my brand of food in new state n city where i now reside found your website luckily i now have my dogs favorite brands of food best part same price as it was in minnesota at chuck n dons store better it was delivered my door i will be orderi"/>
        <s v="i was forced buy two items get minimal amount only one was shipped not one i wanted"/>
        <s v="couldnt find our dogs food anywhere you were only place we found you got it us so fast even contacted our vet approval"/>
        <s v="i have been ordering from petflow several years now have always been satisfied with products delivery recently they went above beyond on an order that was delivered damaged customer service was excellent i was totally satisfied with how quickly completely"/>
        <s v="great phone help on getting oscars rx science diet in food shipped quickly"/>
        <s v="petflow had a prescription food in stock my pet that other sites did not they also had a great promotion new autoship customers a separate promotion that saved me money on my prescription food when i had trouble applying coupon code at checkout due a syst"/>
        <s v="petflow has excellent prices a great variety of items their customer service exellent also however it does take a bit longer than competitors receive ordered items they shipped us wrong item twice they did pay returned shipping made arrangements items be "/>
        <s v="petflow was a great find with all shortages difficulties getting our cats hills science diet with price gouging at competitor sites it was certainly gratifying find what i was looking at petflow our cats are finicky spoiled they love their hills pandemic "/>
        <s v="each time i placed an order of what was supposed be in stock company took my order my credit card information then days later told me product was no longer available it really felt like a bait switch after it happened times really bad business practices"/>
        <s v="specialty food said available on website called be sure available too emailed a week later on backorder very poor customer service"/>
        <s v="i still havent received my dog food fedex keeps saying exception attempted delivery that never occurred"/>
        <s v="i couldnt find this prescription treat my dog anywhere but petflow had it in stock my dog happy she can have a couple of treats a day now thanks petflow"/>
        <s v="fast delivery easy use website&#10;thank you&#10;laura"/>
        <s v="fast service as usual product in good condition well packaged"/>
        <s v="wonderful product arrived as promised good company do business with"/>
        <s v="ordered rx catcase cansblue wu on vet contacted on responded same day on still no confirmation that order had shipped&#10;&#10; had made calls earlyon check see if everything had been approved processed had specifically asked when placing order having any issues "/>
        <s v="as usual everything arrived timely accurately"/>
        <s v="i ordered prescription dogfood i needed nothing happened i called customer service they told me they would expedite getting it shipped&#10;a day later i got an email saying it was out of stock this should not have happened now i am hunting food my dog needs"/>
        <s v="discount was removed by site after checkout ordered from different supplier will not buy from petflow again"/>
        <s v="i have been satisfied with all orders placed"/>
        <s v="received my delivery on day it was promised"/>
        <s v="quality if your products what keeps me coming back also you have a few things i have never seen anywhere else i would purchase a lot more from petflow if you had discounts or rewards loyal customers i spend a ton of money on my dogs most of it spent at ch"/>
        <s v="love service they try make sure my order filled every month"/>
        <s v="i ordered online a specialty food product that generally has been in short supply but order was canceled soon after i placed it when i called customer service clarify rep did a search of warehouse inventory at first found product was out of stock it was u"/>
        <s v="products are good just shipping a heavy bag of aquarium gravel with a plastic container of cat food in same package asking disaster i understand it saves on shipping costs but its inconvenient pickup hundreds of food pebbles"/>
        <s v="they advertised a product that they never had&#10;i paid it waited along time responses"/>
        <s v="i ordered food my dog almost weeks ago have never received it i called todays after placing order was told it would be shipped out next day that was two weeks ago friday i called back again was told they were looking into it would receive email or a call "/>
      </sharedItems>
    </cacheField>
    <cacheField name="word_count" numFmtId="0">
      <sharedItems containsSemiMixedTypes="0" containsString="0" containsNumber="1" containsInteger="1">
        <n v="40.0"/>
        <n v="39.0"/>
        <n v="50.0"/>
        <n v="43.0"/>
        <n v="44.0"/>
        <n v="52.0"/>
        <n v="80.0"/>
        <n v="23.0"/>
        <n v="28.0"/>
        <n v="73.0"/>
        <n v="61.0"/>
        <n v="30.0"/>
        <n v="32.0"/>
        <n v="63.0"/>
        <n v="24.0"/>
        <n v="15.0"/>
        <n v="83.0"/>
        <n v="31.0"/>
        <n v="58.0"/>
        <n v="20.0"/>
        <n v="18.0"/>
        <n v="157.0"/>
        <n v="37.0"/>
        <n v="124.0"/>
        <n v="305.0"/>
        <n v="26.0"/>
        <n v="42.0"/>
        <n v="36.0"/>
        <n v="16.0"/>
        <n v="12.0"/>
        <n v="53.0"/>
        <n v="68.0"/>
        <n v="22.0"/>
        <n v="41.0"/>
        <n v="29.0"/>
        <n v="13.0"/>
        <n v="82.0"/>
        <n v="45.0"/>
        <n v="33.0"/>
        <n v="38.0"/>
        <n v="8.0"/>
        <n v="17.0"/>
        <n v="14.0"/>
        <n v="120.0"/>
        <n v="35.0"/>
        <n v="65.0"/>
        <n v="190.0"/>
        <n v="9.0"/>
        <n v="21.0"/>
        <n v="11.0"/>
        <n v="70.0"/>
        <n v="5.0"/>
        <n v="7.0"/>
        <n v="6.0"/>
        <n v="27.0"/>
        <n v="19.0"/>
        <n v="1.0"/>
        <n v="4.0"/>
        <n v="54.0"/>
        <n v="10.0"/>
        <n v="623.0"/>
        <n v="3.0"/>
        <n v="67.0"/>
        <n v="71.0"/>
        <n v="49.0"/>
        <n v="46.0"/>
        <n v="77.0"/>
        <n v="64.0"/>
        <n v="34.0"/>
        <n v="56.0"/>
        <n v="94.0"/>
        <n v="174.0"/>
        <n v="118.0"/>
        <n v="189.0"/>
        <n v="47.0"/>
        <n v="78.0"/>
        <n v="142.0"/>
        <n v="66.0"/>
        <n v="95.0"/>
        <n v="51.0"/>
        <n v="57.0"/>
        <n v="355.0"/>
        <n v="97.0"/>
        <n v="60.0"/>
        <n v="160.0"/>
        <n v="59.0"/>
        <n v="72.0"/>
        <n v="121.0"/>
        <n v="163.0"/>
        <n v="62.0"/>
        <n v="69.0"/>
        <n v="113.0"/>
        <n v="106.0"/>
        <n v="84.0"/>
        <n v="87.0"/>
        <n v="75.0"/>
        <n v="25.0"/>
        <n v="108.0"/>
        <n v="55.0"/>
        <n v="123.0"/>
        <n v="109.0"/>
        <n v="98.0"/>
        <n v="2.0"/>
        <n v="101.0"/>
        <n v="89.0"/>
        <n v="232.0"/>
        <n v="79.0"/>
        <n v="88.0"/>
        <n v="81.0"/>
        <n v="169.0"/>
        <n v="91.0"/>
        <n v="74.0"/>
        <n v="105.0"/>
        <n v="127.0"/>
        <n v="296.0"/>
        <n v="85.0"/>
        <n v="104.0"/>
        <n v="99.0"/>
        <n v="48.0"/>
        <n v="290.0"/>
        <n v="103.0"/>
        <n v="90.0"/>
        <n v="76.0"/>
        <n v="136.0"/>
        <n v="143.0"/>
        <n v="129.0"/>
        <n v="212.0"/>
        <n v="235.0"/>
        <n v="145.0"/>
        <n v="153.0"/>
        <n v="110.0"/>
        <n v="93.0"/>
        <n v="213.0"/>
        <n v="137.0"/>
        <n v="180.0"/>
        <n v="166.0"/>
        <n v="111.0"/>
        <n v="96.0"/>
        <n v="100.0"/>
        <n v="114.0"/>
        <n v="102.0"/>
        <n v="86.0"/>
        <n v="117.0"/>
        <n v="226.0"/>
        <n v="132.0"/>
        <n v="138.0"/>
        <n v="151.0"/>
        <n v="116.0"/>
        <n v="119.0"/>
        <n v="158.0"/>
        <n v="141.0"/>
        <n v="234.0"/>
        <n v="107.0"/>
        <n v="122.0"/>
        <n v="178.0"/>
        <n v="170.0"/>
        <n v="282.0"/>
        <n v="271.0"/>
        <n v="128.0"/>
        <n v="176.0"/>
        <n v="186.0"/>
        <n v="126.0"/>
        <n v="149.0"/>
        <n v="115.0"/>
        <n v="162.0"/>
        <n v="168.0"/>
        <n v="173.0"/>
        <n v="125.0"/>
        <n v="146.0"/>
        <n v="172.0"/>
        <n v="230.0"/>
        <n v="112.0"/>
        <n v="139.0"/>
        <n v="156.0"/>
        <n v="92.0"/>
        <n v="155.0"/>
        <n v="144.0"/>
        <n v="133.0"/>
        <n v="140.0"/>
        <n v="131.0"/>
        <n v="248.0"/>
        <n v="311.0"/>
        <n v="291.0"/>
        <n v="373.0"/>
      </sharedItems>
    </cacheField>
    <cacheField name="positive_count" numFmtId="0">
      <sharedItems containsSemiMixedTypes="0" containsString="0" containsNumber="1" containsInteger="1">
        <n v="5.0"/>
        <n v="4.0"/>
        <n v="3.0"/>
        <n v="2.0"/>
        <n v="0.0"/>
        <n v="9.0"/>
        <n v="1.0"/>
        <n v="6.0"/>
      </sharedItems>
    </cacheField>
    <cacheField name="negative_count" numFmtId="0">
      <sharedItems containsSemiMixedTypes="0" containsString="0" containsNumber="1" containsInteger="1">
        <n v="1.0"/>
        <n v="0.0"/>
        <n v="2.0"/>
        <n v="5.0"/>
        <n v="3.0"/>
        <n v="4.0"/>
      </sharedItems>
    </cacheField>
    <cacheField name="sentiment_theme" numFmtId="0">
      <sharedItems>
        <s v="Customer Support"/>
        <s v="Value &amp; Convenience"/>
        <s v="Fulfillment &amp; Shipping"/>
        <s v="Account &amp; Website"/>
        <s v="Food Safety"/>
        <s v="Other"/>
        <s v="Trust &amp; Experience"/>
        <s v="Service Recovery"/>
        <s v="Availability"/>
      </sharedItems>
    </cacheField>
    <cacheField name="sentiment" numFmtId="0">
      <sharedItems>
        <s v="Positive"/>
        <s v="Negative"/>
        <s v="Neutral"/>
      </sharedItems>
    </cacheField>
    <cacheField name="reviewer_cleaned" numFmtId="0">
      <sharedItems>
        <s v="george romer"/>
        <s v="deborah helfer"/>
        <s v="sam walker"/>
        <s v="janie"/>
        <s v="vanessa howard"/>
        <s v="judith l williams"/>
        <s v="nan r"/>
        <s v="dave minnich"/>
        <s v="cynde s r"/>
        <s v="catherine nocella"/>
        <s v="customer"/>
        <s v="m k mullenbach"/>
        <s v="julie b"/>
        <s v="anne"/>
        <s v="joe p chavez"/>
        <s v="josh"/>
        <s v="gary"/>
        <s v="ann"/>
        <s v="ken l"/>
        <s v="theresa patzke guiver"/>
        <s v="linda lee"/>
        <s v="barbara tierney"/>
        <s v="daniel faflik"/>
        <s v="eduardo"/>
        <s v="packoffour"/>
        <s v="mel"/>
        <s v="nancy madigan"/>
        <s v="david j"/>
        <s v="kimberly"/>
        <s v="melinda jewart"/>
        <s v="gracie wierbinski"/>
        <s v="vicki"/>
        <s v="linda w oviedo fl"/>
        <s v="renee frank"/>
        <s v="patricia connors"/>
        <s v="maria m"/>
        <s v="jack hammer the electric radio show"/>
        <s v="carol ganser"/>
        <s v="k johnson"/>
        <s v="carol cole"/>
        <s v="karen clark"/>
        <s v="tammmy mackai"/>
        <s v="patrick litterer"/>
        <s v="tactical ant"/>
        <s v="cece moore"/>
        <s v="diane l"/>
        <s v="debra zborowski"/>
        <s v="ana arellano"/>
        <s v="nancy valett"/>
        <s v="b stroup"/>
        <s v="virginia dunk"/>
        <s v="steven seltzer"/>
        <s v="natalie"/>
        <s v="joyce"/>
        <s v="jk"/>
        <s v="donna beckner"/>
        <s v="dawn dowling"/>
        <s v="wb"/>
        <s v="william cardona"/>
        <s v="dianne wiley"/>
        <s v="laura shigemitsu"/>
        <s v="cara moore"/>
        <s v="linda"/>
        <s v="monti"/>
        <s v="charlene gioradno"/>
        <s v="maria perrone"/>
        <s v="sue"/>
        <s v="larry hogue"/>
        <s v="rired"/>
        <s v="kc jenkins"/>
        <s v="susan anderson"/>
        <s v="deanna f"/>
        <s v="allison cryer"/>
        <s v="lisa"/>
        <s v="barb bichons"/>
        <s v="nikki parson"/>
        <s v="alex g"/>
        <s v="linda crostic"/>
        <s v="christine flowers"/>
        <s v="baillee"/>
        <s v="paul"/>
        <s v="linda conversa"/>
        <s v="donna quante"/>
        <s v="deb"/>
        <s v="amanda garner"/>
        <s v="ruth"/>
        <s v="debbie trigg"/>
        <s v="olshopper"/>
        <s v="nicole tabbert"/>
        <s v="ania loveless"/>
        <s v="larry thompson"/>
        <s v="tom kulpinski"/>
        <s v="karen salay"/>
        <s v="yadi govea"/>
        <s v="audrey scruggs"/>
        <s v="colleen thompson"/>
        <s v="donna la rocco"/>
        <s v="aussie lover"/>
        <s v="elyse"/>
        <s v="armando lopez"/>
        <s v="julio rodriguez"/>
        <s v="helaine dietz"/>
        <s v="lex"/>
        <s v="bessie"/>
        <s v="vickie"/>
        <s v="kelly"/>
        <s v="dave b"/>
        <s v="lana"/>
        <s v="theodore frank"/>
        <s v="mom of fur babies"/>
        <s v="vivian parker"/>
        <s v="jeannine theakos"/>
        <s v="gail macgillivray"/>
        <s v="eulises r anton"/>
        <s v="catherine clark"/>
        <s v="ken b"/>
        <s v="jeffrey brewster"/>
        <s v="donald brumfield"/>
        <s v="penelope smith"/>
        <s v="ellen hurwitch"/>
        <s v="karen lanz"/>
        <s v="llemmon"/>
        <s v="richard vernon"/>
        <s v="terria bryant"/>
        <s v="kidsarek"/>
        <s v="cheryl mccoy"/>
        <s v="maria klein"/>
        <s v="mm"/>
        <s v="michael gibson"/>
        <s v="andrea ullon"/>
        <s v="jennifer carver"/>
        <s v="janet grey"/>
        <s v="happy customer"/>
        <s v="alyson mcdonald"/>
        <s v="benjamin kiing"/>
        <s v="jean"/>
        <s v="nextadvisor reader"/>
        <s v="julie l"/>
        <s v="ann mccoy"/>
        <s v="david"/>
        <s v="anonymous"/>
        <s v="walter wininger"/>
        <s v="siham ayoub"/>
        <s v="joe pick"/>
        <s v="tom s"/>
        <s v="laura m"/>
        <s v="barbara anderson"/>
        <s v="rick east"/>
        <s v="jennifer taylor"/>
        <s v="daniel grace"/>
        <s v="dennis felicio"/>
        <s v="mark jackson"/>
        <s v="margaret palmer"/>
        <s v="susan borland"/>
        <s v="tmot"/>
        <s v="robert"/>
        <s v="andrea schultheis"/>
        <s v="janet"/>
        <s v="n luffey"/>
        <s v="otmane hattani"/>
        <s v="kenneth"/>
        <s v="john kimber"/>
        <s v="jackie frascatore"/>
        <s v="john wu"/>
        <s v="richard nuzman"/>
        <s v="wanda harris"/>
        <s v="harold talbot"/>
        <s v="dianne"/>
        <s v="donna peterson"/>
        <s v="drgsd"/>
        <s v="mina seymour"/>
        <s v="ellen ennis"/>
        <s v="ronda daus"/>
        <s v="baron eike von lincoln"/>
        <s v="betty jo lesonsky"/>
        <s v="donna biondi"/>
        <s v="tuyen nguyen"/>
        <s v="andranea alexander"/>
        <s v="eric ridgeway"/>
        <s v="julia b"/>
        <s v="katherine sidon"/>
        <s v="nordvpn customer"/>
        <s v="dona joerger"/>
        <s v="shirley harris"/>
        <s v="al disante"/>
        <s v="elwood smith"/>
        <s v="linda klemkawalden"/>
        <s v="anthony cuccaro"/>
        <s v="carrie"/>
        <s v="rosi walsh"/>
        <s v="anthony williams"/>
        <s v="dewayne lovell"/>
        <s v="ahmmed patwary"/>
        <s v="andrea"/>
        <s v="terry anderson"/>
        <s v="sylvia bl"/>
        <s v="valerie fox"/>
        <s v="roch malzac"/>
        <s v="eric bell"/>
        <s v="phillip manley"/>
        <s v="linda sforza"/>
        <s v="lisa rosselli"/>
        <s v="karen ivers"/>
        <s v="crystal brown"/>
        <s v="greg"/>
        <s v="renee p"/>
        <s v="mary"/>
        <s v="dacatsparky"/>
        <s v="troy arenz"/>
        <s v="amy c"/>
        <s v="ariana"/>
        <s v="gail b"/>
        <s v="laura romano"/>
        <s v="jack"/>
        <s v="furrykid mom"/>
        <s v="john defeo"/>
        <s v="bobbi helms"/>
        <s v="kb"/>
        <s v="maria"/>
        <s v="nancy pope"/>
        <s v="larysa muzhanova"/>
        <s v="marian"/>
        <s v="marie hutchings"/>
        <s v="sheryl bilus"/>
        <s v="philip"/>
        <s v="svetlana litvinski"/>
        <s v="grace"/>
        <s v="nora"/>
        <s v="mew"/>
        <s v="barbara bowen baer"/>
        <s v="dr c"/>
        <s v="debbie good"/>
        <s v="moe"/>
        <s v="nancy font"/>
        <s v="edgardo gonzalez"/>
        <s v="eugene woodard"/>
        <s v="wrestling mama"/>
        <s v="lf"/>
        <s v="dr brenda luther"/>
        <s v="ann weinrich"/>
        <s v="ronald mrofcza"/>
        <s v="terri"/>
        <s v="peter j cappello"/>
        <s v="kevin benedict"/>
        <s v="mary busby"/>
        <s v="crystal ortiz"/>
        <s v="jack paul"/>
        <s v="barbara coleman"/>
        <s v="mary ballogg"/>
        <s v="arnold grad"/>
        <s v="amanda"/>
        <s v="ranjana bhattacharya"/>
        <s v="susan thomas"/>
        <s v="andy"/>
        <s v="craig"/>
        <s v="jim"/>
        <s v="rhonda peyton"/>
        <s v="troy harimon"/>
        <s v="laura kotlar"/>
        <s v="maureen meil"/>
        <s v="joseph j puiia jr"/>
        <s v="monica colville"/>
        <s v="donna sullivan"/>
        <s v="od"/>
        <s v="michelle currey"/>
        <s v="cynthia e day"/>
        <s v="rose moore"/>
        <s v="alicia patterson"/>
        <s v="kevin kochenour"/>
        <s v="joseph campe"/>
        <s v="lori"/>
        <s v="maria mireles"/>
        <s v="mary lopez"/>
        <s v="sheba"/>
        <s v="ginny stenoien"/>
        <s v="kei"/>
        <s v="michele allen"/>
        <s v="karen doman"/>
        <s v="kszymo"/>
        <s v="nismoman"/>
        <s v="michael lord"/>
        <s v="sara lentz"/>
        <s v="pm"/>
        <s v="walter williams"/>
        <s v="caldwell"/>
        <s v="jeannett wasicek"/>
        <s v="mary ayala"/>
        <s v="joeyc"/>
        <s v="helen"/>
        <s v="carmello"/>
        <s v="therese kaschuluk"/>
        <s v="veronica villanueva"/>
        <s v="ron c"/>
        <s v="christine smith"/>
        <s v="rachel"/>
        <s v="gina"/>
        <s v="mayra"/>
        <s v="lisa hall"/>
        <s v="donna s"/>
        <s v="peter di"/>
        <s v="frank kendrick"/>
        <s v="christina clark"/>
        <s v="vickie hancock"/>
        <s v="mike seiss"/>
        <s v="deana woodruff"/>
        <s v="marktrimarc"/>
        <s v="chris w"/>
        <s v="karen armer"/>
        <s v="steven s"/>
        <s v="machaca"/>
        <s v="robin lawson"/>
        <s v="lynda claver"/>
        <s v="ted wiaterowski"/>
        <s v="tammy wiggins"/>
        <s v="jheri"/>
        <s v="hannah susan selznick"/>
        <s v="james heidebrecht"/>
        <s v="tammy cox"/>
        <s v="jb walter"/>
        <s v="bill d"/>
        <s v="wr"/>
        <s v="cheryl harper"/>
        <s v="marilyn smith"/>
        <s v="stacia travis"/>
        <s v="debnva"/>
        <s v="ashley"/>
        <s v="soraya f"/>
        <s v="bobbie mcgee"/>
        <s v="meg whipple"/>
        <s v="ariella"/>
        <s v="ann marie peskowski"/>
        <s v="colleen annes"/>
        <s v="tonya deitrick"/>
        <s v="lois schwechtje"/>
        <s v="doug"/>
        <s v="canine mom"/>
        <s v="bernie hamblin"/>
        <s v="cheryl robinson"/>
        <s v="marilyn kempinski"/>
        <s v="katherine gismondi"/>
        <s v="paulette vocu"/>
        <s v="harold"/>
        <s v="gordon bryant"/>
        <s v="marion mohr"/>
        <s v="wa"/>
        <s v="ray vitale"/>
        <s v="barbara swanson"/>
        <s v="el roake"/>
        <s v="mckeone alonna"/>
        <s v="alexandra mendizabal"/>
        <s v="barb wcustomer"/>
        <s v="pamela m"/>
        <s v="vh"/>
        <s v="allen karol"/>
        <s v="shellie hall"/>
        <s v="maryann kurtz"/>
        <s v="lisa peak"/>
        <s v="donald coffman"/>
        <s v="dru hofmann"/>
        <s v="leyla davis"/>
        <s v="leslie seeley"/>
        <s v="scammed user"/>
        <s v="jane collier"/>
        <s v="sporesharon r goltz"/>
        <s v="antonio popjordanov"/>
        <s v="linda croll howell"/>
        <s v="susan langman"/>
        <s v="mike miller"/>
        <s v="jennak"/>
        <s v="linda rucker"/>
        <s v="brenda perezgoodrum"/>
        <s v="daniel hollingsworth"/>
        <s v="pg"/>
        <s v="jeff"/>
        <s v="karen"/>
        <s v="mary beth didion"/>
        <s v="joannie maheux"/>
        <s v="nancy addesso"/>
        <s v="hailey sumpter"/>
        <s v="michael moore"/>
        <s v="jerry divijak"/>
        <s v="andre henderson"/>
        <s v="donna perez"/>
        <s v="murray ritland"/>
        <s v="kristina durocher"/>
        <s v="diane stewart"/>
        <s v="delaine endl"/>
        <s v="sheila robbins"/>
        <s v="gary rold"/>
        <s v="dian"/>
        <s v="kimberly coleman"/>
        <s v="vera wilson"/>
        <s v="mully"/>
        <s v="tara olson"/>
        <s v="ga dog lover"/>
        <s v="b e gunbye"/>
        <s v="daniel gotten"/>
        <s v="xs"/>
        <s v="kathleen armstrong"/>
        <s v="martha krogstad"/>
        <s v="leisure world"/>
        <s v="terry richardson"/>
        <s v="molly b"/>
        <s v="keith dugas"/>
        <s v="darren maguire"/>
        <s v="vickie nelson"/>
        <s v="matt c"/>
        <s v="sheryl s"/>
        <s v="jeffrey b"/>
        <s v="taylor smith"/>
        <s v="stefanie rosenthal"/>
        <s v="brenda m"/>
        <s v="tim"/>
        <s v="frank w"/>
        <s v="dana fehsal"/>
        <s v="stella"/>
        <s v="mary schings"/>
        <s v="smileyone"/>
        <s v="catgirl"/>
        <s v="edmond kachurak"/>
        <s v="nancy harvey"/>
        <s v="huckabees place"/>
        <s v="alberta walker"/>
        <s v="lisa mitchell"/>
        <s v="sandy spencer"/>
        <s v="robert thrush"/>
        <s v="heather"/>
        <s v="patrick kelley"/>
        <s v="brent new"/>
        <s v="cat mom"/>
        <s v="sho en kan nei"/>
        <s v="daniel merrill"/>
        <s v="nina"/>
        <s v="carol lloyd"/>
        <s v="david groves"/>
        <s v="bob johnson"/>
        <s v="peter nguyen"/>
        <s v="alyssa hara"/>
        <s v="brandon phillips"/>
        <s v="anne jennings"/>
        <s v="kyle"/>
        <s v="andrew stevenson"/>
        <s v="victoria"/>
        <s v="consumer"/>
        <s v="alessandra caltabiano"/>
        <s v="jesse witt"/>
        <s v="alicia"/>
        <s v="monica cloninger"/>
        <s v="eddie hales"/>
        <s v="kp"/>
        <s v="wildspaniels"/>
        <s v="kyriaka ehrensberger"/>
        <s v="virha pate"/>
        <s v="s blake"/>
        <s v="mark a"/>
        <s v="karen arnold"/>
        <s v="karen gregory"/>
        <s v="mxf"/>
        <s v="judith lustgarten"/>
        <s v="ellen eaton"/>
        <s v="julieggeno"/>
        <s v="claudia kleczkowski"/>
        <s v="marcy"/>
        <s v="sarah sappington"/>
        <s v="richard sykes"/>
        <s v="cris e"/>
        <s v="shay lee"/>
        <s v="joel rappaport"/>
        <s v="cheryl paszkiewicz"/>
        <s v="jennie dunlap"/>
        <s v="carole paulsen"/>
        <s v="gene w"/>
        <s v="kim gifford"/>
        <s v="andrew g"/>
        <s v="mike koeck"/>
        <s v="donna belderrain"/>
        <s v="rose oneil"/>
        <s v="joann fry"/>
        <s v="michael baca"/>
        <s v="samantha roldan"/>
        <s v="pamela genovesi macdonald"/>
        <s v="sarah saalfield"/>
        <s v="rpf"/>
        <s v="kathy"/>
        <s v="darren parker"/>
        <s v="steven miller sr"/>
        <s v="alice burke"/>
        <s v="john"/>
        <s v="rachelle marple"/>
        <s v="teri vaillancourt"/>
        <s v="maria guillermo"/>
        <s v="michele"/>
        <s v="debbie"/>
        <s v="gordon celliers"/>
        <s v="lisa kelly"/>
        <s v="deborah ann"/>
        <s v="sandyn"/>
        <s v="anita hudnall"/>
        <s v="darlene scheuermann"/>
        <s v="daniel jarovisky"/>
        <s v="sheila g"/>
        <s v="abina cohen"/>
        <s v="therese"/>
        <s v="michael"/>
        <s v="donna hilliard"/>
        <s v="debra"/>
        <s v="jayme k"/>
        <s v="darlene dalijon"/>
        <s v="anthony kelly"/>
        <s v="john rodriguez"/>
        <s v="steven richardson"/>
        <s v="anthony reid"/>
        <s v="brooke marsh"/>
        <s v="charlotta"/>
        <s v="jg"/>
        <s v="jean germano"/>
        <s v="lynn"/>
        <s v="william coberly"/>
        <s v="ruby kilgore"/>
        <s v="maria detommaso"/>
        <s v="donna heaston"/>
        <s v="gena berkebile"/>
        <s v="jeffrey brenner"/>
        <s v="larry gruetzmacher"/>
        <s v="bonnie vohden"/>
        <s v="vicki k boyles"/>
        <s v="karen w"/>
        <s v="donald moravick"/>
        <s v="nate"/>
        <s v="barbara smith"/>
        <s v="rod ferrand"/>
        <s v="mike"/>
        <s v="edward"/>
        <s v="jane roberts"/>
        <s v="simone"/>
        <s v="rickie rabourn"/>
        <s v="maryjane carlisle"/>
        <s v="rebecca"/>
        <s v="anne demsky"/>
        <s v="clare longo"/>
        <s v="skwa"/>
        <s v="lorraine swanson"/>
        <s v="caucus"/>
        <s v="deborah"/>
        <s v="andy johnson"/>
        <s v="rebecca bergwall"/>
        <s v="smb"/>
        <s v="brooke"/>
        <s v="rita"/>
        <s v="kim amoiapost"/>
        <s v="kristin hetland"/>
        <s v="art contrestano"/>
        <s v="julie mcmanus"/>
        <s v="carol zingler"/>
        <s v="jennifer"/>
        <s v="helen lamagna"/>
        <s v="pete"/>
        <s v="lawrence otis"/>
        <s v="jb"/>
        <s v="js"/>
        <s v="sandra wagoner"/>
        <s v="bergen county nj home buyer"/>
        <s v="rick cianflone"/>
        <s v="shirley dufrane"/>
        <s v="imran khan"/>
        <s v="william"/>
        <s v="evan demarr"/>
        <s v="roberta workman"/>
        <s v="desert skies kennel"/>
        <s v="jmr"/>
        <s v="richard rippon"/>
        <s v="nathaniel dearinger"/>
        <s v="carol karvosky"/>
        <s v="robert cook"/>
        <s v="judith patterson"/>
        <s v="nora baga"/>
        <s v="cathy karabetsos"/>
        <s v="doodlebug"/>
        <s v="ronald straub"/>
        <s v="a wortham"/>
        <s v="jerri carroll"/>
        <s v="co sierra glass distributors"/>
        <s v="sonya robinson"/>
        <s v="erica"/>
        <s v="laurie s"/>
        <s v="theresa"/>
        <s v="libby allen"/>
        <s v="janet tennison"/>
        <s v="patricia"/>
        <s v="jay eldredge"/>
        <s v="mary madecosmtih"/>
        <s v="roberto rios ruiz"/>
        <s v="jenny drastura"/>
        <s v="robert short"/>
        <s v="sherry hardwick thomas"/>
        <s v="lc"/>
        <s v="a krutsch"/>
        <s v="lori kiesow"/>
        <s v="peggy hitchings"/>
        <s v="joseph sobremonte"/>
        <s v="sandra halpin"/>
        <s v="katharyn s"/>
        <s v="richard weiss"/>
        <s v="jaqueline cormier"/>
        <s v="james"/>
        <s v="catherine warner"/>
        <s v="shasta sowards"/>
        <s v="jonathan"/>
        <s v="festive"/>
        <s v="patty"/>
        <s v="christian lewis"/>
        <s v="susan wisz"/>
        <s v="amy k"/>
        <s v="anon"/>
        <s v="c santana"/>
        <s v="susan manning"/>
        <s v="kim bulkowski"/>
        <s v="ginny bee"/>
        <s v="michele sage"/>
        <s v="brenda brendy pugs"/>
        <s v="samantha"/>
        <s v="virginia welsh"/>
        <s v="shelley"/>
        <s v="christine whittinghill"/>
        <s v="lynn huizinga"/>
        <s v="denise kochick"/>
        <s v="daniel neumann"/>
        <s v="pamela"/>
        <s v="bradley serlis"/>
        <s v="skeeter"/>
        <s v="mindy reed"/>
        <s v="fabiola v"/>
        <s v="kimberly guidi"/>
        <s v="valentine"/>
        <s v="ron knight"/>
        <s v="helen coryell"/>
        <s v="brian ward"/>
        <s v="willard d meyer"/>
        <s v="juan azcona"/>
        <s v="diane"/>
        <s v="crystalballing"/>
        <s v="terresa holmes"/>
        <s v="tmh"/>
        <s v="tracy wight"/>
        <s v="steven"/>
        <s v="gail morrison"/>
        <s v="angie hutchins"/>
        <s v="brian ohearn"/>
        <s v="john oroke"/>
        <s v="jj"/>
        <s v="spike cover"/>
        <s v="richard qq"/>
        <s v="david hansen"/>
        <s v="cambrea hendricks"/>
        <s v="laurel long"/>
        <s v="mhan"/>
        <s v="customer ellen"/>
        <s v="shelly g"/>
        <s v="mohammad abdi"/>
        <s v="patrick valentine"/>
        <s v="j howe"/>
        <s v="adriana culmone"/>
        <s v="olga intskirveli"/>
        <s v="pamela cooper"/>
        <s v="renea justice"/>
        <s v="jane getsla"/>
        <s v="erin murphy"/>
        <s v="katherine forbes"/>
        <s v="carl simonian"/>
        <s v="roscoe white"/>
        <s v="linda hatcher"/>
        <s v="herb lowrance"/>
        <s v="nancy hough"/>
        <s v="rajan girdhar"/>
        <s v="name withheld"/>
        <s v="rossermond"/>
        <s v="risa"/>
        <s v="mauricio"/>
        <s v="sonja allen"/>
        <s v="frances drake"/>
        <s v="aj bon"/>
        <s v="ap"/>
        <s v="teresa brace"/>
        <s v="christina kaelin"/>
        <s v="clifford heater"/>
        <s v="pamela doherty"/>
        <s v="george crafts"/>
        <s v="jean quigley"/>
        <s v="constance antonelli"/>
        <s v="cnm"/>
        <s v="kristin"/>
        <s v="diane langlois"/>
        <s v="ed coan"/>
        <s v="susan tashiro"/>
        <s v="robert adams"/>
        <s v="botti"/>
        <s v="sharon hazelrigg"/>
        <s v="jody warder newport dr naples fl"/>
        <s v="mary jane"/>
        <s v="denise fergusson"/>
        <s v="stephen"/>
        <s v="portland customer"/>
        <s v="yulia b"/>
        <s v="james shearer"/>
        <s v="arden larsen"/>
        <s v="rob"/>
        <s v="karen costello"/>
        <s v="amy"/>
        <s v="april woodruff"/>
        <s v="marcelino"/>
        <s v="gary fuller"/>
        <s v="kg"/>
        <s v="kevin"/>
        <s v="linda lou"/>
        <s v="cynthia greene"/>
        <s v="maryanne"/>
        <s v="dennitta hill"/>
        <s v="jill johnson"/>
        <s v="greg bisi"/>
        <s v="song lee"/>
        <s v="pauline hamasaki"/>
        <s v="last name ranney"/>
        <s v="anita"/>
        <s v="stephen beckett"/>
        <s v="sara christy hanshew"/>
        <s v="olga abella"/>
        <s v="shalene h"/>
        <s v="georgia"/>
        <s v="heidi mccain"/>
        <s v="joy"/>
        <s v="cb"/>
        <s v="customermsmarianne"/>
        <s v="julia johnson"/>
        <s v="gregory gigantiello"/>
        <s v="christine robinson"/>
        <s v="marylou"/>
        <s v="pam l"/>
        <s v="jim damm"/>
        <s v="odalys cruz"/>
        <s v="jessica friedman"/>
        <s v="tammy borell"/>
        <s v="nk"/>
        <s v="debbie lattin"/>
        <s v="matthew"/>
        <s v="et"/>
        <s v="steve w"/>
        <s v="scott bilot"/>
        <s v="steven harrington"/>
        <s v="roxanne m kitzman"/>
        <s v="diana l"/>
        <s v="unhappy member"/>
        <s v="stephanie p"/>
        <s v="jean silver"/>
        <s v="frank viola"/>
        <s v="julie waymire"/>
        <s v="chanel silva"/>
        <s v="robert naylis"/>
        <s v="kriss m"/>
        <s v="grandma rink"/>
        <s v="don peters"/>
        <s v="leslie fearing"/>
        <s v="deirdre santoscoy"/>
        <s v="melonie eso"/>
        <s v="donna ross"/>
        <s v="paul auger"/>
        <s v="steve sell"/>
        <s v="michael ri"/>
        <s v="julie"/>
        <s v="customer timothy"/>
        <s v="bruce"/>
        <s v="debbie reyes"/>
        <s v="kathyn"/>
        <s v="bubbleslatour"/>
        <s v="cheryl renshaw"/>
        <s v="marilyn cole"/>
        <s v="debora mcnamara"/>
        <s v="nora wadeschultz"/>
        <s v="a iannotta"/>
        <s v="mary hommel"/>
        <s v="ross harrison"/>
        <s v="richard wilson"/>
        <s v="sue evans"/>
        <s v="suzanne"/>
        <s v="pa jo"/>
        <s v="arizona customer"/>
        <s v="betty gibbs"/>
        <s v="susan ostby"/>
        <s v="kvl"/>
        <s v="jody huth"/>
        <s v="diane campochiaro"/>
        <s v="thomas smith"/>
        <s v="abbeys parents"/>
        <s v="don urbielewicz"/>
        <s v="kimberly jensen"/>
        <s v="rhonda williams"/>
        <s v="mamichellr"/>
        <s v="donna greene"/>
        <s v="txcjg"/>
        <s v="elizabeth carter"/>
        <s v="scott l"/>
        <s v="travis"/>
        <s v="alan peters"/>
        <s v="delores beckettpastirchak"/>
        <s v="mary russell"/>
        <s v="jane breyer"/>
        <s v="sheri gittinger"/>
        <s v="kayan eplett"/>
        <s v="kathy k"/>
        <s v="wanda kling"/>
        <s v="carol greenberg"/>
        <s v="christopher weaver"/>
        <s v="paula godina"/>
        <s v="dee"/>
        <s v="suzanne hilltripp"/>
        <s v="mrj"/>
        <s v="suzann"/>
        <s v="marilyn sharp"/>
        <s v="ziva"/>
        <s v="peter tedone"/>
        <s v="angela"/>
        <s v="kristen mullin"/>
        <s v="donna"/>
        <s v="teds mom"/>
        <s v="monica moore"/>
        <s v="steven kimpton"/>
        <s v="terence shubeck"/>
        <s v="mark kelley"/>
        <s v="eve stangor"/>
        <s v="ana ramos"/>
        <s v="safr"/>
        <s v="andrea paquette"/>
        <s v="kathleen smith"/>
        <s v="mattman"/>
        <s v="sarah"/>
        <s v="owlen scaggs"/>
        <s v="eileen portelli"/>
        <s v="hf"/>
        <s v="donna kenny"/>
        <s v="dustin murdock"/>
        <s v="mp"/>
        <s v="meshelle eicher"/>
        <s v="diane amono"/>
        <s v="arthur buckley"/>
        <s v="mommawinks"/>
        <s v="karen sharkey"/>
        <s v="tom wieck"/>
        <s v="kathleen holmes"/>
        <s v="customernancy ullrich"/>
        <s v="nancy lewis"/>
        <s v="tina spring"/>
        <s v="margaret"/>
        <s v="susan latcham"/>
        <s v="renee breeden"/>
        <s v="ronald stout"/>
        <s v="linda wutz"/>
        <s v="kim"/>
        <s v="guest"/>
        <s v="maureen doran kocka"/>
        <s v="em"/>
        <s v="scouter"/>
        <s v="tom lindemann"/>
        <s v="lois ferguson smith"/>
        <s v="debbie thompson"/>
        <s v="lourdes"/>
        <s v="susan"/>
        <s v="robert nelson"/>
        <s v="tina"/>
        <s v="kim phillips"/>
        <s v="ellenp"/>
        <s v="chuck"/>
        <s v="barry h"/>
        <s v="tyson steigers"/>
        <s v="christina l"/>
        <s v="munroe chapin"/>
        <s v="rebecca smith"/>
        <s v="carolyn w shaffer"/>
        <s v="roix"/>
        <s v="jeanette g"/>
        <s v="al larson"/>
        <s v="april"/>
        <s v="judy smith"/>
        <s v="susan love"/>
        <s v="crystal riley"/>
        <s v="nick"/>
        <s v="hilary burns"/>
        <s v="bko"/>
        <s v="gil g"/>
        <s v="tim freytag"/>
        <s v="gail"/>
        <s v="casey fletcher"/>
        <s v="jonathan luecke"/>
        <s v="ddbrown"/>
        <s v="j hamu"/>
        <s v="alexa"/>
        <s v="david eichorn"/>
        <s v="km"/>
        <s v="miumius mom"/>
        <s v="barbara"/>
        <s v="cheri collins"/>
        <s v="frank lucero"/>
        <s v="debi"/>
        <s v="allen m feldman"/>
        <s v="richard"/>
        <s v="s ip"/>
        <s v="dave dufour"/>
        <s v="julia"/>
        <s v="kenneth tuffern"/>
        <s v="bethann baer"/>
        <s v="shelley lloyd"/>
        <s v="kirt koon"/>
        <s v="geoff"/>
        <s v="felix gan"/>
        <s v="raine tyler"/>
        <s v="rebecca d cintron"/>
        <s v="melvin check"/>
        <s v="ann sabin"/>
        <s v="linda schmidt"/>
        <s v="lori lavine"/>
        <s v="mindy saetern"/>
        <s v="john toner"/>
        <s v="brenda"/>
        <s v="linda sokolowski"/>
        <s v="martha vasi"/>
        <s v="richard riner"/>
        <s v="linda ruffing"/>
        <s v="mary hawks"/>
        <s v="laurie greear"/>
        <s v="jill m"/>
        <s v="mandisa henry"/>
        <s v="lesli kelsey"/>
        <s v="melissa"/>
        <s v="frederick pisani"/>
        <s v="amcc"/>
        <s v="ben lever"/>
        <s v="rmc"/>
        <s v="d p"/>
        <s v="sheila w"/>
        <s v="dave lawson"/>
        <s v="kathy durginleighton"/>
        <s v="christine"/>
        <s v="cindync"/>
        <s v="claire turnbull"/>
        <s v="hopecarolyn quentzel"/>
        <s v="eva"/>
        <s v="glenda laubhan"/>
        <s v="elizabeth dekarske"/>
        <s v="c machleit"/>
        <s v="sandra"/>
        <s v="james lallman"/>
        <s v="joe smith"/>
        <s v="phil thomas"/>
        <s v="mary bates"/>
        <s v="vanessa"/>
        <s v="michael del masto"/>
        <s v="yury k"/>
        <s v="michael morehead"/>
        <s v="t ward"/>
        <s v="albert egan"/>
        <s v="michelle rue"/>
        <s v="bob and anne blaicher"/>
        <s v="helene"/>
        <s v="jennifer k"/>
        <s v="tammy"/>
        <s v="steven nevada"/>
        <s v="john anderson"/>
        <s v="barbara rice"/>
        <s v="wheels"/>
        <s v="jenny obrien"/>
        <s v="peter utrata"/>
        <s v="jenna"/>
        <s v="michael g"/>
        <s v="nlb"/>
        <s v="paul verzosa"/>
        <s v="kathryn johnson"/>
        <s v="lh"/>
        <s v="paul guevara"/>
        <s v="kim m"/>
        <s v="viviana k"/>
        <s v="brad galusha"/>
        <s v="theresa van vels"/>
        <s v="tiffany"/>
        <s v="laura cyphers"/>
        <s v="jana anderson"/>
        <s v="linda b"/>
        <s v="josephine vollkommer"/>
        <s v="john toto"/>
        <s v="stephanie carpenter"/>
        <s v="melinda"/>
        <s v="tracy"/>
        <s v="chris s"/>
        <s v="suzanne campbell"/>
        <s v="mark l"/>
        <s v="tagandlink"/>
        <s v="monica loeffler"/>
        <s v="earl mullett jr"/>
        <s v="gretchen"/>
        <s v="justin"/>
        <s v="judy mitchell"/>
        <s v="kelli s"/>
        <s v="kathryn"/>
        <s v="ximena ramos"/>
        <s v="linda s"/>
        <s v="phyllis yaeger"/>
        <s v="linda clark"/>
        <s v="roger ray"/>
        <s v="dawn"/>
        <s v="lkm"/>
        <s v="carolynn galaviz"/>
        <s v="kelly lafrance"/>
        <s v="bennett"/>
        <s v="jeff warmouth"/>
        <s v="customer robert elgin"/>
        <s v="shaggy phipps"/>
        <s v="terry schnitter"/>
        <s v="glenyce ross"/>
        <s v="denali"/>
        <s v="robin croce"/>
        <s v="fred harrah"/>
        <s v="mary ann"/>
        <s v="dory rodriguez"/>
        <s v="robert danforth"/>
        <s v="kerry ohagen"/>
        <s v="rick cantu"/>
        <s v="loretta vacek"/>
        <s v="wilma mccoy"/>
        <s v="mm nava"/>
        <s v="karen forsee"/>
        <s v="jeff burke"/>
        <s v="joan ginard"/>
        <s v="sandra hernandez"/>
        <s v="rustybritt"/>
        <s v="cristina mednick"/>
        <s v="janice"/>
        <s v="cms"/>
        <s v="nancy gibbs"/>
        <s v="travis sherman"/>
        <s v="mel m"/>
        <s v="kyle pollock"/>
        <s v="holly henry west"/>
        <s v="karen harper"/>
        <s v="kathy harveyjones"/>
        <s v="bruce malicki"/>
        <s v="jeff boak"/>
        <s v="suzanne l fraccaroli"/>
        <s v="spencer"/>
        <s v="chris marmo"/>
        <s v="amber s"/>
        <s v="pb"/>
        <s v="ty strawhecker"/>
        <s v="anna"/>
        <s v="ds"/>
        <s v="thomas"/>
        <s v="doggiemistress"/>
        <s v="lynn kaluhiokalani"/>
        <s v="molly mcmurray"/>
        <s v="alicia savino"/>
        <s v="rebecca o"/>
        <s v="victoria schulze"/>
        <s v="lina colella"/>
        <s v="laurel cole"/>
        <s v="alex martinez"/>
        <s v="sharon ellis"/>
        <s v="karen kuns"/>
        <s v="mary suggs"/>
        <s v="richard w"/>
        <s v="stanley"/>
        <s v="david adams"/>
        <s v="robin"/>
        <s v="sdo"/>
        <s v="larry"/>
        <s v="this company sucks"/>
        <s v="malena porter"/>
        <s v="carole"/>
        <s v="raven"/>
        <s v="cristina conklin"/>
        <s v="thomas williams"/>
        <s v="marky"/>
        <s v="debra h"/>
        <s v="susan bjurstrom"/>
        <s v="danny tang"/>
        <s v="mes"/>
        <s v="shirley"/>
        <s v="luke rose"/>
        <s v="susanna s"/>
        <s v="lisa chappell"/>
        <s v="lacey"/>
        <s v="teresa mads"/>
        <s v="hien"/>
        <s v="glen cassells"/>
        <s v="jobyna"/>
        <s v="sue h"/>
        <s v="brian"/>
        <s v="sandra odell"/>
        <s v="darlene"/>
        <s v="melinda theide"/>
        <s v="jordan"/>
        <s v="tami comette"/>
        <s v="shelley malin"/>
        <s v="denise"/>
        <s v="jack kraut"/>
        <s v="mary forsythe"/>
        <s v="tammy ross"/>
        <s v="henry chandler"/>
        <s v="rescue an animal save your sou"/>
        <s v="casey bradshaw"/>
        <s v="njluvsshop"/>
        <s v="james barnett"/>
        <s v="mike bertrand"/>
        <s v="stevens rosemary"/>
        <s v="christine p"/>
        <s v="cathy in new york"/>
        <s v="stop spamming me"/>
        <s v="pamela kelly"/>
        <s v="jeri powell"/>
        <s v="sasciee"/>
        <s v="elizabeth dahl"/>
        <s v="sally"/>
        <s v="julie alms"/>
        <s v="c junior"/>
        <s v="annoyed"/>
        <s v="kelly vigil"/>
        <s v="teimuraz bandzava"/>
        <s v="kathryn riddle"/>
        <s v="k"/>
        <s v="ann r"/>
        <s v="vicki butler"/>
        <s v="eric fisher"/>
        <s v="peter jurich"/>
        <s v="mary l smith"/>
        <s v="jeri boswell"/>
        <s v="k neely"/>
        <s v="catlover"/>
        <s v="beth miranda"/>
        <s v="sal italiano"/>
        <s v="raymond butts"/>
        <s v="george hackney"/>
        <s v="mark marzino"/>
        <s v="joye thomas"/>
        <s v="kristie"/>
        <s v="erin leigh"/>
        <s v="laura garvin"/>
        <s v="karen waxman"/>
        <s v="susan mcclain"/>
        <s v="paola belli"/>
        <s v="ohiodoglover"/>
        <s v="angela plumley"/>
        <s v="george t"/>
        <s v="cecily"/>
        <s v="penny goodin"/>
        <s v="s stavro"/>
        <s v="sharon"/>
        <s v="jeff hale"/>
        <s v="marilyn roth"/>
        <s v="thomas carran"/>
        <s v="ethel houman"/>
        <s v="pat"/>
        <s v="alla ruchkina"/>
        <s v="christina m"/>
        <s v="michael birchall"/>
        <s v="daniel samardzich"/>
        <s v="felicia sisk"/>
        <s v="jt"/>
        <s v="marian m"/>
        <s v="disappointing"/>
        <s v="bergie"/>
        <s v="ga b"/>
        <s v="judy button"/>
        <s v="makayla brain"/>
        <s v="denise angelo"/>
        <s v="starr herscovitch"/>
        <s v="cassidy craig"/>
        <s v="susan vaz"/>
        <s v="linda crane"/>
        <s v="karen reed"/>
        <s v="aq"/>
        <s v="andrew ramseyer"/>
        <s v="nicole"/>
        <s v="gail pray"/>
        <s v="douglas allan"/>
        <s v="rebecca brogan"/>
        <s v="mml"/>
        <s v="art hiler"/>
        <s v="charlene"/>
        <s v="rebecca alderman"/>
        <s v="cary brenchley"/>
        <s v="lanay samuelson"/>
        <s v="carol bronson"/>
        <s v="ambur m"/>
        <s v="dan march"/>
        <s v="wendy stelmack"/>
        <s v="robin munson"/>
        <s v="lilnlus ma"/>
        <s v="frederick irwin"/>
        <s v="gourmet gal"/>
        <s v="michael principe"/>
        <s v="monica feagan"/>
        <s v="ladonna swaim"/>
        <s v="michael james"/>
        <s v="jordan rogers"/>
        <s v="shelly"/>
        <s v="ashley p"/>
        <s v="bobbi"/>
        <s v="sophie brooks"/>
        <s v="roman bowsser"/>
        <s v="reyvonna white"/>
        <s v="mo"/>
        <s v="rh"/>
        <s v="yvette"/>
        <s v="perla buchsbaum"/>
        <s v="paula brock"/>
        <s v="steven c"/>
        <s v="donna grubbs"/>
        <s v="happycamper"/>
        <s v="naja ayers"/>
        <s v="randi k"/>
        <s v="christine swiszcz"/>
        <s v="anja metz"/>
        <s v="rebecca soto"/>
        <s v="julie hagenchurchman"/>
        <s v="jeanne marie thallmayer"/>
        <s v="robin schmincke"/>
        <s v="candy and brian"/>
        <s v="valerie"/>
        <s v="joyce barber"/>
        <s v="jennifer h"/>
        <s v="ron henderson"/>
        <s v="sal quintero"/>
        <s v="brent mccaig"/>
        <s v="richard beard"/>
        <s v="christopher munns"/>
        <s v="julie r"/>
        <s v="mary leader"/>
        <s v="jasmine williams"/>
        <s v="dobetterbileave"/>
        <s v="khairul alam"/>
        <s v="kathryn marshburn"/>
        <s v="anatoly tokar"/>
        <s v="mias mommy nunez"/>
        <s v="iraida trusova"/>
        <s v="lily"/>
        <s v="phyllis beasley"/>
        <s v="carol clarke"/>
        <s v="m savage"/>
        <s v="angela white"/>
        <s v="p rick"/>
        <s v="william baumgartner"/>
        <s v="tram"/>
        <s v="mike l"/>
        <s v="christine j"/>
        <s v="sandra boyas"/>
        <s v="diane r"/>
        <s v="gina andrews"/>
        <s v="john ambrose"/>
        <s v="mj"/>
        <s v="n lucci"/>
        <s v="melissa richard"/>
        <s v="carrie roberts"/>
        <s v="denise anderson"/>
        <s v="jane"/>
        <s v="heather thacker"/>
        <s v="tom w"/>
        <s v="miss christine"/>
        <s v="jim russo"/>
        <s v="nelson tiburcio"/>
        <s v="linda rankin"/>
        <s v="phil dahlquist"/>
        <s v="russ"/>
        <s v="noel hirsch"/>
        <s v="gene smith"/>
        <s v="ahchicotose"/>
        <s v="maitri libellule"/>
        <s v="pauly"/>
        <s v="hr teel"/>
        <s v="happy camper"/>
        <s v="marcela reilly"/>
        <s v="vickie mullins"/>
        <s v="kimberly mcbride"/>
        <s v="tam"/>
        <s v="mahmoud alnajar"/>
        <s v="rita defranco"/>
        <s v="jaqueline bugallo pascucci"/>
        <s v="janesa calone"/>
        <s v="d c"/>
        <s v="rose h arkansas"/>
        <s v="leroy fhlug"/>
        <s v="charlene gallardo"/>
        <s v="walt hunt"/>
        <s v="daniel glunt"/>
        <s v="sue mogle"/>
        <s v="ada frasca"/>
        <s v="marsha mueller"/>
        <s v="jill"/>
        <s v="ria"/>
        <s v="ronald garlick"/>
        <s v="rick"/>
        <s v="jennifer abbottwalker"/>
        <s v="candee zenklusen"/>
        <s v="timmy bjorkquist"/>
        <s v="william g"/>
        <s v="captain stumpy"/>
        <s v="alexandra parra"/>
        <s v="frederic steinhardt"/>
        <s v="jacqui"/>
        <s v="hofty"/>
        <s v="kimberley lightcap"/>
        <s v="brenda mitchell"/>
        <s v="hma"/>
        <s v="siameez"/>
        <s v="steven ganung"/>
        <s v="jennifer schilling"/>
        <s v="donna m"/>
        <s v="jborine"/>
        <s v="debbie flores"/>
        <s v="patti martinez"/>
        <s v="drew nelson"/>
        <s v="geraldine hagan"/>
        <s v="elizabeth cunningham"/>
        <s v="carlos g"/>
        <s v="lara m"/>
        <s v="elizabeth jackson"/>
        <s v="barbara jones"/>
        <s v="kathy wesolowski"/>
        <s v="dan"/>
        <s v="jaclyn koester"/>
        <s v="phillip lavery"/>
        <s v="z c w"/>
        <s v="david blake"/>
        <s v="kathie potega"/>
        <s v="barb"/>
        <s v="sheliaj"/>
        <s v="eightblueeyes"/>
        <s v="ellen soliscohen"/>
        <s v="katarina"/>
        <s v="mclem"/>
        <s v="michele bowers"/>
        <s v="james b"/>
        <s v="ed"/>
        <s v="marmy"/>
        <s v="kim frazier"/>
        <s v="donna augustine"/>
        <s v="mary chalaire"/>
        <s v="ginny b"/>
        <s v="buddha opalina"/>
        <s v="rhonda"/>
        <s v="stanleychavez"/>
        <s v="honey flavorz"/>
        <s v="stephanie lucas"/>
        <s v="smw"/>
        <s v="annie lavigne"/>
        <s v="audrey eichwald"/>
        <s v="joyce berry"/>
        <s v="brianna schumaker nguyen"/>
        <s v="rebecca lopez"/>
        <s v="lak"/>
        <s v="gera williams"/>
        <s v="frank wessinger"/>
        <s v="mayme wilhem"/>
        <s v="lanier watson"/>
        <s v="rebecca wickstrom"/>
        <s v="susan jay"/>
        <s v="diane escobar"/>
        <s v="debbie roberts"/>
        <s v="margaret s warner"/>
        <s v="maxs mom"/>
        <s v="myron"/>
        <s v="tanjina"/>
        <s v="steve karman"/>
        <s v="linda keller"/>
        <s v="alise saunders"/>
        <s v="anita saint clair"/>
        <s v="andrina dacar"/>
        <s v="ronnie hoffman"/>
        <s v="berkshires"/>
        <s v="christopher"/>
        <s v="verla e ording"/>
        <s v="angela bowen"/>
        <s v="dan w"/>
        <s v="adrienne b"/>
        <s v="wendy morrey"/>
        <s v="stephen held"/>
        <s v="b bradford"/>
        <s v="marilyn badger"/>
        <s v="rodb"/>
        <s v="melissa susinonussbaum"/>
        <s v="william matthews"/>
        <s v="elizabeth cumberbatch"/>
        <s v="jesse clark"/>
        <s v="michelle unger"/>
        <s v="lrivera"/>
        <s v="ebony parker waugh"/>
        <s v="scd"/>
        <s v="dogmom"/>
        <s v="william gallop"/>
        <s v="zars mom"/>
        <s v="frederick brough iii"/>
        <s v="carla trujillo"/>
        <s v="carol k"/>
        <s v="joseph"/>
        <s v="marko"/>
        <s v="pamela yeh"/>
        <s v="jill clarke"/>
        <s v="don walters"/>
        <s v="kathi"/>
        <s v="indiana dilan"/>
        <s v="robert anderson"/>
        <s v="no happy"/>
        <s v="stacey m"/>
        <s v="yolanda griffiths"/>
        <s v="michelle berentz"/>
        <s v="renee bee"/>
        <s v="judith lewis"/>
        <s v="nancy clasen"/>
        <s v="laura"/>
        <s v="wendy mann"/>
        <s v="s tate"/>
        <s v="tammie y"/>
        <s v="beckley van cleave"/>
        <s v="denise archer"/>
        <s v="larry bentley"/>
        <s v="m quick"/>
        <s v="ted"/>
        <s v="vikki flaherty"/>
        <s v="dawn schaffer"/>
        <s v="sheffield larry"/>
        <s v="dennis hoffbuhr"/>
        <s v="elyse d"/>
        <s v="kay"/>
        <s v="bob kobashigawa"/>
        <s v="loui marra"/>
        <s v="chris cassner"/>
        <s v="belinda harlow"/>
        <s v="mia lavergne"/>
        <s v="agnes"/>
        <s v="nancy"/>
        <s v="judy kathleen thompson"/>
        <s v="cynthia gould"/>
        <s v="linda meehan"/>
        <s v="lisa shaffer"/>
        <s v="barrie"/>
        <s v="yas"/>
        <s v="t m buckman"/>
        <s v="duane neuerburg"/>
        <s v="eva fresquez"/>
        <s v="rollin baird"/>
        <s v="tracy westmoreland"/>
        <s v="penny"/>
        <s v="judith taylor"/>
        <s v="joel goldin"/>
        <s v="db"/>
        <s v="paul weiler"/>
        <s v="charlie"/>
        <s v="john heitzman"/>
        <s v="kallie daviscourt"/>
        <s v="eric"/>
        <s v="nancy camacho"/>
        <s v="sandra hersom"/>
        <s v="martha garlick"/>
        <s v="jennifer frain"/>
        <s v="steven poster"/>
        <s v="tom p"/>
        <s v="deberoh gruver"/>
        <s v="cathy k"/>
        <s v="biscuit"/>
        <s v="jose araujo"/>
        <s v="bomarkat"/>
        <s v="carole springer"/>
        <s v="daniel"/>
        <s v="lon carney"/>
        <s v="kady tetzlaff"/>
        <s v="peggy jo gustis"/>
        <s v="maureen watson"/>
        <s v="corinne brown"/>
        <s v="laura bishop"/>
        <s v="feniix"/>
        <s v="beth v"/>
        <s v="syndee f"/>
        <s v="ksj"/>
        <s v="don land"/>
        <s v="dawn mordica"/>
        <s v="linda j larson"/>
        <s v="all seeing isaac"/>
        <s v="caroline halder"/>
        <s v="thad s"/>
        <s v="beverly delaet"/>
        <s v="dale t"/>
        <s v="joseph g"/>
        <s v="dhk"/>
        <s v="joy to the world"/>
        <s v="gail hughes"/>
        <s v="eessam ammouri"/>
        <s v="susan abeel"/>
        <s v="maureen"/>
        <s v="roz dorf"/>
        <s v="jeanette zglobicki"/>
        <s v="paulette tardio"/>
        <s v="michael paglianti"/>
        <s v="robert earhart"/>
        <s v="amy nash"/>
        <s v="marie"/>
        <s v="anya spielberg"/>
        <s v="klaurie"/>
        <s v="megan r"/>
        <s v="sharen"/>
        <s v="ellen childs"/>
        <s v="jennifer hoffman"/>
        <s v="david cohen"/>
        <s v="lois sussman"/>
        <s v="judith endean"/>
        <s v="whitney chirdon"/>
        <s v="samis mom"/>
        <s v="pet lover"/>
        <s v="lck"/>
        <s v="lisa denny"/>
        <s v="vw"/>
        <s v="vicki thornborough"/>
        <s v="craig letrich"/>
        <s v="nilda berrios"/>
        <s v="patricia mulqueen"/>
        <s v="cathy"/>
        <s v="annette"/>
        <s v="kaye owens"/>
        <s v="jose diaz"/>
        <s v="antoinette pelkey"/>
        <s v="jennifer daly"/>
        <s v="tne"/>
        <s v="maureen r"/>
        <s v="marc eisen"/>
        <s v="jackie"/>
        <s v="brenda hach"/>
        <s v="denise moll"/>
        <s v="rk"/>
        <s v="shelia"/>
        <s v="sharon wainwright"/>
        <s v="nura cue"/>
        <s v="john hawthorne"/>
        <s v="marietta pup mom"/>
        <s v="andrew cohen"/>
        <s v="cynthia"/>
        <s v="joanne beiger"/>
        <s v="carol"/>
        <s v="matthew atherley"/>
        <s v="amy senstad"/>
        <s v="sheryl mclean"/>
        <s v="ronda raye"/>
        <s v="leslie zelkowitz"/>
        <s v="wendy ganser"/>
        <s v="al t"/>
        <s v="monica"/>
        <s v="ian"/>
        <s v="kathy kleist"/>
        <s v="suzanne fleischmann"/>
        <s v="andres"/>
        <s v="b sillwell"/>
        <s v="kenneth kantor"/>
        <s v="ms"/>
        <s v="lee barthel"/>
        <s v="philip m"/>
        <s v="disappointed"/>
        <s v="violet ahrenholtz"/>
        <s v="virginia buxton"/>
        <s v="johaen b nunez"/>
        <s v="robert hernandez"/>
        <s v="janet patacca"/>
        <s v="evelyn white"/>
        <s v="deanna meyer"/>
        <s v="jeannie"/>
        <s v="jean winans"/>
        <s v="rhona hammock"/>
        <s v="irina"/>
        <s v="gingers mom"/>
        <s v="linda shinneman"/>
        <s v="rexford nichols"/>
        <s v="joann shepherd"/>
        <s v="katie"/>
        <s v="charlotte cooper"/>
        <s v="jean kandel"/>
        <s v="leta wells"/>
        <s v="shannon molloy"/>
        <s v="leo"/>
        <s v="richard k falke"/>
        <s v="mary boyle"/>
        <s v="angela severe"/>
        <s v="heather parchman"/>
        <s v="patrick"/>
        <s v="robert vanmeter"/>
        <s v="herb"/>
        <s v="nick v"/>
        <s v="monica abeyta"/>
        <s v="mark stevens"/>
        <s v="timothy cooper"/>
        <s v="dennis"/>
        <s v="stephanie walker"/>
        <s v="cam"/>
        <s v="angela rombach"/>
        <s v="desiree zambrana"/>
        <s v="llb"/>
        <s v="joseph gonzales"/>
        <s v="ron"/>
        <s v="brenda keister"/>
        <s v="linda murphy"/>
        <s v="hat"/>
        <s v="margaret finnegan"/>
        <s v="richard davila"/>
        <s v="susan ross"/>
        <s v="terryn"/>
        <s v="patricia sosa"/>
        <s v="lorrie candler"/>
        <s v="linda ryburn"/>
        <s v="klossau"/>
        <s v="feo"/>
        <s v="sable jak"/>
        <s v="naioma emanuel"/>
        <s v="hilary"/>
        <s v="kim b"/>
        <s v="victoria k"/>
        <s v="kimberly reed"/>
        <s v="rose g"/>
        <s v="andrea menzerfeebeck"/>
        <s v="tracie osborne"/>
        <s v="rll"/>
        <s v="bob herbert hsu"/>
        <s v="delphiguy"/>
        <s v="fynn moreland"/>
        <s v="terry wolverton"/>
        <s v="ljudice"/>
        <s v="mary griswold"/>
        <s v="kathy j"/>
        <s v="alexis roeber"/>
        <s v="purrfectly contented pat"/>
        <s v="tara nosich"/>
        <s v="kitty mama"/>
        <s v="glenn donofri"/>
        <s v="jim d"/>
        <s v="nataliya kutyepova"/>
        <s v="christy"/>
        <s v="ruth butler"/>
        <s v="janet alli"/>
        <s v="ken"/>
        <s v="gator"/>
        <s v="ben szilagy"/>
        <s v="deborah h"/>
        <s v="betsy rayle"/>
        <s v="tyrone morgan"/>
        <s v="lbrotkin"/>
        <s v="stacy bovefulgenzi"/>
        <s v="carol anne olsen"/>
        <s v="robert william"/>
        <s v="kaybar"/>
        <s v="lb"/>
        <s v="elissa rogovin"/>
        <s v="kathleen hale"/>
        <s v="patrick wood"/>
        <s v="suzie mcleod"/>
        <s v="megan j"/>
        <s v="karen good"/>
        <s v="kim bartley"/>
        <s v="nancy roberts"/>
        <s v="carl mchenry"/>
        <s v="richard arvonio"/>
        <s v="valued customer"/>
        <s v="martha"/>
        <s v="faye robinson"/>
        <s v="judy sander"/>
        <s v="lisa green"/>
        <s v="francesca"/>
        <s v="john fezio"/>
        <s v="diane tempe az"/>
        <s v="richard bott"/>
        <s v="cornelis boudewijn"/>
        <s v="scott holder"/>
        <s v="howard low"/>
        <s v="scott"/>
        <s v="k rom"/>
        <s v="joyce curtis"/>
        <s v="richard k"/>
        <s v="denise kramer"/>
        <s v="john b"/>
        <s v="courtney fraley"/>
        <s v="megan"/>
        <s v="cap"/>
        <s v="ellen"/>
        <s v="jailall ramlagan"/>
        <s v="lyanne lopez"/>
        <s v="ruth rothman"/>
        <s v="ccole"/>
        <s v="kathy huber"/>
        <s v="barb s"/>
        <s v="zoofmly"/>
        <s v="john down"/>
        <s v="mark eliasoff"/>
        <s v="audrey epstein"/>
        <s v="robert ewing"/>
        <s v="diane aldrete"/>
        <s v="lori digiovanni"/>
        <s v="charles"/>
        <s v="sandra f"/>
        <s v="pet friend"/>
        <s v="lance young"/>
        <s v="patricia lloyd"/>
        <s v="robert stoff"/>
        <s v="wilson"/>
        <s v="patricia walley"/>
        <s v="stepheny tays"/>
        <s v="banteaux"/>
        <s v="angie tracy"/>
        <s v="mrs bill"/>
        <s v="sheila brooks"/>
        <s v="crystal shackleford"/>
        <s v="elizabeth moody"/>
        <s v="doreen barnas"/>
        <s v="jsmom"/>
        <s v="cantwell joanne"/>
        <s v="riley mcintire"/>
        <s v="gloria"/>
        <s v="deborah treadway"/>
        <s v="lisa herndon"/>
        <s v="dl"/>
        <s v="riki orellana"/>
        <s v="linda schulz"/>
        <s v="keith schwartz schwartz"/>
        <s v="erin anselm"/>
        <s v="trinidad magno"/>
        <s v="kam"/>
        <s v="kara miller"/>
        <s v="lydia theys"/>
        <s v="barbara grossi"/>
        <s v="richard baumgartner"/>
        <s v="aaron schott"/>
        <s v="patty jablonowski"/>
        <s v="richard ritchey"/>
        <s v="richard ceccacci jr"/>
        <s v="robin elder"/>
        <s v="laura anne welch"/>
        <s v="dorecia wilde"/>
        <s v="christine bonham"/>
        <s v="douglas vergara"/>
        <s v="bwheeler"/>
        <s v="roy chen"/>
        <s v="susan winter"/>
        <s v="john dustin"/>
        <s v="lazaro perez"/>
        <s v="jen petsu"/>
        <s v="mildred crawford"/>
        <s v="erica a"/>
        <s v="vicki hartsburg"/>
        <s v="stan"/>
        <s v="virginia sundin"/>
        <s v="steven kellerman"/>
        <s v="nelfudge"/>
        <s v="jenn"/>
        <s v="deidra eckerd"/>
        <s v="gems mom"/>
        <s v="alicia p"/>
        <s v="txbear"/>
        <s v="joan"/>
        <s v="cynthia mcmahan"/>
        <s v="carter farmer"/>
        <s v="marilyn thorson"/>
        <s v="jane smiley"/>
        <s v="jc"/>
        <s v="jerry scott"/>
        <s v="dave g"/>
        <s v="breewynd labradors"/>
        <s v="john boster"/>
        <s v="mntx"/>
        <s v="linda miville"/>
        <s v="janet moore"/>
        <s v="sarah mcanally"/>
        <s v="cfrick"/>
        <s v="clementine maureen l paradise"/>
        <s v="customer brenda"/>
        <s v="kika"/>
        <s v="cheryl"/>
        <s v="morgan briggs"/>
        <s v="suzy osum"/>
        <s v="dub crofford"/>
        <s v="randi buslik"/>
        <s v="sandra n"/>
        <s v="maureen whyte"/>
        <s v="ruth monzel"/>
        <s v="kerin anthony"/>
        <s v="lisa kleiner"/>
        <s v="s shay"/>
        <s v="virginia"/>
        <s v="galina moliboga"/>
        <s v="maria plochocki"/>
        <s v="damien horst"/>
        <s v="duwi"/>
        <s v="ado zohorovic"/>
        <s v="dave reik"/>
        <s v="jill greer"/>
        <s v="kitty queen"/>
        <s v="sheri garrison"/>
        <s v="debra loper"/>
        <s v="mary henry"/>
        <s v="tiffany driscoll"/>
        <s v="dave pinner"/>
        <s v="tammy krauss"/>
        <s v="judith jones"/>
        <s v="cat appreciator from se ny"/>
        <s v="go"/>
        <s v="chuck howard"/>
        <s v="mr"/>
        <s v="oscar ringness"/>
        <s v="william hroch"/>
        <s v="ubaldo morales"/>
        <s v="sandi lynn dupuy"/>
        <s v="hayley"/>
        <s v="caitlin r"/>
        <s v="renato fabbro"/>
        <s v="rick doctor"/>
        <s v="james badaczewski"/>
        <s v="jennotjenn"/>
        <s v="lisa thompson"/>
        <s v="anne rainey"/>
        <s v="c thomas"/>
        <s v="norma murphy"/>
        <s v="jason diehl"/>
        <s v="barbara chiapetta"/>
        <s v="jl"/>
        <s v="cr simmons"/>
        <s v="pam schiller"/>
        <s v="eileen"/>
        <s v="cathy alire"/>
        <s v="glenn singer"/>
        <s v="linda schuhmacher"/>
        <s v="carolynf"/>
        <s v="ana"/>
        <s v="shirley alexander"/>
        <s v="cheryl corbean"/>
        <s v="patrick ryan"/>
        <s v="sara ann stocker"/>
        <s v="lan zhao"/>
        <s v="lisa wottrich"/>
        <s v="loren"/>
        <s v="dolores liberti"/>
        <s v="daniel culbert"/>
        <s v="carol staten clark"/>
        <s v="lynn cathey"/>
        <s v="dane"/>
        <s v="carola"/>
        <s v="dusty"/>
        <s v="lee harvie"/>
        <s v="quokka"/>
        <s v="paula g"/>
        <s v="michael neyhart"/>
        <s v="sk source"/>
        <s v="molly"/>
        <s v="joe buffa"/>
        <s v="an"/>
        <s v="lisa ingram"/>
        <s v="judith harris"/>
        <s v="chris"/>
        <s v="vicky brown"/>
        <s v="customerjeannie"/>
        <s v="alyssa jolley"/>
        <s v="lidia antoni ljubic"/>
        <s v="chelsey hutchings"/>
        <s v="r meyer"/>
        <s v="maribel padilla"/>
        <s v="susan gibson"/>
        <s v="aqualiz"/>
        <s v="sam b"/>
        <s v="barbara moose"/>
        <s v="deborah stumm"/>
        <s v="lilly"/>
        <s v="tg"/>
        <s v="morgan bailey"/>
        <s v="diane wendte"/>
        <s v="phyllis snook"/>
        <s v="marilynn estes"/>
        <s v="shirley newmont"/>
        <s v="mary ann salomone"/>
        <s v="timothy eischens"/>
        <s v="joan l"/>
        <s v="mel givison"/>
        <s v="joanne larsen"/>
        <s v="connie boree"/>
        <s v="frenchie mom"/>
        <s v="jeffrey dreisin"/>
        <s v="laketa"/>
        <s v="john hofker"/>
        <s v="montana hayes"/>
        <s v="zahra tappouni"/>
        <s v="sara"/>
        <s v="heidi ripkecurcio"/>
        <s v="sad cat"/>
        <s v="denise a hobson"/>
        <s v="jenny ladd"/>
        <s v="lisa timm"/>
        <s v="annie marie"/>
        <s v="customerdebra"/>
        <s v="rollie bennett"/>
        <s v="devon lewis"/>
        <s v="anna sutocky"/>
        <s v="walter l zych"/>
        <s v="richard in sc"/>
        <s v="randy shelby"/>
        <s v="catherine burns"/>
        <s v="taira naiomy"/>
        <s v="dani"/>
        <s v="helen hegarty"/>
        <s v="rita krause"/>
        <s v="renee gutierrezkinz"/>
        <s v="mrs wicked dragonfly"/>
        <s v="roger martinez"/>
        <s v="kyle l"/>
        <s v="gwen"/>
        <s v="lauren s"/>
        <s v="mary dalton"/>
        <s v="deborah perry"/>
        <s v="jay s"/>
        <s v="alejandro"/>
        <s v="desiree racqer"/>
        <s v="marcus twotime"/>
        <s v="sandra mayes"/>
        <s v="cindy flatt"/>
        <s v="brian aderer"/>
        <s v="jan berti"/>
        <s v="lisa meyers"/>
        <s v="rafe h schindler"/>
        <s v="randy holloway"/>
        <s v="lanette wilke"/>
        <s v="joseph steele"/>
        <s v="wes tanaka"/>
        <s v="rick v"/>
        <s v="joan mcdaniel"/>
        <s v="peter"/>
        <s v="jane pimentel"/>
        <s v="shea"/>
        <s v="brant standridge"/>
        <s v="s dalton"/>
        <s v="peggy r"/>
        <s v="code"/>
        <s v="theresa mossberg"/>
        <s v="lynne wilson"/>
        <s v="lynn surdow"/>
        <s v="elke"/>
        <s v="lucys mom"/>
        <s v="tammie dazey"/>
        <s v="ben"/>
        <s v="duwayne wenger"/>
        <s v="kenneth i hamilton"/>
        <s v="kevin charles"/>
        <s v="amanda hatfield"/>
        <s v="karen riley"/>
        <s v="siskin"/>
        <s v="florida pet owner"/>
        <s v="frank giuliano"/>
        <s v="gloria navarro"/>
        <s v="hr"/>
        <s v="frank marmolejo"/>
        <s v="mmaynard"/>
        <s v="david croyle"/>
        <s v="deborah caudill"/>
        <s v="eric greene"/>
        <s v="sherry bishop"/>
        <s v="paul rocha"/>
        <s v="pat in rochester ny"/>
        <s v="sarah gabbard"/>
        <s v="eirene a"/>
        <s v="terry clark"/>
        <s v="cindy l stanbery"/>
        <s v="robert clark"/>
        <s v="dj"/>
        <s v="shawn"/>
        <s v="noel truty"/>
        <s v="bill loh"/>
        <s v="pdo"/>
        <s v="jo"/>
        <s v="candice boggs"/>
        <s v="stewart smith"/>
        <s v="jodi"/>
        <s v="mary anne bruesewitz"/>
        <s v="christina"/>
        <s v="richard lucas"/>
        <s v="melissa wilhelm"/>
        <s v="patrick st john"/>
        <s v="justanswer customer"/>
        <s v="d w"/>
        <s v="michelle b"/>
        <s v="need food at least within a we"/>
        <s v="bobbi mcrae"/>
        <s v="kk"/>
        <s v="lsw"/>
        <s v="stevendina lewis"/>
        <s v="donald ralph"/>
        <s v="ol"/>
        <s v="sharlene manore"/>
        <s v="sngfever"/>
        <s v="beepaloma"/>
        <s v="mike stone"/>
        <s v="mike warder"/>
        <s v="richard scalzo"/>
        <s v="harumi johnson"/>
        <s v="ashley younger"/>
        <s v="bruce corcoran"/>
        <s v="karen denike"/>
        <s v="adrienne bates"/>
        <s v="carla reed"/>
        <s v="m miller"/>
        <s v="dorothy zeigler"/>
        <s v="debby oyler"/>
        <s v="lisa wiesenauer"/>
        <s v="jam"/>
        <s v="albert franzone"/>
        <s v="ronald verhagen"/>
        <s v="anthony"/>
        <s v="brian ensign"/>
        <s v="sharon coker"/>
        <s v="dave teague"/>
        <s v="barbara hughes sell"/>
        <s v="georgia a"/>
        <s v="dina shackelford"/>
        <s v="amy talbert"/>
        <s v="robert bowser"/>
        <s v="john mikash"/>
        <s v="valeria"/>
        <s v="joseph layne"/>
        <s v="diana decker"/>
        <s v="steve werda"/>
        <s v="thomas beck"/>
        <s v="scott gellman"/>
        <s v="shelley khoury"/>
        <s v="sierra cagle"/>
        <s v="leeann harmening"/>
        <s v="maggie"/>
        <s v="hyun whyte"/>
        <s v="william ludewig cave creek az"/>
        <s v="rosalie"/>
        <s v="patricia hawks"/>
        <s v="tammy brown"/>
        <s v="ivaluem"/>
        <s v="monica snape"/>
        <s v="michelle"/>
        <s v="kim hiland"/>
        <s v="joyce shipman"/>
        <s v="wendy call"/>
        <s v="allison baird"/>
        <s v="thomas popp"/>
        <s v="eilene b"/>
        <s v="greenflyingdragon"/>
        <s v="vivian m"/>
        <s v="meryl dattolico"/>
        <s v="nancy alvey"/>
        <s v="susan b mueller"/>
        <s v="patti"/>
        <s v="reviewer"/>
        <s v="rebecca eimerman"/>
        <s v="sarita miller"/>
        <s v="kelli douglass"/>
        <s v="rg thomas"/>
        <s v="betty shaffer"/>
        <s v="tammy a bayes"/>
        <s v="gm"/>
        <s v="todd twedt"/>
        <s v="lynnea dale"/>
        <s v="sh"/>
        <s v="marianne guran"/>
        <s v="mcintyre linda"/>
        <s v="lorraine castelain"/>
        <s v="amanda b"/>
        <s v="mark brown"/>
        <s v="ronnie"/>
        <s v="shirley moses"/>
        <s v="stacey bauman"/>
        <s v="ann knauer"/>
        <s v="georgann"/>
        <s v="kate kenner"/>
        <s v="samantha pousson"/>
        <s v="jeff thomas"/>
        <s v="michelle daoust"/>
        <s v="colleen wagoner"/>
        <s v="marcelline fredette"/>
        <s v="betsy"/>
        <s v="k carpenter"/>
        <s v="linda nichols"/>
        <s v="linda hensley"/>
        <s v="julie truett"/>
        <s v="michelle day"/>
        <s v="gidget"/>
        <s v="grams"/>
        <s v="gael didloff"/>
        <s v="michael s"/>
        <s v="jhr"/>
        <s v="kevin walsh"/>
        <s v="bonnie sparmblack"/>
        <s v="beth anderson"/>
        <s v="vincie soyars"/>
        <s v="magdala cruz"/>
        <s v="the phone guy"/>
        <s v="jessica childers"/>
        <s v="denise m"/>
        <s v="rhea"/>
        <s v="carol berdar"/>
        <s v="crystelyn guererri"/>
        <s v="skip woodruff"/>
        <s v="not a happy customer"/>
        <s v="sandra sturgeon"/>
        <s v="jennifer nelson"/>
        <s v="ks"/>
        <s v="nancy carrington"/>
        <s v="deborah may dunn"/>
        <s v="tom hynes"/>
        <s v="heather hunt"/>
        <s v="wooly"/>
        <s v="sr"/>
        <s v="veronica"/>
        <s v="elisete amaral"/>
        <s v="estefania cantero"/>
        <s v="suzanne mattiello"/>
        <s v="ashley e"/>
        <s v="eugene orourke"/>
        <s v="susanna bjornsson"/>
        <s v="jack a"/>
        <s v="frani c new jersey"/>
        <s v="sharon hubert"/>
        <s v="amy burris"/>
        <s v="lakelady"/>
        <s v="claire a"/>
        <s v="barron baszto"/>
        <s v="kim surber hacker"/>
        <s v="mellie"/>
        <s v="cindy"/>
        <s v="ep"/>
        <s v="albert buys"/>
        <s v="jake oneill"/>
        <s v="michele heile"/>
        <s v="teri lispi"/>
        <s v="deborah jb"/>
        <s v="pj"/>
        <s v="jeb"/>
        <s v="judy barrick"/>
        <s v="renee neace"/>
        <s v="karrie"/>
        <s v="kate shearer"/>
        <s v="am"/>
        <s v="irene"/>
        <s v="for your order"/>
        <s v="sacajawea"/>
        <s v="rosa"/>
        <s v="cheryl appel"/>
        <s v="diane gaidry"/>
        <s v="qismat sherani"/>
        <s v="tokio kuniyoshi"/>
        <s v="theresa espey"/>
        <s v="aixa briner"/>
        <s v="rp"/>
        <s v="ed bertarelli"/>
        <s v="natalie j"/>
        <s v="brenda fernandez"/>
        <s v="wynn wasinger"/>
        <s v="dan spivey"/>
        <s v="sharon viellenave"/>
        <s v="carol greenfield"/>
        <s v="mark kutschinski"/>
        <s v="cindy aloi"/>
        <s v="natalie green"/>
        <s v="brenda grimmett"/>
        <s v="mimi crevello"/>
        <s v="anita leakey"/>
        <s v="ralph burton"/>
        <s v="dale newby"/>
        <s v="a king"/>
        <s v="judie"/>
        <s v="dana"/>
        <s v="jerry marshall"/>
        <s v="stephen addo jr"/>
        <s v="stow cat mom"/>
        <s v="azkas"/>
        <s v="coop"/>
        <s v="jill eagles"/>
        <s v="cecelia roman"/>
        <s v="bradley smith"/>
        <s v="lp"/>
        <s v="wendy raposa"/>
        <s v="kari gorzny"/>
        <s v="k hechinger"/>
        <s v="maggie c"/>
        <s v="diana tschantre"/>
        <s v="kc dee"/>
        <s v="joanna s"/>
        <s v="paul lalena"/>
        <s v="njdeb"/>
        <s v="anna homer"/>
        <s v="kpabst"/>
        <s v="laurie"/>
        <s v="delilah vohnoutka"/>
        <s v="alvin"/>
        <s v="igor mitrovic"/>
        <s v="fliptide"/>
        <s v="katty"/>
        <s v="a consumer"/>
        <s v="neil rowan"/>
        <s v="ralph pastor"/>
        <s v="tracy splain"/>
        <s v="lish"/>
        <s v="hannah currie"/>
        <s v="raydias box hildreth"/>
        <s v="bob"/>
        <s v="dolores davis"/>
        <s v="arnold gerber"/>
        <s v="lisa gonzalez"/>
        <s v="jbaj"/>
        <s v="jerome loewenstein"/>
        <s v="ginger"/>
        <s v="marcie garn"/>
        <s v="claire goodwin"/>
        <s v="patricia nissenbaumdon childs"/>
        <s v="beans"/>
        <s v="dgi"/>
        <s v="richard buckwalter"/>
        <s v="fran davis"/>
        <s v="ktrekker"/>
        <s v="charlene r glover"/>
        <s v="c b"/>
        <s v="vickie byrne"/>
        <s v="marisa bernal"/>
        <s v="glo williams"/>
        <s v="katherine sampson"/>
        <s v="sb"/>
        <s v="trace w"/>
        <s v="krissy"/>
        <s v="noella"/>
        <s v="frances dolmage"/>
        <s v="john plato"/>
        <s v="johanna jimenez"/>
        <s v="priscilla bashinski"/>
        <s v="mass cat mom"/>
        <s v="sam"/>
        <s v="brian santistefan"/>
        <s v="richard fine"/>
        <s v="l gray"/>
        <s v="ag"/>
        <s v="kerri sivits"/>
        <s v="christopher newman"/>
        <s v="walter baile"/>
        <s v="david brown"/>
        <s v="charles dodge"/>
        <s v="jine gleason"/>
        <s v="timothy john"/>
        <s v="diane mcnamanon"/>
        <s v="mario barros"/>
        <s v="sonja norbergsanchez"/>
        <s v="stacey dorenfeld"/>
        <s v="best buddies dog training llc"/>
        <s v="margaret pierson"/>
        <s v="gerald gilmore"/>
        <s v="joe lozano"/>
        <s v="chipis"/>
        <s v="kellie"/>
        <s v="sharon bione"/>
        <s v="jean mcadams"/>
        <s v="christine g"/>
        <s v="david y"/>
        <s v="katherine huh"/>
        <s v="maxine stanley"/>
        <s v="an owner of an elderly cat"/>
        <s v="barbara holtz"/>
        <s v="roberto fradera"/>
        <s v="joe"/>
        <s v="jessica"/>
        <s v="denica luger"/>
        <s v="barb skaer"/>
        <s v="rudi"/>
        <s v="evan j"/>
        <s v="doris s"/>
        <s v="lotsokats"/>
        <s v="michelle ramdeholl"/>
        <s v="peter oneil"/>
        <s v="laura como"/>
        <s v="hayley s"/>
        <s v="susan d"/>
        <s v="debby"/>
        <s v="jen"/>
        <s v="leola adcock"/>
        <s v="john dean"/>
        <s v="bonnie brock"/>
        <s v="leyla kocaoglu"/>
        <s v="tammi berto"/>
        <s v="laurie douthit"/>
        <e v="#VALUE!"/>
        <s v="denise sierputowski"/>
        <s v="s mcg"/>
        <s v="lori williams"/>
        <s v="shark"/>
        <s v="tom h"/>
        <s v="lynn fletcher"/>
        <s v="carol tschida"/>
        <s v="david schmitz"/>
        <s v="dobermom"/>
        <s v="bob sordyl"/>
        <s v="michael novak"/>
        <s v="charles macdonald"/>
        <s v="karen riveros"/>
        <s v="susan barton"/>
        <s v="a customer"/>
        <s v="yvonne"/>
        <s v="barbara granger"/>
        <s v="tamyie wilson"/>
        <s v="ian sealey"/>
        <s v="nancy mcdonald"/>
        <s v="deborah nutting"/>
        <s v="nuni"/>
        <s v="amy james"/>
        <s v="karen heroy"/>
        <s v="jeanette bartram"/>
        <s v="thomas mauro"/>
        <s v="betty"/>
        <s v="jyen"/>
        <s v="wendy"/>
        <s v="sarah williams"/>
        <s v="stephanie barnard"/>
        <s v="kathleen rapp"/>
        <s v="lnz business company llc"/>
        <s v="elizabeth alvarezchan"/>
        <s v="susan carson"/>
        <s v="wanda caseydicks"/>
        <s v="nancy steinbach"/>
        <s v="mary ann leibowitz"/>
        <s v="brandee"/>
        <s v="lrs"/>
        <s v="donna ostler"/>
        <s v="karen diehl"/>
        <s v="lisamarie bernardo"/>
        <s v="nancy bellia"/>
        <s v="pam whitehead"/>
        <s v="wayne reux"/>
        <s v="nek"/>
        <s v="carol levin"/>
        <s v="john shaw"/>
        <s v="lenore newsom"/>
        <s v="r neil wolford jr"/>
        <s v="bob n"/>
        <s v="alvin boyd"/>
        <s v="connie"/>
        <s v="kimberly senackerib"/>
        <s v="linda willey"/>
        <s v="marcia randazzo"/>
        <s v="christine b"/>
        <s v="laura clark"/>
        <s v="jana dickey"/>
        <s v="patricia bowman"/>
        <s v="david lease"/>
        <s v="eileen k"/>
        <s v="tone thorstenson"/>
        <s v="linda stimson"/>
        <s v="jacqueline hunter"/>
        <s v="becky sparks"/>
        <s v="james d"/>
        <s v="rhina perea"/>
        <s v="ardath albizo"/>
        <s v="cathy thomas"/>
        <s v="hope payan"/>
        <s v="debra patterson"/>
        <s v="denise russell"/>
        <s v="carol stewart"/>
        <s v="jw"/>
        <s v="sarah litchfield"/>
        <s v="dave"/>
        <s v="mary jo moor"/>
        <s v="dolores"/>
        <s v="pamf"/>
        <s v="beth mirsky"/>
        <s v="susan mondie"/>
        <s v="andrew"/>
        <s v="mickey"/>
        <s v="james smith"/>
        <s v="lani nolan"/>
        <s v="tracy west"/>
        <s v="sugar"/>
        <s v="e thomas"/>
        <s v="cinda davis"/>
        <s v="cilia lopez"/>
        <s v="barbara trapasso"/>
        <s v="edmund dibenedetto"/>
        <s v="susanne"/>
        <s v="carolyn"/>
        <s v="mary wachenheim"/>
        <s v="ronald izzo"/>
        <s v="jean hirsch"/>
        <s v="s lucas"/>
        <s v="antony mercer"/>
        <s v="lar"/>
        <s v="otiss mom"/>
        <s v="karenfrongello san diego ca"/>
        <s v="glenda ledford"/>
        <s v="nancygreen"/>
        <s v="nancy baldwin"/>
        <s v="jenn alling"/>
        <s v="peggy"/>
        <s v="dustee copenhaver"/>
        <s v="aw"/>
        <s v="patricia netzer"/>
        <s v="haley metzler"/>
        <s v="rob galanakis"/>
        <s v="lorene perotti"/>
        <s v="meaghan v"/>
        <s v="thomas oswald"/>
        <s v="lynn erickson"/>
        <s v="esther freeman"/>
        <s v="jay hankin"/>
        <s v="pam beltz"/>
        <s v="carrie mclaughlin"/>
        <s v="jennifer smithlum"/>
        <s v="bruce white"/>
        <s v="maria anaya"/>
        <s v="david guldenstern"/>
        <s v="renee"/>
        <s v="william phee"/>
        <s v="katherine decker"/>
        <s v="hc"/>
        <s v="brian drinkwine"/>
        <s v="destiny w"/>
        <s v="doggie"/>
        <s v="angie"/>
        <s v="maryann lewis"/>
        <s v="sharon macdermott"/>
        <s v="oscar"/>
        <s v="keith morgan"/>
        <s v="camille bartczak"/>
        <s v="ahmad abudiab"/>
        <s v="happy shopper"/>
        <s v="szeleziatko"/>
        <s v="nichole"/>
        <s v="molly anderson"/>
        <s v="christine cinaglia"/>
        <s v="madelaine sutphin"/>
        <s v="nishat hossain"/>
        <s v="trudy bauer"/>
        <s v="rene"/>
        <s v="lynn agosti"/>
        <s v="sharman casey"/>
        <s v="ronald b reid"/>
        <s v="heather spruill"/>
        <s v="tamara eisele"/>
        <s v="edgar mckenney"/>
        <s v="janet resseguiesahl"/>
        <s v="preston adams"/>
        <s v="margret c"/>
        <s v="ed cilumbrello"/>
        <s v="wendy b"/>
        <s v="sheila sherok dandurandwilliams"/>
        <s v="cassidy"/>
        <s v="dolores lewiswellman"/>
        <s v="baxter"/>
        <s v="howard warden"/>
        <s v="saffrons catmom"/>
        <s v="lucila cedron"/>
        <s v="colleen martin"/>
        <s v="james aden"/>
        <s v="steve k"/>
        <s v="donna page"/>
        <s v="keith"/>
        <s v="ronald cohen"/>
        <s v="molly gorman"/>
        <s v="jennifer howe"/>
        <s v="p s"/>
        <s v="pixie"/>
        <s v="loyal petflow customer"/>
        <s v="bonnie"/>
        <s v="r baker"/>
        <s v="lisa henderson"/>
        <s v="sherry m"/>
        <s v="k b"/>
        <s v="renzo casafranca"/>
        <s v="vila in frisco tx"/>
        <s v="norman"/>
        <s v="jacqueline diaz"/>
        <s v="lynnjo cantor"/>
        <s v="cara freeman"/>
        <s v="mari eschenbaum"/>
        <s v="susan levinsohn"/>
        <s v="leo vides"/>
        <s v="susan peters"/>
        <s v="hannes mama"/>
        <s v="jory"/>
        <s v="prefer to remain anonymous"/>
        <s v="ceil"/>
        <s v="julie byrnes"/>
        <s v="patricia christenson"/>
        <s v="ingrid stecker"/>
        <s v="jason"/>
        <s v="michelle depietro"/>
        <s v="william alexander"/>
        <s v="jennifer peoples"/>
        <s v="joshua shelton"/>
        <s v="ginny p"/>
        <s v="kimberly a meyers"/>
        <s v="jeaneth rincon"/>
        <s v="heather bishop"/>
        <s v="lel"/>
        <s v="sandy mason"/>
        <s v="rachel sheedy"/>
        <s v="danny wagner"/>
        <s v="jeanie johnson"/>
        <s v="mary ellen graves"/>
        <s v="jean costanzi"/>
        <s v="trini v"/>
        <s v="anthony deluca"/>
        <s v="carl ackermann"/>
        <s v="lynne rudwick"/>
        <s v="william vonderohe"/>
        <s v="barbara wegner"/>
        <s v="lori antz doyle"/>
        <s v="madeline"/>
        <s v="gb"/>
        <s v="annahope"/>
        <s v="muriel saari"/>
        <s v="tjm"/>
        <s v="suzin"/>
        <s v="brittany s"/>
        <s v="felix benitez"/>
        <s v="julie o"/>
        <s v="charlene alexander"/>
        <s v="phatdog"/>
        <s v="jorge sanchez"/>
        <s v="ruth chapman"/>
        <s v="glenn henry"/>
        <s v="darr"/>
        <s v="felipe lopez"/>
        <s v="ruth hamilton"/>
        <s v="ct"/>
        <s v="kelsi pena"/>
        <s v="jody lancaster"/>
        <s v="randy lieberg"/>
        <s v="valerie levulett"/>
        <s v="dawn beatty"/>
        <s v="donna franchimon"/>
        <s v="francine butler"/>
        <s v="patricia johnston"/>
        <s v="jules"/>
        <s v="dale dinardo"/>
        <s v="kelli farmer"/>
        <s v="sherry morris"/>
        <s v="sharon gabrielson"/>
        <s v="patricia hunt"/>
        <s v="chad haverstick"/>
        <s v="brenda ridge"/>
        <s v="l holmberg"/>
        <s v="lara zintsmaster"/>
        <s v="george tinklin"/>
        <s v="margaret birns"/>
        <s v="lakeya"/>
        <s v="laurena gatlin"/>
        <s v="jena harris"/>
        <s v="alison g"/>
        <s v="harvey haun"/>
        <s v="elliot garcia"/>
        <s v="madison k"/>
        <s v="donna c"/>
        <s v="amanda o"/>
        <s v="barb v"/>
        <s v="elaine pascoal"/>
        <s v="peppa"/>
        <s v="milagros"/>
        <s v="cindy hallen"/>
        <s v="victoria blevins"/>
        <s v="cj"/>
        <s v="cheyenne"/>
        <s v="samantha skinner"/>
        <s v="gary dexter"/>
        <s v="megan m"/>
        <s v="alan zeller"/>
        <s v="charles herold"/>
        <s v="susan whitakerhill"/>
        <s v="gail mitchell"/>
        <s v="carmen ruby beck"/>
        <s v="terry frum"/>
        <s v="izzy"/>
        <s v="trisha robinson"/>
        <s v="susan quirk"/>
        <s v="dog owner"/>
        <s v="carol kner"/>
        <s v="lubos andel"/>
        <s v="ernie"/>
        <s v="laura coldren"/>
        <s v="tavmeet"/>
        <s v="ph"/>
        <s v="rachel seale"/>
        <s v="carroll griesedieck"/>
        <s v="cheryl roberts"/>
        <s v="brian brown"/>
        <s v="joey lee"/>
        <s v="julie kunitada"/>
        <s v="karla clippinger"/>
        <s v="melody barrett"/>
        <s v="rita caron"/>
        <s v="snowman"/>
        <s v="denise davis"/>
        <s v="kristy"/>
        <s v="bernadette bruno"/>
        <s v="lindsey and pip"/>
        <s v="elizabeth ali"/>
        <s v="elsa abilez"/>
        <s v="ellen j"/>
        <s v="trina"/>
        <s v="marianne burdick"/>
        <s v="paul noone"/>
        <s v="sandra stephon"/>
        <s v="charles rhodes"/>
        <s v="cheryl zalenski"/>
        <s v="sheller willett"/>
        <s v="anita and diva"/>
        <s v="thomas mcneil"/>
        <s v="zac"/>
        <s v="sonia s"/>
        <s v="priscilla cerdas"/>
        <s v="quincy"/>
        <s v="helen kwok"/>
        <s v="deana m market"/>
        <s v="carl desmond"/>
        <s v="jess olson"/>
        <s v="persefini a redden"/>
        <s v="tamara dacken"/>
        <s v="leeann"/>
        <s v="trish m"/>
        <s v="nicole hale"/>
        <s v="gayle andriani"/>
        <s v="david elfin"/>
        <s v="mary angelia coyle"/>
        <s v="jrsnonna"/>
        <s v="choc dog"/>
        <s v="sherman shart"/>
        <s v="united states"/>
        <s v="lisa hayes"/>
        <s v="carol s"/>
        <s v="gail sheffer"/>
        <s v="jm"/>
        <s v="cecelia duvall"/>
        <s v="patrick willer"/>
        <s v="janet stard"/>
        <s v="cheryl dettmers"/>
        <s v="wynne guglielmo"/>
        <s v="jan williams"/>
        <s v="c kegley"/>
        <s v="susan wickes"/>
        <s v="marylou roberts"/>
        <s v="jeanine edler"/>
        <s v="ellejay"/>
        <s v="vincent dipietro"/>
        <s v="sherrie"/>
        <s v="dzianis sazanchuk"/>
        <s v="jean smith"/>
        <s v="paul brouillette"/>
        <s v="sherry"/>
        <s v="jody hunt"/>
        <s v="lori lamey"/>
        <s v="alice cheren"/>
        <s v="susan mortensen"/>
        <s v="robin abbott"/>
        <s v="brendan"/>
        <s v="mike gehring"/>
        <s v="arturo santaella"/>
        <s v="jan underwood"/>
        <s v="felicia wood"/>
        <s v="c l"/>
        <s v="m"/>
        <s v="lorraine ferguson"/>
        <s v="raymond"/>
        <s v="kc"/>
        <s v="jaclyn f"/>
        <s v="dan manchester"/>
        <s v="ron hauser"/>
        <s v="ea"/>
        <s v="bradley grubbs"/>
        <s v="customer sally"/>
        <s v="lee rundall"/>
        <s v="elizabeth caruso"/>
        <s v="msnora"/>
        <s v="avi"/>
        <s v="sharon eagle"/>
        <s v="anne h san antonio tx"/>
        <s v="susan smith"/>
        <s v="shari costaney"/>
        <s v="lydio demaala"/>
        <s v="mg ny"/>
        <s v="luis de los santos"/>
        <s v="suzette mahneke"/>
        <s v="john wynn"/>
        <s v="fred s"/>
        <s v="sheree turnbull"/>
        <s v="katie johnson"/>
        <s v="rena"/>
        <s v="denise buran"/>
        <s v="susan dolstra"/>
        <s v="april ritchotte"/>
        <s v="mickey mittong"/>
        <s v="linda borders"/>
        <s v="carol sutton"/>
        <s v="patty heineck"/>
        <s v="janice demadona"/>
        <s v="kendel m"/>
        <s v="cheryl brockington"/>
        <s v="jenny perkins"/>
        <s v="elisabeth"/>
        <s v="candice"/>
        <s v="dean kopp"/>
        <s v="lisa peet"/>
        <s v="jason drake"/>
        <s v="mallory"/>
        <s v="erik foubert"/>
        <s v="joan abrahamson"/>
        <s v="faina lekakh"/>
        <s v="ryan stackhouse"/>
        <s v="kourosh massarat"/>
        <s v="dott"/>
        <s v="isabella"/>
        <s v="pam coyne"/>
        <s v="elisabeth ellis"/>
        <s v="carole humenchuk"/>
        <s v="lynne"/>
        <s v="irene hagen"/>
        <s v="sharon dickson"/>
        <s v="dr bodly"/>
        <s v="jeanice"/>
        <s v="sll"/>
        <s v="cindy orin"/>
        <s v="mary taylor"/>
        <s v="meghan parker"/>
        <s v="gerard"/>
        <s v="danielle corning"/>
        <s v="kathy goddard"/>
        <s v="joan paris"/>
        <s v="jackie berman"/>
        <s v="sandra reed"/>
        <s v="sharyl amovitz"/>
        <s v="retail shopper"/>
        <s v="maureen hudson"/>
        <s v="colette"/>
        <s v="danille weaver"/>
        <s v="olivia larsson"/>
        <s v="laura hunt"/>
        <s v="susan l frederickson"/>
        <s v="tom batcheller"/>
        <s v="lucia longenbach"/>
        <s v="jean havens"/>
        <s v="james moore"/>
        <s v="sandra w"/>
        <s v="tucker wilson"/>
        <s v="waiting"/>
        <s v="beth"/>
        <s v="jan kissko"/>
        <s v="marguerite kazalas"/>
        <s v="sagarika devarakonda"/>
        <s v="michelle boles"/>
        <s v="debra williams"/>
        <s v="diane mellott"/>
        <s v="ken williams"/>
        <s v="sande king"/>
        <s v="raechelle freeman"/>
        <s v="susan lue"/>
        <s v="greg hyde"/>
        <s v="andrea amorosi"/>
        <s v="virginia lockner"/>
        <s v="vtlabladi"/>
        <s v="c palkimas"/>
        <s v="dinah stevens"/>
        <s v="tammy frontera"/>
        <s v="jjg florida connecticut"/>
        <s v="pernilleh"/>
        <s v="philip h"/>
        <s v="gordon sloan"/>
        <s v="margie swartz"/>
        <s v="chances grammy"/>
        <s v="gary s"/>
        <s v="vickye mike and cowboy gallowa"/>
        <s v="gail blattler"/>
        <s v="amanda depierro"/>
        <s v="mary perkins"/>
        <s v="frances browne"/>
        <s v="brittney g"/>
        <s v="christy ownbey"/>
        <s v="elaine donohue"/>
        <s v="tara smith"/>
        <s v="molly werner"/>
        <s v="derek"/>
        <s v="m davis"/>
        <s v="stan freed"/>
        <s v="mikabelove"/>
        <s v="bart"/>
        <s v="caroline kinsey"/>
        <s v="kat g"/>
        <s v="heidi w"/>
        <s v="mary evans"/>
        <s v="randy harden"/>
        <s v="david gordon"/>
        <s v="donna largent"/>
        <s v="jackie rubino"/>
        <s v="scott steiner"/>
        <s v="terri elliott"/>
        <s v="chris reagan"/>
        <s v="louis"/>
        <s v="jacque jenkins"/>
        <s v="lulu"/>
        <s v="mike kellers"/>
        <s v="deborah spears"/>
        <s v="myrna sturgill"/>
        <s v="roxanna rodriguezjenkins"/>
        <s v="peggy allen"/>
        <s v="paul monteiro mortensen"/>
        <s v="annette lippman"/>
        <s v="james macari"/>
        <s v="steve"/>
        <s v="me"/>
        <s v="dale paciotti"/>
        <s v="kelly hechinger"/>
        <s v="b taylor"/>
        <s v="dj webber"/>
        <s v="sara gonzales"/>
        <s v="sandra s"/>
        <s v="brack"/>
        <s v="kathleen"/>
        <s v="joseph ruddy"/>
        <s v="eric sommer"/>
        <s v="gwyn guild"/>
        <s v="pamela gotthart"/>
        <s v="paula goldberg"/>
        <s v="ri dog owner"/>
        <s v="mh"/>
        <s v="christine howse"/>
        <s v="rcs nunya"/>
        <s v="brenda fluharty"/>
        <s v="jim curtis"/>
        <s v="jodi friedman"/>
        <s v="phyllis enman"/>
        <s v="ilona gomez"/>
        <s v="robert taylor"/>
        <s v="amar kaur"/>
        <s v="jacqueline cardoza"/>
        <s v="audra chmiel"/>
        <s v="leslie goodman"/>
        <s v="joyceturney"/>
        <s v="roy a"/>
        <s v="ariela"/>
        <s v="renee jones"/>
        <s v="david muroff"/>
        <s v="susan harris"/>
        <s v="jane blackmon"/>
        <s v="hl"/>
        <s v="thomas rogers"/>
        <s v="carolyn kennedy"/>
        <s v="patsy stair"/>
        <s v="sandy hays"/>
        <s v="linda valente"/>
        <s v="patricia smith"/>
        <s v="kim r"/>
        <s v="gregory scott"/>
        <s v="pete rector"/>
        <s v="everett hobbs"/>
        <s v="mary comer"/>
        <s v="kathy dwyer"/>
        <s v="al"/>
        <s v="bryan"/>
        <s v="linda cissel"/>
        <s v="vincent"/>
        <s v="victoria ortiz"/>
        <s v="leanna"/>
        <s v="dwayne b"/>
        <s v="sarah lewis"/>
        <s v="mary drexler"/>
        <s v="david rosenstein"/>
        <s v="marnie"/>
        <s v="casey adams"/>
        <s v="kathryn roberts"/>
        <s v="bmmmm"/>
        <s v="anne medley"/>
        <s v="bo bennett"/>
        <s v="richard koch"/>
        <s v="na"/>
        <s v="seb"/>
        <s v="randy h"/>
        <s v="gsd owner"/>
        <s v="anne killman"/>
        <s v="holly g"/>
        <s v="michele urban"/>
        <s v="heidi kins"/>
        <s v="glenn hazelwood ii"/>
        <s v="rebecca leonguerrero"/>
        <s v="suzanne trapani"/>
        <s v="vickie belt"/>
        <s v="leslie addiego"/>
        <s v="denice french"/>
        <s v="jennifer hughes"/>
        <s v="charles apligian"/>
        <s v="danielle w"/>
        <s v="vicki wilson"/>
        <s v="edward gale"/>
        <s v="jewel armstrong"/>
        <s v="joann k craft"/>
        <s v="craig edney"/>
        <s v="shawn skunca"/>
        <s v="paul in south jersey"/>
        <s v="gail jomaoas"/>
        <s v="vivian baylor"/>
        <s v="tina r"/>
        <s v="stephanie"/>
        <s v="carolann auger"/>
        <s v="shirley march"/>
        <s v="ccools"/>
        <s v="myra cromer"/>
        <s v="rita swinford"/>
        <s v="william wehrle"/>
        <s v="joseph t"/>
        <s v="marcia roth"/>
        <s v="connie kane"/>
        <s v="diane dugger"/>
        <s v="susan murphy"/>
        <s v="kathy hart"/>
        <s v="lisa belajac"/>
        <s v="miles kudo"/>
        <s v="ah"/>
        <s v="deborah pines"/>
        <s v="charlene stewart"/>
        <s v="jazan"/>
        <s v="leila"/>
        <s v="debb"/>
        <s v="gordon"/>
        <s v="buddys mom"/>
        <s v="selena g matelich"/>
        <s v="dan chrisinger"/>
        <s v="laura bartlett"/>
        <s v="westie mom"/>
        <s v="pamela bacon"/>
        <s v="mallory evron"/>
        <s v="leslie"/>
        <s v="sofie dogie"/>
        <s v="br"/>
        <s v="leila a"/>
        <s v="ns"/>
        <s v="monica r harris"/>
        <s v="martha wallace"/>
        <s v="cyndy raeshke"/>
        <s v="eric perkins"/>
        <s v="jane henderson"/>
        <s v="tcrc"/>
        <s v="shane oksanen"/>
        <s v="mary lou"/>
        <s v="doris sheinfeld"/>
        <s v="tenzin yonten"/>
        <s v="debra g"/>
        <s v="john daniels"/>
        <s v="theresa h"/>
        <s v="greg reed"/>
        <s v="vla"/>
        <s v="kirsten"/>
        <s v="gary trevillyan"/>
        <s v="jean anne"/>
        <s v="tomd"/>
        <s v="neita buscher"/>
        <s v="rita miller"/>
        <s v="deborah b"/>
        <s v="sandee"/>
        <s v="mona berrier"/>
        <s v="rj koser"/>
        <s v="alisha r"/>
        <s v="linda m"/>
        <s v="joe bolino"/>
        <s v="skye rabel"/>
        <s v="debra l"/>
        <s v="susan s"/>
        <s v="lisa c"/>
        <s v="paulette hawkins"/>
        <s v="brigitte leeman"/>
        <s v="freneticminde"/>
        <s v="isabel campbell"/>
        <s v="christine demers"/>
        <s v="foster mom"/>
        <s v="helen pero"/>
        <s v="dw"/>
        <s v="s cat"/>
        <s v="candy horn"/>
        <s v="robert devicariis torrey"/>
        <s v="j jarvis"/>
        <s v="sarah k"/>
        <s v="dave fishman"/>
        <s v="lisa g"/>
        <s v="bo smith"/>
        <s v="mike allis"/>
        <s v="vn"/>
        <s v="brandon r"/>
        <s v="ruth petrucci"/>
        <s v="constance"/>
        <s v="juliana galson"/>
        <s v="kona and big ds mom"/>
        <s v="patti ellis"/>
        <s v="catherine rust"/>
        <s v="heather mccarty"/>
        <s v="newt pearson"/>
        <s v="marguerite"/>
        <s v="tanu"/>
        <s v="sandra k"/>
        <s v="joann starks"/>
        <s v="monica danforth"/>
        <s v="glw"/>
        <s v="jay"/>
        <s v="z guzman"/>
        <s v="james hayden"/>
        <s v="holly robinson"/>
        <s v="barbara tumminelli"/>
        <s v="jess rodriguez"/>
        <s v="gaye stach"/>
        <s v="janine m"/>
        <s v="rudolph gonzalez"/>
        <s v="amy nelson"/>
        <s v="amelia delmonico"/>
        <s v="dick cunningham"/>
        <s v="rhonda anderson"/>
        <s v="jacklyn durk"/>
        <s v="mark b"/>
        <s v="george light"/>
        <s v="k d"/>
        <s v="jehangir pirzada"/>
        <s v="carolyn gibbs"/>
        <s v="mercy"/>
        <s v="margaret mcallister"/>
        <s v="sissssy"/>
        <s v="robin hale"/>
        <s v="terry laguna woods"/>
        <s v="nora lorenzo"/>
        <s v="marcel"/>
        <s v="jenna g"/>
        <s v="linda hulsey"/>
        <s v="jennifer s bondegard"/>
        <s v="landerson"/>
        <s v="richard kritsky"/>
        <s v="julie j"/>
        <s v="catherine lyness"/>
        <s v="dora"/>
        <s v="jane wargo"/>
        <s v="jennifer brueser"/>
        <s v="matt hough"/>
        <s v="sarah steber"/>
        <s v="az"/>
        <s v="francoise duffy"/>
        <s v="timothy moyer"/>
        <s v="luz"/>
        <s v="ashly whitworth"/>
        <s v="maria lemmon"/>
        <s v="james obert"/>
        <s v="chris mcgatha"/>
        <s v="jonathan stampley"/>
        <s v="ray cunningham"/>
        <s v="patricia sheppard"/>
        <s v="kristine anderson"/>
        <s v="jillian"/>
        <s v="madelin"/>
        <s v="silvia campillo giner"/>
        <s v="cherie mamula"/>
        <s v="sheila"/>
        <s v="randy leach"/>
        <s v="cassidy k"/>
        <s v="beth c"/>
        <s v="jennifer adams"/>
        <s v="kurt saxsma"/>
        <s v="patricia palenik"/>
        <s v="rick ludlow"/>
        <s v="pete of s t s"/>
        <s v="jeff nicholson"/>
        <s v="amber cole"/>
        <s v="kelly braun"/>
        <s v="susan y"/>
        <s v="tomogotcha"/>
        <s v="lorilei dunston"/>
        <s v="mahzad mohajer"/>
        <s v="todd vandeberg"/>
        <s v="carol blohm"/>
        <s v="gail osborne"/>
        <s v="joan kanowitz"/>
        <s v="ronald"/>
        <s v="maria maropakis"/>
        <s v="diana dane"/>
        <s v="kn"/>
        <s v="patricia ragone"/>
        <s v="michael z"/>
        <s v="sue durante"/>
        <s v="debrasmith"/>
        <s v="james politis"/>
        <s v="todd strickland"/>
        <s v="evelyn dimiceli"/>
        <s v="micahel bennett"/>
        <s v="irene rodriguez"/>
        <s v="penelope mcmillan"/>
        <s v="linda moon"/>
        <s v="sandy b"/>
        <s v="deanna nole"/>
        <s v="jan murphy"/>
        <s v="ximena salomon"/>
        <s v="vicky"/>
        <s v="narc hall"/>
        <s v="kathleen otero"/>
        <s v="donna allen"/>
        <s v="dog and cat depot sizemore"/>
        <s v="cj demello"/>
        <s v="gail e bueler"/>
        <s v="diana"/>
        <s v="denise lanning"/>
        <s v="mark m"/>
        <s v="susan robertson"/>
        <s v="harriett hoffman"/>
        <s v="diesels mom"/>
        <s v="melissa shaffer"/>
        <s v="carol miller"/>
        <s v="dana connolly"/>
        <s v="sandy"/>
        <s v="robert berman"/>
        <s v="paul hanigan"/>
        <s v="peggy mazur"/>
        <s v="sharon zinns"/>
        <s v="david spiegel"/>
        <s v="sue cervantes"/>
        <s v="brittany thompson"/>
        <s v="sanja"/>
        <s v="scott petersen"/>
        <s v="ajs reptarium"/>
        <s v="kenneth henke"/>
        <s v="elizabeth scalzo"/>
        <s v="corrine savage"/>
        <s v="linda antonioli"/>
        <s v="kristen"/>
        <s v="kaia"/>
        <s v="gemma"/>
        <s v="susan g"/>
        <s v="drivers license wizard user"/>
        <s v="von snow"/>
        <s v="antoinette darrow"/>
        <s v="wk"/>
        <s v="tammy counts"/>
        <s v="caroline"/>
        <s v="gwen siddiqu"/>
        <s v="lj"/>
        <s v="wilda white"/>
        <s v="russell holster"/>
        <s v="jim lucas"/>
        <s v="c wellnitz"/>
        <s v="marie vardaman"/>
        <s v="joe kraut"/>
        <s v="darlene redclift"/>
        <s v="dixie eichelberger"/>
        <s v="luis orozco"/>
        <s v="bigoakfarmsocal an animal resc"/>
        <s v="tanya scarantine"/>
        <s v="tracy moore"/>
        <s v="elizabeth ciprich"/>
        <s v="faith freewoman"/>
        <s v="karmen"/>
        <s v="stacey"/>
        <s v="darlene cooper"/>
        <s v="joanna proctor"/>
        <s v="keeron hogan"/>
        <s v="kathy davis"/>
        <s v="shannon"/>
        <s v="diane p"/>
        <s v="jenny martinstadena"/>
        <s v="erika"/>
        <s v="kelly krauss"/>
        <s v="paula nelson digennaro sebring fl"/>
        <s v="webclient laura p"/>
        <s v="karen mcfarlane"/>
        <s v="terry gorman"/>
        <s v="jean o"/>
        <s v="charlotte greenbarg"/>
        <s v="michelle stanek"/>
        <s v="carmelle latour"/>
        <s v="thao b"/>
        <s v="cat lady"/>
        <s v="ken pearson"/>
        <s v="cheryl jasper"/>
        <s v="wil"/>
        <s v="tom allen"/>
        <s v="slick"/>
        <s v="cheryl farrell"/>
        <s v="katie werner"/>
        <s v="tina p"/>
        <s v="nearmiss"/>
        <s v="tami"/>
        <s v="dana drake"/>
        <s v="robin gedge"/>
        <s v="lynne levy"/>
        <s v="thomas hooper"/>
        <s v="irene simmons"/>
        <s v="barbara mcneil"/>
        <s v="james miller"/>
        <s v="shell"/>
        <s v="michele casolco"/>
        <s v="kim d"/>
        <s v="victor albanese"/>
        <s v="customtom arnolder"/>
        <s v="eks"/>
        <s v="jennifer hornung"/>
        <s v="allyson"/>
        <s v="loren osborne"/>
        <s v="sheila hodges"/>
        <s v="curt shake"/>
        <s v="lisa barnes"/>
        <s v="deborah noack"/>
        <s v="janet f"/>
        <s v="kenny kazarosian"/>
        <s v="wanda segars"/>
        <s v="mary beth alder"/>
        <s v="rose brown"/>
        <s v="sue ash"/>
        <s v="philip jow"/>
        <s v="maryanne kramer"/>
        <s v="susan foster"/>
        <s v="julie kassis"/>
        <s v="steven goldstein"/>
        <s v="julie roberts"/>
        <s v="deborah prinz"/>
        <s v="noisyhouse"/>
        <s v="astoria"/>
        <s v="dale"/>
        <s v="tera marsh"/>
        <s v="nv"/>
        <s v="s hardy"/>
        <s v="kristi ehlers"/>
        <s v="michael fazekas"/>
        <s v="rosepetals"/>
        <s v="bill skinner"/>
        <s v="carol smith"/>
        <s v="james neyhouse"/>
        <s v="marlies ruben"/>
        <s v="sandra francois"/>
        <s v="sj"/>
        <s v="jeff kramer"/>
        <s v="jan stern"/>
        <s v="sandra schafer"/>
        <s v="grace carr"/>
        <s v="frank f"/>
        <s v="marion konvalina"/>
        <s v="patricia campbell"/>
        <s v="r lahrman"/>
        <s v="owl lover"/>
        <s v="bigfishgamessucks"/>
        <s v="michelle murray"/>
        <s v="chris porcaro"/>
        <s v="pasquale crudo"/>
        <s v="mary mahaney"/>
        <s v="candy"/>
        <s v="steven brock"/>
        <s v="linda sabuda"/>
        <s v="andrea p"/>
        <s v="ginnette alvarez"/>
        <s v="ida l"/>
        <s v="michelle cilurso"/>
        <s v="mk"/>
        <s v="karen welch"/>
        <s v="gino lanzi"/>
        <s v="gloria moore"/>
        <s v="marc marsceill"/>
        <s v="john wright"/>
        <s v="coffee"/>
        <s v="phyllis"/>
        <s v="valerie d"/>
        <s v="melody fensel"/>
        <s v="joanne hall"/>
        <s v="mary y"/>
        <s v="charles mcdowell"/>
        <s v="graduation"/>
        <s v="jimmy"/>
        <s v="kay johnson"/>
        <s v="gazlene hatfeld"/>
        <s v="love my dog"/>
        <s v="michele decrescenzo"/>
        <s v="joan dam"/>
        <s v="lonnie scutella"/>
        <s v="koren slone"/>
        <s v="sfsanibel"/>
        <s v="michelle hines"/>
        <s v="nikki tucek"/>
        <s v="mary k"/>
        <s v="greg morris"/>
        <s v="paige martin"/>
        <s v="frederick raymond"/>
        <s v="lauri maynard"/>
        <s v="halo"/>
        <s v="jerry farris"/>
        <s v="timothy panichi"/>
        <s v="jennifer jedynak"/>
        <s v="ross"/>
        <s v="paul moore"/>
        <s v="lee hoffman"/>
        <s v="mewithme"/>
        <s v="chris benson"/>
        <s v="dianne mullenhour"/>
        <s v="martin"/>
        <s v="laura beckendorf"/>
        <s v="donna rickford"/>
        <s v="r geibel"/>
        <s v="m j"/>
        <s v="stacie mcclain"/>
        <s v="melanie"/>
        <s v="saya"/>
        <s v="louise"/>
        <s v="sororu karami"/>
        <s v="f w"/>
        <s v="deana madsen"/>
        <s v="mermaid"/>
        <s v="debra neil"/>
        <s v="james s"/>
        <s v="lauren"/>
        <s v="r elliott"/>
        <s v="james gilbert"/>
        <s v="dawn long"/>
        <s v="alan fertel"/>
        <s v="sheri"/>
        <s v="mary anne"/>
        <s v="tammy h"/>
        <s v="christy jones"/>
        <s v="morris"/>
        <s v="ms dehn"/>
        <s v="d prof"/>
        <s v="jane funk"/>
        <s v="judith hatfeild"/>
        <s v="troopermama"/>
        <s v="gerlyn"/>
        <s v="bryan kortis"/>
        <s v="bryan schwartzwalder"/>
      </sharedItems>
    </cacheField>
    <cacheField name="review_count" numFmtId="0">
      <sharedItems containsSemiMixedTypes="0" containsString="0" containsNumber="1" containsInteger="1">
        <n v="1.0"/>
        <n v="54.0"/>
        <n v="2.0"/>
        <n v="3.0"/>
        <n v="5.0"/>
        <n v="10.0"/>
        <n v="8.0"/>
        <n v="4.0"/>
        <n v="9.0"/>
        <n v="7.0"/>
      </sharedItems>
    </cacheField>
    <cacheField name="repeat_reviewer" numFmtId="0">
      <sharedItems>
        <s v="No"/>
        <s v="Yes"/>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3715" sheet="Trustpilot_Full Review"/>
  </cacheSource>
  <cacheFields>
    <cacheField name="org name" numFmtId="0">
      <sharedItems>
        <s v="PetFlow"/>
      </sharedItems>
    </cacheField>
    <cacheField name="reviewer">
      <sharedItems containsMixedTypes="1" containsNumber="1" containsInteger="1">
        <s v="George Romer"/>
        <s v="DEBORAH HELFER"/>
        <s v="Sam Walker"/>
        <s v="Janie"/>
        <s v="VANESSA HOWARD"/>
        <s v="Judith l Williams"/>
        <s v="Nan R."/>
        <s v="dave minnich"/>
        <s v="Cynde S R"/>
        <s v="CATHERINE NOCELLA"/>
        <s v="customer"/>
        <s v="M. K. MULLENBACH"/>
        <s v="Julie B."/>
        <s v="Anne"/>
        <s v="Joe P Chavez"/>
        <s v="Josh"/>
        <s v="Gary"/>
        <s v="Ann"/>
        <s v="KEN L."/>
        <s v="Theresa Patzke Guiver"/>
        <s v="Linda Lee"/>
        <s v="Barbara Tierney"/>
        <s v="Daniel Faflik"/>
        <s v="Eduardo"/>
        <s v="Packoffour"/>
        <s v="Mel"/>
        <s v="NANCY MADIGAN"/>
        <s v="DAVID J"/>
        <s v="Kimberly"/>
        <s v="MELINDA JEWART"/>
        <s v="Gracie Wierbinski"/>
        <s v="Vicki"/>
        <s v="LINDA W. Oviedo, FL"/>
        <s v="RENEE FRANK"/>
        <s v="PATRICIA CONNORS"/>
        <s v="MARIA M"/>
        <s v="Jack Hammer - The Electric Radio Show"/>
        <s v="CAROL GANSER"/>
        <s v="K JOHNSON"/>
        <s v="CAROL COLE"/>
        <s v="KAREN CLARK"/>
        <s v="Tammmy Mackai"/>
        <s v="PATRICK LITTERER"/>
        <s v="Tactical Ant"/>
        <s v="CeCe Moore"/>
        <s v="DIANE L"/>
        <s v="DEBRA ZBOROWSKI"/>
        <s v="Ana Arellano"/>
        <s v="NANCY VALETT"/>
        <s v="B Stroup"/>
        <s v="VIRGINIA DUNK"/>
        <s v="STEVEN SELTZER"/>
        <s v="Natalie"/>
        <s v="JOYCE"/>
        <s v="JK"/>
        <s v="Donna Beckner"/>
        <s v="DAWN DOWLING"/>
        <s v="WB"/>
        <s v="WILLIAM CARDONA"/>
        <s v="DIANNE WILEY"/>
        <s v="Laura Shigemitsu"/>
        <s v="CARA MOORE"/>
        <s v="Linda"/>
        <s v="Monti"/>
        <s v="CHARLENE GIORADNO"/>
        <s v="MARIA PERRONE"/>
        <s v="Sue"/>
        <s v="LARRY HOGUE"/>
        <s v="rired"/>
        <s v="KC Jenkins"/>
        <s v="SUSAN ANDERSON"/>
        <s v="Deanna F"/>
        <s v="ALLISON CRYER"/>
        <s v="Lisa"/>
        <s v="Barb' Bichons"/>
        <s v="NIKKI PARSON"/>
        <s v="Alex G"/>
        <s v="LINDA CROSTIC"/>
        <s v="CHRISTINE FLOWERS"/>
        <s v="BAILLEE"/>
        <s v="Paul"/>
        <s v="LINDA CONVERSA"/>
        <s v="DONNA QUANTE"/>
        <s v="Deb."/>
        <s v="AMANDA GARNER"/>
        <s v="RUTH"/>
        <s v="DEBBIE TRIGG"/>
        <s v="OLshopper"/>
        <s v="Nicole Tabbert"/>
        <s v="ANIA LOVELESS"/>
        <s v="LARRY THOMPSON"/>
        <s v="TOM KULPINSKI"/>
        <s v="KAREN SALAY"/>
        <s v="Yadi govea"/>
        <s v="AUDREY SCRUGGS"/>
        <s v="COLLEEN THOMPSON"/>
        <s v="DONNA LA ROCCO"/>
        <s v="Aussie Lover"/>
        <s v="Elyse"/>
        <s v="ARMANDO LOPEZ"/>
        <s v="Julio Rodriguez"/>
        <s v="HELAINE DIETZ"/>
        <s v="Lex"/>
        <s v="Bessie"/>
        <s v="Vickie"/>
        <s v="Kelly"/>
        <s v="Dave B"/>
        <s v="Lana"/>
        <s v="THEODORE FRANK"/>
        <s v="Mom of 8 fur babies"/>
        <s v="Vivian Parker"/>
        <s v="JEANNINE THEAKOS"/>
        <s v="GAIL MACGILLIVRAY"/>
        <s v="EULISES R ANTON"/>
        <s v="CATHERINE CLARK"/>
        <s v="Ken B."/>
        <s v="JEFFREY BREWSTER"/>
        <s v="DONALD BRUMFIELD"/>
        <s v="PENELOPE SMITH"/>
        <s v="ELLEN HURWITCH"/>
        <s v="KAREN LANZ"/>
        <s v="Llemmon"/>
        <s v="Richard Vernon"/>
        <s v="Terria Bryant"/>
        <s v="Kidsarek9"/>
        <s v="CHERYL MCCOY"/>
        <s v="MARIA KLEIN"/>
        <s v="MM"/>
        <s v="MICHAEL GIBSON"/>
        <s v="ANDREA ULLON"/>
        <s v="Jennifer Carver"/>
        <s v="JANET GREY"/>
        <s v="Happy Customer"/>
        <s v="ALYSON MCDONALD"/>
        <s v="BENJAMIN KIING"/>
        <s v="JEAN"/>
        <s v="NextAdvisor Reader"/>
        <s v="JULIE L"/>
        <s v="ANN MCCOY"/>
        <s v="David"/>
        <s v="Anonymous"/>
        <s v="WALTER WININGER"/>
        <s v="Siham Ayoub"/>
        <s v="Joe Pick"/>
        <s v="TOM S"/>
        <s v="LAURA M"/>
        <s v="Barbara Anderson"/>
        <s v="Rick East"/>
        <s v="JENNIFER TAYLOR"/>
        <s v="DANIEL GRACE"/>
        <s v="Dennis Felicio"/>
        <s v="MARK JACKSON"/>
        <s v="MARGARET PALMER"/>
        <s v="SUSAN BORLAND"/>
        <s v="TMOT"/>
        <s v="ROBERT"/>
        <s v="ANDREA SCHULTHEIS"/>
        <s v="JANET"/>
        <s v="N LUFFEY"/>
        <s v="OTMANE HATTANI"/>
        <s v="Kenneth"/>
        <s v="JOHN KIMBER"/>
        <s v="JACKIE FRASCATORE"/>
        <s v="JOHN WU"/>
        <s v="Richard Nuzman"/>
        <s v="WANDA HARRIS"/>
        <s v="HAROLD TALBOT"/>
        <s v="DIANNE"/>
        <s v="Donna Peterson"/>
        <s v="DrGSD"/>
        <s v="MINA SEYMOUR"/>
        <s v="ELLEN ENNIS"/>
        <s v="RONDA DAUS"/>
        <s v="Baron Eike Von Lincoln"/>
        <s v="Betty Jo Lesonsky"/>
        <s v="DONNA BIONDI"/>
        <s v="TUYEN NGUYEN"/>
        <s v="ANDRANEA ALEXANDER"/>
        <s v="ERIC RIDGEWAY"/>
        <s v="Julia B"/>
        <s v="Katherine Sidon"/>
        <s v="NordVPN Customer"/>
        <s v="DONA JOERGER"/>
        <s v="SHIRLEY HARRIS"/>
        <s v="Al DiSante"/>
        <s v="ELWOOD SMITH"/>
        <s v="LINDA KLEMKA-WALDEN"/>
        <s v="Anthony Cuccaro"/>
        <s v="Carrie"/>
        <s v="ROSI WALSH"/>
        <s v="Anthony Williams"/>
        <s v="DEWAYNE LOVELL"/>
        <s v="Ahmmed Patwary"/>
        <s v="Andrea"/>
        <s v="Terry Anderson"/>
        <s v="sylvia bl"/>
        <s v="VALERIE FOX"/>
        <s v="ROCH MALZAC"/>
        <s v="ERIC BELL"/>
        <s v="PHILLIP MANLEY"/>
        <s v="LINDA SFORZA"/>
        <s v="LISA ROSSELLI"/>
        <s v="Karen Ivers"/>
        <s v="Crystal Brown"/>
        <s v="Greg"/>
        <s v="Renee P."/>
        <s v="MARY"/>
        <s v="Dacatsparky"/>
        <s v="Troy Arenz"/>
        <s v="Amy C"/>
        <s v="Ariana"/>
        <s v="Gail B."/>
        <s v="LAURA ROMANO"/>
        <s v="Jack"/>
        <s v="Furrykid mom"/>
        <s v="JOHN DEFEO"/>
        <s v="Bobbi helms"/>
        <s v="KB"/>
        <s v="Maria"/>
        <s v="NANCY POPE"/>
        <s v="LARYSA MUZHANOVA"/>
        <s v="Marian"/>
        <s v="MARIE HUTCHINGS"/>
        <s v="SHERYL BILUS"/>
        <s v="philip"/>
        <s v="SVETLANA LITVINSKI"/>
        <s v="GRACE"/>
        <s v="Nora"/>
        <s v="MEW"/>
        <s v="BARBARA BOWEN BAER"/>
        <s v="Dr. C"/>
        <s v="DEBBIE GOOD"/>
        <s v="Moe"/>
        <s v="NANCY FONT"/>
        <s v="EDGARDO GONZALEZ"/>
        <s v="Eugene Woodard"/>
        <s v="WRESTLING MAMA"/>
        <s v="LF"/>
        <s v="Dr. Brenda Luther"/>
        <s v="ANN WEINRICH"/>
        <s v="RONALD MROFCZA"/>
        <s v="Terri"/>
        <s v="PETER J CAPPELLO"/>
        <s v="KEVIN BENEDICT"/>
        <s v="MARY BUSBY"/>
        <s v="CRYSTAL ORTIZ"/>
        <s v="jack paul"/>
        <s v="Barbara Coleman"/>
        <s v="MARY BALLOGG"/>
        <s v="ARNOLD GRAD"/>
        <s v="AMANDA"/>
        <s v="RANJANA BHATTACHARYA"/>
        <s v="Susan Thomas"/>
        <s v="Andy"/>
        <s v="CRAIG"/>
        <s v="Jim"/>
        <s v="Rhonda Peyton"/>
        <s v="TROY HARIMON"/>
        <s v="LAURA KOTLAR"/>
        <s v="MAUREEN MEIL"/>
        <s v="JOSEPH J PUIIA JR"/>
        <s v="MONICA COLVILLE"/>
        <s v="Donna Sullivan"/>
        <s v="OD"/>
        <s v="Michelle Currey"/>
        <s v="Cynthia E Day"/>
        <s v="ROSE MOORE"/>
        <s v="Alicia Patterson"/>
        <s v="KEVIN KOCHENOUR"/>
        <s v="JOSEPH CAMPE"/>
        <s v="LORI"/>
        <s v="MARIA MIRELES"/>
        <s v="Mary Lopez"/>
        <s v="Sheba"/>
        <s v="GINNY STENOIEN"/>
        <s v="Kei"/>
        <s v="MICHELE ALLEN"/>
        <s v="Karen Doman"/>
        <s v="KSzymo"/>
        <s v="nismoman"/>
        <s v="Michael Lord"/>
        <s v="SARA LENTZ"/>
        <s v="PM"/>
        <s v="WALTER WILLIAMS"/>
        <s v="Caldwell"/>
        <s v="JEANNETT WASICEK"/>
        <s v="MARY AYALA"/>
        <s v="JOEYC"/>
        <s v="Helen"/>
        <s v="Carmello"/>
        <s v="THERESE KASCHULUK"/>
        <s v="Veronica Villanueva"/>
        <s v="Ron C."/>
        <s v="CHRISTINE SMITH"/>
        <s v="Rachel"/>
        <s v="GINA"/>
        <s v="Mayra"/>
        <s v="LISA Hall"/>
        <s v="DONNA S."/>
        <s v="Peter Di"/>
        <s v="FRANK KENDRICK"/>
        <s v="Christina Clark"/>
        <s v="Vickie Hancock"/>
        <s v="MIKE SEISS"/>
        <s v="DEANA WOODRUFF"/>
        <s v="Marktrimarc"/>
        <s v="CHRIS W"/>
        <s v="Karen Armer"/>
        <s v="STEVEN S"/>
        <s v="MACHACA"/>
        <s v="ROBIN LAWSON"/>
        <s v="LYNDA CLAVER"/>
        <s v="TED WIATEROWSKI"/>
        <s v="TAMMY WIGGINS"/>
        <s v="Jheri"/>
        <s v="HANNAH SUSAN SELZNICK"/>
        <s v="JAMES HEIDEBRECHT"/>
        <s v="Tammy Cox"/>
        <s v="JB Walter"/>
        <s v="Bill D"/>
        <s v="WR"/>
        <s v="CHERYL HARPER"/>
        <s v="MARILYN SMITH"/>
        <s v="Stacia Travis"/>
        <s v="DebNVA"/>
        <s v="ASHLEY"/>
        <s v="SORAYA F."/>
        <s v="BOBBIE MCGEE"/>
        <s v="MEG WHIPPLE"/>
        <s v="ARIELLA"/>
        <s v="Ann marie Peskowski"/>
        <s v="colleen annes"/>
        <s v="TONYA DEITRICK"/>
        <s v="Lois Schwechtje"/>
        <s v="Doug"/>
        <s v="Canine Mom"/>
        <s v="BERNIE HAMBLIN"/>
        <s v="Cheryl Robinson"/>
        <s v="MARILYN KEMPINSKI"/>
        <s v="KATHERINE GISMONDI"/>
        <s v="PAULETTE VOCU"/>
        <s v="Harold"/>
        <s v="GORDON BRYANT"/>
        <s v="MARION MOHR"/>
        <s v="WA"/>
        <s v="RAY VITALE"/>
        <s v="BARBARA SWANSON"/>
        <s v="EL ROAKE"/>
        <s v="MCKEONE, ALONNA"/>
        <s v="ALEXANDRA MENDIZABAL"/>
        <s v="Barb W.customer"/>
        <s v="Pamela M"/>
        <s v="VH"/>
        <s v="ALLEN KAROL"/>
        <s v="shellie hall"/>
        <s v="MARYANN KURTZ"/>
        <s v="LISA PEAK"/>
        <s v="Donald Coffman"/>
        <s v="DRU hofmann"/>
        <s v="LEYLA DAVIS"/>
        <s v="LESLIE SEELEY"/>
        <s v="Scammed User"/>
        <s v="Jane Collier"/>
        <s v="SporeSharon R. Goltz"/>
        <s v="ANTONIO POPJORDANOV"/>
        <s v="Linda Croll Howell"/>
        <s v="SUSAN LANGMAN"/>
        <s v="Mike Miller"/>
        <s v="JennaK"/>
        <s v="Linda Rucker"/>
        <s v="BRENDA PEREZ-GOODRUM"/>
        <s v="Daniel Hollingsworth"/>
        <s v="PG"/>
        <s v="JEFF"/>
        <s v="Karen"/>
        <s v="MARY BETH DIDION"/>
        <s v="Joannie Maheux"/>
        <s v="NANCY ADDESSO"/>
        <s v="HAILEY SUMPTER"/>
        <s v="MICHAEL MOORE"/>
        <s v="Jerry Divijak"/>
        <s v="ANDRE HENDERSON"/>
        <s v="DONNA PEREZ"/>
        <s v="MURRAY RITLAND"/>
        <s v="KRISTINA DUROCHER"/>
        <s v="Diane Stewart"/>
        <s v="DELAINE ENDL"/>
        <s v="SHEILA ROBBINS"/>
        <s v="GARY ROLD"/>
        <s v="Dian"/>
        <s v="KIMBERLY COLEMAN"/>
        <s v="VERA WILSON"/>
        <s v="Mully"/>
        <s v="TARA OLSON"/>
        <s v="GA Dog Lover"/>
        <s v="B E Gunbye"/>
        <s v="Daniel Gotten"/>
        <s v="XS"/>
        <s v="kathleen armstrong"/>
        <s v="MARTHA KROGSTAD"/>
        <s v="Leisure world"/>
        <s v="TERRY RICHARDSON"/>
        <s v="MOLLY B"/>
        <s v="Keith Dugas"/>
        <s v="DARREN MAGUIRE"/>
        <s v="VICKIE NELSON"/>
        <s v="Matt C"/>
        <s v="Sheryl S"/>
        <s v="Jeffrey B"/>
        <s v="Taylor Smith"/>
        <s v="STEFANIE ROSENTHAL"/>
        <s v="Brenda M"/>
        <s v="Tim"/>
        <s v="FRANK W"/>
        <s v="DANA FEHSAL"/>
        <s v="Stella"/>
        <s v="Mary Schings"/>
        <s v="Smileyone"/>
        <s v="Catgirl"/>
        <s v="Edmond Kachurak"/>
        <s v="NANCY HARVEY"/>
        <s v="Huckabee's Place"/>
        <s v="ALBERTA WALKER"/>
        <s v="Lisa Mitchell"/>
        <s v="SANDY SPENCER"/>
        <s v="ROBERT THRUSH"/>
        <s v="HEATHER"/>
        <s v="PATRICK KELLEY"/>
        <s v="BRENT NEW"/>
        <s v="Cat Mom"/>
        <s v="Sho En Kan Nei"/>
        <s v="DANIEL MERRILL"/>
        <s v="Nina"/>
        <s v="Carol Lloyd"/>
        <s v="DAVID GROVES"/>
        <s v="Bob Johnson"/>
        <s v="PETER NGUYEN"/>
        <s v="ALYSSA HARA"/>
        <s v="BRANDON PHILLIPS"/>
        <s v="ANNE JENNINGS"/>
        <s v="Kyle"/>
        <s v="Andrew Stevenson"/>
        <s v="Victoria"/>
        <s v="Consumer"/>
        <s v="Alessandra Caltabiano"/>
        <s v="JESSE WITT"/>
        <s v="ALICIA"/>
        <s v="MONICA CLONINGER"/>
        <s v="Eddie Hales"/>
        <s v="KP"/>
        <s v="WildSpaniels"/>
        <s v="KYRIAKA EHRENSBERGER"/>
        <s v="VIRHA PATE"/>
        <s v="S BLAKE"/>
        <s v="Mark A."/>
        <s v="KAREN ARNOLD"/>
        <s v="Karen Gregory"/>
        <s v="mxf"/>
        <s v="Judith Lustgarten"/>
        <s v="Ellen Eaton"/>
        <s v="Julieggeno"/>
        <s v="CLAUDIA KLECZKOWSKI"/>
        <s v="Marcy"/>
        <s v="SARAH SAPPINGTON"/>
        <s v="RICHARD SYKES"/>
        <s v="Cris E"/>
        <s v="SHAY LEE"/>
        <s v="Joel Rappaport"/>
        <s v="CHERYL PASZKIEWICZ"/>
        <s v="JENNIE DUNLAP"/>
        <s v="CAROLE PAULSEN"/>
        <s v="Gene W."/>
        <s v="KIM GIFFORD"/>
        <s v="ANDREW G"/>
        <s v="MIKE KOECK"/>
        <s v="DONNA BELDERRAIN"/>
        <s v="Rose O’Neil"/>
        <s v="JOANN FRY"/>
        <s v="MICHAEL BACA"/>
        <s v="SAMANTHA ROLDAN"/>
        <s v="PAMELA GENOVESI MACDONALD"/>
        <s v="SARAH SAALFIELD"/>
        <s v="RPF"/>
        <s v="Kathy"/>
        <s v="DARREN PARKER"/>
        <s v="STEVEN MILLER SR."/>
        <s v="Alice Burke"/>
        <s v="JOHN"/>
        <s v="RACHELLE MARPLE"/>
        <s v="TERI VAILLANCOURT"/>
        <s v="maria guillermo"/>
        <s v="MICHELE"/>
        <s v="Debbie"/>
        <s v="GORDON CELLIERS"/>
        <s v="Lisa Kelly"/>
        <s v="Deborah Ann"/>
        <s v="SandyN"/>
        <s v="ANITA HUDNALL"/>
        <s v="Darlene Scheuermann"/>
        <s v="Daniel Jarovisky"/>
        <s v="SHEILA G"/>
        <s v="ABINA COHEN"/>
        <s v="THERESE"/>
        <s v="michael"/>
        <s v="DONNA HILLIARD"/>
        <s v="DEBRA"/>
        <s v="Jayme K"/>
        <s v="Darlene Dali-jon"/>
        <s v="ANTHONY KELLY"/>
        <s v="John Rodriguez"/>
        <s v="Steven RIchardson"/>
        <s v="ANTHONY REID"/>
        <s v="BROOKE MARSH"/>
        <s v="CHARLOTTA"/>
        <s v="JG"/>
        <s v="JEAN GERMANO"/>
        <s v="LYNN"/>
        <s v="WILLIAM COBERLY"/>
        <s v="RUBY KILGORE"/>
        <s v="MARIA DETOMMASO"/>
        <s v="DONNA HEASTON"/>
        <s v="Gena Berkebile"/>
        <s v="Jeffrey Brenner"/>
        <s v="LARRY GRUETZMACHER"/>
        <s v="BONNIE VOHDEN"/>
        <s v="Vicki K Boyles"/>
        <s v="KAREN W"/>
        <s v="DONALD MORAVICK"/>
        <s v="Nate"/>
        <s v="Barbara Smith"/>
        <s v="Rod Ferrand"/>
        <s v="Mike"/>
        <s v="Edward"/>
        <s v="JANE ROBERTS"/>
        <s v="SIMONE"/>
        <s v="Rickie Rabourn"/>
        <s v="MARY-JANE CARLISLE"/>
        <s v="Rebecca"/>
        <s v="ANNE DEMSKY"/>
        <s v="Clare Longo"/>
        <s v="skwa"/>
        <s v="Lorraine Swanson"/>
        <s v="Caucus"/>
        <s v="Deborah"/>
        <s v="Andy Johnson"/>
        <s v="REBECCA BERGWALL"/>
        <s v="SMB"/>
        <s v="Brooke"/>
        <s v="Rita"/>
        <s v="KIM AMOIA-POST"/>
        <s v="KRISTIN HETLAND"/>
        <s v="ART CONTRESTANO"/>
        <s v="Julie McManus"/>
        <s v="Carol Zingler"/>
        <s v="Jennifer"/>
        <s v="HELEN LAMAGNA"/>
        <s v="Pete"/>
        <s v="LAWRENCE OTIS"/>
        <s v="Jb"/>
        <s v="JS"/>
        <s v="SANDRA WAGONER"/>
        <s v="Bergen County NJ home buyer"/>
        <s v="Rick Cianflone"/>
        <s v="SHIRLEY DUFRANE"/>
        <s v="IMRAN KHAN"/>
        <s v="WILLIAM"/>
        <s v="EVAN DEMARR"/>
        <s v="ROBERTA WORKMAN"/>
        <s v="Desert Skies Kennel"/>
        <s v="JMR"/>
        <s v="Richard Rippon"/>
        <s v="NATHANIEL DEARINGER"/>
        <s v="CAROL KARVOSKY"/>
        <s v="ROBERT COOK"/>
        <s v="JUDITH PATTERSON"/>
        <s v="NORA BAGA"/>
        <s v="Cathy Karabetsos"/>
        <s v="Doodlebug"/>
        <s v="RONALD STRAUB"/>
        <s v="A WORTHAM"/>
        <s v="JERRI CARROLL"/>
        <s v="(c/o sierra glass distributors)"/>
        <s v="SONYA ROBINSON"/>
        <s v="ERICA"/>
        <s v="LAURIE S"/>
        <s v="THERESA"/>
        <s v="LIBBY ALLEN"/>
        <s v="JANET TENNISON"/>
        <s v="Patricia"/>
        <s v="Jay Eldredge"/>
        <s v="MARY MADECO-SMTIH"/>
        <s v="ROBERTO RIOS RUIZ"/>
        <s v="Jenny Drastura"/>
        <s v="ROBERT SHORT"/>
        <s v="Sherry Hardwick Thomas"/>
        <s v="LC"/>
        <s v="A Krutsch"/>
        <s v="LORI KIESOW"/>
        <s v="PEGGY HITCHINGS"/>
        <s v="JOSEPH SOBREMONTE"/>
        <s v="sandra halpin"/>
        <s v="KATHARYN S"/>
        <s v="RICHARD WEISS"/>
        <s v="jaqueline cormier"/>
        <s v="James"/>
        <s v="CATHERINE WARNER"/>
        <s v="Shasta Sowards"/>
        <s v="Jonathan"/>
        <s v="Festive"/>
        <s v="Patty"/>
        <s v="CHRISTIAN LEWIS"/>
        <s v="SUSAN WISZ"/>
        <s v="Amy K"/>
        <s v="Anon"/>
        <s v="C Santana"/>
        <s v="SUSAN MANNING"/>
        <s v="KIM BULKOWSKI"/>
        <s v="Ginny Bee"/>
        <s v="MICHELE SAGE"/>
        <s v="Brenda (Brendy Pugs)"/>
        <s v="Samantha"/>
        <s v="Virginia Welsh"/>
        <s v="SHELLEY"/>
        <s v="Christine Whittinghill"/>
        <s v="LYNN HUIZINGA"/>
        <s v="DENISE KOCHICK"/>
        <s v="DANIEL NEUMANN"/>
        <s v="Pamela"/>
        <s v="BRADLEY SERLIS"/>
        <s v="Skeeter"/>
        <s v="MINDY REED"/>
        <s v="FABIOLA V."/>
        <s v="KIMBERLY GUIDI"/>
        <s v="Valentine"/>
        <s v="RON KNIGHT"/>
        <s v="HELEN CORYELL"/>
        <s v="BRIAN WARD"/>
        <s v="WILLARD D MEYER"/>
        <s v="JUAN AZCONA"/>
        <s v="Diane"/>
        <s v="crystalballing"/>
        <s v="TERRESA HOLMES"/>
        <s v="tmh"/>
        <s v="TRACY WIGHT"/>
        <s v="Steven"/>
        <s v="GAIL MORRISON"/>
        <s v="ANGIE HUTCHINS"/>
        <s v="BRIAN OHEARN"/>
        <s v="JOHN OROKE"/>
        <s v="JJ"/>
        <s v="Spike Cover"/>
        <s v="Richard qQ"/>
        <s v="DAVID HANSEN"/>
        <s v="CAMBREA HENDRICKS"/>
        <s v="LAUREL LONG"/>
        <s v="MHan"/>
        <s v="customer ellen"/>
        <s v="Shelly G"/>
        <s v="mohammad abdi"/>
        <s v="PATRICK VALENTINE"/>
        <s v="J Howe"/>
        <s v="ADRIANA CULMONE"/>
        <s v="OLGA INTSKIRVELI"/>
        <s v="PAMELA COOPER"/>
        <s v="Renea Justice"/>
        <s v="JANE GETSLA"/>
        <s v="ERIN MURPHY"/>
        <s v="Katherine Forbes"/>
        <s v="CARL SIMONIAN"/>
        <s v="ROSCOE WHITE"/>
        <s v="Linda Hatcher"/>
        <s v="HERB LOWRANCE"/>
        <s v="NANCY HOUGH"/>
        <s v="rajan girdhar"/>
        <s v="Name withheld"/>
        <s v="rossermond"/>
        <s v="Risa"/>
        <s v="Mauricio"/>
        <s v="SONJA ALLEN"/>
        <s v="Frances Drake"/>
        <s v="AJ Bon"/>
        <s v="AP"/>
        <s v="TERESA BRACE"/>
        <s v="CHRISTINA KAELIN"/>
        <s v="CLIFFORD HEATER"/>
        <s v="PAMELA DOHERTY"/>
        <s v="GEORGE CRAFTS"/>
        <s v="JEAN QUIGLEY"/>
        <s v="CONSTANCE ANTONELLI"/>
        <s v="CNM"/>
        <s v="Kristin"/>
        <s v="Diane Langlois"/>
        <s v="ED COAN"/>
        <s v="SUSAN TASHIRO"/>
        <s v="Robert Adams"/>
        <s v="Botti"/>
        <s v="Sharon Hazelrigg"/>
        <s v="JODY WARDER302 NEWPORT DR 1506NAPLES, FL 34114"/>
        <s v="MARY JANE"/>
        <s v="Denise Fergusson"/>
        <s v="Stephen"/>
        <s v="Portland customer"/>
        <s v="Yulia B"/>
        <s v="JAMES SHEARER"/>
        <s v="ARDEN LARSEN"/>
        <s v="Rob"/>
        <s v="KAREN COSTELLO"/>
        <s v="AMY"/>
        <s v="APRIL WOODRUFF"/>
        <s v="Marcelino"/>
        <s v="GARY FULLER"/>
        <s v="KG"/>
        <s v="Kevin"/>
        <s v="Linda Lou"/>
        <s v="Cynthia Greene"/>
        <s v="MARYANNE"/>
        <s v="DENNITTA HILL"/>
        <s v="JILL JOHNSON"/>
        <s v="GREG BISI"/>
        <s v="SONG LEE"/>
        <s v="PAULINE HAMASAKI"/>
        <s v="LAST NAME Ranney"/>
        <s v="Anita"/>
        <s v="STEPHEN BECKETT"/>
        <s v="SARA &amp; CHRISTY HANSHEW"/>
        <s v="Olga Abella"/>
        <s v="SHALENE H."/>
        <s v="Georgia"/>
        <s v="Heidi McCain"/>
        <s v="Joy"/>
        <s v="cb"/>
        <s v="CustomerMsMarianne"/>
        <s v="JULIA JOHNSON"/>
        <s v="Gregory Gigantiello"/>
        <s v="CHRISTINE ROBINSON"/>
        <s v="Marylou"/>
        <s v="pam l"/>
        <s v="Jim Damm"/>
        <s v="ODALYS CRUZ"/>
        <s v="JESSICA FRIEDMAN"/>
        <s v="Tammy Borell"/>
        <s v="NK"/>
        <s v="DEBBIE LATTIN"/>
        <s v="Matthew"/>
        <s v="Et"/>
        <s v="STEVE W."/>
        <s v="SCOTT BILOT"/>
        <s v="STEVEN HARRINGTON"/>
        <s v="ROXANNE M KITZMAN"/>
        <s v="Diana L"/>
        <s v="Unhappy member"/>
        <s v="Stephanie P"/>
        <s v="JEAN SILVER"/>
        <s v="Frank viola"/>
        <s v="JULIE WAYMIRE"/>
        <s v="Chanel Silva"/>
        <s v="ROBERT NAYLIS"/>
        <s v="Kriss M."/>
        <s v="GRANDMA RINK"/>
        <s v="DON PETERS"/>
        <s v="LESLIE FEARING"/>
        <s v="deirdre santoscoy"/>
        <s v="MELONIE ESO"/>
        <s v="Donna Ross"/>
        <s v="Paul Auger"/>
        <s v="Steve Sell"/>
        <s v="michael ri"/>
        <s v="Julie"/>
        <s v="Customer Timothy"/>
        <s v="Bruce"/>
        <s v="DEBBIE REYES"/>
        <s v="KathyN"/>
        <s v="BubblesLaTour47"/>
        <s v="CHERYL RENSHAW"/>
        <s v="Marilyn Cole"/>
        <s v="DEBORA MCNAMARA"/>
        <s v="NORA WADE-SCHULTZ"/>
        <s v="A. Iannotta"/>
        <s v="Mary Hommel"/>
        <s v="ROSS HARRISON"/>
        <s v="richard wilson"/>
        <s v="Sue Evans"/>
        <s v="SUZANNE"/>
        <s v="Pa Jo"/>
        <s v="Arizona Customer"/>
        <s v="BETTY GIBBS"/>
        <s v="Susan Ostby"/>
        <s v="K8VL"/>
        <s v="JODY HUTH"/>
        <s v="DIANE CAMPOCHIARO"/>
        <s v="THOMAS SMITH"/>
        <s v="Abbey’s parents"/>
        <s v="DON URBIELEWICZ"/>
        <s v="KIMBERLY JENSEN"/>
        <s v="Rhonda Williams"/>
        <s v="Mamichellr"/>
        <s v="DONNA GREENE"/>
        <s v="TXCJG"/>
        <s v="ELIZABETH CARTER"/>
        <s v="SCOTT L"/>
        <s v="Travis"/>
        <s v="ALAN PETERS"/>
        <s v="DELORES BECKETT-PASTIRCHAK"/>
        <s v="MARY RUSSELL"/>
        <s v="JANE BREYER"/>
        <s v="Sheri Gittinger"/>
        <s v="Kayan Eplett"/>
        <s v="Kathy K-"/>
        <s v="WANDA KLING"/>
        <s v="CAROL GREENBERG"/>
        <s v="Christopher Weaver"/>
        <s v="PAULA GODINA"/>
        <s v="DEE"/>
        <s v="Suzanne HILL-TRIPP"/>
        <s v="MRJ"/>
        <s v="Suzann"/>
        <s v="MARILYN SHARP"/>
        <s v="Ziva"/>
        <s v="PETER TEDONE"/>
        <s v="Angela"/>
        <s v="KRISTEN MULLIN"/>
        <s v="Donna"/>
        <s v="Ted’s Mom"/>
        <s v="MONICA MOORE"/>
        <s v="STEVEN KIMPTON"/>
        <s v="TERENCE SHUBECK"/>
        <s v="Mark Kelley"/>
        <s v="EVE STANGOR"/>
        <s v="Ana Ramos"/>
        <s v="safr"/>
        <s v="ANDREA PAQUETTE"/>
        <s v="Kathleen Smith"/>
        <s v="Mattman."/>
        <s v="SARAH"/>
        <s v="OWLEN SCAGGS"/>
        <s v="Eileen Portelli"/>
        <s v="HF"/>
        <s v="DONNA KENNY"/>
        <s v="DUSTIN MURDOCK"/>
        <s v="MP"/>
        <s v="meshelle eicher"/>
        <s v="DIANE AMONO"/>
        <s v="ARTHUR BUCKLEY"/>
        <s v="MommaWinks"/>
        <s v="KAREN SHARKEY"/>
        <s v="TOM WIECK"/>
        <s v="kathleen holmes"/>
        <s v="CustomerNancy Ullrich"/>
        <s v="NANCY LEWIS"/>
        <s v="TINA SPRING"/>
        <s v="MARGARET"/>
        <s v="SUSAN LATCHAM"/>
        <s v="Renee Breeden"/>
        <s v="RONALD STOUT"/>
        <s v="Linda Wutz"/>
        <s v="Kim"/>
        <s v="Guest"/>
        <s v="Maureen Doran Kocka"/>
        <s v="Em"/>
        <s v="scouter63"/>
        <s v="Tom Lindemann"/>
        <s v="LOIS FERGUSON SMITH"/>
        <s v="DEBBIE THOMPSON"/>
        <s v="LOURDES."/>
        <s v="Susan"/>
        <s v="ROBERT NELSON"/>
        <s v="Tina"/>
        <s v="Kim Phillips"/>
        <s v="ELLENP"/>
        <s v="Chuck"/>
        <s v="Barry H"/>
        <s v="TYSON STEIGERS"/>
        <s v="CHRISTINA L"/>
        <s v="MUNROE CHAPIN"/>
        <s v="Rebecca Smith"/>
        <s v="CAROLYN W SHAFFER"/>
        <s v="ROIX"/>
        <s v="JEANETTE G."/>
        <s v="AL LARSON"/>
        <s v="April"/>
        <s v="JUDY SMITH"/>
        <s v="SUSAN LOVE"/>
        <s v="Crystal Riley"/>
        <s v="NICK"/>
        <s v="HILARY BURNS"/>
        <s v="BKO"/>
        <s v="GIL G"/>
        <s v="TIM FREYTAG"/>
        <s v="Gail"/>
        <s v="CASEY FLETCHER"/>
        <s v="JONATHAN LUECKE"/>
        <s v="DDBrown"/>
        <s v="J. HAMU"/>
        <s v="Alexa"/>
        <s v="DAVID EICHORN"/>
        <s v="KM"/>
        <s v="MiuMiu's Mom"/>
        <s v="Barbara"/>
        <s v="Cheri Collins"/>
        <s v="Frank Lucero"/>
        <s v="Debi"/>
        <s v="ALLEN M FELDMAN"/>
        <s v="Richard"/>
        <s v="S I-P"/>
        <s v="DAVE DUFOUR"/>
        <s v="Julia"/>
        <s v="Kenneth Tuffern"/>
        <s v="Bethann Baer"/>
        <s v="Shelley Lloyd"/>
        <s v="KIRT KOON"/>
        <s v="Geoff"/>
        <s v="FELIX GAN"/>
        <s v="Raine Tyler"/>
        <s v="Rebecca D Cintron"/>
        <s v="Melvin Check"/>
        <s v="Ann Sabin"/>
        <s v="Linda Schmidt"/>
        <s v="LORI LAVINE"/>
        <s v="MINDY SAETERN"/>
        <s v="John Toner"/>
        <s v="BRENDA"/>
        <s v="LINDA SOKOLOWSKI"/>
        <s v="MARTHA VASI"/>
        <s v="RICHARD RINER"/>
        <s v="LINDA RUFFING"/>
        <s v="Mary Hawks"/>
        <s v="LAURIE GREEAR"/>
        <s v="Jill M"/>
        <s v="Mandisa Henry"/>
        <s v="Lesli Kelsey"/>
        <s v="Melissa"/>
        <s v="FREDERICK PISANI"/>
        <s v="AMcc"/>
        <s v="BEN LEVER"/>
        <s v="rmc"/>
        <s v="D P"/>
        <s v="SHEILA W"/>
        <s v="DAVE LAWSON"/>
        <s v="KATHY DURGIN-LEIGHTON"/>
        <s v="Christine"/>
        <s v="CIndyNC"/>
        <s v="CLAIRE TURNBULL"/>
        <s v="HOPE-CAROLYN QUENTZEL"/>
        <s v="Eva"/>
        <s v="GLENDA LAUBHAN"/>
        <s v="ELIZABETH DEKARSKE"/>
        <s v="C Machleit"/>
        <s v="SANDRA"/>
        <s v="James Lallman"/>
        <s v="Joe Smith"/>
        <s v="PHIL THOMAS"/>
        <s v="MARY BATES"/>
        <s v="Vanessa"/>
        <s v="MICHAEL DEL MASTO"/>
        <s v="Yury K"/>
        <s v="MICHAEL MOREHEAD"/>
        <s v="T Ward"/>
        <s v="ALBERT EGAN"/>
        <s v="MICHELLE RUE"/>
        <s v="BOB and ANNE BLAICHER"/>
        <s v="Helene"/>
        <s v="JENNIFER K"/>
        <s v="Tammy"/>
        <s v="STEVEN NEVADA"/>
        <s v="JOHN ANDERSON"/>
        <s v="Barbara Rice"/>
        <s v="Wheels"/>
        <s v="JENNY O'BRIEN"/>
        <s v="Peter Utrata"/>
        <s v="Jenna"/>
        <s v="Michael G"/>
        <s v="NLB"/>
        <s v="PAUL VERZOSA"/>
        <s v="Kathryn Johnson"/>
        <s v="Lh"/>
        <s v="PAUL GUEVARA"/>
        <s v="KIM M"/>
        <s v="VIVIANA K."/>
        <s v="Brad Galusha"/>
        <s v="THERESA VAN VELS"/>
        <s v="TIFFANY"/>
        <s v="LAURA CYPHERS"/>
        <s v="JANA ANDERSON"/>
        <s v="LINDA B"/>
        <s v="josephine vollkommer"/>
        <s v="John Toto"/>
        <s v="STEPHANIE CARPENTER"/>
        <s v="Melinda"/>
        <s v="Tracy"/>
        <s v="Chris S"/>
        <s v="SUZANNE CAMPBELL"/>
        <s v="MARK L"/>
        <s v="TagandLink"/>
        <s v="Monica Loeffler"/>
        <s v="Earl Mullett Jr"/>
        <s v="Gretchen"/>
        <s v="Justin"/>
        <s v="JUDY MITCHELL"/>
        <s v="Kelli S."/>
        <s v="Kathryn"/>
        <s v="XIMENA RAMOS"/>
        <s v="Linda S"/>
        <s v="PHYLLIS YAEGER"/>
        <s v="Linda Clark"/>
        <s v="ROGER RAY"/>
        <s v="DAWN"/>
        <s v="LKM"/>
        <s v="CAROLYNN GALAVIZ"/>
        <s v="KELLY LAFRANCE"/>
        <s v="Bennett"/>
        <s v="JEFF WARMOUTH"/>
        <s v="customer Robert Elgin"/>
        <s v="SHAGGY PHIPPS"/>
        <s v="TERRY SCHNITTER"/>
        <s v="GLENYCE ROSS"/>
        <s v="Denali"/>
        <s v="ROBIN CROCE"/>
        <s v="FRED HARRAH"/>
        <s v="Mary Ann"/>
        <s v="DORY RODRIGUEZ"/>
        <s v="Robert Danforth"/>
        <s v="KERRY OHAGEN"/>
        <s v="Rick Cantu"/>
        <s v="loretta vacek"/>
        <s v="Wilma McCoy"/>
        <s v="Mm Nava"/>
        <s v="KAREN FORSEE"/>
        <s v="Jeff Burke"/>
        <s v="JOAN GINARD"/>
        <s v="SANDRA HERNANDEZ"/>
        <s v="RustyBritt"/>
        <s v="CRISTINA MEDNICK"/>
        <s v="Janice"/>
        <s v="CMS"/>
        <s v="NANCY GIBBS"/>
        <s v="TRAVIS SHERMAN"/>
        <s v="Mel M."/>
        <s v="KYLE POLLOCK"/>
        <s v="HOLLY HENRY WEST"/>
        <s v="KAREN HARPER"/>
        <s v="KATHY HARVEY-JONES"/>
        <s v="BRUCE MALICKI"/>
        <s v="JEFF BOAK"/>
        <s v="Suzanne L Fraccaroli"/>
        <s v="Spencer"/>
        <s v="CHRIS MARMO"/>
        <s v="Amber S"/>
        <s v="PB"/>
        <s v="TY STRAWHECKER"/>
        <s v="Anna"/>
        <s v="DS"/>
        <s v="Thomas"/>
        <s v="Doggiemistress"/>
        <s v="LYNN KALUHIOKALANI"/>
        <s v="Molly McMurray"/>
        <s v="alicia savino"/>
        <s v="Rebecca O"/>
        <s v="Victoria Schulze"/>
        <s v="LINA COLELLA"/>
        <s v="Laurel Cole"/>
        <s v="ALEX MARTINEZ"/>
        <s v="SHARON ELLIS"/>
        <s v="KAREN KUNS"/>
        <s v="MARY SUGGS"/>
        <s v="Richard W"/>
        <s v="STANLEY"/>
        <s v="DAVID ADAMS"/>
        <s v="Robin"/>
        <s v="Sdo"/>
        <s v="Larry"/>
        <s v="This company SUCKS"/>
        <s v="MALENA PORTER"/>
        <s v="Carole"/>
        <s v="Raven 654"/>
        <s v="CRISTINA CONKLIN"/>
        <s v="THOMAS WILLIAMS"/>
        <s v="marky"/>
        <s v="Debra H"/>
        <s v="susan bjurstrom"/>
        <s v="Danny Tang"/>
        <s v="MES"/>
        <s v="SHIRLEY"/>
        <s v="LUKE ROSE"/>
        <s v="Susanna S."/>
        <s v="LISA CHAPPELL"/>
        <s v="LACEY"/>
        <s v="Teresa Mads"/>
        <s v="Hien"/>
        <s v="GLEN CASSELLS"/>
        <s v="JOBYNA"/>
        <s v="Sue H."/>
        <s v="Brian"/>
        <s v="SANDRA O'DELL"/>
        <s v="Darlene"/>
        <s v="MELINDA THEIDE"/>
        <s v="JORDAN"/>
        <s v="TAMI COMETTE"/>
        <s v="Shelley Malin"/>
        <s v="DENISE"/>
        <s v="JACK KRAUT"/>
        <s v="Mary Forsythe"/>
        <s v="TAMMY ROSS"/>
        <s v="HENRY CHANDLER"/>
        <s v="Rescue an Animal Save your Sou"/>
        <s v="casey bradshaw"/>
        <s v="NJLuvs2Shop!"/>
        <s v="JAMES BARNETT"/>
        <s v="MIKE BERTRAND"/>
        <s v="Stevens Rosemary"/>
        <s v="CHRISTINE P"/>
        <s v="Cathy in New York"/>
        <s v="Stop spamming me!!!"/>
        <s v="PAMELA KELLY"/>
        <s v="JERI POWELL"/>
        <s v="Sasciee"/>
        <s v="Elizabeth Dahl"/>
        <s v="Sally"/>
        <s v="JULIE ALMS"/>
        <s v="C Junior"/>
        <s v="Annoyed"/>
        <s v="KELLY VIGIL"/>
        <s v="TEIMURAZ BANDZAVA"/>
        <s v="Kathryn Riddle"/>
        <s v="K."/>
        <s v="Ann R"/>
        <s v="VICKI BUTLER"/>
        <s v="Eric Fisher"/>
        <s v="Peter Jurich"/>
        <s v="Mary L Smith"/>
        <s v="JERI BOSWELL"/>
        <s v="K. Neely"/>
        <s v="Catlover"/>
        <s v="Beth Miranda"/>
        <s v="SAL ITALIANO"/>
        <s v="Raymond Butts"/>
        <s v="GEORGE HACKNEY"/>
        <s v="MARK MARZINO"/>
        <s v="Joye Thomas"/>
        <s v="Kristie"/>
        <s v="Erin Leigh"/>
        <s v="LAURA GARVIN"/>
        <s v="KAREN WAXMAN"/>
        <s v="SUSAN MCCLAIN"/>
        <s v="PAOLA BELLI"/>
        <s v="Ohiodoglover"/>
        <s v="ANGELA PLUMLEY"/>
        <s v="George T"/>
        <s v="CECILy"/>
        <s v="PENNY GOODIN"/>
        <s v="S STAVRO"/>
        <s v="SHARON"/>
        <s v="JEFF HALE"/>
        <s v="MARILYN ROTH"/>
        <s v="THOMAS CARRAN"/>
        <s v="ETHEL HOUMAN"/>
        <s v="Pat"/>
        <s v="Alla Ruchkina"/>
        <s v="CHRISTINA M."/>
        <s v="MICHAEL BIRCHALL"/>
        <s v="DANIEL SAMARDZICH"/>
        <s v="FELICIA SISK"/>
        <s v="JT"/>
        <s v="MARIAN M"/>
        <s v="Disappointing"/>
        <s v="Bergie"/>
        <s v="Ga B"/>
        <s v="JUDY BUTTON"/>
        <s v="MAKAYLA BRAIN"/>
        <s v="DENISE ANGELO"/>
        <s v="Starr Herscovitch"/>
        <s v="Cassidy Craig"/>
        <s v="SUSAN VAZ"/>
        <s v="LINDA CRANE"/>
        <s v="Karen Reed"/>
        <s v="A.Q."/>
        <s v="ANDREW RAMSEYER"/>
        <s v="Nicole"/>
        <s v="Gail Pray"/>
        <s v="DOUGLAS ALLAN"/>
        <s v="REBECCA BROGAN"/>
        <s v="MML"/>
        <s v="ART HILER"/>
        <s v="CHARLENE"/>
        <s v="REBECCA ALDERMAN"/>
        <s v="Cary Brenchley"/>
        <s v="LANAY SAMUELSON"/>
        <s v="CAROL BRONSON"/>
        <s v="AMBUR M"/>
        <s v="DAN MARCH"/>
        <s v="WENDY STELMACK"/>
        <s v="ROBIN MUNSON"/>
        <s v="LilNLu’s ma"/>
        <s v="Frederick Irwin"/>
        <s v="Gourmet Gal"/>
        <s v="MICHAEL PRINCIPE"/>
        <s v="Monica Feagan"/>
        <s v="LaDonna Swaim"/>
        <s v="MICHAEL JAMES"/>
        <s v="Jordan Rogers"/>
        <s v="Shelly"/>
        <s v="ASHLEY P."/>
        <s v="bobbi"/>
        <s v="SOPHIE BROOKS"/>
        <s v="ROMAN BOWSSER"/>
        <s v="REYVONNA WHITE"/>
        <s v="MO"/>
        <s v="RH"/>
        <s v="Yvette"/>
        <s v="PERLA BUCHSBAUM"/>
        <s v="Paula Brock"/>
        <s v="STEVEN C."/>
        <s v="Donna Grubbs"/>
        <s v="HappyCamper"/>
        <s v="NAJA AYERS"/>
        <s v="Randi K"/>
        <s v="CHRISTINE SWISZCZ"/>
        <s v="Anja Metz"/>
        <s v="REBECCA SOTO"/>
        <s v="JULIE HAGEN-CHURCHMAN"/>
        <s v="JEANNE MARIE THALLMAYER"/>
        <s v="ROBIN SCHMINCKE"/>
        <s v="Candy and Brian"/>
        <s v="Valerie"/>
        <s v="JOYCE BARBER"/>
        <s v="JENNIFER H"/>
        <s v="ron henderson"/>
        <s v="sal quintero"/>
        <s v="brent mccaig"/>
        <s v="Richard Beard"/>
        <s v="Christopher Munns"/>
        <s v="JULIE R."/>
        <s v="MARY LEADER"/>
        <s v="Jasmine Williams"/>
        <s v="DobetterBIleave"/>
        <s v="KHAIRUL ALAM"/>
        <s v="KATHRYN MARSHBURN"/>
        <s v="Anatoly Tokar"/>
        <s v="Mia’s Mommy Nunez"/>
        <s v="IRAIDA TRUSOVA"/>
        <s v="Lily"/>
        <s v="Phyllis Beasley"/>
        <s v="CAROL CLARKE"/>
        <s v="M. Savage"/>
        <s v="ANGELA WHITE"/>
        <s v="P. Rick"/>
        <s v="WILLIAM BAUMGARTNER"/>
        <s v="TraM"/>
        <s v="MIKE L."/>
        <s v="CHRISTINE J"/>
        <s v="SANDRA BOYAS"/>
        <s v="DIANE R"/>
        <s v="GINA ANDREWS"/>
        <s v="JOHN AMBROSE"/>
        <s v="MJ"/>
        <s v="N. Lucci"/>
        <s v="MELISSA RICHARD"/>
        <s v="CARRIE ROBERTS"/>
        <s v="DENISE ANDERSON"/>
        <s v="Jane"/>
        <s v="HEATHER THACKER"/>
        <s v="TOM W"/>
        <s v="Miss Christine"/>
        <s v="Jim Russo"/>
        <s v="NELSON TIBURCIO"/>
        <s v="LINDA RANKIN"/>
        <s v="PHIL DAHLQUIST"/>
        <s v="Russ"/>
        <s v="NOEL HIRSCH"/>
        <s v="Gene Smith"/>
        <s v="A.H.(Chico)Tose"/>
        <s v="Maitri Libellule"/>
        <s v="Pauly"/>
        <s v="HR Teel"/>
        <s v="Happy Camper"/>
        <s v="Marcela Reilly"/>
        <s v="Vickie Mullins"/>
        <s v="KIMBERLY MCBRIDE"/>
        <s v="Tam"/>
        <s v="MAHMOUD ALNAJAR"/>
        <s v="RITA DEFRANCO"/>
        <s v="JAQUELINE BUGALLO PASCUCCI"/>
        <s v="Janesa Calone"/>
        <s v="D. C."/>
        <s v="ROSE H., Arkansas"/>
        <s v="LEROY FHLUG"/>
        <s v="CHARLENE GALLARDO"/>
        <s v="WALT HUNT"/>
        <s v="Daniel Glunt"/>
        <s v="SUE MOGLE"/>
        <s v="ADA FRASCA"/>
        <s v="MARSHA MUELLER"/>
        <s v="Jill"/>
        <s v="RIA"/>
        <s v="RONALD GARLICK"/>
        <s v="Rick"/>
        <s v="Jennifer Abbott-Walker"/>
        <s v="CANDEE ZENKLUSEN"/>
        <s v="TIMMY BJORKQUIST"/>
        <s v="WILLIAM G"/>
        <s v="Captain Stumpy"/>
        <s v="ALEXANDRA PARRA"/>
        <s v="Frederic Steinhardt"/>
        <s v="Jacqui"/>
        <s v="hofty"/>
        <s v="Kimberley Lightcap"/>
        <s v="BRENDA MITCHELL"/>
        <s v="HMa"/>
        <s v="Siameez"/>
        <s v="STEVEN GANUNG"/>
        <s v="JENNIFER SCHILLING"/>
        <s v="Donna M."/>
        <s v="Jborine"/>
        <s v="DEBBIE FLORES"/>
        <s v="PATTI MARTINEZ"/>
        <s v="DREW NELSON"/>
        <s v="Geraldine Hagan"/>
        <s v="ELIZABETH CUNNINGHAM"/>
        <s v="Carlos G"/>
        <s v="Lara M"/>
        <s v="Elizabeth Jackson"/>
        <s v="BARBARA JONES"/>
        <s v="KATHY WESOLOWSKI"/>
        <s v="Dan"/>
        <s v="Jaclyn Koester"/>
        <s v="Phillip Lavery"/>
        <s v="Z C W"/>
        <s v="DAVID BLAKE"/>
        <s v="Kathie Potega"/>
        <s v="Barb"/>
        <s v="SheliaJ"/>
        <s v="EightBlueEyes"/>
        <s v="Ellen Solis-Cohen"/>
        <s v="Katarina"/>
        <s v="M.clem"/>
        <s v="MICHELE BOWERS"/>
        <s v="James B."/>
        <s v="Ed"/>
        <s v="Marmy"/>
        <s v="KIM FRAZIER"/>
        <s v="DONNA AUGUSTINE"/>
        <s v="Mary Chalaire"/>
        <s v="GINNY B"/>
        <s v="Buddha / Opalina"/>
        <s v="RHONDA"/>
        <s v="stanleychavez"/>
        <s v="Honey Flavorz"/>
        <s v="Stephanie Lucas"/>
        <s v="Smw"/>
        <s v="Annie LaVigne"/>
        <s v="AUDREY EICHWALD"/>
        <s v="JOYCE BERRY"/>
        <s v="BRIANNA SCHUMAKER NGUYEN"/>
        <s v="REBECCA LOPEZ"/>
        <s v="LAK"/>
        <s v="GERA WILLIAMS"/>
        <s v="FRANK WESSINGER"/>
        <s v="MAYME WILHEM"/>
        <s v="LANIER WATSON"/>
        <s v="Rebecca Wickstrom"/>
        <s v="Susan Jay"/>
        <s v="DIANE ESCOBAR"/>
        <s v="DEBBIE ROBERTS"/>
        <s v="MARGARET S WARNER"/>
        <s v="Max’s mom"/>
        <s v="MYRON"/>
        <s v="TANJINA"/>
        <s v="STEVE KARMAN"/>
        <s v="LINDA KELLER"/>
        <s v="ALISE SAUNDERS"/>
        <s v="ANITA SAINT CLAIR"/>
        <s v="Andrina DaCar"/>
        <s v="Ronnie Hoffman"/>
        <s v="berkshires"/>
        <s v="Christopher"/>
        <s v="VERLA E ORDING"/>
        <s v="Angela Bowen"/>
        <s v="DAN W"/>
        <s v="ADRIENNE B"/>
        <s v="Wendy Morrey"/>
        <s v="STEPHEN HELD"/>
        <s v="B Bradford"/>
        <s v="MARILYN BADGER"/>
        <s v="RodB"/>
        <s v="Melissa Susino-Nussbaum"/>
        <s v="William Matthews"/>
        <s v="ELIZABETH CUMBERBATCH"/>
        <s v="JESSE CLARK"/>
        <s v="MICHELLE UNGER"/>
        <s v="L.RIVERA"/>
        <s v="EBONY PARKER WAUGH"/>
        <s v="SCD"/>
        <s v="DOGMOM"/>
        <s v="William Gallop"/>
        <s v="Zar's Mom"/>
        <s v="FREDERICK BROUGH III"/>
        <s v="Carla Trujillo"/>
        <s v="CAROL K"/>
        <s v="Joseph"/>
        <s v="MarkO"/>
        <s v="PAMELA YEH"/>
        <s v="JILL CLARKE"/>
        <s v="Don Walters"/>
        <s v="Kathi"/>
        <s v="INDIANA DILAN"/>
        <s v="ROBERT ANDERSON"/>
        <s v="No happy"/>
        <s v="STACEY M."/>
        <s v="YOLANDA GRIFFITHS"/>
        <s v="michelle berentz"/>
        <s v="Renee &amp; Bee"/>
        <s v="Judith Lewis"/>
        <s v="NANCY CLASEN"/>
        <s v="Laura"/>
        <s v="WENDY MANN"/>
        <s v="S Tate"/>
        <s v="TAMMIE Y"/>
        <s v="Beckley Van Cleave"/>
        <s v="DENISE ARCHER"/>
        <s v="LARRY BENTLEY"/>
        <s v="M. Quick"/>
        <s v="Ted"/>
        <s v="VIKKI FLAHERTY"/>
        <s v="DAWN SCHAFFER"/>
        <s v="SHEFFIELD LARRY"/>
        <s v="DENNIS HOFFBUHR"/>
        <s v="ELYSE D."/>
        <s v="KAY"/>
        <s v="Bob Kobashigawa"/>
        <s v="LOUI MARRA"/>
        <s v="Chris Cassner"/>
        <s v="BELINDA HARLOW"/>
        <s v="MIA LAVERGNE"/>
        <s v="Agnes"/>
        <s v="NANCY"/>
        <s v="Judy Kathleen Thompson"/>
        <s v="Cynthia Gould"/>
        <s v="LINDA MEEHAN"/>
        <s v="LISA SHAFFER"/>
        <s v="Barrie"/>
        <s v="Yas"/>
        <s v="T M BUCKMAN"/>
        <s v="Duane Neuerburg"/>
        <s v="Eva Fresquez"/>
        <s v="ROLLIN BAIRD"/>
        <s v="TRACY WESTMORELAND"/>
        <s v="Penny"/>
        <s v="JUDITH TAYLOR"/>
        <s v="Joel Goldin"/>
        <s v="DB"/>
        <s v="PAUL WEILER"/>
        <s v="Charlie"/>
        <s v="JOHN HEITZMAN"/>
        <s v="KALLIE DAVISCOURT"/>
        <s v="Eric"/>
        <s v="NANCY CAMACHO"/>
        <s v="SANDRA HERSOM"/>
        <s v="MARTHA GARLICK"/>
        <s v="JENNIFER FRAIN"/>
        <s v="Steven Poster"/>
        <s v="Tom P"/>
        <s v="Deberoh Gruver"/>
        <s v="Cathy K"/>
        <s v="Biscuit"/>
        <s v="JOSE ARAUJO"/>
        <s v="bomarkat"/>
        <s v="Carole Springer"/>
        <s v="Daniel"/>
        <s v="LON CARNEY"/>
        <s v="KADY TETZLAFF"/>
        <s v="Peggy Jo Gustis"/>
        <s v="MAUREEN WATSON"/>
        <s v="CORINNE BROWN"/>
        <s v="LAURA BISHOP"/>
        <s v="Feniix"/>
        <s v="Beth V"/>
        <s v="SYNDEE F."/>
        <s v="KSJ"/>
        <s v="Don Land"/>
        <s v="DAWN MORDICA"/>
        <s v="Linda J Larson"/>
        <s v="All seeing Isaac"/>
        <s v="CAROLINE HALDER"/>
        <s v="THAD S"/>
        <s v="BEVERLY DELAET"/>
        <s v="DALE T"/>
        <s v="JOSEPH G."/>
        <s v="DHK"/>
        <s v="Joy to the world"/>
        <s v="GAIL HUGHES"/>
        <s v="Eessam Ammouri"/>
        <s v="SUSAN ABEEL"/>
        <s v="Maureen"/>
        <s v="ROZ DORF"/>
        <s v="JEANETTE ZGLOBICKI"/>
        <s v="PAULETTE TARDIO"/>
        <s v="MICHAEL PAGLIANTI"/>
        <s v="ROBERT EARHART"/>
        <s v="AMY NASH"/>
        <s v="MARIE"/>
        <s v="Anya Spielberg"/>
        <s v="KLaurie"/>
        <s v="MEGAN R"/>
        <s v="Sharen"/>
        <s v="ELLEN CHILDS"/>
        <s v="JENNIFER HOFFMAN"/>
        <s v="DAVID COHEN"/>
        <s v="LOIS SUSSMAN"/>
        <s v="JUDITH ENDEAN"/>
        <s v="WHITNEY CHIRDON"/>
        <s v="Sami's mom"/>
        <s v="Pet Lover"/>
        <s v="Lck"/>
        <s v="LISA DENNY"/>
        <s v="VW"/>
        <s v="vicki thornborough"/>
        <s v="CRAIG LETRICH"/>
        <s v="NILDA BERRIOS"/>
        <s v="PATRICIA MULQUEEN"/>
        <s v="Cathy"/>
        <s v="ANNETTE"/>
        <s v="KAYE OWENS"/>
        <s v="JOSE DIAZ"/>
        <s v="ANTOINETTE PELKEY"/>
        <s v="Jennifer Daly"/>
        <s v="TnE"/>
        <s v="MAUREEN R."/>
        <s v="MARC EISEN"/>
        <s v="Jackie"/>
        <s v="BRENDA HACH"/>
        <s v="Denise Moll"/>
        <s v="rk"/>
        <s v="SHELIA"/>
        <s v="SHARON WAINWRIGHT"/>
        <s v="Nura Cue"/>
        <s v="JOHN HAWTHORNE"/>
        <s v="Marietta Pup Mom"/>
        <s v="Andrew Cohen"/>
        <s v="Cynthia"/>
        <s v="JOANNE BEIGER"/>
        <s v="Carol"/>
        <s v="MATTHEW ATHERLEY"/>
        <s v="AMY SENSTAD"/>
        <s v="SHERYL MCLEAN"/>
        <s v="Ronda Raye"/>
        <s v="LESLIE ZELKOWITZ"/>
        <s v="WENDY GANSER"/>
        <s v="AL T."/>
        <s v="MONICA"/>
        <s v="Ian"/>
        <s v="KATHY KLEIST"/>
        <s v="Suzanne Fleischmann"/>
        <s v="ANDRES"/>
        <s v="B Sillwell"/>
        <s v="KENNETH KANTOR"/>
        <s v="MS"/>
        <s v="LEE BARTHEL"/>
        <s v="PHILIP M"/>
        <s v="Disappointed"/>
        <s v="Violet Ahrenholtz"/>
        <s v="Virginia Buxton"/>
        <s v="Johaen B Nunez"/>
        <s v="ROBERT HERNANDEZ"/>
        <s v="JANET PATACCA"/>
        <s v="EVELYN WHITE"/>
        <s v="DEANNA MEYER"/>
        <s v="JEANNIE"/>
        <s v="JEAN WINANS"/>
        <s v="RHONA HAMMOCK"/>
        <s v="Irina"/>
        <s v="Ginger’s mom"/>
        <s v="LINDA SHINNEMAN"/>
        <s v="Rexford Nichols"/>
        <s v="Joann Shepherd"/>
        <s v="KATIE"/>
        <s v="CHARLOTTE COOPER"/>
        <s v="Jean Kandel"/>
        <s v="LETA WELLS"/>
        <s v="SHANNON MOLLOY"/>
        <s v="Leo"/>
        <s v="RICHARD K FALKE"/>
        <s v="Mary Boyle"/>
        <s v="ANGELA SEVERE"/>
        <s v="HEATHER PARCHMAN"/>
        <s v="patrick"/>
        <s v="ROBERT VANMETER"/>
        <s v="Herb"/>
        <s v="Nick V."/>
        <s v="MONICA ABEYTA"/>
        <s v="MARK STEVENS"/>
        <s v="TIMOTHY COOPER"/>
        <s v="DENNIS"/>
        <s v="STEPHANIE WALKER"/>
        <s v="cam"/>
        <s v="ANGELA ROMBACH"/>
        <s v="DESIREE ZAMBRANA"/>
        <s v="LLB52"/>
        <s v="JOSEPH GONZALES"/>
        <s v="RON"/>
        <s v="BRENDA KEISTER"/>
        <s v="LINDA MURPHY"/>
        <s v="HAt"/>
        <s v="MARGARET FINNEGAN"/>
        <s v="RICHARD DAVILA"/>
        <s v="Susan Ross"/>
        <s v="TERRYN"/>
        <s v="PATRICIA SOSA"/>
        <s v="LORRIE CANDLER"/>
        <s v="Linda Ryburn"/>
        <s v="Klossau"/>
        <s v="FEO"/>
        <s v="SABLE JAK"/>
        <s v="Naioma Emanuel"/>
        <s v="Hilary"/>
        <s v="Kim B."/>
        <s v="Victoria K"/>
        <s v="KIMBERLY REED"/>
        <s v="ROSE G"/>
        <s v="ANDREA MENZER-FEEBECK"/>
        <s v="TRACIE OSBORNE"/>
        <s v="RLL"/>
        <s v="BOB HERBERT HSU"/>
        <s v="delphiguy"/>
        <s v="FYNN MORELAND"/>
        <s v="Terry Wolverton"/>
        <s v="Ljudice"/>
        <s v="Mary Griswold"/>
        <s v="Kathy J."/>
        <s v="ALEXIS ROEBER"/>
        <s v="Purrfectly Contented Pat"/>
        <s v="TARA NOSICH"/>
        <s v="Kitty Mama"/>
        <s v="GLENN DONOFRI"/>
        <s v="Jim D"/>
        <s v="NATALIYA KUTYEPOVA"/>
        <s v="CHRISTY"/>
        <s v="Ruth Butler"/>
        <s v="JANET ALLI"/>
        <s v="ken123"/>
        <s v="Gator"/>
        <s v="Ben Szilagy"/>
        <s v="Deborah h"/>
        <s v="BETSY RAYLE"/>
        <s v="Tyrone Morgan"/>
        <s v="LBrotkin"/>
        <s v="STACY BOVE-FULGENZI"/>
        <s v="CAROL ANNE OLSEN"/>
        <s v="Deb"/>
        <s v="Robert William"/>
        <s v="Kaybar"/>
        <s v="LB"/>
        <s v="Elissa Rogovin"/>
        <s v="KATHLEEN HALE"/>
        <s v="PATRICK WOOD"/>
        <s v="SUZIE MCLEOD"/>
        <s v="MEGAN J"/>
        <s v="KAREN GOOD"/>
        <s v="Kim Bartley"/>
        <s v="NANCY ROBERTS"/>
        <s v="carl mcHenry"/>
        <s v="RICHARD ARVONIO"/>
        <s v="Valued Customer"/>
        <s v="martha"/>
        <s v="Faye Robinson"/>
        <s v="Judy Sander"/>
        <s v="LISA GREEN"/>
        <s v="Francesca"/>
        <s v="JOHN FEZIO"/>
        <s v="DIANE Tempe Az"/>
        <s v="RICHARD BOTT"/>
        <s v="CORNELIS BOUDEWIJN"/>
        <s v="SCOTT HOLDER"/>
        <s v="HOWARD LOW"/>
        <s v="Scott"/>
        <s v="K Rom"/>
        <s v="JOYCE CURTIS"/>
        <s v="RICHARD K."/>
        <s v="Denise Kramer"/>
        <s v="JOHN B"/>
        <s v="COURTNEY FRALEY"/>
        <s v="MEGAN"/>
        <s v="CAP"/>
        <s v="Ellen"/>
        <s v="JAILALL RAMLAGAN"/>
        <s v="LYANNE LOPEZ"/>
        <s v="RUTH ROTHMAN"/>
        <s v="CCole"/>
        <s v="Kathy Huber"/>
        <s v="Barb S"/>
        <s v="ZooFmly"/>
        <s v="JOHN DOWN"/>
        <s v="MARK ELIASOFF"/>
        <s v="AUDREY EPSTEIN"/>
        <s v="ROBERT EWING"/>
        <s v="DIANE ALDRETE"/>
        <s v="LORI DIGIOVANNI"/>
        <s v="charles"/>
        <s v="Sandra F"/>
        <s v="Pet friend"/>
        <s v="LANCE YOUNG"/>
        <s v="PATRICIA LLOYD"/>
        <s v="Robert Stoff"/>
        <s v="WILSON"/>
        <s v="PATRICIA WALLEY"/>
        <s v="STEPHENY TAYS"/>
        <s v="Banteaux"/>
        <s v="Angie Tracy"/>
        <s v="Mrs. Bill"/>
        <s v="Sheila Brooks"/>
        <s v="Crystal Shackleford"/>
        <s v="Elizabeth Moody"/>
        <s v="DOREEN BARNAS"/>
        <s v="jsmom"/>
        <s v="CANTWELL, JOANNE"/>
        <s v="RILEY MCINTIRE"/>
        <s v="Gloria"/>
        <s v="DEBORAH TREADWAY"/>
        <s v="LISA HERNDON"/>
        <s v="Dl"/>
        <s v="RIKI ORELLANA"/>
        <s v="Linda Schulz"/>
        <s v="KEITH SCHWARTZ SCHWARTZ"/>
        <s v="ERIN ANSELM"/>
        <s v="TRINIDAD MAGNO"/>
        <s v="Kam"/>
        <s v="KARA MILLER"/>
        <s v="Lydia Theys"/>
        <s v="BARBARA GROSSI"/>
        <s v="RICHARD BAUMGARTNER"/>
        <s v="Aaron Schott"/>
        <s v="PATTY JABLONOWSKI"/>
        <s v="RICHARD RITCHEY"/>
        <s v="RICHARD CECCACCI JR"/>
        <s v="ROBIN ELDER"/>
        <s v="LAURA ANNE WELCH"/>
        <s v="dorecia wilde"/>
        <s v="CHRISTINE BONHAM"/>
        <s v="DOUGLAS VERGARA"/>
        <s v="bwheeler"/>
        <s v="Roy Chen"/>
        <s v="SUSAN WINTER"/>
        <s v="John Dustin"/>
        <s v="LAZARO PEREZ"/>
        <s v="JEN PETSU"/>
        <s v="Mildred Crawford"/>
        <s v="Erica A"/>
        <s v="VICKI HARTSBURG"/>
        <s v="Stan"/>
        <s v="VIRGINIA SUNDIN"/>
        <s v="Steven Kellerman"/>
        <s v="nelfudge"/>
        <s v="JENN"/>
        <s v="DEIDRA ECKERD"/>
        <s v="Gems Mom"/>
        <s v="Alicia P"/>
        <s v="Txbear"/>
        <s v="JOAN"/>
        <s v="CYNTHIA MCMAHAN"/>
        <s v="CARTER FARMER"/>
        <s v="Marilyn Thorson"/>
        <s v="Jane Smiley"/>
        <s v="JC"/>
        <s v="MJ."/>
        <s v="JERRY SCOTT"/>
        <s v="Dave G."/>
        <s v="Breewynd Labradors"/>
        <s v="JOHN BOSTER"/>
        <s v="MNTX"/>
        <s v="LINDA MIVILLE"/>
        <s v="Janet Moore"/>
        <s v="SARAH MCANALLY"/>
        <s v="CFrick"/>
        <s v="CLEMENTINE MAUREEN L PARADISE"/>
        <s v="customer Brenda"/>
        <s v="Kika"/>
        <s v="Cheryl"/>
        <s v="MORGAN BRIGGS"/>
        <s v="Suzy Osum"/>
        <s v="DUB CROFFORD"/>
        <s v="Randi Buslik"/>
        <s v="SANDRA N"/>
        <s v="Maureen Whyte"/>
        <s v="RUTH MONZEL"/>
        <s v="KERIN ANTHONY"/>
        <s v="Lisa Kleiner"/>
        <s v="S SHAY"/>
        <s v="Virginia"/>
        <s v="Galina Moliboga"/>
        <s v="Maria Plochocki"/>
        <s v="DAMIEN HORST"/>
        <s v="DuWi"/>
        <s v="ADO ZOHOROVIC"/>
        <s v="DAVE REIK"/>
        <s v="JILL GREER"/>
        <s v="Kitty Queen"/>
        <s v="SHERI GARRISON"/>
        <s v="DEBRA LOPER"/>
        <s v="Mary Henry"/>
        <s v="TIFFANY DRISCOLL"/>
        <s v="DAVE PINNER"/>
        <s v="TAMMY KRAUSS"/>
        <s v="JUDITH JONES"/>
        <s v="Cat Appreciator from SE NY"/>
        <s v="G.O."/>
        <s v="CHUCK HOWARD"/>
        <s v="MR"/>
        <s v="OSCAR RINGNESS"/>
        <s v="William Hroch"/>
        <s v="Ubaldo Morales"/>
        <s v="Sandi Lynn Dupuy"/>
        <s v="Hayley"/>
        <s v="Caitlin R."/>
        <s v="RENATO FABBRO"/>
        <s v="Rick Doctor"/>
        <s v="JAMES BADACZEWSKI"/>
        <s v="Jennotjenn"/>
        <s v="LISA THOMPSON"/>
        <s v="ANNE RAINEY"/>
        <s v="C. Thomas"/>
        <s v="NORMA MURPHY"/>
        <s v="JASON DIEHL"/>
        <s v="BARBARA CHIAPETTA"/>
        <s v="JL"/>
        <s v="CR SIMMONS"/>
        <s v="Pam Schiller"/>
        <s v="Eileen"/>
        <s v="CATHY ALIRE"/>
        <s v="Glenn Singer"/>
        <s v="LINDA SCHUHMACHER"/>
        <s v="CAROLYNF"/>
        <s v="Ana"/>
        <s v="SHIRLEY ALEXANDER"/>
        <s v="CHERYL CORBEAN"/>
        <s v="PATRICK RYAN"/>
        <s v="SARA ANN STOCKER"/>
        <s v="LAN ZHAO"/>
        <s v="LISA WOTTRICH"/>
        <s v="Loren"/>
        <s v="DOLORES LIBERTI"/>
        <s v="Daniel Culbert"/>
        <s v="Carol Staten Clark"/>
        <s v="LYNN CATHEY"/>
        <s v="DANE"/>
        <s v="CAROLA"/>
        <s v="Dusty"/>
        <s v="LEE HARVIE"/>
        <s v="quokka"/>
        <s v="Paula G."/>
        <s v="MICHAEL NEYHART"/>
        <s v="SK SOURCE"/>
        <s v="Molly"/>
        <s v="JOE BUFFA"/>
        <s v="AN"/>
        <s v="LISA INGRAM"/>
        <s v="JUDITH HARRIS"/>
        <s v="chris"/>
        <s v="VICKY BROWN"/>
        <s v="customerJeannie"/>
        <s v="Alyssa Jolley"/>
        <s v="Lidia &amp; Antoni Ljubic"/>
        <s v="Chelsey Hutchings"/>
        <s v="R MEYER"/>
        <s v="MARIBEL PADILLA"/>
        <s v="Susan Gibson"/>
        <s v="aqualiz"/>
        <s v="SAM B"/>
        <s v="BARBARA MOOSE"/>
        <s v="DEBORAH STUMM"/>
        <s v="Lilly"/>
        <s v="TG"/>
        <s v="MORGAN BAILEY"/>
        <s v="DIANE WENDTE"/>
        <s v="PHYLLIS SNOOK"/>
        <s v="MARILYNN ESTES"/>
        <s v="SHIRLEY NEWMONT"/>
        <s v="Mary Ann Salomone"/>
        <s v="TIMOTHY EISCHENS"/>
        <s v="Joan L"/>
        <s v="Mel Givison"/>
        <s v="JOANNE LARSEN"/>
        <s v="CONNIE BOREE"/>
        <s v="Frenchie Mom"/>
        <s v="JEFFREY DREISIN"/>
        <s v="Laketa"/>
        <s v="John Hofker"/>
        <s v="Montana Hayes"/>
        <s v="ZAHRA TAPPOUNI"/>
        <s v="Sara"/>
        <s v="HEIDI RIPKE-CURCIO"/>
        <s v="sad cat"/>
        <s v="Denise A Hobson"/>
        <s v="JENNY LADD"/>
        <s v="LISA TIMM"/>
        <s v="annie marie"/>
        <s v="customerDebra"/>
        <s v="Rollie Bennett"/>
        <s v="DEVON LEWIS"/>
        <s v="ANNA SUTOCKY"/>
        <s v="Walter L Zych"/>
        <s v="RICHARD in SC"/>
        <s v="RANDY SHELBY"/>
        <s v="CATHERINE BURNS"/>
        <s v="Taira Naiomy"/>
        <s v="DANI"/>
        <s v="HELEN HEGARTY"/>
        <s v="Rita Krause"/>
        <s v="RENEE GUTIERREZ-KINZ"/>
        <s v="Mrs Wicked Dragonfly"/>
        <s v="Roger Martinez"/>
        <s v="KYLE L"/>
        <s v="GWEN"/>
        <s v="LAUREN S"/>
        <s v="Mary Dalton"/>
        <s v="DEBORAH PERRY"/>
        <s v="Jay S"/>
        <s v="Alejandro"/>
        <s v="DESIREE RACQER"/>
        <s v="Marcus TwoTime"/>
        <s v="SANDRA MAYES"/>
        <s v="CINDY FLATT"/>
        <s v="Brian Aderer"/>
        <s v="JAN BERTI"/>
        <s v="LISA MEYERS"/>
        <s v="Rafe H Schindler"/>
        <s v="RANDY HOLLOWAY"/>
        <s v="LANETTE WILKE"/>
        <s v="JOSEPH STEELE"/>
        <s v="WES TANAKA"/>
        <s v="Rick V."/>
        <s v="JOAN MCDANIEL"/>
        <s v="Peter"/>
        <s v="JANE PIMENTEL"/>
        <s v="Shea"/>
        <s v="BRANT STANDRIDGE"/>
        <s v="S. DALTON"/>
        <s v="Peggy R"/>
        <s v="Code"/>
        <s v="THERESA MOSSBERG"/>
        <s v="Lynne Wilson"/>
        <s v="LYNN SURDOW"/>
        <s v="ELKE"/>
        <s v="Lucy's Mom"/>
        <s v="TAMMIE DAZEY"/>
        <s v="Ben"/>
        <s v="DUWAYNE WENGER"/>
        <s v="Kenneth I Hamilton"/>
        <s v="Kevin Charles"/>
        <s v="AMANDA HATFIELD"/>
        <s v="KAREN RILEY"/>
        <s v="Siskin"/>
        <s v="Florida Pet Owner"/>
        <s v="frank giuliano"/>
        <s v="Ken"/>
        <s v="GLORIA NAVARRO"/>
        <s v="HR"/>
        <s v="Frank Marmolejo"/>
        <s v="mmaynard119"/>
        <s v="DAVID CROYLE"/>
        <s v="DEBORAH CAUDILL"/>
        <s v="ERIC GREENE"/>
        <s v="SHERRY BISHOP"/>
        <s v="PAUL ROCHA"/>
        <s v="Pat in Rochester, NY"/>
        <s v="Sarah Gabbard"/>
        <s v="EIRENE A."/>
        <s v="TERRY CLARK"/>
        <s v="Cindy L Stanbery"/>
        <s v="ROBERT CLARK"/>
        <s v="DJ"/>
        <s v="Shawn"/>
        <s v="Noel Truty"/>
        <s v="BILL LOH"/>
        <s v="pdo"/>
        <s v="JO"/>
        <s v="Candice Boggs"/>
        <s v="Stewart Smith"/>
        <s v="JODI"/>
        <s v="MARY ANNE BRUESEWITZ"/>
        <s v="Christina"/>
        <s v="RICHARD LUCAS"/>
        <s v="melissa wilhelm"/>
        <s v="PATRICK ST JOHN"/>
        <s v="JustAnswer Customer"/>
        <s v="D. W."/>
        <s v="MICHELLE B."/>
        <s v="Need Food at Least within a We"/>
        <s v="BOBBI MCRAE"/>
        <s v="KK"/>
        <s v="LSW"/>
        <s v="STEVEN/DINA LEWIS"/>
        <s v="DONALD RALPH"/>
        <s v="Ol"/>
        <s v="Sharlene Manore"/>
        <s v="sngfever"/>
        <s v="BeePaloma"/>
        <s v="MIKE STONE"/>
        <s v="MIKE WARDER"/>
        <s v="Richard Scalzo"/>
        <s v="HARUMI JOHNSON"/>
        <s v="ASHLEY YOUNGER"/>
        <s v="BRUCE CORCORAN"/>
        <s v="Karen Denike"/>
        <s v="adrienne bates"/>
        <s v="Carla Reed"/>
        <s v="M Miller"/>
        <s v="DOROTHY ZEIGLER"/>
        <s v="DEBBY OYLER"/>
        <s v="LISA WIESENAUER"/>
        <s v="JAM"/>
        <s v="ALBERT FRANZONE"/>
        <s v="RONALD VERHAGEN"/>
        <s v="Anthony"/>
        <s v="Brian Ensign"/>
        <s v="SHARON COKER"/>
        <s v="Dave Teague"/>
        <s v="Barbara Hughes Sell"/>
        <s v="Georgia A."/>
        <s v="DINA SHACKELFORD"/>
        <s v="AMY TALBERT"/>
        <s v="ROBERT BOWSER"/>
        <s v="John Mikash"/>
        <s v="Valeria"/>
        <s v="Joseph Layne"/>
        <s v="DIANA DECKER"/>
        <s v="STEVE WERDA"/>
        <s v="THOMAS BECK"/>
        <s v="SCOTT GELLMAN"/>
        <s v="Shelley Khoury"/>
        <s v="SIERRA CAGLE"/>
        <s v="LeeAnn Harmening"/>
        <s v="maggie"/>
        <s v="Hyun Whyte"/>
        <s v="William Ludewig, Cave Creek, AZ"/>
        <s v="Rosalie"/>
        <s v="Patricia Hawks"/>
        <s v="TAMMY BROWN"/>
        <s v="ivaluem"/>
        <s v="MONICA SNAPE"/>
        <s v="Michelle"/>
        <s v="KIM HILAND"/>
        <s v="JOYCE SHIPMAN"/>
        <s v="Wendy Call"/>
        <s v="Allison Baird"/>
        <s v="Thomas Popp"/>
        <s v="Eilene B"/>
        <s v="GreenFlyingDragon"/>
        <s v="VIVIAN M"/>
        <s v="MERYL DATTOLICO"/>
        <s v="NANCY ALVEY"/>
        <s v="SUSAN B MUELLER"/>
        <s v="Patti"/>
        <s v="Reviewer"/>
        <s v="REBECCA EIMERMAN"/>
        <s v="Sarita Miller"/>
        <s v="KELLI DOUGLASS"/>
        <s v="RG THOMAS"/>
        <s v="BETTY SHAFFER"/>
        <s v="Tammy A. Bayes"/>
        <s v="Gm"/>
        <s v="TODD TWEDT"/>
        <s v="LYNNEA DALE"/>
        <s v="SH"/>
        <s v="MARIANNE GURAN"/>
        <s v="Mcintyre, Linda"/>
        <s v="Lorraine Castelain"/>
        <s v="Amanda B."/>
        <s v="MARK BROWN"/>
        <s v="RONNIE"/>
        <s v="SHIRLEY MOSES"/>
        <s v="Stacey Bauman"/>
        <s v="ANN KNAUER"/>
        <s v="Georgann"/>
        <s v="KATE KENNER"/>
        <s v="SAMANTHA POUSSON"/>
        <s v="Jeff Thomas"/>
        <s v="MICHELLE DAOUST"/>
        <s v="Colleen Wagoner"/>
        <s v="MARCELLINE FREDETTE"/>
        <s v="Betsy"/>
        <s v="K CARPENTER"/>
        <s v="Linda Nichols"/>
        <s v="LINDA HENSLEY"/>
        <s v="JULIE TRUETT"/>
        <s v="Michelle Day"/>
        <s v="GIDGET"/>
        <s v="Grams"/>
        <s v="GAEL DIDLOFF"/>
        <s v="MICHAEL S."/>
        <s v="JHR"/>
        <s v="KEVIN WALSH"/>
        <s v="Bonnie Sparmblack"/>
        <s v="BETH ANDERSON"/>
        <s v="VINCIE SOYARS"/>
        <s v="magdala cruz"/>
        <s v="The Phone Guy"/>
        <s v="JESSICA CHILDERS"/>
        <s v="Denise M."/>
        <s v="Rhea"/>
        <s v="CAROL BERDAR"/>
        <s v="Crystelyn Guererri"/>
        <s v="SKIP WOODRUFF"/>
        <s v="Not a happy customer"/>
        <s v="Sandra Sturgeon"/>
        <s v="JENNIFER NELSON"/>
        <s v="ks"/>
        <s v="NANCY CARRINGTON"/>
        <s v="DEBORAH MAY DUNN"/>
        <s v="TOM HYNES"/>
        <s v="HEATHER HUNT"/>
        <s v="Wooly"/>
        <s v="SR"/>
        <s v="Veronica"/>
        <s v="ELISETE AMARAL"/>
        <s v="ESTEFANIA CANTERO"/>
        <s v="Suzanne Mattiello"/>
        <s v="ASHLEY E"/>
        <s v="Eugene ORourke"/>
        <s v="SUSANNA BJORNSSON"/>
        <s v="JACK A."/>
        <s v="frani C., New Jersey"/>
        <s v="Sharon Hubert"/>
        <s v="AMY BURRIS"/>
        <s v="Lakelady"/>
        <s v="Claire A"/>
        <s v="BARRON BASZTO"/>
        <s v="Kim Surber Hacker"/>
        <s v="Mellie"/>
        <s v="CINDY"/>
        <s v="EP"/>
        <s v="Albert Buys"/>
        <s v="JAKE ONEILL"/>
        <s v="Michele Heile"/>
        <s v="TERI LISPI"/>
        <s v="DEBORAH J-B"/>
        <s v="PJ"/>
        <s v="JEB"/>
        <s v="JUDY BARRICK"/>
        <s v="RENEE NEACE"/>
        <s v="Karrie"/>
        <s v="Kate Shearer"/>
        <s v="A.M."/>
        <s v="IRENE"/>
        <s v="for your order"/>
        <s v="Sacajawea"/>
        <s v="Rosa"/>
        <s v="Cheryl Appel"/>
        <s v="DIANE GAIDRY"/>
        <s v="Qismat Sherani"/>
        <s v="TOKIO KUNIYOSHI"/>
        <s v="THERESA ESPEY"/>
        <s v="AIXA BRINER"/>
        <s v="R.P."/>
        <s v="ED BERTARELLI"/>
        <s v="Natalie J"/>
        <s v="BRENDA FERNANDEZ"/>
        <s v="Wynn Wasinger"/>
        <s v="DAN SPIVEY"/>
        <s v="Sharon Viellenave"/>
        <s v="CAROL GREENFIELD"/>
        <s v="MARK KUTSCHINSKI"/>
        <s v="CINDY ALOI"/>
        <s v="NATALIE GREEN"/>
        <s v="Brenda Grimmett"/>
        <s v="MIMI CREVELLO"/>
        <s v="ANITA LEAKEY"/>
        <s v="Ralph Burton"/>
        <s v="DALE NEWBY"/>
        <s v="A KING"/>
        <s v="Judie"/>
        <s v="DAna"/>
        <s v="Jerry Marshall"/>
        <s v="STEPHEN ADDO JR."/>
        <s v="Stow Cat Mom"/>
        <s v="azkas"/>
        <s v="Coop"/>
        <s v="JILL EAGLES"/>
        <s v="CECELIA ROMAN"/>
        <s v="BRADLEY SMITH"/>
        <s v="LP"/>
        <s v="WENDY RAPOSA"/>
        <s v="KARI GORZNY"/>
        <s v="K. Hechinger"/>
        <s v="MAGGIE C"/>
        <s v="DIANA TSCHANTRE"/>
        <s v="Kc Dee"/>
        <s v="JOANNA S"/>
        <s v="PAUL LALENA"/>
        <s v="Njdeb"/>
        <s v="ANNA HOMER"/>
        <s v="KPabst"/>
        <s v="laurie"/>
        <s v="Delilah Vohnoutka"/>
        <s v="ALVIN"/>
        <s v="IGOR MITROVIC"/>
        <s v="FlipTide"/>
        <s v="Katty"/>
        <s v="A consumer"/>
        <s v="NEIL ROWAN"/>
        <s v="RALPH PASTOR"/>
        <s v="TRACY SPLAIN"/>
        <s v="Lish"/>
        <s v="HANNAH CURRIE"/>
        <s v="RAYDIAS BOX HILDRETH"/>
        <s v="Bob"/>
        <s v="Dolores Davis"/>
        <s v="arnold gerber"/>
        <s v="LISA GONZALEZ"/>
        <s v="JBaj"/>
        <s v="Jerome Loewenstein"/>
        <s v="Ginger"/>
        <s v="Marcie Garn"/>
        <s v="Claire Goodwin"/>
        <s v="Patricia Nissenbaum/Don Childs"/>
        <s v="beans"/>
        <s v="dgi"/>
        <s v="RICHARD BUCKWALTER"/>
        <s v="FRAN DAVIS"/>
        <s v="Ktrekker"/>
        <s v="Charlene R. Glover"/>
        <s v="C B"/>
        <s v="VICKIE BYRNE"/>
        <s v="MARISA BERNAL"/>
        <s v="GLO WILLIAMS"/>
        <s v="KATHERINE SAMPSON"/>
        <s v="SB"/>
        <s v="Trace W"/>
        <s v="Krissy"/>
        <s v="Noella"/>
        <s v="FRANCES DOLMAGE"/>
        <s v="John Plato"/>
        <s v="Johanna Jimenez"/>
        <s v="PRISCILLA BASHINSKI"/>
        <s v="Mass Cat Mom"/>
        <s v="Sam"/>
        <s v="BRIAN SANTISTEFAN"/>
        <s v="RICHARD FINE"/>
        <s v="L GRAY"/>
        <s v="AG"/>
        <s v="KERRI SIVITS"/>
        <s v="Christopher Newman"/>
        <s v="Walter Baile"/>
        <s v="DAVID BROWN"/>
        <s v="Charles Dodge"/>
        <s v="JINE GLEASON"/>
        <s v="Timothy John"/>
        <s v="DIANE MCNAMANON"/>
        <s v="Mario Barros"/>
        <s v="Sonja .Norberg-Sanchez"/>
        <s v="Stacey Dorenfeld"/>
        <s v="Best Buddies Dog Training LLC"/>
        <s v="MARGARET PIERSON"/>
        <s v="GERALD GILMORE"/>
        <s v="JOE LOZANO"/>
        <s v="CHIPIS"/>
        <s v="Kellie"/>
        <s v="SHARON BIONE"/>
        <s v="Jean McAdams"/>
        <s v="CHRISTINE G."/>
        <s v="David Y"/>
        <s v="KATHERINE HUH"/>
        <s v="MAXINE STANLEY"/>
        <s v="An owner of an elderly cat"/>
        <s v="BARBARA HOLTZ"/>
        <s v="ROBERTO FRADERA"/>
        <s v="JOE"/>
        <s v="Jessica"/>
        <s v="Denica Luger"/>
        <s v="Barb Skaer"/>
        <s v="Rudi"/>
        <s v="EVAN J"/>
        <s v="DORIS S."/>
        <s v="Lotsokats"/>
        <s v="MICHELLE RAMDEHOLL"/>
        <s v="PETER O'NEIL"/>
        <s v="LAURA COMO"/>
        <s v="HAYLEY S"/>
        <s v="Susan D"/>
        <s v="DEBBY"/>
        <s v="Jen"/>
        <s v="LEOLA ADCOCK"/>
        <s v="JOHN DEAN"/>
        <s v="Bonnie Brock"/>
        <s v="LEYLA KOCAOGLU"/>
        <s v="TAMMI BERTO"/>
        <s v="LAURIE DOUTHIT"/>
        <n v="988091.0"/>
        <s v="DENISE SIERPUTOWSKI"/>
        <s v="S McG"/>
        <s v="LORI WILLIAMS"/>
        <s v="SHark"/>
        <s v="Tom H."/>
        <s v="LYNN FLETCHER"/>
        <s v="CAROL TSCHIDA"/>
        <s v="DAVID SCHMITZ"/>
        <s v="Dobermom"/>
        <s v="Bob Sordyl"/>
        <s v="Michael Novak"/>
        <s v="CHARLES MACDONALD"/>
        <s v="Karen Riveros"/>
        <s v="SUSAN BARTON"/>
        <s v="A customer"/>
        <s v="Yvonne"/>
        <s v="Barbara Granger"/>
        <s v="TAMYIE WILSON"/>
        <s v="IAN SEALEY"/>
        <s v="NANCY MCDONALD"/>
        <s v="DEBORAH NUTTING"/>
        <s v="Nuni"/>
        <s v="AMY JAMES"/>
        <s v="Karen Heroy"/>
        <s v="JEANETTE BARTRAM"/>
        <s v="THOMAS MAURO"/>
        <s v="Betty"/>
        <s v="Jyen"/>
        <s v="Wendy"/>
        <s v="SARAH WILLIAMS"/>
        <s v="STEPHANIE BARNARD"/>
        <s v="KATHLEEN RAPP"/>
        <s v="LNZ BUSINESS COMPANY LLC"/>
        <s v="Elizabeth Alvarez-Chan"/>
        <s v="Susan Carson"/>
        <s v="Wanda Casey-Dicks"/>
        <s v="NANCY STEINBACH"/>
        <s v="MARY ANN LEIBOWITZ"/>
        <s v="Brandee"/>
        <s v="LRS"/>
        <s v="DONNA OSTLER"/>
        <s v="KAREN DIEHL"/>
        <s v="Lisamarie bernardo"/>
        <s v="NANCY BELLIA"/>
        <s v="Pam Whitehead"/>
        <s v="Wayne Reux"/>
        <s v="nek"/>
        <s v="CAROL LEVIN"/>
        <s v="JOHN SHAW"/>
        <s v="LENORE NEWSOM"/>
        <s v="R. Neil Wolford Jr."/>
        <s v="bob N"/>
        <s v="ALVIN BOYD"/>
        <s v="Connie"/>
        <s v="Kimberly Senackerib"/>
        <s v="LINDA WILLEY"/>
        <s v="Marcia Randazzo"/>
        <s v="CHRISTINE B"/>
        <s v="LAURA CLARK"/>
        <s v="jana dickey"/>
        <s v="PATRICIA BOWMAN"/>
        <s v="David Lease"/>
        <s v="EILEEN K."/>
        <s v="TONE THORSTENSON"/>
        <s v="LINDA STIMSON"/>
        <s v="JACQUELINE HUNTER"/>
        <s v="Becky Sparks"/>
        <s v="James D"/>
        <s v="RHINA PEREA"/>
        <s v="ARDATH ALBIZO"/>
        <s v="Cathy Thomas"/>
        <s v="HOPE PAYAN"/>
        <s v="DEBRA PATTERSON"/>
        <s v="DENISE RUSSELL"/>
        <s v="Carol Stewart"/>
        <s v="JW"/>
        <s v="SARAH LITCHFIELD"/>
        <s v="Dave"/>
        <s v="MARY JO MOOR"/>
        <s v="Dolores"/>
        <s v="PAMF"/>
        <s v="Beth Mirsky"/>
        <s v="SUSAN MONDIE"/>
        <s v="ANDREW"/>
        <s v="MICKEY"/>
        <s v="JAMES SMITH"/>
        <s v="LANI NOLAN"/>
        <s v="Tracy West"/>
        <s v="Sugar"/>
        <s v="E THOMAS"/>
        <s v="CINDA DAVIS"/>
        <s v="Cilia Lopez"/>
        <s v="BARBARA TRAPASSO"/>
        <s v="Edmund Dibenedetto"/>
        <s v="Susanne"/>
        <s v="Carolyn"/>
        <s v="mary wachenheim"/>
        <s v="RONALD IZZO"/>
        <s v="JEAN HIRSCH"/>
        <s v="S Lucas"/>
        <s v="Antony Mercer"/>
        <s v="LAR"/>
        <s v="Otis’s Mom"/>
        <s v="Karen.Frongello, San Diego, CA"/>
        <s v="GLENDA LEDFORD"/>
        <s v="Nancy+Green"/>
        <s v="NANCY BALDWIN"/>
        <s v="Jenn Alling"/>
        <s v="Peggy"/>
        <s v="DUSTEE COPENHAVER"/>
        <s v="AW"/>
        <s v="Patricia Netzer"/>
        <s v="HALEY METZLER"/>
        <s v="Rob Galanakis"/>
        <s v="Lorene Perotti"/>
        <s v="Meaghan V"/>
        <s v="Thomas Oswald"/>
        <s v="LYNN ERICKSON"/>
        <s v="ESTHER FREEMAN"/>
        <s v="JAY HANKIN"/>
        <s v="PAM BELTZ"/>
        <s v="CARRIE MCLAUGHLIN"/>
        <s v="JENNIFER SMITH-LUM"/>
        <s v="BRUCE WHITE"/>
        <s v="MARIA ANAYA"/>
        <s v="David Guldenstern"/>
        <s v="Renee"/>
        <s v="WILLIAM PHEE"/>
        <s v="KATHERINE DECKER"/>
        <s v="HC"/>
        <s v="Brian Drinkwine"/>
        <s v="Destiny W."/>
        <s v="Doggie"/>
        <s v="Angie"/>
        <s v="MARYANN LEWIS"/>
        <s v="SHARON MACDERMOTT"/>
        <s v="Oscar"/>
        <s v="Keith Morgan"/>
        <s v="CAMILLE BARTCZAK"/>
        <s v="ahmad abudiab"/>
        <s v="Happy Shopper"/>
        <s v="Szeleziatko"/>
        <s v="Nichole"/>
        <s v="MOLLY ANDERSON"/>
        <s v="CHRISTINE CINAGLIA"/>
        <s v="Madelaine Sutphin"/>
        <s v="NISHAT HOSSAIN"/>
        <s v="TRUDY BAUER"/>
        <s v="Rene"/>
        <s v="LYNN AGOSTI"/>
        <s v="SHARMAN CASEY"/>
        <s v="Ronald B Reid"/>
        <s v="HEATHER SPRUILL"/>
        <s v="TAMARA EISELE"/>
        <s v="EDGAR MCKENNEY"/>
        <s v="JANET RESSEGUIE-SAHL"/>
        <s v="PRESTON ADAMS"/>
        <s v="MARGRET C"/>
        <s v="ED CILUMBRELLO"/>
        <s v="WENDY B"/>
        <s v="Sheila Sherok Dandurand-Williams"/>
        <s v="CASSIDY"/>
        <s v="DOLORES LEWIS-WELLMAN"/>
        <s v="Baxter"/>
        <s v="HOWARD WARDEN"/>
        <s v="SAFFRON'S CAT-MOM"/>
        <s v="Lucila Cedron"/>
        <s v="COLLEEN MARTIN"/>
        <s v="JAMES ADEN"/>
        <s v="Steve K."/>
        <s v="DONNA PAGE"/>
        <s v="Keith"/>
        <s v="RONALD COHEN"/>
        <s v="MOLLY GORMAN"/>
        <s v="JENNIFER HOWE"/>
        <s v="P S."/>
        <s v="Pixie"/>
        <s v="Loyal Petflow Customer"/>
        <s v="Bonnie"/>
        <s v="R. Baker"/>
        <s v="Lisa Henderson"/>
        <s v="Sherry M"/>
        <s v="K. B."/>
        <s v="RENZO CASAFRANCA"/>
        <s v="Vila in Frisco, TX"/>
        <s v="NORMAN"/>
        <s v="JACQUELINE DIAZ"/>
        <s v="LYNN-JO CANTOR"/>
        <s v="CARA FREEMAN"/>
        <s v="MARI ESCHENBAUM"/>
        <s v="SUSAN LEVINSOHN"/>
        <s v="LEO VIDES"/>
        <s v="Susan peters"/>
        <s v="Hanne's Mama"/>
        <s v="Jory"/>
        <s v="Prefer to remain anonymous"/>
        <s v="Ceil"/>
        <s v="JULIE BYRNES"/>
        <s v="PATRICIA CHRISTENSON"/>
        <s v="INGRID STECKER"/>
        <s v="JASON"/>
        <s v="MICHELLE DEPIETRO"/>
        <s v="WILLIAM ALEXANDER"/>
        <s v="JENNIFER PEOPLES"/>
        <s v="JOSHUA SHELTON"/>
        <s v="GINNY P."/>
        <s v="Kimberly A Meyers"/>
        <s v="JEANETH RINCON"/>
        <s v="HEATHER BISHOP"/>
        <s v="LEL"/>
        <s v="SANDY MASON"/>
        <s v="Rachel Sheedy"/>
        <s v="DANNY WAGNER"/>
        <s v="jeanie johnson"/>
        <s v="Mary Ellen Graves"/>
        <s v="JEAN COSTANZI"/>
        <s v="TRINI V"/>
        <s v="ANTHONY DELUCA"/>
        <s v="CARL ACKERMANN"/>
        <s v="Lynne Rudwick"/>
        <s v="William Vonderohe"/>
        <s v="BARBARA WEGNER"/>
        <s v="Lori Antz Doyle"/>
        <s v="MADELiNE"/>
        <s v="GB"/>
        <s v="AnnaHope"/>
        <s v="MURIEL SAARI"/>
        <s v="tjm"/>
        <s v="Suzin"/>
        <s v="BRITTANY S"/>
        <s v="FELIX BENITEZ"/>
        <s v="Julie O."/>
        <s v="CHARLENE ALEXANDER"/>
        <s v="Phatdog"/>
        <s v="JORGE SANCHEZ"/>
        <s v="RUTH CHAPMAN"/>
        <s v="Glenn Henry"/>
        <s v="DARR"/>
        <s v="FELIPE LOPEZ"/>
        <s v="RUTH HAMILTON"/>
        <s v="ct"/>
        <s v="KELSI PENA"/>
        <s v="JODY LANCASTER"/>
        <s v="Randy Lieberg"/>
        <s v="VALERIE LEVULETT"/>
        <s v="DAWN BEATTY"/>
        <s v="DONNA FRANCHIMON"/>
        <s v="FRANCINE BUTLER"/>
        <s v="PATRICIA JOHNSTON"/>
        <s v="JULES"/>
        <s v="Dale DiNardo"/>
        <s v="Kelli Farmer"/>
        <s v="SHERRY MORRIS"/>
        <s v="SHARON GABRIELSON"/>
        <s v="PATRICIA HUNT"/>
        <s v="CHAD HAVERSTICK"/>
        <s v="BRENDA RIDGE"/>
        <s v="L Holmberg"/>
        <s v="LARA ZINTSMASTER"/>
        <s v="GEORGE TINKLIN"/>
        <s v="Margaret Birns"/>
        <s v="Lakeya"/>
        <s v="Laurena Gatlin"/>
        <s v="JENA HARRIS"/>
        <s v="ALISON G"/>
        <s v="HARVEY HAUN"/>
        <s v="Elliot Garcia"/>
        <s v="Madison K"/>
        <s v="DONNA C"/>
        <s v="Amanda O"/>
        <s v="Barb V."/>
        <s v="ELAINE PASCOAL"/>
        <s v="PEPPA"/>
        <s v="Milagros"/>
        <s v="CINDY HALLEN"/>
        <s v="VICTORIA BLEVINS"/>
        <s v="CJ"/>
        <s v="CHEYENNE"/>
        <s v="SAMANTHA SKINNER"/>
        <s v="Gary Dexter"/>
        <s v="MEGAN M"/>
        <s v="ALAN ZELLER"/>
        <s v="Charles Herold"/>
        <s v="SUSAN WHITAKERHILL"/>
        <s v="GAIL MITCHELL"/>
        <s v="CARMEN RUBY BECK"/>
        <s v="Terry Frum"/>
        <s v="Izzy"/>
        <s v="TRISHA ROBINSON"/>
        <s v="SUSAN QUIRK"/>
        <s v="dog owner"/>
        <s v="Carol Kner"/>
        <s v="LUBOS ANDEL"/>
        <s v="Ernie"/>
        <s v="LAURA COLDREN"/>
        <s v="TAVMEET"/>
        <s v="PH"/>
        <s v="RACHEL SEALE"/>
        <s v="Carroll Griesedieck"/>
        <s v="Cheryl Roberts"/>
        <s v="BRIAN BROWN"/>
        <s v="Joey lee"/>
        <s v="JULIE KUNITADA"/>
        <s v="Karla Clippinger"/>
        <s v="MELODY BARRETT"/>
        <s v="RITA CARON"/>
        <s v="Snowman"/>
        <s v="DENISE DAVIS"/>
        <s v="Kristy"/>
        <s v="BERNADETTE BRUNO"/>
        <s v="Lindsey and Pip"/>
        <s v="ELIZABETH ALI"/>
        <s v="ELSA ABILEZ"/>
        <s v="Ellen J."/>
        <s v="Trina"/>
        <s v="MARIANNE BURDICK"/>
        <s v="PAUL NOONE"/>
        <s v="SANDRA STEPHON"/>
        <s v="CHARLES RHODES"/>
        <s v="Cheryl Zalenski"/>
        <s v="SHELLER WILLETT"/>
        <s v="Anita and Diva"/>
        <s v="THOMAS MCNEIL"/>
        <s v="Zac"/>
        <s v="Sonia S."/>
        <s v="Priscilla Cerdas"/>
        <s v="quincy"/>
        <s v="HELEN KWOK"/>
        <s v="DEANA M MARKET"/>
        <s v="Carl Desmond"/>
        <s v="JESS OLSON"/>
        <s v="Persefini A. Redden"/>
        <s v="TAMARA DACKEN"/>
        <s v="LEEANN"/>
        <s v="Trish M"/>
        <s v="NICOLE HALE"/>
        <s v="GAYLE ANDRIANI"/>
        <s v="David Elfin"/>
        <s v="MARY ANGELIA COYLE"/>
        <s v="JrsNonna"/>
        <s v="choc dog"/>
        <s v="Sherman Shart"/>
        <s v="UNITED STATES"/>
        <s v="LISA HAYES"/>
        <s v="CAROL S"/>
        <s v="Gail Sheffer"/>
        <s v="JM"/>
        <s v="Cecelia Duvall"/>
        <s v="PATRICK WILLER"/>
        <s v="JANET STARD"/>
        <s v="cheryl dettmers"/>
        <s v="WYNNE GUGLIELMO"/>
        <s v="JAN WILLIAMS"/>
        <s v="C. Kegley"/>
        <s v="SUSAN WICKES"/>
        <s v="MARY-LOU ROBERTS"/>
        <s v="JEANINE EDLER"/>
        <s v="ElleJay"/>
        <s v="VINCENT DIPIETRO"/>
        <s v="Sherrie"/>
        <s v="DZIANIS SAZANCHUK"/>
        <s v="JEAN SMITH"/>
        <s v="PAUL BROUILLETTE"/>
        <s v="SHERRY"/>
        <s v="JODY HUNT"/>
        <s v="LORI LAMEY"/>
        <s v="Alice Cheren"/>
        <s v="SUSAN MORTENSEN"/>
        <s v="ROBIN ABBOTT"/>
        <s v="BRENDAN"/>
        <s v="Mike Gehring"/>
        <s v="ARTURO SANTAELLA"/>
        <s v="JAN UNDERWOOD"/>
        <s v="FELICIA WOOD"/>
        <s v="C. L"/>
        <s v="M"/>
        <s v="LORRAINE FERGUSON"/>
        <s v="Raymond"/>
        <s v="KC"/>
        <s v="JACLYN F"/>
        <s v="DAN MANCHESTER"/>
        <s v="RON HAUSER"/>
        <s v="EA"/>
        <s v="Bradley Grubbs"/>
        <s v="customer Sally"/>
        <s v="LEE RUNDALL"/>
        <s v="ELIZABETH CARUSO"/>
        <s v="MsNora"/>
        <s v="Avi"/>
        <s v="Sharon Eagle"/>
        <s v="Anne H. San Antonio TX"/>
        <s v="SUSAN SMITH"/>
        <s v="SHARI COSTANEY"/>
        <s v="LYDIO DEMA-ALA"/>
        <s v="MG - NY"/>
        <s v="Luis De Los Santos"/>
        <s v="Suzette Mahneke"/>
        <s v="JOHN WYNN"/>
        <s v="FRED S"/>
        <s v="SHEREE TURNBULL"/>
        <s v="KATIE JOHNSON"/>
        <s v="RENA"/>
        <s v="DENISE BURAN"/>
        <s v="Susan Dolstra"/>
        <s v="APRIL RITCHOTTE"/>
        <s v="MICKEY MITTONG"/>
        <s v="Linda Borders"/>
        <s v="CAROL SUTTON"/>
        <s v="Patty Heineck"/>
        <s v="Janice DeMadona"/>
        <s v="KENDEL M"/>
        <s v="CHERYL BROCKINGTON"/>
        <s v="JENNY PERKINS"/>
        <s v="ELISABETH"/>
        <s v="Candice"/>
        <s v="DEAN KOPP"/>
        <s v="LISA PEET"/>
        <s v="JASON DRAKE"/>
        <s v="Mallory"/>
        <s v="Erik Foubert"/>
        <s v="JOAN ABRAHAMSON"/>
        <s v="FAINA LEKAKH"/>
        <s v="RYAN STACKHOUSE"/>
        <s v="Kourosh Massarat"/>
        <s v="Dott"/>
        <s v="ISABELLA"/>
        <s v="PAM COYNE"/>
        <s v="Elisabeth Ellis"/>
        <s v="CAROLE HUMENCHUK"/>
        <s v="LYNNE"/>
        <s v="Irene Hagen"/>
        <s v="SHARON DICKSON"/>
        <s v="Dr. Bodly"/>
        <s v="Jeanice"/>
        <s v="sll"/>
        <s v="CINDY ORIN"/>
        <s v="MARY TAYLOR"/>
        <s v="MEGHAN PARKER"/>
        <s v="Gerard"/>
        <s v="DANIELLE CORNING"/>
        <s v="Kathy Goddard"/>
        <s v="Joan Paris"/>
        <s v="JACKIE BERMAN"/>
        <s v="SANDRA REED"/>
        <s v="SHARYL AMOVITZ"/>
        <s v="Retail shopper"/>
        <s v="MAUREEN HUDSON"/>
        <s v="Colette"/>
        <s v="Danille Weaver"/>
        <s v="Olivia Larsson"/>
        <s v="LAURA HUNT"/>
        <s v="SUSAN L FREDERICKSON"/>
        <s v="TOM BATCHELLER"/>
        <s v="LUCIA LONGENBACH"/>
        <s v="JEAN HAVENS"/>
        <s v="James Moore"/>
        <s v="SANDRA W"/>
        <s v="Tucker Wilson"/>
        <s v="Waiting"/>
        <s v="BETH"/>
        <s v="JAN KISSKO"/>
        <s v="MARGUERITE KAZALAS"/>
        <s v="Sagarika Devarakonda"/>
        <s v="MICHELLE BOLES"/>
        <s v="DEBRA WILLIAMS"/>
        <s v="DIANE MELLOTT"/>
        <s v="Ken Williams"/>
        <s v="SANDE KING"/>
        <s v="RAECHELLE FREEMAN"/>
        <s v="SUSAN LUE"/>
        <s v="Greg Hyde"/>
        <s v="ANDREA AMOROSI"/>
        <s v="VIRGINIA LOCKNER"/>
        <s v="vtlabladi"/>
        <s v="C PALKIMAS"/>
        <s v="DINAH STEVENS"/>
        <s v="TAMMY FRONTERA"/>
        <s v="JJG Florida &amp; Connecticut"/>
        <s v="pernilleH"/>
        <s v="PHILIP H"/>
        <s v="GORDON SLOAN"/>
        <s v="MARGIE SWARTZ"/>
        <s v="Chance’s Grammy"/>
        <s v="Gary S"/>
        <s v="VICKYE MIKE AND COWBOY GALLOWA"/>
        <s v="GAIL BLATTLER"/>
        <s v="AMANDA DEPIERRO"/>
        <s v="MARY PERKINS"/>
        <s v="FRANCES BROWNE"/>
        <s v="BRITTNEY G"/>
        <s v="CHRISTY OWNBEY"/>
        <s v="Elaine Donohue"/>
        <s v="TARA SMITH"/>
        <s v="MOLLY WERNER"/>
        <s v="DEREK"/>
        <s v="M. Davis"/>
        <s v="STAN FREED"/>
        <s v="mika2belove"/>
        <s v="BART"/>
        <s v="CAROLINE KINSEY"/>
        <s v="KAT G."/>
        <s v="HEIDI w"/>
        <s v="MARY EVANS"/>
        <s v="Randy Harden"/>
        <s v="DAVID GORDON"/>
        <s v="DONNA LARGENT"/>
        <s v="Jackie Rubino"/>
        <s v="SCOTT STEINER"/>
        <s v="TERRI ELLIOTT"/>
        <s v="CHRIS REAGAN"/>
        <s v="Louis"/>
        <s v="Jacque Jenkins"/>
        <s v="lulu"/>
        <s v="Mike Kellers"/>
        <s v="DEBORAH SPEARS"/>
        <s v="MYRNA STURGILL"/>
        <s v="ROXANNA RODRIGUEZ-JENKINS"/>
        <s v="PEGGY ALLEN"/>
        <s v="PAUL MONTEIRO MORTENSEN"/>
        <s v="ANNETTE LIPPMAN"/>
        <s v="JAMES MACARI"/>
        <s v="STEVE"/>
        <s v="me"/>
        <s v="Dale Paciotti"/>
        <s v="Kelly HECHINGER"/>
        <s v="B TAYLOR"/>
        <s v="D.J. WEBBER"/>
        <s v="SARA GONZALES"/>
        <s v="SANDRA S"/>
        <s v="Brack"/>
        <s v="Kathleen"/>
        <s v="JOSEPH RUDDY"/>
        <s v="ERIC SOMMER"/>
        <s v="GWYN GUILD"/>
        <s v="PAMELA GOTTHART"/>
        <s v="PAULA GOLDBERG"/>
        <s v="RI dog owner"/>
        <s v="MH"/>
        <s v="CHRISTINE HOWSE"/>
        <s v="RCS Nunya"/>
        <s v="BRENDA FLUHARTY"/>
        <s v="jim curtis"/>
        <s v="JODI FRIEDMAN"/>
        <s v="PHYLLIS ENMAN"/>
        <s v="ILONA GOMEZ"/>
        <s v="ROBERT TAYLOR"/>
        <s v="AMAR KAUR"/>
        <s v="JACQUELINE CARDOZA"/>
        <s v="AUDRA CHMIEL"/>
        <s v="Alex G."/>
        <s v="LESLIE GOODMAN"/>
        <s v="Joyceturney"/>
        <s v="ROY A."/>
        <s v="ARIELA"/>
        <s v="Renee Jones"/>
        <s v="DAVID MUROFF"/>
        <s v="SUSAN HARRIS"/>
        <s v="JANE BLACKMON"/>
        <s v="HL"/>
        <s v="THOMAS ROGERS"/>
        <s v="CAROLYN KENNEDY"/>
        <s v="PATSY STAIR"/>
        <s v="SANDY HAYS"/>
        <s v="LINDA VALENTE"/>
        <s v="PATRICIA SMITH"/>
        <s v="KIM R"/>
        <s v="GREGORY SCOTT"/>
        <s v="Pete Rector"/>
        <s v="EVERETT HOBBS"/>
        <s v="mary comer"/>
        <s v="KATHY DWYER"/>
        <s v="al"/>
        <s v="BRYAN"/>
        <s v="LINDA CISSEL"/>
        <s v="vincent"/>
        <s v="VICTORIA ORTIZ"/>
        <s v="LEANNA"/>
        <s v="DWAYNE B."/>
        <s v="SARAH LEWIS"/>
        <s v="MARY DREXLER"/>
        <s v="DAVID ROSENSTEIN"/>
        <s v="Marnie"/>
        <s v="Casey Adams"/>
        <s v="KATHRYN ROBERTS"/>
        <s v="bmmmm"/>
        <s v="Anne Medley"/>
        <s v="BO BENNETT"/>
        <s v="RICHARD KOCH"/>
        <s v="Na"/>
        <s v="Seb"/>
        <s v="Randy H"/>
        <s v="GSD Owner"/>
        <s v="ANNE KILLMAN"/>
        <s v="HOLLY G"/>
        <s v="MICHELE URBAN"/>
        <s v="Heidi Kins"/>
        <s v="Glenn Hazelwood II"/>
        <s v="REBECCA LEONGUERRERO"/>
        <s v="Suzanne TRAPANI"/>
        <s v="VICKIE BELT"/>
        <s v="LESLIE ADDIEGO"/>
        <s v="DENICE FRENCH"/>
        <s v="JENNIFER HUGHES"/>
        <s v="CHARLES APLIGIAN"/>
        <s v="DANIELLE W."/>
        <s v="Vicki Wilson"/>
        <s v="EDWARD GALE"/>
        <s v="JEWEL ARMSTRONG"/>
        <s v="JOANN K CRAFT"/>
        <s v="CRAIG EDNEY"/>
        <s v="SHAWN SKUNCA"/>
        <s v="Paul in South Jersey"/>
        <s v="GAIL JOMAOAS"/>
        <s v="VIVIAN BAYLOR"/>
        <s v="TINA R"/>
        <s v="STEPHANIE"/>
        <s v="CAROLANN AUGER"/>
        <s v="SHIRLEY MARCH"/>
        <s v="CCools"/>
        <s v="Myra Cromer"/>
        <s v="RITA SWINFORD"/>
        <s v="William Wehrle"/>
        <s v="JOSEPH T"/>
        <s v="MARCIA ROTH"/>
        <s v="CONNIE KANE"/>
        <s v="DIANE DUGGER"/>
        <s v="SUSAN MURPHY"/>
        <s v="KATHY HART"/>
        <s v="LISA BELAJAC"/>
        <s v="MILES KUDO"/>
        <s v="AH"/>
        <s v="Deborah Pines"/>
        <s v="CHARLENE STEWART"/>
        <s v="jazan"/>
        <s v="Leila"/>
        <s v="Debb"/>
        <s v="Gordon"/>
        <s v="Buddy's mom"/>
        <s v="Selena G Matelich"/>
        <s v="DAN CHRISINGER"/>
        <s v="Laura Bartlett"/>
        <s v="Westie Mom"/>
        <s v="PAMELA BACON"/>
        <s v="MALLORY EVRON"/>
        <s v="LESLIE"/>
        <s v="Sofie Dogie"/>
        <s v="BR"/>
        <s v="Leila A"/>
        <s v="NS"/>
        <s v="Monica R Harris"/>
        <s v="MARTHA WALLACE"/>
        <s v="Cyndy Raeshke"/>
        <s v="ERIC PERKINS"/>
        <s v="JANE HENDERSON"/>
        <s v="Tcrc"/>
        <s v="Shane Oksanen"/>
        <s v="Mary Lou"/>
        <s v="DORIS SHEINFELD"/>
        <s v="TENZIN YONTEN"/>
        <s v="DEBRA G"/>
        <s v="JOHN DANIELS"/>
        <s v="Theresa H"/>
        <s v="GREG REED"/>
        <s v="VLA"/>
        <s v="Kirsten"/>
        <s v="Gary Trevillyan"/>
        <s v="Jean Anne"/>
        <s v="TomD"/>
        <s v="NEITA BUSCHER"/>
        <s v="RITA MILLER"/>
        <s v="DEBORAH B."/>
        <s v="Sandee"/>
        <s v="Mona Berrier"/>
        <s v="RJ Koser"/>
        <s v="ALISHA R"/>
        <s v="LINDA M"/>
        <s v="JOE BOLINO"/>
        <s v="SKYE RABEL"/>
        <s v="Debra L."/>
        <s v="SUSAN S"/>
        <s v="LISA C."/>
        <s v="PAULETTE HAWKINS"/>
        <s v="BRIGITTE LEEMAN"/>
        <s v="freneticminde"/>
        <s v="ISABEL CAMPBELL"/>
        <s v="CHRISTINE DEMERS"/>
        <s v="Foster mom"/>
        <s v="Helen pero"/>
        <s v="dw"/>
        <s v="S. Cat"/>
        <s v="Candy Horn"/>
        <s v="ROBERT DEVICARIIS TORREY"/>
        <s v="J Jarvis"/>
        <s v="SARAH K"/>
        <s v="Dave Fishman"/>
        <s v="Lisa G"/>
        <s v="BO SMITH"/>
        <s v="Mike Allis"/>
        <s v="VN"/>
        <s v="BRANDON R"/>
        <s v="RUTH PETRUCCI"/>
        <s v="Constance"/>
        <s v="JULIANA GALSON"/>
        <s v="Kona and Big D’S mom"/>
        <s v="PATTI ELLIS"/>
        <s v="Catherine Rust"/>
        <s v="HEATHER MCCARTY"/>
        <s v="NEWT PEARSON"/>
        <s v="Marguerite"/>
        <s v="tanu"/>
        <s v="SANDRA K"/>
        <s v="Joann Starks"/>
        <s v="MONICA DANFORTH"/>
        <s v="GLW"/>
        <s v="Jay"/>
        <s v="Z Guzman"/>
        <s v="James Hayden"/>
        <s v="Holly Robinson"/>
        <s v="BARBARA TUMMINELLI"/>
        <s v="Jess Rodriguez"/>
        <s v="GAYE STACH"/>
        <s v="Janine M"/>
        <s v="RUDOLPH GONZALEZ"/>
        <s v="AMY NELSON"/>
        <s v="Amelia Delmonico"/>
        <s v="DICK CUNNINGHAM"/>
        <s v="RHONDA ANDERSON"/>
        <s v="JACKLYN DURK"/>
        <s v="MARK B"/>
        <s v="GEORGE LIGHT"/>
        <s v="K D"/>
        <s v="JEHANGIR PIRZADA"/>
        <s v="CAROLYN GIBBS"/>
        <s v="MERCY"/>
        <s v="MARGARET MCALLISTER"/>
        <s v="sissssy"/>
        <s v="ROBIN HALE"/>
        <s v="TERRY LAGUNA WOODS"/>
        <s v="NORA LORENZO"/>
        <s v="Marcel"/>
        <s v="JENNA G"/>
        <s v="Linda Hulsey"/>
        <s v="Jennifer S Bondegard"/>
        <s v="LANDERSON"/>
        <s v="Richard Kritsky"/>
        <s v="JULIE J."/>
        <s v="CATHERINE LYNESS"/>
        <s v="Dora"/>
        <s v="JANE WARGO"/>
        <s v="JENNIFER BRUESER"/>
        <s v="MATT HOUGH"/>
        <s v="SARAH STEBER"/>
        <s v="AZ"/>
        <s v="FRANCOISE DUFFY"/>
        <s v="Timothy Moyer"/>
        <s v="Luz"/>
        <s v="ASHLY WHITWORTH"/>
        <s v="Maria Lemmon"/>
        <s v="JAMES OBERT"/>
        <s v="CHRIS MCGATHA"/>
        <s v="JONATHAN STAMPLEY"/>
        <s v="Ray Cunningham"/>
        <s v="PATRICIA SHEPPARD"/>
        <s v="KRISTINE ANDERSON"/>
        <s v="Jillian"/>
        <s v="Madelin"/>
        <s v="SILVIA CAMPILLO GINER"/>
        <s v="CHERIE MAMULA"/>
        <s v="Sheila"/>
        <s v="RANDY LEACH"/>
        <s v="Cassidy k"/>
        <s v="BETH C."/>
        <s v="JENNIFER ADAMS"/>
        <s v="KURT SAXSMA"/>
        <s v="PATRICIA PALENIK"/>
        <s v="RICK LUDLOW"/>
        <s v="Pete of S T S"/>
        <s v="JEFF NICHOLSON"/>
        <s v="Amber Cole"/>
        <s v="KELLY BRAUN"/>
        <s v="SUSAN Y"/>
        <s v="Tomo'Gotcha"/>
        <s v="LORILEI DUNSTON"/>
        <s v="Mahzad Mohajer"/>
        <s v="TODD VANDEBERG"/>
        <s v="CAROL BLOHM"/>
        <s v="GAIL OSBORNE"/>
        <s v="JOAN KANOWITZ"/>
        <s v="Ronald"/>
        <s v="MARIA MAROPAKIS"/>
        <s v="Diana &amp; Dane"/>
        <s v="KN"/>
        <s v="PATRICIA RAGONE"/>
        <s v="MICHAEL Z"/>
        <s v="Sue Durante"/>
        <s v="Debra|Smith"/>
        <s v="JAMES POLITIS"/>
        <s v="TODD STRICKLAND"/>
        <s v="EVELYN DIMICELI"/>
        <s v="MICAHEL BENNETT"/>
        <s v="IRENE RODRIGUEZ"/>
        <s v="Penelope McMillan"/>
        <s v="LINDA MOON"/>
        <s v="SANDY B"/>
        <s v="Deanna Nole"/>
        <s v="JAN MURPHY"/>
        <s v="Ximena Salomon"/>
        <s v="Vicky"/>
        <s v="NARC HALL"/>
        <s v="kathleen otero"/>
        <s v="DONNA ALLEN"/>
        <s v="DOG AND CAT DEPOT SIZEMORE"/>
        <s v="C.J. Demello"/>
        <s v="GAIL E BUELER"/>
        <s v="Diana"/>
        <s v="DENISE LANNING"/>
        <s v="MARK M"/>
        <s v="Susan Robertson"/>
        <s v="HARRIETT HOFFMAN"/>
        <s v="Diesel’s Mom"/>
        <s v="MELISSA SHAFFER"/>
        <s v="CAROL Miller"/>
        <s v="DANA CONNOLLY"/>
        <s v="SANDY"/>
        <s v="ROBERT BERMAN"/>
        <s v="Paul Hanigan"/>
        <s v="PEGGY MAZUR"/>
        <s v="SHARON ZINNS"/>
        <s v="DAVID SPIEGEL"/>
        <s v="SUE CERVANTES"/>
        <s v="BRITTANY THOMPSON"/>
        <s v="Sanja"/>
        <s v="SCOTT PETERSEN"/>
        <s v="AJ'S REPTARIUM"/>
        <s v="KENNETH HENKE"/>
        <s v="ELIZABETH SCALZO"/>
        <s v="CORRINE SAVAGE"/>
        <s v="Linda Antonioli"/>
        <s v="Kristen"/>
        <s v="Kaia 1971"/>
        <s v="Gemma"/>
        <s v="SUSAN G"/>
        <s v="Driver's License Wizard User"/>
        <s v="VON SNOW"/>
        <s v="ANTOINETTE DARROW"/>
        <s v="WK"/>
        <s v="Tammy Counts"/>
        <s v="CAROLINE"/>
        <s v="GWEN SIDDIQU"/>
        <s v="LJ"/>
        <s v="WILDA WHITE"/>
        <s v="RUSSELL HOLSTER"/>
        <s v="Jim Lucas"/>
        <s v="C. WELLNITZ"/>
        <s v="Marie Vardaman"/>
        <s v="JOE KRAUT"/>
        <s v="DARLENE REDCLIFT"/>
        <s v="DIXIE EICHELBERGER"/>
        <s v="LUIS OROZCO"/>
        <s v="BigOakFarmSocal an animal resc"/>
        <s v="Tanya Scarantine"/>
        <s v="Tracy Moore"/>
        <s v="ELIZABETH CIPRICH"/>
        <s v="FAITH FREEWOMAN"/>
        <s v="KARMEN"/>
        <s v="STACEY"/>
        <s v="Darlene Cooper"/>
        <s v="JOANNA PROCTOR"/>
        <s v="Keeron Hogan"/>
        <s v="Kathy Davis"/>
        <s v="SHANNON"/>
        <s v="DIANE P"/>
        <s v="Jenny Martins-Tadena"/>
        <s v="Erika"/>
        <s v="KELLY KRAUSS"/>
        <s v="Paula &amp; Nelson DiGennaro - Sebring, FL"/>
        <s v="WEBCLIENT Laura P"/>
        <s v="KAREN MCFARLANE"/>
        <s v="TERRY GORMAN"/>
        <s v="Jean O."/>
        <s v="Charlotte Greenbarg"/>
        <s v="MICHELLE STANEK"/>
        <s v="Carmelle Latour"/>
        <s v="Thao B."/>
        <s v="Cat Lady"/>
        <s v="KEN PEARSON"/>
        <s v="Cheryl Jasper"/>
        <s v="Wil"/>
        <s v="TOM ALLEN"/>
        <s v="Slick"/>
        <s v="CHERYL FARRELL"/>
        <s v="KATIE WERNER"/>
        <s v="Tina P."/>
        <s v="NearMiss"/>
        <s v="TAMI"/>
        <s v="DANA DRAKE"/>
        <s v="Robin Gedge"/>
        <s v="Lynne Levy"/>
        <s v="THOMAS HOOPER"/>
        <s v="IRENE SIMMONS"/>
        <s v="Barbara McNeil"/>
        <s v="James Miller"/>
        <s v="SHELL"/>
        <s v="Michele Casolco"/>
        <s v="Kim D"/>
        <s v="VICTOR ALBANESE"/>
        <s v="Customtom arnolder"/>
        <s v="EKS"/>
        <s v="JENNIFER HORNUNG"/>
        <s v="Allyson"/>
        <s v="Loren Osborne"/>
        <s v="SHEILA HODGES"/>
        <s v="CURT SHAKE"/>
        <s v="LISA BARNES"/>
        <s v="Deborah Noack"/>
        <s v="Janet F."/>
        <s v="KENNY KAZAROSIAN"/>
        <s v="WANDA SEGARS"/>
        <s v="MARY BETH ALDER"/>
        <s v="ROSE BROWN"/>
        <s v="SUE ASH"/>
        <s v="PHILIP JOW"/>
        <s v="MaryAnne Kramer"/>
        <s v="SUSAN FOSTER"/>
        <s v="JULIE KASSIS"/>
        <s v="Steven Goldstein"/>
        <s v="JULIE ROBERTS"/>
        <s v="DEBORAH PRINZ"/>
        <s v="noisyhouse"/>
        <s v="Astoria"/>
        <s v="Dale"/>
        <s v="TERA MARSH"/>
        <s v="Nv"/>
        <s v="S. HARDY"/>
        <s v="Kristi Ehlers"/>
        <s v="MICHAEL FAZEKAS"/>
        <s v="Rosepetals"/>
        <s v="Bill Skinner"/>
        <s v="CAROL SMITH"/>
        <s v="JAMES NEYHOUSE"/>
        <s v="MARLIES RUBEN"/>
        <s v="SANDRA FRANCOIS"/>
        <s v="S.J."/>
        <s v="JEFF KRAMER"/>
        <s v="JAN STERN"/>
        <s v="SANDRA SCHAFER"/>
        <s v="GRACE CARR"/>
        <s v="Frank F."/>
        <s v="Marion Konvalina"/>
        <s v="PATRICIA CAMPBELL"/>
        <s v="R. Lahrman"/>
        <s v="Owl lover"/>
        <s v="BIGFISHGAMESSUCKS"/>
        <s v="MICHELLE MURRAY"/>
        <s v="CHRIS PORCARO"/>
        <s v="PASQUALE CRUDO"/>
        <s v="MARY MAHANEY"/>
        <s v="Candy"/>
        <s v="STEVEN BROCK"/>
        <s v="Linda Sabuda"/>
        <s v="Andrea P"/>
        <s v="GINNETTE ALVAREZ"/>
        <s v="IDA L."/>
        <s v="MICHELLE CILURSO"/>
        <s v="MK"/>
        <s v="KAREN WELCH"/>
        <s v="GINO LANZI"/>
        <s v="Gloria Moore"/>
        <s v="Marc Marsceill"/>
        <s v="John Wright"/>
        <s v="Coffee"/>
        <s v="Phyllis"/>
        <s v="Valerie D"/>
        <s v="MELODY FENSEL"/>
        <s v="JOANNE HALL"/>
        <s v="Mary Y"/>
        <s v="Charles McDowell"/>
        <s v="Graduation"/>
        <s v="Jimmy"/>
        <s v="KAY Johnson"/>
        <s v="GAZLENE HATFELD"/>
        <s v="Love my dog"/>
        <s v="MICHELE DECRESCENZO"/>
        <s v="JOAN DAM"/>
        <s v="LONNIE SCUTELLA"/>
        <s v="KOREN SLONE"/>
        <s v="SFsanibel"/>
        <s v="MICHELLE HINES"/>
        <s v="Nikki Tucek"/>
        <s v="Mary K"/>
        <s v="Greg Morris"/>
        <s v="PAIGE MARTIN"/>
        <s v="Frederick Raymond"/>
        <s v="Lauri Maynard"/>
        <s v="Halo"/>
        <s v="JERRY FARRIS"/>
        <s v="TIMOTHY PANICHI"/>
        <s v="JENNIFER JEDYNAK"/>
        <s v="Ross"/>
        <s v="Paul Moore"/>
        <s v="LEE HOFFMAN"/>
        <s v="MeWithMe"/>
        <s v="Chris Benson"/>
        <s v="DIANNE MULLENHOUR"/>
        <s v="Martin"/>
        <s v="Laura Beckendorf"/>
        <s v="Donna Rickford"/>
        <s v="R. Geibel"/>
        <s v="M J"/>
        <s v="STACIE MCCLAIN"/>
        <s v="MELANIE"/>
        <s v="SAYA"/>
        <s v="Louise"/>
        <s v="SORORU KARAMI"/>
        <s v="F. W."/>
        <s v="Deana Madsen"/>
        <s v="Mermaid"/>
        <s v="DEBRA NEIL"/>
        <s v="JAMES S"/>
        <s v="Lauren"/>
        <s v="R. ELLIOTT"/>
        <s v="JAMES GILBERT"/>
        <s v="Dawn Long"/>
        <s v="Alan Fertel"/>
        <s v="SHERI"/>
        <s v="MARY ANNE"/>
        <s v="TAMMY H"/>
        <s v="Christy Jones"/>
        <s v="Morris"/>
        <s v="Ms Dehn"/>
        <s v="D. PROF."/>
      </sharedItems>
    </cacheField>
    <cacheField name="experience date" numFmtId="164">
      <sharedItems containsSemiMixedTypes="0" containsDate="1" containsString="0">
        <d v="2023-05-13T00:00:00Z"/>
        <d v="2023-05-14T00:00:00Z"/>
        <d v="2023-05-10T00:00:00Z"/>
        <d v="2023-05-11T00:00:00Z"/>
        <d v="2023-05-07T00:00:00Z"/>
        <d v="2023-04-28T00:00:00Z"/>
        <d v="2023-05-04T00:00:00Z"/>
        <d v="2023-04-02T00:00:00Z"/>
        <d v="2023-05-23T00:00:00Z"/>
        <d v="2023-05-06T00:00:00Z"/>
        <d v="2023-05-18T00:00:00Z"/>
        <d v="2023-05-09T00:00:00Z"/>
        <d v="2023-05-03T00:00:00Z"/>
        <d v="2023-05-12T00:00:00Z"/>
        <d v="2023-03-21T00:00:00Z"/>
        <d v="2023-05-01T00:00:00Z"/>
        <d v="2023-04-30T00:00:00Z"/>
        <d v="2023-05-08T00:00:00Z"/>
        <d v="2023-05-05T00:00:00Z"/>
        <d v="2023-05-02T00:00:00Z"/>
        <d v="2023-04-21T00:00:00Z"/>
        <d v="2023-05-15T00:00:00Z"/>
        <d v="2023-04-27T00:00:00Z"/>
        <d v="2023-04-26T00:00:00Z"/>
        <d v="2023-04-22T00:00:00Z"/>
        <d v="2023-04-20T00:00:00Z"/>
        <d v="2023-04-19T00:00:00Z"/>
        <d v="2023-04-24T00:00:00Z"/>
        <d v="2023-04-25T00:00:00Z"/>
        <d v="2023-04-18T00:00:00Z"/>
        <d v="2023-04-23T00:00:00Z"/>
        <d v="2023-04-16T00:00:00Z"/>
        <d v="2023-04-15T00:00:00Z"/>
        <d v="2023-05-24T00:00:00Z"/>
        <d v="2023-04-29T00:00:00Z"/>
        <d v="2023-04-17T00:00:00Z"/>
        <d v="2023-04-10T00:00:00Z"/>
        <d v="2023-03-18T00:00:00Z"/>
        <d v="2023-03-28T00:00:00Z"/>
        <d v="2023-04-11T00:00:00Z"/>
        <d v="2023-04-14T00:00:00Z"/>
        <d v="2023-04-13T00:00:00Z"/>
        <d v="2023-04-12T00:00:00Z"/>
        <d v="2023-04-06T00:00:00Z"/>
        <d v="2023-04-08T00:00:00Z"/>
        <d v="2023-04-07T00:00:00Z"/>
        <d v="2023-04-09T00:00:00Z"/>
        <d v="2023-03-29T00:00:00Z"/>
        <d v="2023-04-04T00:00:00Z"/>
        <d v="2023-04-03T00:00:00Z"/>
        <d v="2023-04-05T00:00:00Z"/>
        <d v="2023-03-17T00:00:00Z"/>
        <d v="2023-03-24T00:00:00Z"/>
        <d v="2023-04-01T00:00:00Z"/>
        <d v="2023-03-31T00:00:00Z"/>
        <d v="2023-03-30T00:00:00Z"/>
        <d v="2023-03-27T00:00:00Z"/>
        <d v="2023-03-25T00:00:00Z"/>
        <d v="2023-03-26T00:00:00Z"/>
        <d v="2023-02-26T00:00:00Z"/>
        <d v="2023-03-23T00:00:00Z"/>
        <d v="2023-03-22T00:00:00Z"/>
        <d v="2023-03-19T00:00:00Z"/>
        <d v="2023-03-20T00:00:00Z"/>
        <d v="2023-03-15T00:00:00Z"/>
        <d v="2023-03-16T00:00:00Z"/>
        <d v="2023-03-14T00:00:00Z"/>
        <d v="2023-03-13T00:00:00Z"/>
        <d v="2023-03-11T00:00:00Z"/>
        <d v="2023-03-12T00:00:00Z"/>
        <d v="2023-03-10T00:00:00Z"/>
        <d v="2023-03-06T00:00:00Z"/>
        <d v="2023-03-01T00:00:00Z"/>
        <d v="2023-03-05T00:00:00Z"/>
        <d v="2023-03-03T00:00:00Z"/>
        <d v="2023-03-09T00:00:00Z"/>
        <d v="2023-03-02T00:00:00Z"/>
        <d v="2023-03-08T00:00:00Z"/>
        <d v="2023-01-15T00:00:00Z"/>
        <d v="2023-01-03T00:00:00Z"/>
        <d v="2023-03-07T00:00:00Z"/>
        <d v="2023-02-02T00:00:00Z"/>
        <d v="2023-03-04T00:00:00Z"/>
        <d v="2023-02-28T00:00:00Z"/>
        <d v="2023-02-27T00:00:00Z"/>
        <d v="2023-02-25T00:00:00Z"/>
        <d v="2023-02-23T00:00:00Z"/>
        <d v="2023-02-24T00:00:00Z"/>
        <d v="2023-02-13T00:00:00Z"/>
        <d v="2023-01-02T00:00:00Z"/>
        <d v="2023-02-22T00:00:00Z"/>
        <d v="2023-02-21T00:00:00Z"/>
        <d v="2023-02-20T00:00:00Z"/>
        <d v="2023-01-04T00:00:00Z"/>
        <d v="2023-02-19T00:00:00Z"/>
        <d v="2023-02-17T00:00:00Z"/>
        <d v="2023-02-18T00:00:00Z"/>
        <d v="2023-02-08T00:00:00Z"/>
        <d v="2023-02-14T00:00:00Z"/>
        <d v="2023-02-16T00:00:00Z"/>
        <d v="2023-02-15T00:00:00Z"/>
        <d v="2023-02-11T00:00:00Z"/>
        <d v="2023-02-12T00:00:00Z"/>
        <d v="2023-02-10T00:00:00Z"/>
        <d v="2023-01-31T00:00:00Z"/>
        <d v="2023-02-07T00:00:00Z"/>
        <d v="2023-02-09T00:00:00Z"/>
        <d v="2023-02-06T00:00:00Z"/>
        <d v="2023-02-04T00:00:00Z"/>
        <d v="2023-01-21T00:00:00Z"/>
        <d v="2023-02-05T00:00:00Z"/>
        <d v="2023-02-03T00:00:00Z"/>
        <d v="2023-01-25T00:00:00Z"/>
        <d v="2023-02-01T00:00:00Z"/>
        <d v="2023-01-23T00:00:00Z"/>
        <d v="2023-01-30T00:00:00Z"/>
        <d v="2023-01-27T00:00:00Z"/>
        <d v="2023-01-29T00:00:00Z"/>
        <d v="2023-01-28T00:00:00Z"/>
        <d v="2023-01-24T00:00:00Z"/>
        <d v="2023-01-13T00:00:00Z"/>
        <d v="2023-01-19T00:00:00Z"/>
        <d v="2023-01-22T00:00:00Z"/>
        <d v="2023-01-26T00:00:00Z"/>
        <d v="2023-01-16T00:00:00Z"/>
        <d v="2023-01-20T00:00:00Z"/>
        <d v="2023-01-17T00:00:00Z"/>
        <d v="2023-01-14T00:00:00Z"/>
        <d v="2023-01-18T00:00:00Z"/>
        <d v="2023-01-10T00:00:00Z"/>
        <d v="2023-01-12T00:00:00Z"/>
        <d v="2022-12-23T00:00:00Z"/>
        <d v="2023-01-11T00:00:00Z"/>
        <d v="2023-01-06T00:00:00Z"/>
        <d v="2023-01-09T00:00:00Z"/>
        <d v="2022-11-30T00:00:00Z"/>
        <d v="2023-01-05T00:00:00Z"/>
        <d v="2022-12-20T00:00:00Z"/>
        <d v="2022-11-15T00:00:00Z"/>
        <d v="2022-11-23T00:00:00Z"/>
        <d v="2023-01-01T00:00:00Z"/>
        <d v="2022-12-31T00:00:00Z"/>
        <d v="2022-12-01T00:00:00Z"/>
        <d v="2023-01-07T00:00:00Z"/>
        <d v="2022-12-21T00:00:00Z"/>
        <d v="2022-12-30T00:00:00Z"/>
        <d v="2022-12-15T00:00:00Z"/>
        <d v="2023-01-08T00:00:00Z"/>
        <d v="2022-12-26T00:00:00Z"/>
        <d v="2022-12-29T00:00:00Z"/>
        <d v="2022-12-22T00:00:00Z"/>
        <d v="2022-12-08T00:00:00Z"/>
        <d v="2022-12-19T00:00:00Z"/>
        <d v="2022-12-18T00:00:00Z"/>
        <d v="2022-12-12T00:00:00Z"/>
        <d v="2022-12-16T00:00:00Z"/>
        <d v="2022-12-24T00:00:00Z"/>
        <d v="2022-12-28T00:00:00Z"/>
        <d v="2022-12-27T00:00:00Z"/>
        <d v="2022-12-14T00:00:00Z"/>
        <d v="2022-12-13T00:00:00Z"/>
        <d v="2022-12-25T00:00:00Z"/>
        <d v="2022-12-06T00:00:00Z"/>
        <d v="2022-12-05T00:00:00Z"/>
        <d v="2022-12-07T00:00:00Z"/>
        <d v="2022-12-10T00:00:00Z"/>
        <d v="2022-12-09T00:00:00Z"/>
        <d v="2022-10-17T00:00:00Z"/>
        <d v="2022-12-17T00:00:00Z"/>
        <d v="2022-12-04T00:00:00Z"/>
        <d v="2022-05-12T00:00:00Z"/>
        <d v="2022-12-02T00:00:00Z"/>
        <d v="2022-11-01T00:00:00Z"/>
        <d v="2022-11-28T00:00:00Z"/>
        <d v="2022-11-29T00:00:00Z"/>
        <d v="2022-12-11T00:00:00Z"/>
        <d v="2022-12-03T00:00:00Z"/>
        <d v="2022-11-24T00:00:00Z"/>
        <d v="2022-10-28T00:00:00Z"/>
        <d v="2022-11-25T00:00:00Z"/>
        <d v="2022-11-17T00:00:00Z"/>
        <d v="2022-11-21T00:00:00Z"/>
        <d v="2022-11-22T00:00:00Z"/>
        <d v="2022-11-14T00:00:00Z"/>
        <d v="2022-11-26T00:00:00Z"/>
        <d v="2022-11-18T00:00:00Z"/>
        <d v="2022-11-16T00:00:00Z"/>
        <d v="2022-11-20T00:00:00Z"/>
        <d v="2022-11-07T00:00:00Z"/>
        <d v="2022-10-04T00:00:00Z"/>
        <d v="2022-11-08T00:00:00Z"/>
        <d v="2022-11-12T00:00:00Z"/>
        <d v="2022-11-19T00:00:00Z"/>
        <d v="2022-11-11T00:00:00Z"/>
        <d v="2022-11-09T00:00:00Z"/>
        <d v="2022-11-10T00:00:00Z"/>
        <d v="2022-11-06T00:00:00Z"/>
        <d v="2022-11-04T00:00:00Z"/>
        <d v="2022-11-02T00:00:00Z"/>
        <d v="2022-11-05T00:00:00Z"/>
        <d v="2022-10-27T00:00:00Z"/>
        <d v="2022-10-30T00:00:00Z"/>
        <d v="2022-10-31T00:00:00Z"/>
        <d v="2022-11-03T00:00:00Z"/>
        <d v="2022-10-10T00:00:00Z"/>
        <d v="2022-10-29T00:00:00Z"/>
        <d v="2022-07-20T00:00:00Z"/>
        <d v="2022-10-25T00:00:00Z"/>
        <d v="2022-10-22T00:00:00Z"/>
        <d v="2022-10-26T00:00:00Z"/>
        <d v="2022-10-13T00:00:00Z"/>
        <d v="2022-10-19T00:00:00Z"/>
        <d v="2022-10-24T00:00:00Z"/>
        <d v="2022-10-20T00:00:00Z"/>
        <d v="2022-10-21T00:00:00Z"/>
        <d v="2022-10-11T00:00:00Z"/>
        <d v="2022-10-01T00:00:00Z"/>
        <d v="2022-09-30T00:00:00Z"/>
        <d v="2022-09-17T00:00:00Z"/>
        <d v="2022-09-29T00:00:00Z"/>
        <d v="2022-09-22T00:00:00Z"/>
        <d v="2022-09-23T00:00:00Z"/>
        <d v="2022-09-02T00:00:00Z"/>
        <d v="2022-09-24T00:00:00Z"/>
        <d v="2022-09-26T00:00:00Z"/>
        <d v="2022-09-20T00:00:00Z"/>
        <d v="2022-09-27T00:00:00Z"/>
        <d v="2022-09-13T00:00:00Z"/>
        <d v="2022-09-19T00:00:00Z"/>
        <d v="2022-09-21T00:00:00Z"/>
        <d v="2022-09-15T00:00:00Z"/>
        <d v="2022-08-28T00:00:00Z"/>
        <d v="2022-09-05T00:00:00Z"/>
        <d v="2022-09-12T00:00:00Z"/>
        <d v="2022-09-16T00:00:00Z"/>
        <d v="2022-09-14T00:00:00Z"/>
        <d v="2022-09-07T00:00:00Z"/>
        <d v="2022-09-09T00:00:00Z"/>
        <d v="2022-09-18T00:00:00Z"/>
        <d v="2022-09-04T00:00:00Z"/>
        <d v="2022-09-10T00:00:00Z"/>
        <d v="2022-08-29T00:00:00Z"/>
        <d v="2022-09-06T00:00:00Z"/>
        <d v="2022-09-01T00:00:00Z"/>
        <d v="2022-09-03T00:00:00Z"/>
        <d v="2022-09-08T00:00:00Z"/>
        <d v="2022-08-30T00:00:00Z"/>
        <d v="2022-09-11T00:00:00Z"/>
        <d v="2022-08-31T00:00:00Z"/>
        <d v="2022-08-15T00:00:00Z"/>
        <d v="2022-08-24T00:00:00Z"/>
        <d v="2022-08-27T00:00:00Z"/>
        <d v="2022-08-25T00:00:00Z"/>
        <d v="2022-08-26T00:00:00Z"/>
        <d v="2022-08-23T00:00:00Z"/>
        <d v="2022-08-22T00:00:00Z"/>
        <d v="2022-08-21T00:00:00Z"/>
        <d v="2022-08-20T00:00:00Z"/>
        <d v="2022-08-19T00:00:00Z"/>
        <d v="2022-08-18T00:00:00Z"/>
        <d v="2022-08-17T00:00:00Z"/>
        <d v="2022-08-16T00:00:00Z"/>
        <d v="2022-08-14T00:00:00Z"/>
        <d v="2022-08-13T00:00:00Z"/>
        <d v="2022-08-12T00:00:00Z"/>
        <d v="2022-08-11T00:00:00Z"/>
        <d v="2022-08-10T00:00:00Z"/>
        <d v="2022-08-09T00:00:00Z"/>
        <d v="2022-08-08T00:00:00Z"/>
        <d v="2022-08-07T00:00:00Z"/>
        <d v="2022-08-06T00:00:00Z"/>
        <d v="2022-08-05T00:00:00Z"/>
        <d v="2022-08-04T00:00:00Z"/>
        <d v="2022-08-02T00:00:00Z"/>
        <d v="2022-08-01T00:00:00Z"/>
        <d v="2022-07-31T00:00:00Z"/>
        <d v="2022-07-30T00:00:00Z"/>
        <d v="2022-07-29T00:00:00Z"/>
        <d v="2022-07-28T00:00:00Z"/>
        <d v="2022-07-27T00:00:00Z"/>
        <d v="2022-07-26T00:00:00Z"/>
        <d v="2022-07-25T00:00:00Z"/>
        <d v="2022-07-24T00:00:00Z"/>
        <d v="2022-07-23T00:00:00Z"/>
        <d v="2022-07-22T00:00:00Z"/>
        <d v="2022-07-21T00:00:00Z"/>
        <d v="2022-07-19T00:00:00Z"/>
        <d v="2022-07-18T00:00:00Z"/>
        <d v="2022-07-17T00:00:00Z"/>
        <d v="2022-07-16T00:00:00Z"/>
        <d v="2022-07-15T00:00:00Z"/>
        <d v="2022-07-14T00:00:00Z"/>
        <d v="2022-07-13T00:00:00Z"/>
        <d v="2022-07-12T00:00:00Z"/>
        <d v="2022-07-11T00:00:00Z"/>
        <d v="2022-07-10T00:00:00Z"/>
        <d v="2022-07-09T00:00:00Z"/>
        <d v="2022-07-08T00:00:00Z"/>
        <d v="2022-07-07T00:00:00Z"/>
        <d v="2022-07-06T00:00:00Z"/>
        <d v="2022-07-05T00:00:00Z"/>
        <d v="2022-07-04T00:00:00Z"/>
        <d v="2022-07-03T00:00:00Z"/>
        <d v="2022-07-02T00:00:00Z"/>
        <d v="2022-07-01T00:00:00Z"/>
        <d v="2022-06-30T00:00:00Z"/>
        <d v="2022-06-29T00:00:00Z"/>
        <d v="2022-06-28T00:00:00Z"/>
        <d v="2022-06-27T00:00:00Z"/>
        <d v="2022-06-26T00:00:00Z"/>
        <d v="2022-06-25T00:00:00Z"/>
        <d v="2022-06-24T00:00:00Z"/>
        <d v="2022-06-23T00:00:00Z"/>
        <d v="2022-06-22T00:00:00Z"/>
        <d v="2022-06-21T00:00:00Z"/>
        <d v="2022-06-20T00:00:00Z"/>
        <d v="2022-06-19T00:00:00Z"/>
        <d v="2022-06-18T00:00:00Z"/>
        <d v="2022-06-17T00:00:00Z"/>
        <d v="2022-06-16T00:00:00Z"/>
        <d v="2022-06-15T00:00:00Z"/>
        <d v="2022-06-14T00:00:00Z"/>
        <d v="2022-06-13T00:00:00Z"/>
        <d v="2022-06-12T00:00:00Z"/>
        <d v="2022-06-11T00:00:00Z"/>
        <d v="2022-06-10T00:00:00Z"/>
        <d v="2022-06-09T00:00:00Z"/>
        <d v="2022-06-08T00:00:00Z"/>
        <d v="2022-06-07T00:00:00Z"/>
        <d v="2022-06-06T00:00:00Z"/>
        <d v="2022-06-05T00:00:00Z"/>
        <d v="2022-06-04T00:00:00Z"/>
        <d v="2022-06-03T00:00:00Z"/>
        <d v="2022-06-02T00:00:00Z"/>
        <d v="2022-06-01T00:00:00Z"/>
        <d v="2022-05-31T00:00:00Z"/>
        <d v="2022-05-30T00:00:00Z"/>
        <d v="2022-05-29T00:00:00Z"/>
        <d v="2022-05-28T00:00:00Z"/>
        <d v="2022-05-27T00:00:00Z"/>
        <d v="2022-05-26T00:00:00Z"/>
        <d v="2022-05-25T00:00:00Z"/>
        <d v="2022-05-24T00:00:00Z"/>
        <d v="2022-05-23T00:00:00Z"/>
        <d v="2022-05-22T00:00:00Z"/>
        <d v="2022-05-21T00:00:00Z"/>
        <d v="2022-05-20T00:00:00Z"/>
        <d v="2022-05-19T00:00:00Z"/>
        <d v="2022-05-18T00:00:00Z"/>
        <d v="2022-05-17T00:00:00Z"/>
        <d v="2022-05-16T00:00:00Z"/>
        <d v="2022-05-15T00:00:00Z"/>
        <d v="2022-05-14T00:00:00Z"/>
        <d v="2022-05-13T00:00:00Z"/>
        <d v="2022-05-11T00:00:00Z"/>
        <d v="2022-05-10T00:00:00Z"/>
        <d v="2022-05-09T00:00:00Z"/>
        <d v="2022-05-08T00:00:00Z"/>
        <d v="2022-05-07T00:00:00Z"/>
        <d v="2022-05-06T00:00:00Z"/>
        <d v="2022-05-05T00:00:00Z"/>
        <d v="2022-05-04T00:00:00Z"/>
        <d v="2022-05-03T00:00:00Z"/>
        <d v="2022-05-02T00:00:00Z"/>
        <d v="2022-05-01T00:00:00Z"/>
        <d v="2022-04-30T00:00:00Z"/>
        <d v="2022-04-29T00:00:00Z"/>
        <d v="2022-04-28T00:00:00Z"/>
        <d v="2022-04-27T00:00:00Z"/>
        <d v="2022-04-26T00:00:00Z"/>
        <d v="2022-04-25T00:00:00Z"/>
        <d v="2022-04-24T00:00:00Z"/>
        <d v="2022-04-23T00:00:00Z"/>
        <d v="2022-04-22T00:00:00Z"/>
        <d v="2022-04-21T00:00:00Z"/>
        <d v="2022-04-20T00:00:00Z"/>
        <d v="2022-04-18T00:00:00Z"/>
        <d v="2022-04-17T00:00:00Z"/>
        <d v="2022-04-16T00:00:00Z"/>
        <d v="2022-04-15T00:00:00Z"/>
        <d v="2022-04-14T00:00:00Z"/>
        <d v="2022-04-13T00:00:00Z"/>
        <d v="2022-04-12T00:00:00Z"/>
        <d v="2022-04-11T00:00:00Z"/>
        <d v="2022-04-10T00:00:00Z"/>
        <d v="2022-04-09T00:00:00Z"/>
        <d v="2022-04-08T00:00:00Z"/>
        <d v="2022-04-07T00:00:00Z"/>
        <d v="2022-04-06T00:00:00Z"/>
        <d v="2022-04-05T00:00:00Z"/>
        <d v="2022-04-04T00:00:00Z"/>
        <d v="2022-04-03T00:00:00Z"/>
        <d v="2022-04-02T00:00:00Z"/>
        <d v="2022-04-01T00:00:00Z"/>
        <d v="2022-03-31T00:00:00Z"/>
        <d v="2022-03-30T00:00:00Z"/>
        <d v="2022-03-29T00:00:00Z"/>
        <d v="2022-03-28T00:00:00Z"/>
        <d v="2022-03-27T00:00:00Z"/>
        <d v="2022-03-26T00:00:00Z"/>
        <d v="2022-03-25T00:00:00Z"/>
        <d v="2022-03-24T00:00:00Z"/>
        <d v="2022-03-23T00:00:00Z"/>
        <d v="2022-03-22T00:00:00Z"/>
        <d v="2022-03-21T00:00:00Z"/>
        <d v="2022-03-20T00:00:00Z"/>
        <d v="2022-03-19T00:00:00Z"/>
        <d v="2022-03-18T00:00:00Z"/>
        <d v="2022-03-17T00:00:00Z"/>
        <d v="2022-03-16T00:00:00Z"/>
        <d v="2022-03-15T00:00:00Z"/>
        <d v="2022-03-14T00:00:00Z"/>
        <d v="2022-03-13T00:00:00Z"/>
        <d v="2022-03-12T00:00:00Z"/>
        <d v="2022-03-11T00:00:00Z"/>
        <d v="2022-03-10T00:00:00Z"/>
        <d v="2022-03-09T00:00:00Z"/>
        <d v="2022-03-08T00:00:00Z"/>
        <d v="2022-03-07T00:00:00Z"/>
        <d v="2022-03-06T00:00:00Z"/>
        <d v="2022-03-05T00:00:00Z"/>
        <d v="2022-03-04T00:00:00Z"/>
        <d v="2022-03-03T00:00:00Z"/>
        <d v="2022-03-02T00:00:00Z"/>
        <d v="2022-03-01T00:00:00Z"/>
        <d v="2022-02-28T00:00:00Z"/>
        <d v="2022-02-27T00:00:00Z"/>
        <d v="2022-02-26T00:00:00Z"/>
        <d v="2022-02-25T00:00:00Z"/>
        <d v="2022-02-24T00:00:00Z"/>
        <d v="2022-02-23T00:00:00Z"/>
        <d v="2022-02-22T00:00:00Z"/>
        <d v="2022-02-21T00:00:00Z"/>
        <d v="2022-02-20T00:00:00Z"/>
        <d v="2022-02-19T00:00:00Z"/>
        <d v="2022-02-18T00:00:00Z"/>
        <d v="2022-02-17T00:00:00Z"/>
        <d v="2022-02-16T00:00:00Z"/>
        <d v="2022-02-15T00:00:00Z"/>
        <d v="2022-02-14T00:00:00Z"/>
        <d v="2022-02-13T00:00:00Z"/>
        <d v="2022-02-12T00:00:00Z"/>
        <d v="2022-02-11T00:00:00Z"/>
        <d v="2022-02-10T00:00:00Z"/>
        <d v="2022-02-09T00:00:00Z"/>
        <d v="2022-02-08T00:00:00Z"/>
        <d v="2022-02-07T00:00:00Z"/>
        <d v="2022-02-06T00:00:00Z"/>
        <d v="2022-02-05T00:00:00Z"/>
        <d v="2022-02-04T00:00:00Z"/>
        <d v="2022-02-03T00:00:00Z"/>
        <d v="2022-02-02T00:00:00Z"/>
        <d v="2022-02-01T00:00:00Z"/>
        <d v="2022-01-31T00:00:00Z"/>
        <d v="2022-01-30T00:00:00Z"/>
        <d v="2022-01-29T00:00:00Z"/>
        <d v="2022-01-28T00:00:00Z"/>
        <d v="2022-01-27T00:00:00Z"/>
        <d v="2022-01-26T00:00:00Z"/>
        <d v="2022-01-25T00:00:00Z"/>
        <d v="2022-01-24T00:00:00Z"/>
        <d v="2022-01-23T00:00:00Z"/>
        <d v="2022-01-22T00:00:00Z"/>
        <d v="2022-01-21T00:00:00Z"/>
        <d v="2022-01-20T00:00:00Z"/>
        <d v="2022-01-19T00:00:00Z"/>
        <d v="2022-01-18T00:00:00Z"/>
        <d v="2022-01-17T00:00:00Z"/>
        <d v="2022-01-16T00:00:00Z"/>
        <d v="2022-01-15T00:00:00Z"/>
        <d v="2022-01-14T00:00:00Z"/>
        <d v="2022-01-13T00:00:00Z"/>
        <d v="2022-01-12T00:00:00Z"/>
        <d v="2022-01-11T00:00:00Z"/>
        <d v="2022-01-10T00:00:00Z"/>
        <d v="2022-01-09T00:00:00Z"/>
        <d v="2022-01-08T00:00:00Z"/>
        <d v="2022-01-07T00:00:00Z"/>
        <d v="2022-01-05T00:00:00Z"/>
        <d v="2022-01-04T00:00:00Z"/>
        <d v="2022-01-03T00:00:00Z"/>
        <d v="2022-01-02T00:00:00Z"/>
        <d v="2022-01-01T00:00:00Z"/>
        <d v="2021-12-31T00:00:00Z"/>
        <d v="2021-12-30T00:00:00Z"/>
        <d v="2021-12-29T00:00:00Z"/>
        <d v="2021-12-28T00:00:00Z"/>
        <d v="2021-12-27T00:00:00Z"/>
        <d v="2021-12-26T00:00:00Z"/>
        <d v="2021-12-25T00:00:00Z"/>
        <d v="2021-12-24T00:00:00Z"/>
        <d v="2021-12-23T00:00:00Z"/>
        <d v="2021-12-22T00:00:00Z"/>
        <d v="2021-12-21T00:00:00Z"/>
        <d v="2021-12-20T00:00:00Z"/>
        <d v="2021-12-19T00:00:00Z"/>
        <d v="2021-12-18T00:00:00Z"/>
        <d v="2021-12-17T00:00:00Z"/>
        <d v="2021-12-16T00:00:00Z"/>
        <d v="2021-12-15T00:00:00Z"/>
        <d v="2021-12-14T00:00:00Z"/>
        <d v="2021-12-13T00:00:00Z"/>
        <d v="2021-12-11T00:00:00Z"/>
        <d v="2021-12-10T00:00:00Z"/>
        <d v="2021-12-09T00:00:00Z"/>
        <d v="2021-12-08T00:00:00Z"/>
        <d v="2021-12-07T00:00:00Z"/>
        <d v="2021-12-06T00:00:00Z"/>
        <d v="2021-12-05T00:00:00Z"/>
        <d v="2021-12-04T00:00:00Z"/>
        <d v="2021-12-03T00:00:00Z"/>
        <d v="2021-12-02T00:00:00Z"/>
        <d v="2021-12-01T00:00:00Z"/>
        <d v="2021-11-30T00:00:00Z"/>
        <d v="2021-11-29T00:00:00Z"/>
        <d v="2021-11-28T00:00:00Z"/>
        <d v="2021-11-26T00:00:00Z"/>
        <d v="2021-11-25T00:00:00Z"/>
        <d v="2021-11-17T00:00:00Z"/>
        <d v="2021-11-16T00:00:00Z"/>
        <d v="2021-11-15T00:00:00Z"/>
        <d v="2021-11-14T00:00:00Z"/>
        <d v="2021-11-13T00:00:00Z"/>
        <d v="2021-11-12T00:00:00Z"/>
        <d v="2021-11-11T00:00:00Z"/>
        <d v="2021-11-10T00:00:00Z"/>
        <d v="2021-11-09T00:00:00Z"/>
        <d v="2021-11-08T00:00:00Z"/>
        <d v="2021-11-07T00:00:00Z"/>
        <d v="2021-11-06T00:00:00Z"/>
        <d v="2021-11-05T00:00:00Z"/>
        <d v="2021-11-04T00:00:00Z"/>
        <d v="2021-11-03T00:00:00Z"/>
        <d v="2021-11-02T00:00:00Z"/>
        <d v="2021-11-01T00:00:00Z"/>
        <d v="2021-10-31T00:00:00Z"/>
        <d v="2021-10-30T00:00:00Z"/>
        <d v="2021-10-29T00:00:00Z"/>
        <d v="2021-10-28T00:00:00Z"/>
        <d v="2021-10-27T00:00:00Z"/>
        <d v="2021-10-26T00:00:00Z"/>
        <d v="2021-10-25T00:00:00Z"/>
        <d v="2021-10-24T00:00:00Z"/>
        <d v="2021-10-23T00:00:00Z"/>
        <d v="2021-10-22T00:00:00Z"/>
        <d v="2021-10-21T00:00:00Z"/>
        <d v="2021-10-20T00:00:00Z"/>
        <d v="2021-10-19T00:00:00Z"/>
        <d v="2021-10-18T00:00:00Z"/>
        <d v="2021-10-17T00:00:00Z"/>
        <d v="2021-10-16T00:00:00Z"/>
        <d v="2021-10-15T00:00:00Z"/>
        <d v="2021-10-14T00:00:00Z"/>
        <d v="2021-10-13T00:00:00Z"/>
        <d v="2021-10-12T00:00:00Z"/>
        <d v="2021-10-11T00:00:00Z"/>
        <d v="2021-10-10T00:00:00Z"/>
        <d v="2021-10-09T00:00:00Z"/>
        <d v="2021-10-08T00:00:00Z"/>
        <d v="2021-10-07T00:00:00Z"/>
        <d v="2021-10-06T00:00:00Z"/>
        <d v="2021-10-05T00:00:00Z"/>
        <d v="2021-10-04T00:00:00Z"/>
      </sharedItems>
    </cacheField>
    <cacheField name="review date">
      <sharedItems containsDate="1" containsMixedTypes="1">
        <s v="14 hours ago"/>
        <s v="11 hours ago"/>
        <s v="5 hours ago"/>
        <s v="A day ago"/>
        <s v="6 hours ago"/>
        <s v="12 hours ago"/>
        <s v="3 days ago"/>
        <s v="15 hours ago"/>
        <s v="4 days ago"/>
        <s v="7 days ago"/>
        <s v="1 days ago"/>
        <d v="2023-05-16T00:00:00Z"/>
        <s v="2 days ago"/>
        <d v="2023-05-19T00:00:00Z"/>
        <d v="2023-05-15T00:00:00Z"/>
        <s v="5 days ago"/>
        <d v="2023-05-17T00:00:00Z"/>
        <s v="Updated 16 hours ago"/>
        <s v="4 hours ago"/>
        <d v="2023-05-13T00:00:00Z"/>
        <d v="2023-05-14T00:00:00Z"/>
        <d v="2023-05-10T00:00:00Z"/>
        <s v="6 days ago"/>
        <d v="2023-05-04T00:00:00Z"/>
        <d v="2023-05-09T00:00:00Z"/>
        <d v="2023-05-08T00:00:00Z"/>
        <d v="2023-05-18T00:00:00Z"/>
        <d v="2023-05-02T00:00:00Z"/>
        <d v="2023-05-01T00:00:00Z"/>
        <d v="2023-05-06T00:00:00Z"/>
        <d v="2023-05-07T00:00:00Z"/>
        <d v="2023-05-12T00:00:00Z"/>
        <d v="2023-05-05T00:00:00Z"/>
        <d v="2023-05-03T00:00:00Z"/>
        <d v="2023-05-11T00:00:00Z"/>
        <d v="2023-04-30T00:00:00Z"/>
        <d v="2023-04-29T00:00:00Z"/>
        <d v="2023-04-28T00:00:00Z"/>
        <d v="2023-04-27T00:00:00Z"/>
        <d v="2023-04-26T00:00:00Z"/>
        <d v="2023-04-25T00:00:00Z"/>
        <d v="2023-04-24T00:00:00Z"/>
        <d v="2023-04-23T00:00:00Z"/>
        <d v="2023-04-22T00:00:00Z"/>
        <d v="2023-04-21T00:00:00Z"/>
        <d v="2023-04-20T00:00:00Z"/>
        <d v="2023-04-19T00:00:00Z"/>
        <d v="2023-04-18T00:00:00Z"/>
        <d v="2023-04-17T00:00:00Z"/>
        <d v="2023-04-16T00:00:00Z"/>
        <s v="Updated Apr 16, 2023"/>
        <d v="2023-04-15T00:00:00Z"/>
        <d v="2023-04-14T00:00:00Z"/>
        <d v="2023-04-13T00:00:00Z"/>
        <d v="2023-04-12T00:00:00Z"/>
        <d v="2023-04-11T00:00:00Z"/>
        <d v="2023-04-10T00:00:00Z"/>
        <d v="2023-04-09T00:00:00Z"/>
        <d v="2023-04-08T00:00:00Z"/>
        <d v="2023-04-07T00:00:00Z"/>
        <d v="2023-04-06T00:00:00Z"/>
        <d v="2023-04-05T00:00:00Z"/>
        <d v="2023-04-04T00:00:00Z"/>
        <d v="2023-04-03T00:00:00Z"/>
        <d v="2023-04-02T00:00:00Z"/>
        <d v="2023-04-01T00:00:00Z"/>
        <d v="2023-03-31T00:00:00Z"/>
        <d v="2023-03-30T00:00:00Z"/>
        <d v="2023-03-29T00:00:00Z"/>
        <d v="2023-03-28T00:00:00Z"/>
        <d v="2023-03-27T00:00:00Z"/>
        <d v="2023-03-26T00:00:00Z"/>
        <d v="2023-03-25T00:00:00Z"/>
        <d v="2023-03-24T00:00:00Z"/>
        <d v="2023-03-23T00:00:00Z"/>
        <d v="2023-03-22T00:00:00Z"/>
        <d v="2023-03-21T00:00:00Z"/>
        <d v="2023-03-20T00:00:00Z"/>
        <s v="Updated Mar 20, 2023"/>
        <d v="2023-03-19T00:00:00Z"/>
        <d v="2023-03-18T00:00:00Z"/>
        <d v="2023-03-17T00:00:00Z"/>
        <d v="2023-03-16T00:00:00Z"/>
        <d v="2023-03-15T00:00:00Z"/>
        <d v="2023-03-14T00:00:00Z"/>
        <d v="2023-03-13T00:00:00Z"/>
        <d v="2023-03-12T00:00:00Z"/>
        <d v="2023-03-11T00:00:00Z"/>
        <d v="2023-03-10T00:00:00Z"/>
        <d v="2023-03-09T00:00:00Z"/>
        <d v="2023-03-08T00:00:00Z"/>
        <d v="2023-03-07T00:00:00Z"/>
        <d v="2023-03-06T00:00:00Z"/>
        <d v="2023-03-05T00:00:00Z"/>
        <d v="2023-03-04T00:00:00Z"/>
        <s v="Updated Mar 4, 2023"/>
        <d v="2023-03-03T00:00:00Z"/>
        <d v="2023-03-02T00:00:00Z"/>
        <s v="Updated Mar 2, 2023"/>
        <d v="2023-03-01T00:00:00Z"/>
        <d v="2023-02-28T00:00:00Z"/>
        <d v="2023-02-27T00:00:00Z"/>
        <d v="2023-02-26T00:00:00Z"/>
        <d v="2023-02-25T00:00:00Z"/>
        <d v="2023-02-24T00:00:00Z"/>
        <d v="2023-02-23T00:00:00Z"/>
        <d v="2023-02-22T00:00:00Z"/>
        <d v="2023-02-21T00:00:00Z"/>
        <d v="2023-02-20T00:00:00Z"/>
        <d v="2023-02-19T00:00:00Z"/>
        <d v="2023-02-18T00:00:00Z"/>
        <d v="2023-02-17T00:00:00Z"/>
        <d v="2023-02-16T00:00:00Z"/>
        <d v="2023-02-15T00:00:00Z"/>
        <d v="2023-02-14T00:00:00Z"/>
        <d v="2023-02-13T00:00:00Z"/>
        <d v="2023-02-12T00:00:00Z"/>
        <d v="2023-02-11T00:00:00Z"/>
        <d v="2023-02-10T00:00:00Z"/>
        <d v="2023-02-09T00:00:00Z"/>
        <d v="2023-02-08T00:00:00Z"/>
        <d v="2023-02-07T00:00:00Z"/>
        <d v="2023-02-06T00:00:00Z"/>
        <d v="2023-02-05T00:00:00Z"/>
        <d v="2023-02-04T00:00:00Z"/>
        <d v="2023-02-03T00:00:00Z"/>
        <s v="Updated Feb 2, 2023"/>
        <d v="2023-02-02T00:00:00Z"/>
        <d v="2023-02-01T00:00:00Z"/>
        <d v="2023-01-31T00:00:00Z"/>
        <d v="2023-01-30T00:00:00Z"/>
        <d v="2023-01-29T00:00:00Z"/>
        <d v="2023-01-28T00:00:00Z"/>
        <d v="2023-01-27T00:00:00Z"/>
        <d v="2023-01-26T00:00:00Z"/>
        <s v="Updated Jan 27, 2023"/>
        <d v="2023-01-25T00:00:00Z"/>
        <d v="2023-01-24T00:00:00Z"/>
        <d v="2023-01-23T00:00:00Z"/>
        <d v="2023-01-22T00:00:00Z"/>
        <d v="2023-01-21T00:00:00Z"/>
        <d v="2023-01-20T00:00:00Z"/>
        <d v="2023-01-19T00:00:00Z"/>
        <d v="2023-01-18T00:00:00Z"/>
        <d v="2023-01-17T00:00:00Z"/>
        <d v="2023-01-16T00:00:00Z"/>
        <d v="2023-01-15T00:00:00Z"/>
        <s v="Updated Jan 15, 2023"/>
        <d v="2023-01-14T00:00:00Z"/>
        <d v="2023-01-13T00:00:00Z"/>
        <d v="2023-01-12T00:00:00Z"/>
        <d v="2023-01-11T00:00:00Z"/>
        <d v="2023-01-10T00:00:00Z"/>
        <d v="2023-01-09T00:00:00Z"/>
        <d v="2023-01-08T00:00:00Z"/>
        <d v="2023-01-07T00:00:00Z"/>
        <d v="2023-01-06T00:00:00Z"/>
        <d v="2023-01-05T00:00:00Z"/>
        <d v="2023-01-04T00:00:00Z"/>
        <d v="2023-01-03T00:00:00Z"/>
        <d v="2023-01-02T00:00:00Z"/>
        <d v="2023-01-01T00:00:00Z"/>
        <d v="2022-12-31T00:00:00Z"/>
        <d v="2022-12-30T00:00:00Z"/>
        <d v="2022-12-29T00:00:00Z"/>
        <d v="2022-12-28T00:00:00Z"/>
        <d v="2022-12-27T00:00:00Z"/>
        <d v="2022-12-26T00:00:00Z"/>
        <d v="2022-12-25T00:00:00Z"/>
        <d v="2022-12-24T00:00:00Z"/>
        <d v="2022-12-23T00:00:00Z"/>
        <d v="2022-12-22T00:00:00Z"/>
        <d v="2022-12-21T00:00:00Z"/>
        <d v="2022-12-20T00:00:00Z"/>
        <d v="2022-12-19T00:00:00Z"/>
        <s v="Updated Dec 18, 2022"/>
        <d v="2022-12-18T00:00:00Z"/>
        <d v="2022-12-17T00:00:00Z"/>
        <d v="2022-12-16T00:00:00Z"/>
        <d v="2022-12-15T00:00:00Z"/>
        <d v="2022-12-14T00:00:00Z"/>
        <d v="2022-12-13T00:00:00Z"/>
        <d v="2022-12-12T00:00:00Z"/>
        <d v="2022-12-11T00:00:00Z"/>
        <d v="2022-12-10T00:00:00Z"/>
        <d v="2022-12-09T00:00:00Z"/>
        <d v="2022-12-08T00:00:00Z"/>
        <d v="2022-12-07T00:00:00Z"/>
        <d v="2022-12-06T00:00:00Z"/>
        <d v="2022-12-05T00:00:00Z"/>
        <d v="2022-12-04T00:00:00Z"/>
        <d v="2022-12-03T00:00:00Z"/>
        <d v="2022-12-02T00:00:00Z"/>
        <d v="2022-12-01T00:00:00Z"/>
        <s v="Updated Dec 1, 2022"/>
        <d v="2022-11-30T00:00:00Z"/>
        <d v="2022-11-29T00:00:00Z"/>
        <s v="Updated Dec 13, 2022"/>
        <d v="2022-11-28T00:00:00Z"/>
        <s v="Updated Nov 28, 2022"/>
        <d v="2022-11-27T00:00:00Z"/>
        <d v="2022-11-26T00:00:00Z"/>
        <d v="2022-11-25T00:00:00Z"/>
        <d v="2022-11-24T00:00:00Z"/>
        <d v="2022-11-23T00:00:00Z"/>
        <d v="2022-11-22T00:00:00Z"/>
        <d v="2022-11-21T00:00:00Z"/>
        <d v="2022-11-20T00:00:00Z"/>
        <d v="2022-11-19T00:00:00Z"/>
        <d v="2022-11-18T00:00:00Z"/>
        <d v="2022-11-17T00:00:00Z"/>
        <d v="2022-11-16T00:00:00Z"/>
        <d v="2022-11-15T00:00:00Z"/>
        <d v="2022-11-14T00:00:00Z"/>
        <d v="2022-11-13T00:00:00Z"/>
        <d v="2022-11-12T00:00:00Z"/>
        <d v="2022-11-11T00:00:00Z"/>
        <d v="2022-11-10T00:00:00Z"/>
        <s v="Updated Nov 24, 2022"/>
        <d v="2022-11-09T00:00:00Z"/>
        <d v="2022-11-08T00:00:00Z"/>
        <d v="2022-11-07T00:00:00Z"/>
        <d v="2022-11-06T00:00:00Z"/>
        <d v="2022-11-05T00:00:00Z"/>
        <s v="Updated Nov 6, 2022"/>
        <d v="2022-11-04T00:00:00Z"/>
        <d v="2022-11-03T00:00:00Z"/>
        <d v="2022-11-02T00:00:00Z"/>
        <d v="2022-10-29T00:00:00Z"/>
        <d v="2022-10-23T00:00:00Z"/>
        <d v="2022-10-20T00:00:00Z"/>
        <d v="2022-10-18T00:00:00Z"/>
        <s v="Updated Oct 6, 2022"/>
        <d v="2022-09-29T00:00:00Z"/>
        <d v="2022-09-28T00:00:00Z"/>
        <d v="2022-09-27T00:00:00Z"/>
        <d v="2022-09-26T00:00:00Z"/>
        <d v="2022-09-25T00:00:00Z"/>
        <d v="2022-09-24T00:00:00Z"/>
        <d v="2022-09-23T00:00:00Z"/>
        <d v="2022-09-22T00:00:00Z"/>
        <d v="2022-09-21T00:00:00Z"/>
        <d v="2022-09-20T00:00:00Z"/>
        <d v="2022-09-19T00:00:00Z"/>
        <s v="Updated Sep 19, 2022"/>
        <d v="2022-09-18T00:00:00Z"/>
        <d v="2022-09-17T00:00:00Z"/>
        <d v="2022-09-16T00:00:00Z"/>
        <d v="2022-09-15T00:00:00Z"/>
        <d v="2022-09-14T00:00:00Z"/>
        <d v="2022-09-13T00:00:00Z"/>
        <d v="2022-09-12T00:00:00Z"/>
        <d v="2022-09-11T00:00:00Z"/>
        <d v="2022-09-10T00:00:00Z"/>
        <d v="2022-09-09T00:00:00Z"/>
        <d v="2022-09-08T00:00:00Z"/>
        <d v="2022-09-07T00:00:00Z"/>
        <d v="2022-09-06T00:00:00Z"/>
        <d v="2022-09-05T00:00:00Z"/>
        <d v="2022-09-04T00:00:00Z"/>
        <d v="2022-09-03T00:00:00Z"/>
        <d v="2022-09-02T00:00:00Z"/>
        <d v="2022-09-01T00:00:00Z"/>
        <d v="2022-08-31T00:00:00Z"/>
        <d v="2022-08-30T00:00:00Z"/>
        <d v="2022-08-29T00:00:00Z"/>
        <d v="2022-08-28T00:00:00Z"/>
        <d v="2022-08-27T00:00:00Z"/>
        <s v="Updated Aug 27, 2022"/>
        <d v="2022-08-26T00:00:00Z"/>
        <d v="2022-08-25T00:00:00Z"/>
        <d v="2022-08-24T00:00:00Z"/>
        <d v="2022-08-23T00:00:00Z"/>
        <d v="2022-08-22T00:00:00Z"/>
        <d v="2022-08-21T00:00:00Z"/>
        <d v="2022-08-20T00:00:00Z"/>
        <d v="2022-08-19T00:00:00Z"/>
        <d v="2022-08-18T00:00:00Z"/>
        <s v="Updated Aug 18, 2022"/>
        <d v="2022-08-17T00:00:00Z"/>
        <d v="2022-08-16T00:00:00Z"/>
        <d v="2022-08-15T00:00:00Z"/>
        <d v="2022-08-14T00:00:00Z"/>
        <s v="Updated Aug 14, 2022"/>
        <d v="2022-08-13T00:00:00Z"/>
        <d v="2022-08-12T00:00:00Z"/>
        <d v="2022-08-11T00:00:00Z"/>
        <d v="2022-08-09T00:00:00Z"/>
        <d v="2022-08-08T00:00:00Z"/>
        <d v="2022-08-07T00:00:00Z"/>
        <d v="2022-08-06T00:00:00Z"/>
        <d v="2022-08-05T00:00:00Z"/>
        <d v="2022-08-04T00:00:00Z"/>
        <d v="2022-08-02T00:00:00Z"/>
        <d v="2022-08-01T00:00:00Z"/>
        <d v="2022-07-31T00:00:00Z"/>
        <d v="2022-07-30T00:00:00Z"/>
        <d v="2022-07-29T00:00:00Z"/>
        <d v="2022-07-28T00:00:00Z"/>
        <d v="2022-07-27T00:00:00Z"/>
        <d v="2022-07-26T00:00:00Z"/>
        <d v="2022-07-25T00:00:00Z"/>
        <d v="2022-07-24T00:00:00Z"/>
        <d v="2022-07-23T00:00:00Z"/>
        <d v="2022-07-22T00:00:00Z"/>
        <d v="2022-07-21T00:00:00Z"/>
        <d v="2022-07-20T00:00:00Z"/>
        <d v="2022-07-19T00:00:00Z"/>
        <d v="2022-07-18T00:00:00Z"/>
        <d v="2022-07-17T00:00:00Z"/>
        <d v="2022-07-16T00:00:00Z"/>
        <d v="2022-07-15T00:00:00Z"/>
        <d v="2022-07-14T00:00:00Z"/>
        <d v="2022-07-13T00:00:00Z"/>
        <d v="2022-07-12T00:00:00Z"/>
        <d v="2022-07-11T00:00:00Z"/>
        <s v="Updated Jul 13, 2022"/>
        <d v="2022-07-10T00:00:00Z"/>
        <d v="2022-07-09T00:00:00Z"/>
        <d v="2022-07-08T00:00:00Z"/>
        <d v="2022-07-07T00:00:00Z"/>
        <d v="2022-07-06T00:00:00Z"/>
        <d v="2022-07-05T00:00:00Z"/>
        <d v="2022-07-04T00:00:00Z"/>
        <d v="2022-07-03T00:00:00Z"/>
        <d v="2022-07-02T00:00:00Z"/>
        <d v="2022-07-01T00:00:00Z"/>
        <d v="2022-06-30T00:00:00Z"/>
        <d v="2022-06-29T00:00:00Z"/>
        <d v="2022-06-28T00:00:00Z"/>
        <d v="2022-06-27T00:00:00Z"/>
        <d v="2022-06-26T00:00:00Z"/>
        <d v="2022-06-25T00:00:00Z"/>
        <d v="2022-06-24T00:00:00Z"/>
        <d v="2022-06-23T00:00:00Z"/>
        <d v="2022-06-22T00:00:00Z"/>
        <d v="2022-06-21T00:00:00Z"/>
        <d v="2022-06-20T00:00:00Z"/>
        <d v="2022-06-19T00:00:00Z"/>
        <d v="2022-06-18T00:00:00Z"/>
        <d v="2022-06-17T00:00:00Z"/>
        <d v="2022-06-16T00:00:00Z"/>
        <d v="2022-06-15T00:00:00Z"/>
        <d v="2022-06-14T00:00:00Z"/>
        <d v="2022-06-13T00:00:00Z"/>
        <d v="2022-06-12T00:00:00Z"/>
        <d v="2022-06-11T00:00:00Z"/>
        <d v="2022-06-10T00:00:00Z"/>
        <d v="2022-06-09T00:00:00Z"/>
        <d v="2022-06-08T00:00:00Z"/>
        <d v="2022-06-07T00:00:00Z"/>
        <d v="2022-06-06T00:00:00Z"/>
        <d v="2022-06-05T00:00:00Z"/>
        <d v="2022-06-04T00:00:00Z"/>
        <s v="Updated Jun 19, 2022"/>
        <d v="2022-06-03T00:00:00Z"/>
        <s v="Updated Jun 17, 2022"/>
        <d v="2022-06-02T00:00:00Z"/>
        <d v="2022-06-01T00:00:00Z"/>
        <d v="2022-05-31T00:00:00Z"/>
        <d v="2022-05-30T00:00:00Z"/>
        <d v="2022-05-29T00:00:00Z"/>
        <d v="2022-05-28T00:00:00Z"/>
        <d v="2022-05-27T00:00:00Z"/>
        <d v="2022-05-26T00:00:00Z"/>
        <d v="2022-05-25T00:00:00Z"/>
        <d v="2022-05-24T00:00:00Z"/>
        <d v="2022-05-23T00:00:00Z"/>
        <d v="2022-05-22T00:00:00Z"/>
        <d v="2022-05-21T00:00:00Z"/>
        <d v="2022-05-20T00:00:00Z"/>
        <d v="2022-05-19T00:00:00Z"/>
        <d v="2022-05-18T00:00:00Z"/>
        <d v="2022-05-17T00:00:00Z"/>
        <s v="Updated May 17, 2022"/>
        <d v="2022-05-16T00:00:00Z"/>
        <d v="2022-05-15T00:00:00Z"/>
        <d v="2022-05-14T00:00:00Z"/>
        <d v="2022-05-13T00:00:00Z"/>
        <d v="2022-05-12T00:00:00Z"/>
        <d v="2022-05-11T00:00:00Z"/>
        <d v="2022-05-10T00:00:00Z"/>
        <d v="2022-05-09T00:00:00Z"/>
        <d v="2022-05-08T00:00:00Z"/>
        <d v="2022-05-07T00:00:00Z"/>
        <d v="2022-05-06T00:00:00Z"/>
        <d v="2022-05-05T00:00:00Z"/>
        <d v="2022-05-04T00:00:00Z"/>
        <d v="2022-05-03T00:00:00Z"/>
        <d v="2022-05-02T00:00:00Z"/>
        <d v="2022-05-01T00:00:00Z"/>
        <d v="2022-04-30T00:00:00Z"/>
        <d v="2022-04-29T00:00:00Z"/>
        <d v="2022-04-28T00:00:00Z"/>
        <d v="2022-04-27T00:00:00Z"/>
        <d v="2022-04-26T00:00:00Z"/>
        <d v="2022-04-25T00:00:00Z"/>
        <d v="2022-04-24T00:00:00Z"/>
        <d v="2022-04-23T00:00:00Z"/>
        <s v="Updated Apr 23, 2022"/>
        <d v="2022-04-22T00:00:00Z"/>
        <d v="2022-04-21T00:00:00Z"/>
        <s v="Updated Apr 21, 2022"/>
        <d v="2022-04-20T00:00:00Z"/>
        <d v="2022-04-18T00:00:00Z"/>
        <d v="2022-04-17T00:00:00Z"/>
        <d v="2022-04-16T00:00:00Z"/>
        <d v="2022-04-15T00:00:00Z"/>
        <d v="2022-04-14T00:00:00Z"/>
        <d v="2022-04-13T00:00:00Z"/>
        <d v="2022-04-12T00:00:00Z"/>
        <d v="2022-04-11T00:00:00Z"/>
        <d v="2022-04-10T00:00:00Z"/>
        <d v="2022-04-09T00:00:00Z"/>
        <d v="2022-04-08T00:00:00Z"/>
        <d v="2022-04-07T00:00:00Z"/>
        <d v="2022-04-06T00:00:00Z"/>
        <d v="2022-04-05T00:00:00Z"/>
        <s v="Updated Apr 5, 2022"/>
        <d v="2022-04-04T00:00:00Z"/>
        <d v="2022-04-03T00:00:00Z"/>
        <d v="2022-04-02T00:00:00Z"/>
        <d v="2022-04-01T00:00:00Z"/>
        <d v="2022-03-31T00:00:00Z"/>
        <d v="2022-03-30T00:00:00Z"/>
        <d v="2022-03-29T00:00:00Z"/>
        <s v="Updated Mar 29, 2022"/>
        <d v="2022-03-28T00:00:00Z"/>
        <d v="2022-03-27T00:00:00Z"/>
        <d v="2022-03-26T00:00:00Z"/>
        <s v="Updated Mar 26, 2022"/>
        <d v="2022-03-25T00:00:00Z"/>
        <d v="2022-03-24T00:00:00Z"/>
        <d v="2022-03-23T00:00:00Z"/>
        <d v="2022-03-22T00:00:00Z"/>
        <d v="2022-03-21T00:00:00Z"/>
        <d v="2022-03-20T00:00:00Z"/>
        <d v="2022-03-19T00:00:00Z"/>
        <d v="2022-03-18T00:00:00Z"/>
        <d v="2022-03-17T00:00:00Z"/>
        <d v="2022-03-16T00:00:00Z"/>
        <d v="2022-03-15T00:00:00Z"/>
        <d v="2022-03-14T00:00:00Z"/>
        <d v="2022-03-13T00:00:00Z"/>
        <d v="2022-03-12T00:00:00Z"/>
        <d v="2022-03-11T00:00:00Z"/>
        <d v="2022-03-10T00:00:00Z"/>
        <d v="2022-03-09T00:00:00Z"/>
        <d v="2022-03-08T00:00:00Z"/>
        <s v="Updated Mar 8, 2022"/>
        <d v="2022-03-07T00:00:00Z"/>
        <d v="2022-03-06T00:00:00Z"/>
        <d v="2022-03-05T00:00:00Z"/>
        <d v="2022-03-04T00:00:00Z"/>
        <d v="2022-03-03T00:00:00Z"/>
        <d v="2022-03-02T00:00:00Z"/>
        <d v="2022-03-01T00:00:00Z"/>
        <d v="2022-02-28T00:00:00Z"/>
        <d v="2022-02-27T00:00:00Z"/>
        <s v="Updated Feb 27, 2022"/>
        <d v="2022-02-26T00:00:00Z"/>
        <d v="2022-02-25T00:00:00Z"/>
        <d v="2022-02-24T00:00:00Z"/>
        <d v="2022-02-23T00:00:00Z"/>
        <d v="2022-02-22T00:00:00Z"/>
        <d v="2022-02-21T00:00:00Z"/>
        <d v="2022-02-20T00:00:00Z"/>
        <d v="2022-02-19T00:00:00Z"/>
        <d v="2022-02-18T00:00:00Z"/>
        <d v="2022-02-17T00:00:00Z"/>
        <d v="2022-02-16T00:00:00Z"/>
        <d v="2022-02-15T00:00:00Z"/>
        <s v="Updated Feb 15, 2022"/>
        <d v="2022-02-14T00:00:00Z"/>
        <s v="Updated Mar 9, 2023"/>
        <d v="2022-02-13T00:00:00Z"/>
        <d v="2022-02-12T00:00:00Z"/>
        <d v="2022-02-11T00:00:00Z"/>
        <d v="2022-02-10T00:00:00Z"/>
        <d v="2022-02-09T00:00:00Z"/>
        <d v="2022-02-08T00:00:00Z"/>
        <d v="2022-02-07T00:00:00Z"/>
        <d v="2022-02-06T00:00:00Z"/>
        <d v="2022-02-05T00:00:00Z"/>
        <d v="2022-02-04T00:00:00Z"/>
        <d v="2022-02-03T00:00:00Z"/>
        <d v="2022-02-02T00:00:00Z"/>
        <d v="2022-02-01T00:00:00Z"/>
        <d v="2022-01-31T00:00:00Z"/>
        <d v="2022-01-30T00:00:00Z"/>
        <d v="2022-01-29T00:00:00Z"/>
        <d v="2022-01-28T00:00:00Z"/>
        <s v="Updated Jan 28, 2022"/>
        <d v="2022-01-27T00:00:00Z"/>
        <d v="2022-01-26T00:00:00Z"/>
        <d v="2022-01-25T00:00:00Z"/>
        <s v="Updated Jan 25, 2022"/>
        <d v="2022-01-24T00:00:00Z"/>
        <d v="2022-01-23T00:00:00Z"/>
        <d v="2022-01-22T00:00:00Z"/>
        <d v="2022-01-21T00:00:00Z"/>
        <d v="2022-01-20T00:00:00Z"/>
        <d v="2022-01-19T00:00:00Z"/>
        <d v="2022-01-18T00:00:00Z"/>
        <d v="2022-01-17T00:00:00Z"/>
        <s v="Updated Jan 31, 2022"/>
        <d v="2022-01-16T00:00:00Z"/>
        <d v="2022-01-15T00:00:00Z"/>
        <d v="2022-01-14T00:00:00Z"/>
        <d v="2022-01-13T00:00:00Z"/>
        <d v="2022-01-12T00:00:00Z"/>
        <d v="2022-01-11T00:00:00Z"/>
        <d v="2022-01-10T00:00:00Z"/>
        <d v="2022-01-09T00:00:00Z"/>
        <d v="2022-01-08T00:00:00Z"/>
        <d v="2022-01-07T00:00:00Z"/>
        <d v="2022-01-05T00:00:00Z"/>
        <d v="2022-01-04T00:00:00Z"/>
        <d v="2022-01-03T00:00:00Z"/>
        <d v="2022-01-02T00:00:00Z"/>
        <d v="2022-01-01T00:00:00Z"/>
        <d v="2021-12-31T00:00:00Z"/>
        <d v="2021-12-30T00:00:00Z"/>
        <d v="2021-12-29T00:00:00Z"/>
        <d v="2021-12-28T00:00:00Z"/>
        <d v="2021-12-27T00:00:00Z"/>
        <d v="2021-12-26T00:00:00Z"/>
        <d v="2021-12-25T00:00:00Z"/>
        <d v="2021-12-24T00:00:00Z"/>
        <d v="2021-12-23T00:00:00Z"/>
        <d v="2021-12-22T00:00:00Z"/>
        <d v="2021-12-21T00:00:00Z"/>
        <d v="2021-12-20T00:00:00Z"/>
        <s v="Updated Dec 20, 2021"/>
        <d v="2021-12-19T00:00:00Z"/>
        <d v="2021-12-18T00:00:00Z"/>
        <d v="2021-12-17T00:00:00Z"/>
        <d v="2021-12-16T00:00:00Z"/>
        <d v="2021-12-15T00:00:00Z"/>
        <d v="2021-12-14T00:00:00Z"/>
        <d v="2021-12-13T00:00:00Z"/>
        <d v="2021-12-11T00:00:00Z"/>
        <d v="2021-12-10T00:00:00Z"/>
        <d v="2021-12-09T00:00:00Z"/>
        <d v="2021-12-08T00:00:00Z"/>
        <s v="Updated Dec 8, 2021"/>
        <d v="2021-12-07T00:00:00Z"/>
        <d v="2021-12-06T00:00:00Z"/>
        <s v="Updated Dec 6, 2021"/>
        <d v="2021-12-05T00:00:00Z"/>
        <d v="2021-12-04T00:00:00Z"/>
        <d v="2021-12-03T00:00:00Z"/>
        <d v="2021-12-02T00:00:00Z"/>
        <d v="2021-12-01T00:00:00Z"/>
        <d v="2021-11-30T00:00:00Z"/>
        <d v="2021-11-29T00:00:00Z"/>
        <d v="2021-11-28T00:00:00Z"/>
        <d v="2021-11-26T00:00:00Z"/>
        <d v="2021-11-25T00:00:00Z"/>
        <d v="2021-11-18T00:00:00Z"/>
        <d v="2021-11-17T00:00:00Z"/>
        <d v="2021-11-16T00:00:00Z"/>
        <s v="Updated Nov 16, 2021"/>
        <d v="2021-11-15T00:00:00Z"/>
        <d v="2021-11-14T00:00:00Z"/>
        <s v="Updated Nov 13, 2021"/>
        <d v="2021-11-13T00:00:00Z"/>
        <d v="2021-11-12T00:00:00Z"/>
        <d v="2021-11-11T00:00:00Z"/>
        <d v="2021-11-10T00:00:00Z"/>
        <d v="2021-11-09T00:00:00Z"/>
        <d v="2021-11-08T00:00:00Z"/>
        <d v="2021-11-07T00:00:00Z"/>
        <s v="Updated Nov 7, 2021"/>
        <d v="2021-11-06T00:00:00Z"/>
        <d v="2021-11-05T00:00:00Z"/>
        <s v="Updated Nov 3, 2021"/>
        <d v="2021-11-03T00:00:00Z"/>
        <d v="2021-11-02T00:00:00Z"/>
        <d v="2021-11-01T00:00:00Z"/>
        <s v="Updated Nov 1, 2021"/>
        <d v="2021-10-31T00:00:00Z"/>
        <d v="2021-10-30T00:00:00Z"/>
        <d v="2021-10-29T00:00:00Z"/>
        <d v="2021-10-28T00:00:00Z"/>
        <s v="Updated Oct 28, 2021"/>
        <d v="2021-10-27T00:00:00Z"/>
        <d v="2021-10-26T00:00:00Z"/>
        <d v="2021-10-25T00:00:00Z"/>
        <d v="2021-10-24T00:00:00Z"/>
        <d v="2021-10-23T00:00:00Z"/>
        <d v="2021-10-22T00:00:00Z"/>
        <d v="2021-10-21T00:00:00Z"/>
        <s v="Updated Oct 21, 2021"/>
        <d v="2021-10-20T00:00:00Z"/>
        <d v="2021-10-19T00:00:00Z"/>
        <d v="2021-10-18T00:00:00Z"/>
        <d v="2021-10-17T00:00:00Z"/>
        <d v="2021-10-16T00:00:00Z"/>
        <s v="Updated Oct 16, 2021"/>
        <d v="2021-10-15T00:00:00Z"/>
        <d v="2021-10-14T00:00:00Z"/>
        <d v="2021-10-13T00:00:00Z"/>
        <d v="2021-10-12T00:00:00Z"/>
        <d v="2021-10-11T00:00:00Z"/>
        <d v="2021-10-10T00:00:00Z"/>
        <d v="2021-10-09T00:00:00Z"/>
        <d v="2021-10-08T00:00:00Z"/>
        <d v="2021-10-07T00:00:00Z"/>
        <d v="2021-10-06T00:00:00Z"/>
        <d v="2021-10-05T00:00:00Z"/>
        <d v="2021-10-04T00:00:00Z"/>
      </sharedItems>
    </cacheField>
    <cacheField name="head line">
      <sharedItems containsDate="1" containsMixedTypes="1">
        <s v="Value added online retailer"/>
        <s v="Arm and Hammer litter"/>
        <s v="I have been with them since 2013 and my…"/>
        <s v="In Stock at PetFlow !"/>
        <s v="I received a damaged pet food bag and…"/>
        <s v="This is the second time I have received…"/>
        <s v="The company was very responsive to…"/>
        <s v="Ordered dog food and 5 days later no…"/>
        <s v="The people there if contacted go up and…"/>
        <s v="Great Service"/>
        <s v="First-time customer"/>
        <s v="Great value and fast delivery!"/>
        <s v="Good product"/>
        <s v="I have had a great experience with…"/>
        <s v="I had to change my password the past…"/>
        <s v="I was surprised to be able to talk to…"/>
        <s v="Fromm artisan quality"/>
        <s v="Good service"/>
        <s v="Good experience"/>
        <s v="One of the best things I love besides…"/>
        <s v="Helpful"/>
        <s v="Really pleasant"/>
        <s v="Horrible online ordering experience"/>
        <s v="My first experience was terrible"/>
        <s v="Cannot cancel an auto ship online"/>
        <s v="First transaction great, downhill after that…"/>
        <s v="I placed an order on May 10th-updates…"/>
        <s v="I just discovered petflow"/>
        <s v="The items I ordered were exactly what I…"/>
        <s v="Very dissatisfied"/>
        <s v="When was important to me was how quick they checked. They told me that he was out of stock and various things but it is difficult to get this particular trees that I would like to have soon."/>
        <s v="FedEx delivery date inaccurate"/>
        <s v="Great service!"/>
        <s v="Petflow is the only place I can find…"/>
        <s v="It was able to order easily"/>
        <s v="Excellent price"/>
        <s v="My New &quot;Go To&quot; Online!"/>
        <s v="The items were received in a timely…"/>
        <s v="Best selections, fast shipping, and best prices!"/>
        <s v="I had a very friendly young lady help…"/>
        <s v="The customer service is outstanding"/>
        <s v="This is the second time that I’ve been…"/>
        <s v="There was an issue with shipping and…"/>
        <s v="I had an issue with shipping damage"/>
        <s v="I placed my order on the 3rd of May"/>
        <s v="Just discovered this company"/>
        <s v="PetFlow has always been great with…"/>
        <s v="My order arrived later than expected…"/>
        <s v="The Person was very kind"/>
        <s v="Great prices"/>
        <s v="We can count on Pet Flow delivery…"/>
        <s v="Very good prices and the product…"/>
        <s v="Great customer service"/>
        <s v="Great product!"/>
        <s v="Discount mysteriously disappeared"/>
        <s v="You bet everyone elses prices"/>
        <s v="The web site is difficult to navigate"/>
        <s v="Petflow had the dog food product I was…"/>
        <s v="Poor customer service!!!"/>
        <s v="3 days since I placed my order online"/>
        <s v="Snarky customer service"/>
        <s v="Shipping took way longer than Chewy's…"/>
        <s v="my credit card is always getting…"/>
        <s v="The price was right"/>
        <s v="All items arrived within a few days…"/>
        <s v="Not very Satisfied"/>
        <s v="Room to improve"/>
        <s v="I have had two auto shipments of dog…"/>
        <s v="The shipping was by slow boat"/>
        <s v="Always fair price and prompt shipping…"/>
        <s v="It was very helpful to have that…"/>
        <s v="Great Place to Shop"/>
        <s v="The shipping is literally always late"/>
        <s v="Quick delivery of a hard-to-find…"/>
        <s v="Use Google incognito"/>
        <s v="I ordered a case of 12 cans of dog…"/>
        <s v="Great Prices and Quick Delkivery and Customer Service"/>
        <s v="We needed dog food ASAP so Petflow to…"/>
        <s v="Easy to order and delivered in a timely…"/>
        <s v="Excellent experience"/>
        <s v="Good prices and selections and fast…"/>
        <s v="I made a mistake on my order and…"/>
        <s v="Always willing to put up with my…"/>
        <s v="Never [dis]dissappointed"/>
        <s v="Shipped from Nevada to Ohio then back…"/>
        <s v="I love the connivence of having my…"/>
        <s v="Great customer support!"/>
        <s v="Prices are awesome and super fast…"/>
        <s v="YES!"/>
        <s v="Everything was great as always,very…"/>
        <s v="Extremely fast processing and delivery"/>
        <s v="I did not get my dog food"/>
        <s v="I love pet flow"/>
        <s v="I bought large bags of Open Farm food…"/>
        <s v="I love this food for my schipperke"/>
        <s v="easy to work with and fast delivery time"/>
        <s v="Great products and service!"/>
        <s v="Reasonably priced Fromm dry dog food"/>
        <s v="Petflow had the product I needed"/>
        <s v="Quick"/>
        <s v="A very smooth and seamless process to…"/>
        <s v="Easy to order and I received the…"/>
        <s v="Hard to find dog food at a good price…"/>
        <s v="Easy to order --wide variety of product…"/>
        <s v="A Good Experience"/>
        <s v="Can't beat the prices!"/>
        <s v="Great prices and loved the free…"/>
        <s v="Highly recommended thank you guys for…"/>
        <s v="Damaged products"/>
        <s v="Not easy to put together,but it works great!"/>
        <s v="Pet Flow was very good about my special…"/>
        <s v="Always a problem."/>
        <s v="Had a problem with my order duplicate…"/>
        <s v="My order came with 4 cans dented out of…"/>
        <s v="Good company to order"/>
        <s v="You had the items I wanted at a good…"/>
        <s v="Easy to sign up and courteous staff"/>
        <s v="Consistently good service"/>
        <s v="Correction of mistake"/>
        <s v="Always get anything I order on a timely…"/>
        <s v="The prices were extremely competitive"/>
        <s v="I have yet to get my order"/>
        <s v="Best value for bully sticks"/>
        <s v="I received what I ordered pronto"/>
        <s v="Great First Experience"/>
        <s v="Will be back for more!"/>
        <s v="Quick shipping and a great price"/>
        <s v="Super fast shipping awesome and…"/>
        <s v="Great communication w/ frequent updates"/>
        <s v="Good site"/>
        <s v="Fast shipping"/>
        <s v="It's a great product and the family dog…"/>
        <s v="everything was simple and fast delivery"/>
        <s v="NEVER Buy Canned Food from PetFlow"/>
        <s v="Order came just as promised"/>
        <s v="Best price"/>
        <s v="Good prices, large selection"/>
        <s v="Super fast shipping"/>
        <s v="As I said before"/>
        <s v="wonderful to find Natural Balance…"/>
        <s v="Package was never delivered (10 days…"/>
        <s v="Easy ordering, fast shipping"/>
        <s v="Fantastic and Fabulous"/>
        <s v="Good quality and quick delivery"/>
        <s v="I received my order promptly"/>
        <s v="cans damaged"/>
        <s v="User friendly online shopping experience"/>
        <s v="I was pleased with the prices and the…"/>
        <s v="Quick delivery on great product at a…"/>
        <s v="Great customer service and fast shipping"/>
        <s v="Got what I ordered &amp; it was delivered…"/>
        <s v="delivery times have gotten worse."/>
        <s v="Pet flow had an out of stock item we…"/>
        <s v="Love the products and fast service!"/>
        <s v="Ease of purchase and speed of delivery"/>
        <s v="Great prices and free fast shipping"/>
        <s v="Great parrot feed!"/>
        <s v="Easy to place an order"/>
        <s v="Easy ordering process and fast shipping!"/>
        <s v="Free and fast shipping."/>
        <s v="Good customer service"/>
        <s v="I always get good service at a good…"/>
        <s v="Good price"/>
        <s v="Great company"/>
        <s v="Everything was perfect"/>
        <s v="Great products &amp; prices!"/>
        <s v="Ordered and you didn’t have in stock"/>
        <s v="Easy to order at a fair price for this…"/>
        <s v="Order was on time and complete."/>
        <s v="Easy to place order"/>
        <s v="Positive!"/>
        <s v="Fast professional great!"/>
        <s v="dog food"/>
        <s v="Love the product"/>
        <s v="Quick and reliable"/>
        <s v="Very quick fulfillment and shipping"/>
        <s v="Mallory was awesome."/>
        <s v="Good"/>
        <s v="Good fresh food"/>
        <s v="You had what I wanted and you got it to…"/>
        <s v="Shipping takes too long"/>
        <s v="You had the product that I needed and…"/>
        <s v="Great prices and good dog food brands."/>
        <s v="Great bones shipping speed"/>
        <s v="Easy online ordering with fast delivery."/>
        <s v="Received order when expected"/>
        <s v="service"/>
        <s v="Easy ordering experience"/>
        <s v="It’s good"/>
        <s v="Consistently great buying experience."/>
        <s v="Fast and easy"/>
        <s v="Quick and efficient customer service."/>
        <s v="Competitive pricing and fast delivery!"/>
        <s v="Great prices!"/>
        <s v="Fast delivery of what we needed"/>
        <s v="Ordering and customer service"/>
        <s v="I am committed to feeding my cat the…"/>
        <s v="Awful online experience - confusing and antiquated"/>
        <s v="Always fast service"/>
        <s v="Great service &amp; pricing"/>
        <s v="Incompetent and Unreliable"/>
        <s v="Excellent customer service"/>
        <s v="I found what I needed quickly"/>
        <s v="Easy order, received in timely manner"/>
        <s v="My order came fast"/>
        <s v="Best prices anywhere and great…"/>
        <s v="Good but packaging poor"/>
        <s v="Shipping restrictions"/>
        <s v="The website is very easy to navigate"/>
        <s v="Petflow is great!…"/>
        <s v="Good selection of cat foods"/>
        <s v="Better value"/>
        <s v="They are very responsive"/>
        <s v="Fedex failed to deliver package even…"/>
        <s v="Timely orders"/>
        <s v="Great prices and service"/>
        <s v="They gave me a credit because something…"/>
        <s v="Very good…"/>
        <s v="The company delivers promptly."/>
        <s v="Tried Chewy"/>
        <s v="Dog Food Etc"/>
        <s v="Lowest price I could find"/>
        <s v="Thank you very much"/>
        <s v="Always good products"/>
        <s v="I received the packages in good shape…"/>
        <s v="Efficient process and speedy delivery."/>
        <s v="Had to call in because of recent c card…"/>
        <s v="Great service."/>
        <s v="I never received the order."/>
        <s v="GOOD PRICES"/>
        <s v="I can change the order and they always…"/>
        <s v="That it got delivered in time and your…"/>
        <s v="Theyon time and a reasonable price got my order out to me in a timely…"/>
        <s v="Small litter pans at the lowest price!"/>
        <s v="Totally satisfied with product and the purchasing process."/>
        <s v="Understanding the PetFlow auto ship system"/>
        <s v="We appreciate your efforts to keep…"/>
        <s v="Great customer service!"/>
        <s v="Prescription food"/>
        <s v="The Auto Ship is a lifesaver"/>
        <s v="They are still bothering my vet for a…"/>
        <s v="1BETTER THAN CHEWY!"/>
        <s v="I got what i order and when was suppost…"/>
        <s v="Reliable &amp; easy ordering and quick…"/>
        <s v="Great Finds"/>
        <s v="I was very pleased about the shipping…"/>
        <s v="Fast shipping was provided"/>
        <s v="Love the large Guinea pig house"/>
        <s v="Quick shipping and easy website....cost…"/>
        <s v="Rapid response"/>
        <s v="First time customer"/>
        <s v="Packaging needs improvement"/>
        <s v="Very professional and my orders are…"/>
        <s v="New customer"/>
        <s v="Preformed as Advertized"/>
        <s v="Poor Service"/>
        <s v="A better value than their competitors…"/>
        <s v="Had my product in stock"/>
        <s v="Always fast"/>
        <s v="Glad I Found Pet Flow"/>
        <s v="My order was processed and shipped…"/>
        <s v="Prices are comparable and free delivery…"/>
        <s v="So happy to get my very hard to find…"/>
        <s v="We like ordering from PetFlow"/>
        <s v="Easy to order and it shipped quickly…"/>
        <s v="Excellent! So easy to order online &amp; was quickly…"/>
        <s v="I like that I was able to find food for…"/>
        <s v="Delivery usually on time and what you need."/>
        <s v="Excellent service and price. What can I say...every order is on…"/>
        <s v="Cheaper than chewy"/>
        <s v="Never no discount or coupon for Fromm…"/>
        <s v="You see brands of dog food other…"/>
        <s v="Love the sales that Petflow sometimes…"/>
        <s v="I called for help with an order and…"/>
        <s v="real customer service"/>
        <s v="Fast reliable"/>
        <s v="Whenever I have a problem it's always…"/>
        <s v="The company is easy to work with"/>
        <s v="I got my order on time and it was less…"/>
        <s v="Fast and easy to shop and order"/>
        <s v="You have a toy that my dog loves"/>
        <s v="Do not recommend"/>
        <s v="Better prices than Chewy"/>
        <s v="fine, but tired of reviewing everybody"/>
        <s v="Ordered twice and order was canceled…"/>
        <s v="Excellent quick delivery"/>
        <s v="quality feed prompt service fair price"/>
        <s v="When the item was ordered"/>
        <s v="Fast delivery and great products"/>
        <s v="Immediate Response"/>
        <s v="PetFlow's customer service is great!"/>
        <s v="Ordering from their website is easy and…"/>
        <s v="Well it all started with me not…"/>
        <s v="Loving Fur Babies parent"/>
        <s v="Best for price and delivery"/>
        <s v="If I could give a rating of zero stars…"/>
        <s v="Easy to use website"/>
        <s v="PetFlow features fast food for fuss pot cat."/>
        <s v="The delivery was delayed"/>
        <s v="Great company for my needs"/>
        <s v="Dog Mom"/>
        <s v="Easy to order on line"/>
        <s v="Good Products and Helpful Employees"/>
        <s v="PetFlow has lost me has a customer"/>
        <s v="Great customer service."/>
        <s v="I’ve been ordering from for my chihuahuas since he was a puppy, and he is now two years old"/>
        <s v="Amazing company that I’m glad I found"/>
        <s v="Petflow had the best overall price…"/>
        <s v="Cheaper than Amazon."/>
        <s v="No problems"/>
        <s v="Great service and price."/>
        <s v="WE NEVER RECEIVED THIS ORDER!!!"/>
        <s v="Quick delivery and good value."/>
        <s v="Product arrived quickly as I was…"/>
        <s v="Speedy Delivery My order for my precious pets arrived…"/>
        <s v="Entertaining Squeaky Toy…"/>
        <s v="Fast delivery and Fair-priced"/>
        <s v="PetFlow had all information."/>
        <s v="Delivery take too long"/>
        <s v="Great Product and a Great Price"/>
        <s v="Easy to order"/>
        <s v="Amazingly fast shipping"/>
        <s v="Very Good Experience"/>
        <s v="The convenience of having products…"/>
        <s v="The order was filled quickly and…"/>
        <s v="The items I needed were IN STOCK when I…"/>
        <s v="Part of my order was incorrect but they…"/>
        <s v="I found the dog food I needed for an…"/>
        <s v="I was hesitant after I made the…"/>
        <s v="Fast shipping and lower prices than…"/>
        <s v="They corrected a bad experience."/>
        <s v="Happy!"/>
        <s v="The wrong dog bowls were sent"/>
        <s v="pet flow 4 8 23"/>
        <s v="Love them!"/>
        <s v="Prompt delivery, perfect condition"/>
        <s v="Came timely!"/>
        <s v="Company is very nice to deal with."/>
        <s v="Ordered prescription food for my…"/>
        <s v="Wonderful company"/>
        <s v="Great pricing"/>
        <s v="Ordering was easy and the shipping was…"/>
        <s v="Love PetFlow"/>
        <s v="PetFlow website is easy to navigate"/>
        <s v="Sitejabber Website Reviews and…"/>
        <s v="Fast delivery"/>
        <s v="I ordered my dog's food and it came…"/>
        <s v="Was happy to give our new puppy the food…"/>
        <s v="Fast easy service"/>
        <s v="My order experience was great!"/>
        <s v="My order hasn’t been shipped after over…"/>
        <s v="Excellent Items"/>
        <s v="Great Variety, Prices and Prompt Shipment!"/>
        <s v="Very nice and quick with my order…"/>
        <s v="Been ordering from PetFlow for a few…"/>
        <s v="My first time with PetFlow"/>
        <s v="Never received dog food."/>
        <s v="Always a positive experience"/>
        <s v="Quick delivery"/>
        <s v="REPRESENTATIVES ARE VERY UNDERSTANDING…"/>
        <s v="Rep always gets back to me immediately."/>
        <s v="Not great but went okay."/>
        <s v="you have decent prices"/>
        <s v="Happy Willow, happy Fern!!!"/>
        <s v="Love Pet Flow..been using them for 8…"/>
        <s v="Scammed and never ordered"/>
        <s v="Petflow is amazing"/>
        <s v="All of my experiences with PetFlow are…"/>
        <s v="Payment glitches, long waits with Call Centre"/>
        <s v="Very quick delivery and high quality…"/>
        <s v="You should have known when I placed my…"/>
        <s v="Great experience!!!!!!"/>
        <s v="Shipping was quick"/>
        <s v="If I could give you a 0 star I would"/>
        <s v="BUYER BEWARE!!"/>
        <s v="quick service"/>
        <s v="I have not received my product"/>
        <s v="I still have not received my order."/>
        <s v="Best price I have found for Dog Food"/>
        <s v="Web site"/>
        <s v="PetFlow has food and toys my dogs love"/>
        <s v="Customer service is awesome"/>
        <s v="Super delivered my home the price is…"/>
        <s v="Very helpful polite phone staff"/>
        <s v="Locked out of website, orders not shipped"/>
        <s v="The Ebb and Flow Of PetFlow's CSR's"/>
        <s v="Very good overall"/>
        <s v="Came quickly and efficiently"/>
        <s v="Great Service from PetFlow"/>
        <s v="Canceled my orders without notification"/>
        <s v="Terrific service."/>
        <s v="My dogs were having an allergy attack…"/>
        <s v="Fast shipping and amazing value"/>
        <s v="Pet Flow gets it right."/>
        <s v="They had the product I needed at a…"/>
        <s v="Order Cancelled???"/>
        <s v="Ordering was very easy and cost was…"/>
        <s v="Pet Flow"/>
        <s v="My order was canceled"/>
        <s v="Great Pet Products and Quick Delivery"/>
        <s v="Shame on PETFLOW!"/>
        <s v="First time purchase, terrible experience"/>
        <s v="I did not order anything but received…"/>
        <s v="My cats store"/>
        <s v="PetFlow is the best"/>
        <s v="I never placed an order with you but my…"/>
        <s v="Prices are very competitive"/>
        <s v="Great price with opportunity to get…"/>
        <s v="I still haven’t received my order…"/>
        <s v="pleased with this company"/>
        <s v="Easy, fast, and best price!"/>
        <s v="Good products at good prices delivered…"/>
        <s v="Very good service!!"/>
        <s v="Shipment 3 different times"/>
        <s v="Great service with Speed."/>
        <s v="Order canceled for no reason or notice…"/>
        <s v="Great Prices Fast delivery"/>
        <s v="Did not like that I buy a membership in…"/>
        <s v="Left product out by the street in the…"/>
        <s v="I ordered some Guinea pig food and the…"/>
        <s v="Dry dog foods."/>
        <s v="I had been looking for best auto ship…"/>
        <s v="I ordered dog food to be sent to my…"/>
        <s v="I always did love PetFlow"/>
        <s v="Account flagged as fraud"/>
        <s v="REAL Customer Service Reps"/>
        <s v="Website takes too long to navigate."/>
        <s v="Great prices fast shipping only…"/>
        <s v="This is a fake account"/>
        <s v="friendly competent person that took…"/>
        <s v="The 1 star may or may not be fair"/>
        <s v="Horrible."/>
        <s v="The round cat scratcher fitted perfectly"/>
        <s v="Not sure why but I had a monthly…"/>
        <s v="Easy online ordering and product came…"/>
        <s v="Pricing"/>
        <s v="we received a shipment from petflow and…"/>
        <s v="I keep getting emails about orders I…"/>
        <s v="Excellent service"/>
        <s v="This was a fraudulent purchase"/>
        <s v="The first time I used the automatic dog…"/>
        <s v="My purchased was flagged and canceled.I…"/>
        <s v="Ordered 3 times from Petflow"/>
        <s v="Too Heavy!"/>
        <s v="I am getting emails about orders I did…"/>
        <s v="Poor delivery time"/>
        <s v="Amazing experience."/>
        <s v="Delivered as PeomisedProduct was delivered as promised."/>
        <s v="Pet Flow is my Go To for pet food"/>
        <s v="Easy to use App for ordering and always…"/>
        <s v="Have had very good experience with…"/>
        <s v="price was much better than most other…"/>
        <s v="Quick reliable service"/>
        <s v="I love the convenience auto ship"/>
        <s v="I have never shopped with you guys…"/>
        <s v="First time purchasing"/>
        <s v="A good place to find a variety of food for your dog"/>
        <s v="Packaging is unsafe and unreliable"/>
        <s v="Easy website to use and prompt shipping."/>
        <s v="I am happily impressed with the…"/>
        <s v="EXCEEDINGLY EXPENSIVE!"/>
        <s v="Excellent service!"/>
        <s v="Pleased"/>
        <s v="Great quality products and very quick…"/>
        <s v="I bought the Kong monster balls for our Beagle …"/>
        <s v="Your two representatives"/>
        <s v="You cancelled my order because I made…"/>
        <s v="My dogs most favorite treats are…"/>
        <s v="Prices are good however, cans were damaged upon delivery"/>
        <s v="Fast shipping and prices in line with…"/>
        <s v="Great selection and price"/>
        <s v="Had never heard of this company before…"/>
        <s v="Great prices - Great service!"/>
        <s v="Try 'em, they're GREAT!"/>
        <s v="Best price anywhere and fast shipping"/>
        <s v="My first order was cancelled in error…"/>
        <s v="it only took 3 days to get my order!"/>
        <s v="Great communication"/>
        <s v="Great experience"/>
        <s v="Prices are good"/>
        <s v="I added a few things to my cart and…"/>
        <s v="Took forever to get my dog food."/>
        <s v="Very slow service!"/>
        <s v="I haven’t received the order after two…"/>
        <s v="PetFlow definitely had the best price…"/>
        <s v="My Go-To Online Pet Supply Store"/>
        <s v="Best prices that I’ve found"/>
        <s v="Ordered it and it got here"/>
        <s v="Lucky Find"/>
        <s v="I know that the road conditions for my…"/>
        <s v="Exactly what I ordered."/>
        <s v="Caution"/>
        <s v="My first was experience was excellent overall!"/>
        <s v="Your website is very intrusive and hard…"/>
        <s v="Highly recommend this company"/>
        <s v="PetFlow has such a variety of options…"/>
        <s v="Price and customer service was good"/>
        <s v="Great compant with quality products"/>
        <s v="Low prices"/>
        <s v="Quick &amp; Accurate"/>
        <s v="I received the dog food I ordered in a…"/>
        <s v="Fast shipping on hard to find item"/>
        <s v="Frequent customer"/>
        <s v="Order #: 10895458"/>
        <s v="Customer focused great cat food"/>
        <s v="Fast shipping and great products"/>
        <s v="Item was priced very fairly"/>
        <s v="When I got my package I found that I…"/>
        <s v="Excellent cs"/>
        <s v="Remove my email address from your records"/>
        <s v="Lots of finger pointing between my vet…"/>
        <s v="It was easy to find the product and…"/>
        <s v="It arrived in time no delays or hiccups…"/>
        <s v="Internet Pond Fish are happy and love Pet Flow…"/>
        <s v="Pedro's Mom"/>
        <s v="Thank you for excellent customer…"/>
        <s v="Constant account hacks"/>
        <s v="My account was hacked and my credit…"/>
        <s v="Great online pet products store"/>
        <s v="Good prices and fast delivery"/>
        <s v="Excellent product. Shipping is quick."/>
        <s v="The wrong product was shipped and…"/>
        <s v="Pet flow is the most awesome online pet…"/>
        <s v="Fast shipping great prices great quality"/>
        <s v="Excellent PETFLOW is the best"/>
        <s v="package and order was ok just left at…"/>
        <s v="I have always had good service from…"/>
        <s v="Made the Switch"/>
        <s v="Came in a timely manner"/>
        <s v="Good prices and customer service, but not great shipping"/>
        <s v="Very hard to work with even though I…"/>
        <s v="Ease of ordering and modifying my auto…"/>
        <s v="All of the information you need to fill…"/>
        <s v="Terrible Service"/>
        <s v="everything came quickly"/>
        <s v="I am getting emails telling me that my…"/>
        <s v="Thank you!"/>
        <s v="They randomly canceled my order"/>
        <s v="Every time I have called"/>
        <s v="Good reply in customer service support."/>
        <s v="Pleasant experience!"/>
        <s v="Always works perfectly...order online"/>
        <s v="It was real fast service to get the bag…"/>
        <s v="It was great to receive dog food in…"/>
        <s v="I ordered two cases of Merrick Grain…"/>
        <s v="Although I received an email stating my…"/>
        <s v="Great Service ships on time"/>
        <s v="This account was supposed to be closed…"/>
        <s v="Very good prices on the dog food we…"/>
        <s v="My e mail is bein used through your…"/>
        <s v="Fast efficient delivery of a difficult…"/>
        <s v="My account was hacked and charges were…"/>
        <s v="I have been dealing with your company…"/>
        <s v="Out of stock items"/>
        <s v="Mr. Bigdog"/>
        <s v="Outstanding Customer Service reps"/>
        <s v="What a great place to shop for dog…"/>
        <s v="There is a glitch in your system"/>
        <s v="Prices were great"/>
        <s v="Twice now I’ve relied on Petflow to…"/>
        <s v="Asked me to review a fraudulent order"/>
        <s v="PetFlow has ALL your pet needs!"/>
        <s v="Great selection"/>
        <s v="Good prices and quick"/>
        <s v="PRICES AND SPEEDY SHIPPING IS THE BEST"/>
        <s v="The Order are getting canceled"/>
        <s v="Good prices and service"/>
        <s v="Petflow is a great place"/>
        <s v="I screwed up my order and Mikaila fixed…"/>
        <s v="PetFlow is always great!"/>
        <s v="Even though I have complained before…"/>
        <s v="I got a great deal on a great product!"/>
        <s v="Once I have items in cart ordering is easy. Would be nice to be able to order previously ordered items again."/>
        <s v="Easy"/>
        <s v="I love that you donate a meal to a…"/>
        <s v="Walter"/>
        <s v="Order was never received"/>
        <s v="Shipping seems to take a bit longer…"/>
        <s v="SCAM ORDER"/>
        <s v="I'm so glad you asked"/>
        <s v="Mallory was AWESOME!"/>
        <s v="This is the first time I've ordered…"/>
        <s v="Love the fact it’s cheaper"/>
        <s v="I was looking for that specific dog…"/>
        <s v="We bought dog food online."/>
        <s v="Simply the BEST."/>
        <s v="My dogs love this food"/>
        <s v="You send me a survey link yet I still…"/>
        <s v="No matter what I order, it's out of stock"/>
        <s v="Delivery was on time and as instructed."/>
        <s v="Reliable"/>
        <s v="Everything I order was right and I get…"/>
        <s v="Easy ordering"/>
        <s v="I had recently ordered food from Pat…"/>
        <s v="YEAH, PETFLOW!"/>
        <s v="BEWARE OF AUTO SHIP CANT CANCEL"/>
        <s v="Products"/>
        <s v="My dog food that is on automatic order"/>
        <s v="It took over ONE week to get my order…"/>
        <s v="I requested few times to add more…"/>
        <s v="Still not delivered on the 28th."/>
        <s v="great product"/>
        <s v="I did not place this order"/>
        <s v="Quick Shipping"/>
        <s v="The shipping is so inconsistent"/>
        <s v="Great deals and products"/>
        <s v="Canceled my $300+ needed vet cat food…"/>
        <s v="This was our first time buying on here"/>
        <s v="my order was cancelled"/>
        <s v="Good selection of high quality products"/>
        <s v="Great, as usual!"/>
        <s v="Customer service"/>
        <s v="Vinnie and I are Happy."/>
        <s v="The experience with pet flow is always…"/>
        <s v="Ordering was easy and delivery was…"/>
        <s v="Excellent customer service!"/>
        <s v="Service was great and combined with the…"/>
        <s v="The only place to get our dog and cat food"/>
        <s v="-4 for delivery time"/>
        <s v="The company canceled my order 3 tines…"/>
        <s v="My order went to the wrong address and…"/>
        <s v="Excellent pet products at bargain…"/>
        <s v="Makes pet shopping easy!"/>
        <s v="Orders arrive on time and prices are…"/>
        <s v="My orders are always delivered within 2…Mazey’s kibble"/>
        <s v="They always have the items I am looking…"/>
        <s v="This company was awful to deal with"/>
        <s v="Great prices and on time delivery."/>
        <s v="Although FedEx is the most miserable…"/>
        <s v="It's nice to get a heads up before a…"/>
        <s v="100% SATISFIED"/>
        <s v="Great and plentiful selection of pet…"/>
        <s v="Website has alot of choices and the…"/>
        <s v="Great service &amp; quality products"/>
        <s v="Petflow ships promptly!"/>
        <s v="I ordered cat food for my 2 fur babies…"/>
        <s v="Out of stock?"/>
        <s v="Great discounts!!"/>
        <s v="Convenient"/>
        <s v="Great company to deal with"/>
        <s v="The products arrived undamaged"/>
        <s v="Had the food in stock and promptly…"/>
        <s v="Best quality bully sticks"/>
        <s v="Good product, great price!"/>
        <s v="Phone reps were great"/>
        <s v="Received product expiring next month, wasted my money"/>
        <s v="You are reliable"/>
        <s v="Not user friendly but got what I needed"/>
        <s v="Order process easy"/>
        <s v="My order came quickly and was accurate."/>
        <s v="Easy to find what I needed at a good…"/>
        <s v="Shipment always delayed and customer…"/>
        <s v="I ordered by wet dog food from Pet Flow…"/>
        <s v="The item I needed was in stock"/>
        <s v="PetFlow canceled my medication order with no communication and lost a customer."/>
        <s v="My orders were cancelled without…"/>
        <s v="I have had a horrible experience which…"/>
        <s v="Good service!"/>
        <s v="Easy to begin auto ship"/>
        <s v="Shipment was quick"/>
        <s v="Solid &amp; Reliable"/>
        <s v="Good communication and fair pricing."/>
        <s v="Excellent pet food company"/>
        <s v="Efficient and trustworth"/>
        <s v="Great products at a great price"/>
        <s v="Awesome service....great…"/>
        <s v="Pleased with all my purchases"/>
        <s v="Auto ship does not work"/>
        <s v="My order was canceled and I was never…"/>
        <s v="They are doing a great job!"/>
        <s v="Easy website for me!"/>
        <s v="Quick shipping and competitive prices"/>
        <s v="Order came in perfect condition"/>
        <s v="Product was in stock"/>
        <s v="you need more coupons"/>
        <s v="I have now ordered a couple of times…"/>
        <s v="Very fast shipping"/>
        <s v="I placed an order"/>
        <s v="Online order problem"/>
        <s v="Petflow reps are always helpful &amp; make…"/>
        <s v="Too long for shipment"/>
        <s v="Great company quick delivery have all…"/>
        <s v="Petflow had brands that I have…"/>
        <s v="Great price on the Chinchilla food!"/>
        <s v="Dog provider"/>
        <s v="I changed the address for delivery and…"/>
        <s v="I ordered canned prescription Royal…"/>
        <s v="Discovered Petflow When Other Place Out of Stock"/>
        <s v="Willingness to help me through the…"/>
        <s v="Excellent service and very quick…"/>
        <s v="Prices are good and shipping is fast."/>
        <s v="Never had a bad experience"/>
        <s v="The customer service is extraordinary"/>
        <s v="It was my first time ordering with this…"/>
        <s v="I didn’t even place the order that…"/>
        <s v="Carries brand not found in most pet…"/>
        <s v="Awesome professional support with…"/>
        <s v="Prompt response."/>
        <s v="Great experience on website and…"/>
        <s v="EXCELLENT PRICING"/>
        <s v="I’m was technologically inept on the…"/>
        <s v="Everything I was looking for was in…"/>
        <s v="First order!"/>
        <s v="Using Petflow was easy"/>
        <s v="Great Customer Service &amp; Best Produce Pricing"/>
        <s v="NO one knew what was happening"/>
        <s v="I was looking for better pricing for my…"/>
        <s v="They always have what I am looking for…"/>
        <s v="Awesome online pet products delivered to your door"/>
        <s v="They had what I needed in stock and it…"/>
        <s v="Website was easy to navigate and…"/>
        <s v="Best price I could find"/>
        <s v="arrogance sales!"/>
        <s v="HORRIBLE CUSTOMER SERVICE!"/>
        <s v="EXTREMELY DISAPPOINTED"/>
        <s v="Good experience. Thank yoy"/>
        <s v="Could not pay with paypal"/>
        <s v="I appreciate their communication with…"/>
        <s v="Affordable Place to Shop"/>
        <s v="Even with delays they were top-notch!"/>
        <s v="Great and Fast Service and plenty of…"/>
        <s v="Super quick shipping and good prices."/>
        <s v="Specialty cat food order"/>
        <s v="Excellent!"/>
        <s v="Order shipping delays - NJ warehouse"/>
        <s v="My favorite mail order for pet food and stuff"/>
        <s v="My cat would not eat several differert…"/>
        <s v="Always excellent customer service."/>
        <s v="Shipment on time"/>
        <s v="Not a good experience at all"/>
        <s v="Fast shipping!!"/>
        <s v="Special cat food"/>
        <s v="Very happy with the product the way it…"/>
        <s v="Charged 10 days ago for unshipped order"/>
        <s v="Trouble free delivery"/>
        <s v="Tried ordering twice..both times the…"/>
        <s v="Got what I ordered and delivered…"/>
        <s v="Although I had never purchased from…"/>
        <s v="Had dog food I used"/>
        <s v="I still haven’t gotten my order"/>
        <s v="Good service and competitive prices"/>
        <s v="They went above and beyond the call"/>
        <s v="Could not buy cat food without a…"/>
        <s v="Availability"/>
        <s v="Good products quality excellent…"/>
        <s v="Ordering the needed vet diet for my dog…"/>
        <s v="You falsely advertised an item"/>
        <s v="Extremely friendly and helpful customer…"/>
        <s v="Happy with service very pleased."/>
        <s v="I have received my puppy’s food in a…"/>
        <s v="Federal express incompetence"/>
        <s v="Super quick response time when I…"/>
        <s v="PetFlow is wonderful!"/>
        <s v="Fast service and delivery"/>
        <s v="Great customer service...Poor shipping procedures"/>
        <s v="No tracking info, Autopay that was not agreed to."/>
        <s v="I’ve been overcharged for my orders…"/>
        <s v="Concerned about the package that I…"/>
        <s v="great value and quick delivery."/>
        <s v="Friendly customer service"/>
        <s v="Overall a good experience"/>
        <s v="First time ordering prescription food…"/>
        <s v="Good price and fast delivery"/>
        <s v="As advertised product with timely…"/>
        <s v="Great prices and quick delivery"/>
        <s v="Was on time and order is right"/>
        <s v="Tape top and bottom end edges"/>
        <s v="It’s extremely easy to order anything."/>
        <s v="Quality products, good customer service"/>
        <s v="PetFlow carries the particular brands…"/>
        <s v="Petflow review…"/>
        <s v="Sorry packaging!!!"/>
        <s v="Suddenly out of stock??"/>
        <s v="Terrible packing for this shipment"/>
        <s v="Responsive customer support. Good availability of product I needed."/>
        <s v="👍👍"/>
        <s v="I found this company online when the…"/>
        <s v="Got dog food in a timely manner."/>
        <s v="Thank you"/>
        <s v="Better listening skills in customer support"/>
        <s v="Fast delivery I ordered tetraColor XL tropical…"/>
        <s v="My package was delivered damaged and…"/>
        <s v="Has what I needed and delivered it in…"/>
        <s v="Easy to navigate website"/>
        <s v="Great selection and fast shipping!"/>
        <s v="This was the first time I had shopped…"/>
        <s v="I will never order anything from this…"/>
        <s v="Great price and fast shipping"/>
        <s v="My orders are always punctual and good"/>
        <s v="my account showed a backorder"/>
        <s v="Great options and Fast delivery"/>
        <s v="PetFlow has a great selection of products"/>
        <s v="Cheaper then other places"/>
        <s v="All of my dealings with pet have been…"/>
        <s v="Happy Customer"/>
        <s v="Great price and quick shipping!"/>
        <s v="Fast shipping and almost always have…"/>
        <s v="Cumbersome Internet system caused two…"/>
        <s v="I received this order so quickly which…"/>
        <s v="Took 9 days for order to arrive"/>
        <s v="This has to be my 10 th or more times…"/>
        <s v="Good service at a reason able price."/>
        <s v="Was good customer service kept informed about items back…"/>
        <s v="PetFlow My Go to Place"/>
        <s v="Order for Cat Litter"/>
        <s v="Easy process: order to delivery"/>
        <s v="I can count on PetFlow to carry the…"/>
        <s v="Incredibly fast service"/>
        <s v="Quick delivery and competitive prices."/>
        <s v="I Love PetFlow"/>
        <s v="I HAVE ORDERED FROM PETFLOW SEVERAL…"/>
        <s v="Ease of ordering"/>
        <s v="Thanks PetFlow"/>
        <s v="Always have great order takers"/>
        <s v="Petflow has no issue starving your pet"/>
        <s v="Website was easy to use and checkout…"/>
        <s v="Great product and quick great service and quick delivery"/>
        <s v="Timely delivery"/>
        <s v="Fast delivery and Well packaged"/>
        <s v="More often than not my dog's food is…"/>
        <s v="Satisfied customer!"/>
        <s v="I Love the products"/>
        <s v="Awesome website and many brands to…"/>
        <s v="I don't like that 2 orders were placed…"/>
        <s v="Very good delivery"/>
        <s v="Why was shipping in the past better than now?"/>
        <s v="I was able to find what I needed at a…"/>
        <s v="Another positive experience!"/>
        <s v="First time purchasing from Pet Flow"/>
        <s v="All online"/>
        <s v="Amazing Customer Service"/>
        <s v="Dr tims Dog Food"/>
        <s v="Fromm Cat food"/>
        <s v="Ignored by Customer Service"/>
        <s v="Your prices were the best we could…"/>
        <s v="I had trouble finding Verus dog food…"/>
        <s v="My order NEVER arrived"/>
        <s v="Excellent"/>
        <s v="Pet Flow was fast with shipping and…"/>
        <s v="Delivery and customer service"/>
        <s v="Ordering was easy"/>
        <s v="My product order was in stock and I…"/>
        <s v="I ordered a product on January 9 and…"/>
        <s v="I can always count on my pet food…"/>
        <s v="In the last year service has gone from…"/>
        <s v="Love the carrier"/>
        <s v="Cancelled my order and claimed it was…"/>
        <s v="You carry my product but took awhile to…"/>
        <s v="The product I ordered was out of stock"/>
        <s v="Shipping was fast"/>
        <s v="Pet Flow Delivers"/>
        <s v="Flagged my purchases as fraud and then…"/>
        <s v="Auto-Ship is not reliable"/>
        <s v="Product was in stock and order was…"/>
        <s v="Delivery was on time and at a better…"/>
        <s v="3 BEAGLES LOVE TASTE OF THE WILD"/>
        <s v="Good communication"/>
        <s v="Good company"/>
        <s v="Overall Petflow has good service and…"/>
        <s v="Carry brand I was seeking. Delivered timely."/>
        <s v="A large variety of pet food products to…"/>
        <s v="Great price and fast delivery"/>
        <s v="Great company to do business with …"/>
        <s v="The quality of the pet food"/>
        <s v="Competitive prices"/>
        <s v="PetFlow is a great source for ToTW"/>
        <s v="Run fast, run far."/>
        <s v="I didn’t make an order"/>
        <s v="This was my first order from PetFlow -- NOT impressed"/>
        <s v="I was told when I ordered 1-3 days for…"/>
        <s v="Everything went smooth"/>
        <s v="PetFlow is easy to work with"/>
        <s v="Didn't help at all"/>
        <s v="Reasonable prices &amp; great communication"/>
        <s v="Good products and quick shipping"/>
        <s v="I couldn't access my account because I…"/>
        <s v="The order was wrong"/>
        <s v="Order took almost a week to reach me"/>
        <s v="I absolutely LOVE PetFlow!!"/>
        <s v="Damaged but made it right! A+"/>
        <s v="1-10-23Impossible website entry"/>
        <s v="Bad customer service"/>
        <s v="I have used these folks for a couple of…"/>
        <s v="To slow on getting the order out,hard…"/>
        <s v="Easy to use and find items with quick…"/>
        <s v="My order took 10 days to be delivered"/>
        <s v="Intuitive site, great product selection, value."/>
        <s v="It took a little long to receive the…"/>
        <s v="Great Service/Prices"/>
        <s v="They cancel orders and they don’t tell you and they don’t call back"/>
        <s v="I loved PetFlow"/>
        <s v="Shipping delays"/>
        <s v="Lousy Customer Service!"/>
        <s v="- I was .49 cents short for free…"/>
        <s v="Delivery Slow"/>
        <s v="Haven't received product and you want a review?"/>
        <s v="Fast and package was in good condition!"/>
        <s v="Great company."/>
        <s v="Exceptional service"/>
        <s v="7 years doing business with You…"/>
        <s v="Convenience at a great price!"/>
        <s v="Stay far away from Petflow if what you’re looking for is good service and to actually receive your items"/>
        <s v="Slow Shipping"/>
        <s v="Do better PetFlow"/>
        <s v="Nothing Special"/>
        <s v="Delivers as promised"/>
        <s v="I couldn't order because auto shipping"/>
        <s v="No Communication"/>
        <s v="I have tried to use PetFlow a few times…"/>
        <s v="Still haven't received our order"/>
        <s v="Order not shipped from warehouse for…"/>
        <s v="No order ever received"/>
        <s v="Lousy order processing and customer service"/>
        <s v="Where is my Order, which was ordered on 12/26/2022? I would have expected it delivered by know and have already spoken with one of your representatives who said that they are trying to catch up?"/>
        <s v="My orders are taking longer and longer…"/>
        <s v="Love the convenience and customer…"/>
        <s v="Everything went smoothly"/>
        <s v="Everything ships quickly"/>
        <s v="Placed an order for dog food"/>
        <s v="Great experience."/>
        <s v="Ordering online was easy and shipping…"/>
        <s v="Great selection of products"/>
        <s v="My order was cancelled by the fraud…"/>
        <s v="I give up"/>
        <s v="The best prices and fast shipping"/>
        <s v="I have 3 dogs and not one of them would…"/>
        <s v="HORRIBLE COMPANY"/>
        <s v="Great prices and fast delivery"/>
        <s v="Better Than Average Pet Customer Service Experience"/>
        <s v="Pet Flo is really on top of it"/>
        <s v="Terrible just terrible"/>
        <s v="Ordering can be made easier and…"/>
        <s v="A Five Star Wow"/>
        <s v="I have a dog who is allergic to…"/>
        <s v="Delivered on time good choices"/>
        <s v="all around great!"/>
        <s v="Great products, quick shipping"/>
        <s v="Easy to navigate the website and items…"/>
        <s v="Petflow always delivers good products…"/>
        <s v="Quick shipping!"/>
        <s v="Twice my order has been canceled due to…"/>
        <s v="Great!!!"/>
        <s v="I had put numerous orders in for this…"/>
        <s v="Customer service not up to par"/>
        <s v="Fromm dog food"/>
        <s v="You always get your order on time"/>
        <s v="I contacted customer support online to…"/>
        <s v="Package arrived late again"/>
        <s v="Easy to order and I love the automatic…"/>
        <s v="Terrible customer service"/>
        <s v="Unbelievably Bad Service / Policy’s"/>
        <s v="Easy order process and quick response…"/>
        <s v="Poor communication"/>
        <s v="Better Deals through Amazon"/>
        <s v="Unexpected treatment of 7 years customer"/>
        <s v="You're fine"/>
        <s v="Had the product I was looking for for…"/>
        <s v="Always helpful and products are quality."/>
        <s v="Our beloved Newfie died a day or so…"/>
        <s v="Actually I am writing to see if I can…"/>
        <s v="Best price on the dog food I buy."/>
        <s v="Good sales on good products"/>
        <s v="Thoughtful and helpful service"/>
        <s v="EXCELLENT SERVICE - GREAT PRODUCTS"/>
        <s v="I wanted to purchase some that was not noted on your website"/>
        <s v="I got a good price on Tillys Treasures…"/>
        <s v="I used to love PetFlow because the…"/>
        <s v="Prompt delivery at a fair price 😀"/>
        <s v="Great Food, Price and Service!"/>
        <s v="A Satisfied Customer"/>
        <s v="Fast delivery of our pet food"/>
        <s v="Your fast shipping was great"/>
        <s v="Great choice for pet toys and supplies"/>
        <s v="The toy was so little"/>
        <s v="My auto ship is easy and convenient and…"/>
        <s v="I tried to change what we are receiving…"/>
        <s v="Kong ball"/>
        <s v="Terrible experience suspect me theft cat food"/>
        <s v="Fast and efficient with brands I want."/>
        <s v="Good quality products"/>
        <s v="I’ve struggled purchasing food for my…"/>
        <s v="With the cost of this pet food…"/>
        <s v="I have had a good relationship w…"/>
        <s v="Great quality and shipping was very…"/>
        <s v="Liked that ordering is easy"/>
        <s v="My order never arrived and unprofessional customer service"/>
        <s v="You were the only company that had the…products in"/>
        <s v="You asked for response"/>
        <s v="Chewy is a cheaper and nicer alternative"/>
        <s v="Fast accurate shipping and fair prices"/>
        <s v="Was great"/>
        <s v="Always fast shipments"/>
        <s v="Prices are high for the food I feed and…"/>
        <s v="fast and easy checkout and shipping"/>
        <s v="My cats love their &quot;Tasty Treats&quot;!!"/>
        <s v="Where do I begin!"/>
        <s v="Quick friendly people to help with an…"/>
        <s v="Received food in timely manner"/>
        <s v="Litter Review"/>
        <s v="Awesome company with good deals and…"/>
        <s v="Quicker delivery"/>
        <s v="My go to place for the Aussiedoodle"/>
        <s v="Great price"/>
        <s v="Love the prices and quick service"/>
        <s v="First purchase/ great!"/>
        <s v="First"/>
        <s v="great food, great price, great delivery, shipping free"/>
        <s v="Always difficult to gain access to site."/>
        <s v="My shipping box came damaged"/>
        <s v="No takebacks"/>
        <s v="Products available"/>
        <s v="Timely delivery happy with service"/>
        <s v="Totally Pleased with PetFlow"/>
        <s v="We have been using PetFlow for years…"/>
        <s v="Communications were good"/>
        <s v="Ordered on line for less than in stores…"/>
        <s v="PetFlow is the place to go for treats"/>
        <s v="I spoke with customer service weeks ago…"/>
        <s v="Good price on dog food."/>
        <s v="Great Product Selection"/>
        <s v="Your products are healthy and…"/>
        <s v="Good prices but stopped carrying my item"/>
        <s v="I like ordering online don’t like…"/>
        <s v="The shipping time is awful"/>
        <s v="Very reliable when ordering a product"/>
        <s v="Best prices around initially"/>
        <s v="I'm still waiting on my last order"/>
        <s v="Great job PetFlow!"/>
        <s v="You guys are the best!"/>
        <s v="Prompt shipping and great prices!!!"/>
        <s v="POSITIVE EXPERIENCE TO-DATE"/>
        <s v="Order was easy to place great price on Dr Marty’s"/>
        <s v="I received no notice of canceled order…"/>
        <s v="We have ordered for over a year from…"/>
        <s v="Cheaper price takes a little longer for…"/>
        <s v="Great service and products I use for my…"/>
        <s v="I have had a subscription dogfood on…"/>
        <s v="What I order always comes as expected."/>
        <s v="I placed ab order for the first time…"/>
        <s v="Reliable delivery"/>
        <s v="Great service, great people"/>
        <s v="Ordered product and it never shipped"/>
        <s v="After my order being cancelled I don’t…"/>
        <s v="Order and Shipping"/>
        <s v="Went well as I expected"/>
        <s v="PetFlow is great"/>
        <s v="I switched to Pet Flow from Chewy bc…"/>
        <s v="As promised"/>
        <s v="Relax"/>
        <s v="You were less pricey than other places."/>
        <s v="Always satisfying shopping at Petflow."/>
        <s v="Easy, Convenient, Quickly shipped"/>
        <s v="My dogs went crazy over all these…"/>
        <s v="Nice representative"/>
        <s v="Great company to work with……always…"/>
        <s v="SHIPPING DELAYS DETRIMENTAL TO HEALTH OF PETS WITH SPECIAL DIETARY NEEDS"/>
        <s v="My little Maltese loves the small bites…"/>
        <s v="The shipping was surprisingly slow"/>
        <s v="Poor shipping Boxes"/>
        <s v="First time using Pet Flow"/>
        <s v="Petflow is our primary dog food supplier"/>
        <s v="Order"/>
        <s v="An excellent company with wonderful…"/>
        <s v="Took over a week before product even…"/>
        <s v="Instead of a usual delivery of 2…"/>
        <s v="Didnt receive box on scheduled day."/>
        <s v="While the prices are much better than…"/>
        <s v="Order cancelled without notice"/>
        <s v="Perfect service"/>
        <s v="Had a problem with password was locked…"/>
        <s v="Absolutely THE WORST company I have…"/>
        <s v="I have not gotten my products yet"/>
        <s v="They don't think dog food is an urgent item to send out"/>
        <s v="I generally like Pet Flow but I find…"/>
        <s v="Shipment is quick"/>
        <s v="It was a great experience overall"/>
        <s v="The willingness to listen to my issue…"/>
        <s v="Good job!"/>
        <s v="Good product and fast delivery"/>
        <s v="The product was shipped promptly."/>
        <s v="Best price anywhere"/>
        <s v="Excellent selection for pet food and…"/>
        <s v="Shipping times and amount of available…"/>
        <s v="Easy to find items and reasonable prices"/>
        <s v="customer service is excellent"/>
        <s v="Tried to get my auto shipment moved up…"/>
        <s v="Bryan was great"/>
        <s v="Always reliable…"/>
        <s v="Chewy might be a better option"/>
        <s v="I have no complaints about the company…"/>
        <s v="the treats had small fine bones in them had to boil to remove them, it was not fun will not buy again !"/>
        <s v="Go through amazon"/>
        <s v="No order acknowledgement from Pet Flow"/>
        <s v="Dry Kibble ordered on Nov"/>
        <s v="Service Rep said 2-3"/>
        <s v="I had a concern with my order--the…"/>
        <s v="It took a very long time and multiple…"/>
        <s v="Limited/minimal stock items…"/>
        <s v="As always, incredible customer service"/>
        <s v="The company was prompt in getting my…"/>
        <s v="FIVE STARS!!"/>
        <s v="Great Dog Food"/>
        <s v="Representatives very helpful and…"/>
        <s v="I can order Fromm dog food"/>
        <s v="having the product I needed and fast…"/>
        <s v="great company …"/>
        <s v="Great support"/>
        <s v="Have been a client for years"/>
        <s v="Shipping was delayed for 6 straight…"/>
        <s v="good quality stock and fast shipping!"/>
        <s v="Excellent website for pet food!! First time order for puppy food for our…"/>
        <s v="Disappointed"/>
        <s v="Shipping…second order Fr you….first…"/>
        <s v="Poor customer service"/>
        <s v="Best prices and service"/>
        <s v="Exceptionally responsive customer…"/>
        <s v="I love that you donate to pet charities…"/>
        <s v="We needed to Order Prescription food…"/>
        <s v="Bad customer service - GO ELSEWHERE"/>
        <s v="DON'T ORDER FROM THEM"/>
        <s v="Petflow is a great company"/>
        <s v="No problems and timely delivery."/>
        <s v="Prompt delivery"/>
        <s v="Customer for years"/>
        <s v="Not Happy"/>
        <s v="My first order was cancelled with no…"/>
        <s v="Very convenient!"/>
        <s v="The product is great so far"/>
        <s v="Easy to order and quick delivery"/>
        <s v="Check Count in the Bottle - Should be 30...."/>
        <s v="Took almost 10 gays to get the puppy…"/>
        <s v="I don’t want to write anything."/>
        <s v="I ordered dog food on line and never…"/>
        <s v="Liked the convenience of getting our…"/>
        <s v="PRICE AND DELIVERY SPEED"/>
        <s v="Good product, lousy shipping condition."/>
        <s v="It would be nice to get some discounts…"/>
        <s v="I ordered my pet supplies on Monday and…"/>
        <s v="Consistently good service and products"/>
        <s v="Easy to use website and quick delivery…"/>
        <s v="Stuff always right and on time!"/>
        <s v="Great company always on time with my…"/>
        <s v="I got the shipment pretty quick."/>
        <s v="PetFlow always comes through..."/>
        <s v="I love how fast they ship but I’m…"/>
        <s v="I haven't received my order"/>
        <s v="Good products service and price"/>
        <s v="Petflow has provided exceptional…"/>
        <s v="Ordering is easy and shipping is…"/>
        <s v="Fast shipping and excellent product selection …"/>
        <s v="Easy to order &amp; delivery was good as…"/>
        <s v="Not as familiar with navigating your…"/>
        <s v="Easy website"/>
        <s v="I never received my package"/>
        <s v="A great place to get my pets food."/>
        <s v="Great experience from ordering to…"/>
        <s v="Cancelled order"/>
        <s v="I placed a order on 11/6"/>
        <s v="Fast shipping and always consistent…"/>
        <s v="Your prevention protection is not…"/>
        <s v="Shipped to me very fast"/>
        <s v="Quick shipping and great prices!"/>
        <s v="Email notice of item I needed"/>
        <s v="Second time ordering prescription food"/>
        <s v="Ordered Twice and Likely Won’t Again"/>
        <s v="The sales experience was fine"/>
        <s v="Ordered 10 boxes of arm &amp; Hammer…"/>
        <s v="It takes a very long time for shipping."/>
        <s v="Numerous choices at excellent prices"/>
        <s v="Bad experience"/>
        <s v="Attentive customer service"/>
        <s v="Inaccurate inventory"/>
        <s v="The website doesn’t work right"/>
        <s v="Small animal products"/>
        <s v="Great service and people"/>
        <s v="I ordered cat food delivery on 11/2 and…"/>
        <s v="I love the products they carry"/>
        <s v="Products were in stock."/>
        <s v="Great products fresh free shipping"/>
        <s v="A very easy experience"/>
        <s v="My order got canceled without any…"/>
        <s v="I am extremely happy with the ease of…"/>
        <s v="Ordered two times and both times it was…"/>
        <s v="I’d never heard of Petflow"/>
        <s v="Love I can get pacificsource from them"/>
        <s v="I ordered and the item was not in stock…"/>
        <s v="Wet cat food Was out of stock"/>
        <s v="Very satisfied with Pet Flow."/>
        <s v="Great Service, No Problems"/>
        <s v="One Above Chewy"/>
        <s v="Fast delivery fair prices"/>
        <s v="Speedy service with a personal touch"/>
        <s v="Very quick service on Fromm Dog food…"/>
        <s v="Fraud team kept flagging my credit card…"/>
        <s v="Great prices on fancy Feast"/>
        <s v="The order I placed arrived on time"/>
        <s v="Great price!"/>
        <s v="Great"/>
        <s v="My dog loves PetFlow pet food"/>
        <s v="Seems like a decent startup"/>
        <s v="I will forever be a customer"/>
        <s v="I placed an order and two days later I…"/>
        <s v="My orders are always on time"/>
        <s v="I love the company but communication is…"/>
        <s v="The order was processed as always"/>
        <s v="On time delivery"/>
        <s v="Efficient Service &amp; Speedy Delivery"/>
        <s v="It was great service and my stuff was…"/>
        <s v="I love PetFlow!"/>
        <s v="PetFlow is the best!"/>
        <s v="Shipping was quick!"/>
        <s v="Never again"/>
        <s v="Received my items in only 3 days!"/>
        <s v="Great, quick service"/>
        <s v="Company was great in fulfilling my…"/>
        <s v="Competitive prices and good service"/>
        <s v="My order is constantly being canceled"/>
        <s v="Honored competitor pricing - thank you!"/>
        <s v="All around best pet supply company"/>
        <s v="Ordered cat food on sale"/>
        <s v="Wonderful"/>
        <s v="Had to inquire whether or not my order…"/>
        <s v="i have a difficult time finding this…"/>
        <s v="Ordered food"/>
        <s v="quick quick delivery and a free toy"/>
        <s v="Petflow = pet love"/>
        <s v="CSR told me my card was fraudulent and…"/>
        <s v="A Swift Smooth Transaction"/>
        <s v="We’ve been using PetFlow for many years…"/>
        <s v="Consistent delivered quickly and quality cat food"/>
        <s v="Delivered quickly"/>
        <s v="Website Lists Items They Don't Have"/>
        <s v="Damage Goods"/>
        <s v="Spoke with a rep named Ryan and he was…"/>
        <s v="Everything as described"/>
        <s v="I like that shipment can happen the…"/>
        <s v="This company has very quickly response…"/>
        <s v="I ordered prescription food for my sick…"/>
        <s v="I get the brand I want and don’t have to hunt the stores for it."/>
        <s v="Auto ship beeare"/>
        <s v="Inconsistent"/>
        <s v="Great service Had the product I needed"/>
        <s v="Two orders placed at different times"/>
        <s v="As usual many of the cans were dented…"/>
        <s v="I had a issue with my picky cat"/>
        <s v="Great product and shipping was fast"/>
        <s v="Name Changer"/>
        <s v="I appreciate that I can quickly reach a…"/>
        <s v="Notify Me Please About Sending Prior To"/>
        <s v="Order Hasn't Arrived - Not Processed Properly"/>
        <s v="Your website needs to be better…"/>
        <s v="Merrick Lil Plates"/>
        <s v="DON’T BOTHER ORDERING, THEY’LL JUST CANCEL IT!"/>
        <s v="BE NICE to REPEAT CUSTOMERS !!"/>
        <s v="Both times that I have ordered from…"/>
        <s v="I placed an order online because it…"/>
        <s v="Signed up and waited 9 days to learn you don't have the product"/>
        <s v="PetFlow has grown on me"/>
        <s v="Wonderful company!"/>
        <s v="Very knowledgeable and helpful…"/>
        <s v="Can’t recommend. They could care less if you order or not!"/>
        <s v="Don’t bother"/>
        <s v="Slight Issue Resolved Quickly"/>
        <s v="My order was cancelled and I did not…"/>
        <s v="Everything… I always need personal help…"/>
        <s v="great serviceThe people on the phone are friendly…"/>
        <s v="What a great business to work with"/>
        <s v="My order was shipped in record time."/>
        <s v="very disappointed"/>
        <s v="Excellent product I've been buying from…"/>
        <s v="Frustrating"/>
        <s v="Up-priced in the cart and customer service simply hung up on me"/>
        <s v="Would give this company zero stars if…"/>
        <s v="No cat food"/>
        <s v="Fast delivery and fair prices"/>
        <s v="So glad I found this company"/>
        <s v="Items Ordered"/>
        <s v="Very good!!!"/>
        <s v="Worst customer service I have ever experienced"/>
        <s v="Customer service is great"/>
        <s v="Why I chose Petflow"/>
        <s v="I was pleased to find what I needed at…"/>
        <s v="You place sucks"/>
        <s v="Thank goodness for Petflow"/>
        <s v="Honest Reply, informative"/>
        <s v="Love this cat tower"/>
        <s v="Great products and reviews that help…"/>
        <s v="They were very helpful &amp; my Cat food…"/>
        <s v="It took longer that buying it directly…"/>
        <s v="wrong address"/>
        <s v="If I could give it zero I would"/>
        <s v="Fast Shipping and Good Prices for hard…"/>
        <s v="Great selection, but….."/>
        <s v="I ordered some thing and the order was…"/>
        <s v="Have spoken to 5 people to get an order…"/>
        <s v="My cat needs prescription Hills y/d"/>
        <s v="I’ve been using Petflow for quite a…"/>
        <s v="NutriSource Large Breed Puppy Chicken &amp; Rice Dry Dog Food 60 lb. (2 x 30 lb.)"/>
        <s v="Delivery of the product was sloppy."/>
        <s v="My only complaint is that the bags of…"/>
        <s v="Great prices of several items we use"/>
        <s v="The best prices ,in stock merchandise…"/>
        <s v="Dog food showed up moldy"/>
        <s v="PetFlow carries Fromm healthy weight…"/>
        <s v="My order was cancelled without any…"/>
        <s v="Good selection and promotions."/>
        <s v="Stop accepting orders for items you do…"/>
        <s v="Always a great experience with Petflow"/>
        <s v="Where is my credit for exploded dog food cans?"/>
        <s v="First time using Petflow"/>
        <s v="Our items were shipped quickly!"/>
        <s v="Timely and accurate delivery"/>
        <s v="Products and pricing are wonderful"/>
        <s v="Packed orders"/>
        <s v="It was entirely on me to send a…"/>
        <s v="No customer awareness"/>
        <s v="Good Service, fast delivery"/>
        <s v="Easy to order and wonderful product."/>
        <s v="Long-term customer for a reason"/>
        <s v="Fast and Great Price"/>
        <s v="Ziggy went nuts over the treats"/>
        <s v="Excellent service and products"/>
        <s v="Find a different source for your pet needa"/>
        <s v="Good food"/>
        <s v="Item out of stock"/>
        <s v="All good overall!"/>
        <s v="Website advertised canned y/d thyroid…"/>
        <s v="I Helping you to improve your processgave you a top score because we…"/>
        <s v="Love our fur babies"/>
        <s v="Peanut butter snacks"/>
        <s v="Better than Chewy"/>
        <s v="My pups love all of the toys we ordered…"/>
        <s v="I submitted a signed prescription from…my veterinarian but it’s like I didn’t"/>
        <s v="Great website"/>
        <s v="Happy Pets"/>
        <s v="I have gotten Myias can food before…"/>
        <s v="Avoid this Company!"/>
        <s v="Great service and communication"/>
        <s v="Easy Peasy...Got What I Needed"/>
        <s v="My experience was very positive"/>
        <s v="My puppy Lola has had allergy skin…"/>
        <s v="You are asking for me to rate something…"/>
        <s v="I appreciate the delivery"/>
        <s v="Okay for Now"/>
        <s v="Scam"/>
        <s v="I have my dog food delivered"/>
        <s v="Soooo disappointed here"/>
        <s v="i’m usually pretty pleased with…"/>
        <s v="Was very pleased with fast"/>
        <s v="Quick delivery and great coupon"/>
        <s v="You allowed an order to be placed for…"/>
        <s v="I was very pleased with my purchase…"/>
        <s v="Very Happy"/>
        <s v="Dr Marty Dog food"/>
        <s v="Ordering is quick and easy"/>
        <s v="Every one was helpful"/>
        <s v="Petflow made it easy!"/>
        <s v="First time buyer"/>
        <s v="Not the end of the world BUT..."/>
        <s v="I ordered two cases of food"/>
        <s v="d excellent quality of…products"/>
        <s v="Never received product nor heard that…"/>
        <s v="Always reliable"/>
        <s v="Super helpful staff!"/>
        <s v="It was cheaper than anywhere else"/>
        <s v="I ordered my dog food almost two weeks…"/>
        <s v="Horrible service. Go to Chewy"/>
        <s v="Very Unprofessional"/>
        <s v="Many items are not available at this time."/>
        <s v="Order cancelled with no communication for fraud for diff shipping and billing addresses"/>
        <s v="Apparently my order was canceled by the…"/>
        <s v="I tried using a coupon that said…"/>
        <s v="I will never ever contact Pet Flow for…"/>
        <s v="Bi-monthly order of dog food that is…"/>
        <s v="Shows on website the food I needed for…"/>
        <s v="Great products"/>
        <s v="Kind of odd. . ."/>
        <s v="Half of an order and half of the service"/>
        <s v="I tried twice to order the dog food for…"/>
        <s v="Probably won’t buy again"/>
        <s v="Took over two weeks for order to…"/>
        <s v="This place is a real joke"/>
        <s v="Waiting and Waiting..."/>
        <s v="Happy cat owner"/>
        <s v="Petflow does a very good job."/>
        <s v="No recommendations from me"/>
        <s v="Not sure if I will oder again"/>
        <s v="My parents'dog loves this pet food"/>
        <s v="Great Company to buy Pet Food Fromm...Pun Intended!"/>
        <s v="It’s too hard to cancel auto ship…"/>
        <s v="Delivery took longer than I expected"/>
        <s v="Very good customer service"/>
        <s v="Deception at its finest"/>
        <s v="Always an excellent experience at PetFlow!!"/>
        <s v="Petflow had the sensitivity select dog…"/>
        <s v="Ord delayed no communication"/>
        <s v="Lack of communication issues"/>
        <s v="transfering a new hardcopy Rx was a bit…"/>
        <s v="GREAT CUSTOMER SUPPORT"/>
        <s v="Very prompt service"/>
        <s v="Dog food I ordered went out of stock…"/>
        <s v="FRDEX didn't deliver the previous…"/>
        <s v="you can count on PetFlow"/>
        <s v="I bought the august 31st haven't even…"/>
        <s v="I think you are all fantastic A+++++"/>
        <s v="I placed an order then nothing"/>
        <s v="What the heck?"/>
        <s v="Communication with PetFlow staff was…"/>
        <s v="Super prompt service!"/>
        <s v="YD CANNED CAT FOOD"/>
        <s v="Products were cheaper locally."/>
        <s v="Ordered prescription cat food that was…"/>
        <s v="Had what I was looking for"/>
        <s v="My order was canceled twice without an…"/>
        <s v="I have a rescue and wanted to give…"/>
        <s v="Awesome crate"/>
        <s v="order not fulfilled"/>
        <s v="Worst purchase experience ever"/>
        <s v="Dog Food Delivery"/>
        <s v="This site is legitimate"/>
        <s v="Simple ordering and quick delivery"/>
        <s v="Horrible communication and customer service …"/>
        <s v="Prescription wasn’t approved and I…"/>
        <s v="Fast very secure service"/>
        <s v="Nothing but good to say about petflow"/>
        <s v="Great to do business with"/>
        <s v="found z/d Hill's hypo"/>
        <s v="Wonderful and caring experience…"/>
        <s v="The ordering process was easy…however"/>
        <s v="If you want the very best for your beloved pet, trust PetFlow to deliver."/>
        <s v="Fast shipping &amp; best price when…"/>
        <s v="PetFlow offers competitive prices"/>
        <s v="I tried to order litter boxes for my…"/>
        <s v="Went from bad to worse"/>
        <s v="Good prices and relatively fast delivery"/>
        <s v="Thinking twice. :-("/>
        <s v="Everything was great!"/>
        <s v="Frustrated…"/>
        <s v="Completely satisfied!"/>
        <s v="Good service arrived when you said it…"/>
        <s v="My auto ship sat in processing status…"/>
        <s v="Too expensive. Delivered late."/>
        <s v="Two times I tried to order a particular…"/>
        <s v="This is the first time I used pet flow…"/>
        <s v="Great customer support and very fair…"/>
        <s v="good communication about delivery…"/>
        <s v="I am NOT Paul Weiler"/>
        <s v="No product"/>
        <s v="Good service ordered dog food and it…"/>
        <s v="My product never made it to my…"/>
        <s v="Shipping is outstanding!"/>
        <s v="Unhappy customer…"/>
        <s v="Called twice to check on my order"/>
        <s v="The cat food arrived on time"/>
        <s v="Satisfied Customer"/>
        <s v="Petflow A Good Pet Supply company"/>
        <s v="Petflow was so helpful in telling me…"/>
        <s v="Good products and prices, slooow delivery"/>
        <s v="My pet lovess"/>
        <s v="No one called me to tell me my order…"/>
        <s v="Fast"/>
        <s v="DOGGIE HEAVEN"/>
        <s v="Could have been worse"/>
        <s v="I am always happy with my orders from…"/>
        <s v="Happy experience"/>
        <s v="The site and purchase was fine"/>
        <s v="Customer Service helpful!"/>
        <s v="Shipping"/>
        <s v="The service at Pet Flow is very…"/>
        <s v="all good so far but what can i say…"/>
        <s v="I would give 5 stars but I had several…"/>
        <s v="Sent Expired Food!"/>
        <s v="My dog needed a prescription diet dog…"/>
        <s v="Unreliable source of diet food"/>
        <s v="I'm satisfied with the food but you…"/>
        <s v="Extremely poor and not to be trusted"/>
        <s v="Petflow has a great variety of foods"/>
        <s v="Dented dog food cans"/>
        <s v="Horrid experience"/>
        <s v="I love my dog's new collars"/>
        <s v="You are excellent"/>
        <s v="Denemarin available..."/>
        <s v="Pet Flow &quot;usually&quot; OKAY, not GREAT!"/>
        <s v="My vet could not get the prescription…"/>
        <s v="It was all pretty seamless"/>
        <s v="Large bag dry dog food"/>
        <s v="Looking all over for prescription wet…"/>
        <s v="Super fast shipping!"/>
        <s v="Had Great Experience with PetFlow!"/>
        <s v="Order was quickly shipped BUT order was…"/>
        <s v="No dog food for you!"/>
        <s v="I recently purchased a bag of dog food"/>
        <s v="Quick service &amp; delivery...."/>
        <s v="Shipping took entirely too long"/>
        <s v="Friendly folks"/>
        <s v="It took way too long to ship the food"/>
        <s v="I ordered product"/>
        <s v="Fraud Depoatment has flagged my…"/>
        <s v="Ghosted"/>
        <s v="You were unable to fill my order and…"/>
        <s v="Not worth the value"/>
        <s v="I ordered 3 bags of hills feline dry…"/>
        <s v="I ordered my cat a specialty cat food…"/>
        <s v="I called to cancel an order within 24…"/>
        <s v="I've been using Petflow for my furry…"/>
        <s v="Treat Shopping"/>
        <s v="CEazy-Peazyouldn't be much easier and a great…"/>
        <s v="Best customer service!!"/>
        <s v="Four Paws Up For Pet Flow"/>
        <s v="Awesome Dog Treats and Stellar Service"/>
        <s v="The website was easy to use"/>
        <s v="I'm pleased with the order process and…"/>
        <s v="They have the brands we feed our pets"/>
        <s v="Good prices, excellent service!"/>
        <s v="Prescription food showed &quot;in stock&quot; on…"/>
        <s v="I ordered my cat’s prescription food…"/>
        <s v="Everything has been great"/>
        <s v="My experience with PetFlow has been…"/>
        <s v="Good Web Site"/>
        <s v="My experience was good"/>
        <s v="I WAS AMAZED THAT THEY HAD THE SAME…"/>
        <s v="Fast and good service. We were running out of food"/>
        <s v="Convenient and prices are very good"/>
        <s v="Easy to shop"/>
        <s v="Great Prices Speedy Delivery"/>
        <s v="Loved the website"/>
        <s v="The prescription cat food (wd) is out…"/>
        <s v="I have a dog that needs prescription…"/>
        <s v="Pleased with Petflow"/>
        <s v="Fast response and showed initiative"/>
        <s v="Prescription Cat Food"/>
        <s v="PetFlow is now my reliable go-to for pet food/supplies!"/>
        <s v="Disappointing service"/>
        <s v="One thing I really love Petflow is they…"/>
        <s v="Was able to order special food for my…"/>
        <s v="Quick and easy"/>
        <s v="Terrible Service &amp; Communication!"/>
        <s v="Good first experience"/>
        <s v="Change future order"/>
        <s v="Large,heavy food bag delivery"/>
        <s v="Bad follow-up after placing an order"/>
        <s v="Terrible company with issues"/>
        <s v="Terrific!"/>
        <s v="Good duck, mediocre salmon"/>
        <s v="You're really great"/>
        <s v="Fast delivery, good prices"/>
        <s v="The in-stock status of food was…"/>
        <s v="I have used petflow for a long time"/>
        <s v="First time shopper"/>
        <s v="Finally found a source for the Hills…"/>
        <s v="Treats were hits with dog and cats."/>
        <s v="This company has labeled me as fraud…"/>
        <s v="You make getting dog food a breeze"/>
        <s v="Working with PetFlow was wonderful"/>
        <s v="Nice people and great service."/>
        <s v="I ordered a prescription diet for my dog"/>
        <s v="Accurate, fast, good quality"/>
        <s v="Always such quick service and exactly…"/>
        <s v="The website is organized and works…great service."/>
        <s v="I ordered 2 bags of Hills Science Diet…"/>
        <s v="Kudos for PetFlow"/>
        <s v="Everything was great"/>
        <s v="I had issues with my order"/>
        <s v="We ordered product and after two days…"/>
        <s v="exact product I was looking for and at…"/>
        <s v="Great price. Fast delivery"/>
        <s v="This was my first time ordering from…"/>
        <s v="Your Shipping time was 3x as long as…"/>
        <s v="food order took a long time to arrive"/>
        <s v="when i ordered said in stock,,then i…"/>
        <s v="Another satisfied customer"/>
        <s v="Always correct and on time"/>
        <s v="Terrible experience…"/>
        <s v="Delivery"/>
        <s v="Wouldn't allow me to place an order"/>
        <s v="Failed to Meet Promises"/>
        <s v="Slow delivery, bad tracking updates"/>
        <s v="Very happy with service they provided."/>
        <s v="Awesome experience"/>
        <s v="Great!"/>
        <s v="Petflow has great pricing and service"/>
        <s v="I wasn’t happy when they told me they…"/>
        <s v="Unable to get product"/>
        <s v="I’ve shopped with Petflow for years"/>
        <s v="I can't actually manage autoship"/>
        <s v="Disappointed in your service Was told…"/>
        <s v="First but not last order !"/>
        <s v="My canned dog came dented"/>
        <s v="They did not fulfill any of my orders"/>
        <s v="Best prices!"/>
        <s v="Always easy to work with"/>
        <s v="Great,prompt service"/>
        <s v="Delivery is quick and accurate"/>
        <s v="Received quickly &amp; packaged well."/>
        <s v="Very pleased"/>
        <s v="My order was shipped on August 4"/>
        <s v="Very good product and fast shipping"/>
        <s v="I don’t think I will take a risk…"/>
        <s v="Unfortunately incorrect stock listed"/>
        <s v="Best Dog Food Subscription service"/>
        <s v="Horrible experience"/>
        <s v="My order showed food was in stock"/>
        <s v="Fast and reliable"/>
        <s v="I recommend."/>
        <s v="On the website"/>
        <s v="Great company. Out of stock not their fault."/>
        <s v="Very disappointing"/>
        <s v="Fabulous"/>
        <s v="Zero star Review…"/>
        <s v="I requested my auto ship arrive early…"/>
        <s v="Prices were good and all items arrived…"/>
        <s v="You don't deliver parcels."/>
        <s v="No delivery after 12 days"/>
        <s v="You guys suck"/>
        <s v="Unreliable, disappointing"/>
        <s v="the shipper had damaged the box of dog…"/>
        <s v="PetFlow's what the cats need"/>
        <s v="I’ve recently moved and I was…"/>
        <s v="Very helpful service over the via phone"/>
        <s v="Never heard from you guys"/>
        <s v="Try Them"/>
        <s v="Online order-paying-shipping was great"/>
        <s v="Terrible customer service and company…"/>
        <s v="this is a place where they have fair…"/>
        <s v="I asked to be shipped on a Monday."/>
        <s v="Everything was great!!"/>
        <s v="I am happy with petflow"/>
        <s v="Past orders have been good until now."/>
        <s v="Where is the rest of my order?"/>
        <s v="Glucose diet for 17 year old cat…"/>
        <s v="Fast good service no hassle"/>
        <s v="Very bothersome"/>
        <s v="Happy kitties"/>
        <s v="Ordering was easy enough"/>
        <s v="Great prices and fast shipping."/>
        <s v="CO CANCELLED ORDER WITHOUT NOTIFYING ME"/>
        <s v="Prices were fair and shipment came in …"/>
        <s v="Good products at good prices and fast…"/>
        <s v="Great service, &amp; good prices"/>
        <s v="Petflow carries food that others don't…"/>
        <s v="dog food cans damaged"/>
        <s v="This is in reference to my order"/>
        <s v="Customer service wouldnt help located…"/>
        <s v="My cats love this food"/>
        <s v="ecxellent"/>
        <s v="My pups really like the Dr Marty food"/>
        <s v="Need better boxes to ship in."/>
        <s v="Easy to navigate around the site"/>
        <s v="The food I needed was in stock when I…"/>
        <s v="Is it in stock or not?"/>
        <s v="Easy to,order"/>
        <s v="Started our automatic delivery program"/>
        <s v="The initial order went great"/>
        <s v="Reliable repeat order program"/>
        <s v="Easy ordering and quick delivery"/>
        <s v="Petfow is consistently good overall"/>
        <s v="The best!"/>
        <s v="I have shopped Petflow for years but…"/>
        <s v="Deceptive Delivery Commitment"/>
        <s v="Above and Beyond Service!"/>
        <s v="Best prices and great service"/>
        <s v="Great Products!"/>
        <s v="The package arrived on time and…"/>
        <s v="Food went out of stock after purchasing"/>
        <s v="PF canceled order 8 days later"/>
        <s v="Very reliable"/>
        <s v="No supply chain issues here"/>
        <s v="Cats like food that was ordered"/>
        <s v="Disappointing Experience"/>
        <s v="Was out of the dogfood…"/>
        <s v="Packaging could be better and more protective"/>
        <s v="Everything was great…"/>
        <s v="Petflow always processes orders quickly…"/>
        <s v="Extremely poor packaging with using…"/>
        <s v="I ordered something out of stock"/>
        <s v="Review"/>
        <s v="Always have available merchandise"/>
        <s v="PetFlow has always been great and…"/>
        <s v="you got us the product"/>
        <s v="Timely order in good shape"/>
        <s v="Always easy &amp; convenient to order our…"/>
        <s v="Competitive prices and fast delivery"/>
        <s v="I appreciated the email stating the dog…"/>
        <s v="Great to deal with"/>
        <s v="My order was canceled."/>
        <s v="Misleading Information"/>
        <s v="Advertise products they don’t have!"/>
        <s v="Awful First Order Experience"/>
        <s v="Dishonest company"/>
        <s v="The Food You Need When You Need It"/>
        <s v="Great pricing, fast and easy"/>
        <s v="Shipment arrived right on time"/>
        <s v="Awesome customer service"/>
        <s v="cats don't like and they don't take…"/>
        <s v="Placed an order and it was at my door…"/>
        <s v="I'm disappointed with autoship"/>
        <s v="Great selection and price."/>
        <s v="Placed my order on July 12th &amp; I’m…"/>
        <s v="If there is an issue they will make things right!"/>
        <s v="customer service vs company policy"/>
        <s v="Petflow delivers to my DOOR"/>
        <s v="I have dealt with pet flow for over a…"/>
        <s v="I still have not received my order or a…"/>
        <s v="Worst pet online company"/>
        <s v="Mixed Experience"/>
        <s v="Great place to get prescription cat products"/>
        <s v="Ordered hard to get dog food"/>
        <s v="Great ."/>
        <s v="It to long to get then I only got 1/2…"/>
        <s v="Still has not yet shipped despite a 1-2…"/>
        <s v="Customer service very helpful"/>
        <s v="Thanks"/>
        <s v="They sent me a duplicate order and told…"/>
        <s v="Too much confusion...."/>
        <s v="Good value and Service"/>
        <s v="Birdfood"/>
        <s v="My orders were canceled and I didn't…"/>
        <s v="Good experience and they had what I…"/>
        <s v="Mostly good, but some dented cans"/>
        <s v="Only picked your website because of the…"/>
        <s v="Exceptional communication &amp; Deliver…"/>
        <s v="I ordered specific food"/>
        <s v="My order was canceled by you guys…"/>
        <s v="Appreciative of recent discount offered…"/>
        <s v="I am very satisfied with petflow"/>
        <s v="So happy I found this website"/>
        <s v="Great experience dealing with PetFlow"/>
        <s v="I know it's a specialty food"/>
        <s v="Order was processed very quickly and…"/>
        <s v="This was my first order with PetFlow"/>
        <s v="Will order again"/>
        <s v="My cat has a very sensitive system and…"/>
        <s v="Long time returning customer- love this…"/>
        <s v="Great service with competitive prices"/>
        <s v="What was that dog food???"/>
        <s v="Excellent selection"/>
        <s v="Readily replaced an item damaged in…"/>
        <s v="Had the quality brands need at best…"/>
        <s v="Wonderful service"/>
        <s v="Picky Eaters Approved! (And bonus: scratch resistant)"/>
        <s v="I have been using PetFlow for over 10…"/>
        <s v="Trustworthy company"/>
        <s v="Took 8 days for delivery!"/>
        <s v="Delivery is fast my cats love hills cat…"/>
        <s v="Order was slow to deliver."/>
        <s v="Quick customer service"/>
        <s v="I called to change an order for a later…"/>
        <s v="Easy ordering and prompt delivery"/>
        <s v="Ordered with a coupon"/>
        <s v="Only received half of our order"/>
        <s v="Lost Order"/>
        <s v="Placed my first order"/>
        <s v="So great and will help if there is a…"/>
        <s v="Everything came quickly &amp; good prices."/>
        <s v="A few things went wrong"/>
        <s v="Will use PetFlow again."/>
        <s v="It was great"/>
        <s v="Have been using PerFlow for several…"/>
        <s v="Large elevated dog bathing station.. Rated AR 125 pou d dog.Product is a little light for 100 pound…"/>
        <s v="PetFlow has always been easy to use and…"/>
        <s v="Find anything here"/>
        <s v="Unhappy w/lack of effort to fill vet's script for Hills diet food for kidney issues!!"/>
        <s v="PetFlow is awesome"/>
        <s v="PetFlow website is very easy to…"/>
        <s v="I WILL NEVER ORDER FROM PETFLOW AGAIN"/>
        <s v="I have three auto ships over the past…"/>
        <s v="Every order I place gets cancelled due…"/>
        <s v="Ordered prescription cat food"/>
        <s v="Pet flow is the worst place to get your…"/>
        <s v="Some ways to go"/>
        <s v="Easy order process and set up of…"/>
        <s v="Very happy with"/>
        <s v="Misleading stocked item"/>
        <s v="I'm happy with the product that I…"/>
        <s v="ORDER CONFUSION"/>
        <s v="One happy dog"/>
        <s v="Fast and easy service and carry my dogs brand"/>
        <s v="Your company led me on to beleive the…"/>
        <s v="Petflow is good to go!!!"/>
        <s v="Backorders and cancellations…"/>
        <s v="Originally my order was to ship on July…"/>
        <s v="Highly Recommended"/>
        <s v="Fast shipping with sturdy packaging"/>
        <s v="Ordered wet dog food"/>
        <s v="Very satisfied with PetFlow"/>
        <s v="I order my cat food and it arrived…"/>
        <s v="We needed a certain Vet Approved Cat…"/>
        <s v="I suppose I purchased something"/>
        <s v="I love that this site carries Fromm…"/>
        <s v="Box arrived damaged, but contents ok."/>
        <s v="I got what I ordered but it took ten…"/>
        <s v="Great experience with this company"/>
        <s v="Good price, sloppy delivery"/>
        <s v="Bogus Claims"/>
        <s v="I was very disappointed!!"/>
        <s v="They had my cat's prescription diet in…"/>
        <s v="The worst place I have ever ordered from"/>
        <s v="Ordered it one day and had it the next"/>
        <s v="Godzilla sized Cockroach in package."/>
        <s v="My order arrived on the scheduled date…"/>
        <s v="Long-time Customer"/>
        <s v="It was very disappointing to have my…"/>
        <s v="Shopping was easy"/>
        <s v="They replaced a damaged bag of dog food promptly!"/>
        <s v="Never received what I ordered"/>
        <s v="I am very happy with the services I…"/>
        <s v="I ordered puppy food and was given…"/>
        <s v="Had what I needed"/>
        <s v="I was impressed by how fast I got that…"/>
        <s v="Heads Up Would Be Nice"/>
        <s v="Great price and good product"/>
        <s v="I order on a regular basis"/>
        <s v="Good supply of hard-to-find food"/>
        <s v="I was looking for the cheapest price on…"/>
        <s v="Prices are great and shipping is fast…"/>
        <s v="Received food promptly"/>
        <s v="Petflow has the cat food that I prefer"/>
        <s v="PetFlow is always on point with my…"/>
        <s v="I had the perfect PetFlow experience!!"/>
        <s v="I received my order but shorrt 3 little…"/>
        <s v="Love the selection and convenience of…"/>
        <s v="Great service and delivery was fast."/>
        <s v="Unable to ship a pet food product after…"/>
        <s v="Delivery service is exceptional."/>
        <s v="PetFlow consistently exceeds expectations"/>
        <s v="Pleasantly pleased with Petflow"/>
        <s v="Reputable company"/>
        <s v="Convenience turned inconvenient"/>
        <s v="Fast an easy"/>
        <s v="Avoderm found at last"/>
        <s v="Product was perfect"/>
        <s v="As always"/>
        <s v="Very quick response and shipping"/>
        <s v="Great product selection and order…"/>
        <s v="I am not sure about your products coz…"/>
        <s v="Fantastic as always."/>
        <s v="Happy dog = Happy mom"/>
        <s v="Thank you!!"/>
        <s v="highly recommend"/>
        <s v="Had the cat food I needed just before I…"/>
        <s v="Always helpful"/>
        <s v="Delivery was fast in spite of coming…Service"/>
        <s v="Great Shop"/>
        <s v="Excellent customer service solving an…"/>
        <s v="Satisfied with NutriSource dry dog food…"/>
        <s v="Great service!!"/>
        <s v="Good service I like how they keep you…"/>
        <s v="We appreciate PetFlow!"/>
        <s v="Awesome"/>
        <s v="Fast and efficient ordering!"/>
        <s v="Thank you for sending fresh treats!!!"/>
        <s v="Quick shipment"/>
        <s v="First time using PetFlow I received the…"/>
        <s v="I just changed Vets so if I am still…"/>
        <s v="Very easy to order"/>
        <s v="User friendly website"/>
        <s v="Easy website to navigate...quick…"/>
        <s v="My kitty was diagnosed with kidney…"/>
        <s v="They had what I was looking for and the…"/>
        <s v="NutriSource Small &amp; Medium Breed Puppy…"/>
        <s v="The product was available"/>
        <s v="I like that it's compact and doesn't…"/>
        <s v="Great selection and prices"/>
        <s v="In this instance"/>
        <s v="Bad service"/>
        <s v="fast and excellent service"/>
        <s v="Has the products I need"/>
        <s v="Great communications"/>
        <s v="The company did not ship my pet food"/>
        <s v="I have recently had a bad experience…"/>
        <s v="Easy online ordering and super fast…"/>
        <s v="Very efficient and convenient to have…"/>
        <s v="Order delay"/>
        <s v="I love Petflows auto delivery system"/>
        <s v="Love Pet flow great customer service!"/>
        <s v="Concerns about shipping via FedEx"/>
        <s v="Perfect transaction"/>
        <s v="I ordered veterinary dog treats so gave…"/>
        <s v="Great price....super service"/>
        <s v="We have ordered through PetFlow a few…"/>
        <s v="Always used chewy"/>
        <s v="I have enjoyed the quick response."/>
        <s v="Very fast and easy shipment of dog food…"/>
        <s v="Petflow was easy and fast to respond…if you want easy and fast order through petflow"/>
        <s v="My order was correct and received very…"/>
        <s v="Perfect!!"/>
        <s v="Poor Standards, outdated product"/>
        <s v="There for my kitties when we needed it"/>
        <s v="Love it!"/>
        <s v="I’ve been having a hard time finding…"/>
        <s v="Easy site to navigate"/>
        <s v="the product dog food is excellent my…"/>
        <s v="I was impressed by the selection"/>
        <s v="Order was correct"/>
        <s v="A pleasant surprise"/>
        <s v="My go-to for pet supplies"/>
        <s v="Clearly not “in stock”"/>
        <s v="Dogs Love it!"/>
        <s v="Too Many Great Things to Say"/>
        <s v="Never received my order 10179757"/>
        <s v="Item said in stock when it wasn't."/>
        <s v="great way to buy my dog's food products…"/>
        <s v="Incredible rude and out of touch…"/>
        <s v="Packing"/>
        <s v="Reasonably effective but annoyingly…"/>
        <s v="Got my online order very quickly and…"/>
        <s v="PetFlow Always Delivers!!!"/>
        <s v="After hunting high and low through my…"/>
        <s v="We needed a shipping kennel."/>
        <s v="My first order and I was mailed wrong…"/>
        <s v="Your new source!"/>
        <s v="Good time on delivery"/>
        <s v="Quick turn around shipping"/>
        <s v="Great selections and ongoing discounts"/>
        <d v="2022-06-19T00:00:00Z"/>
        <s v="pet food"/>
        <s v="Please don’t say you have something in…"/>
        <s v="shipped immediately. Dog loves it!"/>
        <s v="The best service and prices"/>
        <s v="Amazing prices"/>
        <s v="Fast Shipping &amp; Price is Good"/>
        <s v="Triple check your cart"/>
        <s v="Good choices, good prices, fast shipping"/>
        <s v="Crushed Treats"/>
        <s v="Great products and very good customer…"/>
        <s v="PetFlow has the best prices"/>
        <s v="My 1st package was received missing…"/>
        <s v="Pet flow has great Customer service!"/>
        <s v="Petflow came through for me when I…"/>
        <s v="Awesome product and fast shipping!"/>
        <s v="Twice now I have ordered preacription…"/>
        <s v="Good company!"/>
        <s v="Generally I’ve been very pleased"/>
        <s v="My cat's food was listed as in stock on…"/>
        <s v="Delivery was delayed"/>
        <s v="Happy Customer!"/>
        <s v="Outstanding price for what I ordered"/>
        <s v="Fast shipping and excellent price."/>
        <s v="Lacking Customer Service and Knowledge of stock"/>
        <s v="The dog food we need is hard to find"/>
        <s v="I’m a little disappointed with Petflow"/>
        <s v="Fantastic!"/>
        <s v="My order was processed very slowly…"/>
        <s v="Terrible experience."/>
        <s v="naturvet yellow to green lawn spray"/>
        <s v="Petflow ran out of dog food in my area…"/>
        <s v="I got the food the quickest out of any…"/>
        <s v="Items not in stock as advertised"/>
        <s v="Food bags are always intact"/>
        <s v="So far so good."/>
        <s v="Great customer service and fast shipping."/>
        <s v="Great variety"/>
        <s v="Five Stars"/>
        <s v="Waste of Time"/>
        <s v="I've used PetFlow for my boy's food…"/>
        <s v="Inventory shortage"/>
        <s v="I have been very happy with PetFlow"/>
        <s v="They were great to work with!"/>
        <s v="The pups love the new food we found on…"/>
        <s v="They had everything in stock and was…"/>
        <s v="Great place to buy our pet supplies"/>
        <s v="Always great to do business with"/>
        <s v="I waited over a week for your pharma…"/>
        <s v="I was really pleased that u had the…"/>
        <s v="in need of food for my cat with diabetes"/>
        <s v="Worst Experience with Pet flow"/>
        <s v="I never received my purchase"/>
        <s v="Ordered prescription dog food you said…"/>
        <s v="The shipping box isn’t strong"/>
        <s v="I placed an order for Hills…"/>
        <s v="My order keeps getting cancelled"/>
        <s v="your phone reps have always been very…"/>
        <s v="Working hard for you and your pet!"/>
        <s v="Request for refund was denied"/>
        <s v="Never order from here"/>
        <s v="Petflow has what I need and delivery is on time"/>
        <s v="Improve Order Fulfillment Times"/>
        <s v="Your orders have all been fast and with…"/>
        <s v="Great price / fast shipping / great…"/>
        <s v="Better prices than elsewhere"/>
        <s v="Wanted to try another pet food home…"/>
        <s v="Prices fair but shipping times have…"/>
        <s v="Great and quick shipping"/>
        <s v="I love the variety of high quality…"/>
        <s v="Don’t even bother"/>
        <s v="Misleading and Rude"/>
        <s v="cancelled my orders"/>
        <s v="Great customer service, slow shipping and handling"/>
        <s v="It's ok"/>
        <s v="I ordered prescription pet food for my…"/>
        <s v="This is my third order"/>
        <s v="Always holds the inventory and deliver…"/>
        <s v="Worst customer service"/>
        <s v="CatLover"/>
        <s v="Excellent Service and Timely…"/>
        <s v="I am so impressed with not only how…"/>
        <s v="I am new to Petflow"/>
        <s v="I like using PetFlow and other sites…"/>
        <s v="In stock, but not really…"/>
        <s v="Always the highest quality products &amp;…"/>
        <s v="Petflow had what I needed in special…"/>
        <s v="Good service and a fair price"/>
        <s v="Wonderful experience"/>
        <s v="I have been ordering from Petflow for…"/>
        <s v="Shipping is so slow compared to Chewy"/>
        <s v="I have had nothing but positive…"/>
        <s v="Very prompt service and fair pricing."/>
        <s v="PetFlow was the only source for…"/>
        <s v="Fedex took more than a week to deliver."/>
        <s v="Customer service was not friendly"/>
        <s v="Lost FED X Order"/>
        <s v="Petflow is a good company to buy cat…"/>
        <s v="Found what I needed"/>
        <s v="Products in stock"/>
        <s v="Excellent alternative to Chewy."/>
        <s v="After reading many reviews I cancelled…"/>
        <s v="Great price and shipped well and…"/>
        <s v="Only cools for 15 minutes at best"/>
        <s v="The pharmacy said my dogs food wasn’t…"/>
        <s v="Badly Dented Dog Cans Again"/>
        <s v="Great service and good prices."/>
        <s v="I had the opportunity to subscribe"/>
        <s v="Shipped quick"/>
        <s v="Petflow auto-ship is awesome!"/>
        <s v="works well but no instructions on how…"/>
        <s v="Great price and quick shipping of the…"/>
        <s v="Easy easy easy"/>
        <s v="Great Service for the buck and Great…"/>
        <s v="The Most Wonderful Customer Service"/>
        <s v="I love the company and the fact that…"/>
        <s v="Good selection of products"/>
        <s v="had the product in stock"/>
        <s v="Items not as advertised even after…"/>
        <s v="Had an issue with my order"/>
        <s v="Pet flow always has the dog food in…"/>
        <s v="Best pet food store ever!"/>
        <s v="Fromm dog food is so awesome"/>
        <s v="Love there products and service."/>
        <s v="Poorly packaged for shipment"/>
        <s v="Fast deliveries and one of the few…"/>
        <s v="I ordered cat food on 5-18 and FedEx…"/>
        <s v="We love using PetFlow for our pets…"/>
        <s v="They had the food I had been searching…"/>
        <s v="Super great company with fast service…"/>
        <s v="Awesome company!"/>
        <s v="Excellent products and outstanding…"/>
        <s v="Excellent value and service"/>
        <s v="Petflow has the products I need and…"/>
        <s v="Every one at Pet Flow was extremely…"/>
        <s v="When I ordered they knew they were out…"/>
        <s v="I was so happy to find my pet food in…"/>
        <s v="Ordered dog food"/>
        <s v="Contact the State AG in Nevada"/>
        <s v="Ordered cat food"/>
        <s v="Fast delivery and quality product"/>
        <s v="I ordered dry cat food that you said…"/>
        <s v="Very easy ordering and quick delivery!"/>
        <s v="Good service good pet supplies"/>
        <s v="Ordered M/D dry cat food and you…"/>
        <s v="Having to contact support to cancel an…"/>
        <s v="This is the first time using PetFlowfast"/>
        <s v="Scam site"/>
        <s v="I like Pet Flow and the convenience of…"/>
        <s v="Placed an order for prescription pet food"/>
        <s v="I was trying to order prescription cat…"/>
        <s v="I have plenty (too much) food right…"/>
        <s v="I trust them"/>
        <s v="So glad I found PetFlow!"/>
        <s v="My total order was to receive 15%…"/>
        <s v="Have always had good service from…"/>
        <s v="Keep posting that they have Hill…"/>
        <s v="I have only received part of my order…"/>
        <s v="Great prices, fast shipping!"/>
        <s v="I have ordered only once from Flowpet…"/>
        <s v="Ordered special diet 10 days and…"/>
        <s v="Very friendly and knowledgeable people…"/>
        <s v="It is easy to change my order"/>
        <s v="I buy again and again"/>
        <s v="I placed my order from Canada and dealt…"/>
        <s v="Great service at PetFlow"/>
        <s v="Always ships quickly and arrives…"/>
        <s v="Took way to long to get here"/>
        <s v="This is a great company"/>
        <s v="Have been waiting in my prescription…"/>
        <s v="My dog is on RX dog food Hills Science…"/>
        <s v="I have purchased many Milk Bone pill…"/>
        <s v="Cancelled my order"/>
        <s v="Always delivered promptly"/>
        <s v="Received my product of prescription…"/>
        <s v="Pet flow has been very reliable"/>
        <s v="Very good service and fast delivery,I…"/>
        <s v="Items arrived quickly"/>
        <s v="Friendly"/>
        <s v="Efficient fast shipping and great…"/>
        <s v="Very happy with products"/>
        <s v="Puppy Food Found"/>
        <s v="Staff is very friendly and helpful"/>
        <s v="The constant urging to use &quot;auto-ship&quot;…"/>
        <s v="I tried to purchase prescription cat…"/>
        <s v="Impressed!"/>
        <s v="Easy to navigate site"/>
        <s v="My second order experience was just as…"/>
        <s v="I like the people and the products"/>
        <s v="Awesome service, selection, pricing and shipping!!"/>
        <s v="Excellent availability of products"/>
        <s v="So easy to order my pet's prescription…"/>
        <s v="I was searching for a specific food for…"/>
        <s v="I received my product before the…"/>
        <s v="Excellent service and product!!!!"/>
        <s v="When the package came everything was so…"/>
        <s v="Petflow had the dog food that I needed…"/>
        <s v="PetFlow came through"/>
        <s v="Coupons, discounts and lots of food/treat options!"/>
        <s v="Delivery was okay"/>
        <s v="Items not really in stock"/>
        <s v="Always helpful and answer my questions…"/>
        <s v="Easy to use"/>
        <s v="my order is always on time and very…"/>
        <s v="I made a large order"/>
        <s v="I love the service petflow provides"/>
        <s v="It took a week to find out the product I ordered wasn’t ieven in stock."/>
        <s v="No notifications"/>
        <s v="Great customer service and I really…"/>
        <s v="Great site for dog supplies"/>
        <s v="Tops in customer service"/>
        <s v="With the price of dog food getting more…"/>
        <s v="Always arriving promptly and the…"/>
        <s v="THE BEST PLACE TO PURCHASE ALL OF MY…"/>
        <s v="This was my first time using the site…"/>
        <s v="My ordered was submitted then cancelled…"/>
        <s v="Ordered hard to find diabetic cat food…"/>
        <s v="Products are good but the ones I wanted…"/>
        <s v="Great product and Transaction"/>
        <s v="I was very disappointed"/>
        <s v="Grateful for better prices"/>
        <s v="My cat likes the Friskies sensation cat…"/>
        <s v="Orders are accurate and delivered on…"/>
        <s v="Gast delivery and good price!"/>
        <s v="I've only used PetFlow once, but now, a happy and returning customer!"/>
        <s v="Frustrated with the lack of customer…"/>
        <s v="Great Items and Fast Delivery"/>
        <s v="Products ordered came quickly and…"/>
        <s v="We have shopped with Pet Flow for about…"/>
        <s v="Ready for some Captain's Plate"/>
        <s v="Always have what I need."/>
        <s v="Good selection of quality products!"/>
        <s v="Every order I have placed has been…"/>
        <s v="I’m very disappointed as the item u…"/>
        <s v="Fast delivery and they carry what I…"/>
        <s v="Petflow was very easy to order from and…"/>
        <s v="I've used PetFlow on and for 17+ years"/>
        <s v="I am always skeptical when ordering…"/>
        <s v="I successfully ordered Prescription…"/>
        <s v="PetFlow order experience"/>
        <s v="Love their service."/>
        <s v="Efficient and easy to use"/>
        <s v="Canceling orders again and again."/>
        <s v="Could not purchase in the end"/>
        <s v="Great product and packaging."/>
        <s v="I love the service I receive when I…"/>
        <s v="Order cancelled"/>
        <s v="PetFlow was a great shopping…"/>
        <s v="Hills Prescription Diet"/>
        <s v="My experience wasn't what I'd hoped"/>
        <s v="Great quality of products and super…"/>
        <s v="Perfect"/>
        <s v="When I was given a prescription for my…"/>
        <s v="Orders are shipped quickly"/>
        <s v="The products that I ordered were as…"/>
        <s v="I had never ordered from Pet flow…"/>
        <s v="I enjoyed finally finding a website…"/>
        <s v="I ordered a large pet carrier and was…"/>
        <s v="Received puppy food as ordered"/>
        <s v="Fast efficient service at a good price!"/>
        <s v="dog treats"/>
        <s v="I'm SO Thankful that I found PetFlow!!"/>
        <s v="PetFlow usually has products other…"/>
        <s v="Inaccurate Advertising"/>
        <s v="Great transaction"/>
        <s v="Quality"/>
        <s v="When i had a problem you fixed it fast"/>
        <s v="High quality clean and viable bird seed for a reasonable price."/>
        <s v="I’ve always had a great experience w…"/>
        <s v="Only place I could get this Hill's…"/>
        <s v="Petflow customer service agents are…"/>
        <s v="Service and customer service is…"/>
        <s v="This was my first time purchasing from…"/>
        <s v="Easy to order online &amp; customer service…"/>
        <s v="Overall excellent products and service"/>
        <s v="In love with Pet Flow"/>
        <s v="Was very disappointed with shipping…"/>
        <s v="While I wish Petflow did not use FedEx…"/>
        <s v="PetFlow has great pricing and fast…"/>
        <s v="Super easy to order from and they…"/>
        <s v="Quick Order and Script Process"/>
        <s v="The Petflow site was easy to navigate &amp; the price was right"/>
        <s v="happy with my order"/>
        <s v="The case of Hill ID Digestive care arrived damaged…"/>
        <s v="I placed an order for a second time…"/>
        <s v="Quick Iams cat food shipping"/>
        <s v="Very fast service."/>
        <s v="NOT A TRUSTWORTHY, RELIABLE AND HONEST VENDOR."/>
        <s v="took longer than we thought"/>
        <s v="This was a remarkable experience"/>
        <s v="Your service is terrible"/>
        <s v="Product packed well"/>
        <s v="Easy to order through my vet and super…"/>
        <s v="The product came on time and as…"/>
        <s v="We are now 7 days beyond the promised…"/>
        <s v="First time I ordered from Pet Flow"/>
        <s v="Website lies about stock"/>
        <s v="I was told to mail in the prescription…for a product they did not have"/>
        <s v="PetFlow has always delivered when…"/>
        <s v="Very happy with the experience!"/>
        <s v="Wrong address but quickly resolved"/>
        <s v="Quick shipping and responsive staff to…"/>
        <s v="Seemed to take a long time from order…"/>
        <s v="Needed to return a bag of cat food that…"/>
        <s v="Cat food arrived promptly."/>
        <s v="Fantastic service"/>
        <s v="Outstanding service! Competitive pricing!"/>
        <s v="I have discovered petflow to be a…blessing"/>
        <s v="REALLY GOOD PRODUCTS"/>
        <s v="Confused but satisfied"/>
        <s v="I went with PetFlow for our dog's food…"/>
        <s v="Ordering was very easy and they had a…"/>
        <s v="My latest order of two 15 pound bags of…"/>
        <s v="Unfortunate"/>
        <s v="Very pleased for many years"/>
        <s v="Items out of stock again"/>
        <s v="Happy to find PetFlow"/>
        <s v="They got my cat food and the order and delivery went thru smoothly and on time."/>
        <s v="Got the wrong product"/>
        <s v="I place a large order for dog and cat…"/>
        <s v="Website description should change"/>
        <s v="Perfect Kitten Feeding Bowls"/>
        <s v="My order was cancelled because my vet…"/>
        <s v="Please don’t show products as available if they’re not.."/>
        <s v="Website doesn't update for Out of Stock"/>
        <s v="Get my name right"/>
        <s v="Great Price and Reliable Shipping"/>
        <s v="Absolutely terrible"/>
        <s v="Always get what I order in a timely…"/>
        <s v="They executed the order beautifully"/>
        <s v="One of the few places that has grain…"/>
        <s v="The product I ordered was shipped and…"/>
        <s v="I was lied to from customer service"/>
        <s v="Your delivery is exceptional"/>
        <s v="Easy, Great, Fast"/>
        <s v="Always have what I need and receive it…"/>
        <s v="You take orders for items you dont have, why?"/>
        <s v="Order filled promptly and delivered…"/>
        <s v="Communication issues"/>
        <s v="Shipping quick and correct"/>
        <s v="You are sending me the wrong food."/>
        <s v="Easy, Convenient Service"/>
        <s v="My dog now needs kidney support food"/>
        <s v="Very quick service"/>
        <s v="Advertised dog food they didn't have"/>
        <s v="I ordered food and have been waiting…"/>
        <s v="I ordered a type of prescription dry…"/>
        <s v="Awesome company"/>
        <s v="Item showed in stock"/>
        <s v="When I order it says you have product"/>
        <s v="We have ordered dog &amp; puppy food from…"/>
        <s v="Product bought as advertised"/>
        <s v="Poor communication."/>
        <s v="Ordered but had to update my credit…"/>
        <s v="5 stars excellent service"/>
        <s v="Listing for sale out-of-stock merchandise"/>
        <s v="One of the kitty litter bags had small…"/>
        <s v="This was a good experience overall"/>
        <s v="PetFlow has everything I need!"/>
        <s v="Never received the product"/>
        <s v="I love Petflow.com because they are not…"/>
        <s v="Efficient"/>
        <s v="Your customer service was super!"/>
        <s v="Great competitive pricing"/>
        <s v="Customer service was easy to get in…"/>
        <s v="A pleasure to do business with!!"/>
        <s v="The item I ordered was ( and still is )…"/>
        <s v="Damaged Goods"/>
        <s v="Late delay of order"/>
        <s v="I am very satisfied with Petflo and the…"/>
        <s v="I will start by saying they ALWAYS have…"/>
        <s v="Fast delivery and great prices!"/>
        <s v="High quality difficult to find dog food…"/>
        <s v="I looked Everywhere for this particular Cat Food...."/>
        <s v="I have used Pet Flow foe about 12…"/>
        <s v="Always easy ordering with fast delivery!"/>
        <s v="They kept messing my order up double…"/>
        <s v="On my first order"/>
        <s v="Shipping was not as quick as it said"/>
        <s v="Shipping is fast and dog food is fresh!happy customer"/>
        <s v="Quite frankly"/>
        <s v="I chatted with a rep to see if Petflow…"/>
        <s v="Had a difficult time find the dog food…"/>
        <s v="You charged me for prescription cat…"/>
        <s v="One of the few sites that has Fromm dog…"/>
        <s v="Fair prices and very fast free…"/>
        <s v="Fair prices"/>
        <s v="prescription dog food - nonavailability"/>
        <s v="Excellent service."/>
        <s v="Large breed dog food"/>
        <s v="Fed Ex poor service. Very unhappy"/>
        <s v="Ordered two items but only one was…"/>
        <s v="I am unable to cancel my automatic…"/>
        <s v="Found hard to find food here"/>
        <s v="My order did not arrive on time and my…"/>
        <s v="Hard to Find Cat Food in Stock"/>
        <s v="Petflow for me"/>
        <s v="Right in time delivery"/>
        <s v="Great user friendly site"/>
        <s v="I placed my order for my dogs kibble"/>
        <s v="PetFlow makes it easy"/>
        <s v="I received the wrong size canned dog…"/>
        <s v="Do not buy!!"/>
        <s v="Able to get hard to find prescription dog food"/>
        <s v="Excellent customer service and…"/>
        <s v="The order was shipped quickly"/>
        <s v="Hands down the best choice for suppling your Pets!"/>
        <s v="I needed an addition to my regular…"/>
        <s v="I've been a customer of Petflow for 5…"/>
        <s v="Best company to deal with"/>
        <s v="Love buying from PetFlow"/>
        <s v="Great online store."/>
        <s v="False advertisement"/>
        <s v="My cat Willie"/>
        <s v="Fairly Happy Customer"/>
        <s v="I thought it took to long to receive my…"/>
        <s v="Hands down the best price in bulk cow…"/>
        <s v="No shipment yet"/>
        <s v="I was looking for a place that sold the…"/>
        <s v="I have been trying to find a…"/>
        <s v="Easy to navigate web site"/>
        <s v="The shelves were bare for the cat food…"/>
        <s v="Treats expired"/>
        <s v="No other supplier had this cat food"/>
        <s v="I am a returning customer"/>
        <s v="I couldn’t find my Yellow Lab her food…"/>
        <s v="PetFlow provides and delivers product…"/>
        <s v="Great customer service and very fast…"/>
        <s v="Great and fast service"/>
        <s v="Petflow has always come through on my…"/>
        <s v="A life saver"/>
        <s v="Our order shipped so fast"/>
        <s v="Great price on the right product"/>
        <s v="Very hard to find my dog's prescription…"/>
        <s v="I truly love all the products"/>
        <s v="Great company to work with"/>
        <s v="Pleased with prices and selections"/>
        <s v="Best customer service"/>
        <s v="Fast shipping and great prices"/>
        <s v="My last order was supposed to be 100…"/>
        <s v="Vet approved"/>
        <s v="I never received my order"/>
        <s v="The entire process of getting my dog's…"/>
        <s v="Everything My Maltipoo needs"/>
        <s v="Your customer service team is fast"/>
        <s v="good pricing"/>
        <s v="Love PetFlow!"/>
        <s v="I am very satisfied with PetFlow feed…"/>
        <s v="A great find!!"/>
        <s v="First shipment of dog food was good"/>
        <s v="They had what I was looking for"/>
        <s v="Love the selection and the speedy…"/>
        <s v="DISAPPOINTED - I needed my prescription dog food."/>
        <s v="Petflow never fails to provide quick…"/>
        <s v="Customer service is the best!"/>
        <s v="They have the dog food I want at a…"/>
        <s v="Ordered Little Stinker pads"/>
        <s v="Fast ship"/>
        <s v="So far I have received nothing from PetFlow."/>
        <s v="I am pleased with the ease of ordering"/>
        <s v="Everything went very well!"/>
        <s v="Unreliable Transport"/>
        <s v="Ordered Hills Rx dog food"/>
        <s v="Excellent website that makes ordering…"/>
        <s v="Company Lies about availability"/>
        <s v="cat harness"/>
        <s v="Petflow is a solid choice!"/>
        <s v="All went well"/>
        <s v="Go to chewy!!"/>
        <s v="Good Price and Quick, Free Shipping"/>
        <s v="Great quick service"/>
        <s v="Excellent customer service."/>
        <s v="You showed 5.5 oz cans in the photo and…"/>
        <s v="This company took my order for…"/>
        <s v="Not much to add to the 5 stars"/>
        <s v="So far, I like it!"/>
        <s v="Petflow had our Hills prescription food…"/>
        <s v="Product in stock as needed and always…"/>
        <s v="Love the delivery subscription service"/>
        <s v="You keep on accepting my order and then…"/>
        <s v="Expected earlier notification"/>
        <s v="Service was awesome!"/>
        <s v="My fussy cat loves these treats!"/>
        <s v="Hills Dog Treats"/>
        <s v="Only 1 bag of rabbit cookies"/>
        <s v="Horrible customer service"/>
        <s v="Website is easy to navigate"/>
        <s v="Glad I found you"/>
        <s v="Hard to find cat food"/>
        <s v="Fantastic customer service"/>
        <s v="dog won't eat"/>
        <s v="My second time buying my pet food at…"/>
        <s v="Horrible experience."/>
        <s v="Petflow is great!"/>
        <s v="My pets place!!"/>
        <s v="I was able to find the food I needed for my cat…"/>
        <s v="I buy crickets very often"/>
        <s v="Very satisfied with my order"/>
        <s v="Ordered prescription food on a time…"/>
        <s v="My dogs love the Buffalo treats"/>
        <s v="They always have what my parrots need…"/>
        <s v="I was able to connect with customer…"/>
        <s v="Very user friendly process"/>
        <s v="Great customer service and prices!"/>
        <s v="Good products and good service and…"/>
        <s v="Love Pet Flow!"/>
        <s v="First shipment was short"/>
        <s v="Very happy you carry Verus- delivery is…"/>
        <s v="PetFlow was fantastic"/>
        <s v="A fast and well packed delivery."/>
        <s v="PetFlow Saved the Day"/>
        <s v="My vet recommended this website for my…"/>
        <s v="Have been a satisfied customer for a…"/>
        <s v="They were fast with the shipping and…"/>
        <s v="I have never had to wait so long for an…"/>
        <s v="I do like Pet Flow as my go to food…"/>
        <s v="I have purchased the Oxbow organic hay…"/>
        <s v="There is obviously a shortage on royal…"/>
        <s v="I have used Pet Flow for years and…"/>
        <s v="Impressed"/>
        <s v="I love PetFlow for great customer…"/>
        <s v="Petflow is a wonderful site for pet parents"/>
        <s v="Good service although a bit slower than…"/>
        <s v="This was my first time ordering with…"/>
        <s v="Had the product my babies needed"/>
        <s v="I get the same dog food every time"/>
        <s v="Normally I am very happy with PetFlow…"/>
        <s v="Fixed it"/>
        <s v="Fast shipping Not a big selection of…"/>
        <s v="All of my normal vendors were out of my…"/>
        <s v="I am very happy to have found…"/>
        <s v="Overall pleased with this purchase."/>
        <s v="After I gave my credit card info and…"/>
        <s v="The order process was great"/>
        <s v="Representative did not follow through"/>
        <s v="Excellent First-Time Experience"/>
        <s v="Good selection"/>
        <s v="Love love PetFlow"/>
        <s v="I was grateful to find Petflow because…"/>
        <s v="Only got partial order"/>
        <s v="Good service, competitive prices"/>
        <s v="Easy ordering...love getting the…"/>
        <s v="Great prices on Fromm dog food"/>
        <s v="I have shopped PetFlow for years and…"/>
        <s v="Wrong flavor food received"/>
        <s v="I have ordered from them only a couple…"/>
        <s v="Great new experience"/>
        <s v="Petflow shipments are ALWAYS late"/>
        <s v="Always helpful customer service"/>
        <s v="Price is reasonable. Slow delivery."/>
        <s v="I love the service"/>
        <s v="Pet-flow since they came online has…"/>
        <s v="PetFlow took care of my request and…"/>
        <s v="Great product Fail on FedEx ground…"/>
        <s v="PetFlow has been excellent with every…"/>
        <s v="Usually a 5 Dented"/>
        <s v="Right brands &amp; right help when needed"/>
        <s v="Competitive pricing"/>
        <s v="Positive experience"/>
        <s v="The only place I can consistently find…"/>
        <s v="I purchased an item online"/>
        <s v="Horrible buying experience"/>
        <s v="Wow Customer Service Fast and Genuine"/>
        <s v="Since there is a shortage of my dog's…"/>
        <s v="I would give it 5 stars"/>
        <s v="Easy to order and at a great price"/>
        <s v="Quick response time and friendly…"/>
        <s v="I like that Pet Flow is accurate with…my orders."/>
        <s v="Happy with the product however when I…"/>
        <s v="Very easy online ordering and pretty…"/>
        <s v="I ordered the dog food on March 5th"/>
        <s v="MISLEADING advertisement"/>
        <s v="My order arrived in a timely manner"/>
        <s v="Excellent price and service."/>
        <s v="Pet flow is guilty of false advertising"/>
        <s v="Botched dog food order"/>
        <s v="Best Company Ever!"/>
        <s v="Dog delicious"/>
        <s v="Good product selection"/>
        <s v="Package left out in the rain."/>
        <s v="I've been buying from PetFlow for years…"/>
        <s v="Service was good and efficient"/>
        <s v="PetFlow always comes through for me"/>
        <s v="Perfect timing to get my prescription…"/>
        <s v="Not happy with delivery time -"/>
        <s v="This is the only place that has my dogs…"/>
        <s v="You got always what I need for my pets…"/>
        <s v="Fantastic Shipping and pricing"/>
        <s v="Super slow at shipping"/>
        <s v="Excellent service delivery etc"/>
        <s v="Im so happy to have found you"/>
        <s v="Damaged box and bad customer service"/>
        <s v="Good prices and fast delivery!"/>
        <s v="Won’t order from you again!"/>
        <s v="Always got good service from PetFlow."/>
        <s v="Quality products at great prices and speedy delivery. What more could one want?"/>
        <s v="Product was great but delivery took 4…"/>
        <s v="You usually deliver quite quickly but…"/>
        <s v="Real quick in shipment and correct…"/>
        <s v="I've always had good experiences with…"/>
        <s v="3 times I have ordered from your…"/>
        <s v="The PetFlow folks are always helpful"/>
        <s v="Would not accept a copy of the…"/>
        <s v="I am very pleased with PetFlow .."/>
        <s v="Had the products I wanted and received…"/>
        <s v="Timely delivery and had my cat’s…"/>
        <s v="I did not hear from Pet Flow quickly…Oh well"/>
        <s v="I ordered a food which my pets really…"/>
        <s v="Great store"/>
        <s v="Excellent product quality"/>
        <s v="My dog was given dry dog food"/>
        <s v="The Best"/>
        <s v="They always seem to have our dogs food"/>
        <s v="I feel that if you sent the…"/>
        <s v="My products were delivered in a timely…"/>
        <s v="Great deal"/>
        <s v="I have been a customer of PerFlow for…"/>
        <s v="I was waiting for my order on 3/02/22"/>
        <s v="Website is ease to use"/>
        <s v="excellent prices"/>
        <s v="Received fast shipping on product and…"/>
        <s v="PetFlow had the food that I needed"/>
        <s v="Great shipping, very poor website interface"/>
        <s v="Very responsive and good products."/>
        <s v="The Beef Pizzle Steer Bully Sticks Dog…"/>
        <s v="Sorry to say goodbye"/>
        <s v="Easy to order and find items on your…"/>
        <s v="My dog food arrived quickly and was…"/>
        <s v="Prompt delivery every time!"/>
        <s v="First and last time ordering"/>
        <s v="Fast delivery of the perfect puppy food…"/>
        <s v="Bad business practice."/>
        <s v="Good fast reliable service."/>
        <s v="Better deals!"/>
        <s v="The lid on my automatic dog feeder and…"/>
        <s v="A very happy customer!"/>
        <s v="With shortage of pet food currently…"/>
        <s v="Prompt when shipping items in stock"/>
        <s v="Packaging was poorly done on feed bags"/>
        <s v="Happy with my purchase"/>
        <s v="Great products and fast delivery"/>
        <s v="It is helpful to have pet food…"/>
        <s v="Thanks for having the food I wanted…"/>
        <s v="Always reliable for stock and fast…"/>
        <s v="My order was shipped fast"/>
        <s v="Shipping is too long and items aren't…"/>
        <s v="Great first time buyer experience"/>
        <s v="For years I have been happy with…"/>
        <s v="What a GREAT Company"/>
        <s v="Some cans were damaged and dented"/>
        <s v="Not happy back order food"/>
        <s v="Hard to give a review when I haven't…"/>
        <s v="Quality Dog Food"/>
        <s v="They always have what I need in stock…"/>
        <s v="Love it"/>
        <s v="can't deliver"/>
        <s v="Every time I reach out to PetFlow"/>
        <s v="The cat food I bought to help my cat…"/>
        <s v="The Instinct dog food is great"/>
        <s v="When I order my food is always…"/>
        <s v="I really enjoy PetFlow"/>
        <s v="Expiration dates would be helpful"/>
        <s v="A Pleased New Customer"/>
        <s v="My first order and it was easy and…"/>
        <s v="Great customer service over the phone…"/>
        <s v="Very happy with the delivery process…"/>
        <s v="they didn't work with me"/>
        <s v="A year ago I would have given you five…"/>
        <s v="I am very satisfied"/>
        <s v="Pleasure to do business with"/>
        <s v="Thank you so much for getting Charles…"/>
        <s v="Easy to place an order and quick and…"/>
        <s v="Appreciated the quick turnover and…"/>
        <s v="Food packages always damaged"/>
        <s v="continual delayed deliveries"/>
        <s v="Not happy-go-lucky"/>
        <s v="Got the prescription promptly after…"/>
        <s v="First Time Purchase"/>
        <s v="I was pleasantly surprised at how quick…"/>
        <s v="I love ordering from petflow for all my…"/>
        <s v="Petflow had what I was looking for and…"/>
        <s v="It took way too long to receive my…"/>
        <s v="We received our order on time and free…"/>
        <s v="Love petflow!!"/>
        <s v="Customer for years!"/>
        <s v="The price is fair"/>
        <s v="Definitely Would Recommend Petflow!"/>
        <s v="We and our cats loved all the toys we…"/>
        <s v="PetFlow maintains a huge assortment of…"/>
        <s v="Wrong shipping info. Dog food."/>
        <s v="I changed my address 2 weeks before…"/>
        <s v="Pet flow did everything correctly"/>
        <s v="Simply the BEST!"/>
        <s v="Overall a positive experience with one glitch"/>
        <s v="Everything is wonderful except for the…"/>
        <s v="Happy I made the switch!"/>
        <s v="shipping company used is awful"/>
        <s v="Charged for cancelled order"/>
        <s v="My order arrived on time in great…"/>
        <s v="Super easy shipping and processing…"/>
        <s v="Treats were shipped really fast and was…"/>
        <s v="The ease of ordering and how fast my…"/>
        <s v="I had the best girl with customer…"/>
        <s v="The system has twice now changed my…"/>
        <s v="Placed my first order with Petflow and…"/>
        <s v="Shipping communication"/>
        <s v="Quick shipping, timely delivery, and helping pets."/>
        <s v="I had a problem and their customer…"/>
        <s v="Most of the representatives I…"/>
        <s v="Glad I found them!!"/>
        <s v="Pet Flow order came even faster than…"/>
        <s v="Science Diet Prescription CD"/>
        <s v="My cat Winnie loves Nutro wet cat food…"/>
        <s v="Easy to use and fast shipping"/>
        <s v="Food is shipped quickly every time and…"/>
        <s v="Easy, reliable, fast service for hard to find products"/>
        <s v="Pet Flow was the only place that had…"/>
        <s v="I appreciated being informed that you…"/>
        <s v="No complaints"/>
        <s v="Charged me shipping because they did not have the product after I ordered it."/>
        <s v="I ordered prescription cat food"/>
        <s v="PetFlow needs some serious work on its…"/>
        <s v="Will Definitely Order Again"/>
        <s v="Fast easy ordering and my dog loves the…"/>
        <s v="PetFlow is a wonderful place to get…"/>
        <s v="We’ve ordered from this company many…"/>
        <s v="I reached out to customer support"/>
        <s v="No package"/>
        <s v="You had the prescription food I needed…"/>
        <s v="Requested Help With Account"/>
        <s v="Open Farm Dog food"/>
        <s v="I adopted a special needs cat"/>
        <s v="Great product but expensive"/>
        <s v="No issues"/>
        <s v="Great deals on dog food with quick…"/>
        <s v="This was my first order and was pleased…"/>
        <s v="I ordered the Van Ness medium crock…"/>
        <s v="was disappointed in how long it took my…"/>
        <s v="Petflow was efficient with excellent…"/>
        <s v="Great service and products!"/>
        <s v="Forget About Prescription Diets"/>
        <s v="It has been a tough few months for dog food deliveries."/>
        <s v="Very angry with you"/>
        <s v="Pet Flow never disappoints me or my fur…"/>
        <s v="Easy ordering quick delivery"/>
        <s v="Poor company management"/>
        <s v="In stock and fast."/>
        <s v="Great product and fast shipping"/>
        <s v="The site shows in stock when in fact it…"/>
        <s v="In stock items and great pricing!"/>
        <s v="I’ll have an opinion when I confirm the…"/>
        <s v="Excellent product and service"/>
        <s v="Use a different shipping company"/>
        <s v="My cat had emergency surgery"/>
        <s v="Shipment"/>
        <s v="I have been using auto ship with this…"/>
        <s v="Fromm Duck &amp; Veg."/>
        <s v="The order was filled as promised!"/>
        <s v="Very happy customer"/>
        <s v="I ordered cat food."/>
        <s v="Have been using PetFlow for years"/>
        <s v="Website listed my cat's prescription…"/>
        <s v="Very nice company to work with"/>
        <s v="I was very pleased with the order that…"/>
        <s v="Good product. Bad customer service!!!"/>
        <s v="Good service and pricing"/>
        <s v="I like shopping at Petflow"/>
        <s v="You had my hard to find food"/>
        <s v="PetFlow just gets it done each and every time."/>
        <s v="I shopped online for Royal Canin Digest…"/>
        <s v="Very Satisfied"/>
        <s v="Very fast and accurate delivery."/>
        <s v="They have the food I want for my dogs…excellent"/>
        <s v="I just want to share a WOW from…"/>
        <s v="Everything is always prefect"/>
        <s v="Have my brand!"/>
        <s v="My first time using g Pet Flow"/>
        <s v="Have a good product selection....prompt…"/>
        <s v="Transaction was perfect"/>
        <s v="Great company!"/>
        <s v="great selection of foods"/>
        <s v="Order came on time."/>
        <s v="Excellent source for my sweet…"/>
        <s v="Great and quick service!"/>
        <s v="Excellent price and very fast shipping!"/>
        <s v="Your company sucks I'm never buying any…"/>
        <s v="Cat food in stock!"/>
        <s v="I am very happy with my order from…Petflow"/>
        <s v="Super fast shipping and easy to deal…"/>
        <s v="Easy site to use and had what I needed."/>
        <s v="Petflow has been charging me for dog…"/>
        <s v="Good service &amp; communications"/>
        <s v="all are OK."/>
        <s v="I am so thrilled with the fast delivery…"/>
        <s v="New customer Impression"/>
        <s v="Hello"/>
        <s v="Proper handling of freeze dried dog food."/>
        <s v="Big Fan of PetFlow!"/>
        <s v="Easily found the dog food I wanted"/>
        <s v="Finally found a store that has my…"/>
        <s v="Improvements need to be made"/>
        <s v="Petflow online lets my pets eat well"/>
        <s v="THESE TAIL WAGERS ( beef rib bones ) …"/>
        <s v="Price was good"/>
        <s v="Speedy delivery!"/>
        <s v="Repeat customer"/>
        <s v="first order and didn't have any…"/>
        <s v="Excellent service &amp; merchandise."/>
        <s v="I ordered treats for my fur babies"/>
        <s v="Product was on time buy packaging was…"/>
        <s v="Enjoyed the prompt service"/>
        <s v="I’m happy they had the product I need"/>
        <s v="Delivery is always super fast and much…"/>
        <s v="Paid for order to only be refunded days…"/>
        <s v="Ordered 3 products…"/>
        <s v="I ordered prescription dog food and it…"/>
        <s v="Local vets out of prescribed cat food"/>
        <s v="Items shipped wrong twice"/>
        <s v="Quick service n delivery.. Dogs live the product its fresh and prescription diet as vet ordered."/>
        <s v="Items arrived promptly"/>
        <s v="I would have preferred to get my items…"/>
        <s v="Great Company! Great prices! Great service!"/>
        <s v="Quality affordable bird toys"/>
        <s v="Very easy to use and very fast…"/>
        <s v="From start to finish"/>
        <s v="I ordered puppy food through petflow…"/>
        <s v="Orders arrived promptly."/>
        <s v="I have ordered from Petflow almost 10…"/>
        <s v="The right products"/>
        <s v="Farmina Ancestral Grains Chicken Pomegranate Medium/Maxi Light"/>
        <s v="Very happy that what I need for my dog…"/>
        <s v="I signed up for the automatic order"/>
        <s v="Where is my prescription order, after 11 days."/>
        <s v="My order was canceled and no one…"/>
        <s v="New Order"/>
        <s v="Sent me the wrong product twice in a…"/>
        <s v="They carry Fromm that our dogs love"/>
        <s v="Absolute scam of a company"/>
        <s v="Yippee!"/>
        <s v="Great service and prices"/>
        <s v="I still haven’t received my product"/>
        <s v="Perfection!"/>
        <s v="Poor communication &amp; follow up"/>
        <s v="Order as expected &amp; on time"/>
        <s v="Wish there were sales on Fromm dog food."/>
        <s v="Quick and reliable."/>
        <s v="PetFlow had a product in stock when no one else did!"/>
        <s v="love this place"/>
        <s v="My experience overall has been very…"/>
        <s v="Out of stock food"/>
        <s v="PetFlow Solves My Problem Quickly"/>
        <s v="I am so impressed with every stage in…"/>
        <s v="Always pleased with PetFlow"/>
        <s v="Very fast shipping which is really…"/>
        <s v="This was the first time I ordered from…"/>
        <s v="Your service has been very good"/>
        <s v="Order from PetFlow"/>
        <s v="Always very…"/>
        <s v="I love this company"/>
        <s v="I like that some of my auto ship order…"/>
        <s v="My Review"/>
        <s v="Just Perfect!"/>
        <s v="Highly Recommend PetFlow"/>
        <s v="My experience with petflow has been all…"/>
        <s v="This was my first order"/>
        <s v="Xxxxcc"/>
        <s v="Excellent Service!!"/>
        <s v="Ordered a veterinarian prescription…"/>
        <s v="Perfect !"/>
        <s v="Wonderful Customer Service!!"/>
        <s v="PetFlow not only had what I needed but…"/>
        <s v="Petflow has always been there w/full…"/>
        <s v="PetFlow makes it easy for me to get a…"/>
        <s v="This is the second ordered I placed…"/>
        <s v="Website and order process were both…"/>
        <s v="A unhappy customer"/>
        <s v="I phoned prior to placing an order..."/>
        <s v="So glad I found PetFlow"/>
        <s v="Fast delivery!"/>
        <s v="Had What I Needed and Received Order On-time"/>
        <s v="Items came on time."/>
        <s v="Order still not shipped"/>
        <s v="First order"/>
        <s v="Good products BUT"/>
        <s v="Your website and customer reps have no…"/>
        <s v="Prescription Diet K/D food is important"/>
        <s v="This was my first time using Pet Flow"/>
        <s v="I got my exact order very quickly"/>
        <s v="Web site ordering and auto-ship process…"/>
        <s v="My last order had 2 items that were out…"/>
        <s v="Every aspect of Petflow is superb!"/>
        <s v="In a world where cat food is an item on…"/>
        <s v="Will shop again"/>
        <s v="the worst"/>
        <s v="Slow on delivery and communication"/>
        <s v="Very pleased!"/>
        <s v="Unfortunately my last 2 ordered have…"/>
        <s v="The plus with Petflow is that they…"/>
        <s v="Very accommodating"/>
        <s v="Delays, Delays and more delays"/>
        <s v="Petflow has most of the items that I…"/>
        <s v="Disappointment"/>
        <s v="Picture did not match item sent"/>
        <s v="arrived quickly and in good condition"/>
        <s v="6 out of my 10 items were cracked"/>
        <s v="Defective Item"/>
        <s v="As soon as I gave him his first taste…"/>
        <s v="This was my first order from PetFlow"/>
        <s v="This would be five stars"/>
        <s v="Dog food and treats online worked out great!"/>
        <s v="Petflow improves but still got a ways to go"/>
        <s v="Good selection of pet food"/>
        <s v="Extremely Pleased!!! My dog is on a prescription dog food…"/>
        <s v="I ordered a 25lb bag of dog food along…"/>
        <s v="Great on time delivery"/>
        <s v="Petflow does what's right by their customers"/>
        <s v="Fast Delivery/Product Availability"/>
        <s v="30% of my deliveries have had slashes…"/>
        <s v="Ordered nearly two weeks ago Rx dog…"/>
        <s v="Good selection and reasonable shipping…"/>
        <s v="Easy to order and always fast delivery."/>
        <s v="i was very happy with service from…"/>
        <s v="Good service and the dogs love the food."/>
        <s v="Fast shipping and great service"/>
        <s v="Was disappointed on my order"/>
        <s v="I give one star only because 0 wasn't…"/>
        <s v="The box was falling apart- I can't…"/>
        <s v="I really loved my experience with PetFlow"/>
        <s v="Fabulous website &amp; excellent customer…"/>
        <s v="Excellent company"/>
        <s v="Great Company to order products wanted…"/>
        <s v="First Order - All Good"/>
        <s v="Quick and easy to receive pet food"/>
        <s v="Try Chewy/This review site requires you to accept certain terms and conditions so don't bother filling this out if you want privacy."/>
        <s v="Good service."/>
        <s v="accurate and timely delivery"/>
        <s v="Very good customer service."/>
        <s v="It has taken too long to receive my…"/>
        <s v="Products received on time"/>
        <s v="Being told it was delivered and it…"/>
        <s v="Easy to order and quick shipment."/>
        <s v="Only received 1/2 of RX cat food order…"/>
        <s v="Placed order 1/3/22"/>
        <s v="Generally timely and professional…except for the use of FedEx"/>
        <s v="My order was fulfilled in two days…"/>
        <s v="PETFLOW is the only supplier I can get…"/>
        <s v="Check your bank balances people"/>
        <s v="No problems with the product but..."/>
        <s v="Overall I love PetFlow"/>
        <s v="They make it easy"/>
        <s v="Called PetFlow to see if I could get…"/>
        <s v="Extremely good service"/>
        <s v="My package was stolen and they reached…"/>
        <s v="Petflow helped me out in a pinch when…"/>
        <s v="Reasonable prices"/>
        <s v="Downhill service from Pet Flow"/>
        <s v="They could not deliver"/>
        <s v="My auto ship from Petflow is so easy to…"/>
        <s v="Have ordered my furkids prescription…"/>
        <s v="Variety!"/>
        <s v="Dog gates are sturdy"/>
        <s v="The app is difficult"/>
        <s v="Fedex has not yet delivered the package"/>
        <s v="Pet Flow shipments are always ontime…"/>
        <s v="Great Selection and Service"/>
        <s v="Products have been great"/>
        <s v="I ordered dog treats from the company my…"/>
        <s v="Product delivered on time as promised"/>
        <s v="Not good service"/>
        <s v="Shipping has been off for autoship"/>
        <s v="Shipping dates are really slow"/>
        <s v="Terrible!! Won't use this company again."/>
        <s v="Great service-always on time"/>
        <s v="Excellent variety and quick delivery"/>
        <s v="Still haven’t received my order"/>
        <s v="pet flow order stuck in Colorado....not delivered"/>
        <s v="Customer service is top notch"/>
        <s v="I really like your products"/>
        <s v="Pricing good"/>
        <s v="I was luckily to find what I needed at…"/>
        <s v="Been with Petflow going on 5 years now"/>
        <s v="Delivery was quick and I'm very happy…"/>
        <s v="25% discount on quality dog food"/>
        <s v="PetFlow: not to be trusted / disaster"/>
        <s v="Very Fast service"/>
        <s v="Food took 11 days to get here"/>
        <s v="Still Waiting"/>
        <s v="Would really like invoice included with…"/>
        <s v="Perfect all around!"/>
        <s v="PetFlow came through when other trusted…"/>
        <s v="Love your service."/>
        <s v="First and Last Order, Never Again"/>
        <s v="Good site; but…"/>
        <s v="Pet flow staff have been knowledgeable"/>
        <s v="Each order comes as anticipated and…"/>
        <s v="Good product and fast delivery."/>
        <s v="Still waiting for an order….."/>
        <s v="First time ordering from PetFlow"/>
        <s v="PetFlow has a great selection and…"/>
        <s v="Ordered three bags of dog food"/>
        <s v="I’ve ordered from Petflow for over 5…"/>
        <s v="Never did get my order and it took 3…"/>
        <s v="Excellent service and value !"/>
        <s v="My dog LOVES this new pet food!"/>
        <s v="Great food...our 5 dogs love it."/>
        <s v="Great service fast delivery"/>
        <s v="Very fast delivery"/>
        <s v="My order arrived on time and complete"/>
        <s v="I’m very happy with Petflow"/>
        <s v="Quick response to my order with…"/>
        <s v="Food and toy came quicker than expected."/>
        <s v="My order came in good time"/>
        <s v="Very good company with a wide selection…"/>
        <s v="Great selection of product"/>
        <s v="Coupons and FedEx"/>
        <s v="Buddy &amp; his treats!"/>
        <s v="Exactly what I would expect - in a very good way."/>
        <s v="Overflow consistently delivers high…"/>
        <s v="Incredible kindness from customer service"/>
        <s v="Convenient but get multiple shipments I don’t want"/>
        <s v="Love this company!"/>
        <s v="I still haven’t received my order."/>
        <s v="Top quality and customer service"/>
        <s v="On time and best price"/>
        <s v="Great site, great service"/>
        <s v="Do not order from this site"/>
        <s v="Very timely service"/>
        <s v="Always fast delivery and good prices."/>
        <s v="Great + quick delivery"/>
        <s v="One of the few places I could find what…"/>
        <s v="always get my order quickly and good…"/>
        <s v="I was pleasantly surprised that PetFlow…"/>
        <s v="Everything came to my home in time…"/>
        <s v="Love this company always have what I…"/>
        <s v="Easy website layout and good selection…"/>
        <s v="Excellent quick delivery with best…"/>
        <s v="My initial shipment was damaged but PetFlow made it right"/>
        <s v="Fast shipping."/>
        <s v="It's been over two weeks and I have yet…"/>
        <s v="Received exactly what I ordered and in…"/>
        <s v="Very nice"/>
        <s v="PetFlow is my go to...."/>
        <s v="Pet Flow stocks the dog food I need"/>
        <s v="PetFlow offers a wide variety of…"/>
        <s v="It take too long to arrive to my area."/>
        <s v="I was sucked in by the promise of a discount"/>
        <s v="Service extremely quick and they seem…"/>
        <s v="I’m a happy camper"/>
        <s v="Pet Flow great, delivery awful."/>
        <s v="Petflow has been fine"/>
        <s v="A Company Dedicated to Service"/>
        <s v="Good product, well packaged"/>
        <s v="My dog food took 1 week and 1/2 to…"/>
        <s v="I thought I had cancelled one order to…"/>
        <s v="PetFlow delivers quickly"/>
        <s v="Food fine;shipping not; PetFlow customer service - no response"/>
        <s v="Great selection and easy to check out"/>
        <s v="Petflow is efficient and speedy"/>
        <s v="PetFlow is fast and accurate"/>
        <s v="I made an order from Petflow awhile…"/>
        <s v="On time, order complete but a boxed soapy mess."/>
        <s v="As always 5 stars"/>
        <s v="My one complaint is that you cannot…"/>
        <s v="Very happy!"/>
        <s v="They shipped my wet catfood over a week…"/>
        <s v="Prompt shipping"/>
        <s v="Petflow is a class act"/>
        <s v="prices r good shipping fast"/>
        <s v="Good product and fast shipping"/>
        <s v="Excellent service with competitive…"/>
        <s v="There was a mistake in the order and…"/>
        <s v="The price was right and the quality was…"/>
        <s v="Great site"/>
        <s v="Friendly staff, great selection of cat food, and quick shipping!"/>
        <s v="Ordering made easy!"/>
        <s v="Never had a problem"/>
        <s v="Very Happy with Order &amp; Delivery"/>
        <s v="Get place for special dog food delivery"/>
        <s v="I have had great experience with PetFlow."/>
        <s v="Always quality items from Pet Flow"/>
        <s v="I like this company"/>
        <s v="Do not buy from Pet Flow False info on delivery date"/>
        <s v="Great communication and speedy service…"/>
        <s v="Placed order and received item earlier…"/>
        <s v="I’m still waiting for my dog food…"/>
        <s v="Things came well packaged and timely"/>
        <s v="Took 6 days in transit"/>
        <s v="Prices were good"/>
        <s v="PetFlow is responsive to clients"/>
        <s v="All's well"/>
        <s v="what i wanted quickly received with…"/>
        <s v="huge variety of pet supplies and fast…"/>
        <s v="I couldn’t"/>
        <s v="Very prompt"/>
        <s v="Had product and delivered in a timely…"/>
        <s v="Quick and easy."/>
        <s v="I changed my delivery date and the…"/>
        <s v="Received the wrong items"/>
        <s v="Fast delivery and great product as…"/>
        <s v="Best offer"/>
        <s v="Super service for shipping my Fromm…"/>
        <s v="The store itself has great prices and selection."/>
        <s v="Shipped fast and had the items in stock…"/>
        <s v="Excellent service and the best pricing"/>
        <s v="Very pleased with Pet Flow's service…"/>
        <s v="Great prices and selections of high…"/>
        <s v="PetFlow has the best prices for pet…"/>
        <s v="Good and fresh"/>
        <s v="Every time I order from here."/>
        <s v="Great customer service &amp; products."/>
        <s v="Staff were very good at listening and…"/>
        <s v="Excellent customer service and fast…"/>
        <s v="My delivery isn’t not coming,very very…"/>
        <s v="I was very pleased with my order!"/>
        <s v="Petflow apparently doesn't put in…"/>
        <s v="👍Petflow"/>
        <s v="Supply issues and mix ups plagued my service"/>
        <s v="we love pet flow"/>
        <s v="We ordered pet food on Nov 26 and…"/>
        <s v="Needs to improve on your customer…"/>
        <s v="I am very happy with my purchase of cat…"/>
        <s v="They have great customer service"/>
        <s v="Love this company"/>
        <s v="Very few notices of what was going on"/>
        <s v="I would’ve given a 5 star review…I should’ve gotten an explanation."/>
        <s v="Only half my order arrived so far"/>
        <s v="Great service as usual even over the…"/>
        <s v="Website easy"/>
        <s v="Thanks for having the food in stock"/>
        <s v="received the delivery on time"/>
        <s v="Great experience!"/>
        <s v="Shipping not according to what was…"/>
        <s v="Excellent transaction :) Will shop…"/>
        <s v="Just as expected no disappointment here!"/>
        <s v="PetFlow / Petco / PetSmart"/>
        <s v="My Hund loves the chow we ordered from…"/>
        <s v="The folks at PetFlow were kind enough…"/>
        <s v="Great and prompt service and delivery"/>
        <s v="I placed orders during weekends"/>
        <s v="I thought that the price was high…"/>
        <s v="Very happy with my purchase experience"/>
        <s v="I paid for a package of food for my…"/>
        <s v="I wrote to the company regarding a customer service issue, where their backorder the employee said I didn't have funding!"/>
        <s v="Pleased with Auto Order"/>
        <s v="Slow delivery"/>
        <s v="The whole reason why I ordered from…"/>
        <s v="I was very happy to be able to find a…"/>
        <s v="Very impressed with being able to get…"/>
        <s v="Easy website to navigate"/>
        <s v="Customer service has"/>
        <s v="Prompt delivery and good price."/>
        <s v="Third time they have got the order wrong !!!!!!!!!!!!!!!!!!!!!!!!!!!!!!!!!!!!!!!!!!!!!"/>
        <s v="Easy to use website and fast shipping."/>
        <s v="&quot;Out of Stock&quot;"/>
        <s v="Food purchase"/>
        <s v="I'd order again."/>
        <s v="You carry the dog food that my puppy…"/>
        <s v="Awful Communication"/>
        <s v="Can someone contact me?"/>
        <s v="Excellent product"/>
        <s v="Need better shipping info sent by email"/>
        <s v="Hills Metabolic canned Food"/>
        <s v="Excellent prices and delivery."/>
        <s v="Product was as advertised,works great"/>
        <s v="5 days after I should have recieved my…"/>
        <s v="Fast service"/>
        <s v="Great service thank you"/>
        <s v="Delayed getting my dog food"/>
        <s v="Convenience plus"/>
        <s v="Quick Delivety"/>
        <s v="Very happy with my purchase, Excellent Customer Service"/>
        <s v="It was supper easy to place my order"/>
        <s v="Good job sending package on timely…"/>
        <s v="Had products I couldn't find any other…"/>
        <s v="Dog food was listed in stock at time of…"/>
        <s v="NEVER RECEIVED MY ORDER IN OVER A MONTH…"/>
        <s v="Order placing was easy"/>
        <s v="Very satisfied with everything."/>
        <s v="Organized &amp; Professional, but....…"/>
        <s v="Saved from having my kitten upset"/>
        <s v="Didn't get half of what I ordered?"/>
        <s v="Fast shipping and great inventory of…"/>
        <s v="We use auto ship for most of the…Auto Ship is extremely difficult to edit and use."/>
        <s v="Speedy delivery"/>
        <s v="Convenience for the win!"/>
        <s v="good products great prices"/>
        <s v="Great First Experience!"/>
        <s v="POOR BUSINESS PRACTICES"/>
        <s v="Everything went smoothly from ordering all the way to delivery. Very happy and will use them again."/>
        <s v="Delivery was delayed 3 times"/>
        <s v="Ordered prescription dog food"/>
        <s v="I am totally impressed with petflow"/>
        <s v="I have been using petflow for several…"/>
        <s v="Great products and service that excels"/>
        <s v="I spoke with a very helpful woman who…"/>
        <s v="I placed an order on 11/2"/>
        <s v="My husband shopped here last Christmas…"/>
        <s v="Location of drop off"/>
        <s v="EXCELLENT service and everything packed…"/>
        <s v="Currently waiting to receive order"/>
        <s v="I love the quick delivery when we order…"/>
        <s v="goog"/>
        <s v="Ordered dog food for the first from…"/>
        <s v="Fast shipping...."/>
        <s v="They let me order food and charged me…"/>
        <s v="I’ve used PetFlow for a year now"/>
        <s v="Late package great customer service"/>
        <s v="Great pricing however I Wasn't able to…"/>
        <s v="Very slow to ship resulted in poor…"/>
        <s v="I spoke with somebody in chat and I…"/>
        <s v="Although I have had great success with…"/>
        <s v="Petflow is a good source of hard to find foods."/>
        <s v="Love Petflow products"/>
        <s v="My dog food always arrives on time"/>
        <s v="This gate is working very well at our…"/>
        <s v="Excellent alternative to Chewy"/>
        <s v="Thank you so much Petflow"/>
        <s v="Never received the dog food I ordered…"/>
        <s v="Petflow is a great company to do my on…"/>
        <s v="like the quick service and available…"/>
        <s v="Always get my pups treats and food from…"/>
        <s v="Bait and Disappoint"/>
        <s v="my new found GEM!!!"/>
        <s v="PetFlow has what you’re looking for"/>
        <s v="slow with shipping and handling"/>
        <s v="I ordered a few items using an account…"/>
        <s v="You've Earned My Business"/>
        <s v="Something about that penny"/>
        <s v="Ordered online instead of my local…"/>
        <s v="Quickly filled order, delayed delivery"/>
        <s v="Our order was delivered very fast"/>
        <s v="Absolutely perfect"/>
        <s v="Shipped promptly and great prices"/>
        <s v="Over promised and Under delivered."/>
        <s v="Damaged order"/>
        <s v="Dog likes food it’s too expensive"/>
        <s v="Always correct and quick"/>
        <s v="Outstanding customer service"/>
        <s v="Ordered everything"/>
        <s v="Focus on your"/>
        <s v="THE TREATS WERE PERFECT AND FAST…"/>
        <s v="Amazing"/>
        <s v="Just started auto ship of a cat food"/>
        <s v="Love pet flow"/>
        <s v="Autoship"/>
        <s v="Always an easy transaction"/>
        <s v="Didn’t have my order in stock and…"/>
        <s v="The. best place to auto order treats and food for your dogs!"/>
        <s v="While most others were out; we found the canned food our pet needed a PetFlow"/>
        <s v="I love the autoship option for my cat…"/>
        <s v="Petflow is my most trusted vendor"/>
        <s v="Product was delivered quickly"/>
        <s v="Excellent communication and outstanding customer service"/>
        <s v="Excellent customer service and easy…"/>
        <s v="Customer Service is good to work"/>
        <s v="Selling empty air"/>
        <s v="I placed an order and had to cancel"/>
        <s v="PetFlow is wonderful"/>
        <s v="I wish I had known about you sooner"/>
        <s v="Products are great"/>
        <s v="Always great service and excellent…"/>
        <s v="have been waiting for almost 2 weeks…"/>
        <s v="shipping and delivery could be quicker"/>
        <s v="I really like Pet Flow and would order…"/>
        <s v="Thumbs up"/>
        <s v="PetFlow has excellent customer service, but..."/>
        <s v="Website needs to be more functional"/>
        <s v="Customer service was great, but"/>
        <s v="Happy Mom, happy dogs!"/>
        <s v="Can you wait til I receive my order"/>
        <s v="Might beat Chewy eventually"/>
        <s v="I love being a Pet Flow customer!"/>
        <s v="I have 5 cats for whom the…"/>
        <s v="Delivery of my product arrived timely… BUT"/>
        <s v="My experience with PetFlow was…"/>
        <s v="Always fast shipping and great products…"/>
        <s v="Fast delivery."/>
        <s v="Products are fine"/>
        <s v="My puppy and cat love it."/>
        <s v="This was the very first time I ever…"/>
        <s v="It’s been weeks and I haven’t received…"/>
        <s v="the orders are always late"/>
        <s v="Because as a customer PetFlow mislead me"/>
        <s v="Unfortunately when I placed my order my…"/>
        <s v="Very punctual and nice."/>
        <s v="PetFlow came through for me with a…"/>
        <s v="Love the convenience of not having to…"/>
        <s v="Great fast service"/>
        <s v="Horrible customer service keeps lying…"/>
        <s v="Has most any product you could want"/>
        <s v="Fast order great packaging great price"/>
        <s v="I love the service however 2 bags of…"/>
        <s v="I used to use other well-known online…"/>
        <s v="The service and delivery was great."/>
        <s v="Great customer service!!"/>
        <s v="The kitty litter box split and was all…"/>
        <s v="This is a fantastic gate!"/>
        <s v="You take orders knowing products not…"/>
        <s v="Petflow has a good selection of…"/>
        <s v="Hassle-Free"/>
        <s v="Need to change auto ship program set up."/>
        <s v="I have place 2 orders with Petflow"/>
        <s v="Great selection of products &amp; emphasis…"/>
        <s v="PetFlow had Hill’s Metabolic Rx dog food when others did not!"/>
        <s v="Order with PetFlow"/>
        <s v="Best pet food subscription platform"/>
        <s v="Placed order for dog food that I needed…"/>
        <s v="All item sent"/>
        <s v="Happy but could have been happier"/>
        <s v="Ordered Butcher Block Bones and a box…"/>
        <s v="I was impressed with how quickly my…"/>
        <s v="Ordered a Flexi leash for my dog."/>
        <s v="Product that is not available elsewhere…"/>
        <s v="First time using"/>
        <s v="Your selection and prices are good"/>
        <s v="I have been trying to find the special…"/>
        <s v="Always Happy with my Purchases and Services"/>
        <s v="Everything from locating products on…"/>
        <s v="PetFlow has the products I need and if…"/>
        <s v="it seems a bit difficult to delete an…"/>
        <s v="Not very long shipping from the date of…"/>
        <s v="Ordered on 10/6"/>
        <s v="I get all my dog food and treats from…"/>
        <s v="Petflow always has the prescription…"/>
        <s v="Great place to shop!"/>
        <s v="Good job, PetFlow!"/>
        <s v="Products Great / Shipping NOT so Much!"/>
        <s v="Satisfied"/>
        <s v="Always correct &amp; timely"/>
        <s v="Petsmart not smart just huge corp."/>
        <s v="First time ordering autoship"/>
        <s v="Happy with Order"/>
        <s v="Great service and fast delivery…"/>
        <s v="Always a pleasure shopping with Pet…"/>
        <s v="Always got what my cats want and always…"/>
        <s v="Great company with excellent customer…"/>
        <s v="Petflow’s prices are good and the…"/>
        <s v="Fast shipping &amp; careful packaging!"/>
        <s v="Great job!"/>
        <s v="Gave petflow a chance because chewy was…"/>
        <s v="Sifting Litter Box"/>
        <s v="Competitive price"/>
        <s v="Need I say more!?"/>
        <s v="The first time I ordered my dog’s…PCB"/>
        <s v="Ordered item 2 weeks ago"/>
        <s v="First I was told my food order was on…"/>
        <s v="They have products of dog food I can’t…"/>
        <s v="MY DOGS ARE HAPPY AND SO AM I WITH THE…"/>
        <s v="There no price gauging"/>
        <s v="Respond to emails very quickly"/>
        <s v="It is difficult at times to get dog…"/>
        <s v="Excellent service and delivery"/>
        <s v="Replacement squeakers"/>
        <s v="Late, poor communication"/>
        <s v="Timing of shipping is a problem."/>
        <s v="Very good service and fast shipment."/>
        <s v="Love the delivery"/>
        <s v="Ordered several teddy bear toys"/>
        <s v="Delayed delivery…Pet Flow Handled Perfectly"/>
        <s v="Usually we have a great experience with…"/>
        <s v="I contacted customer service because I…needed to return the wrong dog food"/>
        <s v="Very easy ordering"/>
        <s v="I have been a returning customer for a…"/>
        <s v="PetFlow had the prescription dog food my Vet couldn't get"/>
        <s v="My order was well wrapped and delivered…"/>
        <s v="Amazing service"/>
        <s v="Horrible fulfillment system"/>
        <s v="Easy to order form the site"/>
        <s v="Order processed immediately and delivery was quick"/>
        <s v="Found this vendor “on line”…great service"/>
        <s v="I have no idea what I bought from your…"/>
        <s v="Found My New Online Cat Food Store"/>
        <s v="Ordered dog food which they said was in…"/>
        <s v="Great selection of in stock items and…"/>
        <s v="Petflow had what I needed in cat food…"/>
        <s v="Vet advised a change of food"/>
        <s v="Prescription orders are terrible."/>
        <s v="This place is da bomb"/>
        <s v="Easy to find exactly what I was looking…"/>
        <s v="I was very happy with my experience"/>
        <s v="Friendly staff"/>
        <s v="Wrong food sent now I have to return it…"/>
        <s v="We and our 3 German Shorthair pups"/>
        <s v="I ordered I/d chicken stew"/>
        <s v="I always feel as though"/>
        <s v="rder email confirmation was delayed and…"/>
        <s v="Super convenient"/>
        <s v="Couldn't locate my brand of food in New…"/>
        <s v="I was forced to buy two items to get to…"/>
        <s v="Couldn’t find our dog’s food anywhere"/>
        <s v="Great products and excellent customer service"/>
        <s v="Great phone help on getting Oscar’s Rx…"/>
        <s v="Helpful coupons, hard-to-find food, friendly and fast service"/>
        <s v="Petflow has excellent prices and a…"/>
        <s v="Petflow was a great find"/>
        <s v="Each time I placed an order of what was…"/>
        <s v="Fail"/>
        <s v="I still haven’t received my dog food"/>
        <s v="I couldn’t find this prescription treat…"/>
        <s v="Fast delivery &amp; easy to use website."/>
        <s v="Fast service as usual"/>
        <s v="Hills prescription ID low fat diet canned dog food"/>
        <s v="Ordered Rx cat/case cans/Blue W+U on…"/>
        <s v="As usual"/>
        <s v="I ordered the prescription dogfood I…"/>
      </sharedItems>
    </cacheField>
    <cacheField name="full review" numFmtId="0">
      <sharedItems>
        <s v="I shopped the product, Milk Bone Pill Pouches for several weeks. Our dog is on Holistic Herbal supplements and dosing requires about five pouches a day. PetFlow, hands down, is a best price retailer for my target product. Great value for consumer. Custome"/>
        <s v="Arm and Hammer litter, is dust free, clumping/seal, which is difficult to find. I used to wear a mask handling other litter, not necessary now and no smell. I have it on auto ship, which makes it convenient and it is $7.00 less expensive than buying in st"/>
        <s v="I have been with them since 2013 and my orders are on time. When there was a delay during COVID they were sending out notices and updates. I had an issue with my fed EX people taking my dog food. The company immediately send another order out to me. They "/>
        <s v="PetFlow was able to ship an important dog food product that was not available from other on-line merchants. It was frustrating contacting the usual sources until PetFlow showed up on a browser search. We had not heard of PetFlow before; we will not forget"/>
        <s v="I received a damaged pet food bag and the customer service people were so responsive and wonderful. I received a replacement bag immediately! I always prefer PetFlow because your shipping is always professional with no loose food or mess. I always promote"/>
        <s v="This is the second time I have received rancid dog food from this company, The first time they finally answered my email and said they would re-send the order. They resent the order and 1 item was wrong . They then ignored my email and didn't respond to m"/>
        <s v="The company was very responsive to problems I had manoeuvering their site. The shipping was well within reasonable expectations.&#10;My only issue has to do with the site not being easy for me actually 'maze-like' in its degree of difficulty. I wish it would "/>
        <s v="Ordered dog food and 5 days later no shipment no contact. Have to call to cancel order and delete your payment method. Pretty much a fake joke site."/>
        <s v="The people there if contacted go up and beyond to answer questions and help. Orders are processed in record time and shipped out fast.&#10;Very happy with the switch over to using them . Very satisfied customer"/>
        <s v="This was my first purchase from Petflow and I am impressed. First when I set up my my new account I had issues with logging in. I received the email with the 6 digit security code but when I used the link to use it I wasn’t sent to the page to enter. Afte"/>
        <s v="First-time customer, I ordered canned cat food because of the good price. Free shipping--good! Timely delivery--good.&#10;However, the packaging was terrible both boxes split open and from one box 3 cans had popped open spilling liquid throughout. Three other"/>
        <s v="I've discovered PetFlow because I searched for the best value I could find for bully sticks for my dogs. I've been really happy with my purchases and will look to them for other pet supplies in the future."/>
        <s v="Good product, but it would have been easier if these 2 bags were boxed separately. Being a little old lady, it's hard to manage both of them together, but it's all good."/>
        <s v="I have had a great experience with Petflow. They carry Fromm dog food which can be hard to find. Good prices. The website is easy to use and I can adjust the date of my subscription as needed."/>
        <s v="I had to change my password the past three times I attempted to place an order. Everytime I ended up having to call customer service to place the order. When I tried to tell the agent what was happening with the order app, I kept getting replies that basi"/>
        <s v="I was surprised to be able to talk to an actual person whenever I called for support. One of the few places I can buy the best food for my dog."/>
        <s v="Quality Fromm dog food and treats that can not be found on other sites. Exceptional service."/>
        <s v="I placed a large order (my 2nd one). Petflow was running a good special. Unfortunately, they had some internet issues which delayed my order. However, it arrived fairly quickly giving the issues. One of the dry food bags had a puncture hole in it. When I "/>
        <s v="The shipping is usually pretty fast, which is much appreciated. There seems to be an issue with using my credit card on the PetFlow page but now I just use PayPal and that seems to work out fine."/>
        <s v="One of the best things I love besides the great pet product selection is how PetFlow ships orders. If something heavy is being shipped with something that can easily be crushed, there is a U shaped piece of cardboard inserted in the box to create a protec"/>
        <s v="Had a technical problem with my account and had to call for help. Your rep was very helpful and got the food ordered and delivered quickly."/>
        <s v="Really pleasant, helpful people on the phones. Lowest price by far of any. Fast n free shipping. Great experience."/>
        <s v="I have used pet flow in the past many years ago with success and don’t remember having the same issues I’ve had recently when I started using there company again. A dog food called Rockster which is produced in Europe and only sold via a couple store fron"/>
        <s v="My first experience was terrible. I placed an order on May 8th, and on May 10th it was not even being processed. I cancelled it, placed an order in Chewy.com and got it at the same day.&#10;I will not use PetFlow anymore."/>
        <s v="Cannot cancel an auto ship online. Cannot update expired credit card on auto ship online. Had to call, nobody available until 9 am eastern. Finally pause auto ship and place new order. Do not ever set up any auto ship."/>
        <s v="First transaction and auto ship went well. Cheaper than Chewy and all downhill after that. Cant log into account to change or cancel autoship, tried password reset never get the e-mail and checked junk e-mail as well. Contact support ok we’ll send you a p"/>
        <s v="I placed an order on May 10th-updates and tracking with fedex did not occur past the second day and ultimately an agent ordered a replacement order on May 17...on May 24th the shipment was on a truck for delivery but did not arrive...the site still said i"/>
        <s v="I just discovered petflow. Great selection. Prices just like or better than the online retailer named after a jungle. I usually get my order in 2 days using standard shipping. Will continue shopping here."/>
        <s v="The items I ordered were exactly what I wanted and they were delivered in a timely manner."/>
        <s v="My delivery was very delayed and then showed up even a day later than it was supposed to. Very dissatisfied with this past order. Petflow wouldn’t even offer to expedite the shipping even though the delay was on their end. Didn’t even offed a discount for"/>
        <s v="When I called to order anything the customer service representatives that represent your company they are so so nice and very knowledgeable and Just I just love them they’re great."/>
        <s v="The product ordered needed to be shipped from a further destination. FedEx gave an arrival date of Monday, May 8 then changed their arrival date to Sunday , May 7. It actually arrived on Tuesday May 9. I had to go to the store to buy some dry food to see "/>
        <s v="We purchased canned dog food from Petflow. Their prices were the lowest we were able to find as this brand was hard to find elsewhere. Ordering was very easy and shipping was quick and flawless. We will continue to purchase from Petflow."/>
        <s v="Petflow is the only place I can find Fromm dog food. Their prices are reasonable and they ship quickly."/>
        <s v="It was able to order easily, delivery was prompt and the products had good variety."/>
        <s v="I find the best price on my preferred cat food at PetFlow. Everything is also packaged neatly and arrived in perfect shape PetFlow has been great. The only criticism would be that it took nearly a week to receive the order, but now I factor this in when I"/>
        <s v="I have shopped at a couple of different online pet sites, only to be disappointed and frustrated. When I found PetFlow, to say the least, I was skeptical. But to my surprise, PetFlow came through As Promised! Not only did they process my order quickly, it"/>
        <s v="The items were received in a timely manner and were packaged well. The descriptions on your website were accurate and very detailed. This was very helpful."/>
        <s v="I love your fast shipping, and the fact that you use boxes that are strong enough to hold the contents! You carry the bags of Dr. Kelsey’s kitty litter instead of the new 20 lb boxes. The boxes are too heavy for me, but I can handle the 18 pound bags. You"/>
        <s v="I had a very friendly young lady help me order my cat food. Her name is Savannah. It was a pleasure having her help me today.&#10;&#10;Today is 5-19-23. At the bottom of this page, for some unknown reason, someone chose to type in the date as May 8, 2023. NOT SO "/>
        <s v="The customer service is outstanding - always kind, helpful, courteous and professional. PetFlow often has special discounts I've applied to my purchases, and can be counted on to have the special brand and flavor of dog food my (admittedly spoiled princes"/>
        <s v="This is the second time that I’ve been sent, two shipments, the system said I needed to update my credit card, I did and then it was double charged and foible shipped"/>
        <s v="There was an issue with shipping and the Petflow team resolved it within hours. I've been a customer of Petflow for several years and they always come through for my kiddos and me. Thank you."/>
        <s v="I had an issue with shipping damage, they fixed the problem right away. A+"/>
        <s v="I placed my order on the 3rd of May. After a number of phone calls, my order hadn’t been shipped. On the 7th of May I asked for my money to be refunded. I more than understand the business is small. My account stated that my order was shipped on the 3rd. "/>
        <s v="Just discovered this company. Great price super fast shipping. Will definitely be back. Highly recommend"/>
        <s v="PetFlow has always been great with wonderful customer service support. My only issue is that they don’t protect their canned food deliveries very well and I always end up with a few dented cans. They do offer to make it right, I just wish it wasn’t every "/>
        <s v="My order arrived later than expected and some of the items were damaged, leading to a frustrating return process! PetFlow has its pros and cons, and I would advise potential customers to weigh them carefully before making a purchase."/>
        <s v="The Person was very kind, but as soon as I hung up the phone, my order was delivered. It seems to me she should have been able to tell it was shipped. I never received an email stating my order was shipped"/>
        <s v="Great prices, great customer service, and really fast delivery!"/>
        <s v="We can count on PetFlow delivery on-time with AutoShip. Like this easy way ordering my dogs food."/>
        <s v="Very good prices and the product arrived in about a week. We are perhaps spoiled by next day - two day delivery but thankfully I had anticipated running out of dog food!"/>
        <s v="Great customer service. Whoever I speak with always helps me with my issue."/>
        <s v="Nice, quality collar with a quick release snap. I love this beautiful blue collar and matching leash. Petflow is the best!"/>
        <s v="I arrived at site via a link that promised a discount. Discount appeared on checkout page and I checked out with the discount applied. However, discount was not included in final billing, so I feel I was cheated."/>
        <s v="You bet everyone elses prices, your delivery was great and the order was correct!!"/>
        <s v="The web site is difficult to navigate. It takes several attempts to order a bag of dog food"/>
        <s v="Petflow had the dog food product I was looking for. I had spent a long time searching other various web sites and not having any luck. Petflow was very good with communications and the shipping/delivery of my order. Very excited to find them!!"/>
        <s v="To start, the order did not go through after 4 attempts using my debit card, to the point of me being highly suspicious about a scam. It was not until I called the phone number, because the rep in the chat and the text were dismissal, that I was notified "/>
        <s v="3 days since I placed my order online. Called to verify that my order was coming from the NJ warehouse. I'm in NJ about an hr away from the warehouse. I still don't even have a comfirmation that my order has even shipped."/>
        <s v="They canceled an order without telling me, and when I sent an email asking what happened, the response was a little on the snarky side. I asked a follow up question and never received a reply. I thought I'd try this out, but it's not worththe headache and"/>
        <s v="Shipping took way longer than Chewy's and the box that FedEx eventually delivered was in horrible shape."/>
        <s v="my credit card is always getting flagged for fraud with this site. Site itself has good selection with great prices, but if I want to continue using it I have to make a Paypal acct."/>
        <s v="The price was right, time to receive the product was fast. Only issue was the packaging- 11lbs of cat food and 38 lbs littler in a box that could not handle the weight- The cat littler box broke open and we had little everywhere."/>
        <s v="All items arrived within a few days well packed.&#10;Ordered dog food and was a bit worried about possibly getting a short expiration date.&#10;The food had an expiration date of over a year.&#10;Very pleased."/>
        <s v="Did not like how mostly everything I looked for was out of stock.&#10;Did not like how I was charged an extra $5.00 and not told prior. My order came from a different warehouse and so I was charged differently. This should not have been my fault, I should’ve "/>
        <s v="I called to ask a few questions and the rep could not answer anything. Luckily, I called back and got a rep who could. Basic questions. Also once when I was a prior customer and then with my last order I called for assistance and was assured my issues wou"/>
        <s v="I have had two auto shipments of dog food messed up in less than 4 months . First of all I do auto ship with you . I order 2 bags of Victor Nutrapro every 10 -13 weeks . My first problem was an order of two bags sent to me , one was not in a box and was t"/>
        <s v="The shipping was by slow boat. Very disappointed in that."/>
        <s v="Always fair price and prompt shipping and great products choices."/>
        <s v="It was very helpful to have that special with $75 off of $250 purchase. It’s hard for me as a senior on a fixed income."/>
        <s v="Easy transaction, good selection, good prices, quick shipment."/>
        <s v="The shipping is literally always late. I know that is out of your control but it would be worth talking to fed ex about it. Im sure you are losing return business."/>
        <s v="Quick delivery of a hard-to-find product my dog loves."/>
        <s v="Petflow has good prices if you have&#10;coupon codes and use Google Incognito."/>
        <s v="I ordered a case of 12 cans of dog food. When it came, 10/12 cans were severely dented. I called the company and they did send out a new case very quickly. When the new set of 12 came. 2 were damaged and unusable. This isn’t cheap dog food. The packaging/"/>
        <s v="Online ordering is easy; product selection is great; delivery is fast; good customer service to boot!"/>
        <s v="We needed dog food ASAP so Petflow to the rescue. Plus their subscription program gets food to us on time without having to wait to order. We love it!"/>
        <s v="Easy to order and delivered in a timely matter. And when I had a problem with a delivery as crushed cans or a torn bag of dry dog food, it was taken care of."/>
        <s v="Sure is easy to navigate and the experience was quick. They have good deals, I'll definitely be back &amp; recommend to others."/>
        <s v="Good prices and selections and fast delivery."/>
        <s v="I made a mistake on my order and customer service immediately corrected it for me."/>
        <s v="Always willing to put up with my constant changes."/>
        <s v="Accurate &amp; timely. I depend on them every month."/>
        <s v="Shipped from Nevada to Ohio then back to California. It took 10 days to get the food"/>
        <s v="I love the connivence of having my dog's food delivered directly to my home. It is so easy to have auto ship. If I want to choose additional products, I just go on line."/>
        <s v="Great customer service. Love your sales! I order the litter and use the pharmacy. Great products."/>
        <s v="Very helpful and friendly support staff and reliable shipping."/>
        <s v="Prices are awesome and super fast shipping"/>
        <s v="I love the selection of products offered. My dogs loved the treats they received. The prices are amazing."/>
        <s v="Everything was great as always,very courteous and helpful."/>
        <s v="Extremely fast processing and delivery. I placed my order night time, April 17. Food for my dog left at my door April 20, 2:00 pm. Truly, Greyhound speed. Thank you, Perflow"/>
        <s v="I did not get my dog food. I asked Fed Ex about it and it is lost. I got the cat food and the litter but not the dog food.&#10;&#10;Can you resend it."/>
        <s v="I love pet flow, the toys are always the best quality and have a lot of options! Great service"/>
        <s v="I bought large bags of Open Farm food from you but now you only sell the small bags"/>
        <s v="I love this food for my schipperke. It has great ingredients and delivery is very fast. I would and have recommend Fromm's to friends."/>
        <s v="Websites very easy to use, product arrived promptly, product arrived in great shape, and product that arrived was exactly what was ordered. No complaints!"/>
        <s v="Reasonably priced Fromm dry dog food&#10;Easy website to browse and place an order and shipping was on time&#10;&#10;Will order from this site again"/>
        <s v="Petflow had the product I needed, would rate a 5 star but the product took an excessive time to ship and recieve."/>
        <s v="None"/>
        <s v="Quick&#10;Easy&#10;Kept you informed&#10;Open communication"/>
        <s v="A very smooth and seamless process to secure my spot in the breeder’s upcoming litter."/>
        <s v="Easy to order and I received the correct shipment."/>
        <s v="Hard to find dog food at a good price e, quick free shipping."/>
        <s v="Easy to order --wide variety of product choices and great prices!!!"/>
        <s v="The ordering was easy, the delivery was fast, and I found what I wanted."/>
        <s v="Can't beat the prices &amp; very convenient service!"/>
        <s v="Great prices and loved the free shipping!"/>
        <s v="Highly recommended thank you guys for providing absolutely phenomenal service"/>
        <s v="My shipment reached Grand Junction, CO. which is close to where I live then it was shipped back to Nevada. Then back to Grand Junction. This is the second time this has happened. All of the cans were damaged when I received my shipment."/>
        <s v="Love how tall it is,and the look,just what I was looking for!was shipped very fast"/>
        <s v="Pet Flow was very good about my special order. They had to reach out to my vet to get the script for the dog food and did so. I received my order right after that. Thank you!"/>
        <s v="Had a problem with my order duplicate customer service fixed right away and answered the phone with a person I could understand super plus for that"/>
        <s v="My order came with 4 cans dented out of 12 and this is not the first time...."/>
        <s v="Good company to order better prices"/>
        <s v="You had the items I wanted at a good price. My order was filled and shipped as advertised. I'll use your service again. Thank you."/>
        <s v="I've always had good reliable service from Petflow. I'm very happy with the experience."/>
        <s v="My card number failed to go through properly and I didn't know it so I finally called the company when I didn't get my product they explained to me what had happened and I said oh let's go ahead and use the number again and when I went ahead they give me "/>
        <s v="Always get anything I order on a timely basis."/>
        <s v="The prices were extremely competitive. Everything arrived without a problem. Delivery was fast."/>
        <s v="I have yet to get my order. It was easy ordering."/>
        <s v="Best value for bully sticks! Nobody comes close. Every place is way more expensive."/>
        <s v="I received what I ordered pronto. Great prices compared to Petco. I saved 75% compared to Petco."/>
        <s v="Had everything I needed, ordering was quick and easy, speedy delivery."/>
        <s v="The furkids love the treats and customer service was top notch, great communication."/>
        <s v="Quick shipping and a great price. I will be a returning customer!"/>
        <s v="Super fast shipping awesome and fantastic prices!"/>
        <s v="Great communication with frequent updates on my order tracking."/>
        <s v="Wish there were more options for the length of time for dog food ordering"/>
        <s v="Experience was great, shipping was fast, very happy with my purchase."/>
        <s v="It's a great product and the family dog loves it"/>
        <s v="Lured in by low pricing, I ordered a case of a new dog food (canned) to try it out. I ended up converting my dog (over about 10 days) onto this new food. I then ordered 7 more cases with Petflow of the same food I had auditioned and transitioned my dog on"/>
        <s v="Order came just as promised. Very quick shipping."/>
        <s v="Best price, fast delivery"/>
        <s v="I think you provide good service and deliver your products on a timely basis."/>
        <s v="Good prices, large selection, fast delivery, good response to questions."/>
        <s v="Super fast shipping, competitive pricing, accurate order delivered."/>
        <s v="As I said before, a mistake was made with my order and customer service immediately fixed it"/>
        <s v="wonderful to find Natural Balance Venison CANNED FOOD IN STOCK DELIVERED...delivered..."/>
        <s v="Package was never delivered (10 days after order)"/>
        <s v="They had what I needed (hard-to-find item) in stock, and shipped quickly."/>
        <s v="Very easy to navigate website, excellent prices, great selection and just an overall best experience (second to none"/>
        <s v="I received my order promptly. These people are on their game for sure."/>
        <s v="User friendly online shopping experience and very good prices."/>
        <s v="I was pleased with the prices and the products at PetFlow."/>
        <s v="Quick delivery on great product at a great price."/>
        <s v="Great prices, Good service"/>
        <s v="Got what I ordered &amp; it was delivered on time."/>
        <s v="Pet flow had an out of stock item we have been looking for over 8 months. My dogs are so happy."/>
        <s v="Great prices and free fast shipping. Awesome!"/>
        <s v="Higgins parrots feed"/>
        <s v="Fast shipping, great fresh seed and the brands I use Higgins."/>
        <s v="Easy to place an order, great prices and fast shipping!"/>
        <s v="Good customer service. Great prices."/>
        <s v="I always get good service at a good price in a very good time."/>
        <s v="Good price on pigeon feed shipped with no damage"/>
        <s v="Company is affordable and Customer service is exceptional."/>
        <s v="Everything was perfect, thank you!"/>
        <s v="Great prices! Prompt delivery!"/>
        <s v="Ordered and you didn’t have in stock. Still waiting"/>
        <s v="Easy to order at a fair price for this day and age"/>
        <s v="Easy to place order, delivered on time."/>
        <s v="Good Price; Timely Delivery"/>
        <s v="they get my stuff i ordered to me within a few days"/>
        <s v="Love the product. Very fast service/shipping."/>
        <s v="Like always, quick and reliable."/>
        <s v="Good !! I will purchase again"/>
        <s v="You had what I wanted and you got it to me quickly"/>
        <s v="You had the product that I needed and it was shipped quickly ."/>
        <s v="Great shipping speed. Bones I ordered are great"/>
        <s v="Good price. Fast shipping."/>
        <s v="Fast and efficient service"/>
        <s v="Easy ordering experience. Good Products"/>
        <s v="My dog loves it"/>
        <s v="Fast and easy&#10;Good price"/>
        <s v="I order and in no time my order is delivered. Staff also quite helpful with advice and customer service."/>
        <s v="I am committed to feeding my cat the required ingredients suggested by my vet to give Tammy quality of life as she grows older. Because of the cost of prescription diet food I have to shop around for the best, affordable prices which PetFlow has provided "/>
        <s v="I needed a prescription food you say you stock. Your instructions were to mail the prescription in. This seems bazaar in the online world. After a few days you emailed me saying that I could email a scanned in image of the prescirption.&#10;&#10;Why didn't you pr"/>
        <s v="Always fast service. Good prices"/>
        <s v="Best price on KMR liquid and powder."/>
        <s v="Great service &amp; pricing.&#10;&#10;Thank you!"/>
        <s v="First, Petflow shipped my product to the wrong address, even though they confirmed via email and text that the address would be updated to the correct address for the shipment. Secondly, do not rely on their autoship -- they have constant delays so it is "/>
        <s v="Great service&#10;Easy to order&#10;Shipped quickly&#10;Thanks"/>
        <s v="Excellent customer service! Thank you!"/>
        <s v="I found what I needed quickly, not many shippers carry Nutrisource. I also got a significant discount through my Capital One add-on so I bought 2 bags to get the free delivery. They were delivered very quickly as well. I am disappointed that they don't pa"/>
        <s v="Easy to navigate website; lots of name brand foods at reasonable prices."/>
        <s v="Best prices anywhere and great communication from Petflow. Received food four days after ordered and pet flow notified me on day 3 the order was delayed one day in the St. Paul location but was quicker delivery time than other companies I have used so was"/>
        <s v="The shipment was received in a timely manner; however, for the cost of the canned food I purchased (almost $10/can), I would have expected a little bit of packaging material in the box. Almost all of the cans have big dents in them from being shipped. I a"/>
        <s v="Due to shipping restrictions I was unable to reroute the delivery via my FedEx delivery manager. This is a big issue for me because I live in an apartment complex with a lot of theft, and having my cat’s expensive food stolen is too much of a risk to take"/>
        <s v="The website is very easy to navigate. Our purchases were shipped and arrived quickly to our home. The prices are the best I’ve found. All these things have added up for me to be a repeat customer."/>
        <s v="Easy to order and quick shipping makes Petflow a winner in my book!"/>
        <s v="Good selection of cat foods, good quality and fast shipping with fair prices."/>
        <s v="The product is $2 - $3 a case less than competitors.&#10;Shipping time is relatively timely. They product came in manageable size boxes. Not one oversized heavy box."/>
        <s v="They are very responsive. An item was missing from my shipment. It was reshipped within a day or two"/>
        <s v="Fedex failed to deliver package even though it was shown as delivered. 4 boxes of milk bones. One call and Petflow sent a replacement. One week later the fedex package showed up - most likely dropped off by a neighbor. Called Petflow and they said keep th"/>
        <s v="Timely orders, great communication and wonderful products!"/>
        <s v="They gave me a credit because something I ordered was no longer in stock. New items came very fast!"/>
        <s v="It was my second order and second time it was easy, and with high expectations.&#10;Thank you for nice service."/>
        <s v="Tried Chewy, but there is no comparison to Pet Flow! Your service is far above them. My order is always delivered quickly, customer service department is great and helpful! I am a returning customer, and Pet Flow is the best!"/>
        <s v="Prompt services and delivery. Competitive pricing"/>
        <s v="Lowest price I could find, fast shipping, knowledgeable, polite, customer service....one small flaw, wasn't able to use paypal, no biggie"/>
        <s v="Always good products, always good prices. Repeat customer many times over."/>
        <s v="I received the packages in good shape and as promised with little delay. Products were as described and much appreciated. Thank you PetFlow"/>
        <s v="Had to call in because of recent c card change. Efficient, quick delivery. Thank you"/>
        <s v="PetFlow offers items for my dog at lower prices than other pet supply websites. There aren't as many choices as the bigger websites, but I look at PetFlow first when I need something because of their good prices. My order shipped quickly and accurately."/>
        <s v="I can change the order and they always catch up with the changes."/>
        <s v="That it got delivered in time and your price is fare"/>
        <s v="They got my order out to me in a timely matter and a good price"/>
        <s v="We needed small litter pans and were able to find them at PetFlow. Not only were we able to buy the quantity we required, but these were also the lowest price available online. Thank you PetFlow!"/>
        <s v="Easy to use website. I found the product I wanted. Notifications sent through the whole process after purchase was made. Product arrived when specified, in whole undamaged form (well packed)."/>
        <s v="I am very happy with the fast delivery and also knowing that my ordered items are available. I’m still learning how to navigate the auto shipment with PetFlows system. There are too many shipment options on the page and I have accidentally double ordered "/>
        <s v="We appreciate your efforts to keep Orijen products in stock for the past five years our puppy has been alive. And you get them to us fast! Thanks!"/>
        <s v="Great customer service! The chews need to be long lasting."/>
        <s v="This was the first time I had to use a prescription for food. The staff was on the ball. Got taken care right of way and shipped to me in 3 days."/>
        <s v="The Auto Ship is a lifesaver. The prices are comparable to store prices but never having to worry about running out is fantastic. They are always on time as promised"/>
        <s v="They are still bothering my vet for a prescription on an I order I canceled. Annoying."/>
        <s v="1. Best prices. 2. Fast free delivery. 3. You can get cashbak with Rakuten"/>
        <s v="I got what i order and when was suppost to be deliver"/>
        <s v="Reliable &amp; easy ordering and quick shipping. Their prices for the fish food we use is the best you can find.&#10;Don't hesitate to use PetFlow,&#10;they're outstanding."/>
        <s v="Always great finds at great prices on your site!"/>
        <s v="I was very pleased about the shipping and that it came on the day it said it would. Also I like the price, a lot of people in Amazon are price gouging so this is nice. Thank you"/>
        <s v="Fast shipping was provided as I was running low on canned dog food. The only problem was some of the cans were smashed. They still were able to be opened but tough to get all the food oyt."/>
        <s v="Love the large Guinea pig house. She loves the cloth ones without a bottom. PetFlow was the only place I could find them. So happy they had them I will absolutely continue to order from them"/>
        <s v="Quick shipping and easy website....cost is up tho."/>
        <s v="Rapid response.&#10;Personal interchange.&#10;Human contact."/>
        <s v="First time customer. Ordered prescription food so it had to be approved by my vet. Still had my order in less than a week. Thanks for the speedy delivery."/>
        <s v="This was my first time purchasing. The products available for my cockatiels while limited were good quality. The issue I have is with the packaging of 5 pounds of millet. They need to be put in a bag first to prevent the seeds from spilling out into the l"/>
        <s v="Very professional and my orders are always right and on time."/>
        <s v="I have a been a long time Chewy customer and you beat their price on one of the items and then with 10% autoship, you beat the price on the other item. SO I gave you a try and you delivered.&#10;&#10;I am new and plan to stay."/>
        <s v="timely delivery, wide choice of product at a competitive price."/>
        <s v="Original order on 3/29. Damaged in transit. Heard nothing for a week after. I called and replacement order initiated. Supposed to be delivered on 4/17. It’s now 4/20 and order still showing intransit from NJ with no additional info as to ETA or when my or"/>
        <s v="A better value than their competitors and fast service!! Thank you!!"/>
        <s v="Had my product in stock. Great price. Payed the shipping. Thank you."/>
        <s v="Always fast, friendly service."/>
        <s v="Fast delivery, cans not dented and price!"/>
        <s v="My order was processed and shipped promptly and at a very good price."/>
        <s v="Prices are comparable and free delivery is great!!!"/>
        <s v="So happy to get my very hard to find dog food!"/>
        <s v="We like ordering from PetFlow. The orders come quick and it is easy to get what we need for our babies."/>
        <s v="Easy to order and it shipped quickly and pup is enjoying the toys!"/>
        <s v="So easy to order online &amp; was quickly delivered to my home!"/>
        <s v="I like that I was able to find food for my dog that is hard to locate in pet stores. My order was received within five days and my Pup was very Happy. I will definitely make more purchases from Petflow."/>
        <s v="I have used Pet Flow a number of times. They are usually on time and get things shipped timely."/>
        <s v="What can I say...every order is on delivered in a very reasonable time and the selection of products as well as the price is spot on."/>
        <s v="Great wish they had an app and wish shipping was faster"/>
        <s v="Never no discount or coupon for Fromm food. Spend 70/100 dollars a month on from food"/>
        <s v="You see brands of dog food other companies do not."/>
        <s v="Love the sales that Petflow sometimes has. And I always get what I ordered, as expected, and in a timely manner. Easy to check out too."/>
        <s v="I called for help with an order and agent wanted me to be schooled on how to add to an auto order &amp; I just wanted her help me delete &amp; start new order. She said in a not nice way that if I didn’t learn I would call each time. I’m staying with Chewy for be"/>
        <s v="name brand item at good price. There was a problem with my credit card being accepted. I called and talked to a REAL human being and was helped promptly.&#10;Customer service with real people, getting either is rare today"/>
        <s v="Whenever I have a problem it's always taken care of immediately!"/>
        <s v="The company is easy to work with, helpful when I have had problems and easy to work with to resolve any issues. Shipping is timely also."/>
        <s v="I got my order on time and it was less expensive than any other place."/>
        <s v="Fast and easy to shop and order. Plus Customer Service was great answering my questions via email."/>
        <s v="You have a toy that my dog loves. I have trouble finding it but you have it! So thank you"/>
        <s v="Customer service is non-existent. Shipping takes forever."/>
        <s v="Better prices than Chewy, shipping is a bit slower, but worth it if you just plan ahead.&#10;&#10;First order with them took about a week to get, the second and larger order only took a few days from east to west coast, not bad at all. Good selection of products "/>
        <s v="prices good, fast, leaning a but much on subscribing. My cat is an animal - things need to be flexible, not locked into the same food delivered regularly. Can't I get a discount without subscribing?"/>
        <s v="Ordered twice and order was canceled with no explanation. Finally called and they said my card/order was suspicious and that I needed to call. I went ahead and ordered from Petco instead. They had no issues with my payment. Then I asked them to take me of"/>
        <s v="I ordered dog food. It was delivered the next day."/>
        <s v="When the item was ordered, I didn’t receive any communication as to when it would arrive that was accurate after the email stating that it was ordered. Also, initially the form of payment used was incorrect and the company didn’t notify me or communicate "/>
        <s v="Always have Fromm dog food in stock. Always received my order within 2 to 3 days. Great service."/>
        <s v="You ship so fast and I really appreciate, plus your products and prices are really good and affordable. I can count on my dogs getting exactly what they need. Thank you."/>
        <s v="Great customer service when an issue arises."/>
        <s v="PetFlow's customer service is great! Always someone helpful to answer the phone and solve issues."/>
        <s v="Ordering from their website is easy and they have good prices and fast shipping."/>
        <s v="Well it all started with me not noticing that the shipping address was wron. I didn’t notice it until the order was done. So I sent an email and a test if I remember correctly. I then received a phone call and discussed the wrong shipping address with som"/>
        <s v="I had been shopping from another company, but the prices were just getting to steep. I found Petflow.com to have reasonable prices and all the products I needed for my fur babies. The customer service has been great. I recommend Pet Flow to all the parent"/>
        <s v="I searched the internet and Petflow had the best price for the Blue Buffalo brand. Delivery was quick and we are very satisfied."/>
        <s v="If I could give a rating of zero stars I would. I order two different times and both were immediately cancelled, no reason given. I texted and emailed you company with no response. I have since started using a different pet company for my needs.&#10;No custom"/>
        <s v="Easy to use website! Food arrived on time!"/>
        <s v="You offer fast shipping to my fussy cat who only eats three things. I appreciate your quick turnaround time."/>
        <s v="The delivery was delayed. I was expecting it Friday and it got pushed until Monday. This was my first time ordering so I'll be wary if I order again and be mindful of the delays. Not sure if this is the experience those on auto ship have"/>
        <s v="Excellent telephone info and easy to buy/receive what our pets needed. Quality/price were best I could find also."/>
        <s v="My dog had dental surgery and I needed more Royal Canin canned food. My usual stores out of stock. I discovered PetFlow online. Great price and super fast ship! My new go to store. I recommended to many friends!"/>
        <s v="Easy to order on line, quick delivery and when I called Customer Service they were exceptional!"/>
        <s v="Only place I can get the small-breed dog food I need. Fairly fast shipping. Very helpful customer service."/>
        <s v="PetFlow has lost me has a customer. We've been ordering on a consistent basis since July 2018 (so just shy of 5 years). This final straw has been the last two months when we decided to order all our food for the month in one large order and we have been t"/>
        <s v="I’ve been ordering from for my Chihuahua since he was a puppy. He’s now two years old. Everything is so quick and prompt. The best Company I’ve ever dealt with when it comes to my dogs. Thank you."/>
        <s v="Amazing company that I’m glad I found. Your prices are great and your customer service is super friendly and helpful."/>
        <s v="Petflow had the best overall price (with shipping) I could find anywhere, on the items I needed. Shipping took a few days but only one company offers next day delivery and their goods prices are increasing."/>
        <s v="No problems, fast shipping!"/>
        <s v="WE NEVER RECEIVED THIS ORDER!!!&#10;We have received several emails that say our order was delivered but it HAS NOT arrived."/>
        <s v="Product arrived quickly as I was running low."/>
        <s v="My order for my precious pets arrived promptly and in good condition. My dog’s have loved the food and treats. I have been pleasantly surprised. So much, that I have made a second order."/>
        <s v="I ordered 3 Kong toys and my Pitbull just loves them. The squeaker is a prolonged one so it really keeps him entertained.&#10;I would recommend these to anyone who has a curious pup.&#10;As for Petflow, they have a vast array of items and the experience was a ple"/>
        <s v="Fast delivery and Fair-priced, excellent service for my Chessie. Thank you"/>
        <s v="PetFlow had all the information from a purchase from some time ago.&#10;Immediately filled order and sent pet food which arrived in no time.&#10;SMOOTH"/>
        <s v="I ordered well over a week ago and still have not received it."/>
        <s v="The product was just what I was looking for. We have three large dogs and they enjoy the big bones to chew on. The local store that we use to purchase them from, no longer carries them. I told the Vet this and she suggested to go on-line. I found PetFlow "/>
        <s v="Easy to order, fast delivery!"/>
        <s v="Amazingly fast shipping. Our dog has allergies so getting the right dog food (consistently) is important. PetFlow has come through twice now for us."/>
        <s v="Pet Flows price for Science Diet was less expensive than the other online suppliers I checked with. I received my order within two days of ordering. Overall, I was happy with my shopping experience."/>
        <s v="The convenience of having products delivered to my door is a big plus. Dog food is always fresh. If and when I have to call for assistance, everyone is friendly and helpful."/>
        <s v="The order was filled quickly and shipped right to my door. I know, from experience, that if I had a problem with my order, it would be worked out. It is a great company."/>
        <s v="The items I needed were IN STOCK when I couldn't find them elsewhere. I have switched my subscription service to PetFlow! Fast shipping too!"/>
        <s v="Part of my order was incorrect but they promptly took care of it arranging to pick up the incorrect items and delivering the correct ones."/>
        <s v="I found the dog food I needed for an excellent price and it was delivered quickly."/>
        <s v="I was hesitant after I made the purchase as I looked at the comments and saw how people had trouble with the shipping. I was grateful to have not experienced this. I immediately received a tracking number and my order arrived on time"/>
        <s v="Fast shipping and lower prices than many other places I've bought my dog's favorite brand of food."/>
        <s v="I received a broke ( cracked) pet carrier. They shipped a new one the very next day. It arrived in good condition!"/>
        <s v="Easy ordering and fast shipping!!"/>
        <s v="The wrong dog bowls were sent, then they wanted me to return them by FedEx and would send me the correct ones, but when they did that, they sent them by FedEx ground and they would not have arrived in time. When I called, they said there was nothing they "/>
        <s v="I am a first time customer of Pet Flow. Representative was available upon calling to ask a few questions, The rep was very courteous and knowledgeable answer all my questions? Able to track order which arrived in two days... Yes I will order again..."/>
        <s v="I love that my dogs, favorite dog food I order gets delivered right to my front door in a matter of two days. What’s better than that?!"/>
        <s v="Prompt delivery, product just as described and arrived without damage."/>
        <s v="Came timely!! It was easy to order!!"/>
        <s v="Ordered prescription food for my diabetic dog. First time with Petflow and the transaction was handled smoothly and correctly. Order arrived on time and as expected."/>
        <s v="Wonderful company. Great selection of products, super quick shipping, very reasonable prices and outstanding customer service."/>
        <s v="Great pricing, free shipping and acceptable shipping time!"/>
        <s v="Ordering was easy and the shipping was fast."/>
        <s v="Petflow is always in stock and ships immediately. My pet supplies arrive in perfect condition. No complaints here!!!"/>
        <s v="PetFlow website is easy to navigate. My order was processed and shipped quickly and accurately."/>
        <s v="Sitejabber Website Reviews and Complaints&#10;Thanks – your review was successfully submitted. Woo hoo! 🎉&#10;Our internal mod team will take a look and notify you when it’s posted.&#10;&#10;Thumbnail of user ardigoc&#10;Ardigo C.&#10;0 reviews 0 helpful votes&#10;Whew!&#10;April 6th, "/>
        <s v="Fast delivery, always have what I want at reasonable prices."/>
        <s v="I ordered my dog's food and it came right in time!"/>
        <s v="Was happy to get our new puppy the food we were looking for at a good deal. However, the dog food bag had a hole in it food was scattered everywhere and the box was falling apart (which was not a big deal except for that our food bag had a hole in it)."/>
        <s v="Fast easy service, timely delivery and easy return. We’ll be back to order again in the future."/>
        <s v="My order was correct, came quickly, and was as advertised. My doggos love love love this food, and I loved the ordering experience!"/>
        <s v="My order hasn’t been shipped after over a week. When I reached out I was told I had to call management. I’m glad I received a prompt response, but I don’t want to call anyone, and I didn’t want to wait any longer so I went back to chewy, although your pri"/>
        <s v="Excellent Items! Packing was also excellent and fast shipping. Will order again"/>
        <s v="Most items are always in stock and reasonably priced. My orders are shipped promptly. Keep up the great work!!"/>
        <s v="Very nice and quick with my order unlike some other companies who delay my package love it and the coupons please send more because we in a recession thank you"/>
        <s v="Been ordering from PetFlow for a few years now. They have fast shipping, and always get my order correct. I also like that they have many different foods and products to choose from."/>
        <s v="My first time with PetFlow. It was a fluke how I heard about them. Glad I did. Wonderful website and easy to use (I'm not a tech savvy person). Love the auto-delivery discount and the variety they have. My little one's flavor of Pure Vita dog food is hard"/>
        <s v="Always a positive experience! Quick delivery and has always resolved promptly if there are any issues!"/>
        <s v="Quick delivery, good prices, and trustworthy. We always get what we ordered. Thank you!"/>
        <s v="REPRESENTATIVES ARE VERY UNDERSTANDING AND EASY TO WORK WITH."/>
        <s v="I had a little trouble placing the order initially but that was apparently me rather than the site. Once the order was placed I received an email stating that one of the items was out of stock and would ship from another location. I went to the website an"/>
        <s v="you have decent prices, quality products -- i am a customer for life"/>
        <s v="Both times that we have ordered. We have gotten out purchase when promised.&#10;Only thing I have that may need to be worked on is the ordering site. It took me like 4 times to finally fulfill my order."/>
        <s v="Love Pet Flow..been using them for 8 years now!"/>
        <s v="I've never heard of this company and they sent me an order confirmation. Wouldn't tell me what credit card was used but apparently someone is targeting them -- to gain what, I have no idea. How does using a stolen credit card to ship something to someone "/>
        <s v="Petflow is amazing. The dog food I ordered was out of stock from the other company I have used and so I was so pleased Petflow had it in stock. It got to me quickly which surprised me since it came Fed Ex who I have not had a great experience with for spe"/>
        <s v="All of my experiences with PetFlow are amazing."/>
        <s v="The first attempt to pay failed due to a fraud control with my credit card. After I approved it, the website did not let me retry the payment, it was some glitch. I attempted calling PetFlow during business hours but I was put on an endless wait of over 2"/>
        <s v="Very quick delivery and high quality products. I really appreciated how good they were at communicating the status of the order as well. Will definitely shop with them again."/>
        <s v="You should have known when I placed my order that you DID NOT have it in stock"/>
        <s v="Easy shopping. Great products. Comparable prices. Fast shipping"/>
        <s v="Shipping was quick. And the order was right. The prices are getting awful high, but I guess that is the due to our rotten economy."/>
        <s v="If I could give you a 0 star I would. I was a new customer and I purchased a bag of dog food for my dog that has a super sensitive stomach. I waited 5 days and the food never arrived, so I had to call customer service for them to FINALLY tell me that I wa"/>
        <s v="BUYER BEWARE!!! PetFlow had so many excuses as to why they couldn’t ship my prescription order; cc wouldn’t work, vet clinic wasn’t on record (it was), my account was flagged for fraud…informed fraud dept would reach out to me. Never happened and then my "/>
        <s v="quick service. easy to use"/>
        <s v="I buy canned dog food. I should have split my order into two because I could have taken advantage of two discounts that way. It was an expensive order, but I only used one discount. My fault and it cost me.&#10;Petflow has the best price on the dog food that "/>
        <s v="Web site needs to be a little eiser to use. I have a hard time adjusting the auto ship without out deleting the product and resubmitted to increase or decrease the amount of product.&#10;&#10;Also, I need pigeon grit to be added for sale. I also use Versa laga fo"/>
        <s v="PetFlow has food and toys my dogs love. The website is easy to use, and my orders arrive quickly."/>
        <s v="Customer service is awesome; ordering online is quick and easy; my dog loves these treats"/>
        <s v="Super delivered my home the price is good"/>
        <s v="Very helpful polite phone staff, and prompt delivery. A positive shopper experience. Will continue to shop for my cats Rx food from Petflow."/>
        <s v="I placed an order, my card was charged and then credited a day or so later and then I was locked out of my account. I created another account and the same thing happened, all for no reason, and my orders were never shipped. It was a waste of my time and I"/>
        <s v="Well, you know what they say about 1st impressions!&#10;The CSR's are never on the same page when asked the same questions. When CSR's were asked when will I receive my shipment? Answers varied between CSR's.&#10;One CSR said everything will ship on Monday, while"/>
        <s v="Delivery slower than Chewy. Occasionally, items are sold out."/>
        <s v="It is only recently that we came back to PetFlow after a period of being away. No particular reason for this. We are very pleased with the experience and will be coming back as a customer. Meanwhile, we had been doing business with a major competitor of y"/>
        <s v="My dogs were having an allergy attack and you gave me ideas on what to do, what to buy for the allergies, it really helped"/>
        <s v="Shipping was super-fast, and Koko got her favorite food at a price that left me amazed (not to mention a bit piqued at myself for paying so much more from 2 other major online stores for the last several years). Note that this wasn't any kind of sale, it "/>
        <s v="Pet Flow always gets my order right and delivers in a couple of days."/>
        <s v="They had the product I needed at a great price. Fast shipping too!!"/>
        <s v="Place order for the first time on PETFLOW for a difficult product to find on 3/16/23. After almost two weeks, 3/28/23, I attempted to log in to my account on the website, which had been deleted! My payment had post via my bank on 3/17/23 and no refund. So"/>
        <s v="Ordering was very easy and cost was less than most places. Shipping time was outstanding, 3-4 days and that was over a weekend."/>
        <s v="I had some issues on broken items due to poor packaging. I let Pet Flow know and they took care of it. I have been using pet Flow for a long time and this is my first problem. YES I will keep purchasing from Pet Flow."/>
        <s v="My order was canceled. I was given no notification about the cancellation. Additionally, when I talked to a customer service person to inquire, they were not helpful either. They couldn’t tell me what caused the cancellation because payment is done throug"/>
        <s v="The products I needed were very reasonably priced and delivered to my door step quickly."/>
        <s v="Shame on PETFLOW!&#10;&#10;The shipment of dog food for 17 and 13 year old dogs FAILED to be shipped.&#10;&#10;Ordered on 3/14/2023. I was informed my Vet had approved the Hill's Prescription w/d canned dog food.&#10;&#10;On 3/25/2023, PETFLOW informed me &quot;due to uncertain times"/>
        <s v="Good product, good service"/>
        <s v="First time purchase, two orders were cancelled for no reasons. I called customer service and they said they will investigate and send me an explanation email. Received no explanation, nothing…and agent attitude was terrible. One of the order refund has no"/>
        <s v="I did not order anything but received multiple emails about an order being delivered to my name and my address&#10;I didn’t receive anything&#10;Something is seriously amiss here"/>
        <s v="Overrall, the experience with this online vendor is excellent; however, they frequently run out of products often. Sometimes they delay thr shipments.&#10;The possitive is that they try to help the clients when they call on the phone."/>
        <s v="PetFlow is my first choice for dog supplies. Great customer service and friendly people who genuinely care about their customers."/>
        <s v="I never placed an order with you but my credit card was charged by someone else."/>
        <s v="Prices are very competitive. Shipment arrived very quickly."/>
        <s v="Great price with opportunity to get free shipping. Fast and accurate shipping and order filling. They had the dog food I was looking for."/>
        <s v="I still haven’t received my order…&#10;It took over two weeks to receive a call from Petflow after placing my order. Evidently they didn’t have my full address. That has been at least a week and still have not received a shipping notification. I ordered puppy"/>
        <s v="good company, nice people that can be reached by phone right away- no robots!&#10;&#10;good selection of products and very helpful and do not rush you&#10;&#10;PetFlow carries my favorite cat and dog food- Orijen."/>
        <s v="I ordered 8 boxes of 20-pound cat litter. I got a great deal, 48-hr. shipping, and an easy shopping experience. Plus, Raukten had 4% cash back. This was a better deal than chewy.com, which is usually the best. I am very happy!"/>
        <s v="Fast delivery&#10;Accurate order"/>
        <s v="Good products at good prices delivered timely."/>
        <s v="Very good service, thank you!"/>
        <s v="Every time I order from PetFlow I get fast service. It's nice to know when I need food or treats or toys they are on their way quickly. I also like receiving tracking information to keep in the loop."/>
        <s v="Order canceled for no reason or notice given"/>
        <s v="Great Prices. Fast delivery. Almost everything for taking care of your pets."/>
        <s v="Did not like that I buy a membership in order to save on my purchase…very disappointed with that part of checkout"/>
        <s v="Left product out by the street in the rain...It was covered in plastic....but still by the street is bad news."/>
        <s v="I ordered some Guinea pig food and the price was better than any other place! It shipped out fast and the company did a great job emailing when it shipped out with tracking. The products arrived perfectly packaged in a box that was just the right size for"/>
        <s v="I have ordered twice now from this company. Fast shipping, boxes arrived in tact, no problems."/>
        <s v="I had been looking for best auto ship on wet cat food and found PetFlow to be the best. They ship quickly and the whole experience is just great!"/>
        <s v="Good prices, great customer service. You also carry brands that mainstream stores do not."/>
        <s v="I ordered dog food to be sent to my daughters while she is keeping my dog. You evidently canceled my order and was not advised by Petflow."/>
        <s v="I always did love PetFlow. Only switched after years of buying from them because it took a bit longer to receive the product than was convenient. After finding out that they carry a product I was not able to get at my current pet food company I decided to"/>
        <s v="Account flagged as fraud. Long wait time for customer service. Had to give credit card info over phone. Can’t get a password email reset even though you recognize my email address. So, can’t access account."/>
        <s v="Petflow published an anniversary discount of 25% for orders over $100. I was so frustrated when my order wouldn't accept the discount. I called Petflow - and spoke to a REAL PERSON! (Bonus Points) Better still, the customer service rep was apologetic, fri"/>
        <s v="Website takes too long to navigate.&#10;Shipping takes too long.&#10;7 days from order to delivery."/>
        <s v="Great prices fast shipping only compliant is several cans were dented but they were still sealed."/>
        <s v="This is a fake account. I already called my bank and you a few weeks ago. Someone is using my email address &amp; an old card that is already marked fraudulent to purchase cat supplies. I don’t even own a cat. I have unsubscribed and continue to get these ema"/>
        <s v="friendly competent person that took care of my problem quickly"/>
        <s v="The 1 star may or may not be fair, but it’s to make a point. I have not prior history or account with PetFlow. I randomly started receiving multiple daily emails from PetFlow regarding multiple orders made (including order updates) to multiple people in m"/>
        <s v="I ordered cat food and when it didn't come and I was just running out, I called. They didn't even bother to tell me that it had been cancelled because they couldn't verify that the order was from a real person."/>
        <s v="The round cat scratcher fitted perfectly inside a round woven basket that my cats love. I had to remove the cardboard supports, which was easy to do.&#10;Many thanks!"/>
        <s v="Not sure why but I had a monthly subscription set up with my name, old address, and some credit card I don't own. Not sure what caused it. The website wouldn't let me cancel anything so I had to call in to talk with someone and get them to cancel it. The "/>
        <s v="Easy online ordering and product came as promised with no issues."/>
        <s v="Pricing, ease of using your website"/>
        <s v="we received a shipment from petflow and never made an order. When we contacted petflow, customer service rescinded the order and sent a notice to FedEx to pick up the package. We were supposed to leave the package outdoors. After 2 days, we contacted cust"/>
        <s v="I keep getting emails about orders I did not submit showing a shipping address in Mexico, NY. I am reluctant to click on any link in their email message and will not call the number listed as this appears to be a scam."/>
        <s v="Excellent service, super fast delivery."/>
        <s v="The first time I used the automatic dog bowl it leaks around fitting"/>
        <s v="My purchased was flagged and canceled.I have called twice and no one can tell me why!.i am pissed!"/>
        <s v="Ordered 3 times from Petflow, great customer service every time. They answer calls, respond to emails, and honestly do everything you would want from a company. Not to mention affordable prices."/>
        <s v="2 33 lb. bags of dog food in one box is TOO HEAVY! I can’t move it."/>
        <s v="I am getting emails about orders I did not place. I have replied back numerous times I am not Jeff and I have not placed ANY orders with you, and based on this experience, I never will. I would like you to leave me alone"/>
        <s v="Delivery time for product wasn't as promised; it was completely unacceptable."/>
        <s v="Amazing experience.&#10;My package was delivered on time and very fast!"/>
        <s v="Product was delivered as promised."/>
        <s v="Pet Flow always has my dog’s food in stock and it arrives very quickly."/>
        <s v="Easy to use App for ordering and always quick delivery. Also if I order a large bag of food for my dog I get free shipping!"/>
        <s v="Have had very good experience with PetFlow&#10;Good products with great shipping&#10;will order more"/>
        <s v="price was much better than most other places that I have purchased. I reached out to you about changing my shipment and the response was great. I will continue to purchase from this company"/>
        <s v="Quick reliable service. I’ve been with them for a while now. Sometimes it takes longer in the winter."/>
        <s v="I love the convenience of PetFlow. I live in a rural area and they are the best price and value for having my dog’s specialty food shipped. They make it easy with auto shipments. Even when I need to change dates it’s very easy. Shipping is always as expec"/>
        <s v="I have never shopped with you guys remove my email from your marketing emails/ company!"/>
        <s v="First time purchasing. Beats Amazon prices!"/>
        <s v="I always find a great selection of products and competitive pricing."/>
        <s v="All was well with initial service and product. The problem is with your packaging of two large bags of dog food in one box. The box quality is mediocre at best, the dog food is too heavy and too large for the box. The box broke open. This could be foresee"/>
        <s v="I am happily impressed with the personal service and speed of delivery from PetFlow. As long as PetFlow carries the pet food I use I will continue to shop PetFlow."/>
        <s v="EXCEEDINGLY EXPENSIVE!&#10;If I oculd attach a screen print ... I'd show/ prove it to you. Look at the price for the same item from CHEWY and MOST OTHER REPUTABLE COMPANIES. I put CHEWY'S link here but TRUST PILOT DOESN'T ALLOW LINKS. Too bad ... BECAUSE IT W"/>
        <s v="I've been buying from Petflow for several years. Every order has been carefully packaged and timely delivered. Shop with confidence."/>
        <s v="What I ordered was in stock and the order fulfilled promptly."/>
        <s v="Great quality products and very quick shipping"/>
        <s v="I bought the Kong monster balls for our Beagle , her second set of them . She loves them so much she hardly plays with any of her other toys."/>
        <s v="Your two representatives, Tristan and Ryan were knowledgeable, professional and courteous. They helped me through the process of creating a subscription account."/>
        <s v="Good prices; delivered as expected"/>
        <s v="You cancelled my order because I made it while traveling abroad. Don't worry, I will never visit your website again."/>
        <s v="My dogs most favorite treats are impossible to find!! Thankfully PetFlow has them in stock regularly!!! No more rationing their favorites!! Always fast shipping, arrives in great condition!!"/>
        <s v="Prices of the Blues Buffalo Wilderness canned dog food was good. Delivery was late bc it was out of stock which was fine. However, six of the 12 cans were dented which I won't use."/>
        <s v="Fast shipping and prices in line with other companies."/>
        <s v="Great prices, fast delivery!!"/>
        <s v="Great selection and price, fast delivery"/>
        <s v="Had never heard of this company before and was planning to use Chewy for our order, but found this company in an online search. They offered a coupon so I opted to give them a try. Our order was for prescription dog food, so we had to go through mailing i"/>
        <s v="Easy to navigate website and you had food for both my pets."/>
        <s v="Very pleased with purchase! Price was great, better than Amazon! Free shipping over certain amount fast also! Very well packaged. Often from A it looks like it rode behind the truck, not in it! Very happy with Petflow! They be my new goto supplier! Thank "/>
        <s v="My first order was cancelled in error by merchant. They were quick to resolve this when I called. Unfortunately, the same thing happened again when I ordered other merchandise. Again, they were quick to resolve this with a phone call. The customer service"/>
        <s v="Easy for me to order, the package showed up in a very timely manner."/>
        <s v="Prices are good&#10;Wish delivery was faster"/>
        <s v="I added a few things to my cart and left for a bit to get some lunch. I came back to several emails, telling me about the contents of my cart, and coupons on such. It had been like 20 minutes and ya’ll was already bugging me. Calm the hell down.&#10;&#10;Further,"/>
        <s v="I have sent in the prescription several times and my order still has not been filled. It is way too time consuming."/>
        <s v="I haven’t received the order after two weeks, and I haven’t received a reply from the help desk about when it’s coming."/>
        <s v="PetFlow definitely had the best price on this item that I could find, including prompt, free shipping."/>
        <s v="Fast, great prices, great selection &amp; super customer service."/>
        <s v="Best prices that I’ve found. Great customer service. Shipped my order promptly."/>
        <s v="Found Pet Flow purely by accident when looking for a specific dog food kibble online. Made my first order which was shipped promptly and arrived in a few days. I also noticed that prices are very competitive and shipping is free over a $49. purchase."/>
        <s v="I know that the road conditions for my order were difficult, but the delay was minimal."/>
        <s v="Likes: Good pricing, Fast shipping&#10;Dislikes: Not disclosing all information about pet food ingredients. Lack of customer support."/>
        <s v="My first experience was excellent….from the quality of the product…my dog loves the chicken treats…to the customer service. The sale was a great way for me to become acquainted as I do live on a budget!"/>
        <s v="Your website is very intrusive and hard to navigate, all I wanted to do was look up availability, choose and pay. It invariably brings up prior views, goes all over, even signed me up for recurring deliveries. Decided to leave and shop somewhere else."/>
        <s v="I have been using this company for years and will continue to do so. They carry high-quality product. Have a great customer service and fast shipping."/>
        <s v="PetFlow has such a variety of options for your pet. I have a very picky cat and can’t always find her choice of food at the pet store! Thankfully, I discovered PetFlow. They were way less expensive than the store I normally shop at and had exactly what I "/>
        <s v="Price was good. Product was received promptly. Ordering was easy. The only issue was that most of the cans in one case were severely dented. Customer service responded quickly and provided a new case."/>
        <s v="I've ordered several times from PetFlow.&#10;They have excellent products. Easy website to navigate. Good customer service."/>
        <s v="Low prices, fast shipping."/>
        <s v="Quick delivery when everyone else is so slow or delayed. Accurate orders. Petflow cares about the animals by donating a portion of the profits 🫶🏼"/>
        <s v="I received the dog food I ordered in a timely manner. They offer a wide variety of food."/>
        <s v="Fast shipping on hard to find item! Thanks"/>
        <s v="I order from petflow a lot. Never been disappointed"/>
        <s v="Upon placing the order I received and email from Petflowasking me to allow a couple of days while the Vet is contacted. Around the middle of the week the food was delivered as promised with no hassles. My cat can not conusme any other food and this Veteri"/>
        <s v="I had to call customer service regarding an auto ship that I needed sooner. Somehow I had an extra bag of cat food arrive. I may have made the error but when I called the Petflow representative, they were willing to take the bag back however, I wanted to "/>
        <s v="Food arrives quickly and well packaged. They carry Fromm dog food which Chewy and Petco don’t carry."/>
        <s v="Item was priced very fairly. Shipping was soo fast. Just an excellent experience."/>
        <s v="When I got my package I found that I was only sent half of my order. I called customer service and got ready to go rounds with someone telling me they were sorry BUT... It wasn't like that at all. I was immediately sent another shipment, no fuss or hassle"/>
        <s v="I already reported that this is my email not Dale Leonard's. I was told that Dale's account was removed from your records. Please remove my email from your records.&#10;Thank you,&#10;D Beatson"/>
        <s v="Lots of finger pointing between my vet and PetFlow… I’m not sure what problem was but vet said he never heard from&#10;PetFlow vet… so preset want processed… first time in last year I’ve had any issues with the process on prescription dog food… anyways once I"/>
        <s v="It was easy to find the product and place the order. Shipping was super speedy, which my cats appreciated."/>
        <s v="It arrived in time no delays or hiccups in the delivery."/>
        <s v="It’s always great, great low price, super fast shipping, great experience all the way around….Love Pet Flow…Thanks"/>
        <s v="Pedro's Mom, Allison, was attentive, helpful and pleasant. She's a truly a professional customer Service agent."/>
        <s v="Thank you for excellent customer service."/>
        <s v="Constant account hacks. I would be recommend."/>
        <s v="My account was hacked and my credit card information was mixed in with at least one other stranger’s information. When I advised Petflow about the problem I was merely told I had been the victim of some outsider’s actions and to start a new account with a"/>
        <s v="Easy to use website, fast easy shipping, great products. It would be nice if the free shipping limit was lowered."/>
        <s v="Very cool customer service. Quick shipping . The price is high. But the puppies love it."/>
        <s v="The wrong product was shipped and Petflow immediately sent out the correct food for my dog! Great customer service. Will definitely buy from then again."/>
        <s v="Pet flow is the most awesome online pet food provider in the market ! Even w/ trivial issues we incurred they prevailed as the winner &amp; so did we , thanks !"/>
        <s v="package and order was ok just left at wrong house and I did not see any notice of delivery"/>
        <s v="I have always had good service from Petflow. I have received damaged cans and they have always taken care of me. I donate the damaged cans to the shelter. The customer service reps have always been very friendly and professional. I love that they also don"/>
        <s v="Just switched over to you from many years with Chewy.com Ongoing Out of Stock for our Prescription Food, then far too many &quot;cute&quot; apologies.&#10;&#10;Came to you to fill and you had the inventory, twice actually and now I am on Auto with you.&#10;&#10;Thank you."/>
        <s v="I ordered 2 items and one never shipped and both items were coming out of the same warehouse. Shipping for the 1st item took 7 days . When my order arrived, I called to tell them my 2nd item never came. Customer service was great and said they would &quot;rush"/>
        <s v="Very hard to work with even though I had a prescription from the Veterinarian Office, which they never contacted Carolina Beach kept sending me the same message. If you have a copy of your prescription, please email a clear copy to along with your order n"/>
        <s v="Ease of ordering and modifying my auto ship order"/>
        <s v="All of the information you need to fill my order you have on file, which helps things go very smoothly!"/>
        <s v="I tried ordering dog food twice and both my orders were cancelled for some reason. Never received an email saying it was canceled just never reviewed the package and had to log onto my account and check what was going on both times. Ended up having to get"/>
        <s v="everything came quickly, but the bird treat sticks came all broken up. I wish there was a better way to send them"/>
        <s v="I am getting emails telling me that my order is on its way or it’s delivered. I DID NOT ORDER ANYTHING RECENTLY. PLEASE GET THIS STRAIGHT!&#10;Nothing is being charged on my credit card, I just get emails saying my order is on its way to some address I don’t "/>
        <s v="No issues and will order again."/>
        <s v="I placed an order and with no explanation or email, they canceled it. I logged on to my account to see why it was taking so long to deliver and it just said order canceled. I called customer support and waited on hold for 30 minutes and then it just hung "/>
        <s v="Every time I have called, everyone is very respectful and answers my questions."/>
        <s v="Order came fast.&#10;Staff answered my email quickly and helpfully.&#10;This company actually has REAL people who answer the phone and are sp pleasant and helpful.&#10;Prices are good."/>
        <s v="Always works perfectly...order online, what I ordered delivers in a few days."/>
        <s v="It was real fast service to get the bag of pet food. Our puppy appreciated it!"/>
        <s v="It was great to receive dog food in three days, delivered to my door, and for the lowest price!"/>
        <s v="I ordered two cases of Merrick Grain Free Chunky Pappy's Pot Roast Canned Dog Food. I received one case of the correct item and one of another food. One of my dogs has a chicken allergy so we checked the ingredients on the cans we didn't order and they ha"/>
        <s v="Although I received an email stating my order needed to be fulfilled by a further distanced warehouse and that my order could take up to 5 extra days, this company was able to deliver my goods on the original date.&#10;&#10;This was important, because no one in m"/>
        <s v="It was easy to place order online and it came quickly."/>
        <s v="Great Service ships on time. Have purchased multiple times"/>
        <s v="This account was supposed to be closed as it is fraudulent. Still getting emails for it. Looks like their purchase went though. Please close this account."/>
        <s v="Very good prices on the dog food we need. Also, fast shipping."/>
        <s v="My e mail is bein used through your website without being verified by myself. I am not using your website at all."/>
        <s v="Fast efficient delivery of a difficult to find product."/>
        <s v="My account was hacked and charges were made. Then i was told 3 times they restarted my autoship but never did and then locked my account. Meanwhile im expected my dogs food that i can't get around town"/>
        <s v="Great prices. I texted with a request and was answered within 24 hours with a nicely stated response."/>
        <s v="I have been dealing with your company for a very long time and just love doing so. All of the representatives are so friendly and helpful. A quality that seems lost in these times."/>
        <s v="Two of the things I ordered were out of stock but there was no indication when I placed the order that they were, so I was quite disappointed when I opened the box and two items were not inlcuded."/>
        <s v="Mr. Bigdog, Samson Loves the Cranberry treats and, the Parmesan treats the best~! He'll eat both but, picks out the Cranberry first... Art"/>
        <s v="Outstanding Customer Service reps. They are very knowledgeable and helpful. Thank you!"/>
        <s v="What a great place to shop for dog food!!!!!!"/>
        <s v="There is a glitch in your system. My account kept going to auto fill even though I cancelled it back in 2020. I should not have a problem now that I asked to have my account deleted."/>
        <s v="Prices were great, the orders were sent right away"/>
        <s v="Great service. Ultra-fast delivery."/>
        <s v="Twice now I’ve relied on Petflow to send me my Blue Wilderness- but it’s been out of stock- very disappointing."/>
        <s v="My order was canceled. I wasn't notified. When I called to find out why I was told it was flagged as fraud due to the quality in my order. I explained it was not fraud, it was less than a month of food for my two dogs, I was told they would reach out to t"/>
        <s v="My login was hacked and a fraudulent order was placed using my account. Even after I asked Petflow to cancel the order and fully delete my account, they still sent me a request to review the order on Trustpilot. Seriously?"/>
        <s v="PetFlow always has the best pricing and fast shipping. Auto ship is wonderful for never forgetting all your pet’s needs. It’s also customizable. Would DEFINITELY recommend PetFlow!"/>
        <s v="Great selection, on-time shopping"/>
        <s v="PRICES AND SPEEDY SHIPPING IS THE BEST. FEEDING HUNGRY DOGS IS EVEN BETTER"/>
        <s v="Prices are generally the same as Amazon and service is better. Prefer to support a private company when possible- and they sell Fromm products."/>
        <s v="Petflow is a great place that offers the best bang for your buck.&#10;Toys were as described and the pups were very happy."/>
        <s v="I screwed up my order and Mikaila fixed it without a problem. My items arrived quickly. I appreciated the new customer discount as well."/>
        <s v="We have used Petflow for years through the course of many dogs and have always found them very informative, caring, and a company that we do buisness with monthy. Between Petflow and Chewy there is no better full-service animal food, etc. provider."/>
        <s v="PetFlow is always responsive and great at filling our monthly auto ship order. Happy to do business with them."/>
        <s v="Even though I have complained before Petflow continues to package two 30lb bags of food on one box resulting in Gedex the carrier to drop the box and the contents inside burst open."/>
        <s v="I got a great deal on a great product. I was worried because I had never shopped with PetFlow before. I received my order in a timely fashion and I received plenty of notification about the status of my order. The particular Dog feeder I was looking for w"/>
        <s v="Easy ordering process. My only complaint is that it would be more convenient to see past orders to order again or edit an order as having to go thru and search products needed. My cat is on special diet and just need to be able to order his food in a quic"/>
        <s v="Easy, fast and reasonable."/>
        <s v="Easy to place order. Items arrived as described and when expected. Very happy with everything."/>
        <s v="I love that you donate a meal to a homeless animal with my purchase. It’s a wonderful way to help them, to not forget them. Also, your shipping is exemplary. I wish more companies were like Pet Flow!"/>
        <s v="Petflow’s Phone wraps are very pleasant and knowledgeable on how to help you my English cream golden retriever Walter needs a veterinarian prescription dry dog food. I used to get it through Chewy. But lately they’ve been having a hard time keeping it sto"/>
        <s v="Order was cancelled, I had to call and email for 2 weeks (3 calls and 3 emails).&#10;&#10;Supposedly due to some unknown reason my account was flagged as fraudulent. No real explanation.&#10;&#10;I was told a few times to reset my PW however my account has been disabled."/>
        <s v="Shipping seems to take a bit longer than it used to but I suppose it's a common problem. Petflow DOES update their delivery date notifications though."/>
        <s v="I live in Florida. My email was used to order twice. The shipments went to Texas probably using a stolen credit card. I was not charged. Talked to Petflo representative last week with information."/>
        <s v="I'm so glad you asked. I will be back. The process was simple, professional, and unbelievably fast. Thank you!"/>
        <s v="Mallory was AWESOME!&#10;She deserves a raise!!&#10;Only issue is still waiting.&#10;Been billed, finally got notification it shipped. Possibly because it had to go to Vet?&#10;Anyway, again, I will ask for Mallory next time!"/>
        <s v="This is the first time I've ordered from this outfit and I was totally pleased with the transaction. Their price for&#10;the dogfood I ordered was reasonable, they shipped quickly, and Rocco the dog is a happy camper."/>
        <s v="Love the fact it’s cheaper, comes right to my door and no shipping cost. Great deals"/>
        <s v="I was looking for that specific dog food for our new puppy and petflow was the only online store that I could find Verus Brand!"/>
        <s v="I found the food I was looking for. The price is high but industry standard. I liked the option to purchase a large bag and 2 of them. Thanks!"/>
        <s v="Pet flow is the way to go, I order my fur baby food all the time from pet flow and my delivery is on time, that is why they are the best.&#10;Thank you to pet flow and all of the team that works there. Shadow said woof. 🐕‍🦺"/>
        <s v="You send me a survey link yet I still haven't received the items. Surely you know this. The communication is terrible. Takes several days for any response. Hopefully I'll get the items soon - and I understand the weather delay but my items have basically "/>
        <s v="While the prices at PetFlow may be good, there are severe problems with having products in stock. It seems that no matter what I order (wet or dry cat food and cat litter), it's out of stock or has to come from a further away location. It didn't use to be"/>
        <s v="Reliable. Great choices."/>
        <s v="Everything I order was right and I get fast delivery"/>
        <s v="Easy ordering, fast delivery, competitive prices.&#10;&#10;My only complaint is — too many texts and emails!"/>
        <s v="I had recently ordered food from Pat flow with no issue. A couple of times my card was compromised and I had an issue with it and resolved it but recently, for some reason no one will give me an explanation of why I am not able to order food from you, eve"/>
        <s v="You carry the quality products I feed my 2 dogs and cat! Fromm, Annamaet, and Wellness. In addition, you deliver these foods in a timely fashion. I am a VERY satisfied customer and I recommend you to all my animal stewards."/>
        <s v="There is no option to cancel an auto ship so beware when you sign up for one. I am still trying to cancel it. There is only a pause option online and I can not get a support person to contact me."/>
        <s v="Your fast delivery, customer service, and packaging is excellent."/>
        <s v="My dog food that is on automatic order, the size i usually get was out of stock, so i was told unable to ship and received no food. However, that same dog food was available in a larger size and no-one took the time to let me know that. Not very good cust"/>
        <s v="It took over ONE week to get my order delivered!😩"/>
        <s v="I requested few times to add more selections of versele laga pigeon feeds and grits like gerrymandering, champion, black label, ic start etc. Pls pls pls"/>
        <s v="Very easy to order and products arrived quickly and in great shape! Thank you !"/>
        <s v="I experienced a problem with my order (not their fault) and customer service was so quick to help me fix it! Really appreciate the immediate response and care that was given. My order then arrived safely and packed well."/>
        <s v="Besides canned dog food, I ordered 4 bags of rather fragile treats and they arrived a little crushed. The company quickly shipped four new bags of the treats. They arrived in very good condition. I was impressed at how quickly and easily the customer serv"/>
        <s v="Still not delivered on the 28th.&#10;12 days ago&#10;Terrible"/>
        <s v="I did not place this order! I have already notified you about this. What is going on with these correspondences?"/>
        <s v="Quick Shipping! Unfortunately 2 cans of the dog food were badly dented!"/>
        <s v="The shipping is so inconsistent. Took almost 8 days to receive my dog food. This happens about every 3 months. Hard to foresee when I need to order. Leaving my pets without food so I’m forced to buy dog food elsewhere."/>
        <s v="Canceled my $300+ needed vet cat food order because &quot;email doesn't match.&quot; When I literally called them asking them what was going on here. Wouldn't send out my cat food. Horrible service. Will look do business elsewhere unless they have some killer deals"/>
        <s v="This was our first time buying on here. I found what I needed at a great price. It was easy to order and arrived quickly. Thank you!"/>
        <s v="You had the product that I needed at a fair price plus your shipping was on time."/>
        <s v="Fast shipping, great product, and even better price for what I purchased.&#10;I have made my second order, and will continue to do so with PetFlow."/>
        <s v="Good selection of high quality products. Shipped promptly. Authentic product from approved distributor. Packaged securely for shipping."/>
        <s v="Great customer service&#10;Very prompt to fix slight problem"/>
        <s v="Great as usual. Easy, quick, and reliable!&#10;Thanks"/>
        <s v="I called because my order was delayed twice. The gentleman I spoke with was very condescending. I told him that nowhere on the website does it state how long or how your purchase will take or ve shipped. I explained to him that I have 7 dogs and it is har"/>
        <s v="After a little confusion on your website about auto-ship, I was helped along by a pleasant customer svc lady. Smooth transaction. Great price on what I needed (and usually purchased at Chewy for more $); came in 3 days in a roomy box that my senior cat, V"/>
        <s v="The experience with pet flow is always so great!! I love the customer service and how helpful everyone is."/>
        <s v="Great service!! Lots of dog food choices!"/>
        <s v="Ordering was easy and delivery was quick."/>
        <s v="They worked with me very well when my cat refused to eat the brand of prescription food I'd bought."/>
        <s v="Service was great and combined with the best price, you can't go wrong."/>
        <s v="I really appreciate that PetFlow carries Fromm. It's difficult to get and PetFlow delivers quickly."/>
        <s v="I would give a 1 star for getting the dog food in a timely matter. FedEx is the worse by far. I’ll have to find a local shop in my town to buy as the shipping rates a minus 4."/>
        <s v="The company canceled my order 3 tines with no notification. Bad company bad customer service. Zero stars. I'll keep shopping with Chewy.com"/>
        <s v="My order went to the wrong address and wasn't delivered. Thank you for replacing it"/>
        <s v="Excellent pet products at bargain prices!"/>
        <s v="Products were shipped quick and for a great price! I was searching for bird toys (budgie) and there were plenty of toys to pick from on the site."/>
        <s v="Orders arrive on time and prices are good. I recommend."/>
        <s v="My orders are always delivered within 2 days. Great service and price."/>
        <s v="They always have the items I am looking for and at a great price. Check out is easy and delivery is fast."/>
        <s v="This company was awful to deal with. They never sent my product and gave me a hard time about my refund."/>
        <s v="Although FedEx is the most miserable POS low life carrier, your agent putting &quot;deliver to porch&quot; actually worked! They usually just kick it out the door on the way past. I'll buy from you again!"/>
        <s v="It's nice to get a heads up before a shipment goes out in case I need to adjust the contents or timing. Shipping is always prompt and the selection of food, treats, etc is quite amazing."/>
        <s v="I ordered roaches, and not one of them was dead. EVERYONE OF THEM WAS ALIVE AND HEALTHY.&#10;Very fast shipping and very fair price!&#10;I will definitely be doing more business with PetFlow."/>
        <s v="Great and plentiful selection of pet supplies, prompt delivery, and excellent customer service!"/>
        <s v="Website has alot of choices and the delivery was on time"/>
        <s v="I mostly order kibble &amp; bull sticks . I order &amp; it always comes quickly."/>
        <s v="Petflow ships promptly every time we order our Fromm dog food from them. Excellent customer service!"/>
        <s v="I ordered cat food for my 2 fur babies and it always arrives on time. Petflow has great communication with its costumers.I like the extra help if I can't find something.Nice people!"/>
        <s v="Tried to place large order using $50 off $200, but ran into out of stock items making it difficult. Once order was finally placed, got another out of stock notice. If petflow is to be depended on to supply pet needs, shouldn’t they have items in stock?"/>
        <s v="PetFlow has been good for me and my dog Elsa.Happy with products,price and shipping."/>
        <s v="Great company to deal with! They notify you when your next shipment is coming and you can adjust that date if needed. Good prices too!"/>
        <s v="easy ordering, quick shipping"/>
        <s v="The products arrived undamaged. With heavy cans, that is great."/>
        <s v="Had the food in stock and promptly shipped"/>
        <s v="I received my first bully sticks from my dog’s breeder. When my Bernese mountain dog treated them like candy the doc suggested I only order natures own grass feed steer. Service, price and reliability have been excellent. I am am auto ship customer now."/>
        <s v="I changed suppliers of canned dog food and got the same product for a substantially reduced price.&#10;I'm happy."/>
        <s v="Great prices, great service."/>
        <s v="Phone reps were great! On both occasions this month they worked diligently to get my order dates changed and on the 40 lb. bag of catfood for the ferals, got it shipped out THE SAME DAY!"/>
        <s v="While the checkout experience was decent, and I was able to save money with a coupon (this all made me happy) - once my package was delivered, I was not happy! I bought 12 bags of dog treats for my 3 boys and 3 of those bags (3 of same kind/flavor) all ex"/>
        <s v="You are reliable, honest, efficient and timely."/>
        <s v="The filters and search were not fluid or user friendly. So many items out of stock but that was not known making it time consuming. I nearly gave up twice because of the experience. Not sure how the rest of the site is as I only searched for cat food and "/>
        <s v="Order process easy. Great service corresponding with our Vet."/>
        <s v="Easy to find what I needed at a good price.&#10;Thanks!"/>
        <s v="Shipment always delayed and customer service never responds to email 👎🏽"/>
        <s v="I ordered by wet dog food from Pet Flow for several reasons, those being the price difference between a competing online dog food distributor, the ease of ordering, the friendliness and helpfulness of the agent I spoke with and the fast delivery of the pr"/>
        <s v="The item I needed was in stock, the process was very easy, I had my order within days and on time. I will continue to order through PetFlow!"/>
        <s v="I was waiting for notification that my prescription had been verified by the vet and/or that my order had been shipped. After several days, I contacted PetFlow to ask what was up. I got an email saying the order was cancelled out of concern for fraud. I w"/>
        <s v="My orders were cancelled without notification twice."/>
        <s v="I have had a horrible experience which is still to date not resolved. Placed an order (not a first time customer), My vet was contacted and sent back approval for prescription food. Internal PetFlow issue isnt adjuticating the approval. Noone will help me"/>
        <s v="Easy to begin auto ship. Has the special dog food we were searching for that is highly rated for having ingredients important to long lives of optimal health. Shipment notices sent to keep us informed of when to expect order. Received order in timely mann"/>
        <s v="Shipment was quick. Product was packaged well."/>
        <s v="Solid reliable company to purchase from. Customer service seems supportive if anything beyond a typical order is needed."/>
        <s v="Great website, excellent prices, and quick deliveries. I will only get my dog's food from PetFlow going forward."/>
        <s v="Best price, fast shipping for my hungry dogs."/>
        <s v="Had just what I needed at a great price! Very quick shipping. Had trouble getting the order through a couple of times but I persisted and am glad I did! Will definitely tell my local shelter about them, I am a cat socializer and they might be interested i"/>
        <s v="Awesome service....great packaging......great prices....very convenient"/>
        <s v="Pleased with all my purchases. People are helpful."/>
        <s v="Auto ship does not work. Advance notice of order was supposed to come but does not. Auto ship does not take changed scheduled when modified days before shipment date. Will not use auto ship or this company again to order dog food."/>
        <s v="My order was canceled and I was never notified. I only discovered that it was cancelled after I logged onto my account to find out when my order would be delivered. I called and was given no explanation for the cancellation or when the dog food would be d"/>
        <s v="They are doing a great job! Left Chewy for them and haven’t looked back since."/>
        <s v="Easy website for me, always a pleasure to speak customer service if you need them! Auto ship is easy, changing ship date and products is a breeze and you get a nice discount too!"/>
        <s v="Quick shipping and competitive prices. Thank you!"/>
        <s v="Shipping was faster than I expected. Best of all, the items were in perfect condition. No dented cans or boxes, which has not always been the case, so I especially appreciate it."/>
        <s v="Product was in stock. Added to cart and quick checkout process meant I was “in and out” in less than five minutes."/>
        <s v="I have now ordered a couple of times and I am 💯 satisfied. The orders are correct, well packaged, and on time if not early. I will be ordering on a regular basis from this company. I have nothing but praise for them. Excellent!"/>
        <s v="I called customer service because my order had not shipped after several days. The woman I spoke with in customer service was very polite and helpful and my order was shipped out the next day and I received notifications of the shipping status throughout "/>
        <s v="Very fast shipping! Had my order in a few days! I was able to saveoney as well! Great company!"/>
        <s v="I placed an order, and called three days later to make sure it was coming that day. I was then told that my order was cancelled for possible fraud. I was never notified by a phone call or e-mail that this happened. She couldn't place a new order because i"/>
        <s v="Prices are good, and delivery is timely. My problem has been with ordering from your website. The system cannot seem to store my credit card information properly. Last time it was so bad I had to have one of your staff order for me."/>
        <s v="Petflow reps are always helpful &amp; make good on any issues you have"/>
        <s v="Too long for shipment. Had to keep emailing when order would ship. Items were in stock. Don’t know what the hold up was"/>
        <s v="Great company quick delivery have all the pet products we need"/>
        <s v="Petflow had brands that I have difficulty obtaining elsewhere. Their prices are good, and the food I ordered for my dog with allergies arrived in good condition."/>
        <s v="Great price on the Chinchilla food that purchased. I always shop away and PetFlow had the best price and I received it super quick,"/>
        <s v="First-time experience"/>
        <s v="I changed the address for delivery and it got mailed twice, one went to the wrong address but I still had to pay for it."/>
        <s v="I ordered canned prescription Royal Canin wet food at a cost of 95.00. Most of the cans were dented on top and bottom. It could be bad for my cat to eat. What a waste. I usually order from Chewy.com, but they were out of stock"/>
        <s v="Discovered Petflow due to Chewy being out of stock for several weeks of my dog's prescription canned dog food. I got the name of PetFlow from a trusted dog friend. Food arrived quickly. Thank you!"/>
        <s v="Willingness to help me through the ordering process for the first time--I was having some technical difficulty."/>
        <s v="Excellent service and very quick delivery!"/>
        <s v="Never had a bad experience. Prices are extremely reasonable and customer services is awesome."/>
        <s v="The customer service is extraordinary. Any problem I’ve had was corrected swiftly, expertly, and cheerfully. These people seem genuinely interested in taking care of our pets."/>
        <s v="Good price, fast service."/>
        <s v="It was my first time ordering with this company and it will be my last one. They canceled my order and didn't notify me, when I called them, they said it was flagged for fraud and had to be canceled. I asked why, they said they can't give me any additiona"/>
        <s v="I didn’t even place the order that triggered this review to pop up. It was fraud and I’m still dealing with the canceling of my credit card because your website wasn’t secure.&#10;&#10;Also, even on this page my name coming up as James Shearer. That is not my nam"/>
        <s v="Carries brand not found in most pet stores. Efficient, fast delivery."/>
        <s v="Awesome professional support with timely shipping. Great prices as well."/>
        <s v="Prompt response when I had a problem with my order. They gave me a credit because my dog will not eat the food I ordered."/>
        <s v="Great experience on website and delivery!"/>
        <s v="EXCELLENT PRICING, SHIPPING NOTIFICATION AND PACKING OF ORDER!! Just wished they had more selection available."/>
        <s v="I’m was technologically inept on the computer and had to call the company to order my product. The person who answered the phone was so courteous and helpful. Because of her, I will continue to order my dogs food from PetFlow."/>
        <s v="Everything I was looking for was in stock, and delivery was quick."/>
        <s v="The whole process went smooth.&#10;Fast shipping.&#10;Very satisfied."/>
        <s v="Using Petflow was easy, and I was able to find substrate for my tortoise that was not available near me. I also ordered wet cat food. It was the trouble with Fedex that will make me reconsider using Petflow again. My catfood was shipped all over the place"/>
        <s v="Two reasons: the terrific customer service and product pricing. Simply put: they earned my business. Sometimes low pricing (actually the best price I could find) means low quality customer service, but not at PetFlow. My first order from PetFlow arrived d"/>
        <s v="Ordered prescription dog food. No email telling me you got the order. I called and they said it would be coming out of a warehouse, did not know from where or when. Still no email. Had to go buy food locally, which I am disabled and it was alot of work an"/>
        <s v="I was looking for better pricing for my dogs food, and that is how I found Pet Flow. I want to feed them a better dog food than what is in most grocery stores. I was happy to find Pet Flow, they have good customer service, and great prices. With 5 dogs, I"/>
        <s v="They always have what I am looking for at a fair price. In particular, I order Fromm's dog food. They are one of few places that carry it. Shipping is quick as well"/>
        <s v="Easy, awesome new pet products online order/delivery company recommended to all pet parents 😀"/>
        <s v="They had what I needed in stock and it came fast."/>
        <s v="Website was easy to navigate and shipping was fast. Compared prices and Petflow was the best by far. Will definitely order again"/>
        <s v="After deciding what brand of dog food I wanted for my new puppy, I did a search for the best price.&#10;PetFlow had the best price."/>
        <s v="RECIEVED THE LAST PRODUCT, I ORDERED. I CALLED YOUR COMPANY TO LET YOU KNOW, THE PRODUCT WAS DAMAGED (BENT). I TOLD THE PERSON, THE BOX WAS NOT DAMAGED, SO THE PRODUCT HAD TO HAVE BEEN PUT IN THE BOX DAMAGED!&#10;HE DIDN'T WANT TO HEAR IT AND WAS REALLY RUDE!"/>
        <s v="This was a new Company to me with a good buy on the products I needed so I decided to give them a try. I am VERY DISAPPOINTED: 1) I never received an Order Confirmation Email as stated (checked my Spam) and was rather referred to my Email Provider immedia"/>
        <s v="Everything was quick and easy. The Custer service rep was knowledgeable, professional and pleasant"/>
        <s v="Could not pay with paypal. For some reason kept getting message problem with connection"/>
        <s v="I appreciate their communication with me in regards to orders and delivery"/>
        <s v="I can always find the products I want for my dogs at really good prices"/>
        <s v="There was a delay in shipping and the order had to be split, but throughout everything they kept me highly informed of everything going on. Best part for me, the customer service representative who responded to my email was kind, helpful, and informative."/>
        <s v="Great and Fast Service and plenty of communication …. You can’t ask for more"/>
        <s v="I had to get a specialty cat food for our cat who has dietary restrictions. I was unable to use a coupon that had been sent to me. I called and immediately it was taken care of, I was able to use that coupon, they quickly confirmed prescription with our v"/>
        <s v="Easy to use, fast, and cheaper than other pet supply companies!"/>
        <s v="Over the last year there has been significant shipping delays with my autoship order. The issue seems to be primarily with the NJ warehouse where they don't work night, weekends etc. There is a discconnect between product forecasting, order entry and supp"/>
        <s v="PetFlow always gets my order correct, has great prices and I never have to worry about running out of food for my dogs and cats"/>
        <s v="My cat would not eat several differert canned cat foods. I tried the one for stomach and hair and she has not thrown up since. You now have a returning customer!! tHANKS"/>
        <s v="Shipment on time. Customer service great"/>
        <s v="Not a good experience at all. I choose your company because of a discount you offered me fir being a first time customer. I never got the discount because your ad was misleading. I was only going to get the discount if I signed up for auto refills (that w"/>
        <s v="Fast shipping!!&#10;Had the food I needed —happy to have a promo code as well !&#10;Great communication with shipping and delivery"/>
        <s v="The exact product I was buying locally at Petsmart. A prescription cat food but in a larger economy bag for about 30 % less. Shipped free and on time. I'll be a regular customer now"/>
        <s v="Very happy with the product the way it was pack, got it in the time frame I was told and what’s more important my cat love it and you guys where the only place who have it in stock thank you so much"/>
        <s v="Ten business days after placing my order and being charged for the order, the product has yet to ship. 5 business days after placing the order I contacted customer service, who indicated they would check with supplier and get back to me. I was told it cou"/>
        <s v="Trouble free delivery. Arrived when expected as expected. No complaints at all. Would recommend..."/>
        <s v="Tried ordering twice..both times the orders got cancelled by their team. Neither time did they reach out to me to inform me they were cancelled, it was just after waiting days for a shipping confirmation after getting an email they were fulfilling the ord"/>
        <s v="Got what I ordered and delivered quickly."/>
        <s v="Although I had never purchased from PetFlow before, they delivered quick and on time and the product was exactly as advertised."/>
        <s v="Had dog food I used, processed my order quickly and I received it quickly.&#10;Only problem I had was box that it was shipped in was totally broken. Luckily dog food wasn’t."/>
        <s v="Good selection of products, pricing was very competitive, and shipping was super fast!"/>
        <s v="Good service and competitive prices. Products arrive in good condition and in a timely manner."/>
        <s v="They went above and beyond the call to ensure satisfaction after the carrier had lost a shipment. I highly recommend Petflow to anyone looking for quality goods at a fair price."/>
        <s v="Could not buy cat food without a prescription...like what the hell is that about, It's all so Veterinarians can get paid it's total b*******. Absolutely uncalled for"/>
        <s v="Availability&#10;&#10;Good Price&#10;&#10;Easy Scheduling"/>
        <s v="Good products quality excellent customer service"/>
        <s v="Ordering the needed vet diet for my dog has been easy. More communication regarding the order and when it is shipped and will be delivered would make it a perfect transaction."/>
        <s v="You falsely advertised an item. You advertised the item was in stock then when it was supposed to ship I receive an email stating was out of stock but on your website it still to this day states it is in stock. Now I can't cancel the auto ship I can only "/>
        <s v="Extremely friendly and helpful customer service and quality items always available. Shipping is always quick and they donate a bowl of food with your order. Win/Win"/>
        <s v="Very happy I ordered the food one day and received it the next."/>
        <s v="I have received my puppy’s food in a timely manner and he loves it. Thanks!"/>
        <s v="7 of the cans were extremely dented. One of the seven damaged cans was leaking"/>
        <s v="Super quick response time when I accidently ordered a toy I didn't want.&#10;Website is user friendly. Huge amount of items to choose from.&#10;I used to shop a Chewy but I needed a prescription and it was easier to pick my vet from you list than going through al"/>
        <s v="PetFlow is wonderful, many varieties of food for your pets. My only gripe is that after placing an order I got a Thank you email w/a picture on it saying review yr item, get $10 back. They gave it to me for only one of my reviews &amp; the very good, sweet cu"/>
        <s v="Customer service has been great, but shipping practices need work! I have complained on multiple occasions that my shipment of canned dog food arrives damaged. They pack too many flats of cans in the same box, and don't use any packing materials to preven"/>
        <s v="After ordering I did NOT get a tracking number or shipping confirmation even after getting a notice that the food was shipped. My PayPal payment was taken right away.&#10;I also was put on autopay WITHOUT MY PERMISSION.&#10;I had to manually cancel an autopsy I d"/>
        <s v="I’ve been overcharged for my orders since mid August due to incorrect sales tax. I informed company of this explaining why we were overcharged including documentation from the state proving the correct rate but was continuously blown off and disregarded. "/>
        <s v="Concerned about the package that I ordered 2 weeks ago that still has not arrived. I'm running out of the canned food for my dogs . . ."/>
        <s v="I have a recurring order and needed to modify. Tried and messed it up and ended up having two recurring orders. Called customer service and a very friendly person helped me navigate to delete one."/>
        <s v="Overall a good experience. I am not a fan of the website, could be a bit more user friendly. Shipping takes too long. Orders take a while to process. Availability of products is ok. Prices/sales could be better."/>
        <s v="First time ordering prescription food order for my pup and customer service was so helpful to track order to deliver as soon possible! Very helpful and trustworthy!"/>
        <s v="As advertised product with timely service."/>
        <s v="Was on time and order is right. Thank you."/>
        <s v="Hi, I live 1/2 mile off the county road,fed x is the only delivery outfit that will come up here in the winter. You shipped my food with them so I got it in a short time. Way to go! Tim"/>
        <s v="Need to tape top and bottom end edges. Just the middle is not enough on large bags."/>
        <s v="It’s extremely easy to order anything.&#10;I really appreciate that. It’s always on time when they say you’ll receive it.&#10;They also give you a tracking number so you can keep track of your order.&#10;It’s a great company and so easy ordering what you need. 👍🏼♥️"/>
        <s v="The deliveries arrive in good condition, and on time."/>
        <s v="PetFlow carries the particular brands of food for my pups that I are the most nutritious and made by family run companies in the US."/>
        <s v="I have been using this service for over 10 years. I have never had a bad experience with either the product or the customer service. Everyone I have dealt with has been friendly, knowledgeable, and professional."/>
        <s v="Shipment arrived torn from stem to stern and keel. Meager attempts at re-taping most likely by the carrier. Packaging too light for the weight in the box. Amazed that all product was still in the box, even tho box was near total destruction. I notified Pe"/>
        <s v="Apparently when I placed my order the item was in stock. My card was charged and I expected shipment soon. A couple days later I got a refund of my purchase with no explanation. The explanation came a couple days later that they were out of stock. Seems a"/>
        <s v="Usually, I don't have any issues. This time, the shipment of cat food was all over the place. Cans were not secure in the case and many were severely dented. Almost like someone just threw the case in the box."/>
        <s v="Responsive customer support."/>
        <s v="Price and prompt delivery"/>
        <s v="I found this company online when the place I usually order from was out. Ordered three bags on Saturday the product shipped on Monday and arrived to my home on Wednesday, I live in a very rural area as well. WOULD DEFINITELY RECOMMEND."/>
        <s v="Quick shipping, helpful customer support, and quality cat food purchase. Best price too. Thank you."/>
        <s v="There was a bit of confusion with the customer service rep when I called regarding the prescription diet food for my dog. I had already sent the script to customer support but when I called to let them know it was there, she said I needed to send it to cu"/>
        <s v="I ordered tetraColor XL tropical granules fish food and my fish thank you. I got it just in time as I ran out of 3 days servings left. Speedy delivery for great price."/>
        <s v="My package was delivered damaged and they quickly replaced it without questions."/>
        <s v="Has what I needed and delivered it in good time."/>
        <s v="Easy to navigate website. Found the dog food I was looking for and with discounts applied by PetFlow was able to get the lowest price I could find anywhere."/>
        <s v="This was the first time I had shopped with PetFlow and found it to be very easy to find what I needed."/>
        <s v="I will never order anything from this company again. They do not have the food I ordered, but it’s on back order now they are holding my credit card hostage and won’t cancel my order."/>
        <s v="My orders are always punctual and good. This time, was especially essential that my order was expedited faster than usual as my dog sitter who was taking care of my dog during a family death over the holidays didn't tell me he was almost out of food! Than"/>
        <s v="my account showed a backorder. order more product, then got a bunch of products, good for months."/>
        <s v="I needed to find a specific prescription food for my diabetic dog and they had it, along with some other options that my vet would approve if my dog didn’t like this one. They got in touch with my vet immediately to verify his prescription and shipped the"/>
        <s v="PetFlow has a great selection of products, great prices and fast shipping. I buy the Nulo Cod and Lentils Weight Management dog food, my guys love it"/>
        <s v="Cheaper then other places. Fast shipping. I was very pleased."/>
        <s v="All of my dealings with pet have been positive. My dog food is always delivered in a timely manner."/>
        <s v="Easy to order, competitive prices orders arrive fast!"/>
        <s v="I purchased Milk Bone Pill Pockets. This was a really good price, and they shipped my order quick. I'll definitely be back."/>
        <s v="Fast shipping and almost always have foods I am looking for in stock for immediate shipment."/>
        <s v="Quick service, good packing, good prices."/>
        <s v="Cumbersome Internet system caused two orders to register rather than one. Canceling the orders immediately still did not stop an extra bag of dog food from arriving, causing multiple emails and finally return."/>
        <s v="I received this order so quickly which I really appreciated. It surprised me, it was so fast."/>
        <s v="Took 9 days for order to arrive. Multiple erroneous ails re expected arrival, had to go buy at store and.order was delivered after I left the area."/>
        <s v="This has to be my 10 th or more times that I have either purchased dog and cat food from PetFlow. The delivery service is excellent! Also selection is wonderful and price is just the same or less than in the stores. It’s so nice to come home and your fur "/>
        <s v="Was kept informed about items back ordered and other items shipped separately."/>
        <s v="PetFlow is a great place for pet products at reasonable prices. Delivery is reliable as well."/>
        <s v="I've ordered bulk cat litter from PetFlow several times now. They offer a great price, great products and quick shipping! Will be ordering again."/>
        <s v="Website was easy to navigate. Checkout was quick. Easy to track shipping. Delivery within a short period of time."/>
        <s v="I can count on PetFlow to carry the food that my furry babies like."/>
        <s v="Incredibly fast service. Perfect packaging. Everything absolutely wonderful!"/>
        <s v="I Love PetFlow, there are always so helpful and easy to order. I love how I get free shipping and they're always on time. Customer service is great and I have definitely recommended PetFlow to friends and family."/>
        <s v="I HAVE ORDERED FROM PETFLOW SEVERAL TIMES AND MY ITEMS ALWAYS ARRIVED WITHOUT ISSUES, THE PRICES ARE THE LOWEST IN EVERY STORE AND ONLINE SITE THAT I COULD FIND. I HAD A SMALL ISSUE AND IT WAS TAKEN CARE OF IMMEDIATELY. CUSTOMER SERVICE WAS QUICK TO ASSIS"/>
        <s v="Offer quality dog food and treats.&#10;Fast order filling and shipping.&#10;Reasonable prices. Great clearances."/>
        <s v="Ease of ordering, product better than described, costs are reasonable, very prompt shipping."/>
        <s v="PetFlow delivers the treats my dog prefers. With the pandemic we weren’t always able to get her treats at the store - that’s how we found PetFlow. Yay!"/>
        <s v="Always have great order takers, fast and efficient."/>
        <s v="Confirmed my order for dog food and did not ship it nor contact me. I ran out of food for my dog. Unacceptable to harm my dog or anyone's pet. Will never do business with a company that disregards the health of their real customers. Apparently this issue "/>
        <s v="Website was easy to use and checkout was quick"/>
        <s v="Easy ordering. Very fast delivery."/>
        <s v="Great product and quick service. Will definitely buy from them again."/>
        <s v="Timely delivery, large selection of products. Notification of products arrival that had been out of stock. Great web. Thank you PetFlow!"/>
        <s v="I ordered 2 trays of special vet approved canned dog food - it arrived quickly and well packaged. No delays even though they had to confirm with Vet."/>
        <s v="More often than not my dog's food is backordered, so then I have to scramble to find her food, then days later the backordered item ships. I then have 2 bags of $80 food that I didn't budget for."/>
        <s v="I have used PetFlow for a few years. Every order has been filled accurately and timely. Communications regarding order status has been excellent. I would give a five star rating except for the minimum order size and shipping costs."/>
        <s v="I Love the products! I feel the shipping takes a long time. Much longer than other companies I buy from."/>
        <s v="Awesome website and many brands to choose from. Easy ordering and the dog food- Canine Cuisine- is loved by all furry friends. Definitely recommend Petflow.com."/>
        <s v="I don't like that 2 orders were placed (only 1 charged for) and I still don't have either of the orders!"/>
        <s v="Easy to make a order and a good delivery"/>
        <s v="The shipping used to be very quick but now it seems although the items show in stock it takes a week for the items to ship. It is disappointing as I grew accustomed to the fast service"/>
        <s v="I was able to find what I needed at a good price. Shipping and delivery was very timely too"/>
        <s v="Petflow has consistently met my expectations even when having to ship from Nevada, what normally ships from New Jersey."/>
        <s v="First time purchasing from Pet Flow. Ordered Dr. Marty's small breed food and a bag of treats. Great fast shipping. And my dog LIKES the food."/>
        <s v="All online. Ordered prescribed cat food. They took care of rest. They confirmed with vet and bam, 2 day later the food was at my door."/>
        <s v="The representative was super friendly, easy to work with, and quick to resolve my issue. 10/10"/>
        <s v="Great price very quick shipping and great to talk to."/>
        <s v="Everything was so easy&#10;&#10;Placing the order shipment. Just delivery time was a bit slower than Chewy"/>
        <s v="I never received a notification that I had an upcoming subscription order being processed. I was unable to edit the delivery date. When I reached out to Customer Service several times I got zero response.&#10;The day I was notified I had this order being proc"/>
        <s v="Your prices were the best we could find. Quick delivery."/>
        <s v="I had trouble finding Verus dog food anywhere else, but PetFow had it and delivered at a good price,"/>
        <s v="Easy ordering, product in stock and for cheapest price among other sales outlets, reliable shipping and delivery."/>
        <s v="I’ve placed multiple orders with Petflow and each time it’s delivered really fast with great prices an excellent service."/>
        <s v="My order NEVER arrived. I ordered the tear stain tablets and two different treats. Please send me my order or credit my account 10767863"/>
        <s v="On Time delivery"/>
        <s v="Pet Flow was fast with shipping and delivered when promised. Merchandise was is excellent condition and exactly as pictured. Very pleased."/>
        <s v="The greatest part was the followup when my package got damaged and you all replaced it. My only criticism is that your tape doesn’t hold, especially in the harsh rain."/>
        <s v="Ordering was easy. Delivery was prompt. Customer service is exemplary."/>
        <s v="My product order was in stock and I received in a timely fashion."/>
        <s v="I ordered a product on January 9 and still have not received it. I've written to Petflow inquiring about this and never received a response."/>
        <s v="I can always count on my pet food delivery to be on time and we’ll packaged."/>
        <s v="In the last year service has gone from fantastic to spectacularly frustrating. My last interactions have been frustrating to the point of closing my account. I have a hospitalized friend in another state. I was purchasing food for his dogs and having Petf"/>
        <s v="Love the carrier! It was easy to get my cat in through the top door and was just the right size. Will fit my 14 pound cat as well. Had it within a few days of ordering it."/>
        <s v="Cancelled my order and claimed it was fraud and refused to sell to me."/>
        <s v="You carry my product but took awhile to arrive !"/>
        <s v="The product I ordered was out of stock, yet the system still allowed me to order it, even though it was out of stock. I cannot trust the system to give me the correct stocking of this item."/>
        <s v="Shipping was fast, I saved a lot with the coupon they sent for a first time shopper! Got 3 heated mats for our dogs"/>
        <s v="Pet Flow is a great place for your pet needs. We have been very satisfied!"/>
        <s v="Flagged my purchases as fraud and then refused to allow me to repurchase."/>
        <s v="We were counting on our Fromm dog food Auto-Ship order to be shipped on the date that PetFlow said they would ship. According to them they got very busy during the holidays and this order did not ship until the following week. As a result we had just enou"/>
        <s v="Product was in stock and order was filled correctly and quickly."/>
        <s v="Delivery was on time and at a better cost than other merchants."/>
        <s v="Dog food was delivered to family members home. It arrived quickly and in good condition."/>
        <s v="I placed my order online easily. I did receive an email stating the shipping would be delayed but they kept communication open, it was only delayed by 2 days and I received my items as expected!"/>
        <s v="The company delivered when promised, with the exact items ordered. My only complaint (and it's a little one) is that it was difficult to follow the order once it was in the system so that I could see where it stood."/>
        <s v="Overall Petflow has good service and competitive pricing for the products they handle. The website could be much more user friendly - to adjust an order or make changes to a saved order can be very confusing."/>
        <s v="Carry brand I was seeking."/>
        <s v="I was low on food for my dog because I forgot to order so it got here pretty quickly. I was down pretty low and I called to see when it was going to arrive and spoke to a very lovely and helpful woman in their customer service."/>
        <s v="A large variety of pet food products to choose from. Package arrives intact. An animal gets a bowl of food with my purchase.&#10;Thank you"/>
        <s v="They were very friendly they would take your phone calls if your computer wasn’t working and the delivery was always on time and I appreciate that thank you"/>
        <s v="The quality of the pet food. The fact that you carry Fromm can’t get it many places, and it’s a trusted brand by me and my family"/>
        <s v="Competitive prices, shipped well with no damage."/>
        <s v="PetFlow is the —only— online source that seems to be able to maintain stock of the particular Taste of the Wild canned variety that we prefer to feed to our guys. Shipping is free above $49 or so, and since we get multiple cases, no problem! Shipping is F"/>
        <s v="Where to begin? First, inventory on their site isn't real. In my case, the veterinary dog food I ordered was to be shipped from the manufacturer who was out of stock. Second, rather than them inform me, I called for order status three times. The first two"/>
        <s v="I didn’t make an order. Someone hacked my account and tried to set up an auto ship order to an address that is not mine."/>
        <s v="This was my first order from PetFlow. I found out my dog has some pretty extensive allergies and with each passing day, I had no choice but to feed him the stuff he was allergic to until my new food arrived from PetFlow. I regret switching from my usual p"/>
        <s v="I was told when I ordered 1-3 days for arrival. It took 7 days. I have a kennel of puppies and needed the food.&#10;Will never order again from you. It has happened several times."/>
        <s v="Everything went smooth, I had to ask for help using the sight and received it well."/>
        <s v="The PetFlow website is easy to navigate and their autoship is easy too. I appreciate getting the notices that it will be shipping and that I need to make changes, if any, by a certain date. I also get emails keeping me up to date on my orders."/>
        <s v="Didn't help at all, Basically said I can not order the item and move on"/>
        <s v="Reasonable prices. Very good communication and notification system. The only con is that some products are not always available and back ordered."/>
        <s v="PetFlow is great because they sell the dry food I feed my cat and it isn't around anywhere else. I also want to say thank you for receiving my order 3 days after I ordered it. Often it can take up to a week."/>
        <s v="GREAT Company, GREAT Service and GREAT Products"/>
        <s v="I couldn't access my account because I couldn't remember my password. Your account recovery system is not very good at all."/>
        <s v="The order was wrong. I called and the young lady that answered was very professional and efficient. She took care of the problem and I could hear the smile in her voice."/>
        <s v="Order took almost a week to reach me. When I called to check where it was I was told you were experiencing delays. It would have been good customer service to tell me that via email before I called."/>
        <s v="I absolutely LOVE PetFlow!!! I am thankful for fast shipping and the fact they work so well with my vet to get my Diabetic Dog the food she needs!!!"/>
        <s v="I ordered (2) 40lb bags of dog food. One bag was damaged on arrival and they replaced entire order sending 2 replacement bags. More than made up for it. One thing is the replacement boxes actually had more packaging material to hold up better in shipment "/>
        <s v="Impossible website entry. Customer service didn’t answer my questions. Delivery is late - I don’t have my shipment yet."/>
        <s v="I have ordered from Petflow for a few years now-never had a problem. My last order was a total nightmare dealing with your customer service reps. Rude, condescending, passive aggressive e-mails sent to me when all I asked was &quot;where's my dog food&quot;. I orde"/>
        <s v="I have used these folks for a couple of years. They have the best price for the product I buy. Delivery is quite prompt."/>
        <s v="To slow on getting the order out,hard to understand the ordering system."/>
        <s v="Easy to use and find items with quick delivery."/>
        <s v="Intuitive site allows me to easily order and reorder the dog food varieties I need. Good electronic notifications confirming orders, tracking shipping and projected order arrivals. I like easy."/>
        <s v="It took a little long to receive the items due to product availability. This is not the 1st time.when I did receive it, tge order was fine"/>
        <s v="Always get a great deal with coupons and the food arrives exactly when they told you! Will be ordering again soon!!"/>
        <s v="Customer service is terrible. I will not order from you again."/>
        <s v="I loved PetFlow - they used to be really good with getting my orders out right away. I placed an order on 1/1, called a few days later as my order still was not sent out. Customer service said they were noting that my items needed to be sent out ASAP - st"/>
        <s v="Communication regarding shipping was lacking. In the past, ship dates and estimated arrival times were closer to reality."/>
        <s v="My order was cancelled without them letting me know, and I received lousy customer service trying to figure out why. Placed my order again, but of course the price of one of my items has gone up. Customer service will not help."/>
        <s v="- I was .49 cents short for free shipping so I added 3.00 treats that never got added to the order, got charged for shipping, the package was so heavy FedEx dumped it in the wrong lobby not even bothering to drop it at my door.&#10;You make us order so much &amp;"/>
        <s v="It took a very, very long time to get to my house. I've switched to Chewy because their shipments get to me in one to 2 days."/>
        <s v="Haven't received product and you want a review? Ordered on 12/30 needing it no later than 1/12 and won't receive it until the 13th if lucky. But still asked for review. Maybe make your automated emails for review tied to the delivery of the items. Would b"/>
        <s v="The package came in good condition and when it was running late I have a coupon for the next order that they sent."/>
        <s v="I’ve been with Petflow for many years. Product is alway delivered promptly and no damage. If you do have a damaged can they make it good. Love this company."/>
        <s v="Ryan was exceptionally helpful and because of his assistance, I will continue to shop at PetFlow."/>
        <s v="7 years doing business with You (PetFlow).&#10;Poor resolve for item I have been buying from you for 7 years.&#10;&#10;I will look forward discussing this with Senior Corporate Manager.&#10;&#10;With 60 years in Corporate myself with Customer Support responsibilities, pehaps"/>
        <s v="They always have what I need in stock and at a great price especially with the use of the coupon options."/>
        <s v="If I could give Petflow 0 stars I would. Their customer service is AWFUL, AWFUL, AWFUL, they take forever to ship items (on the off-chance that they actually have the items available) and will require a huge waste of time on your part to rectify issues th"/>
        <s v="My order was placed December 20 and I still don’t have it. Two weeks is just too long. Ordering from PetFlow is just too unpredictable, sometimes it’s days, sometimes it’s weeks. I had to buy from another source."/>
        <s v="Please give alerts or notifications when you can’t fulfill an auto ship order! I have to find out by checking my account after the expected shipment date has passed and I’m out of my cats prescription KD food. Have voiced my concerns multiple times over t"/>
        <s v="Delivers as promised, and checks that it was received. I am thrilled that I found PetFlow!"/>
        <s v="I like that you sent the food and the price was lower than most other places. I did not like not being able to order food because it seemed to automatically turn on auto shipping that I didn't want. And I couldn't find a way to turn off auto shipping. So "/>
        <s v="Made an order. Just like I have several times before. They canceled the order but did not let us know. No email. No phone call. Nothing. We bought from Petco and will from now on."/>
        <s v="I have tried to use PetFlow a few times for their monthly shipment of dog food and I have always come across issues. The first order, my first bag of dog food was delivered on time. The second order of dog food was delivered with tape all around it. I rem"/>
        <s v="Still haven't received our order, so ordered from and received in two days - which is good so our senior dogs do not have to eat puppy chow."/>
        <s v="Order not shipped from warehouse for about a week and still shows as not picked up. I had to check the status and call to cancel it after 7-8 days."/>
        <s v="No follow up regarding status of order and no order received. Very disappointed"/>
        <s v="Like others, my order was canceled without notice, and I only found out when I checked my order online after 10 days. A rep at PetFlow said that they automatically cancel orders because of fraud concerns if the shipping address is different than the billi"/>
        <s v="WHERE IS MY ORDER WHICH WAS OREDERED ON 12/26/2022? ORDER #10729000 BERGEN K-9 CAFE!"/>
        <s v="My orders are taking longer and longer to get. It's taking about a week (in the beginning they came in a few days). I have ended up going to the only location nearby that carries Fromm dog food while waiting for my dogs food. A week ahead of time should b"/>
        <s v="Love the convenience and customer service."/>
        <s v="Everything ships quickly.&#10;Was disappointed that I couldn’t find the one medication through PetFlow."/>
        <s v="Placed an order for dog food, waited over a week without updates so I followed up only to find out my order was canceled, but I was never notified. This caused such a delay with getting the food that I am currently out of. Had to order from somewhere else"/>
        <s v="Easy to reorder and shipping is fast and free."/>
        <s v="Great experience. Fast shipping. I haven’t been able to order my cat’s food from anywhere else because it was out of stock. PetFlow got it for me."/>
        <s v="Ordering online was easy and shipping was fast. Had an item that was out of stock, they let me know then shipped it when it was back in stock. Great to do business with"/>
        <s v="Great selection of products. Carry name brand at a reasonable price. Quick shipping. Quick response from customer service. If something is wrong with your order they correct it in a timely manner. Very happy with my service from PetFlow. Will definitely r"/>
        <s v="My order was cancelled by the fraud department without any notice to m. I wouldn't recommend PetFlow to my worst enemy. I have tried to reset my password and correct the problem but, when they say they sent a password reset I never receive it."/>
        <s v="Sorry, not sure if it's my phone or your website. Used to always order online but the last few times, I can't seem to get all the way through to place the order. I'll have to go back to calling my orders in."/>
        <s v="The best prices and fast shipping. Very happy!"/>
        <s v="I have 3 dogs and not one of them would play with it they totally ignored it"/>
        <s v="HORRIBLE COMPANY. ORDERED FOOD FOR MY DOG AND GOT AN EMAIL SAYING WE RECEIVED YOUR ORDER. CALLED A WEEK LATER AS NEVER RECEIVED MY ORDER OR AN EMAIL SAYING IT SHIPPED. THEY SAID THEY CANCELLED MY ORDER AND COULD NOT SAY WHY AS THEY ARE NOT ALLOWED. SERIOU"/>
        <s v="The company is absolutely awsom.another company sent me to petfkow and I'm so happy they did and I will contiune to shop at petflow. Thank you for being petflow."/>
        <s v="Great prices and fast delivery. We we were using Chewy, which is great, but they don't carry the food we need for new dog. I am very happy with my recent Petflow experience."/>
        <s v="Communications and correspondences (via email) was better than most pet stores."/>
        <s v="I am very impressed that my order was received before expected, none of cans of food were damaged, the food is very fresh, and the price is right. PetFlow is now my go-to from now on for Zignature Kangaroo Formula canned dog food. Thanks for being so on t"/>
        <s v="Terrible just terrible. Not helpful at all. Still waiting for my dog’s medication it’s going on 3 weeks now I keep getting the run around from everyone I speak to. I’m over this company. Y’all need to get ur “stuff”together."/>
        <s v="Ordering can be made easier and delivery took longer than ecpected."/>
        <s v="First was the excellent selection offered at a fair price. Then there was delivery. No easy challenge since ihe order was placed over the holiday and we had a major snow storm. Guess what BuddyHolley, my Bearded Collie, was enjoying his food and treats ea"/>
        <s v="I have a dog who is allergic to everything basically so I used the online chat and the customer service person helped me locate a food and treats that basically only have duck (one of the only things she’s not allergic to)."/>
        <s v="Delivered on time. Was able to brands I wanted not available on other sites like Chewey."/>
        <s v="fast shipping, fair prices, and excellent customer service!"/>
        <s v="Had products in stock, quick delivery. Great customer service."/>
        <s v="Easy to navigate the website and items shipped fast !"/>
        <s v="Petflow always delivers good products in a timely manner. They are also the only online provider of my dog’s food."/>
        <s v="Twice my order has been canceled due to fear of fraud and no one ever reaches out to me to ask. I’m frustrated that a week later, when my order isn’t received, I call and find out it was canceled. They have my email and phone number."/>
        <s v="I placed an order recently from Petflow. They had the best price on the items I was searching for. I didn't need the items right away and I appreciated that I could request the date I would like the items shipped to me. Highly recommend Petflow!!"/>
        <s v="Fast shipping, great prices and accurate order"/>
        <s v="I had put numerous orders in for this product in the past two years. The order got canceled many times and I was told I would be notified when they came in. I was never notified! I just happened to come back to your site to see that you had them in stock."/>
        <s v="In the past, the customer service was always exceptional. My last phone call pertaining to a delivery delay was met with indifference &amp; a lack of resolution. I'll continue to shop at Petflow but will think twice before inquiring about a problem."/>
        <s v="My dog food took FOREVERRRRR to get here. Each time I called customer service, it rang about 20 times and the phone would hang up. I emailed them and it took 3 days for them to get back to me. Rep said they are overwhelmed because they are a small company"/>
        <s v="I contacted customer support online to cancel my auto ship. I accidently set a second one while trying to cancel. I had 2 auto ship orders. I made it clear I wanted them both canceled because my order increased by almost $84.00. Too pricey. I found my ord"/>
        <s v="Package arrived late again&#10;&#10;Fed ex should not be your carrier"/>
        <s v="Easy to order and I love the automatic ordering"/>
        <s v="Terrible customer service, worst company to ever do business with even the supervisors are rude they constantly hang up without addressing any of your issues."/>
        <s v="I placed an order which was received by PetFlow with a ship date of Dec 19th. Dec 28th still had not heard a word. Called customer service who told me PetFlow had canceled the order because it was flagged as fraudulent by “them” ! Not my bank ! I will “ne"/>
        <s v="Easy order process and quick response to the order"/>
        <s v="I stopped using Chewy when the company was bought by PetSmart. I'm glad I chose PetFlo."/>
        <s v="I placed my order on 12/14/22 and received an email that my order would ship on 12/15/22. I contacted PetFlow on 12/21/22 about my order not shipping yet. When I received a response the next day I was informed “due to stock issues my order was cancelled”."/>
        <s v="The dog food I ordered came quickly and I didn’t have to pay for shipping. The food I ordered changed the look of the bag so I thought I was sent the wrong food. Petflow responded immediately to my issue."/>
        <s v="Even with your promos (EX: Current promo PFT025 25.00 off 100.00) Amazon is still better priced. And I get better sizes and better autoship deals. We are working with tough times folks - you need to step up your game on competition or get left behind. Not"/>
        <s v="I have an account at PetFlow since June 2015&#10;Unfortunately my order of cat food was cancelled without any notification...Such an unexpected behavior of company... customer service when I called them explain order was blocked by fraud prevention department"/>
        <s v="You're fine. Don't be so insecure! I used you once and I've gotten like 30 emails from you. It's too much! Now you want to be rated, it's coming off very needy and insecure. Keep having the lowest prices and I will keep using you. Stop with all the email "/>
        <s v="Had the product I was looking for for my cat. Fast service"/>
        <s v="Our beloved Newfie died a day or so after we received his auto shipment of food from Perflow. We had not even opened the box. Allison from Petflow offered her's and Petflow's sincere condolences. And she said just set the unopen box outside on the porch a"/>
        <s v="Actually I am writing to see if I can return an unopened bag of food. Winnie did not like it and is back on her original food."/>
        <s v="Best price on the dog food I buy. Very quick shipping"/>
        <s v="Good sales on good products. Fast shipping."/>
        <s v="My beloved dog passed away unexpectedly just after I had received a large shipment of food and supplies. I contacted PetFlow and they arranged to have the products picked up right away and closed out my auto ship orders so I would not have to do that. I'v"/>
        <s v="What made my experience great was finding the product I wanted (and a little more) and getting it ordered quickly and easily. Got what I needed in just a few days before running out of the product at home. Excellent service! Great products!"/>
        <s v="I wanted to purchase a item on your website but the item only showed one color blue I contacted you about wanting the item in gray and you person went out in the whrs. and found that you had it in gray. Told me to order it and e-mail the order number to h"/>
        <s v="I got a good price on Tillys Treasures Beef Liver Chunks. My dog loves them."/>
        <s v="Easy order, great delivery, great product!"/>
        <s v="I used to love PetFlow because the prices were reasonable with quality items and dependable shipping. I have a small house so I cannot stockpile dog food so I order close to finishing a bag. Well, now, when things used to arrive in about 3 days of orderin"/>
        <s v="I have been buying my dogs' pet food from them for years! They are very reasonably priced and are flexible enough to allow me to change my order depending on the dogs we have."/>
        <s v="My delivery address is really complicated and caused a few issues when I attempted to place my order, but customer service was quick to respond to my messages and they handled the situation effectively and efficiently. Once shipped, the order reached me i"/>
        <s v="Prices and selection were great. Shipping was fast and received emails regarding the status of order and shipping."/>
        <s v="The toy was so little. The shampoo was expensive but worth it"/>
        <s v="My auto ship is easy and convenient and arrives quickly after it ships. The food is always in stock so I never have to worry."/>
        <s v="I tried to change what we are receiving on the recurring order. Instead of changing the item it sent me an additional bag of dog food."/>
        <s v="Great prices on the kong squeez ball"/>
        <s v="BEWARE! Pet Flow can accuse you of theft cat food $46 value from them.&#10;Absolutely terrible experience with my order NUMBER: 10690189&#10;After receiving order confirmation from PetFlow,&#10;I was expect receiving the tracking number for shipment, but when I login"/>
        <s v="Good quality products. Cheaper prices. Fast shipping."/>
        <s v="I’ve struggled purchasing food for my FIV+ cat because her vet is under my partners name but I’m the one buying Chewy specifically made my life hell. Thank you PetFlow! I appreciate y’all and I’m great full my kitty gets her special food now :)"/>
        <s v="With the cost of this pet food increasing every year, I decided to switch to PetFlow away from my usual supplier because of the discount. Making my dog's food more affordable really helped a lot. I'm hoping this company continues to offer competitive pric"/>
        <s v="I always get my dogs food on time"/>
        <s v="I have had a good relationship w Petflow up until my last text message was ignored. Natural Balance canned dog food was discontinued supposedly due to supply issues. I researched other foods &amp; decided on Nutrisource which Petflow carries. I ordered 10 cas"/>
        <s v="Great customer service. Quick shipping."/>
        <s v="Great quality and shipping was very fast. Definitely will be ordering from them again."/>
        <s v="Liked that ordering is easy. I did not like how very long it took to receive the order."/>
        <s v="My order never arrived. I called your company and the person I spoke to was incredibly unprofessional sounding. I asked why my order hasn’t shown up and he said it was canceled by their fraud department. I asked why or what triggered this and was told he "/>
        <s v="You were the only company that had the product I needed for my special needs cat!!!!"/>
        <s v="First customer service rep wasn't nearly has helpful as the second one I talked with. The third person was reassuring. Now the wait for the refund. 😊"/>
        <s v="I was really happy with pet flow until two things happened. One is I found some thing I could only buy at Chewy, and their customer service is light years beyond petflow.&#10;&#10;The other is that petflow wanted a profile of me and my pets names, and things in a"/>
        <s v="Fast accurate shipping and fair prices, have ordered twice and will continue to order."/>
        <s v="Was great! I enjoyed it a lot. The song made me feel special !"/>
        <s v="Always fast shipments. I order two 30-pound bags of food at a time. The only concern is the packaging needs more tape on the box or they need to be shipped in two boxes. The last shipment the tape had broke and someone for the carrier must have re-taped i"/>
        <s v="Prices are high for the food I feed and I realize it may not be Petflow's fault but there was a huge increase in cost in just a few months. Also, delivery seems to take a week with FedEx. Seems long to me."/>
        <s v="my orders are taking longer and longer to arrive. last order was over 10 days until I received it. I order early so my boy doesn't run out, but these times are ridiculous. Currently looking for another provider."/>
        <s v="Wonderful products for my cats. Can ask for assistance should I need it. Great on-time deliveries for my purchases, and very good service from PetFlow and the folks that do great jobs for me and my kitties!"/>
        <s v="Where do I begin!? I order 10 tennis balls then y’all wanna chancel my order for fraudulent because your customer service person over the phone says why would you buy 10 tennis balls?? I’m sorry I have multiple dogs, like WTH! Worse part is I had to call "/>
        <s v="Quick friendly people to help with an easy phone call! Dependable deliveries and updates. I really like their customer satisfaction approach to business."/>
        <s v="I had a major issue with my package being held up on the FedEx side. I emailed into Petflow support to see if they could help, I didn't hear back. HOWEVER, I called a few days later. The person that answered was so kind and helpful. They reshipped the pro"/>
        <s v="Received food in timely manner. Good price."/>
        <s v="Great prices&#10;Fast delivery&#10;A place to count on"/>
        <s v="Even though this litter was out of stock and no date when available they kept me informed of my in order status. I did end up of canceling and they were in great about be this too."/>
        <s v="Awesome company with good deals and prompt service delivered right to your door. I would highly recommend Petflow for all your pets’ needs."/>
        <s v="What your company needs to work is your delivery time. Your company takes way to long from the date of purchase to get the product to your customer. The company Chewy gets it to me in 24 to 48 hours. Learn their method."/>
        <s v="Great selection of dog foods and snacks and great customer service! Order arrive in just a few days."/>
        <s v="Great price, quick shipping and delivery!"/>
        <s v="Love the prices and quick service. My only concern is I can’t seem to apply the auto ship discount"/>
        <s v="Name brand products. Fast shipping. Great coupons/deals."/>
        <s v="First, I was sent the wrong items. I called and was told they would ship the right ones out asap the next AM. I spent over $75. On dog treats, 7 bags. The original delivery took a week. Customer service emailed me a Fed ex label to ship the wrong treats b"/>
        <s v="ordered the nature's logic food at a great price, delivered quickly, shipping free......&#10;what is not to like about this?"/>
        <s v="Difficult to make an accurate credit card charge"/>
        <s v="My shipping box came damaged - nearly falling apart when it arrived at my door.&#10;&#10;Plus my bag of Dr. Marty food was cut with a razor and food was inside the shipping box. I have a picture if needed.&#10;&#10;And finally it took nearly 7 days (I ordered early Sunda"/>
        <s v="Very good customer service package arrived on time everything that I asked for was in the box complete"/>
        <s v="I needed a bag of dog food and proceeded with “buy it now” When I received order confirmation, I saw that an item I had previously purchased was still in my cart They said they would not remove an item from my order immediately after. I wasn’t happy with "/>
        <s v="Products available; competitive pricing; delivery delay not too bad considering the holidays."/>
        <s v="Appreciate the great selection of Fromm dry dog food! Service is great and very fast shipping!"/>
        <s v="We have been using PetFlow for years and they are consistently fast with shipping and if there are any issues (maybe 3x in 10 years) they are responsive and it gets resolved fast. Thank you !"/>
        <s v="Ordered on line for less than in stores and it was delivered to me!!"/>
        <s v="Lack of availability of the specific treats I was looking for was the only reason I did not leave a 5-star rating. Otherwise, prices, delivery time, &amp; correctness of the order was great. Thanks. Luka &amp; Remi are head-over-heels with their tasty treats!"/>
        <s v="I spoke with customer service weeks ago and my concern was not addressed.&#10;My original account was under my personal gmail. I had an auto ship on there for years. A few months ago my password did not work, and when I tried repeatedly to reset it, I never r"/>
        <s v="When I started to really look around, PetFlow offers the best price, especially since it comes right to my door in rural Vermont. Dog food has become crazy expensive."/>
        <s v="I have used PetFlow for several years. They are a quality organization, I recently had an issue with a delivery and a return. Both issues were resolved quickly. one via phone and the other through email. They also took the time to follow up and make sure "/>
        <s v="Website was easy to maneuver, Great product selection and good prices along with fast delivery time"/>
        <s v="Your products are healthy and reasonable in price. I also received my purchases in 5 days and paid no shipping due to buying $49.00 and more in merchandise. I also get the pleasure to help animals in need. Thanks for being there!"/>
        <s v="Found it odd that a very popular item on the internet was discontinued. I ordered 2 but only got one and they refunded my other one fast. Made&#10;it look like they were selling them too low and stopped so they didn’t have to keep filling orders."/>
        <s v="I like ordering online don’t like getting out. Delivered to my door"/>
        <s v="The shipping time is awful. When I placed and order it said it will ship the next two days, it didn’t ship for a whole 2 weeks!"/>
        <s v="Very reliable when ordering a product. Even if on back-order, you are kept informed. Impressive."/>
        <s v="Best prices around initially, we will see if they continue offering these deals. I have referred a few friends so I’m hoping they don’t disappoint."/>
        <s v="Slow shipping. Slow answer to E -mails. Don’t have items in stock."/>
        <s v="I'm still waiting on my last order. I am out of Kidney can food. I have 2 dogs. I supplement dog treats through Amazon as they deliver way quicker, but the prescription Kidney food I cannot. As I tracked my last order it showed it's been sitting in the Ho"/>
        <s v="I just started using you a few months ago and was a little concerned because of some of your reviews but I liked your prices and thought I’d give you a try! Glad I did! You have totally delivered for me! I’ve had several large orders for dog and cat produ"/>
        <s v="I've been a client for some time. I had just bought a 22 lb. bag of Merrick senior dog food. The vet said that my 11 year old dog reacted badly to the ingredients in the senior food, which caused severe diarrhea and to go back to what I had been doing. Th"/>
        <s v="I found this company a couple months ago, WOW, very impressed. The product line is outstanding, the prices are the best I've seen and last but not least the shipping is super fast. I've had such a wonderful experience with their easy online ordering syste"/>
        <s v="Order was easy to place, delivery and updates were all great"/>
        <s v="I received no notice of canceled order or assistance in correcting the order."/>
        <s v="We have ordered for over a year from Pet flow and have NEVER experienced any issues. What they promise we get. I will be staying with them!!"/>
        <s v="Cheaper price takes a little longer for shipping though."/>
        <s v="Great service and products I use for my pets"/>
        <s v="I have had a subscription dogfood on file for 3-4 years that is prescription. Most of the time, it is delayed or outright cancelled. Then I have to call and change to a different flavor in order to get the dog food. The last time this happened, I had to c"/>
        <s v="I placed ab order for the first time and the product was not going to arrive for over a week. That was unexceptable. Your competition Chewy it arrives usually in two days. I cancelled my order o and my auto ship"/>
        <s v="Reliable delivery. Dels for auto-ship."/>
        <s v="Fast delivery, great prices. What else could anyone want?"/>
        <s v="Always get excellent customer service if there is an issue. Vert easy to deal with."/>
        <s v="Ordered product and it never shipped. I had to call customer service to get it shipped."/>
        <s v="After my order being cancelled I don’t know maybe three times? I emailed them to get it cleared up. I explain I moved and got married and mention perhaps it’s my maiden name . Ryan tells me fraud says not to process so first i ask okay what’s the reason a"/>
        <s v="I appreciated the ease of ordering but was not really happy with the shipping time. It took too long to come."/>
        <s v="PetFlow is great, fast and efficient. Customer service is helpful."/>
        <s v="I switched to Pet Flow from Chewy bc their prices got high and their customer service dramatically declined. The prices and auto ship discounts are much better at Pet Flow, and their customer service personnel are superior to Chewy's. The only reason I ga"/>
        <s v="As promised, so delivered"/>
        <s v="When I place my order I can relax. It arrives quickly and is always fresh and ready for my two senior dogs. I am so happy that I have this service and don't have to lug heavy bags of questionable freshness."/>
        <s v="I placed an order. Your company took the money out of my account. Days went by with no tracking or anything so I called to see what was going on and your tech support told me she didn't know when I would be getting my order so I canceled it. Than after i "/>
        <s v="My order was easy to place, and arrived quickly. Will order from you again. 10/10 would recommend"/>
        <s v="My dogs went crazy over all these treats. Very happy."/>
        <s v="The representative was understanding of my situation and was quick to resolve the issue. Very nice and patient."/>
        <s v="Great company to work with……always responsive….with quick delivery .but costs seem to continue to escalate over last two years as is everything."/>
        <s v="My dog is a senior with a heart condition and must have a special low-sodium diet. When her food doesn't arrive on time, her diet and condition is compromised. Typically, I receive orders in 2-4 days. I need and depend this reliability. My last order took"/>
        <s v="My little Maltese loves the small bites Beef Frittata! I wish you had other flavors in small bites for small breed dogs."/>
        <s v="The shipping 2as surprisingly slow"/>
        <s v="So when ordering food for my canaries there's been 2 times in the shipping process bad experiences. two times the orders get returned due to the poor packaging Petflow uses. Don't really understand why 2 50lb bags are shipped in 1 thin big box without any"/>
        <s v="First time using Pet Flow. My dog food was ordered in time to arrive three days before a big trip. It was delayed and came the day after I left. Customer service had been called several times.&#10;I asked for a refund and was told I would get a credit. I’m go"/>
        <s v="I always order our dogs regular food diet Petflow as well as a subscription. All items arrive well."/>
        <s v="Great service. I can always depend on Pet Flow."/>
        <s v="An excellent company with wonderful customer service. Orders are shipped efficiently and with care. An added plus is their charitable donation policy!"/>
        <s v="Took over a week before product even got prepared for shipping. Zero communication."/>
        <s v="Instead of a usual delivery of 2 business days after my orders placement it took 7 business days and two calls to your service."/>
        <s v="While the prices are much better than Chewy’s, the shipping is SLOW!!! The only reason we wait so long for it to arrive is because of the money we save."/>
        <s v="I placed an order for cat food that PetFlow cancelled with no notice. After wondering why it hadn’t arrived yet I checked on the status and was told it had been cancelled because they thought my email was fraudulent. And if I wanted to place a new order i"/>
        <s v="Super friendly staff and wonderful company"/>
        <s v="Had a problem with password was locked out and when I called they said too bad you have to wait the time out. They did not reset it or help any further."/>
        <s v="Absolutely THE WORST company I have ever used to date for delivery of our dog food. Will never use them again. They like to use the excuse that its the holidays and they're backed up for deliveries.&#10;&#10;Then shut your doors and stop taking orders until you c"/>
        <s v="Ordered dog food with a few toys on Wednesday night. If you're a pet store, and somebody orders dog food well before the weekend, you ship it out before the weekend. RIGHT?! Never again with these people. Have fun losing money on this order. What an absol"/>
        <s v="I generally like Pet Flow but I find the website very confusing. My cat has prescription food, and I sent the script in with the first order. When reordered, however, it asks for this information again. I had to call to find out that it isn't necessary."/>
        <s v="Shipment is quick. Notified timely of any deviation to shipping of order. Reasonable price"/>
        <s v="It was a great experience overall. The ordering was easy, it was delivered quickly and the price was great."/>
        <s v="The willingness to listen to my issue and try to work out a solution"/>
        <s v="the delivery is on time or close to the scheduled time."/>
        <s v="Best price anywhere - in fact I bought 2 for what other shops were selling for the same price for one! Fast quick shipping totally satisfied customer!"/>
        <s v="Excellent selection for pet food and product came quickly. Enjoyed the quality and communication throughout the experience."/>
        <s v="Shipping times and amount of available products"/>
        <s v="Customer service was excellent"/>
        <s v="Super fast shipping! Good selection of dog foods and good prices."/>
        <s v="Tried to get my auto shipment moved up a few days sooner &amp; instead, they cancelled it. When they finally shipped, it appeared that I was only being charged $29.30 instead of $39.30, I figured bc of the mix-up. When I checked later in the day, the $10 was "/>
        <s v="Bryan was great. He explained things and followed up right away. I’m thankful I connected with him about my issue."/>
        <s v="Always fast shipping and always have what I need!"/>
        <s v="Switched over from chewy because natures logic dry dog food was a bit cheaper but shipping is very slow, last package arrived opened, bully stick sizing is inconsistent and seems foul."/>
        <s v="I have no complaints about the company other than you using FedEx as your shipper. I seem to have issues with them every time. Always changing delivery dates, this time they left the boxes in plain sight in front of my garage, allowing them to get wet in "/>
        <s v="the treats had small fine bones in them"/>
        <s v="I honestly have never done a review… ever!!! Well, I have ordered twice from this company… and each time there was issues. The first time the help people were amazing and rushed to fix it right away so obviously I ordered again. But, this time omg!!! I ha"/>
        <s v="Didn't receive an acknowledgement from Pet Flow for on line order placed on a Sunday. I called Monday morning asking for a tracking number and idea of when I could expect the 80 pounds of dog food I got a snarky no reply. Never did receive from Pet Flow a"/>
        <s v="Dry Kibble ordered on Nov. 17- Still has not arrived- Supposed to be delivered today!! They are VERY responsive to E-Mails and communications- Good Company but need soem updated shipping procedures- BW"/>
        <s v="Service Rep said 2-3. Business days and it took 8 days. Had to go to local store to buy food to get by. Mailing system slow lately."/>
        <s v="I had a concern with my order--the customer service was outstanding, far better than I expected. My problem was taken care of very quickly and I will be ordering again soon!"/>
        <s v="It took a very long time and multiple emails to customer service to see why my order didn’t ship and I ordered two items only received one and no explanation where the other item is."/>
        <s v="Again so many products out of stock/not available which means I have to go to other sources to get what I need."/>
        <s v="She was extremely helpful and very kind for the situation I had."/>
        <s v="The company was prompt in getting my order out the door. It took the delivery service some extra time."/>
        <s v="FIVE STARS!!&#10;I highly recommend this company. Their selection is excellent and they are competitively priced."/>
        <s v="My Pomsky (5 years old) loves Fromm Dog Food from Petflow.&#10;Its always fresh + the Duck is her favorite. She likes the salmon, too.&#10;Food is always shipped quickly.&#10;I haven't needed customer service, but sure they are great, too."/>
        <s v="Representatives very helpful and friendly, great bonuses"/>
        <s v="I can order Fromm dog food. The website is easy to use. The delivery is fast."/>
        <s v="having the product I needed and fast shipping."/>
        <s v="always dependable and shipped everything on time. let you change the dates on your auto ship just a great company. customer service is also awesome."/>
        <s v="Listen to my concern. Fixed the issue quickly."/>
        <s v="Have been a client for years! Only issue is tons of promotions sent via text and never on Froms! Which is the only product we buy,"/>
        <s v="Shipping was delayed for 6 straight days, whilst I was told repeatedly that the item would ship next day. Generally, I would give Petflow 5 stars, however this last experience was less than stellar.&#10;&#10;I want to be fair and mindful that warehouse working co"/>
        <s v="First time order for puppy food for our son's puppy and the price was fantastic, with free and SUPER fast delivery! Was very impressed and I am a seasoned value shopper. Highly recommend and will definitely order from here again!"/>
        <s v="Most of my experiences have been excellent. Unfortunately my last order of Fussie cat dry food was less than good. I normal order the 2.5 lbs bag and I’ve had no issues. The cats love it! The last order I purchased the 4 lbs bag and my cats refuse to eat "/>
        <s v="Shipping…second order Fr you….first order completely messed up. You can check your logs and see. Second order said delivery and day of supposed delivery it was still in New Jersey. Got all items both times but not easy process except for ordering and payi"/>
        <s v="I've been buying from PetFlow for years now and been very happy with them. Prices are competitive, items are usually in stock or quickly restocked, and shipping is prompt. The one time I called customer service as I wanted to add a bag of food I'd forgott"/>
        <s v="I placed an order for dog food… when I noticed it hadn’t shipped after a week I reached out to customer service. No reply back, over a week later looked up my order status and it showed that it was cancelled. Was never notified.&#10;Will never use this compan"/>
        <s v="Our cats have been put on a sensitive diet and Petflow had the best price for what we needed. Online ordering was simple and shipping was fast. Will definitely order from them again."/>
        <s v="Exceptionally responsive customer service. Also good products."/>
        <s v="Easy to order; Prompt shipping; Competitive prices; Great service."/>
        <s v="When I received a case of Blue Buffalo cans in a very damaged box with 8/12 cans being severely dented I was immediately sent a full replacement. I also ordered 3 lights for my dogs collar. Only 1/3 works and I’m hoping to receive replacements for those a"/>
        <s v="I love that you donate to pet charities and carry Nutrisource."/>
        <s v="Quick shipping. Product works!! Barking has decreased markedly."/>
        <s v="We needed to Order Prescription food for our cat and it kept getting Cancelled.&#10;Each time it got Cancelled we called and got a different answer. (Fraud dept, Credit Card Company, etc).&#10;Each time the person on the phone said they would take care of it.&#10;Fin"/>
        <s v="Bad customer service. Over-priced. Poor quality food. Shop somewhere else."/>
        <s v="My mind is blown they won't fill my order. DUMB AND USELESS. Took almost two weeks to respond to me. Never seen a company who didn't want business. Last time I'll shop there."/>
        <s v="Petflow is a great company. They go above and beyond to provide excellent customer service."/>
        <s v="Easy to order, fast delivery"/>
        <s v="I've been ordering from Petflow for years. I used to order from Chewy but Petflow offered better discounts so I switched to them for most things. My only issue with Petflow is shipping and that's just such a minor issue that it really isn't even review wo"/>
        <s v="You stopped part of my order without telling me at all. Took me all kinds of communications to find out what the problem was. I was not, and am not a happy customer. Check your records for my order - it should tell you what went wrong.&#10;&#10;How dare you now t"/>
        <s v="My first order was cancelled with no notice!&#10;My second order was placed but sent to wrong address via Fed Ex. Then I received an email saying that they can't process my order. (it was already processed) So when I called to see what this was about. I was t"/>
        <s v="The was available and sent promptly."/>
        <s v="The product is great so far. The issue that I have is that the clumps from the urine are heavier than any other product that I've used in the past 9 years."/>
        <s v="Only issue I have is that there is not 30 count in the bottle - was given only five dollars off my next order."/>
        <s v="Took almost 10 gays to get the puppy food, which I ordered a week before getting the puppy. Then when it did arrive, the bag was not properly sealed and food had spilled out all in the box."/>
        <s v="Competitive prices, GREAT customer service, excellent packaging of products, and fast delivery! Easy website to navigate and get all you are looking for! What more can you ask for? I highly recommend this company"/>
        <s v="I ordered dog food on line and never received a confirmation. A few days later I called and was told the warehouse was working on it. Three days later I called again and they said it was in the warehouse. With the stiff competition on line for pet food / "/>
        <s v="Liked the convenience of getting our pet food delivered. What I dislike is the time it takes to get the delivery. We were down to our last kibble when the package arrived. Not sure the service is dependable enough"/>
        <s v="Thank you for this opportunity to provide constructive feedback on my experience.&#10;When I received my Pet Barriers, (I had ordered two), they came on separate days, which is fine, but they were both in horrible shape on arrival, both boxes open on both or "/>
        <s v="It would be nice to get some discounts for items that are less than $200."/>
        <s v="I ordered my pet supplies on Monday and did not receive it"/>
        <s v="I've purchased from PetFlow for many years - usually dog treats and food. Always good products and good service. Highly recommend."/>
        <s v="Easy to use website and quick delivery 11"/>
        <s v="Great service. Good prices, quality products"/>
        <s v="Great company always on time with my order"/>
        <s v="Orders are correct and intact upon delivery, which is always fast. Any issues or delays are quickly communicated. The tone of communication is always congenial and helpful. And, for me, I can buy my dog's healthier and preferred foods that the big-box sto"/>
        <s v="I love how fast they ship but I’m annoyed. My first order, the products were expiring in 3 weeks so I had to use 3 bags of sweet potato fries before they expired. That didn’t happen and they seemed okay so I used them until they were gone.&#10;This latest ord"/>
        <s v="Good products service and price. Only problem is you are out of stock too often."/>
        <s v="Petflow has provided exceptional service, great prices, and very good selection of products and foods for my pets for about 10 years, I highly recommend this company!"/>
        <s v="Ordering is easy and shipping is -always fast! My favorite site for ordering cat food and supplies."/>
        <s v="Shipping has been so fast each time I’ve ordered! Excellent customer service and great selection of pet food and items! They’ve won my business!"/>
        <s v="Easy to order &amp; delivery was good as well."/>
        <s v="Not as familiar with navigating your website thus found it confusing and confusing, perhaps as I use it more I’ll become better with it. Products are excellent, prices are excellent too."/>
        <s v="Easy website. Delivery updates and promptness of delivery."/>
        <s v="I never received my package. Have been waiting about 2 weeks since order. I would recommend petco or something like that."/>
        <s v="A great place to get pet food that is quality for my Gigi girl."/>
        <s v="Great experience from ordering to delivery!"/>
        <s v="The order has been cancelled by Petflow and I was not even notified. Thankfully, Chewy had my back."/>
        <s v="I placed a order on 11/6. I sent a text on 11/16 asking when my order would arrive. I was told my order was flagged and never shipped. The person didn’t know why or what that meant. Why wouldn’t I get a email or a call if a problem was encountered? You ha"/>
        <s v="Fast shipping and always consistent with supply! My Shih Tzu approves and is a happy baby! Thank you Pet Flow"/>
        <s v="Your prevention protection is not accurate. Please fix it."/>
        <s v="Shipped to me very fast and no damage packaged well enough to prevent damage. I wish fromm allowed discounts for auto ship but I understand it is up to them to allow that. Not petflows fault at all"/>
        <s v="I appreciated receiving an email when the item I needed was back in stock. I waited to buy it from PetFlow because their price was so much more affordable and this service was so helpful."/>
        <s v="Second time ordering prescription food, told it’s in stock and a week later they cancel the order stating it’s not in stock. Never again!"/>
        <s v="I have ordered twice and each time, the delivery has been delayed. The order this time was not properly packaged and the box was literally falling apart and patched together with more tape than cardboard. I am surprised the entire order made it here. I wo"/>
        <s v="The sales experience was fine. Delivery, not so much. Again, their chosen delivery company left my very heavy package sitting in front of my garage for all to see, with no knock or ring at the door to let me know it was there (thankfully it wasn’t raining"/>
        <s v="The dog food came quickly"/>
        <s v="Ordered 10 boxes of arm &amp; Hammer fragrance free super scoop cat litter two weeks ago never received it"/>
        <s v="Numerous choices at excellent prices. Fast shipping. Excellent customer service. Highly recommend."/>
        <s v="I was told I would receive a tracking number for my package I placed on Friday. I did not so I called 4 days later on Tuesday at 5:30. I understand the company doesn’t work on weekends. Brian answered the phone, he was very rude when I asked for a trackin"/>
        <s v="I ordered a prescription cat food where the website indicated that it was in stock. When I had not received a status update after a few days, I sent an email inquiring about the status and was told that it was out of stock, which I had suspected since it "/>
        <s v="The website doesn’t work right, horrible to navigate. I got food I didn’t order, what’s with that? Shipping was fast. Prices were good."/>
        <s v="Purchased toys for my red squirrel. He loves them. That r safe, and durable. Costumer service truly is customer service, helpful, polite, this company is a joy to deal with."/>
        <s v="Great service and people! Thank you"/>
        <s v="I ordered cat food delivery on 11/2 and I am still waiting for it to be shipped to me. There has been no update."/>
        <s v="I love the products they carry, I love the communication. The only negative is that they are out of my items a lot, however I know that probably has more to do with the company who makes it than them."/>
        <s v="Products were in stock. Website was easy to use. Prices were comparable to other things online retailers."/>
        <s v="Great products fresh free shipping&#10;Great pricing"/>
        <s v="Even though the delivery company brought my package a day later than they predicted, it was still earlier than the estimated date I got when I placed my order. All items arrived in good condition and I got a very reasonable price."/>
        <s v="Food my pet needs was listed on your website and so I placed an order. Then a few days later received a message my order could not be filled. Items should not be listed or show as out of stock if unavailable."/>
        <s v="My order got canceled without any notification to me on 2 separate occasions. I found out by checking the website on the status of my order."/>
        <s v="I am extremely happy with the ease of ordering from you!"/>
        <s v="Ordered two times and both times it was stated in stock. After placing the order i was notified &quot;Sorry out of stock&quot;. Worst website ever if you don't have it in stock ready to ship then don't state in stock."/>
        <s v="I’d never heard of Petflow before they came up in a Google search. Very glad they did! I was able to buy some Blue Buffalo kitten food at a lower price than PetSmart, Petco, and Chewy.&#10;&#10;I also got a bunch of my kitten’s favorite clicker training treats at"/>
        <s v="Good communication, shipped fast and great product!!"/>
        <s v="I ordered and the item was not in stock but it doesn’t say that online. Then when I try to reach out to find out if/when the item will be in stock, communication was minimal to none."/>
        <s v="Customer service is awesome. I was having trouble using a couopon and the woman I talked with took care of it. It's important to me that my purchase will feed a doggie."/>
        <s v="Your website said the wet cat food WAS in stock. I never received my order because you are out of the food."/>
        <s v="Always satisfied with the service I have gotten at Pet Flow. Delivered in a timely manner, packaged well and in good shape when it arrives and products we use are always available."/>
        <s v="Great prices, timely delivery, and great products!"/>
        <s v="Package arrived promptly and was well-packed. Ordering was easy. The product is just what my cats love, too - and it's hard to find."/>
        <s v="Prices great, and selection/deals appealing! preparation and shipping could be quicker. Customer Service agent was snarky.&#10;Still choosing over Chewy -"/>
        <s v="Speedy service with a personal touch. They also carry some brands we can’t get elsewhere. They are lifesavers!"/>
        <s v="Very quick service on Fromm Dog food for our new puppy. We were not able to find this brand elsewhere &amp; happily Pet Flow was able to keep him on his regular brand ."/>
        <s v="Fraud team kept flagging my credit card and cancelling my shipment, even though I've purchased here many times and there was no issue with my bank."/>
        <s v="Variety of &quot;flavors&quot; for fancy feast wet cat food is limited right now but I was able to find what I wanted at a great price at Pet Flow. Shipping was fast"/>
        <s v="The order I placed arrived on time. I question whether this product was the actual item from the original product made by another company. My beagle would not eat this brand but ate the real brand from the manufacturer. The dog food didn’t even look like "/>
        <s v="Love Science Diet pet food and love their price!"/>
        <s v="Happy with PetFlow! Good Prices, Delivered timely, packaged well!!"/>
        <s v="My dog loves PetFlow pet food, the taste is very good, the logistics is also very fast, and the nutrition is very balanced"/>
        <s v="Products are great, customer service is excellent, shipping is fast! Thank you very much!"/>
        <s v="Pros: very wide selection of dog and cat items. I think you could probably find what you would get at any other pet-retailer, comparable prices, the website was easy enough to navigate and there were discount codes available.&#10;Cons: the autoship that I set"/>
        <s v="I will forever be a customer. Food gets here fast and helps other dogs in need every time you purchase. Plus I prefer to support a small business! Highly recommend and have passed on to friends!"/>
        <s v="Was able to place my order easily. The only issue was a slight delay in delivery due to warehouse stocking. I was quickly notified that my delivery would arrive a day later and I was delighted when it did."/>
        <s v="I placed an order and two days later I received an email from you saying something like your fraud review team advised you not to fill my order. No explanation. I've never had anything like this happen to me before."/>
        <s v="My orders are always on time. If not I’m promptly notified. Expectations are properly set ."/>
        <s v="I love the company but communication is bad. I’ve had a standing order for a long time and they where unable to fill the dog food. There was no communication or replacement. I had to place this order on my own. Very disappointed."/>
        <s v="The order was processed as always, however, I was surprised it took so long to receive. I used to order and get it within 1-2 days. This time it took 5."/>
        <s v="On time delivery, and ease of use website."/>
        <s v="The product I was looking for was available, and was able to place my order without a hassle"/>
        <s v="It was great service and my stuff was delivered quickly"/>
        <s v="I just recently discovered PetFlow and they provided me with the best price, customer service, and speedy delivery for the item that I was looking for! I will definitely choose PetFlow for future purchases!"/>
        <s v="Great customer service and dog food arrived on time."/>
        <s v="Shipping was quick, my order was accurate! Customer service is fantastic!"/>
        <s v="Terribly disappointed with this retailer. Order was confirmed yet I never received a shipping notification. When I requested a status update, was told their Fraud Prevention team suggested not filling the order. What a load of crap. I use the identical pa"/>
        <s v="Easy to order, and I received everything very fast,with free shipping. I'm planning on buying more pet items from this site for sure! It's rare that you receive ordered things within 3 days from most pet sites for free, unless you pay."/>
        <s v="I needed to get my prescription pet food that was sold out everywhere. This was the only place that had it. Submitting my vet info for the prescription was easy, and the food arrived quickly."/>
        <s v="Company was great in fulfilling my order of Hills RX Derm Complete dry dog food. Although a delay between veterinarian to PetFlow in the timeliness of my order, some of that was beyond Petflow’s control. Once things were in order, the order came as expect"/>
        <s v="Competitive prices, good selection of bird food, quick shipping."/>
        <s v="My order is constantly being canceled. Why can't I stay on a list until the product is back in stock so it can be shipped to me."/>
        <s v="For over a year, I have an auto-subscribe food order. The price went up on the food and I reached out to see if you would honor a competitor's price. Without hesitation, you did!!! Thank you so much for your superior customer service AND quick and seamles"/>
        <s v="The web site is easy to use. Great deals on all pet supplies. Wide variety of pet foods especially for what I need for my Cavalier. I recommended PetFlow to all my pet parents."/>
        <s v="Ordered cat food on sale. 5 cases, received email item was out of stock. Very disappointed. Should have been offered sale price when item returned to stock"/>
        <s v="Wonderful, fast FAST"/>
        <s v="Had to inquire whether or not my order had shipped, which it hadn’t. Inquired twice and was told both times had not been shipped. On the second inquiry I also asked that if it was not going to be shipped today (11/8/22) to cancel. Interestingly, it has be"/>
        <s v="i have a difficult time finding this product and PETFLOW had what I needed, Fast delivery"/>
        <s v="Great prices, fast shipping and they actually have the dog food I need in the right size bag that I can't find anywhere else! So glad I stumbled upon this company!"/>
        <s v="Ordered food. Got message later that it was out of stock. So website isn't accurately updated. Waited as they said they would ship as soon as they got it in stock. Then I got a message that they canceled my order. So this was the first and last time I wil"/>
        <s v="quick quick delivery after several deliveries of same order, 8 lb bag of prescription dry cat food, the shipping box holding the bag has become more compact and instead of a 20 foot long of brown packing paper crumpled and wrapped around the bag to fend o"/>
        <s v="I love petflow. I prefer them to chewy and petsmart. I feel like they are geared more towards the consumer and their pets and not political posturing. I buy for my pets and want a company committed to my pets."/>
        <s v="CSR told me my card was fraudulent and my order would not ship. I bought dog food from another place and then I notice PetFlow had shipped my order after telling me it was cancelled. I won’t shop here again."/>
        <s v="Easy to order.&#10;My order was a repeat order and the site made it easy to identify the previous order.&#10;the site facilitated the scanning for coupons which gave me a discount.&#10;Communications regarding order placement, shipping and delivery were timely and ac"/>
        <s v="We’ve been using PetFlow for many years now and every aspect of their service has always been amazing. Premium kibble, reasonable price and product arrives quickly!"/>
        <s v="Always delivered quickly and you carry high quality cat food! Thank you!"/>
        <s v="I ordered a couple hundred dollars worth of stuff. All but 2 items were unable to be shipped and on backorder. Why do they have items listened that they clearly don't have in stock? One or two items - ok. But pretty much my entire order? You might want to"/>
        <s v="Main complaint - Damaged cans over and over again.&#10;&#10;I have been told to call and requests additional packing, additional boxes, email notifications on auto ship status. I do all these things and still petflow comes up short.&#10;&#10;If something is out of stock "/>
        <s v="Spoke with a rep named Ryan and he was extremely rude and hung up after saying have a good day because he couldn’t answer my questions about a product pet flow says they have in stock."/>
        <s v="Products were damaged and Petflow replaced them immediately l"/>
        <s v="Everything as described. Fast service"/>
        <s v="I like that shipment can happen the same same day as the order date. Delivery is fast! Packaging can be better as I’ve gotten several dented cans."/>
        <s v="This company has very quickly response and nice service,people are very friendly and helpful."/>
        <s v="I ordered prescription food for my sick cat, submitted my vet’s prescription with the order, made the payment, and my vet confirmed it was approved the same day. It’s NOT on backorder, but it has now been two weeks and my order still hasn’t shipped or bee"/>
        <s v="Having the dog food delivered takes a large load off my schedule. The delivery people are very courteous and friendly."/>
        <s v="I had paused my auto ship then ordered what I needed. 2weeks later I have ANOTHER shipment of 26 lbs of dog food."/>
        <s v="Petflow is unfortunately very inconsistent with their delivery. We recently received 2 orders within 3 days after not getting anything for approximately 6 weeks."/>
        <s v="Great service Had the product I needed. Shipped and received in very reasonable time. I will shop with Petflow again."/>
        <s v="Two orders placed at different times, showed in stock. Gave all my billing info, got confirmation of order. A week later got an email &quot;order canceled&quot; due to no stock. My cat needed this food ASAP &amp; was quite disappointed that it took a week to notify me."/>
        <s v="As usual many of the cans were dented in shipping, I assume. Makes it difficult to stack and store.&#10;May not order again."/>
        <s v="I had a issue with my picky cat. He would not eat the food I purchased. I contacted them, and they helped me out."/>
        <s v="Great product and shipping was fast. They communicated every step of the way. Will definitely order from them again."/>
        <s v="The discount on my order the order itself and the delivery time are all 5 star&#10;&#10;( maybe you should change the name from PetFlow to 5 star"/>
        <s v="I appreciate that I can quickly reach a customer service representative on the phone when I have a question about a product or an order, and I'm glad that PetFlow donates food to needy animals. I also like that PetFlow is not connected to companies that s"/>
        <s v="While I needed this product and was up on its delivery time, I'd like pre notification of sending. This allows me to plan about being home etc."/>
        <s v="I ordered a prescription diet for my cat and accidentally typed the incorrect vet in for the prescription referral - one that has a very similar name as that of my vet. Petflow emailed me that the vet didn't have any records of my cat - and I when contact"/>
        <s v="Your website needs to be better maintained. I ordered product listed as being in stock, and got a confirmation email. Then two days later ordercwas cancelled with no explanation. I called and the only reason you got 3 stars is customer support was so nice"/>
        <s v="Items that were on backorder were listed as &quot;in stock&quot; on the website. Customer service wasn't helpful, couldn't say when the items might be back in stock. Called back to cancel the order after finding the items cheaper on Amazon and was told that the ite"/>
        <s v="I have tried to order cat food at least 4 times this year from Petflow and they have canceled every order due to supply shortages even though when I placed my orders the food showed on the website as in stock. It has been very frustrating and I am tired o"/>
        <s v="I placed an order - and signed-up for •ongoing• orders, but the NEXT EMAIL I received was one offering a DISCOUNT that was NEVER offered to me ?!? until *AFTER* I ordered and signed on for “REAPEAT ORDERS*?!&#10;THATS TERRIBLE !!&#10;That is #NOT a way to do busi"/>
        <s v="Both times that I have ordered from petflow my orders had delayed shipping dispite me calling and emailing them."/>
        <s v="I placed an order online because it showed the item in stock. I didn't receive any notifications that it wasn't in stock until I emailed in a query. At that point, all I received was a notification that my order was canceled, again with no reason as to wh"/>
        <s v="I would not have provided my personal information if I had known you don't have what I need. Not happy ."/>
        <s v="PetFlow has grown on me. I have used their competitor for a long time but tried PetFlow when I initiated a food change. I have found PetFlow to be responsive and helpful. Quite honestly, I feel their service has continued to improve over the time I have b"/>
        <s v="Great product and shipping times! I'm so happy to have found this company!"/>
        <s v="Very knowledgeable and helpful assistance over the phone. Quality product. Prices can't be beat."/>
        <s v="The item I needed was in stock, priced better than the competition, and arrived timely as needed."/>
        <s v="Recently I ordered over $200 in treats. They came in one large box, and half of the treats (raw, freeze dried) had turned to “dust” in their packages. It was likely due to rough handling during shipping. That had never happened before, and I’ve been order"/>
        <s v="I guess my card was declined- for my second order of Fromms cat food- 2 cases. But instead of telling me by text? Email? Call? I was just ignored. When I was down to one lonely can and wondering where my cat food was…I emailed- no response to my question."/>
        <s v="Your website lied and said a product was in stock when it wasn’t. We ordered it and heard nothing from you. I had to call several times and then I was finally told my order was canceled because it was back ordered. So was it never in stock to begin with? "/>
        <s v="I had a slight issue with a couple of the cans that were shipped and the customer service representative said they would issue a credit on my next order. Very professional and courteous service!"/>
        <s v="My order was cancelled and I did not know it no email, nothing, I had to log into my account to find out. I have re-ordered and hopefully product will be sent."/>
        <s v="Everything… I always need personal help with my orders, which usually include a prescription for my cat. The prescription I have, is a open one, that I usually have to send a picture of, and PetFlow seems the only online site that will talk to me personal"/>
        <s v="The people on the phone are friendly and helpful."/>
        <s v="What a great business to work with. When I made an error, and ordered the wrong food - customer service was happy to take it back and get me the right food.&#10;What a pleasure to work with such nice and helpful staff. A most unusual treat today!"/>
        <s v="i originally ordered a 24 can case of c/d chicken stew and a 24 can case of c/d tuna stew and was told that they were both in stock. about a week later i got the case of chicken stew but but still am waiting for the case of tuna stew. i just called a litt"/>
        <s v="Excellent product I've been buying from them for years, and fast service!"/>
        <s v="I ordered 2 cases of the hills cd wet can food. One stew and one fish. I only received the stew? My invoice shows that I was charged for both.&#10;But no explanation on why I didn’t get the full order!"/>
        <s v="Wanted to order dog kibble but the price on the &quot;select&quot; and description page was $56.06 but when I started processing the order the cart jumped it to $59.07. I called and explained the problem -the guy hung up on me. I called again and the second guy als"/>
        <s v="Would give this company zero stars if possible. Have ordered from Chewy, Petco, Pet Nirvana and VetSource with absolutely no issues whatsoever using the same credit card I used for PetFlow. However twice PetFlow cancelled my order WITH NO NOTICE (I didn't"/>
        <s v="I have tried to order food for my cat 3 times. Each time the order being cancelled because they did not have the product in stock I didn’t understand why the would show a product in stock when in fact they didn’t have it"/>
        <s v="Great product, exactly how it was described.&#10;Works great for my dogs."/>
        <s v="So glad I found this company! Products in stock and ships quickly! Appreciate the great service!"/>
        <s v="I was never told you did not have the product in-stock I ordered it and my debit card was charged. Three days later I was told you were out of stock and refunded me. Next time tell me you were out of stock and don't make me go through the process of order"/>
        <s v="Both Orders was delivered on time. PetFlow provides a tracker number so that you can track your order. Items in both boxes came spill-proof, and dog food bags were tightly sealed. PetFlow also offered me 10% off both of my boxed items. Thus-far, our house"/>
        <s v="It is nice product!!!"/>
        <s v="Pet flow kept canceling my order and asking me to resubmit it even though it was out of stock. They gave me deep discounts on the order but they were never able to deliver it. This is a serious situation because my cat cannot live without her prescription"/>
        <s v="hello&#10;I really enjoyed the experience of shopping with PetFlow&#10;at first the purchase was cancelled because the product was out of stock. Pet Flow solved the issue, I was informed at every step. The prices are very competitive...&#10;I can say that PetFlow is "/>
        <s v="Customer service is great. Delivery is a bit slow. Order shipped September 19 and it’s September 29th and I still do have my item."/>
        <s v="Cheapest place to purchase my dogs Fromm dog food, and it always arrives on my doorstep fresh. I feel confident in purchasing with Petflow."/>
        <s v="I was pleased to find what I needed at a good price but also saw a number of things that were much higher than on other sites. My order was shipped within 48 hrs and arrived in good condition. I appreciate the messages keeping me informed every step of th"/>
        <s v="Thank goodness for Petflow! I needed prescription treats I could not find any where, even my vet’s office was out. I had not heard of Petflow before and you came to me and my lab Bella’s rescue! FAST shipping. Thank you! We appreciate you so much! We will"/>
        <s v="An honest, informative explanation. My cats appreciate it. Please send me your list of US cat food manufacturers. I fiddled with your email until I couldn’t view it or print it.&#10;&#10;Thanks,"/>
        <s v="Love this cat tower! My girls have a great time climbing and lounging. It's very sturdy and was delivered promptly. Thank you!!"/>
        <s v="Great products and reviews that help pet parents. Too bad items don’t ship during the weekend. Great products and resources. Thanks."/>
        <s v="They were very helpful &amp; my Cat food was delivered on time."/>
        <s v="It took longer that buying it directly or with other companies"/>
        <s v="I have been getting auto deliveries for many years. Recently went on line to order and set up a new auto delivery for new puppy. My ship to address was no longer correct. I FIXED IT! Went to order the food and it flipped back to the bill to address. I FIX"/>
        <s v="PetFlow is great! I place my order within 4 days I have dog food. Sooo convenient to have it shipped right to your door. I’ve been doing business with them now for 2 years and will continue."/>
        <s v="If I could give it zero I would. They never contacted the vet, despite giving them fax, phone and email and contacting them on multiple occasions. I have a prescription for the same dog food, but I tried ordering snacks. I have a prescription for the dog "/>
        <s v="Fast Shipping and Good Prices for hard to find dog food!"/>
        <s v="Great selection, timely shipping. The boxes are still crap. They show up half open, beaten up, sometimes too small for the bags of food, causing them to be ripped open. If I could get Nutrisource food somewhere convenient, I would not use Petflow."/>
        <s v="I ordered some thing and the order was approved, by the vet because it was a prescription. Then I found out five days later that the order was not being fulfilled because it was out of stock. It seems as if the company should know what it has and doesn’t "/>
        <s v="Have spoken to 5 people to get an order of dry dog food on auto ship to no avail. Process started late Aug, with everyone saying it would ship asap. I still do not have it. I don’t understand what the problem is."/>
        <s v="My cat needs prescription Hills y/d. After going thru the verification process &amp; stopping my search I was told you couldn't source it. Wasted time waiting. I was informed after the fact, wish I had known in the beginning."/>
        <s v="I’ve been using Petflow for quite a while now and have had nothing but positive experiences! Generally, I receive my order in about four days or less."/>
        <s v="Ordered on 09/14, received 09/19 via FedEx.&#10;&#10;The box it came in was trashed, more than likely from shipping and handling. I would suggest using sturdier or reinforced boxes but that probably would add more cost. One of the bags was leaking food. It seems "/>
        <s v="Delivery of the product was sloppy.&#10;It was raining and the box was left outside where there is a dry place available."/>
        <s v="My only complaint is that the bags of dogfood were not packed properly. Instead of the big 40 pound bag being in the usual big boxes that it usually arrives in, the 40 pound bag was crammed into the same size box as the 26 pound bag, with the result that "/>
        <s v="Great prices of several items we use. Thank you!"/>
        <s v="The best prices ,in stock merchandise and quick shipping. Would use them again."/>
        <s v="PetFlow carries Fromm healthy weight for senior dogs. Bandit loves it. Bandit's favorite is treat is the 12inch pizzle chews. He has to have them"/>
        <s v="My order was cancelled without any notification. It was a sizeable order on a brand new account but not providing notification was both inconvenient and has left me scrambling.&#10;&#10;The prices will result in me trying to order from petflow again but the exper"/>
        <s v="I appreciate the discount and sales offered to your large selection of product. My items arrive carefully packed and I have yet to receive one dented can or damaged item. Keep doing what your doing."/>
        <s v="Stop accepting orders for items you do not have in stock. This has happened twice now."/>
        <s v="Always a great experience with Petflow. Product is of great quality and ships fast. Only place I can find these ears in bulk."/>
        <s v="My dog food order arrived with 3 exploded and dented cans. PetFlow's 9-16-2022 email reply was to tell me they will credit my card $8.52. Today is 9-24-2022 and my card has yet to be credited. I am not happy about this. ORDER NUMBER: 10446008 placed on 9-"/>
        <s v="First time using Petflow and I’m happy with the service. I now have autoship with them. Used Chewy autoship in the past but their service has become unreliable in past few months. Petflow was able to supply prescription food that was out of stock at Chewy"/>
        <s v="Products and pricing are wonderful. Shipping is slow compared to Chewy. That’s the only downfall."/>
        <s v="Orders are not packed properly and arrive dented. This is not the first time. Customer service did in fact send me a new Oder."/>
        <s v="It was entirely on me to send a prescription, the order was sat on for weeks, and eventually was cancelled without me asking for it. Now your site shows it’s out of stock. Just literally the worst order I’ve tried to place for prescription food - for whic"/>
        <s v="After receiving an email requesting I contact my vet to facilitate getting required prescription for my dog, my vet had received no such request. I called customer service requesting another prescription be submitted. I was treated with arrogance, disresp"/>
        <s v="2 thumbs down. It’s 9/22. My order was supposed to arrive 9/12. Today I was told the fraud department canceled my order for reasons they won’t disclose. They didn’t tell me the order was canceled. I was simply left waiting. When I attempted to re-order pa"/>
        <s v="Good Service and fast delivery"/>
        <s v="I have purchased from PetFlow regularly for a number of years. They have good prices (often the best!), they ship quickly and I've never had an issue. What's not to love?"/>
        <s v="My Scooter’s food got here in a very timely manner. He loves this food, and it is hard to find in our area. The cost is reasonable; though it would be nice if there was ever a sale on it. Thank you PetFlow for helping me provide the best for my fur baby."/>
        <s v="I was very disappointed with my experience. I was looking everywhere for the prescription cat food my furbaby needs, and PetFlow was the only place that showed having it in stock. But by the time they finally got around to contacting my vet (nearly a week"/>
        <s v="Ziggy went nuts over the treats. It's his crack cocaine. Will definitely order again"/>
        <s v="Your service and products have always been excellent. The only glitch was on my last autoship. I never received notice that my order was getting ready to ship. If I had I would have pushed it to a week later. It's not a big deal, but I like having the adv"/>
        <s v="I believe your website was corrupted and my account breached leading to several orders that I did not authorize. There was faulty Information shown (for example the website showed order # xzy123 was just placed “today”, but when I asked your rep about tha"/>
        <s v="Good food, Cheap, Easy"/>
        <s v="I placed a subscription order for prescription food for my pet. PetFlow claimed they had it in Stock. I was wondering where my order was so I logged into my account to find that the order was canceled because they did not have it in Stock. The did not can"/>
        <s v="It would be nice to get some of the discount codes for non-auto ship orders, for frequent order customers.&#10;Thanks, PetFlow."/>
        <s v="Website advertised canned y/d thyroid cat food so we ordered a case. After a week we were told it wasn’t available, which left us scrambling for thyroid food for our cat."/>
        <s v="I gave you a top score because we ordered food from you guys all the time this time I didn’t get any emails I looked in my junk folder there was nothing there I had to call twice to figure out what was going on I hope you can improve this process"/>
        <s v="Have enjoyed using this site to help take care of our for babies… Great selection… Decent prices…delivery on time"/>
        <s v="Our girls love the Dreambone peanut butter sticks and they are always out or extra expensive on other sites. This price is great!"/>
        <s v="I had a good experience with this company. I ordered my dogs food and received a great price. Order arrived in the time frame and condition expected. I will be reordering as needed.&#10;Thank you!"/>
        <s v="My pups love all of the toys we ordered from PetFlow. Most of the toys we ordered are made by Kong. Toys are great for our young aggressive chewer, as well as our fairly active, 18 year old, senior pup. Ordering was easy. Prices are great."/>
        <s v="I submitted a signed prescription from my vet through email for 2 orders and kept receiving emails from this vendor telling me they couldn’t ship until the prescription is verified. Then more emails saying they would approve it if I would submit a prescri"/>
        <s v="Great communication, free and fast shipping and they carry an item that’s out of stock everywhere."/>
        <s v="I'm really happy with all my purchases from PetFlow. Affordable prices and fast shipping.."/>
        <s v="I have gotten Myias can food before from you but this time every single can was dented up!! Not the quality I expect for the price of Hills prescription food!!"/>
        <s v="The worst. Spoke with a customer service rep &quot;Ryan&quot; and he was courteous and yet at the same time, completely unhelpful and unwilling to do what it takes to resolve the issue. He was very passive/aggressive, so I to him to suck a bag of Di*#ks, etc. etc.&#10;"/>
        <s v="No issues with shipment or product! Easy ordering."/>
        <s v="My experience was very positive. I was able to get some dog treats that I had not been able to purchase for quite some time. Thank you!"/>
        <s v="Fast shipping, good price!"/>
        <s v="My puppy Lola has had allergy skin issues and she hates all food and treats until I cane across Hills prescription Hypo. Pet Flow was so nice to work with. Great service great prices and the variety is wonderful. Thank you so much."/>
        <s v="You are asking for me to rate something that hasn't yet been delivered!? I just tracked it and see that it is &quot;expected&quot; to be delivered tomorrow, we'll see if that happens.&#10;&#10;By the way, I ordered from your competitor, about 2 days later than this order a"/>
        <s v="I am pet flow subscriber and I love it. My cat food always arrives on time and if I order an item before it only takes 3 days to arrive or maybe less."/>
        <s v="I appreciate the delivery, your prices are fair, but it took a longer time to get the food. I used to get food from you in 2 days, this was 6 days, which doesn’t seem too bad but long if you expect it in 2 days."/>
        <s v="Something went wrong with one of my first orders with your company. It was either the dried beef lung, or a chew toy. but either way no notification was sent to explain why! I drive a truck for Safeway/Albertsons for a living, so I understand supply chain"/>
        <s v="Scam . I tried to order bowls and they sent an email stating they were supposed to ship on the 15 and that I would get a tracking number in my email . I never got the tracking number so I called and they said my order was canceled because of fraud and the"/>
        <s v="Placed an order for dogfood from PetFlow for the 1st time ... not only was delivery quick but price was way better than where I usually purchase ... will definitely order from PetFlow again:)"/>
        <s v="We are a small chihuahua breeding program and it is most convenient to have our dogfood delivered...with free shipping."/>
        <s v="I ordered my cat's prescription canned food, called to check on it several days later &amp; was told my order was being processed. Then received an email a week after my order date stating my order could not be fulfilled as it was out of stock. By that time I"/>
        <s v="Soooo disappointed here. Needed (still need) RX canned cat food. Said it was in stock, our vet sent RX right away. Then I didn’t hear anything. Checked on it a week later, they said, ‘oops’ out of stock, we have to cancel your order. Whaaat?"/>
        <s v="i’m usually pretty pleased with petflow‘s delivery system but for some reason this time it took almost a week for me to get my product usually it’s in within a day or two so I just hope he gets a little bit more through the delivery service other than tha"/>
        <s v="Was very pleased with fast, courteous service."/>
        <s v="You allowed an order to be placed for rx food when it was not available. I had to call to get a cancellation email. It was nearly a week later before that was sent."/>
        <s v="I was very pleased with my purchase experience with PetFlow. I ordered a Hills Prescription Diet dry cat food that I've been having a lot of trouble finding. I bought it for a better than average price. It arrived earlier than quoted and in good condition"/>
        <s v="Very good Service, I love the play pen I order."/>
        <s v="Easy use of website for ordering and you have always delivered this hard to find food on time. I’ve come to depend on your consistent service. Thank you"/>
        <s v="Ordering is quick and easy. Product arrives in 1 - 2 days !"/>
        <s v="Every one was helpful. I am sorry not to be able to get my at food."/>
        <s v="Petflow made it easy, and my food was delivered quickly with no problems! My dogs love their new food, and the auto ship makes it hassle-free!"/>
        <s v="First time buyer. Ordered one product which needed Vet approval. Once obtained shipping took a while, poor communication as there was none on their part unless I called, repeatedly."/>
        <s v="Ive been using Petflow for years now, never had an issue till recently. This time around, I received a package BEFORE I received the shipping notification. Upon receiving my partial order (because one item was on backorder) there was 1 item missing (other"/>
        <s v="I ordered two cases of food, I provided the prescription and the two cases were ready to be shipped. I followed up the next two days and I was told was due to the prior holiday weekend. But, the two cases were ready to be shipped. However, two days later,"/>
        <s v="Very well made and excellent quality of the product 👌."/>
        <s v="Never received product nor heard that it could not be fulfilled. Item was listed as in stock when purchased"/>
        <s v="Always reliable, and a great price. Thank you!!!"/>
        <s v="Absolutely friendly staff and helped me right away. Helped me find the perfect alternative for the same price."/>
        <s v="It was cheaper than anywhere else. fast delivery &amp; Customer service was also fast and friendly."/>
        <s v="I ordered my dog food almost two weeks ago and I’m still waiting for it to be shipped or get a refund. I have received multiple emails about them not being able to reach Banfield pet hospital to get my prescription for my dog but Banfield is open from lik"/>
        <s v="Horrible, horrible service. I did everything right on my part. Even then the food for my cats wasn’t shipped in a timely manner. Despite me calling for it, and being told it will be shipped ASAP multiple times. Only to be told later it is being delayed. T"/>
        <s v="I placed an order for treats and a few days later the order was cancelled without any notice. The reason given was something flagged a fraud alert. However, when I called the customer service number, they couldn't give me specifics. All they suggested was"/>
        <s v="I was very encouraged when I first logged into this site as some of the prices are lower than other sites but just after submitting my first order I'm being told that half my order isn't available at this time. When I logged out and went back into the sit"/>
        <s v="I travel for work and I ordered pet food via your site for the first time with my billing address as my home address and my shipping address as the place I was on location working. I travel with my two cats. My order was cancelled and I WAS NOT NOTIFIED. "/>
        <s v="Apparently my order was canceled by the fraud department. I'd like to know why. I spoke to someone on the phone as I wanted 6 of the item but you only had one. No one notified me. I ordered 5 from another company thinking I had 1 coming from you. Now your"/>
        <s v="I tried using a coupon that said expires 9/15/22 on 9/15/22 and it was already expired."/>
        <s v="I will never ever contact Pet Flow for anything ever again. Terrible terrible customer service and failure to deliver. Told me their fraud division refused to ship item I ordered. I contacted my credit card companies and all of them said there was zero is"/>
        <s v="Love PetFlow! Site carries my favorite products, great prices, fast shipping and items arrive in good condition. A+++"/>
        <s v="Bi-monthly order of dog food that is the best price I can find online"/>
        <s v="Shows on website the food I needed for my cat was in stock....and it wasn't"/>
        <s v="Great products, service and website!"/>
        <s v="My experience isn't complete because I only received one small piece of the order. Kind of odd: I ordered a case of cat food. When I placed the order, the site said I was only $2.00 away from free shipping so I ordered a small kitty toy for $3.00. I got a"/>
        <s v="half of order delivered as expected, other half was on perpetual delay. petflow team could not provide update, except that “all” prescription orders were delayed. this was obviously not the case, as the first half of my order was fine and not delayed. tha"/>
        <s v="I tried twice to order the dog food for my 2 dogs. Both times it was cancelled by this company. Their so called Fraud Prevention Dept. I was Dumb-Founded. I called to ask why. The woman i talked to had no idea, and could not transfer me to anyone to talk "/>
        <s v="Ordered wrong food; contacted company before shipped; they said it was too far in the process. They told me to deny delivery when they come; the delivery company dropped off without notice and they denied my return. They lost me as a customer over $50. I "/>
        <s v="Product is good but way too many emails."/>
        <s v="Took over two weeks for order to arrive.&#10;Soft Cookies are very hard."/>
        <s v="This place is a real joke. Seems like they are selling items that they don't have. We purchased 30 dog bowls for our feeders. after they was supposed to ship them out, we called and they said that they canceled our order due to they thought it was FRAUD. "/>
        <s v="Every time I order it takes forever to receive. I also have received the wrong product and had to reorder and wait even longer. Kind of a headache. Customer service is just ok."/>
        <s v="Nice selection of premium, reasonably priced, high-quality cat food shipped and delivered quickly with no hassles."/>
        <s v="Website is extremely difficult to navigate, and customer service is merely “okay.”&#10;After I was told my order was IN STOCK, it wasn’t, and my order was =CANCELLED=. No “We’ll let you know as soon as it gets in,“ or anything, just plain canceled.&#10;Not gonna "/>
        <s v="I place my first order with PetFlow. A few days after placing the order, I realized I hadn't received an email with shipping information so I called to find out when my order would be delivered. I was informed my order was canceled. I asked why it was can"/>
        <s v="Overall it was easy to order. However, it took more than a week for me to receive my dog food. The FL Warehouse was out of stock. There was no correspondence to let me know That the food was then coming from the NJ warehouse.I had to call in order to find"/>
        <s v="My parents'dog loves this pet food. It arrived when I was advised it would arrive, so that was awesome!"/>
        <s v="Been ordering pet food from PetFlow for years now and have had nothing but good experience with the company. Products I order are the best and at the best prices available. Shipping has always been super fast. Great Company."/>
        <s v="It’s too hard to cancel auto ship orders. It should be a simple button you can press, instead you have to contact customer service, which takes time for what should be something I can do myself. Other than that petflow is always fantastic."/>
        <s v="Delivery took longer than I expected. After a week and half I had not received an email letting me know my order had shipped. I contacted customer service to ask and what do you know?? My order shipped the next day!"/>
        <s v="Very good customer service! Happy with product and delivery! Prescription treats my dog likes, they had in stock."/>
        <s v="Claimed a dog food product was in stock, and even told me that only ONE was available, not the two that I had in my cart, so I purchased the ONE. Two weeks later, no dog food has arrived, BUT I just got an email stating it’s out of stock and not known whe"/>
        <s v="Ordering was simple, communication was excellent, selection /prices were great anf items were shipped promptly. No problems were encountered at all!!"/>
        <s v="Petflow had the sensitivity select dog food I needed, which is hard to find, at a reasonable price. I received it within a week. Great company to deal with."/>
        <s v="Order on 9-1 called on 9-5 to verify prescription received, told yes will ship soon, no contact from you, called again on 9-9 told will ship that day, I expected to receive by 9-12, tracking sent stated expected arrival 9-15. Was never informed of these d"/>
        <s v="I ordered Hills prescription CD ocean fish wet cat food on the 1st of September. I had no knowledge that is was not in stock prior to ordering as it was not noted on the PetFlow site. I got an acknowledgement email from PetFlow and that was it. To make a "/>
        <s v="transfering a new hardcopy Rx was a bit cumbersome.&#10;First I was told that I had to send a new Rx via US mail then I was told I could simply upload it. So it took almost 2 weeks to receive the product."/>
        <s v="I had some issues with my order but contacted customer support twice and each time has been reassuring. It's easy to get a hold of a real person, and the team has been very professional and courteous in resolving my issues. I will continue making purchase"/>
        <s v="very happy experience from Petflow!&#10;Thank you"/>
        <s v="Dog food I ordered went out of stock immediately after it allowed me to order. I called, and I was told they could not give me any idea of when it would be in stock. I tried to cancel my subscription with them, but they told me they wanted to keep it for "/>
        <s v="FRDEX didn't deliver the previous order. Your customer care rep. ordered another Fromm Sur &amp; turf for me and it was delivered"/>
        <s v="I signed up once for auto-ship &amp; the order took over a week to reach me. Since that experience, I order when I need it and always receive it within a few days. I am a regular!"/>
        <s v="I bought the august 31st haven't even received any email with shipping, last time i talked to them haven't shipped yet, last time i called didn't even answer."/>
        <s v="I placed an order. About 6 days go by and I realize I hadn’t gotten a shipping confirmation number. I called and representative said ….. oh….. did no one reach out to you? No, they didn’t! Long story short- nothing happened- except they held onto my money"/>
        <s v="I placed my order a few days ago. I then had to get a prescription from the vet and mail it... mail it, not fax it or email it but mail it. I have yet to get notice that my dog treats have been mailed and it had been days. My dog has IBD and these are the"/>
        <s v="Communication with PetFlow staff was exceptional and professional. I truly believe the staff was interested in helping me with the prescription from my vet for the product and clarification expedited the process well."/>
        <s v="Super prompt service which included PetFlow needing to verify a new prescription with my veterinarian. Fast shipping, too! Much appreciated!"/>
        <s v="PetFlow website had Hills Y-D canned cat food available. I ordered a case. They sent me a confirmation &amp; then contacted my vet for the required prescription. After receiving it &amp; checking their inventory &amp; then with their distributor, notified me they don"/>
        <s v="My order was not processed as it was flagged for fraud. However I was not informed of this. I had to call 5 days after placing the order to find out."/>
        <s v="Ordered prescription cat food that was in stock. Never heard anything for 2 weeks then got an email saying it is now out of stock. I looked it up again and it is NOT out of stock!? Total waste of my time. And I don’t remember the date exactly."/>
        <s v="Had what I was looking for, good price and fast shipping! Great job!"/>
        <s v="Easy website to navigate. Customer service both via chat and phone were very helpful when I entered my CC number incorrectly. Shipping was fast too."/>
        <s v="My order was canceled twice without an email or call. This is unacceptable and I will never recommend Petflow to anyone"/>
        <s v="I have a rescue and wanted to give Petflow a try because they had some great deals. I placed an order in my name but used my husbands credit card.....same last name....i received a confirmation....8 days later, never received it. I called and was told my "/>
        <s v="The crate arrived so quickly. It was way to assemble. Looks great! Very pleased !."/>
        <s v="I placed an order on 08/24/22 and had not heard anything about it by 09/03/22, so I emailed the company and was told that their Fraud Protection team suggested that they not fulfill the order. When I emailed back for an explanation, I was told to call a n"/>
        <s v="Dog food arrived in good condition (dry food). It was not broken up like some other places where I have ordered. Good service."/>
        <s v="This site is legitimate. I feed my dog Chicken Soup for the Soul Weight Care for dogs. After checking other places they definitely had the best price. So glad I found them. Shipping was minimal but fast. Set it up for Auto ship."/>
        <s v="good site good site good sitegood site"/>
        <s v="I ordered a prescription diet food for my pet on a Saturday. That Monday I called into customer service and confirmed receipt of my pets prescription. I expressed urgency to the rep that we were running low and needed this food ASAP. 5 days later I receiv"/>
        <s v="Prescription wasn’t approved and I didn’t get any food."/>
        <s v="Fast very secure service, easy and safe method of purchase, and excellent products, affordable pricing."/>
        <s v="Nothing but good to say about petflow. They have what I want, the prices are fair, the delivery is fast."/>
        <s v="EXCELLENT CUSTOMER SERVICE! I ordered &quot;Etta Says Premium Elk treats&quot;, 20 count. One arrived, not 20, just the one. I called, the rep on the phone was more than polite, and sent out an order for the missing 19 chews. Again the box arrived with one chew, no"/>
        <s v="Awesome to do business with. Received product on time!"/>
        <s v="Very happy that I found this site for my aging dog who needed prescribed treats that he was on most of his life. They contacted my Vet for approval, and I did not have to wait too long before I got my package"/>
        <s v="I had a wonderful experience with PetFlow. My Cat, Max, is on a special Hill's prescription diet for urinary issues. It is very difficult to find c/d cat food where I live. I found PetFlow on-line and ordered chicken stew, tuna and ocean fish. I uploaded "/>
        <s v="The ordering process was easy, however, within one day I received an email saying my item had shipped BUT after 5 days with no tracking number I called and was told the item was out of stock. Shortly after that call I received an email saying the item was"/>
        <s v="PetFlow and its fine customer service representatives are always dependable, always on time, forever and always pro-n-polished."/>
        <s v="Excellent customer service. Well stocked inventory."/>
        <s v="Fast shipping &amp; best price when compared with other delivery companies of same product."/>
        <s v="PetFlow offers competitive prices compared with other online pet supply companies!"/>
        <s v="I tried to order litter boxes for my shelter and my order was canceled Without my knowledge and after the order was already supposed to have shipped I contacted the company and they canceled my order because they said it was fraudulent. Are used PayPal wh"/>
        <s v="Went from bad to worse.&#10;Ordered rocks and cat treats. My package was lost. NO ONE reached out. I contacted Fed Ex several days later and it's GONE. I called Petflow to get me my order over night from another location. They said a manager would get in touc"/>
        <s v="This is my third time ordering from This company. The first two times were very positive. However, after putting in an order on a Saturday morning they are telling me that it “might” leave their warehouse “at some point” in the day on a Thursday. So basic"/>
        <s v="Everything was great!&#10;I unfortunately had to let go of my baby ( black lab) of almost 12 years.&#10;If/ when I am ready I would use your services with no questions."/>
        <s v="You offer free shipping for orders over $49. So I try to meet that requirement. But then you offer coupons which are really nice. But when I apply a coupon, it brings my total below the free shipping mark. My choices are to accept the shipping charges or "/>
        <s v="This is my first time ordering from Petflow and I am very satisfied! My order came quickly and the prices are less than other places I ordered from. The type of dog food I buy for my dogs is hard to find and I'm glad Petflow has it. It saves me time looki"/>
        <s v="Good service arrived when you said it would. I was a little confused by the check out on your website, but I’m old."/>
        <s v="My auto ship sat in processing status for 2 weeks so I paused it so I could order something else. I called and the person acted like they didn't want to help. Once I placed my new order, I received my auto ship order at the same time. This was over $150 a"/>
        <s v="I'm unhappy with your service. My vet was out of the prescription diet for my cat, so I ordered from your website on Friday, 08/26. You charged my credit card on Monday, 08/29. Since you charged my card, I thought you had the okay from the vet to get the "/>
        <s v="Two times I tried to order a particular flavor of food for my cat and both times your site said it was in stock. about 7 days later after not hearing anything, I contacted petflow only to find out that the product was out of stock.&#10;&#10;You do not let custome"/>
        <s v="This is the first time I used pet flow and I was very happy with the results. They got the approval from my vet and shipped the products in a timely manner. I will be using them again"/>
        <s v="Great customer support and very fair pricing. Speedy delivery. Will use again and do rexommend!"/>
        <s v="good communication about delivery status."/>
        <s v="I am NOT Paul Weiler. Not only are you asking me to rate my experience you have joined my account with his!&#10;&#10;I am Dawn Martin and have canceled my account. I’m a over 10 years a customer. I hope you take my info off Paul’s account and VDH versa.&#10;&#10;Thank yo"/>
        <s v="The website said they had the product, 3 days later I received an email stating they were canceling my order. They did not have the food I had originally ordered."/>
        <s v="Good service ordered dog food and it arrived within couple days."/>
        <s v="My product never made it to my doorstep, and I still haven’t received my money back. Extremely disappointed with the service of this company."/>
        <s v="Prices are a little high but the shipping is outstanding! I am able to get my dog what she needs!"/>
        <s v="I was happy first time ordered food from this company I usually ordered from chewy and then they sent me the wrong food for my dogs. I called they were able to change it and asked me to send back the one I had the wrong one. The new order yes it was $0 bu"/>
        <s v="Called twice to check on my order. People on phone were pleasant but not very helpful. My order was canceled without any communication from Pet Flow. I was told that an email was sent but I did not receive one on the day of cancellation or ever. Very disa"/>
        <s v="The cat food arrived on time. once I ordered the wrong flavor. great customer service for an exchange of flavors"/>
        <s v="Package arrived in timely manner"/>
        <s v="Great customer service&#10;&#10;It was so easy to set up an account and get reoccurring deliveries. And the prices are right."/>
        <s v="My order arrived promptly and packed well. Thanks."/>
        <s v="I do like Petflow for my dog’s food and supplies. I found the auto ship to be somewhat confusing while I was determining how much dog food to order as my pup was growing. I’m unsure how much the discount is for auto ship and when does it start. I do not s"/>
        <s v="Petflow was so helpful in telling me when I should expect my package and sure enough, it came on time! I couldn’t ask for more!!!"/>
        <s v="Good products and prices. Very disappointed that it took 8 days for delivery. I’m used to Chewy with 3-4 day delivery."/>
        <s v="Great service. Also, was able to find the prescription food I needed for my cat ONLY here after finding it out of stock at my vet and at other web sites. Both my precious cat and I are very happy now!"/>
        <s v="No one called me to tell me my order was going to be late. My husband called and gave his credit card several months ago and I have placed orders, with this credit card numerous times but for some reason y’all decided not to send this order because our la"/>
        <s v="Fast, reliable shipping."/>
        <s v="Easy to order, quick free shipping. Got veterinary food I needed in the large size. Pet Smart won't sell you the large size which is a much better deal. Been ordering all of Chloe's treats from you for several years. Keep up the good work. Please get her "/>
        <s v="Shipping was fast, delivery was not. Not delivered by estimated day, but 2 days after. Wish it was more accurate."/>
        <s v="All was good. Not one complaint 👍👍"/>
        <s v="Shipping was on the slow side but worse boxes were destroyed. Thankfully dog food bags were not ripped open."/>
        <s v="I am always happy with my orders from Petflow! I get my food within a couple days!"/>
        <s v="Placed an order, received the order (late) but was sent a discount coupon to make up for it. That's nice."/>
        <s v="The site and purchase was fine, but then my order was canceled due to the food being out of stock. It's a prescriptions food, so I was pleased to find somewhere that had it (everywhere else has said it's on backorder) then disappointed when it was unavail"/>
        <s v="Super fast shipping. Lowest price online"/>
        <s v="I was given a $25 discount off $100 purchase. My order was split and shipped in 2 shipments 1 day apart. They removed the discount! Customer Service did give me the discount after I requested it. Satisfied. Will probably order from them again provided goo"/>
        <s v="Ordered dog food and I was informed that it shipped on the twenty second of August. It's now the third of September and no dog food. They said it would take seven to ten days. It's now been twelve days."/>
        <s v="The service at Pet Flow is very reliable and the prices are very competetive"/>
        <s v="all good so far but what can i say about dog food? on time and price was probably fair. so we will see"/>
        <s v="I would give 5 stars but I had several issues with the website! I’m sure it’s working through the kinks! Technology is great until it doesn’t work. I will say the online chat was on point with helping. I think I was actually texting with a real human and "/>
        <s v="I placed an order with the company for high quality dog food. When it arrived it had been expired for nearly 5 months. This was my first order and though they refunded me when I complained, I still lost faith in them as a company. I expect better than exp"/>
        <s v="My dog needed a prescription diet dog food. This company is a joke. Have us the complete run around for 2 weeks, meanwhile my dog suffered. I do not recommend this website or this company to anyone."/>
        <s v="Exactly what I ordered and quick delivery time."/>
        <s v="I used to enjoy ordering from pet flow for our cats prescription diet. However, recently, the reliability has been terrible, and to make it worse the communication about it has been lacking. They were very quick to charge my credit card while they place t"/>
        <s v="I'm satisfied with the food but you need to use stronger boxes. I order 30 lb. bags every month and they are always opening and falling apart."/>
        <s v="This is the 2nd time you sent me the wrong cheaper item. I called before the last order and you promised I would get the correct item as described and pictured."/>
        <s v="Good customer service, quick reply from pet flow! I highly recommend this website for your pet’s needs!"/>
        <s v="Petflow has a great variety of foods. My dog food is sometimes hard to find, and they carry it. Their prices are competitive also."/>
        <s v="Purchased 3 cases of dog food and many cans were dented from the delivery. Otherwise good value and quick delivery."/>
        <s v="Horrid experience. Ordered some cat food on a Monday, and it wasn't until Thursday that I was told that the food was out of stock and they didn't know when they would get more. I know that cat food is in short supply, but the website could have at least s"/>
        <s v="I love my dog's new collars. They are nice and strong, and very reflective. I measured their old collars and ordered what I thought would be a perfect size for them. Unfortunately, the collars are too big... by alot. I'm hoping there is something that can"/>
        <s v="Fast delivery, good quality products."/>
        <s v="You are excellent, accommodating, and understanding, I will buy from you again."/>
        <s v="Denemarin available...&#10;I was pleasantly surprised to find and purchase the above mentioned without a prescription. Unable to find chewable tabs for my Queensland Healer locally. Thank you, Thank you.&#10;Please let me know when you get more in stock."/>
        <s v="Pet Flow &quot;usually&quot; arrives in a timely manner. However, quality control and training are needed for packing. Our products, especially canned and treats, arrive dented and in crumbs. That couple delivery too!&#10;Longtime customers should not be forced into au"/>
        <s v="My vet could not get the prescription wet food for my cat. I tried for weeks and PetFlow finally had the food in stock. PetFlow faxed the prescription to my vet, and in a couple days I received the case of the wet food via FedEx. Free shipping and I had a"/>
        <s v="I place an ordered on August 22 and messaged the company on August 27 since I hadn’t received a invoice saying that they shipped. I then got a message back saying that it was marked fraudulent. And they wouldn’t be sending it. But they never intended to s"/>
        <s v="This is the first time that I ordered from Petflow and so far so good no complaints!!"/>
        <s v="It was all pretty seamless. I am a first time customer and will be back👋"/>
        <s v="Easy to order on line; prompt delivery; no fee for delivery since it was a large bag I ordered. 5 stars."/>
        <s v="Looking all over for prescription wet cat food. Saw a comparison between Pet World, Petco and Petflow. It showed Petflow had what I was looking for in stock. So very excited that you were showing Science Diet in stock. Ordered 5 cases, gave my vet a heads"/>
        <s v="Super fast shipping!! I placed my order and received it 2 days later. Great service!"/>
        <s v="I was sceptacle, but chose to move forward and sure glad I did. Very prompt delivery. Have since ordered mega amounts of my cat's favorite food again."/>
        <s v="Order was quickly shipped BUT order was not complete due to inaccurate inventory on website AND several items were VERY dirty when they arrived. If it hadn’t been for tags, I would have thought the items were used. Somewhat disappointing!!"/>
        <s v="Fraud department is out of control. I’ve never known a company so bent on refusing to allow customers to purchase from them. Good luck with that business model lol."/>
        <s v="I recently purchased a bag of dog food. Emails kept me updated about when it would be delivered &amp; it did arrive as scheduled. It was a good experience &amp; I'm very satisfied with the service provided."/>
        <s v="Quick service &amp; delivery..... No problems at all"/>
        <s v="Shipping took entirely too long. Wasn’t notified about a shipping delay until after package was due"/>
        <s v="Friendly folks, poor stock on hands.&#10;&#10;This is the second time I attempted to order dog food from you. A days after ordering both times, I received an email stating that was out of stock. This was for Hills d/d potato and venison. It would have been nice t"/>
        <s v="It took way too long to ship the food. I called and canceled order while it was still in the warehouse and not processed . They sent it anyway."/>
        <s v="I ordered product&#10;Never received it&#10;Later told thru text communication that product was out of stock&#10;If so, why was it on your website!??&#10;Nobody advised me."/>
        <s v="Fraud Depoatment has flagged my account. THey have been no help to get this corrected. I would like to purchase form this compnay but they have been no help in correcting their error about mt information being fraud. Who can I talk to to get this correcte"/>
        <s v="I had to reach out to find out what was happening with my order after never hearing anything."/>
        <s v="You were unable to fill my order and never let me know until I sent an email asking where it was!"/>
        <s v="After making a purchase that exceeded the threshold for free shipping, I was not able to add on another item after making a purchase. The salesperson could not waive the shipping fee on another item I forgot to add on to my original purchase. Instead, she"/>
        <s v="I ordered 3 bags of hills feline dry metabolic + cd which has been hard to find at alot of stores. You listed it as in stock. I am the veternarian for my pets and you didn't allow me to upload an image of my prescription. You sent my clinic an email to ge"/>
        <s v="I ordered my cat a specialty cat food which at the time was listed as in stock then the next day I received an email saying it was “out of stock”&#10;To be fair most if not all places were out of stock but that’s why I was excited to finally find a store that"/>
        <s v="I called to cancel an order within 24 hrs of placing it. Was told it was too late but that I once it arrived I can call and request a pre-paid label to return. So I called when it arrived and was told that RX dog food cannot be returned and that it states"/>
        <s v="I've been using Petflow for my furry babies for a few years now and am very happy with the ease of the website navigation and managing my auto-shipments. They also have great customer service!"/>
        <s v="I get all of the treats that my dog loves on one site for the best price"/>
        <s v="Couldn't be much easier and a great price, no one even close."/>
        <s v="Good company and they had my baby’s dog food in stock"/>
        <s v="Pet Flow has excellent prices on the food I was looking to purchase for my cats. Their prompt delivery was also superb. Have shopped here twice and will be doing it again regularly."/>
        <s v="We have discovered some awesome dog treats available at very reasonable prices through this company. Ten Points!&#10;When we have questions or order something that is temporarily unavailable, we experience stellar communication and feel that we have received "/>
        <s v="Easy. Fast delivery 🚚 thank you."/>
        <s v="The website was easy to use. I like the prices of the cat food. And I also like the discounts you offer."/>
        <s v="I'm pleased with the order process and the shipping was as promised. I will be ordering from PetFlow again."/>
        <s v="Great price, fast shipping."/>
        <s v="We go where Fromm dog food is. We move a lot, and (so far) have never had an issue receiving our pet food and supplies from Pet Flow.&#10;The ordering process is easy and the site has everything we need for our pets. The only reason 4/5 stars is that there is"/>
        <s v="Good prices, great selection, and excellent service! I highly recommend Petflow!"/>
        <s v="Prescription food showed &quot;in stock&quot; on the website. Ordered and they got a prescription from my vet the next day. Only then was I notified that they did not have it, and did not know when it would be available as they use a third-party vendor that does no"/>
        <s v="I ordered my cat’s prescription food and Petflow obtained his prescription frim the vet. After not hearing anything for a few days, I called Petflow to make sure the food was in stock. The representative said she would call the supplier and email me to le"/>
        <s v="My experience with PetFlow has been great. Items are delivered when I expect them, in great condition. Auto delivery works just as it should."/>
        <s v="Easy to use site . Like that you give the option to set up an auto shipment for the date I needed it to shipped instead of order now choose auto ship. Allowed me to set up when I need the shipment instead of waiting or ending up over stocked ."/>
        <s v="My experience was good. Found the items quickly and without any problems."/>
        <s v="I WAS AMAZED THAT THEY HAD THE SAME PRODUCT I HAD BEEN GETTING FROM AMAZON FOR MORE THAN $1.50 LESS PER ITEM, SO I FIGURED, WELL THERE MUST BE A LIMIT TO HOW MANY I CAN BUY. NOPE!! SO I BOUGHT MORE THAN 20 OF THEM. I FEEL LIKE, SINCE I HAVE SUDDENLY LOST "/>
        <s v="Fast and good service! Thank you!"/>
        <s v="Convenient and prices are very good. Wish the shipping was a bit more urgent but will shop with them again."/>
        <s v="Easy to shop. Great prices. I got my pet waste bags quickly and well-packaged. Will definitely shop with PetFlow again!"/>
        <s v="I switched to Petflow from Chewy and so far, so good. Chewy doesn't carry Fromm, which my dogs like the best. Decided to give them a try and I'm very satisfied. The food arrived about 3 or 4 days after I placed my order. The expiration date is more than a"/>
        <s v="Loved the website ! They had what I was looking for . Ordering was easy I got my dog food 36 hours later ! I will definitely use pet flow for my ongoing pet needs ."/>
        <s v="The prescription cat food (wd) is out of stock, but I was&#10;let to order it as if you had it. No one seems to be able to get this. It's an important prescription for my cat who has a fractured pelvis.&#10;Arn't the making this anymore? Is there a substitute tha"/>
        <s v="This company was able to get the dog food we needed and were having trouble getting elsewhere."/>
        <s v="I have a dog that needs prescription food, I searched the internet and your website said you had it in stock, I ordered it, anticipating the amount of time I had until my dogs food ran out. Well you took over a week to tell me that you couldn’t fulfill th"/>
        <s v="Easy to order, slight delay with the product not available in the closest warehouse but arrived well packaged"/>
        <s v="What I loved was that they told me that their fast delivery was delayed because they had to ship from another supplier without me asking where my package was. They took initiative and emailed me about the details of my package."/>
        <s v="No product&#10;xxxxxxxxxcccccccczzzzzzzz"/>
        <s v="I ordered prescription cat food from Pet Flow. However, a few days later they stated they were out of stock and would ship it as soon as they received it. I had to cancel my order and they were very communicative throughout the process. I would definitely"/>
        <s v="PetFlow came through for me again when a kitty food subscription was out of stock. I'll be sticking with PetFlow! Thank you!"/>
        <s v="I made an order and canceled 2 days later. Customer service told me it was taken care of. The charge disappeared and I thought all was well. Then several more days passed and I received a shipping notice. I was told it was now too late to stop my already "/>
        <s v="One thing I really love Petflow is they always have their products available. I don’t get a constant “on back order “ like many other mail order purchases. I also appreciate the occasional discounts offered to regular customers."/>
        <s v="Was able to order special food for my dog that was not available elsewhere. Delivered quickly and I was kept uo to date on the delivery."/>
        <s v="Placed an order and Rx was on file. Waited a few days and didn’t hear anything. Contacted the company and was told, sorry…..it’s just sitting in fulfillment for some reason. Then the customer service person said they’d try to expedite. That was almost a w"/>
        <s v="Our pet food was delivered promptly."/>
        <s v="Timely response and follow-up. Timely processing once order details (prescription food) were in place. The one area that needs to be addressed is the contradicting information the site provides during the prescription food order process. The site noted th"/>
        <s v="After placing an order and receiving the shipment, I realized I had ordered the wrong food. I had set up auto ship for the food, so immediately tried to change the type of food on my auto ship. When I couldn't change it myself, I emailed and the responder"/>
        <s v="The box that the bag of food arrived in was open. That was probably due to the heavy food bag inside without any protective packing."/>
        <s v="I placed an order, and without notice, it was canceled, and the product never arrived."/>
        <s v="1. Your site told me that I was REQUIRED to mail the original prescription for my cat’s Hill’s m/d food. Luckily, I had asked my vet for a prescription in June, so I had an original to mail. I don’t like to mail this, because I have to get a new one anyti"/>
        <s v="Dependable, well stocked with helpful phone assistance"/>
        <s v="I bought a 12 pack of Duck and a 12 pack of Salmon. Usually my dog loves salmon but she did not like the salmon from Pet Flow. It was disintegrated little chunks floating in tons of liquid. She left her dish unfinished.&#10;On the other hand, she gobbled down"/>
        <s v="Was looking to get my cat's food supply from a smaller company than the giant online pet stores, and after researching i found PetFlow.&#10;Good prices and fast delivery!&#10;very satisfied with PetFlow's customer service as well&#10;totally recommended!"/>
        <s v="The in-stock status of food was inaccurate"/>
        <s v="I have used petflow for a long time. They carry some hard to find products which I really enjoy. They are usually easy to get ahold of too if you call them.&#10;&#10;The only areas I see that could afford growth are these:&#10;An auto ship program that can be paused "/>
        <s v="First time shopper. Friendly knowledgeable efficient. Great service, fast delivery. I will be back."/>
        <s v="Finally found a source for the Hills Prescription Diet Gluco Support MD dry cat food. I tried my vets, local pet stores, and Amazon. My vet suggested that I try you folks. Success! The food was in stock and shipped in a reasonable length of time. Happy cu"/>
        <s v="This company has labeled me as fraud after a purchase because my billing address didn’t match after I called twice to their customer service department and their rep Mallory said I could never buy nothing from pet flow ever again. I’m not going to state w"/>
        <s v="Working with PetFlow was wonderful. Working with Fed EX, their shipper was not. PetFlow responded to every call or text that I sent them within a few minutes. Fed Ex was another story. Things got lost and were late. They really need to find a better carri"/>
        <s v="Online order was simple. Delivery was on time. My only comment is that you not use plastic bubble for cushioning and instead biodegradable packing."/>
        <s v="I ordered a prescription diet for my dog…I thought I was ordering hills metabolic lamb and rice diet as my dog is allergic to chicken. The lamb and rice has been difficult to find and online it said Petco and PetFlow had it available. I received an email "/>
        <s v="This process was flawless."/>
        <s v="Easy to order, quick delivery"/>
        <s v="Always such quick service and exactly what my Ginger Girl wanted! Thanks!"/>
        <s v="The website is organized and works well. Ordering went smoothly and my items arrived promptly and the quality is great."/>
        <s v="I ordered 2 bags of Hills Science Diet dog food for my 2 Rotts and got a good deal. I will be buying more in the future"/>
        <s v="I’ve been a fan of PetFlow for several years. Their service is prompt and professional. An added plus is your purchase goes to help an animal in a shelter."/>
        <s v="Everything was great. Order came in a timely manner. Great price! No problems. Would recommend this company!"/>
        <s v="I had issues with my order. It was fixed and replaced. I thank you for the help and fixing it asap."/>
        <s v="We ordered product and after two days you said it was out of stock after all"/>
        <s v="Very disappointed. Our order was canceled by you because you didn't get your order of the goods. I know you can't help it if your supplier doesn't come thru for you. But our order was placed middle of July &amp; we're just told Aug 18 you can't supply."/>
        <s v="I was so thankful that PetFlow had my dog's prescription food because they were the only place that did. Even our local vet couldn't get it. As soon as my order was complete, they contacted my vet to get the process going. In less than 7 business days, I "/>
        <s v="exact product I was looking for and at a great price and wonderful shipping service"/>
        <s v="Great product. Dog loves it"/>
        <s v="This was my first time ordering from somewhere other than Chewy.com. I’m very pleased with their service. And they’re cheaper than chewy for the litter I needed. You have a new customer. Well done. P.S. Lets Go Brandon"/>
        <s v="Your Shipping time was 3x as long as quoted. We ran out of dog food in the meantime I refer a lot of business your way. Not sure I can anymore."/>
        <s v="food order took a long time to arrive, wasnt aware to order before noon on fridays to ensure order received before weekend so it was a long time before order was even received"/>
        <s v="when i ordered said in stock,,then i get email not in stock,,takes long time to get and multiple delivery,,and you have to add up each delivery to make sure its right,prob won't order again i did twice and happened both times"/>
        <s v="Items were just as I ordered and shipping was faster then I expected. All good things! Glad we discovered PetFlow. It was our son who has two pups, that made the recommendation. Thankful for that."/>
        <s v="They accepted an order, charged my credit card - and all the while the food (which was a prescription food) WASN’T EVEN IN STOCK. The item wasn’t listed ‘out of stock’ or ‘on back order’ at the time I purchased it. It was only nearly a week later after I "/>
        <s v="I purchased 2 bags of dog food one came right away the other took a while to be delivered"/>
        <s v="Wouldn't allow me to place an order. Had to order through a family member. It's a new house but it's on maps so idk what the problem is."/>
        <s v="Your service by email promised to contact my vet about the order for the prescription. You failed to do that and had to cancel the order."/>
        <s v="Products were good, but delivery took a long time and tracking didn't give updates after day 2."/>
        <s v="Awesome experience. Pet feeder was bent. And email was sent explaining how feeder arrived and new feeder was sent out immediately. Great customer service. Well shop here again. Awesome! Awesome! Awesome! Second feeder arrived in excellent condition and my"/>
        <s v="Great prices and fast shipping! Awesome auto-ship discount as well."/>
        <s v="Great customer service. I provided some feedback regarding coupon/promo codes and received a very nice response quickly. I was just offering some feedback in didn't want/expect anything in return. However, the Rep went above and beyond and provided me wit"/>
        <s v="Petflow has great pricing and service. I signed up for the autoship program for out dog's Hills Science Diet. They were priced the most competitively. My order shipped as promised and even delivered a day earlier than expected."/>
        <s v="I wasn’t happy when they told me they would not charge my card unless the item was available and ready to ship out but unfortunately that wasn’t the case when they decided to charge my card even if it was a pre-authorization or pending I don’t like to see"/>
        <s v="PetFlow has the best prices on nice dog pens and wonderful customer service."/>
        <s v="At the time I ordered the product your website said that it was in stock but after about a week later it was no longer in stock and I could not get it at all. I was really hoping that I could get this since after much research your website showed that it "/>
        <s v="I’ve shopped with Petflow for years. Excellent selection, very good customer service too. The shipping can be a little slow, but that’s FedEx not them. I get aggravated with the auto ship and you have to call in to cancel. But otherwise dry happy with the"/>
        <s v="I can't actually manage autoship. I always get an error that would prompt me to contact costumer service."/>
        <s v="Disappointed in your service Was told that you had an item in stock to be mailed When I inquired about status of order, I was told an error was made and food was not being mailed Out of stock !!"/>
        <s v="I made my first order for Blue Buffalo wet food for 2 cases because the price was great. The food cost had suddenly skyrocketed on Amazon and chewy. Shipping was fast and exactly right. Food had extended expiration dates. So I immediately repeated my orde"/>
        <s v="My canned dog came dented. One can was so dented that it opened and was so spoiled from being out on delivery that my whole kitchen smelled and I had to throw away about 3 or 4 of the cans. It was so incredibly disgusting."/>
        <s v="They did not fulfill any of my orders, few reliable"/>
        <s v="Quick shipping, great selection of dog foods."/>
        <s v="Best price on dog food and super fast shipping—love pet flow!!!"/>
        <s v="Always easy to work with , the best customer service !!"/>
        <s v="Easy ordering, they kept me updated about my order. Order was shipped and delivered quickly. Great service."/>
        <s v="Great,prompt service. Great product. Linda Ryburn"/>
        <s v="I have ordered twice now and the cat food was delivered quickly and best of all, with no damage to any cans. I'm very pleased."/>
        <s v="I love PetFlow. There is great healthy pet food on this site.&#10;My pets look forward to their healthy food and snacks!"/>
        <s v="My order was shipped on August 4, it is now August 13, and it has not shown up. I would love to cancel because I had to drive 100 miles to the nearest pet food supplier to buy food. No clue where the shipment is."/>
        <s v="Very good product and fast shipping. My dogs are happy!"/>
        <s v="I don’t think I will take a risk ordering from this place ever again. I placed an order on Saturday for a prescription food for my cat. I provided the required information to verify my cat’s prescription. I checked the status on the following Tuesday and "/>
        <s v="Unfortunately, I ordered 30+ bowls for our rescue. It showed them as in stock and I'd searched everywhere. I paid for it and received confirmation of the order. Then after a few days, I received a email that there were no bowls available, they were out of"/>
        <s v="Best Dog Food Subscription service! I use two different brands for my dogs. One is a prescription food. PetFlow has the best prices and always provides excellent Customer Service when I call. My orders always arrive right on time! I highly recommend PetFl"/>
        <s v="Horrible experience! Do not buy from Petflow! They advertise that they have product in stock and allow you to order it, fill out entire order, credit card info and everything online and tell you we will let you know when it ships. Then a week later says o"/>
        <s v="My order showed food was in stock. Email stated pending. Continued to say pending for a few days. Called and was told it would be sent asap. A couple days after that was told it was out of stick and credited. Ordered through you because your site said it "/>
        <s v="Fast, reliable shipping. High quality products for great, competitive prices. Thank you Pet Flow."/>
        <s v="It was a very pleasant shopping experience. I bought mixed vegetable food for my dogs. They liked it very much, but there were too few kinds of petflow products, which were the fly in the ointment. But it doesn't matter. I think they will improve and I wi"/>
        <s v="Fast shipping, thanks."/>
        <s v="On the website, it is too easy to set up multiple auto ships. Would be nice if there was a confirmation box… “you already have this item part of an auto ship, are you sure you want to add another”. Would be nice if people could delete an auto-ship order w"/>
        <s v="Placed order. Got email that one item was out of stock and was cancelled. When order came another item was not shipped but I never received another cancel notice for that one."/>
        <s v="I ordered food and was told I needed my vet to prescribe it. After some back and forth with the vet that happened. Then Petflow informed me that they didn't have the food in stock and instead of backordering it, cancelled my order. A lot of wasted time fo"/>
        <s v="Fabulous, great, fantastic, worth it, affordable"/>
        <s v="I originally spoke with a very helpful employee who helped me place my order. I received an email verifying the order. I then received another email stating the order was Vet approved and would ship Aug. 8,2022. I looked up my order to check status and sa"/>
        <s v="I requested my auto ship arrive early and it was shipped on 8/1/22. At that time I requested the next auto ship arrive in I believe it was 9 or 12 weeks. However, it appears that another 30# bag of food was shipped today. I certainly do not need 60# of dr"/>
        <s v="Prices were good and all items arrived in a timely manner. Website is easy to use."/>
        <s v="You don't deliver parcels.&#10;Very Disappointed"/>
        <s v="I ordered cat food on July 29th (12 days ago). It still has not arrived. I live in Oregon. Early in this misadventure I received a message that it was being shipped from a more distant place (NJ) because the closer warehouse was out of the brand I chose. "/>
        <s v="You guys suck. I couldn't even place an order because of ur fraud dept"/>
        <s v="I had hoped that Petflow would be a reliable source to order my cats' food, especially the prescription food that is critically important. Unfortunately, Petflow has failed me multiple times, canceling my order FIVE DAYS AFTER I PLACED IT.&#10;&#10;Sometimes the "/>
        <s v="the shipper had damaged the box of dog food and returned it to PetFlow. I received a nice e-mail saying they were shipping a replacement out right away."/>
        <s v="I use PetFlow because they're priced right, prompt and have what the cats on prescription need."/>
        <s v="Good price, fast shipping. Thanks."/>
        <s v="I’ve recently moved and I was struggling to find my cats food and I found it on this website but sadly I was put on their fraud list right away. I called customer service and they told me there’s no way for me to talk to the fraud department to get my nam"/>
        <s v="Very helpful service over the phone. Received just what I ordered fast!"/>
        <s v="Never heard from you guys. Said my order was reported as fraudulent ???&#10;Seriously???? You never even got back to me. I think your company is super sketch! Would never ever order from you again.&#10;Byeeeeeeee…….,,"/>
        <s v="Great prices and fast shipping."/>
        <s v="Order online was easy&#10;Check out offered pay pal and was easy to check out&#10;Shipping is quick&#10;Pricing was great&#10;Customer service is fantastic"/>
        <s v="Terrible customer service and company to work with. Site days 1-3 business days delivered from purchase date. Didn’t even ship the product until a week after the order and kept making excuses as to why it wasn’t being shipped. Product was dog food for my "/>
        <s v="this is a place where they have fair prices fast delivery would buy from again a+++++++++++++++++++++++++++"/>
        <s v="I asked to be shipped on a Monday.&#10;My order wasn’t shipped until Tuesday.&#10;The expiration date on the dog treats I this November.&#10;When I purchase them from Chewy or Amazon, the expiration date is always at least one year out."/>
        <s v="I am happy with petflow. There are some inconsistencies with their warehouse Packaging. I placed an extra order and they shipped out boxes weighing 70 lb. I don't know how FedEx moved them I certainly couldn't. I believe they need a little more training a"/>
        <s v="I called Customer Service to discuss the possibility of your obtaining more Fromm cat food in small bag sizes. Great conversation."/>
        <s v="All past orders have been good, and if there were any issues in the past the staff handled it appropriately and quick. However, this past problem was a slap in the face and took much needed funds away from my rescues. PetFlow did not take responsibility f"/>
        <s v="Where is the rest of my order?&#10;&#10;Your website shows the Hills Prescription Metabolic and Mobility 12.5 bag as being in stock, yet it has not been shipped to me. I do not know whether I have been charged for it.&#10;&#10;Please respond to me.&#10;Carol Ann (no &quot;e &quot;) Ol"/>
        <s v="First time order on a pet food I couldn't find anywhere else. Placed order and received order in 5 business days which included the time the pharmacy contacted my vet. Was a mailed and updated as to when my order would be delivered. Will order again"/>
        <s v="Very bothersome! You don’t instantly charge my card! Sometimes it’s a day or two later! I turn my credit card on and off as I’ve had so much fraud! It takes me many attempts each month to get my order. Other companies I do regular&#10;Busy with do the transac"/>
        <s v="PetFlow is amazing. Best brands, fast delivery and fair prices."/>
        <s v="I have been happy with Petflow. I’ve been able to get the cases of food that my cats like that I was unable to find elsewhere. The website is easy to use and the price is as expected."/>
        <s v="Ordering was easy enough, shipping was the problem. Petflow uses FedEx, an unreliable company. The order was split without Petflow or me being aware. The second portion arrived 3 days later. This is unacceptable. No packing slip was available on either sh"/>
        <s v="I placed a large order for kitten food. Credit card processed. When I looked to find out shipping date a few days later, it had been cancelled, no notice to me, no email, nothing! I called and they said when a large order is placed they suspect fraud. Tot"/>
        <s v="There's no status available to see whether or not my vet has been contacted. Canceling the autoship is deceiving, I can only pause it up to 17 weeks. Everything about this website is difficult."/>
        <s v="Prices were fair and shipment came in a reasonable time"/>
        <s v="Good products at good prices and fast delivery!! I'll be using pet flow again!"/>
        <s v="The ease of ordering was great, &amp; the shipping was fast"/>
        <s v="Petflow carries food that others don't that I want. The prices are fair and shipping is good. I buy Formm and Nurti Source. The treats and toys are great."/>
        <s v="Ordered 4 cases canned dog food, Eleven cans of food severely damaged, 5 cans actually were broke open.&#10;Excellent place to shop but not so good packing"/>
        <s v="This is in reference to my order: 10303683. I ordered 8 packages of these dog treats that your system said were in stock and confirmed the order via email. Then I receive a subsequent email advising they were out of stock. Not a good experience and no way"/>
        <s v="Customer service wouldnt help located an order i placed approximately 10 days ago. She referred me to the website disclosures. We i told her how to do her job, she became upset. Customer service rep said we all have pets as though it wasn’t a big deal my "/>
        <s v="It was so easy to find what I need for my kitties, it was easy to order and it was at a great price. And the delivery was very fast. PetFlow is the best!!!!"/>
        <s v="ecxellent. always helpful"/>
        <s v="My pups really like the Dr. Marty freez dried food.&#10;And I like being able to get better pricing from PetFlow."/>
        <s v="I ordered 8 boxes of Arm and Hammer litter I received 2 yesterday. The packing box was not strong enough plus tape was not holding the box had holes plus one of the two boxes had broken open and litter all over the boxes inside. I should have 6 boxes to c"/>
        <s v="Easy to navigate around the site. Delivery was quick and my items were packaged nicely!"/>
        <s v="The food I needed was in stock when I purchased it. When I didn’t get an email that it had shipped I looked at my account online. The account said it was delivered to my address. It was not at my house, so I called Pet Flow and was told that my order had "/>
        <s v="I recently ordered Hills Science Diet Feline W/D. Your website indicated that it was in stock. However, after several days of waiting for shipping info to come through, I called to check on the order. I was told that it was out of stock. Then a few days l"/>
        <s v="Great products, fair prices, fast service"/>
        <s v="Easy to,order, and fast to deliver."/>
        <s v="Shipping was quick. However a food product needed to be exchanged due to manufacturer changed formula and didn't want old formula sold. Customer service was unbelievably rude and lacking concern completely. I won't spend another dollar with them again. An"/>
        <s v="Started our automatic delivery program. It worked flawlessly! I was able to correct a mistake in my order without any problem."/>
        <s v="The initial order went great. When it came time to reorder our cats diabetic food it was out of stock. We waited hoping it would return by the time we needed it, but we were sent scrambling to find another source."/>
        <s v="Reliable repeat order program at reasonable prices."/>
        <s v="Petfow is consistently good overall. Timely shipping and mostly reasonable in costs. Any issues I've had were always addressed to satisfaction."/>
        <s v="Great prices, always in stock and fast delivery. Excellent customer service."/>
        <s v="I have shopped Petflow for years but lately they are having difficulties filling and shipping orders. I order when I am about 2 weeks out from having either dog or cat food. They can't ship in a timely manner.I have cancelled my last 2 orders due to shipp"/>
        <s v="Unfortunately. the delivery was promised for a specific, acceptable date, then changed by Petflows carrier to the next day, and, to make your service unusable, delayed yet another day.&#10;Learn to honor your commitments if you want my ongoing business. Expec"/>
        <s v="While there were a couple of mishaps in my order, PetFlow went out of its way to make sure everything was made right. In fact, they went above and beyond! I've been recommending them to my friends and family with confidence, have ordered and will definite"/>
        <s v="Great company. Very fast shipping. Prices are competitive."/>
        <s v="PetFlow has the best price on the dog food I purchase for my dog. Ordering is simple and delivery is fast."/>
        <s v="Excellent product selection and pricing. We are so happy that there is a wide variety of pet products. Customer service is above par!"/>
        <s v="The package arrived on time and everything inside was good."/>
        <s v="Ordered Hills W/D wet cat food... Website said in stock. I get a confirmation email and am asked to be patient as they contact my veterinarian for approval. About a week later I get an email saying the food is now out of stock. Veterinarian was prompt in "/>
        <s v="Nobody, including my vet, could get this particular Rx product. It was out of stock everywhere. So I was thrilled to see PF's website say it was in stock. I did the order, arranged the Rx, and my vet responded to fax the next day. I assumed it was all set"/>
        <s v="Products arrive on time and are very well packaged."/>
        <s v="My cat only wants a certain brand of talapia for breakfast each morning and since the supply chain issues, we haven’t been able to find it from our usual source. It’s a popular grain free brand and they haven’t been able to keep this brand in stock in any"/>
        <s v="I wish I could give a five star because I love the availability for delivery. It did take a little long to receive the order, but I didn’t like the packaging. When I opened the box, I cut the bag of dog food, even thought I opened it carefully just in cas"/>
        <s v="Cats like food that was ordered. Yet again, the box was partially open when delivered. Some cans dented. What goes?"/>
        <s v="Easy to use website, products desired always in stock so far."/>
        <s v="When I ordered WD canned cat food I know it has to be approved by my vet and that it takes a little longer because it is prescription. It was in stock when I ordered it and I thought with my request once it was approved, I would get a case, believing a ca"/>
        <s v="Was out of the dogfood that I wanted but I guess that was not their fault. They cancelled the order automatically instead of giving me the option for back order or to cancel it myself."/>
        <s v="Petflow is fast and accurate at shipping out my order, but the packing leaves something to be desired. I order two cases of canned dog food with each order and the box usually shows up damaged and/or repaired, but the cans are OK. This time three of the 2"/>
        <s v="Everything was great…&#10;&#10;Everything was great until the shipping. I don't know what happened but it took too long this time and I had to go locally and buy the same things that almost cost me double. I cant have my cat who has kidney issues eat anything els"/>
        <s v="Petflow always processes orders quickly and accurately. Shipment is excellent."/>
        <s v="Extremely poor packaging with using cheap boxes and very little tape that results in receiving damaged products. Even Walmart and Amazon use better boxes and more tape for sealing."/>
        <s v="I ordered something out of stock, so it was the case. They said they would let me know when it came back in. The customer service was very fine."/>
        <s v="The &quot;profit racks&quot; is something like speed bumps to hold me back from completing my purchase. I don't like it."/>
        <s v="Always have available merchandise. The staff is very helpful and friendly."/>
        <s v="PetFlow has always been great and prompt. Customer service always friendly. The only thing I wish for one day is for Fromm products (dog) to go on sale once in a while : )"/>
        <s v="you helped us by getting the dr marty had huge problems we received from you you spent hours trying to get this for our pup it came so fast our dog really to get this we found you by google we now will be getting this from you nice job cindy"/>
        <s v="I recently had a very helpful and pleasant experience with PetFlow. They had left out one item by mistake in my order, and also replaced a bag of dog food that came with a small hole in it, no questions asked, they just said they would replace it. No hass"/>
        <s v="Always easy &amp; convenient to order our dogs’ food online."/>
        <s v="Competitive prices and fast delivery, I would order from them again !"/>
        <s v="I appreciated the email stating the dog food I ordered would be a few days late! I’m glad they sell Fromms! It’s the only dog food my dogs have been used to!"/>
        <s v="Great to deal with. Easy ordering and fast delivery. Thanks, Petflow."/>
        <s v="Really one star is too high of a rating. I tried to order Hills Science Prescription Diet w/d wet food for my cat and saw where PetFlow had it available. PetFlow verified with my vet that my cat was supposed to have the food and then I got a notice that P"/>
        <s v="I ordered a prescription canned food for my cat. You emailed me asking me to contact my vet because you didn’t have approval for the food. My vet approved, then you canceled my order because you didn’t even have the product available! What a joke of a pro"/>
        <s v="Your website specifically said you had my prescription cat food in stock. So I ordered it - twice. Only after you took all my personal info and told me you were getting ready to ship my order did you inform me the food was out of stock. I lost a week of f"/>
        <s v="PetFlow is wonderful and always comes to my rescue, when other places cannot. They contact the veterinarian promptly to verify my cat’s prescription, and the food is delivered in record time. I’m completely satisfied with PetFlow!"/>
        <s v="I just started using PetFlow for my dog's first prescription food as I found the prices better than competition. They even reached out to our vet to get the prescription and in just a few days, I had the food on my porch! Easy peasy."/>
        <s v="Shipment arrived right on time. Thank you!"/>
        <s v="very slow delivery.&#10;no delivery status report.&#10;MUCH slower than Chewy"/>
        <s v="First order went overall well. Need more discounts."/>
        <s v="Awesome customer service! Carolina is professional and always provides fantastic customer service! Resolved my problem with a smile! Thanks!"/>
        <s v="cats don't like and they don't take returns. What do I do with such expensive food? Took over a week to get when Chewy does 1-3 day shipping at most."/>
        <s v="Placed an order and it was at my door in a couple of days."/>
        <s v="I'm disappointed with autoship. Items can't be added if they're in stock. When in stock and added, they aren't shipped if out of stock, that is they're not reserved when the order is placed. Why use autoship? I've started ordering and buying directly, and"/>
        <s v="Placed my order on July 12th &amp; I’m still waiting for my shipment. I’ve had to buy food locally due to get him by. I texted &amp; emailed my concerns &amp; was told it’s been approved &amp; would be shipping in a few days. As of today, July 24th, still no shipping not"/>
        <s v="Had an issue with a previous order. Petflow issued a credit for that order so I ordered again and this time everything was great. I appreciate a company that makes things right. I will be ordering from them again!!"/>
        <s v="I would say the customer service rep has had the issue I called about many times so she certainly understood the frustration. I think Petflow as a company leaves a lot to be desired regarding how they handle things. The 3 stars is for the young lady whom "/>
        <s v="Petflow delivers to my DOOR and not to the post office, and the order is accurate and secure! I love them."/>
        <s v="I have dealt with pet flow for over a year now . Prices very reasonable customer service great. Very quick delivery . Have recommended them to others. Will continue to use them in the future"/>
        <s v="I still have not received my order or a ship date. I ordered two weeks ago and the item was in stock. I am out of food and disappointed."/>
        <s v="Worst pet online company. Unreliable delivery service. Overall horrible pet online company. Do not use this company for your furry babies. I am a very dissatisfied customer."/>
        <s v="Customer service was good. Disappointed that I was able to add an item to my cart, check out, and process an order only to find out a week later it was not available to order."/>
        <s v="Always ship fast, worked hard to get my prescription food. Customer service is very responsive."/>
        <s v="I was very happy to find Petflow since they have some products I no longer can get on Chewy. Their ordering was smooth, prices fair and I have used them twice now. And I will again!"/>
        <s v="Ordered hard to get dog food - Arrived on time as ordered."/>
        <s v="Very pleased with your service. Especially the people that answered the phone. I wait only a minute to speak to someone. They are very pleasant and professional. Thank you"/>
        <s v="It to long to get then I only got 1/2 order then you tell me I can’t get the can food,I differently won’t buy from you again."/>
        <s v="Still has not yet shipped despite a 1-2 day wait on the website. I’ve contacted support via text and despite this, my dog’s food has not shipped."/>
        <s v="Customer service very helpful. Quick response to text message."/>
        <s v="I would like thank Pet Flow and especially the young lady I spoke to when I called in about my order. I have always been very happy with your service, especially now. Service and customer satisfaction have always been extraordinary."/>
        <s v="They sent me a duplicate order and told me I could return it if I pay the shipping. Not good business practice. Lost this customer of a shipping charge that was their fault."/>
        <s v="I ordered a product you listed as in stock&#10;Gave info for Vet Clinic&#10;Order was marked shipped in account but no tracking supplied&#10;after a few days i looked on line and account said script denied by Clinic&#10;Then I received an email saying out of stock and or"/>
        <s v="Finding birdfood in 25 lbs is very hard the order went great and was delivered fast very happy"/>
        <s v="My orders were canceled and I didn't get any email letting me know. I had to contact customer service and they told me they were canceled"/>
        <s v="Good experience and they had what I wanted and quick delivery. I’ll use you again!"/>
        <s v="I think the communication around delivery was good, and the prices were good! But, the separate package I was sent of wet food (to fulfill the order) had dents along the side, which I am reluctant to give to any of the cats we care for. So, in that regard"/>
        <s v="Only picked your website because of the promised 10% off first order and it wasnt valid for my products."/>
        <s v="Exceptional communication &amp; Deliver right on time"/>
        <s v="I ordered specific food. Was told two to three times, just hadnt been packed and shipped. Vet provided prescription. Last minute told didnt have in inventory. They repeatedly were dishonest! Caveat Emptor!"/>
        <s v="My order was canceled by you guys because you didn't have the product."/>
        <s v="Appreciative of recent discount offered when purchasing greater than $200 worth of products. I feed approximately 35 cats, so I buy in larger quantities when on sale. Canned food continues to arrive dented and one can popped open on last delivery, but I'v"/>
        <s v="I am very satisfied with petflow. Service is great. Delivery is fast"/>
        <s v="So happy I found this website . They have all my Frenchie’s products . Will order again soon!"/>
        <s v="I know it's a specialty food, but I think for the amount of food delivered for the price is still too high"/>
        <s v="Order was processed very quickly and website is very easy to navigate"/>
        <s v="Excellent service, they keep me informed on my orders. If there is a problem they inform me in advance! Good job!"/>
        <s v="This was my first order with PetFlow. I ordered a bag of puppy food and Fed Ex was to deliver. I received a notice stating that it was delivered and I checked and it was not there.&#10;PetFlow and FedEx were both excellent in finding the dog food.&#10;Great Custo"/>
        <s v="Easy to use website. Ordering &amp; delivery were quick and easy."/>
        <s v="My cat has a very sensitive system and no one had her food except PetFlow. You got it here quickly and it was correct. Thank you!"/>
        <s v="Long time returning customer- love this company"/>
        <s v="Great prices! Fast shipping!"/>
        <s v="Fast delivery and better prices than petsmart or petco. Purchased 200 lbs of dry blue buffalo."/>
        <s v="First I couldn’t remember the name of the dog food. Replied to one of their ads asking about it. Immediately they replied that they’d find it. Sent me the link and bingo! Ordered it and it came in about 3 days! It’s the one food Dog can eat without scratc"/>
        <s v="Excellent selection of dog food and treats. Good prices."/>
        <s v="Readily replaced an item damaged in shipping, very helpful customer service"/>
        <s v="Had the quality brands need at best price"/>
        <s v="Lately I have a few problems with the items ordered...&#10;Some chews looked really bad and I ordered some bird items that were damaged...&#10;However, customer service were very helpful and sent corrected items....&#10;These things happen in shipment...."/>
        <s v="Your site was the only one that had the prescription diet my cat needed. Also, when I went online to look for another option, there was no way I could look at the ingredient list. I called someone using the number you listed. She, also, was unable to get "/>
        <s v="We have 2 German Shepard’s who decided to become really picky.. after ordering this food, they eat it right up! They love it. I have noticed even after just a couple weeks it has also calmed down Scooby’s scratching some (we haven’t been able to pinpoint "/>
        <s v="I have been using PetFlow for over 10 years. Their prices are great, and shipping is always super fast."/>
        <s v="Trustworthy company! Pet food shipped quickly. Just as good as competitors. I can always rely on them!"/>
        <s v="Took 8 days for delivery!? Ran out of dog food in the interim. Several emails and a phone contact to customer service, nobody could tell me where my order was. I received several messages, none of which could tell me a correct delivery date. Frustrating!"/>
        <s v="Delivery is fast my cats love hills cat food great job Hills"/>
        <s v="Good price on dog food order. Tracking provided and fast shipping."/>
        <s v="Quick customer service, a variety of dog foods to choose from."/>
        <s v="I called to change an order for a later date and told her to make sure she keeps the newest date, well she cancelled both orders. When I called back to find out why, the girl was very rude because I was upset and said the earlier call she didn’t know what"/>
        <s v="Ordered with a coupon! Perfect delivery."/>
        <s v="Only received half of our order, and cannot get the auto ship part to work correctly. also a very hard to navigate and unclear website. Not user friendly!"/>
        <s v="My food order was “lost in transit” and after waiting for 5 days and having to contact the company they “made it up to me” by simply sending me a new order. While shipping issues may not be the vendor’s fault, communication and customer satisfaction shoul"/>
        <s v="Placed my first order. Everything arrived in wonderful condition and was priced at great prices."/>
        <s v="So great and will help if there is a problem with order. Al ways on time."/>
        <s v="A few things went wrong. Items shipped from two warehouses which is okay, but took an extra few days for shipping. Didn't ship immediately. The first shipment they shorted me a bag of food. So since the chat feature wasn't working, e-mail stated they are "/>
        <s v="Good, fast delivery, and cat food was in good shape when it got here. Best price I could find on it too. I will definitely use PetFlow again."/>
        <s v="Will order again! 5 stars!"/>
        <s v="Fast delivery! Available products!&#10;I was able to find a certain dog food that was not available on another pet food website.&#10;Thanks PetFlow"/>
        <s v="It was great! I will always order my food from here."/>
        <s v="Have been using PerFlow for several years, with 2 standard Poodles was nice to have a 40lb bag of food delivered every month before they ran out plus always good prices on treats, dog toothpaste, bird food, etc. My dog gets excited to find out what’s in t"/>
        <s v="Product is a little light for 100 pound dog. Shipping was quick arrived early and in good shape."/>
        <s v="PetFlow has always been easy to use and a good source of our pets food. I just wish the shipping time was a little faster."/>
        <s v="I had found some bones at a grocery store that my dogs loved. I hadn't seen them anywhere else. So I saved a wrapper and checked online. Sure enough Petflow had them. I literally ordered as box full! The price was way better than the store and I got them "/>
        <s v="Very unhappy with lack of service or effort to fill script for Hills diet food for kidney issues! We provided the vet's prescription along with the vet's email which the vet said he'd approve the script if PetFlow would just email him for approval, after "/>
        <s v="I am so glad that I found PetFlow. I can get my cats their Farmina dry food at a great price with fast service."/>
        <s v="PetFlow website is very easy to navigate. Able to place my order quickly and receive product in a short time."/>
        <s v="They sent me an email of monthly coupon codes. I used one for $25 off. There were no exclusions listed, &amp; it worked in my cart until AFTER I submitted my order, when they removed my coupon &amp; my credit card was charged for $25 more than the total shown whe"/>
        <s v="I have three auto ships over the past three months that were all canceled and I was not notified that they were canceled I’d call up to find out a week later where they were and they said oh we ran out so I order for the third time and I put the order in "/>
        <s v="Every order I place gets cancelled due to not in stock"/>
        <s v="Ordered prescription cat food, site accepted order and said available. They followed up via email to get vet prescription. Three days later email me food Is out of stock and they were cancelling order."/>
        <s v="Pet flow is the worst place to get your pets food. I decided to go with then since not everyone has that perticular brand. Since im on auto ship program it should be shipped every 3 weeks and first time i didnt get it ive been told there was double order."/>
        <s v="The folks at PetFlow are v nice; they responded to my query quite promptly and gave me a credit because my order was delayed in shipping.&#10;The not-so-good part: I didn't find out unril after I'd placed my order that it would be shipped the following week, "/>
        <s v="Easy order process and set up of automatic delivery. Good price."/>
        <s v="Delivery on Schedule very happy with"/>
        <s v="You had our dog food listed as in stock so we ordered two bags. After quite a bit of time you alerted us that it wasn't in stock. That put us a week plus behind and we ran out of food. This is a special diet food for our dog and not easily found. Very bad"/>
        <s v="I'm happy with the product that I order, however, the lack of 'date of delivery' makes it hard for a customer to be able to receive it, or plan to schedule to be home. I've gotten email notices saying 'your shipment will be there tomorrow', with no actual"/>
        <s v="This is the third time I have ordered this cat food, and the order was submitted and accepted, leading me to believe I would be receiving the product. Three or four days later, I receive an email that it is out of stock!! Don't keep sending me emails to o"/>
        <s v="I have been having a hard time finding some pet food faves for the dog and stumbled upon your site and you had those hard to find faves for him yay!"/>
        <s v="I ordered my dogs brand of dry food. Fast and easy to order web site, they carry my dogs brand Fromm which not many physical stores do. Fast shipping too."/>
        <s v="Your company led me on to beleive the food I ordered was in process of delivery. You cancelled the order when I was down to one can at home. Then I had to struggle to find food for my cat, with no advice from you. I will not ever order from you again."/>
        <s v="I have ordered before and my order was the same, rx cat food, even in the middle of covid, first time customer and it was fast! This time..6 days after ordering it still didn't ship, I asked for it to be cancelled, and was told they weren't sure if it cou"/>
        <s v="Process was seamless as far as ordering and receiving my order in a timely manner. Had no issues and would highly recommend Petflow to anyone looking for good service and product selection."/>
        <s v="It would be nice to be able to edit your autoship if the item is backorder online. I have had the item on backorder twice and the last was canceled. I do not like having to make a phone call when it should be easy to make the changes online. This goes for"/>
        <s v="Originally my order was to ship on July 5th. Then an email said the shipment would be late and would arrive today. It currently is 8pm and I do not have my order!"/>
        <s v="Petflow had all the items I needed, delivered them promptly, and quickly responded to questions/concerns I had."/>
        <s v="Fast shipping with sturdy packaging. Good price. User friendly website. Thanks so much."/>
        <s v="Ordered wet dog food, came quick and what I ordered!"/>
        <s v="Easy online ordering and prompt delivery."/>
        <s v="I order my cat food and it arrived quickly. Cannot ask for anything better.&#10;&#10;Oscr"/>
        <s v="We needed a certain Vet Approved Cat Food. PetFlow faxed my Vet for authorization and returned the approval. PetFlow went to work on filling the order. Unfortunately, it was over the 4th of July Holiday &amp; ran into delivery problems, but PetFlow followed u"/>
        <s v="I suppose I purchased something, though I don't recall."/>
        <s v="I love that this site carries Fromm Gold brand and fast delivery"/>
        <s v="The box arrived half open and crushed and ripped open on one corner, but the 2 bags of prescription dog food were still fine inside. I informed PetFlow and they promptly replied and said they would initiate a complaint with the shipping company. As long a"/>
        <s v="I got what I ordered but it took ten days and a lot of the cans were dented and banged up. These days I guess I should be glad that I got my order at all."/>
        <s v="I had never heard of this company, but decided to use them for their prices. I was amazed at how effectively they communicated, how quickly the products arrived, and the price was better than their competitors. I will shop them again for sure!"/>
        <s v="The price was very good, but the delivery was sloppy and careless. I came home to find the boxes laying on my lower stair step and on the walkway leading to the stairs. They could've easily been stolen as they were so close to the public sidewalk. When I "/>
        <s v="Great price, but out of stock! Why take the order in the first place? WASTE OF TIME AND EFFORT. Never coming back!"/>
        <s v="I was very disappointed!!! I ordered a case of Hill's Prescription Diet c/d Canine Urinary Care Chicken &amp; Vegetable Stew Canned Dog Food and all of sudden it was cancelled!"/>
        <s v="They had my cat's prescription diet in stock when I couldn't find it anyplace else! My order was delivered more quickly than anticipated. I'll use them again."/>
        <s v="The food was in stock when I ordered. It took so long for your people to get the prescription from the vet. Someone even called me thinking they was calling the vets office. It was out of stock so I never got my order it was canceled. If I could have gave"/>
        <s v="Package wasn't taped very securely. Many of the cans were dinged or dented and worst of all was the Godzilla sized cockroach I had to kill when I opened the package. Will not be using you again."/>
        <s v="My order arrived on the scheduled date and was complete."/>
        <s v="I've shopped at PetFlow for years. I've always been impressed with the quality of goods, the low prices, and the fast shipping. Will do business again!"/>
        <s v="It was very disappointing to have my order canceled after the item I purchased was out of stock. When I ordered the item it was shown as being in stock. A more accurate representation of this would be appreciated considering this is online retail."/>
        <s v="Shopping was easy. Website easy to navigate. Prices were good."/>
        <s v="I received my shipment of 2 bags of dry dog food and found the box they were shipped in crawling with ants! One of the bags had a small tear in it, which caused the ants. I called customer service at PetFlow and they immediately sent me a new bag to repla"/>
        <s v="Never received what I ordered, even though I was charged for it."/>
        <s v="I am very happy with the services I receive from Pet Flo.&#10;I do on occasion have difficulty with using the web site. It will keep saying my password is in correct."/>
        <s v="I ordered puppy food and was given tracking in less than 2 days! Shipment was fast and efficient"/>
        <s v="Had what I needed! Fast shipping!"/>
        <s v="I was impressed by how fast I got that items I ordered and that they were available for auto ship! Now my three babies will never have to be without their chews 🐾🐾🐾"/>
        <s v="I have a late shipment of cat litter twice now. I know shipping and supplies are messed up in our country so I understand. What I don't understand is why you system doesn't alert you that the product is not in stock so you can let me know before my delive"/>
        <s v="Great price and good product. My cat and I are happy. Thank you."/>
        <s v="I order on a regular basis. I receive my order within a couple of days of placing it. Never disappointed!"/>
        <s v="PetFlow had the prescription dog food that two of my vets could not get. Shipping was quick and the price competitive."/>
        <s v="I was looking for the cheapest price on our puppy food. I came across Petflow and was excited you carried both brands of food for our Gigi girl and new pup Miles and they both can be delivered right to our front door!! I immediately enrolled in your autos"/>
        <s v="Prices are great and shipping is fast and on time. My only criticism is the packing for shipping. Cans are arriving dented and boxes are often partially opened from not being taped properly. Overall very happy and will still keep shopping :)"/>
        <s v="Received food promptly, well packaged and in good condition."/>
        <s v="Petflow has the cat food that I prefer. Many other vendors do not carry it."/>
        <s v="I found what I needed at cheaper prices and the customer service was superior. Petflow has a new customer and I HIGHLY recommend"/>
        <s v="PetFlow is always on point with my order. Never had a bad experience with them."/>
        <s v="I had the perfect PetFlow experience!!! It took 5 days to get to me because of delays in Middletown!! Which was not there fault. Will be buying more dog food from them!!"/>
        <s v="I received my order but shorrt 3 little clay boxes and some of them with the box open already"/>
        <s v="Love the selection and convenience of the auto ship, recently added prescription food for one of our dogs and that was just as easy as everything else. Highly recommend!"/>
        <s v="Unable to ship a pet food product after leaving me on hold for a week. What else can I say ?"/>
        <s v="PetFlow consistently meets and exceeds my expectations. Phone operators are extremely pleasant and helpful and get things done. Recently there was a sales tax exemption for pet food, and the staff gave me a credit for the state tax that was going to be ap"/>
        <s v="I was very pleased buying from Petflow. Honestly, I wasn't familiar with them and they were the only ones with inventory of the dog food I was looking for. The order process was clean and efficient. They contacted my vet (was prescription food). Notices w"/>
        <s v="Reputable company. Good prices and selection"/>
        <s v="I have consistently had double filled orders, delayed orders without notification, shipped orders without advance notification, orders that started auto-shipping that weren’t supposed to…the past 9 months has been a disaster. This convenient service has b"/>
        <s v="Fast an easy, The prices were great"/>
        <s v="I was looking for Avoderm canned dog food as my previous supplied has been out for a very long time. You have the food and the price is good. I ordered it and got it in a few days . No problem with delivery. My two dogs are very happy to be back on the fo"/>
        <s v="Product was perfect, shipping was super fast and customer service was polite, helpful and efficient. If I need other pet products this will be the first place I check. Thank you PetFlow"/>
        <s v="Fast. Easy. Going price"/>
        <s v="As always, my order arrived as scheduled, with updates enroute, and was well packaged. Consistently good service."/>
        <s v="I had a question about mixing different proteins using the Stella &amp; Chewy freeze dried food and got a response much faster than I had anticipated! I was able to complete my purchase without having to wait until the next day. The food arrived quickly and m"/>
        <s v="Great product selection and order expediently processed and shipped."/>
        <s v="I am not sure about your products coz this was my very first order &amp; i was waiting for my order longtime and when i logged in and checked- status showed cancelled..&#10;When u send order confirmation email why you cant send the cancellation email?"/>
        <s v="PETFLOW is a great company and is one of the few who sell Nutrisource dog food that was recommended by our breeder for our pure bred shih tzu at a reasonable price . She has been on this food since she was weaned and is 1 year old now and very healthy. Sh"/>
        <s v="Trustworthy company! I recommend them!"/>
        <s v="I am a loyal PetFlow customer for 5+ years. I am so happy to use their website. I regularly order food and toys for my dog. I place an order online and immediately receive confirmation. Then amazingly, I get the order within 2 days. PetFlow carries anythi"/>
        <s v="Sent quickly. Great experiences so far.thank you.&#10;Judith"/>
        <s v="Recommend this vendor. The items I wanted were in stock, I had a coupon (yeah!) and the checkout was two clicks since I was already registered and my information was stored. I received the ahipping information within hours and the 5 cases of dog food arri"/>
        <s v="Had the cat food I needed just before I was about to run out and received quickly."/>
        <s v="Always helpful. Courteous on time delivery"/>
        <s v="Delivery was fast in spite of coming all the way across the country. :) I cannot find the bowls I received in this order with food anywhere else. I only see bigger sizes elsewhere. Since my girls are small, I prefer the smaller bowls by OurPets. The bowls"/>
        <s v="Have plenty of choices, the shipping speeds are all time high and prices are reasonable for the items that are being sold at the website. Would buy again for my beloved pet."/>
        <s v="Excellent customer service solving an issue with my order."/>
        <s v="Everything was great! It was definitely time for new dry dog food. I only wish I could buy a smaller size. Everything else is perfect!"/>
        <s v="Satisfied with NutriSource dry dog food but pricey."/>
        <s v="Good service I like how they keep you informed about your order ."/>
        <s v="PetFlow sells the dog food and treats we prefer at a competitive price, and the free shipping is so fast! We live in a rural area where many items aren’t available, and we really appreciate being able to shop with them."/>
        <s v="Fast shipping. Great products."/>
        <s v="Fast, efficient, quality product that arrives when expected for a reasonable price"/>
        <s v="I love that I can call and they have my account pulled up and bam... ordered! Excellent customer service!!!"/>
        <s v="Quick shipment, kept me informed, good price and will buy from them again."/>
        <s v="I ordered Kong squeak balls(M). My dog loves them and also loses them so now we have some extras. The price was much better than on Amazon!"/>
        <s v="First time using PetFlow I received the order nicely packed and delivered on time. Priced at a good value."/>
        <s v="I just changed Vets so if I am still able to buy my special cat food I will return to ordering it from Petflow as they are outstanding!"/>
        <s v="Very easy to order! I needed prescription treats &amp; they contacted &amp; got approval from my vet &amp; had my order in just a few days! They were also cheaper than other pet mail order companies."/>
        <s v="User friendly website, good prices and fast shipping."/>
        <s v="Easy website to navigate...quick response and delivery...very satisfied"/>
        <s v="My kitty was diagnosed with kidney disease.&#10;Petflow helped me get set up on recurring food for his new diet. I did have to reach out and communicate with them regarding the RX and I was impressed with the timely response and care they took to help me.&#10;Tha"/>
        <s v="They had what I was looking for and the delivery was very fast."/>
        <s v="NutriSource Small &amp; Medium Breed Puppy Chicken &amp; Rice Dry Dog Food 30-lb. I just got 2 Cairn Terriers, the breeder said, this was the best puppy food. &quot;Pet Flow,&quot; made it so easy to place my order and the price was good. I also picked up some nice dog toy"/>
        <s v="The product was available, the price was fair, but the ordering process kept trying to lock me in to repeating delivery. It took me an unreasonable amount of time to navigate the form."/>
        <s v="I like that it's compact and doesn't take up much room. The food doesn't flow as well as I'd like but all gravity feeders work about the same. The water spout could be lower. There's quite a bit of water left. The container must be tilted to use all the w"/>
        <s v="Great selection and prices. Prefer to shop here."/>
        <s v="In this instance, PetFlow was the only place i could acquire the exact item that I wanted and it arrived in a timely fashion. In fact if they are still carrying it I will order more."/>
        <s v="I have been purchasing cat food from you all for over 3 years ( since I got my cat). I have not had any problems, but my last order was shipped and it was dog food ( your mistake). I asked for you all to do a rush and you rushed alright. You came and pick"/>
        <s v="Has the products I need. Quick shipping at no charge over a certain amount. Packing well down."/>
        <s v="Great communications, came in short time."/>
        <s v="The company did not ship my pet food, canceled the order and failed to notify me. The only reason I noticed is because a week had went by and no dog food. When I contacted them they advised they needed more information. I asked why they didn't request tha"/>
        <s v="I have recently had a bad experience with Chewy. However, I have found you. I have 1 d9og and 2 cats and so far you have their food. i will look for other things as they come up. So far everything is great!"/>
        <s v="Easy online ordering and super fast delivery!"/>
        <s v="Very efficient and convenient to have your unappreciative cat's food and litter appear at your front door ~ Highly recommend !"/>
        <s v="It has been 21 days since my order was confirmed and it has not shipped. When I contacted Petflow, I was told that first time Rx orders can sometimes take a while to be approved, but this feels ridiculous."/>
        <s v="I love Petflows auto delivery system. It’s easy to use and I can change the schedule with a couple clicks. Packages always arrive secure and on time♥️"/>
        <s v="Love Pet flow great customer service!! Quick shipping highly recommended&#10;Have foods others don’t"/>
        <s v="I was glad to find what I needed on your site but I was concerned about shipment via Federal Express. In my opinion they are unreliable. My shipment was delayed but thankfully arrived before I became worried."/>
        <s v="Perfect transaction! Perfect delivery. Perfect communication. Your my store."/>
        <s v="I ordered veterinary dog treats so gave Petflow all necessary vetinary info. After no e-mails from them for quite a few days I e-mailed to see when order would be shipped out, they said “soon”. After a couple of days I called back to check to make sure th"/>
        <s v="We have ordered through PetFlow a few times now and are very happy with our experiences. We will continue to order our dog food and other pet items through them."/>
        <s v="Always used chewy, but not anymore! U guys r really on top of ur game. Thank you, Anna Sutocky"/>
        <s v="Very fast and easy shipment of dog food - five stars&#10;Their use of FedEx is a problem - one star.&#10;Fedex drivers repeatedly damage my property. Repeatedly notified FedEx. Other deliveries, like UPS or Amazon, have not had a problem."/>
        <s v="Petflow was easy and fast to respond and deliver. I was using chewy but it took forever to get approval for the dog food needed and I had trouble with them on every order so petflow was a relief how easily it went thank you for that and I would recommend "/>
        <s v="My order was correct and received very timely. I have no complaints."/>
        <s v="Perfect!!! My dogs thank you, and extremely fast, will absolutely shop here again!"/>
        <s v="First, FedEx lost the package. Left on a neighbors doorstep. Might not be such a big deal in the city, but in the country, that's a game changer. Neighbor finally brought the package up to the house a couple of days later.&#10;&#10;Second, Product was short dated"/>
        <s v="This company was there for me when I couldn’t find my cats’ prescription food anywhere. Thankful to have found it. Quick script review, quick shipping."/>
        <s v="I ordered Science Diet W/D wet cat food from them because their website said they had it in stock. About a week later, I got an email saying they were cancelling my order because they didn't have any in and didn't know when they would be getting it. They "/>
        <s v="Reliable, good products, timely delivery"/>
        <s v="Love it!&#10;&#10;Good products, convenient, quality, communication, and on time delivery."/>
        <s v="I’ve been having a hard time finding this cat food and when I did find it usually the bags were sold out. This made it easy and convenient for me to order this online and got it in a couple of days before we ran out."/>
        <s v="Easy site to navigate. Product was originally out of stock but I was notified once the product was available. Delivered as scheduled. My cat loves the product. It is a prescription food for diabetic cats. Hopefully, I will see an improvement in his condit"/>
        <s v="the product dog food is excellent my dogs love it looking forward to do more beisness with soon"/>
        <s v="I was impressed by the selection, price and delivery time of PetFlow. Getting ready to place my second order!"/>
        <s v="Order was correct, and arrived quickly!"/>
        <s v="PetFlow was a company that I had not heard of prior. I was in need of Hills cat food which was not available anywhere locally or online except at PetFlow. I even ordered more than originally planned for. They got the okay from my vet and had the order shi"/>
        <s v="Great delivery &amp; promotions for cheaper food!!"/>
        <s v="Great prices and fast, friendly service. I will continue making this my go-to for pet supplies."/>
        <s v="Tired ordering a product that said “in stock” twice now and both times I get an email a few days later saying my order was cancelled because it can’t be fulfilled. If it was “in stock” why can’t it be fulfilled?"/>
        <s v="This product is excellent I believe for my dogs and they love it. This is, however the second time I have had a bag ripped open when it arrived and food in the box and not the bag. Don’t know if this is a problem at the packing end or the delivery end. Wi"/>
        <s v="Easy site to use with great prices and a large variety of options"/>
        <s v="Never received my order 10179757, FedEx Lost it no refund or anything at all, FedEx express that they left it at the front door, but how my gate was closed and my cameras capture nothing at all and no one was home. I also called FedEx several more times w"/>
        <s v="I ordered cat food from PetFlow. It showed in stock and i waited for it to ship for about a week. I called customer service and the lady indicated that my order was processed (needed Vet prescription approval) and that I should receive a tracking email th"/>
        <s v="great way to buy my dog's food products and needs! no hassles and comes straight to my door."/>
        <s v="Incredible rude and out of touch representatives. They didn't have my item in stock and then made me replace a second order for what they did have in stock. The next day I get notified that my order was for resale and flagged as fraud even though I placed"/>
        <s v="I disappointed in the way my packages where sent to me! For example when you sent my case of dog food it was put in box that could have fit 4cases instead of 1 the rest was filed with packing papers to make it weigh more to charge more"/>
        <s v="Reasonably effective but annoyingly disorganized. Looking for alternatives"/>
        <s v="Got my online order very quickly and was pleased with how easy it was. Will definitely use again"/>
        <s v="After hunting high and low through my usual pet food sources I was able to find the two items that had been back ordered everywhere else. Delivery was fast and saved me the risk of switching brands with my dogs."/>
        <s v="We needed a shipping kennel (Large) a bed for the kennel a toy, a small bed, and dog food. All that got shipped was the dog food, toy and small bed. After visiting the Pet Smart store, they had all we needed in stock, although a higher price."/>
        <s v="My first order and I was mailed wrong product. When second order can it will be out of date in 5 months. I like to know I have a newer product."/>
        <s v="Quick, easy, and better priced than most of the competition. Definitely an under-known source for pet supplies."/>
        <s v="Good time on delivery. Just mad about the way the box showed up. Was thrown over my fence and box was damaged and retaped because it was so damaged. Think about who you ship you packages by. The delivery to my house was a fedX driver who did even look to "/>
        <s v="Great choices. These days, it is so necessary to have a reliable resource; especially for our pet family."/>
        <s v="6/19/22&#10;Excellent Everything A+ Company"/>
        <s v="I am so happy you carry Fromm. Echo loves it and she gobbles it down. I also love that you deliver to my home.&#10;&#10;Thanks again,&#10;Joni"/>
        <s v="Please don’t say you have something in stock if you really do not. I was misled then was not even informed that there was a delay until I reached out myself. Terrible customer service."/>
        <s v="My order was shipped immediately, and reasonably. Got what I ordered, and the pooch is thrilled."/>
        <s v="Everywhere was out of my pets food, ordering from your site was easy and I received my shipment a few days later thanks!"/>
        <s v="Amazing prices, quick shipping"/>
        <s v="Just got a new puppy that has to have toy breed puppy ProPlan. It’s been almost impossible to find it, but happily, PetFlow has it, &amp; it shipped FAST! Love auto ship so we don’t run out. Price is also good."/>
        <s v="We were notified that our dogs’ prescription food was out of stock with our usual retailer so I did an Internet search and PetFlow was the only retailer that popped up as having the item in stock. I waited for shipping confirmation and never received it s"/>
        <s v="I appreciate finding products at an affordable price at PetFlow. I usually find those products at a better price than other sites. Shipping was fast and flawless!"/>
        <s v="I have have ordered the freeze dried beef treats for a while....the last two orders have been at least 1/2 to 1/3 crumbs. This is very disappointing and an expensive bag of unusable. If this is not corrected, I will have to find another source. Usually I "/>
        <s v="Great products and very good customer service!"/>
        <s v="Fast shipping, all items accounted for and in perfect condition."/>
        <s v="PetFlow has the best prices, great communication with me regarding the status of my order &amp; shipping is quick."/>
        <s v="My 1st package was received missing items. After just one phone call, everything was handled professionally and a few days later I received my missing items. Would order again"/>
        <s v="Petflow came through for me when I couldn't find my cat's food anywhere else. I'm extremely grateful."/>
        <s v="Twice now I have ordered preacription food from petflow that was listed as in stock and twice my orders jave been cancelled because the food was not in fact in stock. Both times I spoke with customer support that was clearly copy pasting replies off of a "/>
        <s v="Excellent service."/>
        <s v="Generally I’ve been very pleased. But the last shipment (2 cases of canned hog food) had two damaged and open cans in it. Not a great response when I raised the issue since I hadn’t discovered it until I got to the 9th of 12 cans. Otherwise, no complaints"/>
        <s v="My cat's food was listed as in stock on the site, but my order was cancelled a week later because it was never actually in stock"/>
        <s v="Delivery was delayed, and this was not acceptable. I will utilize another company, that can deliver in 2 dayd"/>
        <s v="As ordered. Fast shipping. I was so happy to be able to get my canned cat food order when Chewy and Amazon failed me. PetFlow has gained a loyal customer!"/>
        <s v="Outstanding price for what I ordered. I shopped around: Amazon, Wal-Mart, and numerous websites. None even came close to your price! Package showed up on time. Excellent experience. My cats thank you"/>
        <s v="Fast shipping and excellent price.&#10;Thank you"/>
        <s v="I normally don’t write reviews but I hope employees are retrained after seeing this. I hadn’t ever been on your website or heard of the company. But my 4 year old fell in love with a puppy from a girl I know in Utah. After adopting the puppy we asked what"/>
        <s v="The dog food we need is hard to find. PetFlow always has it at a very good price. It usually arrives in a day or two. Great service."/>
        <s v="I’m a little disappointed with Petflow. I ordered dog food on June 3rd, maiming because you said it was in stock. Then a few days later I get an email saying that your local location was out of stock and you had to get it from another location and it was "/>
        <s v="Fast, easy to order prescription products, fast shipping, fantastic customer service - knowledgeable, sympathetic, responds quickly. Range of items to purchase is awesome. PetFlow outdoes all other online pet companies on so many levels. They were my savi"/>
        <s v="My order was processed very slowly and then canceled. I was initially told that the only thing holding up my order of Hill prescription diet for my cat was vet approval, which I had submitted with my order. Close to a week elapsed and then I was told that"/>
        <s v="Very reliable. When I place an order with Petflow, I know I'll be getting what I ordered on time."/>
        <s v="Great customer service, had the prescription food my dog needed. All the other's were &quot;out of stock&quot;. Glad I found this site."/>
        <s v="naturvet yellow to green lawn spray. 4 containers/contents were defective.&#10;product was diluted to colored water, my guess is they froze and thawed somewhere before shipping."/>
        <s v="Petflow ran out of dog food in my area so found it in Las Vegas. I got the last 3 bags."/>
        <s v="I got the food the quickest out of any company including Amazon and their customer service gets back to you right away with any questions fabulous job"/>
        <s v="Food bags are always intact. Delivery always on time. Customer service is excellent."/>
        <s v="Great customer service! Great prices and fast shipping! ⭐️⭐️⭐️⭐️⭐️"/>
        <s v="I always order my dog Fromm food and treats from you. Shipping is excellent."/>
        <s v="Great price, smooth transaction and quick shipping. What's not to love?"/>
        <s v="Waited over 2 weeks for food to arrive for my new puppy to refill his stock we received from the breeder. Petflow had a great price and great reviews, BUT when I inquired where my order was I was just told that it didn’t ship due to “fraud protection” and"/>
        <s v="I've used PetFlow for my boy's food since the very beginning (since I adopted him) and they always deliver it on time each month. They have an excellent selection of pet food available on their website and not to mention, they give away 1 food to 1 dog in"/>
        <s v="Inventory shortage. Put order in and next day they don't have my babies brand. So it's not their fault Purina discontinued the Small Bites.&#10;Now we are playing find the food they care for. Sorry couldn't give 5 stars."/>
        <s v="I have been very happy with PetFlow. I am disabled and it is so nice to just have my dog's food show up at my door. So far the items I need have been in stock which is pretty incredible in these times."/>
        <s v="I started an auto ship program with this company because cat food was running scarce in the grocery store. Unfortunately, even this company can't keep it in stock, either."/>
        <s v="The pups love the new food we found on PetFlow. It was easy to order and arrived in no time. Being that it's large breed formula, I just wish it came in bigger chunks so they didn't inhale it at dinner time!"/>
        <s v="Great service, good customer service. The only hiccup I can see is, shipping 30&quot; sticks folded over in a 15&quot; box."/>
        <s v="They had everything in stock and was delivered in a timely manner"/>
        <s v="Great place to buy our pet supplies! Fast service, pet flow is the best!"/>
        <s v="Always great to do business with. ease of ordering and easy to return...."/>
        <s v="I waited over a week for your pharma dept to reach out to my vet to get scrip for order. I finally had to make the call myself, with your rep on the line, and I got right through. Your pharma folk really dropped the ball.&#10;&#10;All the while, my cat was waitin"/>
        <s v="I was really pleased that u had the food my cat loves. He is diabetic and could not find his food anywhere. He refused to eat anything else. Got so thin. I found his food through ur company and now he is gaining weight, very happy kitty."/>
        <s v="I was in need of food for my cat with diabetes. My vet was backordered and even Chewy was out of stock, but I’m so glad I happened upon this company and they had the food I needed available. I appreciate it so much. They were easy and pleasant to work wit"/>
        <s v="Worst Experience with Pet flow, I place order and my shipping and billing address is not same you will add my account to fraud activity and don't proceed order. Such a unprofessional supports team. Can't buy in future its last time"/>
        <s v="I never received my purchase. You were out of stock of my cat’s prescription diet, even though your website said it was in stock. You should keep your website up to date with what is in stock and what is out of stock. Because I would have never wasted my "/>
        <s v="Fast shipping, Easy to order and understand web site. Best prices around.&#10;No Hassles"/>
        <s v="Ordered prescription dog food you said you had in stock but it very clearly was not in stock and almost two weeks later I'm still waiting for it. Not cool."/>
        <s v="The shipping box isn’t strong. And they package my dry dog food with the cans and the cans cut the dry food bag and it spills."/>
        <s v="I placed an order for Hills Glucosupport for my diabetic cat. It was the weekend and I was unable to get all of the vet information directly from the vet hospital itself, to place the order, so I Googled it. I placed the order and paid for the order. The "/>
        <s v="This is the second time the cat food that I need said it was available and the second time my order was cancelled because they didn’t have it. If you don’t have it, don’t say that you do! I could have looked for it someplace else instead."/>
        <s v="your phone reps have always been very helpful, answered my questions and given me some good advice about purchases. we're sold!"/>
        <s v="Great customer service. They answered my inquiries so fast and they were super friendly!"/>
        <s v="PetFlow works hard to earn your business and trust. Had an initial snafu but now orders are working smoothly."/>
        <s v="I requested a $51 refund after being told by Petflow that I needed to renew my vet’s prescription. I wanted to just buy the prescription dog food from my vet. Petflow said they could give me a credit for $51 but not a refund. This is a classic case of Pet"/>
        <s v="I have ordered from Petflow twice and both experiences were the same, complete trash. My cat eats prescription food and it is out of stock everywhere. So I am ecstatic to find it on Petflow. I order and it took two days for my vet approval. I get an email"/>
        <s v="Petflow has great prices on Fromm products and delivery is great"/>
        <s v="PetFlow's order fulfillment needs to be improved. It took 9 days for the food that I ordered to arrive, and that was *after* I called to see where it was and got the order prioritized for shipping. If you are truthful on your website whether the food is b"/>
        <s v="Your orders have all been fast and with no warning it took a week.. I will not be using you anymore as you are not dependable"/>
        <s v="Great price / fast shipping / great communication"/>
        <s v="Better prices than elsewhere. Called customer service for some assistance and the woman was very helpful. Will use again."/>
        <s v="Wanted to try another pet food home delivery service for a change and decided to give Petflow a go. They were a great find and i’m glad I did. Prices were comparable, and delivery was even faster. Packaged very well with no dented cans."/>
        <s v="Prices fair but shipping times have increased."/>
        <s v="I love the variety of high quality products and brands that Pet Flow offers. I also love how quickly they ship! My order always arrives within a couple days."/>
        <s v="Don’t even bother. If you order anything they will message you a week later saying it’s out of stock then the very next day it’s back in stock again"/>
        <s v="I was excited to see that a particular prescription wet food was back in stock on the website as it has been out of stock for over a month. I placed the order online and then followed up 3 days later as I didn't hear any thing about shipping. I was told t"/>
        <s v="cancelled my orders&#10;without telling me"/>
        <s v="Very happy with the customer service only issue I had is how long it took to process my order And ship it. Would pay extra for faster processing and shipping."/>
        <s v="Fast , easy and correct !"/>
        <s v="It's ok. It was shipped on June 1st and an email Tuesday said it'd arrive today Wed. After arriving here in Portland today at 5am, FedEx tracking said at 2pm that it's being delayed a day until tomorrow Thursday &quot;because of weather&quot;. It doesn't affect me "/>
        <s v="I ordered prescription pet food for my cat. It took them about five days to tell me the order was cancelled because they couldn’t get the food. They shouldn’t have taken the order in the first place."/>
        <s v="This is my third order. They have products others don't and at a great price."/>
        <s v="Always holds the inventory and deliver in a timely manner."/>
        <s v="Worst customer service. I tried doing an order twice and they couldn’t send it out. I will never use this company or recommend it"/>
        <s v="Wonderful service. I recommend."/>
        <s v="Excellent service and the only delay we had was from our Veterinarian sending them the prescription"/>
        <s v="I am so impressed with not only how easy ordering was but how quickly it was delivered. I would never use anyone else. Thank you very much"/>
        <s v="I am new to Petflow. This was my first order. Website was easy to use and my item arrived promptly."/>
        <s v="Disappointed that an item was there to select as available only to find out it was not. P"/>
        <s v="I like using PetFlow and other sites which are similar. They are super convenient and reliable, however the cost of shipping stops me from only using their service."/>
        <s v="Your website said you had the prescription cat food I needed. I bothered my vet for the prescription order. Your company said the order was being filled. Then I’m told that it is out of stock.&#10;&#10;How does this happen?"/>
        <s v="Always the highest quality products &amp; superior customer service. A+++"/>
        <s v="Petflow had what I needed in special food for my cat I couldn't find it anywhere thank you so much the service was awesome"/>
        <s v="Good service and a fair price. Thank you. Plan to order again."/>
        <s v="Wonderful experience. PetFlow was the only place that had the prescription food i needed for my cat. They expedited my order when I expressed my needs. Sadly my cat passed away Saturday, but he loved this particular brand of food so I am very grateful tha"/>
        <s v="I have been ordering from Petflow for some time now. I always have a good experience with fast shipping and easy ordering. I have a dog and two cats so I order often. Great company to do business with.&#10;Rob."/>
        <s v="Petflow is great! They processed my kittie’s prescription quickly and shipped my order promptly!"/>
        <s v="Shipping is so slow compared to Chewy. I use Chewy whenever possible for that reason,"/>
        <s v="I have had nothing but positive experiences with PetFlow."/>
        <s v="PetFlow was the only source for prescription food for my cat. All local stores and vets all said they were out and it was on back order. So PetFlow was a “kitty” saver!"/>
        <s v="Fedex took more than a week to deliver.&#10;Usps is better, even the fedex tracking is not accurate and very slow or sometimes not even up to date"/>
        <s v="Customer service was not friendly! They charged and shipped me two bags of my dogs food when I only purchased one. When I called back to dispute the charge they were not very helpful and kept insisting that I bring the super heavy bag to FedEx for return."/>
        <s v="When FED X lost my order, I called customer service and the order was replaced without hesitation. That is excellent service."/>
        <s v="Slow shipping, went to order another bag and couldn't find it."/>
        <s v="Petflow is a good company to buy cat food from. I especially like having it she directly to my door. I have to order a prescription type of food for my pet and cannot find it anywhere else. Petflow has exactly what I need."/>
        <s v="I was able to find what I needed that others didn't have. Turnaround was quick and order was correct."/>
        <s v="Products in stock. Delivered in timely fashion. Positive experience!"/>
        <s v="Great selection (had things others were out of), great price, shipped next day."/>
        <s v="After reading many reviews I cancelled my order before it was shipped. Many people stated they could not cancel their auto ship and were't happy with the delivery. Since I don't know this company and didn't know their reputation, I cancelled and ordered f"/>
        <s v="Great price and shipped well and arrived quickly"/>
        <s v="Only cools for 15 minutes at best - not worth it, I should have invested more money and got a better product"/>
        <s v="The pharmacy said my dogs food wasn’t approved while my vet said it was always approved. Customer service was awful in fixing the situation. Didn’t get my dogs food for a week. Discontinued auto ship and won’t buy another thing from Pet Flow. Horrible cus"/>
        <s v="I love the fact they carry Fromms dog food, their web ordering works fine, and they deliver in a reasonable amount of time (Chewy is faster where I live).&#10;&#10;However, every time I have ordered dog food in cans, they come 25% badly dented. I don’t mean a lit"/>
        <s v="I had the opportunity to subscribe, and my pet food came in a timely manner. I am very happy!"/>
        <s v="Shipped quick, reasonably priced"/>
        <s v="Great variety, fast shipping!"/>
        <s v="Petflow auto-ship is convenient, efficient, and economical. We've been happy customers for years; highly recommend. :)"/>
        <s v="works well but no instructions on how to adjust float"/>
        <s v="Great price and quick shipping of the pigeon grains I use"/>
        <s v="Easy easy easy. The same quality, same shipping speed, cheapest place."/>
        <s v="Great Service for the buck and Great for your pet Fish"/>
        <s v="The Most Wonderful Customer Service! And the Most Wonderful Products that Keep my Dog HAPPY!"/>
        <s v="I love the company and the fact that they don't support brands that support animal testing. It's a 4 start due to shipping always being late and they don't have an app yet, but I'm not leaving them because of that."/>
        <s v="Good selection of products but took a long time to receive."/>
        <s v="had the product in stock. And they called the vet"/>
        <s v="Items not as advertised even after calling customer service described the wrong item. Picture not correct either that was sent.&#10;Took way longer than expected. Not likely to recommend or order again."/>
        <s v="Had an issue with my order. Customer service was rude and terrible. Will never spend my money with this company again."/>
        <s v="Excellent! Always the best."/>
        <s v="Pet flow always has the dog food in stock for my pet. All through pandemic they were reliable and supplies on hand and timely delivery."/>
        <s v="customer service was awesome! the shipping was very fast and I was very pleased with the variety of food. I will definitely order again!!"/>
        <s v="Fromm dog food is so awesome! My elderly dogs were on wet dog food and they liked it till I took them to my friends house. She had the beef Fromm out for her dogs. My dogs decided they like that food better than theirs. It was a month of trying to get the"/>
        <s v="Poorly packaged for shipment, but arrived quickly."/>
        <s v="Great customer service. I needed my cats prescription cat food asap and they pushed the process faster for me."/>
        <s v="Fast deliveries and one of the few places I found farmina dog food. Now I'm on auto delivery."/>
        <s v="I ordered cat food on 5-18 and FedEx has yet to deliver it, stating that the address is incorrect when it is not. After hours on the phone trying to get this package I am left with no other choice but to request a refund. I still don’t have the cat food a"/>
        <s v="We love using PetFlow for our pets needs. The prices are competitive and it's so easy to change/delay/cancel our order."/>
        <s v="Shipping was Fast! My only concern is my dog food best by date is Sept. 22 just concerned not fresh maybe older stock."/>
        <s v="Petflow is THE best. Hands down! Great customer service and prices."/>
        <s v="They had the food I had been searching for in stock. Quick shipping."/>
        <s v="Super great company with fast service and great shipping."/>
        <s v="Great company with very quick shipping!! I will be using them from now on!"/>
        <s v="Excellent products and outstanding service. Fast delivery."/>
        <s v="Good price. Fast delivery!"/>
        <s v="We have been using Petflow for many years, and always have great service and value."/>
        <s v="Petflow has the products I need and gets them to me quickly. I’ve used auto ship and when I’ve had to switch my schedule they were happy to accommodate and adjust. And their customer service is so responsive. I have been a loyal client for years and plan "/>
        <s v="Every one at Pet Flow was extremely helpful. They spent as much time as needed on the phone with me to pick the puppy food I needed. When it turned out that my pup did not need the prescription I was told, they were unable to take it back but they refunde"/>
        <s v="When I ordered they knew they were out of stock. I called, asked questions and didn’t get a direct answer."/>
        <s v="I was so happy to find my pet food in stock here. Actually, the maker of the pet food let me know that PetFlow had the product in stock. There was no shipping fee on the 25 LB bag and it arrived promptly all the way from across the country."/>
        <s v="Ordered canned dog food. Found the price to be competitive and shipping was timely."/>
        <s v="I would advise anyone that has had a poor experience with this website - which appears to be just a website where they drop ship orders but don't actually have a warehouse, to contact the Attorney General in Nevada, where this guy or &quot;company&quot; is located."/>
        <s v="Ordered cat food. When I ordered it was in stock. Now saying they have none and that the online allows them to sell bags so long as they at least have 1. Sad."/>
        <s v="I ordered dry cat food that you said you had and waited for you to tell me when it shipped. You never told me you were out of it. I had to get in touch with you to find out. Stupidly I checked for that same product a week or so later and same thing. Your "/>
        <s v="Ordered M/D dry cat food and you waited so long to let me know you were&#10;out of it. Other companies let you know on the site where you are ordering&#10;that they are out. Wasted time."/>
        <s v="Great product, FAST shipping"/>
        <s v="Having to contact support to cancel an auto ship is ridiculous. Straight from the Comcast book of customer service."/>
        <s v="This is the first time using PetFlow, and I loved the experience. They have great prices and fast shipping. I love the selection of food also."/>
        <s v="Scam site. They lie and say they have stock of things they know they have no stock for just to get your information."/>
        <s v="I like Pet Flow and the convenience of buy Fromm cat food from them."/>
        <s v="I placed an order for prescription pet food. The website stated food prescriptions could be emailed or mailed so I emailed the food prescription using the email address they listed on their website for this purpose. This resulted in back and forth with a "/>
        <s v="I was trying to order prescription cat food that is in short supply. Your company let me order it, sign up for your account, contacted my vet for the prescription, and went through the whole process and then told me you are out of stock. Why didn't you te"/>
        <s v="I have plenty (too much) food right now. How can I cancel automatic service??"/>
        <s v="I trust them, they usually have the product that I want and if not they will let me know."/>
        <s v="This place is amazing! Prices really cannot be beat -- and we shop around every time we stock up. PetFlow doesn't carry all of the foods we buy but the ones they do are consistently cheaper than elsewhere, including delivery!&#10;&#10;I hope PetFlow will carry mo"/>
        <s v="My total order was to receive 15% off...however, my order was split and I only received 15% off on the lesser item and was taxed on both. I may inform my credit card company of this transaction based on your response."/>
        <s v="Have always had good service from PetFlow"/>
        <s v="Keep posting that they have Hill Science Diet M/D when they don’t."/>
        <s v="I have only received part of my order that I made on May 10th, it is now the 22nd and I have still not received the dog food I ordered."/>
        <s v="Our Saint Bernard was recently diagnosed with Gastroparesis and needed limited ingredient treats. Hills makes a line of them that Petflow has a great variety of at great prices. Shipping is super fast."/>
        <s v="Excellent service!!&#10;Thank you!"/>
        <s v="I have ordered only once from Flowpet but so far so good and on that note I will give them 5 stars. There was a good variety with good prices and the order came more quickly than I expected. i expect I will be shopping there more."/>
        <s v="Fast shipping! Easy to get in contact with them if you have questions"/>
        <s v="Ordered special diet 10 days and nothing had to order chewy . Got it in 3 days"/>
        <s v="Very friendly and knowledgeable people at Petflow. Willing to go the extra mile to help."/>
        <s v="It is easy to change my order, the staff is always Easy to communicate with. They are Alice there to help me when I run out of food. My Goldens sometimes have friends over for the week."/>
        <s v="So happy you carry Fromm. My dog thrive on this food. I love the convenience of delivery to my door. The best part is shipping is included."/>
        <s v="I placed my order from Canada and dealt with a customer service rep. She was very friendly, helpful and efficient. My order was delivered very quickly to a parcel receiver in Bellingham, Wa. I am very satisfied with Petflow."/>
        <s v="Ms. Jessie at PetFlow was extremely helpful in fulfilling my order. She was knowledgeable, pleasant and very efficient. I am very satisfied with the service I got."/>
        <s v="Always ships quickly and arrives promptly. You can trust PetFlow to handle your order right"/>
        <s v="Took way to long to get here. This was a cat food order and I'm use to getting it at least in a couple days when I order from Amazon or Chewy. Not sure I'll order from them again."/>
        <s v="This is a great company. Good selection of products and at fair and reasonable prices, including shipping costs. Delivery is very timely. While so many firms are still using the Pandemic as an excuse to price-gouge, it is so refreshing and a pleasure to d"/>
        <s v="Have been waiting in my prescription for a month and still haven’t received. Sent in digital and paper copy that still had problem with them verifying and actually sending the prescription. So frustrating. Would not recommend VetSource for pet prescriptio"/>
        <s v="My dog is on RX dog food Hills Science Diet D/D. I decided to start getting it from you. I order it ( changing flavors/protein because the one I wanted said out or stock) a few days later I haven’t heard anything so I call/text and I’m told that it is wai"/>
        <s v="I have purchased many Milk Bone pill pocket packets. They usually come in 5 pouches per box which helps to keep them from being crushed in shipment. I usually purchase 4-5 boxes at a time. Shipping is slower then other suppliers."/>
        <s v="Cancelled my order saying supply of product from manufacturer was unavailable. So I went to another vendor who had no problem filling my order."/>
        <s v="Received my product of prescription kitty snacks quickly.&#10;Thank you"/>
        <s v="Pet flow has been very reliable. My dog’s food arrives as ordered, the food is fresh and arrives quickly&#10;I have had a few problems with the website where I could not change an amount on the “review your order” page, which was frustrating. However, calling"/>
        <s v="Very good service and fast delivery,I have no complaints."/>
        <s v="Items arrived quickly, before I was notified that they were shipped. One item was missing from the order, it took a few days before I received an email that the item was out of stock. Credit for the item came quickly. Very pleased with my purchase."/>
        <s v="Excellent Customer Service&#10;PetFlow inadvertently sent me an extra case of cat food. I alternate the types of food so I was fine with keeping the extra food but needed to pay for that one and add another of the alternate kind. The gentleman with whom I spo"/>
        <s v="Friendly when I had questions, FAST DELIVERY, easy to order quickly online😍"/>
        <s v="Efficient fast shipping and great customer service!&#10;&#10;Good selection of animal products"/>
        <s v="Very happy with products. Wish food was a bit cheaper."/>
        <s v="I had been looking for the puppy kibble our breeder has been using for their litter of puppies. PetFlow was the only site that carried it. Very easy to work with and on time delivery. Thank you."/>
        <s v="Staff is very friendly and helpful. There was a prompt response to my question. They have a vast selection and great prices. They came through when I had trouble finding my finicky cat’s food. They are my go to store."/>
        <s v="The constant urging to use &quot;auto-ship&quot; I can understand, what I can't understand is the meaningless one-time pittance of a discount as an incentive, coupled with an almost &quot;forced&quot; compliance by changing my selections to include it for me. It is the most "/>
        <s v="I tried to purchase prescription cat food for my cat on 5/6. The vet did not receive communication through you so I emailed and texted in a prescription on 5/9. Both of which replied and said it was sent to the correct team and should be processed ASAP. T"/>
        <s v="I needed to order a variety of cat food that had been sold out at local shops &amp; online retailers for some time. I discovered PetFlow through a link on the manufacturer’s website. I was skeptical that they could even deliver, but ended up being pleasantly "/>
        <s v="Easy to navigate site. prompt delivery."/>
        <s v="My second order experience was just as great as the first one. Great business!"/>
        <s v="My order is always delivered in a timely manner. If there is ever a question I get answers quickly in a professional and friendly way."/>
        <s v="Petflow has been my go-to for years now for a reason."/>
        <s v="Excellent availability of products, customer service, shipping, and communication!"/>
        <s v="So easy to order my pet's prescription meds on PetFlow. They contact your vet directly for approval which takes all the work out of my hands. Shipping is quick and its very easy to amend the shipment schedule if needed.&#10;Thank you PetFlow for such awesome "/>
        <s v="I was searching for a specific food for my new puppy that was not available in many places. Found it here, ordered and had it so fast it’d make your head spin ! Thank you ."/>
        <s v="I received my product before the original date. I was very impressed since I never heard of them but I will continue to use them. I highly recommend them."/>
        <s v="Excellent service and product!!!!! Our fur baby loves the Butcher Block Champ bones!!!!!"/>
        <s v="When the package came everything was so jammed in there that the Stella and Chewy patties were crushed. I purchased 3 bags of the Stella and each bag had broken pieces in there."/>
        <s v="Petflow had the dog food that I needed that everyone else was out of. It came quickly and without any issues. Their website was easy to navigate also."/>
        <s v="When other sites were out of the prescription food my dog needs, PetFlow was the only place I could find it and at a good price too. Delivery was fast also"/>
        <s v="Great service, competitive pricing"/>
        <s v="Petflow had a rocky start with me because it was difficult to get customer service, but they have improved so much in that department that a 5 star is appropriate. They are the only pet delivery that has my dog's dry food and they give a years worth of co"/>
        <s v="Delivery was okay, no issues with package or product, price okay too"/>
        <s v="Great company, fast delivery!"/>
        <s v="I order 2 eight pound bags of prescription cat food. Kept getting emails about it being backordered. On the website at Tim’s of purchase it stated they were in stock. Placed an additional order for two 4 pounds of same food and that was cancelled by petfl"/>
        <s v="Always helpful and answer my questions and concerns"/>
        <s v="Easy to use website and fast shipping."/>
        <s v="my order is always on time and very easy to order,"/>
        <s v="I made a large order, and you guys cancelled my order saying that it was a “fraud.” There was never a time where i got an email or any contact to see if it was a “fraud.” My dogs are now with no food due to this lack of responsibility. I was informed that"/>
        <s v="I love the service petflow provides. They have a huge variety of products. Plus they also offer great deals. Finally, I must say customer service is extremely friendly to use through texting. They'll help you right away. Thank you so much."/>
        <s v="I ordered prescription food for my cat. A week went by with no shipping information. I contacted Pet Flow and was advised that the food wasn’t even in stock, even though they got the approval from my Vet. Waste of time that I could’ve been searching for t"/>
        <s v="Ordered prescription food and insulin syringes for my diabetic cat. Syringes came a few days later the 3 bags of prescription food did not. After 10 days with no update I called customer service just to find out the food was out of stock. I was never noti"/>
        <s v="Great customer service and I really appreciate it!"/>
        <s v="Great site for dog supplies. Will continue to use if prices are good"/>
        <s v="I moved over to PetFlow, kicking and screaming, from Chewy. Chewy stopped carrying VeRus and PetFlow is now my merchant for all my canine needs. I could not be happier with the customer service. I like getting advance notice that my auto-ship is 'preparin"/>
        <s v="With the price of dog food getting more expensive, I was looking for the best price for Chicken Soup for the Soul canned dog food. Pet Flow had the best price when compared to other on-line retailers. This was my first time ordering from Pet Flow. The del"/>
        <s v="Always arriving promptly and the correct products in the order!"/>
        <s v="THE BEST PLACE TO PURCHASE ALL OF MY DOGS NEED. EXCELLENT SERVICE AND ALWAYS FAST . LOVE LOVE LOVESTELLA LOVES IT TOO"/>
        <s v="This was my first time using the site usually use a competitors site but this website showed up and I clicked to see what it was.&#10;The prices are similar to the site I usually use. Some of the items were slightly cheaper some more expensive.&#10;One huge con w"/>
        <s v="My ordered was submitted then cancelled days later. I would have just bought it somewhere else. Should have just said out of stock.. now I have to scramble to find food"/>
        <s v="Ordered hard to find diabetic cat food the the 8 lb. bags are out of stock at all 4 companies that carry it. Petflow shows on the site that the 4 lb. bags ARE in stock. Order on may 9th and vet approved, was told that on the 10th its send to the warehouse"/>
        <s v="Products are good but the ones I wanted were out of stock or very low."/>
        <s v="Great product, price, communication and transaction."/>
        <s v="I was very disappointed. I ordered my RX can cat food. The payment was made. The payment was returned. This is the first email from PetFlow. I have not received an email why my payment was returned or why I did not receive my order."/>
        <s v="Quick and easy - I just entered the order and the vet details and my order was on its way the next day!"/>
        <s v="My cat likes the Friskies sensation cat food.I wish Petflow has a larger selection of cat and dog food that weigh 16 lbs or less. as I grow older I find it difficult to lift bags over 16 lbs."/>
        <s v="Orders are accurate and delivered on time. Price is a little high at this time, but no higher than other sites are charging for same pet food."/>
        <s v="I've only used PetFlow once, first time, but everything was great. Easy to navigate the site, received order quickly, packaged safely. I had a general question, and customer service was very nice and knowledgeable. I'll be a repeat customer, and very glad"/>
        <s v="Frustrated with the lack of customer service regarding my cat food order. Our Vet's office personally called to O.K. a prescription diet for our cat as we could not find it anywhere and we were running out. We did not get any official notification that yo"/>
        <s v="My items from Petflow always arrive quickly and accurately. I enjoy using Petflow for my dogs needs! I highly recommend!!!"/>
        <s v="Trustworthy, accommodating, and much variety."/>
        <s v="Products ordered came quickly and accurately. The website makes reordering easy"/>
        <s v="We have shopped with Pet Flow for about 10 years and they always provide excellent service and products!"/>
        <s v="Ready for some Captain's Plate, Sardines &amp; Mackeral now! Look forward to this Against the Grain next, when they are available for purchase again.&#10;&#10;Thank you for getting this delivery to us as you were the only pet food company that could provide us with S"/>
        <s v="Every order I have placed has been canceled. I call to verify everything is ok daily. I am told that it’s being packed to ship. I call again the next day and am told it’s shipping that day. Both orders have done this. Usually 2 hours later the order is ca"/>
        <s v="I’m very disappointed as the item u always order was not in stock and currently remains out of stock"/>
        <s v="Fast delivery and they carry what I need."/>
        <s v="Petflow was very easy to order from and was shipped out almost immediately. The dog food arrived very quickly. I would definitely recommend them to pet owners."/>
        <s v="I've used PetFlow on and for 17+ years. The delivery has always been spot on but occasionally a food change required a different vendor. Glad I've returned."/>
        <s v="I am always skeptical when ordering from an online store for the first time. No need to worry about Petflow. My 3 bags of Dog food came in a timely manner and the packaging was neat there was no crushed bags. Very happy customer!!"/>
        <s v="I successfully ordered Prescription Hills M/D through you and later you told me you were out of stock. You should have known you were out of stock before allowing me to order."/>
        <s v="I had not used PetFlow before, but they were one of the few retailers that had the pet food I needed in stock. Their turnaround time from order placement to shipping was incredibly quick, as was the shipping time. They were also very communicative each st"/>
        <s v="I've always been able to change my scheduled auto shipment when every I need to. They are quick to response and send out packages very quickly. Been using this company for about 4 years and love their services."/>
        <s v="I’ve never dealt with an online pet store that was so easy to work with. They confirm my dog’s food prescriptions and still get the food to me in just a few days. I’m looking forward to buying treats and other supplies from them as well."/>
        <s v="Customer service was fine, but I could not purchase what I wanted to for my cat. I ordered veterinary products and I chose the vet I went to from the search. I knew Pet Flow (or Vetsource) would need to contact the vet but did not know how they would. The"/>
        <s v="I love the service I receive when I place my order. If I have any issues I call and the customer service is the best."/>
        <s v="Ordered cat food then received email that the order was cancelled because it was out-of-stock."/>
        <s v="PetFlow was a great shopping experience, but the shipping information was not accurate on the website. I did have to reach out to Customer Service to get the correct information. Other than that, no complaints. Will definitely shop with them again."/>
        <s v="Good communication and reasonable prices.&#10;Slow delivery time knocked this review down to four stars."/>
        <s v="It was nice that PetFlow actually carried the brand of dog food I get. I was excited to sign up for autoship so I could stop making my husband pick up the dog food, 23 miles away from me, on his way home from work. My order took over a week to arrive, did"/>
        <s v="Great quality of products and super fast shipping."/>
        <s v="Perfect&#10;Fast&#10;Efficient as always"/>
        <s v="When I was given a prescription for my cat that had just gotten a procedure to clear a urinary tract blockage, I tried having the prescription filled by my regular vet. They were out of stock of what was needed, so I turned to Petflow. All my experience w"/>
        <s v="Orders are shipped quickly. Prices are comparable to other companies."/>
        <s v="Timely delivery, no glitches and great product!"/>
        <s v="The products that I ordered were as described, at a fair price, and arrived on time!&#10;- very happy customer"/>
        <s v="I had never ordered from Pet flow before. Their website was easy and the cat food arrived promptly."/>
        <s v="I enjoyed finally finding a website that still has my cotton de tulear food that she has been on her whole life and seems to be selling out everywhere. I sure hope this website keeps it in stock for the next time I need to order it."/>
        <s v="I ordered a large pet carrier and was sent a small. I did contact customer service and they are suppose to send a large. That was a week ago so I am still waiting"/>
        <s v="Fast, easy, great price and I stick of my pups fave food!"/>
        <s v="Ordered for the first and last time when PetFlow was the ONLY place that had any of my cat’s specialty prescription food in stock. They said they called the vet office to confirm and approve the prescription but did not call the office I gave them and the"/>
        <s v="I use this site to order &quot;tracheas&quot; for my 2 dogs..they are a natural treat and my dogs love them. This company has been very good about getting my orders to me in a timely manner so my dogs never have to miss their Saturday special treat. I know their pr"/>
        <s v="I'm SO Thankful that I found PetFlow!!&#10;It's nice to know there are online options for my fur baby...the prices are Great and the fact that PetFlow gives back to pups in need makes me feel good.&#10;Thank you PetFlow!!"/>
        <s v="PetFlow usually has products other sites are out of! What relief. But stock up as things are getting harder to find. PetFlow delivers quickly and in good shape!"/>
        <s v="Said an item was in stock, when it wasn’t. I waited a week before being notified that it was even in the warehouse to be shipped. In the meantime I was counting on the shipment for my diabetic cat. I will never recommend or give the company another try."/>
        <s v="Great transaction, good price, free delivery."/>
        <s v="Quality, communication and price!"/>
        <s v="I have 5 cats. Two of them are eating special food for health issues. It has been hard to find canned food, especially ProPlan, since the pandemic. I have to search for cat food EVERY WEEK at the 3 pet stores in our area, which is very stressful. I was so"/>
        <s v="When i had a problem you fixed it fast, ty"/>
        <s v="I buy birdseed in 50 lb. quantities. Theseed quality is excellent; the mixes are well balanced, and the seed is fresh and viable so I am able to germinate some to use as soft food to my birds. The price was reasonable when so many others are using inflati"/>
        <s v="I’ve always had a great experience w Petflow. I even found a better deal at another site and wanted to cancel my auto ship. The customer service rep gave me a discount instead and I kept my auto ship active and it’s still active today! Excellent customer "/>
        <s v="Only place I could get this Hill's formula dry food for my cat. My cat is fussy and won't eat other dry foods."/>
        <s v="Petflow customer service agents are efficient yet courteous. The company clearly embraces the concept of the customer is always right. I've been using this service for five years and have always been pleased."/>
        <s v="Service and customer service is excellent!"/>
        <s v="This was my first time purchasing from this company. I attempted to purchase 6 items. Of the 6 items that I ordered, I only received 2. Those 4 items that I did not receive, 3 were charged to my credit card and then I was notified after the fact that thes"/>
        <s v="Easy to order online &amp; customer service is quick to respond &amp; resolve any issues. Will order again!"/>
        <s v="I love PetFlow! Much better than Chewy!"/>
        <s v="The ease of changing or adding to existing orders could be just a little easier. It's much-improved from what it used to be, for sure, but it still takes far too long to setup an order for auto-ship. Make it easy and more efficient, PLEASE!"/>
        <s v="Every order is fulfilled quickly and accurately and then shipped really fast. I love PetFlow!"/>
        <s v="Was very disappointed with shipping time for this order. And delivery information was delayed twice"/>
        <s v="While I wish Petflow did not use FedEx (I did not get my package, or replacement package), Petflow was wonderful through an annoying process."/>
        <s v="Quick delivery on the dog food I ordered. I’m thankful for Petflow because they carry Canine Caviar which is a hard-to-find dog food. My French Bulldog does great on this food (no allergies)."/>
        <s v="PetFlow has great pricing and fast delivery. They also have great customer service who do a fabulous job of following up on your order! I will definitely be ordering from them again."/>
        <s v="Super easy to order from and they shipped our food and treats quickly!"/>
        <s v="Quick ordering process and they obtained the prescription from my vet just as quick where other sites never completed the process. It was smooth and I will order again."/>
        <s v="The Petflow site was easy to navigate. I found the size of the dog food bag I wanted for the right price. The communication was superb, including delivery information . I would order from them anytime"/>
        <s v="happy with my order, pup got a really cute stuffed LLama that I had my eye on, for quite a while, price was excellent, also, bella pate, not always easy to find in a retail outlet............."/>
        <s v="The case of Hill ID Digestive care was delivered damaged. When I opened the case three cans were blown and the rest had visual damage to each can. I called Pet Flow to advise and wanted to send the complete case back to them. They said prescription dog fo"/>
        <s v="I placed an order for a second time with petflow.. first time was great, however this second order never shipped and upon inquiring about the status, I was informed that “our fraud department suggested we not fill this order, take care.”… what?"/>
        <s v="Quick cat food shipping, fair price and easy ordering. All good."/>
        <s v="I ordered two packages of dry cat food : Hill's Prescription Diet Gastrointestinal Biome Digestive &amp; Fiber Care Chicken Dry Cat .&#10;I used to order it on Chewy.com or Amazon.com. For medical reasons my cat needs this food. Unfortunately and for an unknown r"/>
        <s v="took longer than we thought, but it was ok but everything was good"/>
        <s v="This was a remarkable experience! I received the wrong order. I meant to purchase 2 bags of lamb and peas large breed. I received lamb and rice. I called and the same day they shipped the correct 2 bags I wanted!&#10;This is a model example of perfect custome"/>
        <s v="Ordered my pets food that needs a prescription. You said it was in stock! I looked for a way to email the prescription to you but couldn’t find one on your site.&#10;&#10;I gave you all the information you need to verify and order to food from my vet. A week late"/>
        <s v="Product packed well. Great communication."/>
        <s v="Easy to order through my vet and super fast shipping! No complaints!"/>
        <s v="The product came on time and as described. Can't wait to order from them again."/>
        <s v="We are now 7 days beyond the promised delivery date. when I contacted the company they said I should have planned better. I'm wondering if the company even has this product!"/>
        <s v="First time I ordered from Pet Flow, my order was cancelled by PetFlow because my items were not in stock after I ordered them. However, I had been charged via Pay Pal and then had to wait for a refund. Needless to say I cancelled my auto shipment and will"/>
        <s v="My pets prescription food has been out of stock everywhere for weeks. I was recommended a replacement to help my cat while I tried to find something in stock, but then I found his diet in stock on pet flow so I chose to purchase that. Almost a week later "/>
        <s v="I was told to mail in the prescription for the product.Than I got an email that they did not have the product and now I don't have the prescription.&#10;It would have been a lot easier if I was told they did not have it."/>
        <s v="PetFlow has always delivered when expected. There have been a very few rare occasions when something happened due to the courier service, but PetFlow made it right immediately. Also, the food I buy is hard to find in local stores, but is available through"/>
        <s v="Very happy with the experience, customer&#10;Service very pleasant, and speed of order. Sorry the food is out of stock still, but would order here again once it comes back in. Thank you!"/>
        <s v="Though my order was sent to the wrong address the company made it right by resending the product to the correct address quickly and without a hastle"/>
        <s v="Easy to order, delivery was great."/>
        <s v="Quick shipping and responsive staff to customer inquiries"/>
        <s v="Seemed to take a long time from order to delivery but mist disappointing was a couple of the cans were dented and leaked all the liquid throughout the box."/>
        <s v="Excellent service, prompt delivery. Able to purchase an item I couldn’t find anywhere else."/>
        <s v="Needed to return a bag of cat food that my cats did not do well on. Wanted to exchange for two bags of a different food. Was a simple process involving one phone call. Received a return label to send back unopened bag of cat food and received my replaceme"/>
        <s v="Fantastic service! Quick delivery and the food was unspoiled and not damaged. Will be coming back for more! Kitty thanks you too 🥰🤗"/>
        <s v="PetFlow does an outstanding job when it comes to providing timely deliveries. They also have a wide variety of products from which to choose. Thank yu PetFlow!"/>
        <s v="I have discovered petflow to be a resource to depend on.&#10;The last shipment of the blue wilderness (Turkey) of which&#10;I usually order the 2 pack of 24 5.5 oz cans @ $60. free&#10;shipping included was received minus 1 carton. A quick call&#10;to Petflow with no has"/>
        <s v="They had great products to choose from. That arrive on time and fast for all things I have ever bought."/>
        <s v="There was some confusion about what and when my order was to be shipped. After a few messages my order was delivered and all was well."/>
        <s v="I went with PetFlow for our dog's food because they had the cheapest shipping rate. My surprise was although it was the cheapest it was also the fastest."/>
        <s v="Ordering was very easy and they had a much quicker processing time than other places. Customer service was very friendly."/>
        <s v="My latest order of two 15 pound bags of Fromm dog food arrived in a box that had been badly damaged and the top bag of food had a four inch slash in it. Dog food had leaked out all over my porch and entryway and, no doubt, in the FedEx truck!&#10;&#10;Pet Flow im"/>
        <s v="Prescription product was supposedly in stock until I found out days later"/>
        <s v="My dog food order always arrives exactly when promised and that assurance is why I have been a PetFlow customer for such a long time."/>
        <s v="Have been getting my dog food auto shipped for many years! I am very pleased with the delivery. Always on time and always in perfect condition. I have not ever experienced a problem!"/>
        <s v="Twice in the past week I have ordered cat food that was shown to be &quot;in stock&quot;, only to get an email a few days later telling me that it wasn't available. That is very frustrating and quite annoying and doesn't make me want to order from them again."/>
        <s v="Excellent Customer Service and Customer-Friendly policies.&#10;I had ordered Ver Diet food for my cat. I used 1 can out of the case and it turned out that my cat was allergic to the food.&#10;&#10;OI called Petflow Customer service to see if there was someplace local"/>
        <s v="I had never heard of PetFlow before, but after another company I use for pet supplies didn't have a brand I was looking for, I did an online search to find where to buy my product. PetFlow came up as being one of the companies that carried it. After resea"/>
        <s v="Fast service and delivery. I had emailed customer service and they responded quickly."/>
        <s v="Everyone was out of a particular flavor of the food my kitties really like. I added my name to be notified when it was back in stock and they did that promptly. My order experience was wonderful ... everything I ordered came thru promptly and in good orde"/>
        <s v="Got the wrong product, they did reach out but still waiting to see how we go about sending it back and get our refund.&#10;Fran Dolmage"/>
        <s v="I place a large order for dog and cat supplies on Wednesday. It received an order confirmation with tracking number. The following Monday I recieved an email saying my order would be delivered tomorrow (Tuesday) by end of day.&#10;When my order did not arrive"/>
        <s v="Website was easy to use, but unfortunately it said that one of the items I purchased was in stock, but days later I received an email that said that they actually did not have it in stock since it's backordered. They said I wouldn't be charged until they "/>
        <s v="Was so happy to find and buy these bowls!&#10;Needed small ones - ✔&#10;Needed stainless steel - ✔&#10;Needed weighted bottoms - ✔&#10;Pretty fast shipping - ✔&#10;Thank you so much PetFlow."/>
        <s v="Prices are reasonable. Shipping is fast. Happy with the ordering!"/>
        <s v="My order was cancelled because my vet for some reason wouldn’t approve the prescription food request from Petflow and said I had to give Petflow the written prescription I have. I could not find a way in Petflow systems to upload the prescription form on "/>
        <s v="You guys really should say that you have products available for purchase if you literally don’t have any in stock….."/>
        <s v="1st order - Most cans dented, 7 unusable. Customer Service ordered replacement. The replacement got cancelled as they were out of stock. I had to call again to get the refund, the system didn't know it was a replacement.&#10;&#10;A week later their site says In S"/>
        <s v="Get my name right, I did happen to type it out on my information portion of my account. Not hard figure out."/>
        <s v="Best price, service and product!"/>
        <s v="Great price! The shipping was good and everything arrived as expected. I will order from PetFlow again!!"/>
        <s v="Absolutely terrible. They list food in stock that they don’t actually have. They then hold funds for two weeks to then cancel the order.&#10;&#10;Get organized and be honest about what you really have in stock."/>
        <s v="Always get what I order in a timely fashion."/>
        <s v="They executed the order beautifully. The box arrived as expected. I ordered sealed dog treats so I have not opened fully yet.&#10;&#10;This is my second order and they have not done well on both."/>
        <s v="One of the few places that has grain free greenies and can ship them expeditiously."/>
        <s v="The product I ordered was shipped and delivered within 3 days! That’s amazing!"/>
        <s v="I was lied to from customer service. They also implied that i was stupid. We live out in the sticks and they tried to convince me that fedex was going to deliver to me on Easter Sunday. I do not appreciate being lied to."/>
        <s v="Your delivery is exceptional! I am also pleased that you carry fromme!&#10;There aren’t a lot of pet stores that do!"/>
        <s v="Easy to order, Great prices, Fast shipping.&#10;Thank you, PetFlow."/>
        <s v="Always have what I need and receive it in 2 dsys."/>
        <s v="You take orders for items you don’t have available"/>
        <s v="Order filled promptly and delivered very timely. Great service."/>
        <s v="There was a bit of confusion between PetFlow and the vet. I received an email 4 days after I placed my order saying the vet had yet to respond to the prescription. The vet said they had no record of being contacted. But after I gave the phone number to th"/>
        <s v="Shipping quick and correct. Products excellent and as described."/>
        <s v="Easy, convenient to use. One of the items I ordered was no longer in stock. I was notified and refunded immediately. There is a wide range of products available to chose from at very competitive prices. Great service!"/>
        <s v="My dog now needs kidney support food. I ordered her kibble and Pet Flow contacted my vet for authorization. We had her new food in 5 days. Thank you, Pet Flow, for being so prompt in responding to my request!"/>
        <s v="Advertised dog food they didn't have. Felt i was suckered in to get personal information. Ordered food twice. Website said in stock. They canceled both orders saying didn't have yet didn't change status on the website. Had also enrolled in autoship. Websi"/>
        <s v="I ordered food and have been waiting for a response. Let you with my vets numbers and even left a text (per instructions) and nothing. I’m still waiting for any sort of reply"/>
        <s v="I ordered a type of prescription dry cat food made by Hill's. Hill's said you had i in stock, and so did your website. I placed my order, with veterinary information for prescription approval. This probably took one day, not more than two. But as time wen"/>
        <s v="Awesome company. Will definitely be using them moving forward to order my dogs food :)"/>
        <s v="Item showed in stock. Took almost a week for them to state it wasn't available and to check back for when it's in stock. Yet when I looked at their website they didn't change the item's availability. So just keep taking people's information even though it"/>
        <s v="When I order it says you have product. A week later you say you don’t have it and cancel order. You need to change this. No for sure what is in stock. This has happened to me before. Non way to run a business. You don’t care about the customer. Doubt I wi"/>
        <s v="We have ordered dog &amp; puppy food from PetFlow for many years and always received excellent service. On our last order of 7 bags one of the bags was out of the box. It had been torn open and taped shut with clear shipping tape. There was a Fed Ex label on "/>
        <s v="Easy ordering and perfect delivery."/>
        <s v="Product bought as advertised. Online sales works perfectly. Shipping was fast. This is my second transaction with this company and am very pleased."/>
        <s v="Ordered veterinarian prescribed food for diabetic cat and was advised through email it will ship within 1-2 days. Was then emailed 6 days later with a full order cancellation. Not being aware of how to fulfill orders due to inventory issues is one thing a"/>
        <s v="Ordered but had to update my credit card. Thought the order was canceled after several attempts. After updating the card, all orders went through and were processed. Now I have three bags of food and spent more than that I intended to."/>
        <s v="Placed order based on website saying product was in stock. Vet approved prescription dog food in one day. Contacted customer service twice over 8 days to determine order status, finally on day 9 we received an email saying the product was not in stock and"/>
        <s v="The PetFlow website listed for sale prescription cat food that, it turns out, was not in stock. When I ordered that food apparently no one checked whether it was in stock, and my order was processed. I then had to jump through a number of hoops to get to "/>
        <s v="One of the kitty litter bags had small tears in it so about a third of a cup was spilled in the box."/>
        <s v="This was a good experience overall. Products we wanted were available and reasonably priced. We even tried a new product that is now a hit in our household .... thank you!"/>
        <s v="PetFlow has everything I was looking for. The items I ordered were delivered promptly without any damage to bags of kibble or cans. I’ll definitely keep ordering from PetFlow."/>
        <s v="Never received the product, After a couple weeks the order was cancelled since the product was never available to begin with. Apparently, PetFlow has no idea what their inventory actually is. I was never actually charged for the product."/>
        <s v="I love Petflow.com because they are not the big guy. They are all pet passionate people like me. They carry products I trust."/>
        <s v="Simple to order and came amazingly fast."/>
        <s v="Your customer service was, as usual, excellent, But the delivery service was not up to par because they changed the delivery date a few times, ‘tho that may have been due to weather problems which understandably is out of anyone’s control,"/>
        <s v="Great competitive pricing. The only complaint is they make it difficult to cancel existing programs. You have to place a phone call in order to do this. They do not make it possible online through your account."/>
        <s v="Customer service was easy to get in touch with and very courteous."/>
        <s v="Customer service responds quickly; very helpful &amp; courteous!- a pleasure to do business with!!"/>
        <s v="The item I ordered was ( and still is ) shown as stock on the website. It is NOT in stock. Had it been out of stock I would not have placed the order. When I called PetFlow to see if they had inventory they told me they could not check because the prescri"/>
        <s v="Mostly all my goods are damaged. Cans are bent and creased and half the treats are in the bottom of the bag for my rabbit treat sticks."/>
        <s v="I am aware no one can predict the weather. But this particular order was important. On two separate occasions I was informed my order would arrive , as it is I am still waiting. Below is the time frame, which honestly is ridiculous.&#10;YOUR PACKAGE IS&#10;On Its"/>
        <s v="I am very satisfied with Petflo and the customer service. I had to call to make a change with special instructions before my delivery and the representative was able to take care of that for me promptly, without any hesitation or any issues. I would defin"/>
        <s v="I will start by saying they ALWAYS have what I need in stock which is a huge plus. My two main issues are longer shipping times and the last time I ordered I accidentally ordered the wrong size can of food because the picture was of a smaller can. It was "/>
        <s v="High quality difficult to find dog food at reasonable prices. Fast delivery with free shipping with minimum purchase of $50 I believe is the current threshold. Been ordering Fromms Gold dry dog food from them for years, and it is always fresh and genuine."/>
        <s v="I love PetFlow! The site is very user-friendly and customizable.&#10;I don't like shopping and their home delivery makes getting my pet's food a breeze.&#10;And they carry my preferred brands."/>
        <s v="I looked Everywhere for this particular Hill's Science Diet Adult Tender Chicken Dinner Canned Cat Food 1 to 6 yrs.and you Folks were the Only Online Business that carried this Product for my Cat. It arrived safely at my Front~Gate... I live in a very Rur"/>
        <s v="I have used Pet Flow foe about 12 years. They have any thing you want&#10;relative to dogs and deliver it quickly. They can put you on a program for delivery so you don't have to call them. They also can deliver to other addresses if you happen to be out of t"/>
        <s v="They kept messing my order up double charged&#10;and one of the phone operators was very aggravating"/>
        <s v="On my first order, I ordered one small bag of dog food, my dog has a few food allergies and this was a new flavor, so a 4 pound bag would do. Upon arrival, I always check the expiration date on all food I order and noticed this bag was about to expire. I "/>
        <s v="Shipping was not as quick as it said, but once I called them they looked into it they made sure it went out that day"/>
        <s v="Shipping is fast and dog food is fresh!"/>
        <s v="Quite frankly, my disappointment is because I really didn’t order this time. My order was processed without me hitting the accept” button. It was sent any way."/>
        <s v="I chatted with a rep to see if Petflow carried Taste of the Wild wet food. It was out of stock, and rep asked if I’d like and email when the product came in. They emailed me it was in stock, I ordered it and it was delivered. My dog is a very happy pup no"/>
        <s v="Had a difficult time find the dog food and found it here! Quick delivery."/>
        <s v="You charged me for prescription cat food and for non prescription cat food, but only delivered the non-prescription cat food."/>
        <s v="One of the few sites that has Fromm dog food! Quick free delivery. I also like your give back to the pet community policy."/>
        <s v="Fair prices and very fast free shipping. I will shop here again."/>
        <s v="Fair prices, fast shipping, large assortment of products."/>
        <s v="I ordered a prescription dog food that was listed as available, then wasted time and attention coordinating with our busy Veterinarian. Was never advised the item was on back order and had to reach out to the company to find out the dog food hadn’t been s"/>
        <s v="Easy online ordering. Usually has what I need. But doesn’t ship as fast as other companies"/>
        <s v="It has been almost two weeks and I have not received my order. I called to inquire where it might be,I was told to call Fed Ex. The folks at Fed Ex told me they couldn't deliver my package because the road was to muddy,although the mail has been delivered"/>
        <s v="Ordered two items but only one was available. Real time inventory to indicate whether stock is available for purchase would help the customer."/>
        <s v="Great selection, great prices great service...."/>
        <s v="I am unable to cancel my automatic shipment. Why is it so difficult."/>
        <s v="I was able to purchase cat food here that I couldn't find anywhere else. Delivery was quick."/>
        <s v="My order did not arrive on time and my puppy was getting low on food but their customer service was friendly and willing to do whatever to make it right. I appreciate the customer service and how easy it was to connect with someone through text to explain"/>
        <s v="The canned cat food I ordered from PetFlow was out of stock at other major online pet supply retailers for extended periods of time. This special food was less expensive at PetFlow and arrived quick. My order was packed in a sturdy box with adequate packi"/>
        <s v="I have been trusting my pets needs to Petflow for several years now. My food is on auto delivery, and can be changed as needed, with no problems. The Customer service has been excellent. I have had a small issue here and there, and they take care of it ri"/>
        <s v="Right in time delivery. Fresh food! My GSP thanks y’all!"/>
        <s v="Good company to deal with"/>
        <s v="Great user friendly site; delivery has been fairly quick too. I appreciate the auto order program."/>
        <s v="I placed my order for my dogs kibble. It arrived in 2 days. Amazing so happy with petflow!!"/>
        <s v="PetFlow makes it easy to use their Autoship, easily change the dates(They let you know when it's getting ready, so you can speed it up or slow it down), and the dog food prices are very competitive, plus it's delivered to my door!"/>
        <s v="Excellent service. Quick delivery"/>
        <s v="I received the wrong size canned dog food. They could not help."/>
        <s v="Do not buy!!! First order wrong canned food, then didn’t have inventory to send correct food with no time line then requested refund after I returned wrong food next day to them and still one week later no refund."/>
        <s v="Quick and efficient delivery of prescription dog food that was out of stock at other online retailers. Petflow contacted my veterinarian right away for approval after I placed my order. Very happy with the customer service."/>
        <s v="Excellent customer service and lightning fast shipping. The Fromm's Crunchy O's are my dogs favorite treats and I couldn't locate them while traveling on our RV. I found Petflow and stocked up!"/>
        <s v="Excellent customer service and amazing shipping! THANKS FOR MAKING IT SO EASY TO ORDER!"/>
        <s v="Great shipping"/>
        <s v="Excellent Service, Fast and Friendly."/>
        <s v="The order was shipped quickly and with no problems! An easy smooth transaction!"/>
        <s v="Made the switch from the other options out there about 8 months ago and could not be more impressed. From the selection, freshness of product, speed of shipping (that puts the others to shame - not to mention arriving very securely packed without the dent"/>
        <s v="I needed an addition to my regular order and it was taken care of efficiently and expeditiously."/>
        <s v="I've been a customer of Petflow for 5 years and they are an excellent, reliable company. I rarely have an issue and when I have it's usually not on their end, but more so on the shipping and delivery end. Nevertheless, Petflow customer service always make"/>
        <s v="Best company to deal with. Unbelievable customer service!"/>
        <s v="Love buying from PetFlow. Prices are great and shipping is super fast. Am a repeat customer."/>
        <s v="Great online store.&#10;Lots of products. Good prices.&#10;And excellent customer service support team!"/>
        <s v="I give one star because I never actually received the dog food I ordered. I placed an order for prescription dog food, received notice there was an issue with the prescription so I called the vet but was told the issue was not on their end. Then, petflow "/>
        <s v="I have a 3-legged cat that was shot before I adopted him. Willie is a special guy on a special diet. I was running low. Several pet food outlets said they had none and weren't expecting to get any. Maybe it was discontinued.&#10;I should look for a replacemen"/>
        <s v="Products have always been delivered on time. Website for updating/canceling orders has had glitches on several occasions."/>
        <s v="I thought it took to long to receive my order."/>
        <s v="Hands down the best price in bulk cow ears for my dog! A local shop wanted twice as much for the exact same product. Customer for life here!"/>
        <s v="I was looking for a place that sold the food I need for my dogs at a good price, and I have found it!"/>
        <s v="I have been trying to find a prescription food for my cat and was delighted when PetFlow’s website said they had it in stock. Unfortunately it turns out that it’s probably not in stock. The website should be updated appropriately. Responses to my emails w"/>
        <s v="Easy to navigate web site, fast and efficient online ordering and delivery."/>
        <s v="The shelves were bare for the cat food that I have been feeding my cat and I couldn’t find her food anywhere. I called the company that makes her food they were out too, but I was told of a place to call, low and behold they had her food so I bought a cas"/>
        <s v="Treats almost expired. In a very recent order, I purchased multiple bags of Merrick dog treats . I just realized they all expired already."/>
        <s v="No other supplier had this cat food, and my cat really needed it! Fast delivery and service I'll buy again!"/>
        <s v="I am a returning customer, Pet Flows prices and their customers service are exceptional. I will not shop anywhere else for my doggie food."/>
        <s v="I couldn’t find my Yellow Lab her food anywhere ! I’m used to it being delivered on a regular basis. My vet found you online and let me know. Thanks to you she has her regular diet !!!"/>
        <s v="PetFlow provides and delivers product as expected. The four-star rating is because of their return policy which is stricter than the other online pet sites."/>
        <s v="Great customer service and very fast delivery! Thanks!"/>
        <s v="Petflow has always come through on my orders. Delivery is prompt. Only issue is every so often Delivery service is a little rough with the package 📦. But that's on them not Petflow Only once damage was excessive called Petflow and they took care of it."/>
        <s v="Our cats require a prescription food. Petflow has always had it in stock when others have been out of stock. A real life saver! We've never had any issues with PetFlow."/>
        <s v="Our order shipped so fast! Very happy with you!!!"/>
        <s v="I ordered 3 cases of canned dog food. One case turned out to be something different, so I called Petflow and they gave me a credit for the wrong food.&#10;I donated the case to a local Animal Shelter and I was happy with their service."/>
        <s v="Great price on the right product. When I needed help with the order, telephone help was easy and effective with no wait time."/>
        <s v="PetFlow has the products I want at a reasonable price. Delivery is great."/>
        <s v="Very hard to find my dog's prescription food, but you had it. And sent it to me quickly. Thanks so much."/>
        <s v="I truly love all the products, my dog Ginger loves them too. You are an excellent company, I really love doing business with you. You are fast and I have never&#10;had a problem with you. Thanks, Connie Sower"/>
        <s v="Great company to work with. Provides excellent customer service."/>
        <s v="Been very happy with the price I pay for my dog food. Good selection of other items for my dog. Fast delivery."/>
        <s v="Best customer service. Calls are actually answered quickly by humans that are always helpful and resolve issues."/>
        <s v="My last order was supposed to be 100 canine caviar buffalo toothpick dog treats - I was sent one in a box, so I was 99 short. Not the first time that has happened either. The most frustrating part about this time was that when I called customer service th"/>
        <s v="Vet approved! And I'm a vet ;)"/>
        <s v="I never received my order. Told my credit card was not valid. IT WAS A GOOD CREDIT CARD. There was nothing I could do to correct any info. So as a result, I will not be using your website. Sorry, I like convenience of shopping on line."/>
        <s v="The entire process of getting my dog's prescription liver support dog food was quick and easy."/>
        <s v="Great prices, fast shipping, and easy to use website. What's not to love? My new go-to place for everything my Maltipoo puppy needs."/>
        <s v="Your customer service team is fast, efficient and respectful. Thank you for hiring outstanding people."/>
        <s v="Whenever I've contacted customer service, they have always been very helpful and so nice! Their pricing is great and shipping is fast!"/>
        <s v="I am very satisfied with PetFlow feed products. I find this company dependable, while trying to keep costs within reason for the consumer. I like the convenience of many products available for dogs as well as cats. Free shipping is appreciated with prompt"/>
        <s v="My order was accurate, prompt, and a good, competitive price. So thankful we found you! We will be reordering for our sweet pups and kitties!!"/>
        <s v="First shipment of dog food was good. Second shipment had the wrong food shipped."/>
        <s v="They had what I was looking for , Delivery was quick and easy"/>
        <s v="Love the selection and the speedy delivery!"/>
        <s v="I used Amazon subscribe &amp; save for years but in the last couple of years it either is not in stock or shipping takes 7-10 days. PetFlow has no supply issues, ships immediately and is cheaper. Needless to say, I have switched both subscriptions to PetFlow!"/>
        <s v="My dog needed her prescription dog food.. My normal supplier had been out for sometime. I was in a panic, reached out to Petflow, explained the situation how most pet supplier's were out of stock of the Hill's i/d small bites food. Petflow reassured me th"/>
        <s v="Petflow never fails to provide quick turnaround times and has the food that's best for my dog. Their Customer Service folks are the best."/>
        <s v="They have the dog food I want at a price I like!"/>
        <s v="Ordered Little Stinker pads. Received in record time. Good price."/>
        <s v="Fast ship&#10;Great product line"/>
        <s v="I was excited to find PetFlow. I ordered my cat food on March 24,2022. It is now April 5, 2022. I have yet to receive my order. I am waiting and hoping it will come soon."/>
        <s v="PetFlow had my hard to find dog food in stock. Ordering was easy and shipping was very fast (2-3 days). Second time I've used them and will continue to do so in the future."/>
        <s v="Easy ordering, quick delivery. Great customer service!"/>
        <s v="I am pleased with the ease of ordering. I’ve found quick delivery on canned food but the large bags of dry food usually take a lot longer to receive."/>
        <s v="Everything went very well!!&#10;Thanks for thst!!"/>
        <s v="Although their losing me as a customer is out of their control I’m unable to give them a better review&#10;Perhaps if their leadership would utilize a more reliable carrier than Fedex they’d get my business back&#10;They do have excellent customer service and I l"/>
        <s v="Ordered Hills Rx dog food. Item was shown as in stock, with anticipated shipping date. Order was accepted. Days later I received an email stating food was out of stock…I thought good was on its way and it wasn’t even in stock. Not a good experience..first"/>
        <s v="Excellent website that makes ordering pet products a snap especially repeat orders. Really appreciate the fair prices and reasonable shipping rates."/>
        <s v="Web site shows product (prescription pet food) in stock. We ordered it and were charged. Called to check on order and told it will ship next Monday. Several days later, I get an e-mail saying the product is out of stock and my order is being cancelled. So"/>
        <s v="Purchased a cat harness. Sizing was accurate and quick delivery!"/>
        <s v="I like the great service with Petflow alot. Time and time again they have what I need for my pup!"/>
        <s v="All went well. Thank you."/>
        <s v="These ppl are so dumb, don’t bother with a third party place. Was with chewy for five years never had a problem had to switch to these *^%** for prescription food, been with them for 3 months and had to call 4 times in one wk b/c they couldn’t get anythin"/>
        <s v="Quick service, company had product not available at other sites."/>
        <s v="Petflow was the only store I could find that had the cat food I needed in stock. Their price was competitive and they had free shipping. The case of food arrived right on time."/>
        <s v="Fast shipping, good communication 👏"/>
        <s v="Great quick service. Always reliable."/>
        <s v="Excellent customer service. I had a problem with one of the items in my order, but the issue was quickly resolved. I highly recommend Pet Flow."/>
        <s v="You showed 5.5 oz cans in the photo and sent me 13 oz cans&#10;Very misleading"/>
        <s v="This company took my order for prescription dog food and sat on it over a week before canceling my order because it wasn’t in stock. By then my sick dog had run out of food and I had to order from somewhere else."/>
        <s v="Not much to add to the 5 stars. I had to call them about my billing address and they were great to work with - friendly, attentive, and very helpful."/>
        <s v="I have only done 1 set of purchases so far, but am very pleased. PetFlow had cat food that pretty much all other sites and stores do not. And, delivered as quickly as Chewy.com would have."/>
        <s v="Petflow had our Hills prescription food in stock and shipped it to us in j just a few days.Chewy stopped stocking our food a while ago.Thank you Petflow"/>
        <s v="Product in stock as needed and always shipped promptly"/>
        <s v="We are elderly. Wonderful that the heavy dog food bags are delivered to our front door."/>
        <s v="You keep on accepting my order and then you later say it is out of stock. Why not refuse to accept the order that you do not have in stock."/>
        <s v="You asked so even though I know it is horrid times to expect our shipments to to be filled 100%, because it was my dog’s only source of food and not to be notified, until shipment day you didn’t have it, wasn’t what I would have expected. Notification so "/>
        <s v="Service was awesome! Wrote an email asking about my order and it was not even an hour and I heard a response. I am a customer for good now!"/>
        <s v="I have a cat who has no teeth.&#10;Finding “squeeze” treats he likes has been a challenge.&#10;My cat loves these treats!&#10;Plus they are healthy treats."/>
        <s v="Good, fast service. Good prices."/>
        <s v="I’m very satisfied with my order from PetFlow. Due to the product I ordered, PetFlow had to notify my pets veterinarian &amp; they did this quickly.&#10;Therefore, I received my order within days!&#10;I will Definitely be ordering from them again!"/>
        <s v="You had what we were searching everywhere for. Unfortunately, 2 days afterwards, the quantity was cut in half. 5 stars for a full order, but only 4 for taking away a bag of rabbit cookies."/>
        <s v="Horrible! The lack of communication with the company and warehouse. I called and was told I would receive a call back and never did. They had me counting on a shipment for over a week and canceled it 8 days later due to “no product “ and for me to find ou"/>
        <s v="Excellent service of our favorite dog food! Fromm is the best food!"/>
        <s v="Website is easy to navigate, great pricing and orders ship out quickly...autoship makes it simple to ensure Ms Hunter always has her favorite food in her bowl!"/>
        <s v="Glad I found you. Shipped order right away, you made my dog very happy!"/>
        <s v="My 11 year old diabetic cat was out on a diet of Royal Canin PV diet. Absolutely, NO ONE had this food. I found PetFlow while surfing the web one night and saw that they had the food I needed. I ordered the food. There was a bit of a delay with my prescri"/>
        <s v="Petflow is awesome! Great customer service!"/>
        <s v="Fantastic customer service, great prices, fast shipping. I am trying to purchase less from large retails (like you know who) and haven't had to for any pet food or most pet supplies since finding PetFlow."/>
        <s v="Dog won't eat the food is so stiff if won't come out of can"/>
        <s v="My second time buying my pet food at petflow , what I like the most is the possibilito buy two packs with a better price. The delivery is free and is ok , not to fast but ok , is good to know that it took 5?to 7 days to delivery than you need to buy in ad"/>
        <s v="The process to order a prescription food is ridiculous. The instructions on how to handle the prescription are incredibly unclear and the expected timeline of when your order will be delivered even more confusing. I placed my order, immediately emailed th"/>
        <s v="Great service. You had the cat food I needed when every other place was out of stock. Prompt delivery. Thanks so much!"/>
        <s v="Availability of special diet and fast, friendly customer service."/>
        <s v="No problems. Quick and efficient"/>
        <s v="Great customer service. Always have the products that I need when I need them. Thank you PetFlow."/>
        <s v="I have been ordering from Petflow for sometime now, and I truly love it. ❤️ It's hard to find certain brands, like Fromm from your local pet stores, so I airways shop here. Did I mention shipping is pretty fast. I am happy customer:)"/>
        <s v="I was able to find the food for my cat here.He has IBD and can only eat certain foods. These kind people give great service answered all my questions. I’m very pleased with Pet Flows service."/>
        <s v="I buy crickets very often. I got 50, and 15 were dead, usually always there are some dead but this time the number was higher, not good!"/>
        <s v="Very satisfied with my order! I was notified when the treats my dog eats we’re available. They contacted her vets for the prescription information &amp; sent out immediately."/>
        <s v="Ordered prescription food on a time crunch, confided 3x with customer service it was ordered, confirmed and waiting to ship and then finally cancelled after a week. Horrible service"/>
        <s v="My dogs love the Buffalo treats! Great value and service."/>
        <s v="They always have what my parrots need and everything is fairly priced."/>
        <s v="I was able to connect with customer service about issues with my prescription and they took care of it and I received my cat food thank you"/>
        <s v="Very user friendly process, good variety of product, reasonable prices. Love the free shipping with orders over $50! Keep up the great work!"/>
        <s v="Good products and good service and delivery"/>
        <s v="My dogs' food was not available where I usually purchase it, so I tried PetFlow. They had the food and I received it the next day. I was so pleased to find a company that stocks the dog food I use and sends it quickly and efficiently. I have since used Pe"/>
        <s v="After being informed in the 11th hour from another site that my auto ship dog food was not in stock and the order could not be filled, I went to the Pet Flow site. They had the food I needed and it arrived as promised. I was very impressed and grateful."/>
        <s v="First shipment was short, contacted customer service via e-mail and a replacement item was shipped immediately. Great customer service."/>
        <s v="Very happy you carry Verus- delivery is quick!&#10;Thank you"/>
        <s v="PetFlow was fantastic. Food was in stock at a great price - even though bigger companies did not have it claiming supply chain problems. Delivery was super speedy. Customer service prompt and friendly. Highly recommend."/>
        <s v="I was relieved that PetFlow had the urinary diet food for my cat when other big name pet suppliers were sold out. Ordering ease and timely shipping were other plus factors."/>
        <s v="My vet recommended this website for my prescription cat food. I enjoy the fact that you can add promo codes when they arise for online auto ship orders. I am also able to get my cat litter.&#10;&#10;The only issue I have is that PetFlow does not sell MultiCat Tid"/>
        <s v="Have been a satisfied customer for a while with Pet Flow.&#10;More importantly our dog gets excited when his box with his favorite treats arrive.&#10;Pet Flow has acceptable prices and prompt service on their high quality products."/>
        <s v="They were fast with the shipping and awesome prices"/>
        <s v="I have never had to wait so long for an order from pet flow. My poor cat has run out of his special diet food and we have been waiting for! I order both canned and dry food for him and his canned food is in back order. I’m disappointed on how long I’ve ha"/>
        <s v="I do like Pet Flow as my go to food delivery system. Sometimes the products are a day or two late. One of my deliveries actually contained two 37.5 lb bags in one box, which I was not happy with. Also I would appreciate some packing like paper or somethin"/>
        <s v="Fast shipping, great price, and the dog food we needed! We couldn't be happier with the transaction. Thanks PetFlow!"/>
        <s v="I have purchased the Oxbow organic hay before and Oxbow is a great company. the products were fine and the time it took to get the order out was fast, however Fedex lost the first order, not unusual. The customer service rep at your company was kind enoug"/>
        <s v="There is obviously a shortage on royal Canin cat food and I called Royal Canaan and they recommended this site so I ordered a case and when they were filling my order they didn’t have any so that was that and and I still don’t have any food ordered for he"/>
        <s v="I have used Pet Flow for years and they’ve always done a good job and provided what I needed. This time they didn’t have what I needed and they were a little late in letting me know but other than that I have no complaints."/>
        <s v="I placed my $250 order for prescription dog food on a Sunday night. Received someone else’s order on Thursday. Called customer service and advised of issue. Asked that they ship correct order at no charge with overnight delivery. Was told they won’t ship "/>
        <s v="excellent service. Fast delivery"/>
        <s v="Impressed! The dog food arrived in perfect condition ....in a box that fit the bag... something that doesn't happen with other companies!"/>
        <s v="I love PetFlow for great customer service, fast and reliable service, great dog food for my babies in great price.&#10;I'm PetFlow customer since I became doggy mommy almost 5 years ago, my 2 Golden Retrievers are doing amazing on Farmina food."/>
        <s v="I adore petflow. I love what the company is and stands for and the donations they make. Unfortunately, they just don't have everything I buy for my pets so I find myself going through other companies to get them. I would love to see them grow, though, and"/>
        <s v="Good service although a bit slower than our other service (which may have been due to the vet not responding promptly)."/>
        <s v="This was my first time ordering with petflow and I must say it was great! It was a prescription food. It was faster than ordering with Chewy. Would highly recommend!"/>
        <s v="Had the product my babies needed when everyone else was out. Fast and easy checkout and fast shipping."/>
        <s v="Quickly received. I'll be back! :)"/>
        <s v="Great service! Had the items I needed and I love the giving back to needy animals!"/>
        <s v="I get the same dog food every time. Last time I ordered, it took longer than expected to receive it. But this time, it was tracked and arrived earlier than expected. Totally satisfied."/>
        <s v="Great service. Good prices"/>
        <s v="Normally I am very happy with PetFlow with the exception of some packaging missteps. This time it just took too long to get here but everything else was good. Not sure if that was due to the shipping issues the country is having now or if it was internal "/>
        <s v="I received a substitute product that would not work in my household of pets. I called and immediately the product I had ordered was sent to me from a different warehouse."/>
        <s v="Great to deal with! Fast shipping! Highly recommend!!"/>
        <s v="Fast shipping Not a big selection of fish products, but what they do carry have very good prices."/>
        <s v="All of my normal vendors were out of my baby's food, but I was able to order via PetFlow and it arrived within 5 days! Thank you!"/>
        <s v="I am very happy to have found 'Petflow'. I run a 'Neonatal Kitten Rescue' and it is vital I am able to find the same products/food I use on a daily basis. Not being able to find and purchase certain foods is critical for some kittens. I only leave one sta"/>
        <s v="PetFlow was the only location I could find the Prescription food I needed for my cat, everybody else was out of stock. It took 8 business days to get the vet. approval and to receive the order. Longer than other vendors, but at least they had what I neede"/>
        <s v="After I gave my credit card info and counted on receiving the shipment, I was then told later on that it was out of stock."/>
        <s v="The order process was great. As well-as the returns. My dog food that I ordered came in a package all tore up. Delivery by FedEx which I have issues with with other shipments. From now on I will not be buying anything on line from company's that use FedEx"/>
        <s v="Waited 2 months for my cats favorite wet canned food to come in. Finally got a notification that it was in and would be shipped to me. I noticed the address was incorrect ( old address) so I corrected it. After another week I got a notification that it wo"/>
        <s v="I just ordered from PetFlow for the first time and had a great experience. The food I needed was in stock and I was able to get a discount as a first-timer. The package arrived promptly. I have no complaints!"/>
        <s v="Good selection, prices and delivery."/>
        <s v="Love, love PetFlow. They had my cats food in stock when NO another vendors have it and shipping is fast. Thanks again PetFlow for keeping my cat happy!"/>
        <s v="I was grateful to find Petflow because they were the only company online or in store that had stock of my furboy's prescription food. As a pet parent, I was panicking. They handled contacting our vet for the prescription &amp; had the food to us within a week"/>
        <s v="Well considering i only got part of my order and nobody knew where the rest of it went and they had to reissue it. As well as it being prescription food... AND first time ordering with company.. Id say.. It didn't go well."/>
        <s v="Had competitive prices with other on-line retailers. Customer service prompt and pleasant when I called with a question. Fast shipping, all as expected. Had products when other on-line retailers were out of stock."/>
        <s v="Easy ordering...love getting the discount - really helps in this day and time.. Please continue offering more higher discounts and customers will choose you every time. Shipping was quick.. Great packaging... Thanks"/>
        <s v="Great prices on Fromm dog food! Fast delivery!! On a great product!!"/>
        <s v="I have shopped PetFlow for years and have always gotten accurate orders, fast shipping, and very good prices...especially with autoship."/>
        <s v="I didn't get the flavor cat food I ordered - it's my cat's favorite, and the reason I ordered from you."/>
        <s v="I have ordered from them only a couple of times but I received good service and a timely delivery"/>
        <s v="Great service, fast delivery :)"/>
        <s v="Petflow shipments are ALWAYS late. will not be ordering from Petflow anymore."/>
        <s v="Always helpful customer service, I've been with them for more than ten years. Much easier than schlepping to the store every month to buy their food, I have five doggies."/>
        <s v="Price is reasonable. Slow on shipping and several of the cans were dented and caved in so will check careful for leaks before I feed my dogs."/>
        <s v="I love the service. It’s so quick and every order is always correct👏"/>
        <s v="Pet-flow since they came online has been an important part of my supply chain.&#10;Reliable - good prices - helping animals&#10;Thank you"/>
        <s v="Excellent service. Thank you."/>
        <s v="PetFlow took care of my request and shipped my order rapidly. This was much apppreciated."/>
        <s v="Great product Fail on FedEx ground delivery&#10;Driver didn’t delivery on first attempt drove past my house… need to address this"/>
        <s v="I was truly in a bind trying to get prescription cat food fast for my cat with a newly diagnosed urinary tract disease. The gentleman I spoke with over the phone was compassionate toward my situation and genuinely helpful in quickly getting my prescriptio"/>
        <s v="PetFlow has been excellent with every order I have placed. I will continue to use this company and products."/>
        <s v="Usually a 5. This was only a 4 as one of the cans was dented."/>
        <s v="Petflow carries the brands of foods I use for our cat &amp; guide puppy in training. Our Guide Dog School likes us to use Fromm Family foods. Fromm is made in the USA . Fromm brand is not carried by many stores or on-line shops, Auto ship helps me be sure not"/>
        <s v="Fast Shipping! New customer very happy, Auto-Ship prices are very good!"/>
        <s v="Competitive pricing, dependable shipping, and carries prescription food at better prices than the vet's office offers."/>
        <s v="First time using this business and it was a very positive one. I ordered a large bag of Victor dog food and it was delivered very quickly. Will use them again!"/>
        <s v="Very helpful and extremely friendly."/>
        <s v="The only place I can consistently find my dogs brand of food. Easy to ordrr and fast shipping. Prices are reasonable as well. With auto-ship the prices are even better!"/>
        <s v="I purchased Science Diet Wet Puppy Food for my new puppy and he refused to eat it. I contacted customer service by email and explained my situation. That same day I received notification that I was being refunded my purchase price.&#10;That is excellent custo"/>
        <s v="I purchased an item online, said only two left, I ordered two. Got an email the next day they were our. What’s the point of having an inventory notice online if it’s not accurate and other orders are allowed the product you just paid gir. Disappointing!"/>
        <s v="Horrible buying experience. I will never buy it from you guys again"/>
        <s v="Wow Customer Service Fast and Genuine - but this is also a rare company that gives back in amazing ways. Sure they are smaller but thats where usually the care, happens. Thank you PetFlow!"/>
        <s v="Since there is a shortage of my dog's prescription diet, I called several times to get information on delivery.Every time, I had a helpful and friendly employee on the phone.They understood my concerns and did everything possible to help.My pup got his fo"/>
        <s v="I would give it 5 stars, except that the flap doesn't quite close. Otherwise it is a good door for the price that allows my 9-year old Great Dane not to have to stoop as much as he goes through."/>
        <s v="Easy to order and at a great price. So impressed that I chose to have a standing order for our beautiful Breezy."/>
        <s v="Quick response time and friendly customer service."/>
        <s v="I like that Pet Flow is accurate with the information they share with me and the options I have with my orders. That's really important to me. I'd also like to ask that the DM food I get from now on be the &quot;savory select&quot; cat food instead of the &quot;pate&quot; wh"/>
        <s v="Happy with the product however when I ordered it said it would ship immediately and 2 days later it finally shipped. I needed the dog food and with that 2 day delay it made me go purchase a smaller bag to get me through."/>
        <s v="Very easy online ordering and pretty fast delivery. I’m not able to purchase Fromm Dog food where I live. I actually found PetFlow on Fromm’s website."/>
        <s v="Very fast delivery"/>
        <s v="I ordered the dog food on March 5th. Still waiting delivery. It's been almost two weeks. My orders from Pet Flow in the past have been delivered quickly."/>
        <s v="Shipping takes too long. But I can deal with that. What is unacceptable is when you have items listed “in stock” when you really don’t. Specially when it comes to items that need a veterinarian prescription. I DON’T CARE how big of a company you are. That"/>
        <s v="Very easy to order. Prompt delivery of product ordered."/>
        <s v="My order arrived in a timely manner, beautifully packed with recyclable materials. I received discounts that compare favorably to other on-line pet suppliers. I wanted to order Fromm products, and Fromm's family-owned company will only sell through certai"/>
        <s v="Pet flow was willing to sell me a product they did not have in stock. Pet Flow said that the manufacturer, Hills Science Diet, had the pet food in their warehouse. I telephoned Hills Science Diet and they also report not having the purchased cat food in s"/>
        <s v="In my last order for dog food to PetFlow the order was first just later than expected. When I called up customer service, I was told that orders were piling up at PetFlow, but that the order would be given an &quot;expedited&quot; designation by the customer servic"/>
        <s v="Best company ever! I've used them for years. They're dependable, and refund your money if your dog reacts badly to a new food or treat, etc., or if a treat they sold has been recalled by its company, (which is not PetFlow's fault). Their prices are even l"/>
        <s v="Great service. Arrived quickly and got exactly what I ordered."/>
        <s v="My dog loves this dog food and it was very quick getting to us. Thankyou"/>
        <s v="Product almost always in stock, good variety of the brands my dogs use. Quick delivery but the packaging always arrives damaged. Likely because it’s just too heavy."/>
        <s v="I ordered two bags of dog food and it was delivered in a beat up box and dropped 10 feet from my covered porch in the rain. Sure, the seller didn't leave it in the rain but, are responsible for the safe arrival of the package. My star rating is because I "/>
        <s v="I've been buying from PetFlow for years and I'm very happy with their products and prices. The only issues I ever have is with the delivery companies CONSTANTLY changing the delivery date. Otherwise I LOVE PetFlow!!!!"/>
        <s v="Service was good and efficient, price seems a bit high...44 pound bag of dog food was twice the price I would have paid for a 50 pound bag at Walmart, but with transportation down would order again"/>
        <s v="PetFlow always comes through for me! No complaints!"/>
        <s v="Perfect timing to get my prescription food for my kitty"/>
        <s v="Until now, I have had no issues with PetFlow - order food for dog - dog food delivered promptly.&#10;&#10;This time, I ordered the dog food as usual, and have waited, waited waited for it to be delivered. Three days after getting this request for a review, I have"/>
        <s v="This is the only place that has my dogs treats. Customer service has been great with changing a delivery date due to weather and checking on expiration dates."/>
        <s v="You got always what I need for my pets and more. And the shipping is always on time!!🤗"/>
        <s v="Super slow at shipping. That makes me not use them often"/>
        <s v="Excellent service delivery etc! I love PetFlow!!"/>
        <s v="Im so happy to have found you! You will have a customer for life"/>
        <s v="My box was damaged along with the contents inside. I emailed explaining what happened and was not satisfied with the customer service. Will never be ordering from PetFlow again and will tell everyone I know not to. Horrific."/>
        <s v="fast excellent service"/>
        <s v="Good prices and fast delivery! I will continue to order from you all and recommend your site!"/>
        <s v="I placed my order and then called toMAKE SURE that the product was in stock. I was told the product I wanted (24-5.5 oz can) was not available but they would change it to the 12-12 oz. cans. I told the gentleman that it wasn’t my first choice but if he pr"/>
        <s v="I love Petflow. Shipping is fast, customer service is great and i especially love the fact that they feed shelter animals every time you make a purchase!"/>
        <s v="Excellent service, dependable"/>
        <s v="We are very happy with PetFlow. They always have exactly what we need and we receive all products in a timely manner."/>
        <s v="With Petflow I have been able to find good, quality pet supplies at exceptional prices and I usually receive my order the next day. I have no complaints."/>
        <s v="I contacted PetFlow about getting food for my dog. The representative had the information already on file and was extremely helpful. She notified me of the automatic refills and I received the food after three days. Very efficient and I would recommend th"/>
        <s v="Product was great but delivery took 4 days. To long for the premium price"/>
        <s v="You usually deliver quite quickly but this took a week. In addition, there was just one sheet of brown paper and many of the cans were dented."/>
        <s v="Real quick in shipment and correct item,resonable price."/>
        <s v="I've always had good experiences with Pet Flow. But the last order had some issues. A bag of dry dog food had a hole in it, and some of the cans were dented pretty badly. Well, I contacted their customer service and they sent out a completely new order fo"/>
        <s v="3 times I have ordered from your company, and each time the shipping has not been what was stated. It has each time shipped later than the stated ship date. When I would inquire, there would be &quot;excuses&quot;. Your prices are the same as competitors, but their"/>
        <s v="The PetFlow folks are always helpful! Great products for my animal kids! :) Thank you!"/>
        <s v="Would not accept a copy of the prescription for medications. Wanted it MAILED! Caused further delays. Other online firms don't require this."/>
        <s v="I am very pleased with PetFlow ... the pet food I was needing was not in stock at a local big box store that normally has the best price. PetFlow had it in stock, smaller poundage, however with their $10 off first 5 auto-ship orders, I was able to get mor"/>
        <s v="Had the products I wanted and received items quickly."/>
        <s v="Timely delivery and had my cat’s prescription food when other vendors did not."/>
        <s v="I did not hear from Pet Flow quickly that they could not fill my order of specific dietary cat food, but they cancelled my order and I believe will not show on my credit card. I understand there is shortage of pet food right now, but their website said in"/>
        <s v="I ordered a food which my pets really need since it is prescribed. It was out of stock, but I wasn’t told promptly. I had to contact support to learn they were out and planned to cancel my order days later ."/>
        <s v="Great products, fast shipping."/>
        <s v="Excellent product quality; very professional customer service; prompt delivery"/>
        <s v="I love PetFlow. They feature my dog's brand of food, which he has eaten since birth (Fromm), as well as a good selection of treats and toys. Ordering is a breeze online, and the deliveries are prompt (even with all the delays in the supply chain and deliv"/>
        <s v="My dog was given dry dog food, canned dog food and Pet Flow dog food, all at the same time. He rooted around until he found the Pet Flow; That is always his first choice. He loves it"/>
        <s v="Outstanding company with great service, prices and fast shipping."/>
        <s v="They always seem to have our dogs food, whereas as certain stores rarely do, and I’m continuously told that it’s all due to COVID. which I’m sick of hearing. Yet, PetFlow always comes through, which is why I’ll continue to purchase our dogs food through t"/>
        <s v="I feel that if you sent the prescription authorization for all 10 bags of food to my vet they would of be authorized. By sending over a script for 2 bags then another for the remainder bags caused a problem and 2 script was denied for being a duplicate."/>
        <s v="My products were delivered in a timely fashion and no damage to any of the cans."/>
        <s v="Great deal, kept me apprised of the status, and arrived as promised."/>
        <s v="I have been a customer of PerFlow for years. Always happy with the products they carry and their Customer Service department."/>
        <s v="I was waiting for my order on 3/02/22, shipped on 2/24/22, delay in Arizona, delay in San Diego 3/05/22, delivered on 3/06/22, I don't know the delay problem.&#10;Felipe Lopez"/>
        <s v="Website is ease to use, service has been good, prices reasonable."/>
        <s v="excellent prices, fast shipping. Thank You!"/>
        <s v="Received fast shipping on product and prompt and courteous customer service from Petflow reps."/>
        <s v="PetFlow had the food that I needed for my dog in stock and less than 24 hrs of placing the order, my vet sent in the script and the food arrived within 2 days. Int was great ti be able to find the food that was hard to find on other sites."/>
        <s v="Excellent customer service. Great and fast shipping. Very pleased."/>
        <s v="We have used PetFlow for dog food purchases for about a year. Everything about the service was great. However, my low rating is based on the Customer Service interface on their website. I discovered I can buy the product cheaper locally, and tried to canc"/>
        <s v="The Beef Pizzle Steer Bully Sticks Dog Treats gave both of my shih tzu's terrible diarrhea and I only gave them a small piece."/>
        <s v="I have ordered online for the convenience, but your delivery company has made it inconvenient. I am sorry, but trying to carry a large heavy box from my condo mailboxes to my unit so it is not stolen is too difficult. My daughter will pickup the food at h"/>
        <s v="Easy to order and find items on your web site. Fast delivery and friendly help."/>
        <s v="Great prices, dependable, free shipping!"/>
        <s v="My dog food arrived quickly and was just what I ordered. will use pedflow again. Thanks"/>
        <s v="I ordered an &quot;in-stock&quot; item which took two weeks to receive and then it was the wrong item!! First and last time ordering from this company"/>
        <s v="They had the food when no one else did and shipped it quickly. Happy Customer"/>
        <s v="Fast delivery of the perfect puppy food for my little baby! Going to order some more puppy treats so glad to offend you all"/>
        <s v="Delivery is a little slow. I sent coupons to you but they were never applied to my account. They should have been sent back to me. That’s bad business!"/>
        <s v="The prices are comparable to other sites but PetFlow offers coupons and deals that keep bringing me back to shop here. Shipping is fast too!"/>
        <s v="The lid on my automatic dog feeder and water combo was broke when I got it"/>
        <s v="It was easy to place my order, and delivery was in a timely manner. I will order again from PetFlow!"/>
        <s v="With shortage of pet food currently challenging all pet owners, I appreciate your quick shipping policies. I realize that it is hard to keep stock on hand and you certainly helped us secure supplies for our 2 cats. Thanks for the prompt service and we loo"/>
        <s v="Prompt when shipping items in stock. Not so prompt in communicating when items are back ordered. And the website shows them still in stock. I placed an order my vet approved February 15. I checked on it February 22 and was advised the WET food was cancell"/>
        <s v="Packaging was poorly done on feed bags, needs to send in stronger boxes"/>
        <s v="Everything arrived in good shape, happy with my purchase."/>
        <s v="Great products and fast delivery. Recipe for success"/>
        <s v="It is helpful to have pet food delivered. Pet flow gets my order correct and it comes on time. Thanks."/>
        <s v="Thanks for having the food I wanted when no one else did. Quick delivery too!"/>
        <s v="Always reliable for stock and fast shipping"/>
        <s v="My order was shipped fast, well packed&#10;It was here in a timely manner. Very pleased with transaction. Will buy from again. H."/>
        <s v="Shipping is too long and items aren't shipped together"/>
        <s v="Great first time buyer experience, delivered in a timely manner and in good condition."/>
        <s v="Great customer service, easy online ordering, prompt action and delivery. Thanks PetFlow"/>
        <s v="For years I have been happy with Petflow."/>
        <s v="PetFlow prices are very competitive and their shipping speed is excellent. I had a question once and received a reply within MINUTES, not hours or days, like some other companies. Very pleased with PetFlow!"/>
        <s v="What a GREAT Company! Fast shipping, great products! When I searched MANY sites for my cats favorite brand (with no luck), I found PetFLOW, very happy I did. Would highly recommend."/>
        <s v="Some cans were damaged and dented. It would be good if the products are in good shape prior to shipping."/>
        <s v="I was so impressed, the package was delivered within just a couple of days. Impeccable execution!"/>
        <s v="Not happy back order food, reordered and delivered without the discount. Thinking about switching to Chewy."/>
        <s v="Hard to give a review when I haven't received my order yet, because it has been delayed 3 times. I know that times are hard for a lot of companies so I'm going to keep my fingers crossed and hope the cat food gets here before our cats eat us ..."/>
        <s v="Quality Dog Food, Good Prices, Fast Delivery"/>
        <s v="They always have what I need in stock at reasonable prices and I usually receive my order within a week. Great customer service too."/>
        <s v="Love it. Great place to shop"/>
        <s v="Every time I reach out to PetFlow, they resolve an issue almost instantaneously. My cat food cans came completely dented and partially opened, they replaced all of them quickly; my $10 off coupon didn't go through, they credited it immediately. Their cust"/>
        <s v="The cat food I bought to help my cat lose weight is inferior to Purina products in every measurable metric. These varieties contain ingredients that should never be fed to a cat."/>
        <s v="Great service, great quality, great prices"/>
        <s v="The Instinct dog food is great. Howeer the Fedex shipping sucks. The package sat on the truck for 2 days being listed as out for delivery, as common occurrence. I would order from Petflow more if they did not use Fedex."/>
        <s v="When I order my food is always delivered very quickly without any delay or problem. We have been getting our two dogs food from Petflow for years now and are very happy with the service we have received."/>
        <s v="I really enjoy PetFlow! You have all the dog food products I need, &amp; it’s delivered in a very timely fashion."/>
        <s v="I wish you could get expiration dates on products before they ship especially on auto ships?"/>
        <s v="As a new customer with 4 cats and a feral family of cats I've been pleased with the product selection and the timely shipping. Thanks!"/>
        <s v="My first order and it was easy and arrived quickly."/>
        <s v="Great customer service over the phone as I was concerned About being out of food and they were receptive and put the order as a STAT order."/>
        <s v="Very happy with the delivery process and how fast it arrived."/>
        <s v="A year ago I would have given you five stars, but in the last two months, or maybe three, you have not been able to deliver the kind of pet food my dog eats (Honest Kitchen turkey or chicken), and the last time I ordered Stella's beef, you sent only a ver"/>
        <s v="I am very satisfied, fast delivery, discounts ..."/>
        <s v="Great prices, communication, and follow up. Always a pleasure to do business with."/>
        <s v="Thank you so much for getting Charles his food so quickly. He's had Pancreatitis for almost a year which means he is on a very strict diet of prescription foods only. I order on Monday and you have Charles his food by Thursday, Friday at the latest. Thank"/>
        <s v="Easy to place an order and quick and timely delivery."/>
        <s v="Fast and easy!! Helpful customer service and great products"/>
        <s v="Fast delivery and quality product. Damage that required disposal of some product but unclear if result of shipper or not."/>
        <s v="Appreciated the quick turnover and delivery of y prescription dog food and the good communication about timing"/>
        <s v="Good price - fast shipping."/>
        <s v="I like the decent prices and fast delivery. However every package arrives damaged everytime. The contents are often damaged too. They would get a higher rating if that is remedied."/>
        <s v="For the last three shipments, it ran into several issues.&#10;For various reasons, my shipments were delayed.&#10;I no longer can rely on the fact that my dog's food will be delivered in a timely manner.&#10;I am looking into over options"/>
        <s v="Great selection, Received everything quickly, on time and as ordered."/>
        <s v="Two month's in a row they messed my orders up so bad I had too buy dog food to get them through until delivery. It caused my dogs upset tummies. Loose poo and itching doesn't make them, or me very happy.&#10;&#10;I have had issues before but this is the last time"/>
        <s v="Got the prescription promptly after poor start. Now all is well! Good service fixing the early problem."/>
        <s v="I cannot give a review as yet because my product has been back ordered for some time. I am a first time purchaser at Pet Flow and found the website to be easy to navigate. I browsed through the site and found so many good products ... products I will defi"/>
        <s v="Great Service ! Fast Shipping !"/>
        <s v="I was pleasantly surprised at how quick I received it."/>
        <s v="I love ordering from petflow for all my pets needs! Dog food, cat food, treats and anything else that my pets need... I love that they are a small business and they have great customer service and always keep everything I order fresh!! I have been buying "/>
        <s v="Petflow had what I was looking for and at a good price and the shipping was fast."/>
        <s v="It took way too long to receive my order. Chewy does a much better job."/>
        <s v="We received our order on time and free delivery was convenient."/>
        <s v="I LOVE PetFlow! Easy ordering and QUICK delivery! Never any issues at all! So glad I found this company!"/>
        <s v="Love pet flow! Have used them for over a decade. Highly recommend. Any customer service calls are quickly resolved but I have only had 3 the whole time!"/>
        <s v="Customer for years. Pet flow is our favorite dog food center!"/>
        <s v="The price is fair, and delivery was quick."/>
        <s v="The prices are good, shipping was quick, and I was kept up to date from the order confirmation through the delivery notification."/>
        <s v="We and our cats loved all the toys we selected and they arrived safely and&#10;in a good amount of shipping time. Will order more in the future!"/>
        <s v="I’ve ordered twice in the last couple of weeks. Prescription cat food and Nexguard and both times they reached out to my Vet in a timely manner and I received my orders within a few days.&#10;Will definitely use them again."/>
        <s v="Good prices, fast shipping."/>
        <s v="PetFlow maintains a huge assortment of animal foods and provides prompt shipment."/>
        <s v="Was told shipment would arrive in 3-4 days. Was told on fifth day being delivered between 10 am and 9 or 10 Pm. Didn’t arrive until 3 days later and no one worked over weekend to assist me.&#10;&#10;Good prices, bad info. Order well in advance of day needed."/>
        <s v="I changed my address 2 weeks before moving in November, placed an order for 2 weeks after the move, and my food was still delivered to the wrong address. Customer service never fixed it. Placed another order in Feb and it was also delivered to the wrong a"/>
        <s v="Pet flow did everything correctly. Fedex lies and claims they deliver packages when they do not."/>
        <s v="I feed a very good, high quality dog food. I live in a small town and unfortunately the little store where I purchased my dog's food stopped selling all pet products. I was going to have to drive 45+ minutes each way to another city to get dog food. A fri"/>
        <s v="Good selection and prices during a difficult time but I was disappointed that two items I ordered turned out to be out of stock but that was not indicated at the time I placed the order. I only found out later when the in-stock items were shipped and as a"/>
        <s v="Petflow is great. They consistently have my pups dog food in stock as well as some cool toys ."/>
        <s v="Everything is wonderful except for the fact that it’s difficult to cancel reoccurring orders. This shouldn't be made into such a hassle that I have to call for that to be done."/>
        <s v="Happy I made the switch!&#10;&#10;I recently switch from a competitor to PetFlow for all my daily pet needs. I made this switch because their prices were simply better (lower) than the leading competitor for same or similar products. Delivery service is as good, "/>
        <s v="No problem with company but will only ship with FEDEX and Fed-Ex lost my package. SO never received my order from PetFlow and what I ordered has been on backorder ever since."/>
        <s v="Bought a case of cat food from PetFlow, as Chewy was out of stock at the time, and product did not ship for over a week. At the end of the week, I cancelled the order and emailed customer support, which confirmed order would be cancelled. Two weeks later,"/>
        <s v="My order arrived on time in great condition and my pup loves her new food."/>
        <s v="Super easy shipping and processing experience. They contact the vet directly and deliver incredibly quickly."/>
        <s v="Treats were shipped really fast and was a better price and service compared to Amazon."/>
        <s v="Fast delivery, especially good for heavy stuff. I just wish there was a wider variety of cat treats and toys. The dental treat that I wanted to get was sold out, it's been sold out for a while. Hope, it's restocked soon."/>
        <s v="The ease of ordering and how fast my order arrived was awesome!"/>
        <s v="I had the best girl with customer service who was able to secure a nice discount for our auto ship order! Thank you!"/>
        <s v="The system has twice now changed my auto delivery date to a year in the future, making it impossible for me to correct it online and schedule an immediate delivery because I am only allowed to select a delivery date AFTER the last delivery, which accordin"/>
        <s v="Placed my first order with Petflow and had a issue locating my order details. I contacted Petflow customer service and received a a response within 24 hours that resolved my issue. Very impressed with their response to my questions and received my order o"/>
        <s v="I love Petflow's selection and mission. Please try to have your shipping times better reflect how long it will take. With the supply chain issues, it would be better to say a package will arrive later and be happily surprised if it arrives early vs. sayin"/>
        <s v="PetFlow’s shipping was quick and efficient. I love that my order is helping others in need. I’m glad that my pets’ food and supplements are available through Pet Flow. The only thing I ask is to add Merrick Canned Dog food with healthy grains."/>
        <s v="I had a problem and their customer service rectified the problem.&#10;Very pleased with how it was handled"/>
        <s v="Fast shipping, product arrives in great shape no holes or banged up boxes. Auto ship is flexible and ways to edit. Great notifications for shipping and arrival. Always fresh food with good dates."/>
        <s v="Most of the representatives I spoke/texted with, were wonderful. I was disappointed because while waiting for prescription dog food to ship, I was given a few different responses depending on who answered Petflow customer service line.&#10;But now I received "/>
        <s v="Took a little longer than estimated for it to ship, but that's probably the manufacturer... availability being what it is right now for pet food. I am extremely happy to have found another resource for prescription kibble. Fast handling &amp; shipping when re"/>
        <s v="Pet Flow order came even faster than expected."/>
        <s v="I ordered Prescription Science Diet CD canned food. It arrived on time. This is the first time I ordered from PetFlow. I hope to order from them later intime."/>
        <s v="My cat Winnie loves Nutro wet cat food and I was able to find the wet food Winnie loves. PetFlow sent it right out to us quickly. I am Happy I found PetFlow."/>
        <s v="Food is shipped quickly every time and communication is excellent. Wish they'd get rid of the one button in checkout that makes you check &quot;just ship once&quot; every time."/>
        <s v="I have relied upon PetFlow for hard to find foods even from online sources. Their product delivery is fast and reliable. Their website is efficient and easy to maneuver. No problems have cropped up, as happens sometimes on amazon. I have always been pleas"/>
        <s v="Pet Flow was the only place that had the prescription food I needed.&#10;They were very helpful by making my order a critical ship so that I would have the food in time for my pet to be boarded."/>
        <s v="I have been shopping at PetFlow and am very pleased with their products, price &amp; service. They are prompt on shipping and keep you informed if there are any issues with your order. My dogs love the bones &amp; beef tendons."/>
        <s v="Never received what I ordered. 4 days later they told me it was ever in stock. I will never order again from this loser company."/>
        <s v="I appreciated being informed that you were out of an item. I was refunded promptly. I had ordered 2 to take advantage of free shipping. I inquired if I was going to be charged shipping on the one item. It took some time to verify that I wouldn't be charge"/>
        <s v="No complaints. :-)&#10;I got what I wanted, and it came soon."/>
        <s v="This company stinks. I ordered enough to get free shipping. Then they email me and say they do not have the dog feeder that was the entire reason for the purchase. So I ask them to cancel it. It was already shipped, so I ask can I return it , they said ye"/>
        <s v="I ordered prescription cat food said it was in stock but it wasn't after waiting for shipping confirmation that never ca.e. After several emails I was informed that you canceled my order ."/>
        <s v="PetFlow needs some serious work on its auto-ship program. I am supposed to get a shipment of dog food every three weeks. My auto-ship records show my last Shipped: 08/28/2022 and my next Ship Date: 09/19/2022. Considering this is only February, your auto-"/>
        <s v="You provided excellent service. My order was shipped when I was told and it was complete. I will definitely be reordering. Thank you!"/>
        <s v="Fast easy ordering and my dog loves the food."/>
        <s v="PetFlow is a wonderful place to get everything for your furbaby. Their prices and stock are superb and they ship immediately. I’m so glad I found them."/>
        <s v="We’ve ordered from this company many times and have only had one issue which was out of their control. Canned food arrived badly dented but Pet Flow immediately issued us a replacement. Other than that, their delivery service is fast and good. I would rec"/>
        <s v="I reached out to customer support. They responded very quickly and were very helpful and easy to work with."/>
        <s v="I have not received my order and have not heard back from Petflow."/>
        <s v="You had the prescription food I needed when no one else did - thank you!!"/>
        <s v="I texted Petflow with an issue I was having with my account. They contacted me shortly afterwards, asked for my email address associated with my account, and fixed the issue within minutes. The associate who helped me was polite, informative, and a pleasu"/>
        <s v="Shipment Was MUCH FASTER than Chewy within my own State whose ship center is Only maybe an hour away from where I live!!! THANK YOU as I had ran out of food for my dogs, and this shipment was well packaged And Super Fast!!"/>
        <s v="I adopted a special needs cat, and we rely on Hill's Prescription Diet Digestive Care canned food. He came to me with a 48 can supply, and it works really well for him to maintain his weight and keep his tummy happy. It's the only food he can eat without "/>
        <s v="On time when product is available"/>
        <s v="Great product but I knew that glad I could get it delivered.seemed almost twice as expensive as my local source"/>
        <s v="Great shop,low price,fast delivery."/>
        <s v="No issues, order was received quickly except for the Bengals shirt, wasn't in time for the game but understand it."/>
        <s v="Great deals on dog food with quick delivery."/>
        <s v="This was my first order and was pleased with the entire experience!&#10;Looking forward to ordering when I need food again!!"/>
        <s v="I ordered the Van Ness medium crock heavyweight dishes. The dishes were delivered in a timely manor and in excellent condition. The price was outstanding, we are very happy with PetFlow and will order again."/>
        <s v="was disappointed in how long it took my order to get here."/>
        <s v="Petflow was efficient with excellent customer service! Will continue to order from this fabulous pet source!!!!"/>
        <s v="My order never arrived. Fed Ex said it did but there is no 30 pound box of dog food anywhere."/>
        <s v="By requiring our vet to set up an account with your company, you made it impossible to purchase our cat’s prescription diet. So we went with another company that easily connected with our vet and got the job done. Your customer service was friendly and ea"/>
        <s v="I have had my dog food delivered by PetFlow for several years. All was good until the last 3-4 mo. of 2021. My orders were delayed to the point of having to go to a retail store and purchase dog food on 4 occasions. One order was 20 days late. Thankfully "/>
        <s v="Very angry with you, because I could not buy the food for my puppy, since you asked the veterinary clinic for a code in the mail that you sent, and they did not know what the code was, I hope that in the future you will cause fewer problems and help more"/>
        <s v="Pet Flow never disappoints me or my fur babies! My orders are sent quickly and always correct. Rarely do I have to call customer service and only if I need to make a change to my auto orders. I am a very loyal customer and don't plan on changing! ❤"/>
        <s v="Easy ordering quick delivery. Makes it so easy thank you"/>
        <s v="I ordered a product&#10;&#10;There was some type of glitch in my credit card process&#10;Waited and waited for the delivery&#10;&#10;Finally called and then was told of the issue.&#10;&#10;No email&#10;No notifications&#10;&#10;Just left in the dark&#10;&#10;I ran out of dog food for my dog while at my"/>
        <s v="This was my first order with PetFlow. They had product in stock that I couldn’t find elsewhere. And they shipped fast. Very pleased."/>
        <s v="With the problems today about getting pet food it is reassuring to me that when I order food for my cat or dog it is never out of stock. Well done and thank you!"/>
        <s v="The site shows in stock when in fact it is not.&#10;When you call customer service they tell you it was just purchased &amp; it’s now unavailable&#10;Yet a few days &amp; now weeks later it still shows it is in stock&#10;This place cannot be trusted"/>
        <s v="I’ll have an opinion when I confirm the “new” bag my dogs food came in. And more often than not, the bags are sliced/ripped open slipping in the box they’re delivered in resulting in having to get a new bag which costs your company more money. Your staff "/>
        <s v="Use a different shipping company. Took 7 days to get to me !"/>
        <s v="My cat had emergency surgery for bladder stones. I had to immediately switch his food and everything was prescription level. I couldn't find it anywhere locally. This happened over the weekend. The price from pet flow was among the lowest I could find if "/>
        <s v="The shipment was packed the best that I have seen. No bent cans. Package was far better than other vendors that I have bought from."/>
        <s v="I have been using auto ship with this company for quite sometime and have liked the product for my dogs. Recently tho the food we choose has been out of stock and this disappointing. Hopefully this will be in stock again soon!"/>
        <s v="My Papillons love Fromm Duck &amp; Veg. I mixed it with their old dry food &amp; they would sit &amp; pick out the Fromm Duck."/>
        <s v="The order was filled as promised. I ordered aquarium supplies (Gravel and lighting) and arrived as ordered. Shipping was a little slow, but there were delays due to weather from FedEx. The New Jersey warehouse was out of one of the items I ordered, but qu"/>
        <s v="PetFlow provides everything I need for my senior dog, Nora. Prices are competitive, items are in stock, quick delivery and outstanding customer service. We are happy and loyal customers."/>
        <s v="I ordered cat food.&#10;The order didnt go through - PetFlow said that the vet didnt think they were a reputable vendor.&#10;Never heard that before..."/>
        <s v="Have been using PetFlow for years.&#10;&#10;Love the price and free delivery. Phone staff are always friendly. Products are what I want for my furrbabbies.... Usually get them a toy. Great selection."/>
        <s v="Website listed my cat's prescription cat food as available, so I ordered it. Several days later, I receive notice that it is out of stock. So now my cat has to go a few days without her prescription cat food. This was my first time using your company, and"/>
        <s v="Very nice company to work with. :)"/>
        <s v="I was very pleased with the order that I received and how promptly it was delivered and I certainly recommend this company for your pets food. Ordering online was very simple and I'd say I received my shipment within maybe less than a week after I placed "/>
        <s v="Available inventory and good pricing made this the go to choice to feed my pets."/>
        <s v="I like shopping at Petflow, have been doing it for over 4 years and like ordering Nutrisource dog food since they are probably the only ones that carry it online. Lately I've been taking advantage of their 20% discount on Nutrisource but on the negative s"/>
        <s v="You had my hard to find food&#10;I like your tracking method&#10;Arrived timely"/>
        <s v="Lady who took my order was very professional, knowledgeable, helpful and caring. She placed my order fast and without any trouble. Great experience."/>
        <s v="The one thing about PetFlow is they just get it done. You order your product you get instant verification and confirmation to your email and then when shipped you get the tracking number along with any updates from the carrier that might come up. This is "/>
        <s v="I shopped online for Royal Canin Digest Sensitive Cat Food and your website showed you had it in stock. I placed 2 orders each for 24 cans within 5 minutes of your website updating that it had stock. Your email confirmation stated that the first order wou"/>
        <s v="Great company. Product arrived quickly and not damaged. I am a very happy customer."/>
        <s v="Very fast and accurate delivery.&#10;Thank you,"/>
        <s v="Good price, quick delivery, good product"/>
        <s v="They have the food I want for my dogs and it arrives quickly."/>
        <s v="I just want to share a WOW from PetFlow. I received the collar I purchased but the release button was so difficult to open that I called to ask if easier to just buy a new one or replace it first. The guy was sooo nice he said &quot;no that’s fine we will ship"/>
        <s v="Everything is always prefect. Packaging and shipping is great."/>
        <s v="Love Petflow. They have the Fromm brand I want which is hard to find for delivery.&#10;&#10;I sometimes wish packages would come quicker but last delivery was faster than previous.&#10;&#10;Good prices. Easy checkout process. Like that they save previous orders. I don’t "/>
        <s v="My first time using g Pet Flow. Very pleasant experience."/>
        <s v="Have a good product selection....prompt delivery and give discounts for long time customers. Thanks."/>
        <s v="Transaction was perfect. Ordering was easy. Shipping and handling was completed in a timely manor. Order was received as ordered. Henry was thrilled with a new ball. Pleasant surprise."/>
        <s v="Excellent service. Arrived quickly and very healthy dog food."/>
        <s v="Excellent shipping. Excellent packaging. Competitive prices. Easy ordering."/>
        <s v="They have a great selection of foods, I love that they help pets in need and they offer rewards for referrals."/>
        <s v="Excellent source for my sweet frenchie’s needs. Wonderful customer service! They very quickly replaced 2 cases of canned Fromm's that were damaged in shipping. And I enjoy looking thru the site to find special treats and maybe ANOTHER toy 🤣🤣🤣"/>
        <s v="PetFlow had the brand of dog food I needed and it arrived in 2 days! Your online ordering was quick and efficient. Keep up the great service!"/>
        <s v="Wonderful company. The shipping time was super fast and the customer service team was very helpful. I had an issue with my order and when I called customer service they were quick to help solve the issue. I have never used petflow before but I will stick "/>
        <s v="Excellent Transaction!"/>
        <s v="Your company sucks I'm never buying any thing from you again ."/>
        <s v="Cat food in stock! Quick shipping, everything in good shape."/>
        <s v="I am very happy with my order from Petflow. I found cat food on their site that I was unable to find any where else. It was shipped quickly. Great place to shop for pets."/>
        <s v="Super fast shipping and easy to deal with. Processed my dogs prescription food fast with a straightforward process. Switched from Chewy who were awful to deal with."/>
        <s v="I have had a very hard time finding taste of the wild wet dog food anywhere for my dog and pet flow had it. I ordered it and they sent it right out. Their site was easy to use and the ordering process was easy as well. I will be using pet flow again"/>
        <s v="Petflow has been charging me for dog food they couldn't source. They charged my credit card for two bags of dog food but only delivered one. I had to call monthly to get the refund after showing them the shipping weight did not equate to the 2 bags, but o"/>
        <s v="Pet Flow is doing an excellent job of coping with the shipping issues generated by the pandemic. I appreciate that you keep me informed about my orders and shipments as you deal with events that compact my order. It enables me to plan for our pet needs. T"/>
        <s v="all are OK, thank you."/>
        <s v="I am so thrilled with the fast delivery and awesome service. Thank you for the great job"/>
        <s v="As a new customer to Petflow, it is worth nothing that their website, prices, and delivery was outstanding and exceeded my expectation. Thank you."/>
        <s v="Excellent service. The price was right and the delivery was super fast."/>
        <s v="Hello&#10;What a difficult experience... Ordered Rx food for a very sick kitten on January 25 th, then reached to customer service on the 28th to enquire about the timelines, for a local store was out of stock, and was running out of food for the kitten, then"/>
        <s v="Freeze dried dog food if handled wrong will arrive as powder. Order arrived next day in excellent condition. Thank you!"/>
        <s v="I've used PetFlow for a number of years now and have not been disappointed once - even during the crazy shipping times of covid. Their site is easy to shop and they provide me with lots of flexibility when I need to adjust my standing dog food shipment. I"/>
        <s v="Easily found the dog food I wanted! Many other sites and All local stores were out of the Royal Canin Yorkshire Terrier Loaf in Sauce that both my daughter and I feed our Yorkies! Not only did you have it but the delivery was exceptionally quick! Even ahe"/>
        <s v="Finally found a store that has my preferred dog food in stock! Thanks for your prompt service!"/>
        <s v="1. Wish you had a place where buyers could communicate with shippers upon purchase on where to place packages. Shipper left package out on stairs in full view of potential thieves. Packages need to be placed inside of my 3 ft. gate at front door.&#10;&#10;2. Seve"/>
        <s v="Petflow online shopping is a great way to shop. We live in a rural area not a lot of places to shop. At Petflow I can get Fromme pet food for my pets to eat healthy. I also can get healthy treats for my pets, if not for pet flow online I would be driving "/>
        <s v="THESE TAIL WAGERS ( beef rib bones ) ARE SO LOVED BY MY DOGS BUT I AM ONLY ALLOWED TO BUY 6 AT A TIME WHICH I DON'T LIKE BUT THEY ARE WAY CHEAPER THAN PUBLIX WHICH IS WHERE I WAS BUYING THEM. I WILL CONTINUE TO PURCHASE BECAUSE THE DOGS LOVE THEM BUT I MA"/>
        <s v="Price was good, shipping was good, but one bag of rabbit food (out of about 6 identical bags in the order) was not rabbit food but Hampster food. To their credit I did not pursue this or notify them of the problem. Just wasn't worth my time. I need things"/>
        <s v="Repeat customer - love them"/>
        <s v="It is so nice to have a reliable way to get what I need for my cat!"/>
        <s v="first order and didn't have any difficulties or problems."/>
        <s v="I ordered treats for my fur babies. I got a great price on them. This was the first time I had ordered. Got the treats in a few days.. Best service. Thank you"/>
        <s v="Product was on time buy packaging was smashed. You need to strengthen you packaging."/>
        <s v="Enjoyed the prompt service. Will use them in the future."/>
        <s v="I’m happy they had the product I need, and that they’re willing to do the AutoShip. The only thing is that I requested for it to be delivered by the 4th and now it’s going to be five days late so I had to go somewhere else and pay full price in the interi"/>
        <s v="Delivery is always super fast and much appreciated."/>
        <s v="prompt service and competively priced."/>
        <s v="Paid for order to only be refunded days later as it was not in stock. Though it is not the fault that dog food companies cannot get the ingredients to make the food; it is Petflows fault that the food appears on the website as being in stock when it is no"/>
        <s v="Ordered 3 products. Two were out of stock. I contacted Petfllow multiple times to cancel the two out of stock products. One cancelled correctly, but the other already shipped so I received a $20 off inconvenience discount on it. Then after all that, two o"/>
        <s v="I ordered prescription dog food and it was listed in stock. Placed the order and sent in the prescription to the email listed. Two days later got an email saying they were having difficulty getting the prescription. I sent it again and they confirmed rece"/>
        <s v="Local vets out of prescribed cat food . Could not find any anywhere on line either even with a popular and well known pet supplier. Accidentally found Pet Flow and they had the food out cat needs. They got the prescription right away and processed I sent "/>
        <s v="Items shipped wrong twice! Customer Service promised to let me know if the items were discontinued or if they were going to replace them (yet again), and never emailed or called back. Terrible Customer Support. Still haven't been credited back for my item"/>
        <s v="Quick service n delivery.."/>
        <s v="Items arrived promptly. I'm very pleased they offer bones made in the USA which my dogs love."/>
        <s v="I would have preferred to get my items a bit sooner as I have from other pet vendors. I also wish I could get the grain version of Honest Kitchen's base mix. I had to go elsewhere to do so."/>
        <s v="We started using pet flow a year ago to order pet treats.Our regular place was out of stock, so I searched around &amp; found Pet Flow.They are better priced and price doesn't go up and down constantly.Super easy to order but if you need to call,customer serv"/>
        <s v="I have 4 macaw parrots so the A&amp;E toys I ordered are the same quality I have ordered for 2 years now from other companies. Price was reasonable and shipping time very reasonable. Plus I paid no shipping costs. Will definitely order again in a couple month"/>
        <s v="Very easy to use and very fast shipping! Thank you, I will use you again for my future orders."/>
        <s v="From start to finish, my order was handled with professional ease. I will continue to purchase from PetFlow!"/>
        <s v="I ordered puppy food through petflow because it was the only place beside Amazon that I could get it. I was getting a new puppy on Tuesday and I chose petflow because it said one-day shipping. I didn't choose Amazon because there's was two-day and I neede"/>
        <s v="I recently ordered 15 pounds of kibble, it was delivered quickly, and the next day I found out my puppy had some dietary restrictions. I contacted PetFlow and they were very helpful. I was able to return the unopened bag and receive a full refund! I am so"/>
        <s v="I have ordered from Petflow almost 10 years! The service and prices are wonderful!! Your staff is so responsive and knowledgeable!! Best quality of products! Would never use anyone else!! I’m a true fan!!"/>
        <s v="The right products, delivered on a timely basis, and in good shape!"/>
        <s v="The reason why I did not give 5 stars because it’s not vacuum sealed I guess for easy stocking of the product but it won’t be fresh anymore! Who ever is I charged of the stocking the product put a pin hole in each bag. Tell me if I’m wrong."/>
        <s v="Very happy that what I need for my dog is in stock, and it ships in a timely manner.&#10;Thank You&#10;Jean Havens"/>
        <s v="I signed up for the automatic order, to find this dog food my dog would eat, that according to reviews was healthy (Friday, January 21, 2022, 10:27:02 AM EST, Pet Flow wrote: Order received order 9788976 ) . My order did not get a tracking order at first,"/>
        <s v="I placed my order 11 days ago, I still have not been advised when it will be shipped."/>
        <s v="My order was canceled and no one bothered to tell me.... first time trying to order ... not happy with this"/>
        <s v="I found Petflow after searching high and low for the Royal Canin PV wet cat food when the company I usually buy from was out of stock. Due to the nature of the situation with our cat, it was very important we located this food, and thanks to Petflow and t"/>
        <s v="Sent me the wrong product twice in a row. Customer service was great in apologizing and refunding my payment after two wrong shipments, but I shouldn't have to go through calling them twice for a simple order. I think they need to educate their warehouse "/>
        <s v="They carry the Fromm food our jack russell terriers love. Great website, easy to find what we want. Reorder function makes shopping easy. Orders ship quickly. Been using this site for several years and we are very happy using."/>
        <s v="Absolute scam of a company. Twice now they have sent an auto-ship that I had paused and charged me. Then when you call they want you do go and ship it back to them, for their mistake instead of sending someone to pick it up.&#10;&#10;Also, you can't cancel auto-s"/>
        <s v="I was running really low on my dog Pete's dry food.&#10;I could not find Royal Canin Adult Bulldog food anywhere over the last month. Even my automatic delivery sevice was out of stock.&#10;I looked online and Petflow had it in stock!! Yippee!&#10;I ordered it, with "/>
        <s v="Ordered from Pet Flow for the first time; my dogs food arrived quickly and I got a great price on the food. Wil be ordering again"/>
        <s v="I still haven’t received my product. It was estimated 2-3 days for delivery and we are almost 2 weeks out. No updates whatsoever."/>
        <s v="This was my first order with Petflow. One item arrived in days but the other item is still pending with zero communication. If it’s out of stock as it is in so many places, just communicate that."/>
        <s v="I went online to order my dog’s prescription food &amp; it showed that it was in stock. When I ordered It said that I would receive in about 5 days. When this date past I emailed the response made no mention that it was out of stock. 2 days later I called &amp; w"/>
        <s v="Order as expected and on time, prices great value"/>
        <s v="PetFlow was literally the only source for my dog's Hill's HypoTreats which are on back order. Customer service was really helpful and product was delivered on a timely basis with adequate follow-up."/>
        <s v="always get my order fast and accurate!"/>
        <s v="My experience overall has been very positive during the past two years. My order is processed and shipped within a reasonable timeframe. It has been very convenient to have heavy bags of dog food delivered to my door. Petflow also helps me to keep from ha"/>
        <s v="Fast shipping. Great prices…..Amazing customer service!"/>
        <s v="Website showed the prescription food I needed as available for quite some time since I placed my order. I received my shipment of toys and no food was delivered. I called on the status of the prescription dog food and was told I would get a response back "/>
        <s v="I had a problem with a shipment not being delivered. PetFlow solved the problem quickly and kept me informed."/>
        <s v="I am so impressed with every stage in purchasing the cat food I needed. I set up auto purchase that gave me a discount but when I went to check out they did not have enough to send so I thought i would lose it. No same deal. They notified me every step of"/>
        <s v="Always pleased with PetFlow. Been with them for years."/>
        <s v="Very fast shipping which is really important. All the products I need are on this website"/>
        <s v="Good Food, good $ and delivered to the front door!!!&#10;Great Service too!"/>
        <s v="This was the first time I ordered from Pet Flow. They were really great. I got my Order within a few days. Will definitely order from them again"/>
        <s v="Your service has been very good. I will continue to use your products."/>
        <s v="Have been ordering from PetFlow for more than 15 years and have never been disappointed with their service and prices. They keep you informed on the progress of your order and items arrive in a timely manor. Auto ship is the best service they offer."/>
        <s v="Always very helpful/professional/understanding if you have a question or concern. Or if you need guidance on something. Willing to match pricing and more than likely do better than competition. Only down side is they use FED EX who leaves the package some"/>
        <s v="I love this company. I have always got what I need from them. You should give them a try."/>
        <s v="I like that some of my auto ship order wasn’t ready for shipment and you shipped each individual packages automatically without charging me a shipping fee even though the contents of either package didn’t meet the cost requirement for free shipping. I’m s"/>
        <s v="I have been ordering from PetFlow for years now even have auto ship it works out great and have recommended it to friends."/>
        <s v="Fast, convenient delivery, never a problem! So much easier than shopping at the pet or grocery store! Love Petflow!"/>
        <s v="Always reliable with super fast shipping and a lot of choices.&#10;Highly recommend!"/>
        <s v="My experience with petflow has been all positive they care about there customers.😎👍"/>
        <s v="This was my first order, it arrived promptly, PetFlow was the only vendor that had the item in stock, I would and will order from this vendor again, very satisfied with them."/>
        <s v="Food came in a timely manner"/>
        <s v="Ordered dog food and the food was received in a timely manner. Never had a problem with PetFlow!!"/>
        <s v="Ordered a veterinarian prescription diet for my dog. The food was delivered promptly in 2 to 3 days. This was at a time when the food was back ordered and couldn't get it at many other places. Will now be using Petflow as my main supplier. Been very happy"/>
        <s v="Perfect !! Every order"/>
        <s v="Although there are supply issues, the customer service team is excellent and so helpful!!!! I also receive e-mail letting me know they are still on top of my backorder when it comes in."/>
        <s v="I love pet flow! The shipping is fast and their prices can’t be beat! Super cute products and a great variety of dog treats"/>
        <s v="PetFlow not only had what I needed but also at a price that was lower than where I purchase locally. My order came in a timely manner and I received free shipping which I was very happy about"/>
        <s v="Petflow has always been there w/full answers. Great delivery. No B.S. about anything..."/>
        <s v="PetFlow makes it easy for me to get a specialty dog food that I am unable to get locally as I live in a rural area. So far no damages to any of my shipments and delivery has been fast. I also like how they have a variety of toys at reasonable prices."/>
        <s v="I've only used your company once so I can't give an honest opinion of Pet Flow.&#10;What I can see is that you should look at switching which company you ship with or at least give options of other shipping companies. FedEx is horrible. I used u use them at t"/>
        <s v="This is the second ordered I placed with you. I had hoped it was going to be a lasting relationship. Sadly, it is not. In the first case, I placed my order, only part of the order was shipped when it arrived I was notified that the other item was out of s"/>
        <s v="Great website! Glad I found it as an alternative to my usual. My usual store was out of a specific food and I was able to find it here for a good price."/>
        <s v="Website and order process were both easy. Shipping was efficient"/>
        <s v="Better prices than Chewy, fast shipping! Thank you!"/>
        <s v="First time buyer. Impressed by variety and choices of products. Wonderful service."/>
        <s v="Hi, For over a week, told me food item was in stock and would be shipped shortly. Called several times and was told the same story. Yesterday I was emailed a message that it was out of stock and they would let me know when they had it in inventory. That d"/>
        <s v="Thank you! Kitty’s love theirs items"/>
        <s v="I phoned prior to placing an order to verify that my finicky cat's food was in stock and informed that it was. Three days later, it still hadn't shipped. When I phoned again to ask when it would ship, I was informed that it was out of stock.&#10;&#10;I should hav"/>
        <s v="So glad I found PetFlow, recently I moved to another city and State and I was having a hard time finding the food that my Standard Poodle had been eating, I ordered from another company when I was getting low, however 3 weeks after my order I still had no"/>
        <s v="I order a bag of Fromm dog food and the process could not have been any smoother. The order came very quickly. I would definitely order from PetFlow again."/>
        <s v="I couldn’t find the pet food I have been using in stock at all of my regular vendors so I tried PetFlow because they had it and I have no complaints! Shipped and arrived on time and I was sent updates along the way which I really appreciate."/>
        <s v="I ordered purina pro plan veterinary diet HA on 1/14/22. It showed that it was in stock and my prescription was verified, but as of 1/25/22 still has not shipped."/>
        <s v="Placed order by phone on the 14th. Was told the order would ship either that evening or Monday. Never received a shipping notice so I finally called on Wednesday to check on status. Was told by recording to leave a message and a rep would get back to me. "/>
        <s v="The company Carries great products and is quick to respond with customer service. If you wish to cancel your auto ship, it is cumbersome, but it does get done.&#10;The biggest drawback is that they use FedEx as their shipper and no other option. FedEx is abso"/>
        <s v="Your website and customer reps have no idea if products you have are in stock&#10;I place and order thinking you have food for my pets then I get an email stating food is on back order&#10;I need a more reliable company that has food in stock to buy"/>
        <s v="When I order a prescription diet cat food it should not take 4 phone calls to get it shipped. This is NOT optional food that can be replaced with something else temporarily. It is something my cat NEEDS to live. On my first phone call I was told the autho"/>
        <s v="This was my first time using Pet Flow. I found the site very east to use, and the package came earlier than expected, with no problem in packaging. They deserve a 5 star!"/>
        <s v="I got my exact order very quickly. I was impressed because I buy online often and it usually is not what I ordered, poor quality, shipped in separate boxes and/or late as all get out.&#10;Not PetFlow! All nice quality, good condition, quick delivery in same b"/>
        <s v="Web site ordering and auto-ship process is terrible -very clunky and has caused problems with orders twice now Most recently resulted in receiving double order of 44 lbs of dog food and charged 2 different prices. Texted customer about this almost a week "/>
        <s v="My last order had 2 items that were out of stock and therefore didn't make my monthly order. I received communication regarding one item being shipped upon it being restocked but the 2nd item was never acknowledged, restocked nor substituted for."/>
        <s v="Easy to order, prices are comparable and shipping right to my door, great. I've had one order that was messed up. I called customer service and the lady was very helpful, professional and quickly fixed my issue. Petflow is fantastic. The only issue I'm ha"/>
        <s v="In a world where cat food is an item on the hard to find list, I googled “Where can I find….” And discovered your website. I am thankful you were able to supply, and continue to supply, the food my kitties love. Thank you"/>
        <s v="Good selection, easy to shop, and a good price, The only thing I could ask for is a way to check order status. If it's there, I couldn't find it. Otherwise a very good first experience, and I'll be back."/>
        <s v="So happy to find y’all and be able to order and receive the product. A lot of places are out. Thank you!"/>
        <s v="the worst, don't buy from them. they screw everything up from the spelling of my name, my phone number and not telling me they were out of something i paid for and it was an urgent order."/>
        <s v="The pet service I usually use was out of the cat food I needed. You had it. Your service is as good or better than what I usually use. You were fast and you kept me aware of its status. You have a new customer, I’m very pleased! Thank you!"/>
        <s v="Unfortunately my last 2 ordered have taken over a week to arrive. The last order apparently got &quot;stuck&quot; in the system and sat for a week in &quot;order shipping&quot; status, promoting a phone call to resolve."/>
        <s v="The plus with Petflow is that they carry Fromm and they don't price the product more than anyone else. Maybe the company controls that. Either way, that is the plus....however........shipping takes way too long. That is where Chewey excels. We are all in "/>
        <s v="Very accommodating. Whenever I have to change my auto order they have no problem changing the date."/>
        <s v="Horrible customer service, repetitive delays in the purchases and buy with PetFlow made my life harder, it lost the good convenience that I previously had."/>
        <s v="Petflow has most of the items that I need for my fur babies. Fast delivery and good communication if something in my auto ship program isn't available. Their customer service is the best!!!"/>
        <s v="Received text stating it was being shipped that day(12th) Six days later received another text stating was being shipped that day(18th)"/>
        <s v="I thought I was ordering small (5.5 oz) cans of dog food based on my item search and photo results. However, unknown to me, the 5.5 oz cans were out-of-stock so the order defaulted to the larger 13 oz cans, which is what was shipped to me. These larger ca"/>
        <s v="arrived quickly and in good condition. Just what we needed, especially when these are so hard to find."/>
        <s v="6 out of my 10 items were cracked. The packing was horrible . And even though I heard from someone finally today . Now your out of stock for my items . You did put the money back on my card I really needed those items"/>
        <s v="Love PetFlow! Been using them for years!!!"/>
        <s v="Part of my order was defective and I wrote to tell them so. I received a form letter of acknowledgement back, but it took 3 days for an actual response. The item is being replaced, but has not yet shipped and I think their customer service is pretty poor."/>
        <s v="As soon as I gave him his first taste he wouldn’t leave me alone after he ate lol what a great come back"/>
        <s v="Great. I initially got only two of the four items I ordered . But the rest of the items I ordered came the next day."/>
        <s v="This was my first order from PetFlow, but it won't be my last. The dog food that I needed was available, the website was easy to navigate, and the order arrived on time. I'm a happy customer."/>
        <s v="This would be five stars. Customers service was fast friendly and helpful. I deducted 2 stars because my order took so long to arrive...this was i m sure due to unforseen circumstances like our recent weather,covid and such however I was told at the time "/>
        <s v="Ordering dog food and treats online works out great!"/>
        <s v="Packaging has improved, the 30lb bags I order are FINALLY coming in the proper sized boxes &amp; my last very large order (8 bags) were packed well and the tape held…a first. Your Customer Service on the phone was awesome luckily for me because I find the web"/>
        <s v="Good selection of pet food. Easy to order and shipping fast."/>
        <s v="Great service, quick shipping. I've been ordering Fromm dog dog food for over 4 years from PetFlow and have always been very satisfied with their service."/>
        <s v="My dog is on a prescription dog food and I couldn’t find any. I called PetFlow and talked to the sweetest lady who helped me set up my order for recurring so I don’t have to worry about it. I’m sorry I cannot remember that lady’s name but a big shout out "/>
        <s v="I ordered a 25lb bag of dog food along with a 3.5lb of dog food. When the delivery day came, I only received the small bag. So, I called Pet Flow To find out what happened. Seemed they ran out of my dog's food at the nearest Wearhouse and had to send it t"/>
        <s v="Great on time delivery. Box and contents in good condition"/>
        <s v="Petflow tries very hard to do what is right. I had a code for $10 off. On-line it took the discount &amp; then on the receipt, it was gone. I left a message and someone called me back. He didn't question the perc and immediately took the $10 off. Congrats for"/>
        <s v="30% of my deliveries have had slashes in the bag so I haven't been able to use the food. I've complained and most times they sent me a new bag but very inconvenient."/>
        <s v="Ordered nearly two weeks ago Rx dog food. Status was always “shipping”, had to hound (no pun) them for status. Finally just gave up and cancelled the order. Look elsewhere."/>
        <s v="great service, prompt delivery"/>
        <s v="Good selection and reasonable shipping times. Always have trouble ordering"/>
        <s v="i was very happy with service from customer service......."/>
        <s v="The one reason I placed an order with this Company was for a specific item they listed on their web site. I had to order another very small item to qualify for free shipping so I did. I was later informed the main item was no longer in stock and never had"/>
        <s v="Was disappointed on my order, the item I ordered was out of stock and replacement with something else without informing."/>
        <s v="I give one star only because 0 wasn't an option. I placed my order, then get an email stating that the product I ordered was unavailable, in fact discontinued. Then I start getting emails saying my payment through PayPal wouldn't authorize...worked fine f"/>
        <s v="The box was falling apart- I can't imagine how the delivery driver managed to carry it to the porch. Fortunately the bags of food are intact and not&#10;damaged."/>
        <s v="Excellent. Order on time. I will order something soon. Thank you"/>
        <s v="I really loved my experience with PetFlow. The items I ordered were well packaged and arrived in a timely manner.&#10;I plan on continuing to do business with them."/>
        <s v="Fabulous website &amp; excellent customer support &amp; service 👍"/>
        <s v="I placed my order on 09-January and did not receive my package until 17-January. I was expecting shipping to be sooner and I almost ran out of food for my 9 working dogs. Although I appreciate that PetFlow carries Open Farm, I will not be ordering the Dr."/>
        <s v="Excellent company. I made a mistake and had to cancel an order and it was “ no problem”. Fast, great service … highly recommend."/>
        <s v="Great Company to order products wanted since Pet Store where I normally gets them have quit handling these wonderful treats. Great service also."/>
        <s v="First order for new puppy food that wasn’t available locally. Process was easy, delivery was on time and packaged well. Will order again."/>
        <s v="Horrible customer service. I order food for my dog. They charged but didn’t send it. I called them a week later and they said they didn’t have it in stock meanwhile they charged it already. They sent it later on without a hurry. 10 days later I haven’t re"/>
        <s v="I spent a lot of time with my review. So I will submit but beware you have to accept certain terms and conditions to submit a review.&#10;&#10;Everything went fine for a year and a half. Our dog needs a prescription diet. Then for the last shipment, they said the"/>
        <s v="accurate and timely delivery&#10;&#10;thanks"/>
        <s v="Ordered prescription cat food. My Vet approved the prescription in one day. Waited a week with no delivery. Called customer service and was told as soon as the pharmacy warehouse sends it out, I’ll get an email. After waiting 10 days with no email or food"/>
        <s v="It has taken too long to receive my order. Finally got one of the items, but can't even download the shipping information for the other item. I ordered prescription food for my dog-- something I needed in a timely manner."/>
        <s v="Always there to answer questions and to help out!"/>
        <s v="Being told it was delivered and it wasn't. I di nt receive the shipment until several days later, This is not acceptable!"/>
        <s v="Only received 1/2 of RX cat food order placed in December 2021.&#10;No way to check on line.&#10;Calls to customer service have not resulted in any feedback as to status."/>
        <s v="Placed order 1/3/22, being advised shipment would be made within 2-4 days. Never received shipment; called every few days - continuously received same story ... to be shipped within 2-4 days. Now 14 days later, still have received nothing ... including an"/>
        <s v="Excellent customer service. Patiently worked with me to solve problem with order."/>
        <s v="Generally timely and professional service. My major reason for not buying everything through Petflow is your use of FedEx Ground to deliver packages. In this area (North Georgia) FedEx is terrible. Most delivery packages in this area go through their Aust"/>
        <s v="My order was fulfilled in two days without hiccups. Great prices, products and shipping!"/>
        <s v="PETFLOW is the only supplier I can get the cat food my cat likes from. I can get the food he likes in bulk. And it is at a good price. He eats a can every day of one kind. And he is very picky. Thanks for being there."/>
        <s v="Check your bank balances people! If you’re on AutoShip even if you’re not. Check your bank balances. The food is great. My dog loves the food. No problems there. I bought 2 44 lb bags of this dog food for the first time on November 8 for $148.40. So then "/>
        <s v="No problems with the product, but shipping was VERY slow. Allow 10 or more days to get your food from them."/>
        <s v="Overall I love PetFlow, but in this particular case where my auto-ship was delayed due to out-of-stock conditions I feel I was not notified sufficiently quickly enough to react. As a result, the Hills Prescription cat food I had ran out and I needed to sw"/>
        <s v="They make it easy; love how they call your vet for prescription food. Fast deliveries"/>
        <s v="Called PetFlow to see if I could get Meow Mix They were very helpful and&#10;I ordered a Multi Pack Box. I received it right away. Everybody was very&#10;police and nice. Will definitely use again."/>
        <s v="Have ordered from PetFlow many have always had fast efficient service"/>
        <s v="My package was stolen and they reached out and provided me with a new bag at no cost."/>
        <s v="Petflow helped me out in a pinch when other companies were out of my cat’s prescription food, Petflow came through for me. I really appreciate that as she is older and needs her special food."/>
        <s v="Reasonable prices, quick fulfilment and delivery. It's always like this. Thanks"/>
        <s v="My order arrived incomplete, and it was downhill from there on. I don't have time to detail my problems trying to get things straightened out. I had been satisfied with my experiences with Pet Flow in the past, but this was a total mess."/>
        <s v="They could not deliver. I called and called and received excuse after excuse.Ended up cancelling my order and order through Amazon!"/>
        <s v="My auto ship from Petflow is so easy to use. It's easy to add or remove products depending on what my animals need that month. And if I end up needing something extra I can order and receive it quickly. On the rare occasions that something is backordered "/>
        <s v="Have ordered my furkids prescription food several times. Your customer service has always been great."/>
        <s v="Pet flow still carries the brands I feed my dogs and at fair prices. Some outlets don't have the variety and choices I find on pet flow."/>
        <s v="Dog gates are sturdy, shipped quickly. Great service!"/>
        <s v="The app is difficult, I tried to cancel the order and it didn’t work. I am going to stop the pet flow auto matic orders. They are difficult. I had a double order the time before. Too much trouble to change! M Upotn"/>
        <s v="Pet Flow shipments are always ontime and there is sometimes a discount."/>
        <s v="Great selection, ordering was easy, and my order arrived quickly and in good order. My experience was very positive."/>
        <s v="Products have been great. With all the limited choices, due to allergies, I have been great full to find what I need"/>
        <s v="I ordered dog treats from the company my order was delivered within 3 to 5 days through the Christmas holiday two bags came cracked I called and they re-delivered two more bags and didn’t charge the customer service was really good it took no time to get "/>
        <s v="Product delivered on time as promised. Quality is excellent."/>
        <s v="Not good service, a lot of back and forth and useless waiting"/>
        <s v="I would usually leave 5 stars, but my pups dog food on several occasions has arrived late - So in result - I’ve had to go to stores to buy the same kibble."/>
        <s v="Shipping dates are really slow, which can be annoying for thing you cannot get locally. They always run 2-4 days later than expected it seems. When you have 5 hungry parrots, that can be an issue! They also have a limited selection of foods for dogs and b"/>
        <s v="I placed my order Thursday the 6th. Asked by chat if Saturday is a business day...it isn't because the warehouses that have the supplies don't work weekends. Fine. Was told it would ship Friday and maybe FedEx would deliver Saturday, but I would have it M"/>
        <s v="First Time customer&#10;Easy online ordering&#10;Great Price&#10;Delivery prompt&#10;I’ll be sharing this company info without a doubt"/>
        <s v="My two kittens were recently prescribed a hydrolyzed protein diet. Because of the Pandemic, the food was next to impossible to find. Petflow had the products that I needed and quickly processed and delivered my order. I’m so grateful to have found this si"/>
        <s v="Still haven’t received my order! This is an awful experience! Will be my last"/>
        <s v="Reliable and excellent."/>
        <s v="order place has stalled on Colorado from vegas on its way to Indiana. tracking is not being updated and the response time to email is a day or more behind."/>
        <s v="Customer service is top notch! I love that I can message about my order in an email or text and get a reply quickly. Great discount for new customers and a constant supply of my pets food. Thank you pet flow!"/>
        <s v="I really like your products, the frequency of communication about a shipment and my pets are happy too! ☺️"/>
        <s v="Pricing good. I was kept informed of delayed shipment due to weather. Will buy again!"/>
        <s v="I was luckily to find what I needed at a great orice! Shipping was fast and because I met the minimum I got free shipping. Will shop again!"/>
        <s v="Been with Petflow going on 5 years now. They always help me if I need specialty food or just basic pet food. So many choices and the treats too! Thank you for meeting my expectations in each box I receive. Fan for life!&#10;&#10;Denice"/>
        <s v="Delivery was quick and I'm very happy with the RED gravel. RED gravel is hard to find."/>
        <s v="25% discount on quality dog food&#10;is perfect"/>
        <s v="PetFlow falsely advertised a food as in stock then withheld the funds they took from my account. I was diligent thankfully but despite my best efforts it still took 3 calls to customer service to get my money back. Each CS rep provided conflicting info wi"/>
        <s v="Very Fast service. Great deals on the food I purchase"/>
        <s v="Placed an order for a prescription dog food on 12/27/2021 which your web site said was in stock, which was a surprise because all other pet stores were out of stock. Received a confirmation with an order number, pending charge on our credit card. Pending "/>
        <s v="Would really like invoice included with shipment. Would alleviate one step in filing claims"/>
        <s v="Great customer service. An order was placed and an item was missing. I sent an email to report it and they sent the item out immediately, no questions asked. Will continue to be a customer"/>
        <s v="Easy to order, great price and fast shipping."/>
        <s v="PetFlow came through when other trusted online pet food providers dropped the ball. Even with the order itself and managing FedEx - they kept engaged until the entire was completely fulfilled and delivered... Service is tough to put a price tag on. THX Pe"/>
        <s v="Horrible communication, useless customer service, promised e-mails never received, “in stock” item still not received after 11 days. New tracking number refers to item already delivered, not item still waiting for. This was my first and last order."/>
        <s v="They have the dog food I use; but, not the cat food. They are slower to deliver than other sites."/>
        <s v="Good, fast service."/>
        <s v="Pet flow staff have been knowledgeable, polite and able to meet my needs every time I have called. The products carried are high. Quality and competitively priced."/>
        <s v="Great to do business with. Very fast delivery. Will use again"/>
        <s v="Each order comes as anticipated and very timely."/>
        <s v="First time ordering from PetFlow. The online ordering process was quick and easy, and we received the order very promptly. Highly recommend Pet Flow!"/>
        <s v="PetFlow has a great selection and affordable prices on a variety of dog and cat foods. They ship quickly and always send notifications on the status of your order."/>
        <s v="Ordered three bags of dog food, one was delivered promptly the other almost two weeks to arrive and when it did one of the bags had opened and spilled kibble all over the box."/>
        <s v="I’ve ordered from Petflow for over 5 years.&#10;Ordered always delivered on time. Prices are righteous. Highly recommend"/>
        <s v="Never did get my order and it took 3 days for you to let me know it was out of stock"/>
        <s v="My dog, Hannah, absolutely LOVES this new pet food, She smells it from the other end of my house and comes running, waiting impatiently only to devour it in no time! Plus, the delivery was prompt. Thank you so much!"/>
        <s v="Very fast delivery. Great discount 20%.&#10;Thanks"/>
        <s v="My order arrived on time and complete. One product I wanted to order was out of stock, but there’s an option to get an email notification when it’s available which is extremely helpful."/>
        <s v="I’m very happy with Petflow. They were great with me and my vet to get the vet to prescribe Canine TD’s. (My vet was not so nice!)"/>
        <s v="Been a customer for several years now. Reliable shipping and excellent email notice to help me adjust my autoship if needed. Excellent customer service by phone when needed."/>
        <s v="Out of the last ten orders, three were messed up and did not deliver on time. One of which required our cat sitter to go to a specialty pet shop to get food while we were on vacation."/>
        <s v="My recent order was delayed due to weather and the shipping company. When I spoke with the Petflow customer service they were helpful tracking the package and keeping me posted on when it would be received. I appreciate this help."/>
        <s v="I didn't get my delivery but when I talked to the customer service man, we discovered I hadn't changed my address at Petflow since I moved in May. It got sent to the old house. But he went ahead and sent a replacement to my new address. He was very kind, "/>
        <s v="I have received numerous orders from this company, and they are always accurate and timely. That's why I will continue to order from them."/>
        <s v="Quick response to my order with delivery time, kept me updated."/>
        <s v="My order came in good time. I have been unable to locate Hill Science Diet food through my usual sources, however, PetFlow came through with flying colors. Not only was I able to obtain some of the wet food I normally feed my cats but I was able to obtain"/>
        <s v="Very good company with a wide selection of products. Timely delivery and easy to order. I like this site very much!"/>
        <s v="Great selection of product. I have always found my selections in stock. Deliver is unbelievably fast."/>
        <s v="Coupons never are useable for purchase of Fromm dog food.&#10;&#10;Delivery is by FedEx. In a word FedEx is lousy. I realize this is another company but they are making PetFlow look bad and they chose them."/>
        <s v="My Buddy LOVES the treats from PetFlow!! On my last order one item he dearly loves was left off because it was out of stock. To my surprise, when PetFlow's new shipment arrived they sent the item!! SOPLEASED!! Never has that happen with any company (that "/>
        <s v="Competitive prices, great delivery, honest and trustworthy."/>
        <s v="Overflow consistently delivers high quality cat food to my house. What could be better?"/>
        <s v="My cat passed away unexpectedly a couple days after Ordering her prescription food online. I contacted customer service via text - very convenient option. They were not able to return the food because it had already shipped, but when I shared my situation"/>
        <s v="I love the convenience, but PetFlow’s online ordering set-up is SOOOOO difficult to use. Result? I’ve had multiple, unwanted shipments, no matter what I do.&#10;&#10;For months, I’ve tried to get rid of an extra auto-ship program. I cancelled. Chat reps cancelled"/>
        <s v="Love the extensive variety of pet foods especially the better brands. Prices are comparable to or better than others. Delivery is quick. Only one constructive feedback is the shopping cart view. I would prefer it could be full screen."/>
        <s v="I still haven’t received my order.&#10;&#10;I ordered some dog food, and a $2 chinchilla chew to get free shipping.&#10;&#10;The chinchilla toy came quickly, and it was in a HUGE box that could have fit the bag of dog food that I ordered as well.&#10;&#10;The dog food still has "/>
        <s v="I've been buying quality pet food from petflow for about three years. They carry quality brands, they have excellent customer service, and their website is easy to navigate. I like the autoship option which is also easy to edit, so I have only great thing"/>
        <s v="On time and best price. Good by Amazon!"/>
        <s v="I had trouble finding my cat’s prescription food. Customer service was marvelous and ultimately I was able to secure a bag for her."/>
        <s v="Place the order 11 days ago and still no shipment yet. Call them a few days ago and was informed that it was ready to ship but still no info whatsoever."/>
        <s v="Very timely service. Thanks!"/>
        <s v="Great + quick delivery! Thanks"/>
        <s v="One of the few places I could find what I needed, at a great price was the cherry on top. It shipped quickly and got here fast, i now have some happy cory catfish."/>
        <s v="always get my order quickly and good prices too"/>
        <s v="I was pleasantly surprised that PetFlow had the special canned cat food that I was looking for and couldn't find locally. Additionally, the shipment was very well packed and arrived quickly. This was my first time to order from PetFlow, and I was impresse"/>
        <s v="Everything came to my home in time before I ran out of dog food. The one toy was slow but it all still made it to my home so the dog could enjoy it."/>
        <s v="Love this company always have what I order&#10;Shipment comes really fast&#10;Never had a problem with PetFlow"/>
        <s v="Great products!&#10;Great prices!&#10;Fast shipping!&#10;Employees on phone are so courteous,helpful and knowledgeable!&#10;Exceptional place to shop!"/>
        <s v="Easy website layout and good selection of pet food! I love the Fromm dry cat food selection and my cat loves his treats too! My cat approves Petflow!"/>
        <s v="Excellent quick delivery with best pricing - will definitely be a returning customer"/>
        <s v="My initial shipment was damaged, but the CSR was extremely helpful and sent me a replacement promptly."/>
        <s v="It's been over two weeks and I have yet to receive a shipping confirmation. Will likely dispute order."/>
        <s v="Received exactly what I ordered and in excellent condition. Thank you!"/>
        <s v="I love using petflow! They have wonderful options for my dog and good communication on orders. Highly recommend."/>
        <s v="Very nice. Better than expected. We purchased it for Ferrell cats to stay warm. We set it up in our house and our cat thinks it's his new house. He loves it."/>
        <s v="PetFlow's customer service is exceptional. The website is easy to navigate and check out. Super fast shipping."/>
        <s v="Pet Flow continues to carry the special dog food that I require for my pet at a good price and they ship it super fast. Very satisfied with their service."/>
        <s v="PetFlow offers a wide variety of limited ingredient snacks for my dogs, and the prices are very reasonable."/>
        <s v="I was sucked in by the promise of a discount in exchange for my email address. Then I couldn't use the discount because it had a previously undisclosed minimum order requirement which was extremely high. I felt tricked. I would normally order 1 bag of dog"/>
        <s v="Service extremely quick and they seem to have a supply over and above what other entities have on hand. First time with PetFlow, but will certainly look to them as an option in the future!"/>
        <s v="I’ve used Petflow for years and have always received top notch service. I love the enormous variety of products available for my 2 dogs and I’ve easily found the best products for each (1 is 5 and the other is 14). They also include the sources for the pr"/>
        <s v="Pet Flow is wonderful but the delivery leaves much to be desired. Fed Ex refuses to bring my packages to my front door. Instead they are left in the street."/>
        <s v="Petflow has been fine, not stellar, with occasional hiccoughs on prescription food authorization. Lately, they've been completely unreliable as a retailer, causing us to cancel our subscriptions and move to Chewy."/>
        <s v="Wide variety of products and fast service on orders, even if they are specialty items."/>
        <s v="The product was good and well packaged, but it was a week late and required me to go all over the local area multiple times to supplement the food until me order got here. I'd be perfectly happy and would definitely order things again if Pet Flow would st"/>
        <s v="My dog food took 1 week and 1/2 to arrive to me."/>
        <s v="Petflow is great! You call and always get a live person right away. I've been with them for years. Can't beat their customer service!!!"/>
        <s v="I thought I had cancelled one order to order a different food. It turned out I got both orders. I was told it would be fine to keep them both and use them and just set a later date for my auto shipping."/>
        <s v="PetFlow delivers quickly. They have an autoship program; You can change your auto ship as many times as you want and they have the best prices for the quality of products"/>
        <s v="My order of dog food was shipped on a Monday. Said Friday delivery and did not come till the next Monday. With that delay I had to go get dog food I didn’t want to in order to get by until my order came. Chewy takes 2 days. I guess I’ll go back there."/>
        <s v="I purchased some hard to find puppy food because no stores in my area carry it. I found it in stock with PetFlow. I ordered it and they use FedEx as their shipping carrier. I have had numerous problems with getting my packages late via FedEx. I emailed Pe"/>
        <s v="Great selection and easy to check out. Shipment came in a timely manner."/>
        <s v="Petflow is efficient and speedy. I never worry that my product will arrive on time"/>
        <s v="PetFlow is fast and accurate. They beat Amazon on delivery time. The prices are on target and no complaints about the product from Stanley or Bruski. Very glad we found them!!! Thank you!"/>
        <s v="Love the quick shipping. Love the cost of foods (i.e Royal Canin). Love that items are in stock and Love the customer service.&#10;What else is there?"/>
        <s v="I made an order from Petflow awhile back. Never received the order. When I checked the order, it had been canceled due to an error by the Veterinarian. Unfortunately, no one told me it was cancelled. I called the Veterinarian and their internal communicat"/>
        <s v="I received my complete order. It was a few days later than usual but that was to be expected at Christmas time. The problem was that a bottle of white dog. shampoo had opened up inside the box and covered a 15 pound bag of dog food and a raincoat with a w"/>
        <s v="My one complaint is that you cannot cancel an order on your online account, had to call numerous times to get a customer service agent to fix a mistake on ordering. Very frustrating, hope they make changes with online ordering."/>
        <s v="So much care was placed into packing my order, it was wonderful! There was a lot of cushion in the box so the cans didn't arrive all bent. I will definitely place another order soon!"/>
        <s v="They shipped my wet catfood over a week after I placed the order, scheduling it to be delivered the 22nd of december and could do nothing to delay or cancel the order even before ups had it. So my food is going to freeze over and over again while we are g"/>
        <s v="Prompt shipping. I ordered Dr Marty for my fussy dog, and he likes it so I will order again."/>
        <s v="Petflow is a class act&#10;Always have my product in stock and fast free shipping&#10;A+++++++"/>
        <s v="I have been buying my dog food from Petflow for years now. It has always arrived quickly and fresh and my dog is happy."/>
        <s v="Very reliable auto ship and quick with off cycle purchases."/>
        <s v="Excellent service with competitive pricing"/>
        <s v="Dented dog food cans at times. Sent concern about this five days ago and have yet to receive a response."/>
        <s v="There was a mistake in the order and they didn't hesitate to make it right. Great customer service. Great product"/>
        <s v="Great products offered with fast delivery, thank you!"/>
        <s v="The price was right and the quality was great. That, along with fast shipping gives PetFlow 5 stars."/>
        <s v="Great site! I discovered it by accident after chewy was out of my cat’s food. I gave it a try and was pleasantly surprised how wonderful petflow was. The delivery was very fast ,the product fresh and well packaged. They saved the day. Now I ordered again "/>
        <s v="I discovered Petflow when another major retailer had no inventory of my cat’s preferred flavor of prescription food. I enjoyed the experience and fresh inventory so much that I’ve been buying from Petflow ever since!"/>
        <s v="I searched at least six different retailers to find this special canned pâté food specially formulated for my small breed Senior picky eater (with only 3 remaining teeth) to no avail. I was desperate, as my little 17-yr. old girl turns away from nearly al"/>
        <s v="Never had a problem. Have recommended"/>
        <s v="Order was easy to place and delivery was prompt. Thank you!"/>
        <s v="Thank you for the ease of ordering &amp; the speed of getting my order delivered. Also, I am very impressed with your website."/>
        <s v="I have been ordering my dogs food from Petflow for a few years. They always have a quick turn around from order being placed to delivery. My dogs eat Fromms large breed dog food which can only be purchased in specialty stores. Petflow has been wonderful t"/>
        <s v="I have had a great experience with PetFlow. Only once I had a package/delivery that was stuck somewhere unknown. Customer Service immediately sent it to me again without question. I was grateful and impressed.&#10;Also, when you place an order with PetFlow yo"/>
        <s v="Always quality items from Pet Flow. And they are recieved in a timely manner!"/>
        <s v="I like this company. They have a great selection of dog foods that are difficult to find other places. Their prices are comparable to other sites, although they may be a few dollars higher, I like that they say they do note food to animal shelters."/>
        <s v="False info on delivery date . No follow up . Product seems to be stuck in transit in a black hole in neighboring state. Product is over a week delayed from promised date with no follow up status update . Will never deal with pet flow again . Not a well ru"/>
        <s v="Great communication, speedy service and delivery even when supplies are low. Thank you!"/>
        <s v="very pleasant experience. good customer service.&#10;fast delivery. Prices are ok."/>
        <s v="Placed order and received item earlier than anticipated, will definitely us this vendor again considering we have four Bernese Mountain Dogs, they do eat."/>
        <s v="I’m still waiting for my dog food delivery, or even an update. No news since it reached my local distribution center 3 days ago. ??"/>
        <s v="Things came well packaged and timely! No complaints"/>
        <s v="Took 6 days in transit, the packaging was taped and retaped. The treats were on each side of the package front and back. No doubt they will be dust when I open them. This company needs to step up there game in the shipping department."/>
        <s v="Prices were good, product availability was good, shipping was good and free. I'm happy with them."/>
        <s v="PetFlow is responsive to clients, with good prices and discounts. Fast shipping"/>
        <s v="Except for a blip on the refund, all is well. Will continue to get my fog food here."/>
        <s v="what i wanted quickly received with terrific phone support"/>
        <s v="huge variety of pet supplies and fast shipping."/>
        <s v="I couldn’t, find my cats favorite food in any of major stores or any of the major online store but petflow had it and was able to get fast and easy"/>
        <s v="Great service, shipped my order out quickly, they had a cat food I have been searching for but was out of stock everywhere, luckily they had it in abundance, thank you so much ❤"/>
        <s v="Very prompt and courteous and take care to answer emails."/>
        <s v="Had product and delivered in a timely manner"/>
        <s v="Quick and easy"/>
        <s v="I changed my delivery date and the shipment still came."/>
        <s v="Received the wrong items, messaged 24 hrs ago and no response."/>
        <s v="Fast delivery and great product as usual. Package came undamaged,"/>
        <s v="Best offer, I could find for the price. delivered promptly and just when needed. I will be using PetFlow in the future!"/>
        <s v="Super service for shipping my Fromm Gold Dog Food. Highly recommend."/>
        <s v="The store itself has great prices and selection. However, the shipping of those products has been a nightmare. Placed an order on the morning of 12-1-21, spoke to someone on the phone inquiring as to the location from which the products were coming from. "/>
        <s v="Shipped fast and had the items in stock that others didnt. What more can you ask for?"/>
        <s v="Excellent service and the best pricing! So glad I found you! Thanks! 😃"/>
        <s v="Very pleased with Pet Flow's service and products."/>
        <s v="Great prices and selections of high rated dog foods. Shipping free over $50 and fast!"/>
        <s v="PetFlow has the best prices for pet food and deliveries are reliable. Sometimes my cat's wet food is not in stock, but when that happens, it is not in stock anywhere."/>
        <s v="Every time I order from here.. they always double my order. I ordered one big bag of dog food.. and I received two and charged for two instead of one. This is the second time they did this. I will not order from them again."/>
        <s v="Great dog food; my Maltese acts like a pup and she is 12. She has been eating salmon a la veg for 10 yrs"/>
        <s v="Excellent service. Best dog food ever would not feed my dog anything else then Natural Balance"/>
        <s v="Staff were very good at listening and finding a solution that would help me."/>
        <s v="Excellent customer service and fast shipping"/>
        <s v="My delivery isn’t not coming,very very slowly."/>
        <s v="I was very pleased with my order. I found an item for my birds that I couldn’t find anywhere else for a cheaper price and it arrived very quickly."/>
        <s v="Petflow apparently doesn't put in packing so I got ALL of cans dented up. Petflow needs to protect the cans."/>
        <s v="Been ordering from Petflow for along time...quick shipping,,competitive prices,,,has the brand of dogfood we want....wish they offered prescription medications"/>
        <s v="I was with this company for many years but repeated mix ups with my food, delays and supply issues took a toll, moved my business to Chewy, didn’t want to buy my fur babies have to eat!"/>
        <s v="We ordered pet food on Nov 26 and received it today Dec 7. Way to long, I have three emails telling me earlier dates. Probably our last order from Pet Flow!"/>
        <s v="You need to improve on your customer service on the phone. You also need to improve on your deliveries services meaning when customers ordered products from your website,&#10;it needs to be more accurate in the amount of products you have online website store"/>
        <s v="I am very happy with my purchase of cat food from PetFlow. The only issue I had was trying to find out, on the web site, how I could check out. Otherwise great."/>
        <s v="They have great customer service and they try very hard to please their customers. They also have a wide variety of pet foods."/>
        <s v="Love this company! Great to work with and carry alot of different foods."/>
        <s v="Very few notices of what was going on. I finally sent 2 emails. And made a phone call. Joseph was very kind. It took 9 days to get here. Wonder if it would come. I had to buy dog food in the meantime. Not happy. Product was good. And why did it come from "/>
        <s v="I would’ve given a 5 star review however, with my last order, it would’ve been nice if I was informed that my order for dog food was not available from where it is usually shipped. I usually get it within a week, but since it was coming from much farther "/>
        <s v="Only half my order arrived so far. FedEx dropped the busted box in the middle of the front yard and left. I wonder if the second half will show up or if FedEx will make it disappear like last order."/>
        <s v="Great service as usual even over the holiday weekend! Order was accurate and delivered on time!"/>
        <s v="Website easy, appreciate the discount.&#10;Other places were sold out of the dog food I need so thankful it was in stock and delivered in a decent timeframe"/>
        <s v="Thanks for having the food in stock. Now it’s get to him to actually eat the food"/>
        <s v="Great experience!&#10;Fast shipping and great communication with seller."/>
        <s v="Shipping not according to what was indicated at the time the order was placed"/>
        <s v="Excellent transaction :) Will shop again!"/>
        <s v="PetSmart stopped carrying the AvoDerm brand, then PetSmart followed.&#10;I'm very frustrated with them since they still advertise the products yet &quot;Not In Stock&quot; or &quot;Not available&quot;.&#10;I contacted AvoDerm and they recommend PetFlow.&#10;My initial purchase took long"/>
        <s v="My Hund loves the chow we ordered from PetFlow."/>
        <s v="I always get what I need in a quick turnaround for my 14 year old Hound!"/>
        <s v="Great product. Great price"/>
        <s v="The folks at PetFlow were kind enough to give me a $10 credit for FedEx's deplorable delivery service. They held my shipment hostage in their distribution center for 2 1/2 days!&#10;My shipment was correct &amp; sent out as quickly as they received the approval f"/>
        <s v="Great and prompt service and delivery. The bag charge was a bit of a surprise though. Might be wise to hide that under one of the other headings?"/>
        <s v="I placed orders during weekends. The return email said my order would be placed the following Monday and email would be sent of when to expect delivery. I have had to call customer service a couple times and order was finally put thru. My dogs do better w"/>
        <s v="I thought that the price was high compared to the vets office other than that the experience was good"/>
        <s v="I had a very frustrating experience with PetFlow. My original order was scheduled for next-day delivery. However, it took close to a week from getting the cat food I ordered. PetFlow misled me on my delivery date. This is the only food my cat can digest -"/>
        <s v="Very happy with my purchase experience, excellent help. Thank you"/>
        <s v="I paid for a package of food for my chihuahua that needed a recipe from the vet, but we could not get it, so I would like to have my money back."/>
        <s v="I wrote to the company regarding a complaint about customer service claiming that I didn't have funds to pay for an order that was an auto ship and said backordered, and after ordering something else, I got billed for it. Not knowing what this charge was,"/>
        <s v="Petflow carries our dogs preferred high quality food &amp; treats, we auto order and receive our shipments quickly."/>
        <s v="I like Petflow. I have ordered from them before. This time it took way too long to get my order. And the only reason I got it when I did is because I called and complained. Then they showed it being shipped right away but it still took 5 days after compla"/>
        <s v="The whole reason why I ordered from petflow is because of their quick shipping in 2-3 days. It took over a week for my food to arrive. I had tobuy another brand of food that upset all of my dogs stomachs. Never again."/>
        <s v="I was very happy to be able to find a food item that I needed that was sold out on Chewy, Amazon and all of my local pet supply stores. The only reason for the 4 stars instead of 5 was the delivery notifications. I understand delivery delays especially ri"/>
        <s v="Very impressed with being able to get what I need for my fur-babies special food. So far it's always been in stock, unlike the competitor sites and various pet stores. Prices are a smidgen lower than everywhere I've normally gone. Delivery is 50/50 at thi"/>
        <s v="Easy website to navigate, fair prices, and fast shipping!"/>
        <s v="Customer service has. Definitely declined. Website keeps changing making it difficult to order when you want. Iused to order 3 different products at 3 different times of the month and still get the auto ship discount now i get nothing.been a member since "/>
        <s v="Third time they have got the order wrong !!!!!!!!!!!!!!!!!!!!!!!!!!!!!!!!!!!!!!!!!!!!"/>
        <s v="I have been pleased in the past with available dog foods, treats, toys, etc. and delivery. I have experienced a lot of &quot;out of stock&quot; items that I have on &quot;auto-ship&quot;. I have had to buy these items on my own else where."/>
        <s v="Fast delivery"/>
        <s v="Great discount on Hill Science canned food for my dopey cat. It's becoming difficult to find the &quot;Chicken n Rice&quot; flavor so it was a relief that you had it."/>
        <s v="You carry the dog food that my puppy needs for his first year. The prices are reasonable and affordable."/>
        <s v="I tried to switch my monthly orders for food, treats, meds, and flea collars to PetFlow. It was a disaster. I get how the economy is currently but your communication is terrible. I can’t work with a company that takes days to acknowledge a request. And I "/>
        <s v="Can someone contact me?&#10;281-222-0505"/>
        <s v="Excellent product, delivered quickly, competitive pricing."/>
        <s v="Need a better way to let people know that their order was shipped with a tracking number. Had to text you to find out when my order was to be shipped, when I received an email telling my that it was shipped and there was no tracking info available. Need t"/>
        <s v="I was able to get my dog’s food from you when no other retailer had it. Thank you"/>
        <s v="Product was as advertised,works great. Arrival was fast,price was good. Service was friendly and professional. Great company."/>
        <s v="5 days after I should have recieved my order, I called because I did not know why or where it was,well was told by a very rude lady she would send an e mail to hurry up my order at another warehouse because they had none. I asked why they didnot notify me"/>
        <s v="Fast service, good prices, arrived in great condition. Has follow up emails."/>
        <s v="Chewys orders always arrived within 2 days. I decided to give Petflow a try. After close to a week, I had to call Petflow to ask where the dog food order was???. They said they delayed getting the order through - waited until the next day to initiate the "/>
        <s v="I love that my choice of dog food is always ready to deliver to our door when we need it. Auto ship is great, and not having to lug the big bags home from the store is even better."/>
        <s v="The products I ordered arrived quickly and website was easy to navigate."/>
        <s v="Disappointed. I created my first order on 11/17 and order still hasn’t even shipped (11/28). No communication updates either. Uggh!"/>
        <s v="Very happy with my purchase. Shipping is fast and communication is excellent!"/>
        <s v="It was supper easy to place my order, shipping was quick"/>
        <s v="Good job sending package on timely basis. Thank You."/>
        <s v="Always super fast shipping, and great packaging!"/>
        <s v="Always good condition of cat bagged food. Arrived in great shape and the order was correct.Timely order."/>
        <s v="Had products I couldn't find any other site!"/>
        <s v="Dog food was listed in stock at time of placing order. After a few days of showing shipped, ends up order wasn't shipped. I called and was informed that it was out of stock in the warehouse."/>
        <s v="NEVER RECEIVED MY ORDER IN OVER A MONTH AND SPOKE TO OVER 10 CUSTOMER SERVICE PEOPLE. DON'T BUY FROM THIS COMPANY !!!!!!!!!!"/>
        <s v="Order placing was easy. Great site set up. Like the autoship offer too. Already referred them to my neighbor."/>
        <s v="Ordering was easy and my purchases arrived quickly, which is wonderful during these times.&#10;I give this site a 3 instead of 5 because I was unable to read reviews on the products I bought. My cats are not eating one of them, and would like to know what oth"/>
        <s v="Saved from having my kitten upset. I have been unable to find the food my kitten eats. After several trips to pet store with no luck. Went online to Royal Canin site and Pet Flow was a recommended store to order from. Fortunately for my kitten y'all had p"/>
        <s v="I liked the prices and the toys and treats available but, several of the items that I ordered &quot;sold out&quot; and were removed from my order AFTER I'd checked out and PAID for them??! However, I will be giving them another chance when the supply chain problems"/>
        <s v="Good service"/>
        <s v="Fast shipping and great inventory of cheap toys"/>
        <s v="We use auto ship for most of the products we buy online. I found Pet Flow's auto-ship program to be extremely difficult to manage and no longer use it. As a result, I often buy pet products from other suppliers. We have 12 pets and buy a lot of pet produc"/>
        <s v="Speedy delivery, stuff usually comes within 3 or 4 days, Good customer service, I called to ask a question about my product and they answered quickly and with good telephone manner. I just signed up for auto-ship we'll see how that goes. I just wished the"/>
        <s v="We love the convenience of auto shipping. We were surprised at how easy it is to add or delete items for a specific auto ship or for future orders. The prices are fantastic and I like that I can still find Fromm products here."/>
        <s v="Very smooth experience. Good price and reasonable and quick shipping."/>
        <s v="Order and paid for dry dog food and 12 cans of wet dog food. The day they shipped it, I got an email saying they will refund me cause they are all of sudden out of that particular wet dog food!! I then had to run everywhere to find it…. At the last minute"/>
        <s v="Everything went very smoothly from ordering all the way to delivery. I was very happy and will use them again."/>
        <s v="Delivery was delayed 3 times. Said 2 day delivery. I got it in7 days. Not satisfied with delivery."/>
        <s v="Ordered prescription dog food, but got nothing but excuses. For over a week, their reps made one excuse after another as to why my dogs food was not shipped."/>
        <s v="Excellent service. I'm a happy customer!!!"/>
        <s v="I am totally impressed with petflow, they deliver product quickly and have the pet food in stock and if they are out of stock they will send email to let you know that it is back in stock. They are now the only one that carries my dogs food and I hope the"/>
        <s v="I have been&#10;using petflow for several years because they carry the type of dog food I want my dogs to have and no stores anywhere near me have it. In fact trying to get high quality dog food I'd have to travel an hour one way so it is very convenient to h"/>
        <s v="Very fast shipping! They sell good quality items."/>
        <s v="very good customer service. contacted my vet for prescription diet food and shipped out immediately. highly recommend!"/>
        <s v="Great products and service that excels. More than satisfied consumer from Maryland ."/>
        <s v="I spoke with a very helpful woman who checked with supply &amp; found a case of Hills Savory Cat food. Our local PetSmart had been out of it for a while. My 16 year old cat loves that particular food and takes her meds with it-she has hyperthyroidism. The foo"/>
        <s v="I placed an order on 11/2. Received an email saying I would get a shipping confirmation when it shipped. When not received by 11/12, I reached out to customer service and was told it was delivered on 11/11. As of 11/14 I still have no food &amp; was forced to"/>
        <s v="My husband shopped here last Christmas and gave it 5 stars. I like the site because they have unusual things and make great gift items."/>
        <s v="I requested the heavy package be left at the garage door under the overhang. But it was left at the front door instead. Otherwise very easy convenient efficient order and delivery."/>
        <s v="EXCELLENT service and everything packed with care."/>
        <s v="Currently waiting to receive order. Know distribution system is messed up. I will try to explain to my hungry miniature doxie. Would have been helpful if at the point of order for Petflow to made a statement that delivery could take up to X weeks or more."/>
        <s v="I love the quick delivery when we order our dog's food! So convenient!!"/>
        <s v="good cat loved it"/>
        <s v="Ordered dog food for the first from PetFlow. The ordering was simple, easy website navigation and the product arrived in a timely manner."/>
        <s v="They let me order food and charged me and called my vet to confirm the prescription, and they didn't even have the food in stock. In these times of cat food shortages, wasting my entire week thinking I had found food for my cat was detrimental to my findi"/>
        <s v="Very good customer service.&#10;They work with you to get you just what you want."/>
        <s v="I’ve used PetFlow for a year now, and love it. The orders are easy to complete and quick to deliver.&#10;I had to call customer service to change my order and quickly received the credit on my card. I switched dog food brand and mistakenly forgot to cancel my"/>
        <s v="Package was a week late but I believe that was FedEx fault. When I contacted petflow about the delay the response came relatively quickly and they let me know they contacted FedEx to figure out the issue. I received the package the next day. The customer "/>
        <s v="Great pricing however I Wasn't able to use my 10% on my second order as promised. I did rate the company a 4 star however after reading the other 1 star ratings I feel I'm just another customer that was mislead."/>
        <s v="Very slow to ship resulted in poor arrival time. I thought 10 days was enough time, but was wrong."/>
        <s v="I spoke with somebody in chat and I canceled this order I was told that my order was canceled I asked for confirmation that my order was canceled to an email they told me we don't do that two days later I had two of my 50 lids show up at my door after it "/>
        <s v="Although I have had great success with using PetFlow in the past, currently their service is quite poor. I had a older cat is needs Vet prescribed food. After ordering food recently, PetFlow informed me the Vet indicated I have &quot;no relationship&quot; with them"/>
        <s v="Petflow has cat food that I can't find elsewhere, which is nice. I like their automatic programs except for not being able to edit them. I've been sent products that I can't use and have to contribute to the Humane Society. Delivery is always fast and wel"/>
        <s v="My dog food always arrives on time. They always correct if a mistake happens. We are happy with the service."/>
        <s v="This gate is working very well at our house. The two-way open door is terrific. We are very happy."/>
        <s v="Great prices, selection! Fast shipping, love PetFlow!"/>
        <s v="Excellent selection of items and their delivery was spot on and timely. I tried them when Chewy did not have the brand of food that I was looking for. I learned that since chewy was purchased by Petsmart they no longer carry Fromm‘s dog food."/>
        <s v="Thank you so much Petflow, you have the prescription wetfood available for my Halo!"/>
        <s v="The delivery of our canned dog food was quick. We had a problem with one of the cases due to the shipper and PetFlow customer service was excellent!"/>
        <s v="Never received the dog food I ordered nor did anyone follow up after I called them inquiring about the missing order. Super disappointing, untrustworthy, and poor customer service"/>
        <s v="Petflow is a great company to do my on line buying from. the customer service persons are the best!"/>
        <s v="like the quick service and available products. i have only had one problem since using PetFlow. Ordered pill pouches and they arrived smashed. good company that I have recommended."/>
        <s v="Always get my pups treats and food from Petflow! Great service and super quick delivery with updates."/>
        <s v="On Oct 29th after not being able to obtain the prescription canned dog food needed through normal online pet care provider for over 60 days, I found the PetFlow website which showed the food was &quot;in stock&quot;. To be sure I called the same day &amp; spoke to an A"/>
        <s v="Customer Service is excellent! What they say...happens and quickly. Delivery is fast, packaged very well. Notifications of shipment, delays, when to expect delivery are outstanding!&#10;LOVE THIS COMPANY!....they genuinely understand how important our fur bab"/>
        <s v="I had a hard time finding what I wanted, and PetFlow had it! Fair price, fair shipping cost, and timely. I will be a repeat customer."/>
        <s v="Always what they promised. Great deals"/>
        <s v="I ordered a few items using an account credit. When one of the items was “out of stock” at one warehouse and had to be shipped from a different warehouse, they charged my PayPal account without my consent for this item that was already paid for using the "/>
        <s v="Great prices, easy to order, and prompt delivery. I'm a convert."/>
        <s v="I have ordered the 100 pack of bully sticks from Petflow several times. They are an expensive item anywhere and the cost keeps going up as with everything these days. Their prices are fair and their shipping is fast. One thing I have noticed is that the t"/>
        <s v="Ordered online instead of my local store who is almost always out of stock. I just order when the old bag is halfway empty - food comes within a couple of days usually. No issues."/>
        <s v="My order was filled shortly after it was placed, but 5 days after it was due to be delivered, only 1of 3 boxes has been. The other two boxes are sitting at a Fed Ex center, waiting to be loaded onto the delivery truck. The Petflow customer service people "/>
        <s v="I ordered my dog’s food and had it within a couple days. And free delivery to boot!"/>
        <s v="Our order was delivered very fast . The price was reasonable. The website is easy to use."/>
        <s v="Came on time and exactly what I needed. Couldn’t find it anywhere else Thanks!"/>
        <s v="Placed order and received it in less than one week!"/>
        <s v="What a MESS this company is! I thought Chewy was annoying.&#10;&#10;I will NEVER use Petflow again!"/>
        <s v="When I received my order the box and the bag of dog food had been ripped open. I called customer service and they had a new bag out the same day. Awesome customer service. Thank you very much!"/>
        <s v="Outstanding, well trained, smart, friendly &amp; knowledgable customer service. And I depend heavily on the auto-ship program,"/>
        <s v="Ordered everything. I have a “chew everything puppy” I placed my order then received an email for a couple items not in the warehouse. That was fine, but never received either an email or receipt for my items or what my final cost was. They did state I wo"/>
        <s v="I Love Petflow. They always have what I need for my dog , and ship it out fast. A+ service every order."/>
        <s v="Everyone at Petflow seems to be familiar with their inventory &amp; very helpful. Great place to shop for your pets needs!"/>
        <s v="THE TREATS WERE PERFECT AND FAST SHIPPING THANK YOU"/>
        <s v="Petflow was recommended by my girlfriend and I switched dog food and my dog loves it and I have no complaints 10/10 Recommend! And I can set up times of delivery between bags."/>
        <s v="Just started auto ship of a cat food for skin allergies made by Hill's and once I know how much I will need of Blue Buffalo's I will make it auto ship. The Hill's I am running into availability of just ordering when I need it or at the vet's. It was even "/>
        <s v="Love pet flow! Very kind and friendly customer service. They Always have my cat bff weruva in and the 10% off is always a plus!"/>
        <s v="i have been pleased with Petflow. Customer service has been great, products are good. The only problem I have had is using your website to cancel autoship. i have only been able to pause it. i don't know if this is intentional or an oversight. i know I ca"/>
        <s v="My doggies food comes so quickly after I order. It’s always in perfect condition."/>
        <s v="Always an easy transaction, we order our dog food from here regularly."/>
        <s v="Didn’t have my order in stock and canceled my shipment. With a puppy it is hard to just up and switch food when an order doesn’t arrive as expected, so had to go to extra lengths to find the specific food."/>
        <s v="Awesome as usual --- always. on time, great customer service and fantastic product!"/>
        <s v="Our toy poodle has been permanently put on Hill's canned stew due to health issues, but we found it was not available due to a supply shortage. Then we turned to PetFlow and found her entire supply with fast delivery. PetFlow looks out for our furry kids "/>
        <s v="I love the autoship option for my cat items purchases. In particular I order large containers/boxes of cat litter....PetFlow does an excellent job of packing it and it always arrives undamaged. They also keep me informed of any shipment delays ,etc."/>
        <s v="I began using Petflow several years ago. I love them because:&#10;1. I can speak to a real American born person who always helps me.&#10;2. They carry brands from small companies such as Fromm.&#10;3. Somehow, they get FedEx to deliver to my house on time. FedEx usua"/>
        <s v="Product was delivered quickly, on time, with no damage."/>
        <s v="Excellent communication and reliable, timely deliveries. Customer service is the best I've ever worked with. My go-to supplier for quality pet food."/>
        <s v="Excellent customer service and easy auto ship options."/>
        <s v="Good service, selection, prices"/>
        <s v="Customer Service has always been polite and helpful but unfortunately I have needed to use them frequently with my autoship orders. I had 2 pets getting prescription diets but they kept sending the requests for refill to the incorrect veterinarian, then s"/>
        <s v="The item I ordered turned out to be unavailable. I received an email a few days after ordering which informed me of that fact. I don't know why you can't update your website so someone doesn't end up ordering something you don't actually have. Thankfully,"/>
        <s v="I placed an order and had to cancel. I was shocked how quickly my text message was received and taken care of. Not entirely trusting the text system, I called customer service and the lady was courteous and confirmed order was already canceled. Customer s"/>
        <s v="PetFlow is wonderful! The lady I spoke with taking my order was terrific! My pet food all arrived quickly and in good condition, delivered right to my front door! 😄 Thank you PetFlow! 👍"/>
        <s v="I wish I had known about you sooner. I order my pups dog food &amp; it arrives the next day! Thank you for such great service."/>
        <s v="Products are great. Good selection. Could have been better communication on the order status and shipping times. Compared to other companier i order from, taking 3 or 4 days to prepare an order to ship is too slow. Especially with little to no communicati"/>
        <s v="I was pleasantly surprised that PetFlow had products that Chewy had out of stock, and they shipped it free and fast. Good work, PetFlow! I will definitely buy from you again!"/>
        <s v="Always great service and excellent selection."/>
        <s v="have been waiting for almost 2 weeks for the dog food i ordered?? they said it got lost??"/>
        <s v="I really like Pet Flow and would order from them more but it seems like they are frequently out of stock of the products I want. So I am then forced to go elsewhere and shop."/>
        <s v="Great price and item was shipped out in timely fashion."/>
        <s v="PetFlow has excellent customer service. I ordered a case of canned dog food and it once again came with almost all the cans dented. I called to let them know and they sent me a new case of cans without dents. Would have liked the original shipment to have"/>
        <s v="When it comes to the phone reps, I have always had friendly and competent service from PetFlow. However, the inadequacies of the website have me at the point of switching companies. I have set up AutoShip for Rx cat food. When I log in, there is just no w"/>
        <s v="Customer service was great, but I was disappointed in the bully sticks. They were the right length but very small around. Not what I expected."/>
        <s v="I liked the idea that at PetFlow I can get Fromm dog food and treats delivered right to my door with free shipping."/>
        <s v="Can you wait til I receive my order? So far your premature review begging is a turn off"/>
        <s v="Great site, lots of items I couldn't find elsewhere, especially limited ingredient feline canned. Shipping was fast. Will buy again for sure"/>
        <s v="I am so very pleased with PetFlow. Every shipment arrives on time, prices are fair, customer service is outstanding, and shipments arrive properly packed. Have never had anything broken."/>
        <s v="I have 5 cats for whom the ChickennNreast is a regular morning treat. They all look forward to it every day."/>
        <s v="Delivery of my product arrived timely but I needed to cancel my auto-ship. When you select to cancel there is NO option to cancel, only &quot;pause&quot;. I had to wait until the next day to call and and speak with someone to cancel and when asked &quot;why&quot;, I had to s"/>
        <s v="My experience with PetFlow was excellent. Their pricing and availability of products is very good. The kept me informed of my order status from start to finish. They were the only company that had what I needed and I received my order promptly. I will con"/>
        <s v="Bad experience. Took forever to acknowledge receipt of pet Rx, all the while losing time to secure the limited supply of product I ordered. By the time they confirmed receipt of the script and acknowledged the order, the supply dwindled and I lost the pro"/>
        <s v="Always fast shipping and great products !!"/>
        <s v="Products are fine. Website is fine but I have a problem with auto ship set up. It is impossible to cancel auto ship program. I can delay and change the date of shipment but cannot cancel without calling the office and because of this have received duplica"/>
        <s v="My puppy and cat love it.&#10;I love how big the bowl and reserve &quot;tank&quot; are and how quite the motor is as well as the way the water circulates in the bowl, no splashing. I had the large original drinkwell pet fountain and so far I prefer this one a lot over "/>
        <s v="This was the very first time I ever purchased from the site and I was a little nervous in the beginning but that was all changed when I found out that they shipped on the day they said they were going to and I received it when I needed it I am very happy "/>
        <s v="It’s been weeks and I haven’t received the good yet! I can’t believe they are asking my opinion of an item that hasn’t arrived yet!?"/>
        <s v="the orders are always late. the customer service rep was rude and unhelpful. I had to speak to the manager to get some resolve."/>
        <s v="Because as a customer PetFlow mislead me . PetFlow sold me merchandise and the sold it to another customer then sent me a message that they were now out of stock . And PetFlow still has not refunded my money . We will never shop with PetFlow again . TA"/>
        <s v="First time ordering with this company, placed the order on 10/17, by 10/28 still hadn’t received it. I called and apparently the shipment got lost. Employee offered to send out another order but declined to give any type of promo code or discount even tho"/>
        <s v="Unfortunately when I placed my order my items were in stock. Then I got an email saying they were out of stock and I was refunded. Haven’t order again."/>
        <s v="Very punctual and nice. But the FedEx delivery person did not do his job. Left the box near the mail box and not at the door. I am senior and cannot pick up this heave box."/>
        <s v="PetFlow came through for me with a prescription order when Chewy could not! Hours on the phone with Chewy and multiple customer service agents and Chewy failed - they have problems over there. I contacted PetFlow and they took my prescription and had my c"/>
        <s v="Love the convenience of not having to shop and hoist large bags of food."/>
        <s v="I ordered treats that showed in stock. They never came so I emailed they said they were now out of stock and would notify me when in stock? They ended up cancelling my order . Not a good experience for first time customer."/>
        <s v="Great fast service, great intro prices for new customers when you do autoship!"/>
        <s v="Horrible customer service keeps lying to me about when my order is going to come in every time I looked it up it was supposed to be delivered today at at 10:30 in the morning now too and it never showed up and I can't seem to find the damn email to tell m"/>
        <s v="Most anything I was looking for I was available on PetFlow and at a good price."/>
        <s v="Received mats exceptionally quickly for a very good price."/>
        <s v="Fast order, great packaging ,great price!"/>
        <s v="I love the service however 2 bags of dog food I have received had busted bags and dog food all in the boxes."/>
        <s v="I used to use other well-known online mail pet services but they stopped carrying the brand of dog food I have given my beloved English Singer Spaniel for 15 years. I then discovered Petflow carried this brand. They are courteous, professional and most im"/>
        <s v="I ordered a product that said it was in stock only to be told 5 days later it was out of stock. The website is misleading."/>
        <s v="great prices, products and customer service"/>
        <s v="The kitty litter box split and was all over the box."/>
        <s v="Fast, carefully packed service"/>
        <s v="This is a fantastic gate. It looks divine and was easy to assemble. Perfect for my Maltese! Thank you."/>
        <s v="You take orders knowing products not available. No trust ever again."/>
        <s v="Petflow has a good selection of products. They are almost always in stock. The have competitive pricing and they deliver quickly, usually 2-3 days."/>
        <s v="Reliable product. Easy ordering process. Dependable delivery. Thanks, PetFlow!"/>
        <s v="I have place 2 orders with Petflow. Both orders shipped out on the same day. Packages arrived quickly. Excellent company. Highly recommend"/>
        <s v="Great selection of products &amp; emphasis on very healthy items. Good price points &amp; delivery is always on time &amp; in good condition."/>
        <s v="Thank you for carrying my dog’s prescription dog food, Hill’s Metabolic. Your website was the only trustworthy site in stock! My dog, Beau, says thanks for his food too."/>
        <s v="I ordered food for my dog on the PetFlow website. My first order took a little while because they needed to verify with my vet since it was a prescription food. My second order was shipped the next day and arrived a day later at my house. Excellent servic"/>
        <s v="Great customer service. Quick &amp; courteous"/>
        <s v="I’ve been using PetFlow for years for my dogs food subcritical platform. The customer service is outstanding, the product diversity is unbeatable!"/>
        <s v="Placed order for dog food that I needed ASAP. Then days later Petflow cancelled order and won't refund my payment for 3 to 5 days. I had to then find a physical store that sold my brand of food. So aggravated. Didn't they know my order wouldn't be fulfill"/>
        <s v="All item sent even if it took more than one box for same free shipping"/>
        <s v="Products ordered 5 stars. Ease of ordering 5 stars. Speed of shipping (which may or may not be PetFlows issue) 4 stars. My order included dog food. I was only given 1 tracking number and unfortunately that tracking number was for the items shipped separat"/>
        <s v="Ordered Butcher Block Bones and a box of dog biscuits. At checkout there was no information that the bones were out of stock. You shipped only the dog biscuits, I cancelled order. You said it already shipped and we could just go ahead and keep the biscuit"/>
        <s v="I was impressed with how quickly my order arrived. It was protected in a strong box. Very professional. Thank you."/>
        <s v="I ordered a new Flexi leash for my canine, having carefully researched various sites and noting PetFlow for my first time. Decided to have a go and was pleasantly surprised at the pricing, service and delivery. They run out of the leash but notified me im"/>
        <s v="Product that is not available elsewhere is available on PetFlow, which I appreciate. With supply issues from the manufacturer, PetFlow provides another option to find the pet food I'm looking for.&#10;&#10;Shipping time is slower that other online sites, so I nee"/>
        <s v="First time using. Will use again."/>
        <s v="Your selection and prices are good. I also appreciate the discounts available. Only thing I have a problem with is FedEx delivery. But since I eventually get my order I'll be okay with it."/>
        <s v="Excellent service, however now I can not find the product anymore.&#10;Vital Essentials Relief Hemp Dog Chews relieves inflammation."/>
        <s v="I have been trying to find the special urinary diet treats for my fur baby for months. I finally found them on your site only to be told weeks later whoops you don't have them!! Well, put it on your website then that they are unavailable!"/>
        <s v="Great selection and services.&#10;Happy dogs!"/>
        <s v="Everything from locating products on the website to check out was very easy. I wish that some kind of summary or packing slip was included with the delivery but other than that, everything went as smoothly as it could. Thank you!!"/>
        <s v="PetFlow has the products I need and if they don't they can explain to me why they don't and why I can't find the product anywhere else. Something might be happening at the manufatcurers end or with the distributer, etc. They are always very helpful if I h"/>
        <s v="it seems a bit difficult to delete an autoship... maybe its me?"/>
        <s v="Not very long shipping from the date of the order, prices same as Vet"/>
        <s v="Ordered on 10/6. Prescription approved the same day. Item was in stock. Estimated delivery Oct 25. 19 days for a prescription assuming it arrives on the 25th and no update at all? Unacceptable and the same thing happened the last time I ordered. Terrible "/>
        <s v="I get all my dog food and treats from you. Usually all is good and no problems..however last order #9445812..the 30 lb. bag of their NutriSource Weight Management bag was torn and kibble leaked out into delivery box. I do not like giving my pups any food "/>
        <s v="Petflow always has the prescription diet dog food in stock my dog requires. I don't have to wait for them to ship. Thank you for your service."/>
        <s v="I've used this company twice and both calls were speedy and user friendly. I've also used Chewy and those calls tend to be cumbersome. (Nice people at both companies.) Ex, Chewy asks lots of questions before I can place my order. I believe PetFlow just ne"/>
        <s v="Love the products and ease of ordering. My problem is with the actual shipping/packaging of items being sent to my house. Often EVERYTHING (no matter what size or weight) is thrown into the same weakly sealed (one strip of packing tape), thin cardboard bo"/>
        <s v="My purchase was delivered in a timely manner.&#10;Prices are FABULOUS!! JUST 1 AT ANY OTHER RETAIL STORE IS $4.99 ish.&#10;&#10;Once I'm finally moved into my new house I will start automatic shipping ."/>
        <s v="Always correct &amp; timely. A bit of delay due to getting items further than NV to AZ end point. But that is expected in the shipping issues across all businesses."/>
        <s v="So far, so good.&#10;Petsmart has let me down with late shipping, not in stock and 25lb bags of dog food with WAY too much powder! They refuse to ship in boxes that match the large bags and simple will NOT use any kind of packing!&#10;F-that, we be dun wit does M"/>
        <s v="First time ordering autoship for dog food. So far, so good."/>
        <s v="Quick delivery and always coupons to be found"/>
        <s v="Quick, dependable service with diverse item selection. Most companies now offer free shipping on all orders which should be a consideration here."/>
        <s v="Great product. The company you use for shipping is horrible. Boxes opened when delivered. Bags of food broke open from throwing it down on the ground. Poor shipping"/>
        <s v="Great prices and products in stock, ready to ship. I will definitely order again."/>
        <s v="Great service and fast delivery excellent 👍"/>
        <s v="Always a pleasure shopping with Pet Flow!"/>
        <s v="Great company. Quick shipping. I order dog food from them all the time but was disappointed on the last dog toy I bought this time. My little dog that doesn’t really destroy toys had this stuffed pizza toy destroyed after 20 minutes. I probably won’t orde"/>
        <s v="Always got what my cats want and always delivered on time. Petflow gives me one less thing I have to worry about with there auto ship."/>
        <s v="Great company with excellent customer service."/>
        <s v="Great prices, excellent shipping time! Thank you!"/>
        <s v="2nd time ordering from Petflow and I am a very happy customer. I read a lot of bad reviews online about this company and was a bit concerned, but honestly, I've had an excellent experience with them so far. The order was accurate and I received the produc"/>
        <s v="Excellent customer service. Very professional and accommodating.&#10;Thank you."/>
        <s v="Petflow’s prices are good and the delivery is super fast."/>
        <s v="I ordered prescription food from them, which needed my vet’s approval. Spent over $100. At first, the food order was put on hold until January 2022 (???). I contacted the customer service and they were able to get rid of the pause, but they still had to c"/>
        <s v="Competitive pricing. Product availability and FAST shipping. Thank you, Petflow!"/>
        <s v="Gave petflow a chance because chewy was out of stock on one of the items I needed and petflow showed it in stock. After placing and paying for the order I got an email stating one of my items was out of stock. Turns out it was the same one chewy was out o"/>
        <s v="I think I'm going to like this sifting litter box that I just bought. It's different from anything I ever used before but it's simple enough to figure out."/>
        <s v="I loved the selection and ease of checkout on PetFlow. The one time I dealt with customer service was completely painless and I would recommend this company to any pet owner. The only improvement that I can think of would be to have a way to save items fo"/>
        <s v="Competitive price&#10;Fast delivery"/>
        <s v="Good pricing, great variety, quick service! Need I say more!?"/>
        <s v="The first time I ordered my dog’s canned food, the experience was pretty negative as none of my requests were taken care of. It was if they just ignored me. The second time was a better experience."/>
        <s v="Ordered item 2 weeks ago, web site said in stock . called twice did not receive any real answers or satisfaction, said it was problem at he supplier's warehouse UPDATE Just received email that product just shipped All is good"/>
        <s v="First I was told my food order was on its way and shipped then told it was on back ordered and can’t be delivered . I want to cancel my order but have no where to call or know how to do it&#10;But company sends constant emails .&#10;Also I ordered toys based on m"/>
        <s v="They have products of dog food I can’t find anywhere else"/>
        <s v="Products are great, service was great. The packaging for shipment was terrible. Both boxes were broken open, due to poor, lack of packing material. it was amazing items ordered were still in the boxes."/>
        <s v="MY DOGS ARE HAPPY AND SO AM I WITH THE SERVICES ON DELIVERY OF THEIR FOODS,AND MY CATS ARE HAPPY TOO."/>
        <s v="There no price gauging. My order was received quickly and packaged perfectly. I will order through them again."/>
        <s v="Respond to emails very quickly. Take care of a problem pronto."/>
        <s v="It is difficult at times to get dog food during this pandemic. Petflow is dependable. Thank you!"/>
        <s v="Excellent service and delivery. Selection of products is probably the best that I've yet to find. Shipping has been on time. Pricing is very competitive. Thank you for a positive experience!"/>
        <s v="The replacement squeakers I purchased were supposed to be large unfortunately they were medium sized merely passed off as large. They were barely bigger than the small squeakers I also purchased."/>
        <s v="It was supposed to be here Thursday. It is now Wednesday, almost a week late, and no estimated delivery date. I was hoping this would be convenient. However, now its way worse than just driving 20 minutes to the pet store!"/>
        <s v="Overall the service is good, but: I have a routine shipping monthly on the 11th. Unfortunately my order of prescription dog food was not picked up by FedEx until the 12th and not shipped until the 13th. Now it looks like I will run out of food a day early"/>
        <s v="Prices are good, however shipping time not so good. My items took about 6-7 days to arrive. When using other company 2-3 days tops. This probably why I will not shop with pet flow again"/>
        <s v="Love the delivery. It’s heavy for me to carry to the trunk and then into my house. Plus the food is great and so are the treats! Thanks"/>
        <s v="Ordered several teddy bear toys - enough to get free shipping. Arrived so quick. My dog loves these toys - they are quite durable and she’s quite a chewer. I’ve got enough to last for a while. Got a good price too (not dependent upon quantity) - better th"/>
        <s v="Ordered Fromms pate canned food for my dog’s upcoming surgery. Promptly shipped but delivery was held up with no updates. Contacted Pet Flow to see if they could get any information. Aimee quickly responded that she would contact the shipper and would get"/>
        <s v="Great service, reasonable prices, good quality. Will definitely buy again"/>
        <s v="Usually we have a great experience with PetFlow. This time however was a real struggle. I was told over and over by PetFlow that they reached out to our vet for food approval, but my vet told me they never received any contact from them. I even went to my"/>
        <s v="I contacted customer service because I received the wrong dog food and they immediately resolved the situation and sent me a return shipping label. This company has some of the best and quickest customer service agents I’ve ever dealt with."/>
        <s v="Excellent, fast service."/>
        <s v="Very easy ordering. Only site that had the wet food I needed. Took a little longer to ship but was received in an acceptable period of time."/>
        <s v="I have been a returning customer for a while now. PetFlow has always had excellent service. It is most appreciated. Thank you!"/>
        <s v="PetFlow had the specialty prescription dog food my Vet could not get. They made the buying process easy and shipped quickly. I will keep shopping with PetFlow."/>
        <s v="Great customer service! Their text option is awesome!"/>
        <s v="My order was well wrapped and delivered in a timely fashion. I will continue to use Pet Flow and highly recommend them."/>
        <s v="Love this company, so easy to work with."/>
        <s v="Excellent service. I would recommend."/>
        <s v="Amazing service. The prescription dog food I needed was back ordered by the manufacturer. I explained to the PetFlow customer service that that was the only food my dog could eat. They did an online search and found it and had it shipped to me. This was n"/>
        <s v="I appreciate how fast my orders are delivered and that they have exactly what I am looking for."/>
        <s v="See CSR file."/>
        <s v="Easy to order form the site. Order shipped and arrived quickly."/>
        <s v="Ordered 30lb bag of dog food and order was processed immediately and delivery was quick"/>
        <s v="Found this vendor “on line” . They were one of the only sites that had the prescription dog food I needed. None of the local pet stores had this food in stock. I ordered the food from them at a reasonable price and received the shipment in a timely manner"/>
        <s v="I have no idea what I bought from your site, but all my online cat food orders have been prompt and the requested product was the one I received. But if this was the Royal Canin cat food order -- my God! the price! (Not you, the manufacturer.) Lee Hoffman"/>
        <s v="My cats eat a pretty particular food that can be hard to find. Found it on PetFlow and for an affordable price. Everything arrived safely and quickly. You can contact them directly by text and email. I did to check on shipment status and a real person got"/>
        <s v="Ordered dog food which they said was in stock . Prescription food for my dog. After paying for it the next day they tell me &quot; oh we are out of that&quot;. This is the only food he can eat( prescribed) ."/>
        <s v="Great service. Great value."/>
        <s v="Great selection of in stock items and shipping is quick and dependable."/>
        <s v="Petflow had what I needed in cat food that I couldn't find anywhere else. However, it took nearly a week to ship although they were several days ahead of their shipping estimate. The long shipping may be mostly due to supply chain problems--hard to tell n"/>
        <s v="When our Vet said he wanted our Aussie's food changed, I had to cancel our standing order &amp; order the new food. I contacted PetFlow by email &amp; received an immediate reply. I am so impressed by the ease &amp; speed with which my &quot;problem&quot; was handled. Thanks f"/>
        <s v="You need to allow electronic upload of prescriptions for pet food. I had to mail the hard copy, and then wait for you to get approval from my vet after you received it. This took about 8 days. And why would you even need approval when I mailed you the act"/>
        <s v="This place is da bomb! They have very fast very nice customer service and that is far and few between these days!!! DO NOT hesitate do it do it! U will not regret. I was using chewy and pet smart and I’m out with those. As long as they keep my dogs in sto"/>
        <s v="Great experience. Will use them again."/>
        <s v="Easy to find exactly what I was looking for- quick delivery!"/>
        <s v="I was very happy with my experience. I placed an order for my cat’s food it shipped quickly and I got it within two days of being shipped. The cans were excellently packed and the price for food was great! I was and am satisfied with my experience and wil"/>
        <s v="Friendly staff. Good selection of dog food."/>
        <s v="Wrong food sent now I have to return it&#10;Redbox it drive to Fedx haul in in"/>
        <s v="We and our 3 German Shorthair pups, think your quick service and price are excellent."/>
        <s v="I ordered I/d chicken stew. After two weeks I called you and you said your order is out of stock. But still shows available."/>
        <s v="I always feel as though, they truly want to make their customers feel satisfied. I appreciate that very much."/>
        <s v="rder email confirmation was delayed and the email notification that shipment will be delayed was also late. Customer service needs improvement."/>
        <s v="Super convenient, great selection of grain free options, prompt delivery."/>
        <s v="Couldn't locate my brand of food in New state n city where I now reside. Found your website and luckily I now have my dogs favorite brands of food. Best part same price as it was in Minnesota at chuck n dons store. Better it was delivered to my door I wil"/>
        <s v="I was forced to buy two items to get to the minimal amount, only one was shipped, not the one I wanted."/>
        <s v="Couldn’t find our dog’s food anywhere. You were the only place we found and you got it to us so fast and even contacted our vet for approval"/>
        <s v="I have been ordering from PetFlow for several years now and have always been satisfied with the products and the delivery. Recently they went above and beyond on an order that was delivered damaged. The customer service was excellent and I was totally sat"/>
        <s v="Great phone help on getting Oscar’s Rx for Science Diet in and the food shipped quickly!"/>
        <s v="PetFlow had a prescription food in stock for my pet that other sites did not. They also had a great promotion for new autoship customers and a separate promotion that saved me money on my prescription food. When I had trouble applying the coupon code at c"/>
        <s v="Petflow has excellent prices and a great variety of items. Their customer service is exellent also. However it does take a bit longer than competitors to receive the ordered items and they shipped us the wrong item twice. They did pay for the returned shi"/>
        <s v="Petflow was a great find. With all the shortages and difficulties getting our cats Hill’s Science Diet, and with the price gouging at competitor sites, it was certainly gratifying to find what I was looking for at Petflow. Our cats are finicky and spoiled"/>
        <s v="Each time I placed an order of what was supposed to be in stock, the company took my order and my credit card information and then days later told me the product was no longer available. It really felt like a bait and switch after it happened 3 times. Rea"/>
        <s v="Specialty food said available on website, called to be sure available, too. Emailed a week later on backorder. Very poor customer service."/>
        <s v="I still haven’t received my dog food. FedEx keeps saying exception and attempted delivery that never occurred"/>
        <s v="I couldn’t find this prescription treat for my dog anywhere but Petflow had it in stock!! My dog is happy she can have a couple of treats a day now thanks to Petflow!!"/>
        <s v="Fast delivery &amp; easy to use website.&#10;Thank you,&#10;Laura"/>
        <s v="Fast service as usual. Product in good condition, well packaged."/>
        <s v="Wonderful product. Arrived as promised. Good company to do business with."/>
        <s v="Ordered Rx cat/case cans/Blue W+U on 9/21/21. Vet contacted on 9/22, responded same day. ON 9/30 still no confirmation that order had shipped.&#10;&#10;9/22 - Had made calls early-on to check to see if everything had been approved, processed and had specifically "/>
        <s v="As usual, everything arrived timely and accurately."/>
        <s v="I ordered the prescription dogfood I needed. Nothing happened. I called customer service and they told me they would expedite getting it shipped.&#10;A day later I got an email saying it was out of stock. This should not have happened. Now I am hunting for th"/>
      </sharedItems>
    </cacheField>
    <cacheField name="clean_review" numFmtId="0">
      <sharedItems>
        <s v="i shopped the product milk bone pill pouches for several weeks our dog is on holistic herbal supplements and dosing requires about five pouches a day petflow hands down is a best price retailer for my target product great value for consumer customer servi"/>
        <s v="arm and hammer litter is dust free clumpingseal which is difficult to find i used to wear a mask handling other litter not necessary now and no smell i have it on auto ship which makes it convenient and it is  less expensive than buying in store"/>
        <s v="i have been with them since  and my orders are on time when there was a delay during covid they were sending out notices and updates i had an issue with my fed ex people taking my dog food the company immediately send another order out to me they are wond"/>
        <s v="petflow was able to ship an important dog food product that was not available from other online merchants it was frustrating contacting the usual sources until petflow showed up on a browser search we had not heard of petflow before we will not forget the"/>
        <s v="i received a damaged pet food bag and the customer service people were so responsive and wonderful i received a replacement bag immediately i always prefer petflow because your shipping is always professional with no loose food or mess i always promote yo"/>
        <s v="this is the second time i have received rancid dog food from this company the first time they finally answered my email and said they would resend the order they resent the order and  item was wrong  they then ignored my email and didnt respond to my phon"/>
        <s v="the company was very responsive to problems i had manoeuvering their site the shipping was well within reasonable expectations&#10;my only issue has to do with the site not being easy for me actually mazelike in its degree of difficulty i wish it would be mor"/>
        <s v="ordered dog food and  days later no shipment no contact have to call to cancel order and delete your payment method pretty much a fake joke site"/>
        <s v="the people there if contacted go up and beyond to answer questions and help orders are processed in record time and shipped out fast&#10;very happy with the switch over to using them  very satisfied customer"/>
        <s v="this was my first purchase from petflow and i am impressed first when i set up my my new account i had issues with logging in i received the email with the  digit security code but when i used the link to use it i wasnt sent to the page to enter after mul"/>
        <s v="firsttime customer i ordered canned cat food because of the good price free shippinggood timely deliverygood&#10;however the packaging was terrible both boxes split open and from one box  cans had popped open spilling liquid throughout three other cans were s"/>
        <s v="ive discovered petflow because i searched for the best value i could find for bully sticks for my dogs ive been really happy with my purchases and will look to them for other pet supplies in the future"/>
        <s v="good product but it would have been easier if these  bags were boxed separately being a little old lady its hard to manage both of them together but its all good"/>
        <s v="i have had a great experience with petflow they carry fromm dog food which can be hard to find good prices the website is easy to use and i can adjust the date of my subscription as needed"/>
        <s v="i had to change my password the past three times i attempted to place an order everytime i ended up having to call customer service to place the order when i tried to tell the agent what was happening with the order app i kept getting replies that basical"/>
        <s v="i was surprised to be able to talk to an actual person whenever i called for support one of the few places i can buy the best food for my dog"/>
        <s v="quality fromm dog food and treats that can not be found on other sites exceptional service"/>
        <s v="i placed a large order my nd one petflow was running a good special unfortunately they had some internet issues which delayed my order however it arrived fairly quickly giving the issues one of the dry food bags had a puncture hole in it when i spoke to a"/>
        <s v="the shipping is usually pretty fast which is much appreciated there seems to be an issue with using my credit card on the petflow page but now i just use paypal and that seems to work out fine"/>
        <s v="one of the best things i love besides the great pet product selection is how petflow ships orders if something heavy is being shipped with something that can easily be crushed there is a u shaped piece of cardboard inserted in the box to create a protecti"/>
        <s v="had a technical problem with my account and had to call for help your rep was very helpful and got the food ordered and delivered quickly"/>
        <s v="really pleasant helpful people on the phones lowest price by far of any fast n free shipping great experience"/>
        <s v="i have used pet flow in the past many years ago with success and dont remember having the same issues ive had recently when i started using there company again a dog food called rockster which is produced in europe and only sold via a couple store fronts "/>
        <s v="my first experience was terrible i placed an order on may th and on may th it was not even being processed i cancelled it placed an order in chewycom and got it at the same day&#10;i will not use petflow anymore"/>
        <s v="cannot cancel an auto ship online cannot update expired credit card on auto ship online had to call nobody available until  am eastern finally pause auto ship and place new order do not ever set up any auto ship"/>
        <s v="first transaction and auto ship went well cheaper than chewy and all downhill after that cant log into account to change or cancel autoship tried password reset never get the email and checked junk email as well contact support ok well send you a password"/>
        <s v="i placed an order on may thupdates and tracking with fedex did not occur past the second day and ultimately an agent ordered a replacement order on may on may th the shipment was on a truck for delivery but did not arrivethe site still said it would be de"/>
        <s v="i just discovered petflow great selection prices just like or better than the online retailer named after a jungle i usually get my order in  days using standard shipping will continue shopping here"/>
        <s v="the items i ordered were exactly what i wanted and they were delivered in a timely manner"/>
        <s v="my delivery was very delayed and then showed up even a day later than it was supposed to very dissatisfied with this past order petflow wouldnt even offer to expedite the shipping even though the delay was on their end didnt even offed a discount for a fu"/>
        <s v="when i called to order anything the customer service representatives that represent your company they are so so nice and very knowledgeable and just i just love them theyre great"/>
        <s v="the product ordered needed to be shipped from a further destination fedex gave an arrival date of monday may  then changed their arrival date to sunday  may  it actually arrived on tuesday may  i had to go to the store to buy some dry food to see me throu"/>
        <s v="we purchased canned dog food from petflow their prices were the lowest we were able to find as this brand was hard to find elsewhere ordering was very easy and shipping was quick and flawless we will continue to purchase from petflow"/>
        <s v="petflow is the only place i can find fromm dog food their prices are reasonable and they ship quickly"/>
        <s v="it was able to order easily delivery was prompt and the products had good variety"/>
        <s v="i find the best price on my preferred cat food at petflow everything is also packaged neatly and arrived in perfect shape petflow has been great the only criticism would be that it took nearly a week to receive the order but now i factor this in when i pl"/>
        <s v="i have shopped at a couple of different online pet sites only to be disappointed and frustrated when i found petflow to say the least i was skeptical but to my surprise petflow came through as promised not only did they process my order quickly it was shi"/>
        <s v="the items were received in a timely manner and were packaged well the descriptions on your website were accurate and very detailed this was very helpful"/>
        <s v="i love your fast shipping and the fact that you use boxes that are strong enough to hold the contents you carry the bags of dr kelseys kitty litter instead of the new  lb boxes the boxes are too heavy for me but i can handle the  pound bags your prices ar"/>
        <s v="i had a very friendly young lady help me order my cat food her name is savannah it was a pleasure having her help me today&#10;&#10;today is  at the bottom of this page for some unknown reason someone chose to type in the date as may   not so "/>
        <s v="the customer service is outstanding  always kind helpful courteous and professional petflow often has special discounts ive applied to my purchases and can be counted on to have the special brand and flavor of dog food my admittedly spoiled princess dog e"/>
        <s v="this is the second time that ive been sent two shipments the system said i needed to update my credit card i did and then it was double charged and foible shipped"/>
        <s v="there was an issue with shipping and the petflow team resolved it within hours ive been a customer of petflow for several years and they always come through for my kiddos and me thank you"/>
        <s v="i had an issue with shipping damage they fixed the problem right away a"/>
        <s v="i placed my order on the rd of may after a number of phone calls my order hadnt been shipped on the th of may i asked for my money to be refunded i more than understand the business is small my account stated that my order was shipped on the rd when in ac"/>
        <s v="just discovered this company great price super fast shipping will definitely be back highly recommend"/>
        <s v="petflow has always been great with wonderful customer service support my only issue is that they dont protect their canned food deliveries very well and i always end up with a few dented cans they do offer to make it right i just wish it wasnt every time"/>
        <s v="my order arrived later than expected and some of the items were damaged leading to a frustrating return process petflow has its pros and cons and i would advise potential customers to weigh them carefully before making a purchase"/>
        <s v="the person was very kind but as soon as i hung up the phone my order was delivered it seems to me she should have been able to tell it was shipped i never received an email stating my order was shipped"/>
        <s v="great prices great customer service and really fast delivery"/>
        <s v="we can count on petflow delivery ontime with autoship like this easy way ordering my dogs food"/>
        <s v="very good prices and the product arrived in about a week we are perhaps spoiled by next day  two day delivery but thankfully i had anticipated running out of dog food"/>
        <s v="great customer service whoever i speak with always helps me with my issue"/>
        <s v="nice quality collar with a quick release snap i love this beautiful blue collar and matching leash petflow is the best"/>
        <s v="i arrived at site via a link that promised a discount discount appeared on checkout page and i checked out with the discount applied however discount was not included in final billing so i feel i was cheated"/>
        <s v="you bet everyone elses prices your delivery was great and the order was correct"/>
        <s v="the web site is difficult to navigate it takes several attempts to order a bag of dog food"/>
        <s v="petflow had the dog food product i was looking for i had spent a long time searching other various web sites and not having any luck petflow was very good with communications and the shippingdelivery of my order very excited to find them"/>
        <s v="to start the order did not go through after  attempts using my debit card to the point of me being highly suspicious about a scam it was not until i called the phone number because the rep in the chat and the text were dismissal that i was notified there "/>
        <s v=" days since i placed my order online called to verify that my order was coming from the nj warehouse im in nj about an hr away from the warehouse i still dont even have a comfirmation that my order has even shipped"/>
        <s v="they canceled an order without telling me and when i sent an email asking what happened the response was a little on the snarky side i asked a follow up question and never received a reply i thought id try this out but its not worththe headache and rudene"/>
        <s v="shipping took way longer than chewys and the box that fedex eventually delivered was in horrible shape"/>
        <s v="my credit card is always getting flagged for fraud with this site site itself has good selection with great prices but if i want to continue using it i have to make a paypal acct"/>
        <s v="the price was right time to receive the product was fast only issue was the packaging lbs of cat food and  lbs littler in a box that could not handle the weight the cat littler box broke open and we had little everywhere"/>
        <s v="all items arrived within a few days well packed&#10;ordered dog food and was a bit worried about possibly getting a short expiration date&#10;the food had an expiration date of over a year&#10;very pleased"/>
        <s v="did not like how mostly everything i looked for was out of stock&#10;did not like how i was charged an extra  and not told prior my order came from a different warehouse and so i was charged differently this should not have been my fault i shouldve only paid "/>
        <s v="i called to ask a few questions and the rep could not answer anything luckily i called back and got a rep who could basic questions also once when i was a prior customer and then with my last order i called for assistance and was assured my issues would b"/>
        <s v="i have had two auto shipments of dog food messed up in less than  months  first of all i do auto ship with you  i order  bags of victor nutrapro every   weeks  my first problem was an order of two bags sent to me  one was not in a box and was taped shut w"/>
        <s v="the shipping was by slow boat very disappointed in that"/>
        <s v="always fair price and prompt shipping and great products choices"/>
        <s v="it was very helpful to have that special with  off of  purchase its hard for me as a senior on a fixed income"/>
        <s v="easy transaction good selection good prices quick shipment"/>
        <s v="the shipping is literally always late i know that is out of your control but it would be worth talking to fed ex about it im sure you are losing return business"/>
        <s v="quick delivery of a hardtofind product my dog loves"/>
        <s v="petflow has good prices if you have&#10;coupon codes and use google incognito"/>
        <s v="i ordered a case of  cans of dog food when it came  cans were severely dented i called the company and they did send out a new case very quickly when the new set of  came  were damaged and unusable this isnt cheap dog food the packagingshrink wrapping was"/>
        <s v="online ordering is easy product selection is great delivery is fast good customer service to boot"/>
        <s v="we needed dog food asap so petflow to the rescue plus their subscription program gets food to us on time without having to wait to order we love it"/>
        <s v="easy to order and delivered in a timely matter and when i had a problem with a delivery as crushed cans or a torn bag of dry dog food it was taken care of"/>
        <s v="sure is easy to navigate and the experience was quick they have good deals ill definitely be back  recommend to others"/>
        <s v="good prices and selections and fast delivery"/>
        <s v="i made a mistake on my order and customer service immediately corrected it for me"/>
        <s v="always willing to put up with my constant changes"/>
        <s v="accurate  timely i depend on them every month"/>
        <s v="shipped from nevada to ohio then back to california it took  days to get the food"/>
        <s v="i love the connivence of having my dogs food delivered directly to my home it is so easy to have auto ship if i want to choose additional products i just go on line"/>
        <s v="great customer service love your sales i order the litter and use the pharmacy great products"/>
        <s v="very helpful and friendly support staff and reliable shipping"/>
        <s v="prices are awesome and super fast shipping"/>
        <s v="i love the selection of products offered my dogs loved the treats they received the prices are amazing"/>
        <s v="everything was great as alwaysvery courteous and helpful"/>
        <s v="extremely fast processing and delivery i placed my order night time april  food for my dog left at my door april   pm truly greyhound speed thank you perflow"/>
        <s v="i did not get my dog food i asked fed ex about it and it is lost i got the cat food and the litter but not the dog food&#10;&#10;can you resend it"/>
        <s v="i love pet flow the toys are always the best quality and have a lot of options great service"/>
        <s v="i bought large bags of open farm food from you but now you only sell the small bags"/>
        <s v="i love this food for my schipperke it has great ingredients and delivery is very fast i would and have recommend fromms to friends"/>
        <s v="websites very easy to use product arrived promptly product arrived in great shape and product that arrived was exactly what was ordered no complaints"/>
        <s v="reasonably priced fromm dry dog food&#10;easy website to browse and place an order and shipping was on time&#10;&#10;will order from this site again"/>
        <s v="petflow had the product i needed would rate a  star but the product took an excessive time to ship and recieve"/>
        <s v="none"/>
        <s v="quick&#10;easy&#10;kept you informed&#10;open communication"/>
        <s v="a very smooth and seamless process to secure my spot in the breeders upcoming litter"/>
        <s v="easy to order and i received the correct shipment"/>
        <s v="hard to find dog food at a good price e quick free shipping"/>
        <s v="easy to order wide variety of product choices and great prices"/>
        <s v="the ordering was easy the delivery was fast and i found what i wanted"/>
        <s v="cant beat the prices  very convenient service"/>
        <s v="great prices and loved the free shipping"/>
        <s v="highly recommended thank you guys for providing absolutely phenomenal service"/>
        <s v="my shipment reached grand junction co which is close to where i live then it was shipped back to nevada then back to grand junction this is the second time this has happened all of the cans were damaged when i received my shipment"/>
        <s v="love how tall it isand the lookjust what i was looking forwas shipped very fast"/>
        <s v="pet flow was very good about my special order they had to reach out to my vet to get the script for the dog food and did so i received my order right after that thank you"/>
        <s v="had a problem with my order duplicate customer service fixed right away and answered the phone with a person i could understand super plus for that"/>
        <s v="my order came with  cans dented out of  and this is not the first time"/>
        <s v="good company to order better prices"/>
        <s v="you had the items i wanted at a good price my order was filled and shipped as advertised ill use your service again thank you"/>
        <s v="ive always had good reliable service from petflow im very happy with the experience"/>
        <s v="my card number failed to go through properly and i didnt know it so i finally called the company when i didnt get my product they explained to me what had happened and i said oh lets go ahead and use the number again and when i went ahead they give me  di"/>
        <s v="always get anything i order on a timely basis"/>
        <s v="the prices were extremely competitive everything arrived without a problem delivery was fast"/>
        <s v="i have yet to get my order it was easy ordering"/>
        <s v="best value for bully sticks nobody comes close every place is way more expensive"/>
        <s v="i received what i ordered pronto great prices compared to petco i saved  compared to petco"/>
        <s v="had everything i needed ordering was quick and easy speedy delivery"/>
        <s v="the furkids love the treats and customer service was top notch great communication"/>
        <s v="quick shipping and a great price i will be a returning customer"/>
        <s v="super fast shipping awesome and fantastic prices"/>
        <s v="great communication with frequent updates on my order tracking"/>
        <s v="wish there were more options for the length of time for dog food ordering"/>
        <s v="experience was great shipping was fast very happy with my purchase"/>
        <s v="its a great product and the family dog loves it"/>
        <s v="lured in by low pricing i ordered a case of a new dog food canned to try it out i ended up converting my dog over about  days onto this new food i then ordered  more cases with petflow of the same food i had auditioned and transitioned my dog onto&#10;&#10;what a"/>
        <s v="order came just as promised very quick shipping"/>
        <s v="best price fast delivery"/>
        <s v="i think you provide good service and deliver your products on a timely basis"/>
        <s v="good prices large selection fast delivery good response to questions"/>
        <s v="super fast shipping competitive pricing accurate order delivered"/>
        <s v="as i said before a mistake was made with my order and customer service immediately fixed it"/>
        <s v="wonderful to find natural balance venison canned food in stock delivereddelivered"/>
        <s v="package was never delivered  days after order"/>
        <s v="they had what i needed hardtofind item in stock and shipped quickly"/>
        <s v="very easy to navigate website excellent prices great selection and just an overall best experience second to none"/>
        <s v="i received my order promptly these people are on their game for sure"/>
        <s v="user friendly online shopping experience and very good prices"/>
        <s v="i was pleased with the prices and the products at petflow"/>
        <s v="quick delivery on great product at a great price"/>
        <s v="great prices good service"/>
        <s v="got what i ordered  it was delivered on time"/>
        <s v="pet flow had an out of stock item we have been looking for over  months my dogs are so happy"/>
        <s v="great prices and free fast shipping awesome"/>
        <s v="higgins parrots feed"/>
        <s v="fast shipping great fresh seed and the brands i use higgins"/>
        <s v="easy to place an order great prices and fast shipping"/>
        <s v="good customer service great prices"/>
        <s v="i always get good service at a good price in a very good time"/>
        <s v="good price on pigeon feed shipped with no damage"/>
        <s v="company is affordable and customer service is exceptional"/>
        <s v="everything was perfect thank you"/>
        <s v="great prices prompt delivery"/>
        <s v="ordered and you didnt have in stock still waiting"/>
        <s v="easy to order at a fair price for this day and age"/>
        <s v="easy to place order delivered on time"/>
        <s v="good price timely delivery"/>
        <s v="they get my stuff i ordered to me within a few days"/>
        <s v="love the product very fast serviceshipping"/>
        <s v="like always quick and reliable"/>
        <s v="good  i will purchase again"/>
        <s v="you had what i wanted and you got it to me quickly"/>
        <s v="you had the product that i needed and it was shipped quickly "/>
        <s v="great shipping speed bones i ordered are great"/>
        <s v="good price fast shipping"/>
        <s v="fast and efficient service"/>
        <s v="easy ordering experience good products"/>
        <s v="my dog loves it"/>
        <s v="fast and easy&#10;good price"/>
        <s v="i order and in no time my order is delivered staff also quite helpful with advice and customer service"/>
        <s v="i am committed to feeding my cat the required ingredients suggested by my vet to give tammy quality of life as she grows older because of the cost of prescription diet food i have to shop around for the best affordable prices which petflow has provided an"/>
        <s v="i needed a prescription food you say you stock your instructions were to mail the prescription in this seems bazaar in the online world after a few days you emailed me saying that i could email a scanned in image of the prescirption&#10;&#10;why didnt you provide"/>
        <s v="always fast service good prices"/>
        <s v="best price on kmr liquid and powder"/>
        <s v="great service  pricing&#10;&#10;thank you"/>
        <s v="first petflow shipped my product to the wrong address even though they confirmed via email and text that the address would be updated to the correct address for the shipment secondly do not rely on their autoship  they have constant delays so it is not de"/>
        <s v="great service&#10;easy to order&#10;shipped quickly&#10;thanks"/>
        <s v="excellent customer service thank you"/>
        <s v="i found what i needed quickly not many shippers carry nutrisource i also got a significant discount through my capital one addon so i bought  bags to get the free delivery they were delivered very quickly as well i am disappointed that they dont participa"/>
        <s v="easy to navigate website lots of name brand foods at reasonable prices"/>
        <s v="best prices anywhere and great communication from petflow received food four days after ordered and pet flow notified me on day  the order was delayed one day in the st paul location but was quicker delivery time than other companies i have used so was ve"/>
        <s v="the shipment was received in a timely manner however for the cost of the canned food i purchased almost can i would have expected a little bit of packaging material in the box almost all of the cans have big dents in them from being shipped i am glad that"/>
        <s v="due to shipping restrictions i was unable to reroute the delivery via my fedex delivery manager this is a big issue for me because i live in an apartment complex with a lot of theft and having my cats expensive food stolen is too much of a risk to take wh"/>
        <s v="the website is very easy to navigate our purchases were shipped and arrived quickly to our home the prices are the best ive found all these things have added up for me to be a repeat customer"/>
        <s v="easy to order and quick shipping makes petflow a winner in my book"/>
        <s v="good selection of cat foods good quality and fast shipping with fair prices"/>
        <s v="the product is    a case less than competitors&#10;shipping time is relatively timely they product came in manageable size boxes not one oversized heavy box"/>
        <s v="they are very responsive an item was missing from my shipment it was reshipped within a day or two"/>
        <s v="fedex failed to deliver package even though it was shown as delivered  boxes of milk bones one call and petflow sent a replacement one week later the fedex package showed up  most likely dropped off by a neighbor called petflow and they said keep the trea"/>
        <s v="timely orders great communication and wonderful products"/>
        <s v="they gave me a credit because something i ordered was no longer in stock new items came very fast"/>
        <s v="it was my second order and second time it was easy and with high expectations&#10;thank you for nice service"/>
        <s v="tried chewy but there is no comparison to pet flow your service is far above them my order is always delivered quickly customer service department is great and helpful i am a returning customer and pet flow is the best"/>
        <s v="prompt services and delivery competitive pricing"/>
        <s v="lowest price i could find fast shipping knowledgeable polite customer serviceone small flaw wasnt able to use paypal no biggie"/>
        <s v="always good products always good prices repeat customer many times over"/>
        <s v="i received the packages in good shape and as promised with little delay products were as described and much appreciated thank you petflow"/>
        <s v="had to call in because of recent c card change efficient quick delivery thank you"/>
        <s v="petflow offers items for my dog at lower prices than other pet supply websites there arent as many choices as the bigger websites but i look at petflow first when i need something because of their good prices my order shipped quickly and accurately"/>
        <s v="i can change the order and they always catch up with the changes"/>
        <s v="that it got delivered in time and your price is fare"/>
        <s v="they got my order out to me in a timely matter and a good price"/>
        <s v="we needed small litter pans and were able to find them at petflow not only were we able to buy the quantity we required but these were also the lowest price available online thank you petflow"/>
        <s v="easy to use website i found the product i wanted notifications sent through the whole process after purchase was made product arrived when specified in whole undamaged form well packed"/>
        <s v="i am very happy with the fast delivery and also knowing that my ordered items are available im still learning how to navigate the auto shipment with petflows system there are too many shipment options on the page and i have accidentally double ordered bec"/>
        <s v="we appreciate your efforts to keep orijen products in stock for the past five years our puppy has been alive and you get them to us fast thanks"/>
        <s v="great customer service the chews need to be long lasting"/>
        <s v="this was the first time i had to use a prescription for food the staff was on the ball got taken care right of way and shipped to me in  days"/>
        <s v="the auto ship is a lifesaver the prices are comparable to store prices but never having to worry about running out is fantastic they are always on time as promised"/>
        <s v="they are still bothering my vet for a prescription on an i order i canceled annoying"/>
        <s v=" best prices  fast free delivery  you can get cashbak with rakuten"/>
        <s v="i got what i order and when was suppost to be deliver"/>
        <s v="reliable  easy ordering and quick shipping their prices for the fish food we use is the best you can find&#10;dont hesitate to use petflow&#10;theyre outstanding"/>
        <s v="always great finds at great prices on your site"/>
        <s v="i was very pleased about the shipping and that it came on the day it said it would also i like the price a lot of people in amazon are price gouging so this is nice thank you"/>
        <s v="fast shipping was provided as i was running low on canned dog food the only problem was some of the cans were smashed they still were able to be opened but tough to get all the food oyt"/>
        <s v="love the large guinea pig house she loves the cloth ones without a bottom petflow was the only place i could find them so happy they had them i will absolutely continue to order from them"/>
        <s v="quick shipping and easy websitecost is up tho"/>
        <s v="rapid response&#10;personal interchange&#10;human contact"/>
        <s v="first time customer ordered prescription food so it had to be approved by my vet still had my order in less than a week thanks for the speedy delivery"/>
        <s v="this was my first time purchasing the products available for my cockatiels while limited were good quality the issue i have is with the packaging of  pounds of millet they need to be put in a bag first to prevent the seeds from spilling out into the large"/>
        <s v="very professional and my orders are always right and on time"/>
        <s v="i have a been a long time chewy customer and you beat their price on one of the items and then with  autoship you beat the price on the other item so i gave you a try and you delivered&#10;&#10;i am new and plan to stay"/>
        <s v="timely delivery wide choice of product at a competitive price"/>
        <s v="original order on  damaged in transit heard nothing for a week after i called and replacement order initiated supposed to be delivered on  its now  and order still showing intransit from nj with no additional info as to eta or when my order should be deli"/>
        <s v="a better value than their competitors and fast service thank you"/>
        <s v="had my product in stock great price payed the shipping thank you"/>
        <s v="always fast friendly service"/>
        <s v="fast delivery cans not dented and price"/>
        <s v="my order was processed and shipped promptly and at a very good price"/>
        <s v="prices are comparable and free delivery is great"/>
        <s v="so happy to get my very hard to find dog food"/>
        <s v="we like ordering from petflow the orders come quick and it is easy to get what we need for our babies"/>
        <s v="easy to order and it shipped quickly and pup is enjoying the toys"/>
        <s v="so easy to order online  was quickly delivered to my home"/>
        <s v="i like that i was able to find food for my dog that is hard to locate in pet stores my order was received within five days and my pup was very happy i will definitely make more purchases from petflow"/>
        <s v="i have used pet flow a number of times they are usually on time and get things shipped timely"/>
        <s v="what can i sayevery order is on delivered in a very reasonable time and the selection of products as well as the price is spot on"/>
        <s v="great wish they had an app and wish shipping was faster"/>
        <s v="never no discount or coupon for fromm food spend  dollars a month on from food"/>
        <s v="you see brands of dog food other companies do not"/>
        <s v="love the sales that petflow sometimes has and i always get what i ordered as expected and in a timely manner easy to check out too"/>
        <s v="i called for help with an order and agent wanted me to be schooled on how to add to an auto order  i just wanted her help me delete  start new order she said in a not nice way that if i didnt learn i would call each time im staying with chewy for best ser"/>
        <s v="name brand item at good price there was a problem with my credit card being accepted i called and talked to a real human being and was helped promptly&#10;customer service with real people getting either is rare today"/>
        <s v="whenever i have a problem its always taken care of immediately"/>
        <s v="the company is easy to work with helpful when i have had problems and easy to work with to resolve any issues shipping is timely also"/>
        <s v="i got my order on time and it was less expensive than any other place"/>
        <s v="fast and easy to shop and order plus customer service was great answering my questions via email"/>
        <s v="you have a toy that my dog loves i have trouble finding it but you have it so thank you"/>
        <s v="customer service is nonexistent shipping takes forever"/>
        <s v="better prices than chewy shipping is a bit slower but worth it if you just plan ahead&#10;&#10;first order with them took about a week to get the second and larger order only took a few days from east to west coast not bad at all good selection of products also"/>
        <s v="prices good fast leaning a but much on subscribing my cat is an animal  things need to be flexible not locked into the same food delivered regularly cant i get a discount without subscribing"/>
        <s v="ordered twice and order was canceled with no explanation finally called and they said my cardorder was suspicious and that i needed to call i went ahead and ordered from petco instead they had no issues with my payment then i asked them to take me off the"/>
        <s v="i ordered dog food it was delivered the next day"/>
        <s v="when the item was ordered i didnt receive any communication as to when it would arrive that was accurate after the email stating that it was ordered also initially the form of payment used was incorrect and the company didnt notify me or communicate with "/>
        <s v="always have fromm dog food in stock always received my order within  to  days great service"/>
        <s v="you ship so fast and i really appreciate plus your products and prices are really good and affordable i can count on my dogs getting exactly what they need thank you"/>
        <s v="great customer service when an issue arises"/>
        <s v="petflows customer service is great always someone helpful to answer the phone and solve issues"/>
        <s v="ordering from their website is easy and they have good prices and fast shipping"/>
        <s v="well it all started with me not noticing that the shipping address was wron i didnt notice it until the order was done so i sent an email and a test if i remember correctly i then received a phone call and discussed the wrong shipping address with someone"/>
        <s v="i had been shopping from another company but the prices were just getting to steep i found petflowcom to have reasonable prices and all the products i needed for my fur babies the customer service has been great i recommend pet flow to all the parents up "/>
        <s v="i searched the internet and petflow had the best price for the blue buffalo brand delivery was quick and we are very satisfied"/>
        <s v="if i could give a rating of zero stars i would i order two different times and both were immediately cancelled no reason given i texted and emailed you company with no response i have since started using a different pet company for my needs&#10;no customer se"/>
        <s v="easy to use website food arrived on time"/>
        <s v="you offer fast shipping to my fussy cat who only eats three things i appreciate your quick turnaround time"/>
        <s v="the delivery was delayed i was expecting it friday and it got pushed until monday this was my first time ordering so ill be wary if i order again and be mindful of the delays not sure if this is the experience those on auto ship have"/>
        <s v="excellent telephone info and easy to buyreceive what our pets needed qualityprice were best i could find also"/>
        <s v="my dog had dental surgery and i needed more royal canin canned food my usual stores out of stock i discovered petflow online great price and super fast ship my new go to store i recommended to many friends"/>
        <s v="easy to order on line quick delivery and when i called customer service they were exceptional"/>
        <s v="only place i can get the smallbreed dog food i need fairly fast shipping very helpful customer service"/>
        <s v="petflow has lost me has a customer weve been ordering on a consistent basis since july  so just shy of  years this final straw has been the last two months when we decided to order all our food for the month in one large order and we have been told we are"/>
        <s v="ive been ordering from for my chihuahua since he was a puppy hes now two years old everything is so quick and prompt the best company ive ever dealt with when it comes to my dogs thank you"/>
        <s v="amazing company that im glad i found your prices are great and your customer service is super friendly and helpful"/>
        <s v="petflow had the best overall price with shipping i could find anywhere on the items i needed shipping took a few days but only one company offers next day delivery and their goods prices are increasing"/>
        <s v="no problems fast shipping"/>
        <s v="we never received this order&#10;we have received several emails that say our order was delivered but it has not arrived"/>
        <s v="product arrived quickly as i was running low"/>
        <s v="my order for my precious pets arrived promptly and in good condition my dogs have loved the food and treats i have been pleasantly surprised so much that i have made a second order"/>
        <s v="i ordered  kong toys and my pitbull just loves them the squeaker is a prolonged one so it really keeps him entertained&#10;i would recommend these to anyone who has a curious pup&#10;as for petflow they have a vast array of items and the experience was a pleasant"/>
        <s v="fast delivery and fairpriced excellent service for my chessie thank you"/>
        <s v="petflow had all the information from a purchase from some time ago&#10;immediately filled order and sent pet food which arrived in no time&#10;smooth"/>
        <s v="i ordered well over a week ago and still have not received it"/>
        <s v="the product was just what i was looking for we have three large dogs and they enjoy the big bones to chew on the local store that we use to purchase them from no longer carries them i told the vet this and she suggested to go online i found petflow and wa"/>
        <s v="easy to order fast delivery"/>
        <s v="amazingly fast shipping our dog has allergies so getting the right dog food consistently is important petflow has come through twice now for us"/>
        <s v="pet flows price for science diet was less expensive than the other online suppliers i checked with i received my order within two days of ordering overall i was happy with my shopping experience"/>
        <s v="the convenience of having products delivered to my door is a big plus dog food is always fresh if and when i have to call for assistance everyone is friendly and helpful"/>
        <s v="the order was filled quickly and shipped right to my door i know from experience that if i had a problem with my order it would be worked out it is a great company"/>
        <s v="the items i needed were in stock when i couldnt find them elsewhere i have switched my subscription service to petflow fast shipping too"/>
        <s v="part of my order was incorrect but they promptly took care of it arranging to pick up the incorrect items and delivering the correct ones"/>
        <s v="i found the dog food i needed for an excellent price and it was delivered quickly"/>
        <s v="i was hesitant after i made the purchase as i looked at the comments and saw how people had trouble with the shipping i was grateful to have not experienced this i immediately received a tracking number and my order arrived on time"/>
        <s v="fast shipping and lower prices than many other places ive bought my dogs favorite brand of food"/>
        <s v="i received a broke  cracked pet carrier they shipped a new one the very next day it arrived in good condition"/>
        <s v="easy ordering and fast shipping"/>
        <s v="the wrong dog bowls were sent then they wanted me to return them by fedex and would send me the correct ones but when they did that they sent them by fedex ground and they would not have arrived in time when i called they said there was nothing they could"/>
        <s v="i am a first time customer of pet flow representative was available upon calling to ask a few questions the rep was very courteous and knowledgeable answer all my questions able to track order which arrived in two days yes i will order again"/>
        <s v="i love that my dogs favorite dog food i order gets delivered right to my front door in a matter of two days whats better than that"/>
        <s v="prompt delivery product just as described and arrived without damage"/>
        <s v="came timely it was easy to order"/>
        <s v="ordered prescription food for my diabetic dog first time with petflow and the transaction was handled smoothly and correctly order arrived on time and as expected"/>
        <s v="wonderful company great selection of products super quick shipping very reasonable prices and outstanding customer service"/>
        <s v="great pricing free shipping and acceptable shipping time"/>
        <s v="ordering was easy and the shipping was fast"/>
        <s v="petflow is always in stock and ships immediately my pet supplies arrive in perfect condition no complaints here"/>
        <s v="petflow website is easy to navigate my order was processed and shipped quickly and accurately"/>
        <s v="sitejabber website reviews and complaints&#10;thanks  your review was successfully submitted woo hoo &#10;our internal mod team will take a look and notify you when its posted&#10;&#10;thumbnail of user ardigoc&#10;ardigo c&#10; reviews  helpful votes&#10;whew&#10;april th &#10;i ordered a "/>
        <s v="fast delivery always have what i want at reasonable prices"/>
        <s v="i ordered my dogs food and it came right in time"/>
        <s v="was happy to get our new puppy the food we were looking for at a good deal however the dog food bag had a hole in it food was scattered everywhere and the box was falling apart which was not a big deal except for that our food bag had a hole in it"/>
        <s v="fast easy service timely delivery and easy return well be back to order again in the future"/>
        <s v="my order was correct came quickly and was as advertised my doggos love love love this food and i loved the ordering experience"/>
        <s v="my order hasnt been shipped after over a week when i reached out i was told i had to call management im glad i received a prompt response but i dont want to call anyone and i didnt want to wait any longer so i went back to chewy although your prices were "/>
        <s v="excellent items packing was also excellent and fast shipping will order again"/>
        <s v="most items are always in stock and reasonably priced my orders are shipped promptly keep up the great work"/>
        <s v="very nice and quick with my order unlike some other companies who delay my package love it and the coupons please send more because we in a recession thank you"/>
        <s v="been ordering from petflow for a few years now they have fast shipping and always get my order correct i also like that they have many different foods and products to choose from"/>
        <s v="my first time with petflow it was a fluke how i heard about them glad i did wonderful website and easy to use im not a tech savvy person love the autodelivery discount and the variety they have my little ones flavor of pure vita dog food is hard to find o"/>
        <s v="always a positive experience quick delivery and has always resolved promptly if there are any issues"/>
        <s v="quick delivery good prices and trustworthy we always get what we ordered thank you"/>
        <s v="representatives are very understanding and easy to work with"/>
        <s v="i had a little trouble placing the order initially but that was apparently me rather than the site once the order was placed i received an email stating that one of the items was out of stock and would ship from another location i went to the website and "/>
        <s v="you have decent prices quality products  i am a customer for life"/>
        <s v="both times that we have ordered we have gotten out purchase when promised&#10;only thing i have that may need to be worked on is the ordering site it took me like  times to finally fulfill my order"/>
        <s v="love pet flowbeen using them for  years now"/>
        <s v="ive never heard of this company and they sent me an order confirmation wouldnt tell me what credit card was used but apparently someone is targeting them  to gain what i have no idea how does using a stolen credit card to ship something to someone who did"/>
        <s v="petflow is amazing the dog food i ordered was out of stock from the other company i have used and so i was so pleased petflow had it in stock it got to me quickly which surprised me since it came fed ex who i have not had a great experience with for speed"/>
        <s v="all of my experiences with petflow are amazing"/>
        <s v="the first attempt to pay failed due to a fraud control with my credit card after i approved it the website did not let me retry the payment it was some glitch i attempted calling petflow during business hours but i was put on an endless wait of over  minu"/>
        <s v="very quick delivery and high quality products i really appreciated how good they were at communicating the status of the order as well will definitely shop with them again"/>
        <s v="you should have known when i placed my order that you did not have it in stock"/>
        <s v="easy shopping great products comparable prices fast shipping"/>
        <s v="shipping was quick and the order was right the prices are getting awful high but i guess that is the due to our rotten economy"/>
        <s v="if i could give you a  star i would i was a new customer and i purchased a bag of dog food for my dog that has a super sensitive stomach i waited  days and the food never arrived so i had to call customer service for them to finally tell me that i was  fl"/>
        <s v="buyer beware petflow had so many excuses as to why they couldnt ship my prescription order cc wouldnt work vet clinic wasnt on record it was my account was flagged for fraudinformed fraud dept would reach out to me never happened and then my order of hard"/>
        <s v="quick service easy to use"/>
        <s v="i buy canned dog food i should have split my order into two because i could have taken advantage of two discounts that way it was an expensive order but i only used one discount my fault and it cost me&#10;petflow has the best price on the dog food that i buy"/>
        <s v="web site needs to be a little eiser to use i have a hard time adjusting the auto ship without out deleting the product and resubmitted to increase or decrease the amount of product&#10;&#10;also i need pigeon grit to be added for sale i also use versa laga for th"/>
        <s v="petflow has food and toys my dogs love the website is easy to use and my orders arrive quickly"/>
        <s v="customer service is awesome ordering online is quick and easy my dog loves these treats"/>
        <s v="super delivered my home the price is good"/>
        <s v="very helpful polite phone staff and prompt delivery a positive shopper experience will continue to shop for my cats rx food from petflow"/>
        <s v="i placed an order my card was charged and then credited a day or so later and then i was locked out of my account i created another account and the same thing happened all for no reason and my orders were never shipped it was a waste of my time and i dont"/>
        <s v="well you know what they say about st impressions&#10;the csrs are never on the same page when asked the same questions when csrs were asked when will i receive my shipment answers varied between csrs&#10;one csr said everything will ship on monday while yet anoth"/>
        <s v="delivery slower than chewy occasionally items are sold out"/>
        <s v="it is only recently that we came back to petflow after a period of being away no particular reason for this we are very pleased with the experience and will be coming back as a customer meanwhile we had been doing business with a major competitor of yours"/>
        <s v="my dogs were having an allergy attack and you gave me ideas on what to do what to buy for the allergies it really helped"/>
        <s v="shipping was superfast and koko got her favorite food at a price that left me amazed not to mention a bit piqued at myself for paying so much more from  other major online stores for the last several years note that this wasnt any kind of sale it was petf"/>
        <s v="pet flow always gets my order right and delivers in a couple of days"/>
        <s v="they had the product i needed at a great price fast shipping too"/>
        <s v="place order for the first time on petflow for a difficult product to find on  after almost two weeks  i attempted to log in to my account on the website which had been deleted my payment had post via my bank on  and no refund so i called customer service "/>
        <s v="ordering was very easy and cost was less than most places shipping time was outstanding  days and that was over a weekend"/>
        <s v="i had some issues on broken items due to poor packaging i let pet flow know and they took care of it i have been using pet flow for a long time and this is my first problem yes i will keep purchasing from pet flow"/>
        <s v="my order was canceled i was given no notification about the cancellation additionally when i talked to a customer service person to inquire they were not helpful either they couldnt tell me what caused the cancellation because payment is done through a th"/>
        <s v="the products i needed were very reasonably priced and delivered to my door step quickly"/>
        <s v="shame on petflow&#10;&#10;the shipment of dog food for  and  year old dogs failed to be shipped&#10;&#10;ordered on  i was informed my vet had approved the hills prescription wd canned dog food&#10;&#10;on  petflow informed me due to uncertain times were currently delayed on ema"/>
        <s v="good product good service"/>
        <s v="first time purchase two orders were cancelled for no reasons i called customer service and they said they will investigate and send me an explanation email received no explanation nothingand agent attitude was terrible one of the order refund has not been"/>
        <s v="i did not order anything but received multiple emails about an order being delivered to my name and my address&#10;i didnt receive anything&#10;something is seriously amiss here"/>
        <s v="overrall the experience with this online vendor is excellent however they frequently run out of products often sometimes they delay thr shipments&#10;the possitive is that they try to help the clients when they call on the phone"/>
        <s v="petflow is my first choice for dog supplies great customer service and friendly people who genuinely care about their customers"/>
        <s v="i never placed an order with you but my credit card was charged by someone else"/>
        <s v="prices are very competitive shipment arrived very quickly"/>
        <s v="great price with opportunity to get free shipping fast and accurate shipping and order filling they had the dog food i was looking for"/>
        <s v="i still havent received my order&#10;it took over two weeks to receive a call from petflow after placing my order evidently they didnt have my full address that has been at least a week and still have not received a shipping notification i ordered puppy food "/>
        <s v="good company nice people that can be reached by phone right away no robots&#10;&#10;good selection of products and very helpful and do not rush you&#10;&#10;petflow carries my favorite cat and dog food orijen"/>
        <s v="i ordered  boxes of pound cat litter i got a great deal hr shipping and an easy shopping experience plus raukten had  cash back this was a better deal than chewycom which is usually the best i am very happy"/>
        <s v="fast delivery&#10;accurate order"/>
        <s v="good products at good prices delivered timely"/>
        <s v="very good service thank you"/>
        <s v="every time i order from petflow i get fast service its nice to know when i need food or treats or toys they are on their way quickly i also like receiving tracking information to keep in the loop"/>
        <s v="order canceled for no reason or notice given"/>
        <s v="great prices fast delivery almost everything for taking care of your pets"/>
        <s v="did not like that i buy a membership in order to save on my purchasevery disappointed with that part of checkout"/>
        <s v="left product out by the street in the rainit was covered in plasticbut still by the street is bad news"/>
        <s v="i ordered some guinea pig food and the price was better than any other place it shipped out fast and the company did a great job emailing when it shipped out with tracking the products arrived perfectly packaged in a box that was just the right size for t"/>
        <s v="i have ordered twice now from this company fast shipping boxes arrived in tact no problems"/>
        <s v="i had been looking for best auto ship on wet cat food and found petflow to be the best they ship quickly and the whole experience is just great"/>
        <s v="good prices great customer service you also carry brands that mainstream stores do not"/>
        <s v="i ordered dog food to be sent to my daughters while she is keeping my dog you evidently canceled my order and was not advised by petflow"/>
        <s v="i always did love petflow only switched after years of buying from them because it took a bit longer to receive the product than was convenient after finding out that they carry a product i was not able to get at my current pet food company i decided to t"/>
        <s v="account flagged as fraud long wait time for customer service had to give credit card info over phone cant get a password email reset even though you recognize my email address so cant access account"/>
        <s v="petflow published an anniversary discount of  for orders over  i was so frustrated when my order wouldnt accept the discount i called petflow  and spoke to a real person bonus points better still the customer service rep was apologetic friendly and worked"/>
        <s v="website takes too long to navigate&#10;shipping takes too long&#10; days from order to delivery"/>
        <s v="great prices fast shipping only compliant is several cans were dented but they were still sealed"/>
        <s v="this is a fake account i already called my bank and you a few weeks ago someone is using my email address  an old card that is already marked fraudulent to purchase cat supplies i dont even own a cat i have unsubscribed and continue to get these emails fr"/>
        <s v="friendly competent person that took care of my problem quickly"/>
        <s v="the  star may or may not be fair but its to make a point i have not prior history or account with petflow i randomly started receiving multiple daily emails from petflow regarding multiple orders made including order updates to multiple people in multiple"/>
        <s v="i ordered cat food and when it didnt come and i was just running out i called they didnt even bother to tell me that it had been cancelled because they couldnt verify that the order was from a real person"/>
        <s v="the round cat scratcher fitted perfectly inside a round woven basket that my cats love i had to remove the cardboard supports which was easy to do&#10;many thanks"/>
        <s v="not sure why but i had a monthly subscription set up with my name old address and some credit card i dont own not sure what caused it the website wouldnt let me cancel anything so i had to call in to talk with someone and get them to cancel it the person "/>
        <s v="easy online ordering and product came as promised with no issues"/>
        <s v="pricing ease of using your website"/>
        <s v="we received a shipment from petflow and never made an order when we contacted petflow customer service rescinded the order and sent a notice to fedex to pick up the package we were supposed to leave the package outdoors after  days we contacted customer s"/>
        <s v="i keep getting emails about orders i did not submit showing a shipping address in mexico ny i am reluctant to click on any link in their email message and will not call the number listed as this appears to be a scam"/>
        <s v="excellent service super fast delivery"/>
        <s v="the first time i used the automatic dog bowl it leaks around fitting"/>
        <s v="my purchased was flagged and canceledi have called twice and no one can tell me whyi am pissed"/>
        <s v="ordered  times from petflow great customer service every time they answer calls respond to emails and honestly do everything you would want from a company not to mention affordable prices"/>
        <s v="  lb bags of dog food in one box is too heavy i cant move it"/>
        <s v="i am getting emails about orders i did not place i have replied back numerous times i am not jeff and i have not placed any orders with you and based on this experience i never will i would like you to leave me alone"/>
        <s v="delivery time for product wasnt as promised it was completely unacceptable"/>
        <s v="amazing experience&#10;my package was delivered on time and very fast"/>
        <s v="product was delivered as promised"/>
        <s v="pet flow always has my dogs food in stock and it arrives very quickly"/>
        <s v="easy to use app for ordering and always quick delivery also if i order a large bag of food for my dog i get free shipping"/>
        <s v="have had very good experience with petflow&#10;good products with great shipping&#10;will order more"/>
        <s v="price was much better than most other places that i have purchased i reached out to you about changing my shipment and the response was great i will continue to purchase from this company"/>
        <s v="quick reliable service ive been with them for a while now sometimes it takes longer in the winter"/>
        <s v="i love the convenience of petflow i live in a rural area and they are the best price and value for having my dogs specialty food shipped they make it easy with auto shipments even when i need to change dates its very easy shipping is always as expected as"/>
        <s v="i have never shopped with you guys remove my email from your marketing emails company"/>
        <s v="first time purchasing beats amazon prices"/>
        <s v="i always find a great selection of products and competitive pricing"/>
        <s v="all was well with initial service and product the problem is with your packaging of two large bags of dog food in one box the box quality is mediocre at best the dog food is too heavy and too large for the box the box broke open this could be foreseen als"/>
        <s v="i am happily impressed with the personal service and speed of delivery from petflow as long as petflow carries the pet food i use i will continue to shop petflow"/>
        <s v="exceedingly expensive&#10;if i oculd attach a screen print  id show prove it to you look at the price for the same item from chewy and most other reputable companies i put chewys link here but trust pilot doesnt allow links too bad  because it was proof&#10;chewy"/>
        <s v="ive been buying from petflow for several years every order has been carefully packaged and timely delivered shop with confidence"/>
        <s v="what i ordered was in stock and the order fulfilled promptly"/>
        <s v="great quality products and very quick shipping"/>
        <s v="i bought the kong monster balls for our beagle  her second set of them  she loves them so much she hardly plays with any of her other toys"/>
        <s v="your two representatives tristan and ryan were knowledgeable professional and courteous they helped me through the process of creating a subscription account"/>
        <s v="good prices delivered as expected"/>
        <s v="you cancelled my order because i made it while traveling abroad dont worry i will never visit your website again"/>
        <s v="my dogs most favorite treats are impossible to find thankfully petflow has them in stock regularly no more rationing their favorites always fast shipping arrives in great condition"/>
        <s v="prices of the blues buffalo wilderness canned dog food was good delivery was late bc it was out of stock which was fine however six of the  cans were dented which i wont use"/>
        <s v="fast shipping and prices in line with other companies"/>
        <s v="great prices fast delivery"/>
        <s v="great selection and price fast delivery"/>
        <s v="had never heard of this company before and was planning to use chewy for our order but found this company in an online search they offered a coupon so i opted to give them a try our order was for prescription dog food so we had to go through mailing in th"/>
        <s v="easy to navigate website and you had food for both my pets"/>
        <s v="very pleased with purchase price was great better than amazon free shipping over certain amount fast also very well packaged often from a it looks like it rode behind the truck not in it very happy with petflow they be my new goto supplier thank you petfl"/>
        <s v="my first order was cancelled in error by merchant they were quick to resolve this when i called unfortunately the same thing happened again when i ordered other merchandise again they were quick to resolve this with a phone call the customer service folks"/>
        <s v="easy for me to order the package showed up in a very timely manner"/>
        <s v="prices are good&#10;wish delivery was faster"/>
        <s v="i added a few things to my cart and left for a bit to get some lunch i came back to several emails telling me about the contents of my cart and coupons on such it had been like  minutes and yall was already bugging me calm the hell down&#10;&#10;further i had the"/>
        <s v="i have sent in the prescription several times and my order still has not been filled it is way too time consuming"/>
        <s v="i havent received the order after two weeks and i havent received a reply from the help desk about when its coming"/>
        <s v="petflow definitely had the best price on this item that i could find including prompt free shipping"/>
        <s v="fast great prices great selection  super customer service"/>
        <s v="best prices that ive found great customer service shipped my order promptly"/>
        <s v="found pet flow purely by accident when looking for a specific dog food kibble online made my first order which was shipped promptly and arrived in a few days i also noticed that prices are very competitive and shipping is free over a  purchase"/>
        <s v="i know that the road conditions for my order were difficult but the delay was minimal"/>
        <s v="likes good pricing fast shipping&#10;dislikes not disclosing all information about pet food ingredients lack of customer support"/>
        <s v="my first experience was excellentfrom the quality of the productmy dog loves the chicken treatsto the customer service the sale was a great way for me to become acquainted as i do live on a budget"/>
        <s v="your website is very intrusive and hard to navigate all i wanted to do was look up availability choose and pay it invariably brings up prior views goes all over even signed me up for recurring deliveries decided to leave and shop somewhere else"/>
        <s v="i have been using this company for years and will continue to do so they carry highquality product have a great customer service and fast shipping"/>
        <s v="petflow has such a variety of options for your pet i have a very picky cat and cant always find her choice of food at the pet store thankfully i discovered petflow they were way less expensive than the store i normally shop at and had exactly what i neede"/>
        <s v="price was good product was received promptly ordering was easy the only issue was that most of the cans in one case were severely dented customer service responded quickly and provided a new case"/>
        <s v="ive ordered several times from petflow&#10;they have excellent products easy website to navigate good customer service"/>
        <s v="low prices fast shipping"/>
        <s v="quick delivery when everyone else is so slow or delayed accurate orders petflow cares about the animals by donating a portion of the profits "/>
        <s v="i received the dog food i ordered in a timely manner they offer a wide variety of food"/>
        <s v="fast shipping on hard to find item thanks"/>
        <s v="i order from petflow a lot never been disappointed"/>
        <s v="upon placing the order i received and email from petflowasking me to allow a couple of days while the vet is contacted around the middle of the week the food was delivered as promised with no hassles my cat can not conusme any other food and this veterine"/>
        <s v="i had to call customer service regarding an auto ship that i needed sooner somehow i had an extra bag of cat food arrive i may have made the error but when i called the petflow representative they were willing to take the bag back however i wanted to keep"/>
        <s v="food arrives quickly and well packaged they carry fromm dog food which chewy and petco dont carry"/>
        <s v="item was priced very fairly shipping was soo fast just an excellent experience"/>
        <s v="when i got my package i found that i was only sent half of my order i called customer service and got ready to go rounds with someone telling me they were sorry but it wasnt like that at all i was immediately sent another shipment no fuss or hassle to me "/>
        <s v="i already reported that this is my email not dale leonards i was told that dales account was removed from your records please remove my email from your records&#10;thank you&#10;d beatson"/>
        <s v="lots of finger pointing between my vet and petflow im not sure what problem was but vet said he never heard from&#10;petflow vet so preset want processed first time in last year ive had any issues with the process on prescription dog food anyways once i stirr"/>
        <s v="it was easy to find the product and place the order shipping was super speedy which my cats appreciated"/>
        <s v="it arrived in time no delays or hiccups in the delivery"/>
        <s v="its always great great low price super fast shipping great experience all the way aroundlove pet flowthanks"/>
        <s v="pedros mom allison was attentive helpful and pleasant shes a truly a professional customer service agent"/>
        <s v="thank you for excellent customer service"/>
        <s v="constant account hacks i would be recommend"/>
        <s v="my account was hacked and my credit card information was mixed in with at least one other strangers information when i advised petflow about the problem i was merely told i had been the victim of some outsiders actions and to start a new account with a di"/>
        <s v="easy to use website fast easy shipping great products it would be nice if the free shipping limit was lowered"/>
        <s v="very cool customer service quick shipping  the price is high but the puppies love it"/>
        <s v="the wrong product was shipped and petflow immediately sent out the correct food for my dog great customer service will definitely buy from then again"/>
        <s v="pet flow is the most awesome online pet food provider in the market  even w trivial issues we incurred they prevailed as the winner  so did we  thanks "/>
        <s v="package and order was ok just left at wrong house and i did not see any notice of delivery"/>
        <s v="i have always had good service from petflow i have received damaged cans and they have always taken care of me i donate the damaged cans to the shelter the customer service reps have always been very friendly and professional i love that they also donate "/>
        <s v="just switched over to you from many years with chewycom ongoing out of stock for our prescription food then far too many cute apologies&#10;&#10;came to you to fill and you had the inventory twice actually and now i am on auto with you&#10;&#10;thank you"/>
        <s v="i ordered  items and one never shipped and both items were coming out of the same warehouse shipping for the st item took  days  when my order arrived i called to tell them my nd item never came customer service was great and said they would rush that ite"/>
        <s v="very hard to work with even though i had a prescription from the veterinarian office which they never contacted carolina beach kept sending me the same message if you have a copy of your prescription please email a clear copy to along with your order numb"/>
        <s v="ease of ordering and modifying my auto ship order"/>
        <s v="all of the information you need to fill my order you have on file which helps things go very smoothly"/>
        <s v="i tried ordering dog food twice and both my orders were cancelled for some reason never received an email saying it was canceled just never reviewed the package and had to log onto my account and check what was going on both times ended up having to get d"/>
        <s v="everything came quickly but the bird treat sticks came all broken up i wish there was a better way to send them"/>
        <s v="i am getting emails telling me that my order is on its way or its delivered i did not order anything recently please get this straight&#10;nothing is being charged on my credit card i just get emails saying my order is on its way to some address i dont even r"/>
        <s v="no issues and will order again"/>
        <s v="i placed an order and with no explanation or email they canceled it i logged on to my account to see why it was taking so long to deliver and it just said order canceled i called customer support and waited on hold for  minutes and then it just hung up on"/>
        <s v="every time i have called everyone is very respectful and answers my questions"/>
        <s v="order came fast&#10;staff answered my email quickly and helpfully&#10;this company actually has real people who answer the phone and are sp pleasant and helpful&#10;prices are good"/>
        <s v="always works perfectlyorder online what i ordered delivers in a few days"/>
        <s v="it was real fast service to get the bag of pet food our puppy appreciated it"/>
        <s v="it was great to receive dog food in three days delivered to my door and for the lowest price"/>
        <s v="i ordered two cases of merrick grain free chunky pappys pot roast canned dog food i received one case of the correct item and one of another food one of my dogs has a chicken allergy so we checked the ingredients on the cans we didnt order and they had ch"/>
        <s v="although i received an email stating my order needed to be fulfilled by a further distanced warehouse and that my order could take up to  extra days this company was able to deliver my goods on the original date&#10;&#10;this was important because no one in my ar"/>
        <s v="it was easy to place order online and it came quickly"/>
        <s v="great service ships on time have purchased multiple times"/>
        <s v="this account was supposed to be closed as it is fraudulent still getting emails for it looks like their purchase went though please close this account"/>
        <s v="very good prices on the dog food we need also fast shipping"/>
        <s v="my e mail is bein used through your website without being verified by myself i am not using your website at all"/>
        <s v="fast efficient delivery of a difficult to find product"/>
        <s v="my account was hacked and charges were made then i was told  times they restarted my autoship but never did and then locked my account meanwhile im expected my dogs food that i cant get around town"/>
        <s v="great prices i texted with a request and was answered within  hours with a nicely stated response"/>
        <s v="i have been dealing with your company for a very long time and just love doing so all of the representatives are so friendly and helpful a quality that seems lost in these times"/>
        <s v="two of the things i ordered were out of stock but there was no indication when i placed the order that they were so i was quite disappointed when i opened the box and two items were not inlcuded"/>
        <s v="mr bigdog samson loves the cranberry treats and the parmesan treats the best hell eat both but picks out the cranberry first art"/>
        <s v="outstanding customer service reps they are very knowledgeable and helpful thank you"/>
        <s v="what a great place to shop for dog food"/>
        <s v="there is a glitch in your system my account kept going to auto fill even though i cancelled it back in  i should not have a problem now that i asked to have my account deleted"/>
        <s v="prices were great the orders were sent right away"/>
        <s v="great service ultrafast delivery"/>
        <s v="twice now ive relied on petflow to send me my blue wilderness but its been out of stock very disappointing"/>
        <s v="my order was canceled i wasnt notified when i called to find out why i was told it was flagged as fraud due to the quality in my order i explained it was not fraud it was less than a month of food for my two dogs i was told they would reach out to the tea"/>
        <s v="my login was hacked and a fraudulent order was placed using my account even after i asked petflow to cancel the order and fully delete my account they still sent me a request to review the order on trustpilot seriously"/>
        <s v="petflow always has the best pricing and fast shipping auto ship is wonderful for never forgetting all your pets needs its also customizable would definitely recommend petflow"/>
        <s v="great selection ontime shopping"/>
        <s v="prices and speedy shipping is the best feeding hungry dogs is even better"/>
        <s v="prices are generally the same as amazon and service is better prefer to support a private company when possible and they sell fromm products"/>
        <s v="petflow is a great place that offers the best bang for your buck&#10;toys were as described and the pups were very happy"/>
        <s v="i screwed up my order and mikaila fixed it without a problem my items arrived quickly i appreciated the new customer discount as well"/>
        <s v="we have used petflow for years through the course of many dogs and have always found them very informative caring and a company that we do buisness with monthy between petflow and chewy there is no better fullservice animal food etc provider"/>
        <s v="petflow is always responsive and great at filling our monthly auto ship order happy to do business with them"/>
        <s v="even though i have complained before petflow continues to package two lb bags of food on one box resulting in gedex the carrier to drop the box and the contents inside burst open"/>
        <s v="i got a great deal on a great product i was worried because i had never shopped with petflow before i received my order in a timely fashion and i received plenty of notification about the status of my order the particular dog feeder i was looking for was "/>
        <s v="easy ordering process my only complaint is that it would be more convenient to see past orders to order again or edit an order as having to go thru and search products needed my cat is on special diet and just need to be able to order his food in a quick "/>
        <s v="easy fast and reasonable"/>
        <s v="easy to place order items arrived as described and when expected very happy with everything"/>
        <s v="i love that you donate a meal to a homeless animal with my purchase its a wonderful way to help them to not forget them also your shipping is exemplary i wish more companies were like pet flow"/>
        <s v="petflows phone wraps are very pleasant and knowledgeable on how to help you my english cream golden retriever walter needs a veterinarian prescription dry dog food i used to get it through chewy but lately theyve been having a hard time keeping it stocked"/>
        <s v="order was cancelled i had to call and email for  weeks  calls and  emails&#10;&#10;supposedly due to some unknown reason my account was flagged as fraudulent no real explanation&#10;&#10;i was told a few times to reset my pw however my account has been disabled&#10;&#10;i was to"/>
        <s v="shipping seems to take a bit longer than it used to but i suppose its a common problem petflow does update their delivery date notifications though"/>
        <s v="i live in florida my email was used to order twice the shipments went to texas probably using a stolen credit card i was not charged talked to petflo representative last week with information"/>
        <s v="im so glad you asked i will be back the process was simple professional and unbelievably fast thank you"/>
        <s v="mallory was awesome&#10;she deserves a raise&#10;only issue is still waiting&#10;been billed finally got notification it shipped possibly because it had to go to vet&#10;anyway again i will ask for mallory next time"/>
        <s v="this is the first time ive ordered from this outfit and i was totally pleased with the transaction their price for&#10;the dogfood i ordered was reasonable they shipped quickly and rocco the dog is a happy camper"/>
        <s v="love the fact its cheaper comes right to my door and no shipping cost great deals"/>
        <s v="i was looking for that specific dog food for our new puppy and petflow was the only online store that i could find verus brand"/>
        <s v="i found the food i was looking for the price is high but industry standard i liked the option to purchase a large bag and  of them thanks"/>
        <s v="pet flow is the way to go i order my fur baby food all the time from pet flow and my delivery is on time that is why they are the best&#10;thank you to pet flow and all of the team that works there shadow said woof "/>
        <s v="you send me a survey link yet i still havent received the items surely you know this the communication is terrible takes several days for any response hopefully ill get the items soon  and i understand the weather delay but my items have basically gone no"/>
        <s v="while the prices at petflow may be good there are severe problems with having products in stock it seems that no matter what i order wet or dry cat food and cat litter its out of stock or has to come from a further away location it didnt use to be like th"/>
        <s v="reliable great choices"/>
        <s v="everything i order was right and i get fast delivery"/>
        <s v="easy ordering fast delivery competitive prices&#10;&#10;my only complaint is  too many texts and emails"/>
        <s v="i had recently ordered food from pat flow with no issue a couple of times my card was compromised and i had an issue with it and resolved it but recently for some reason no one will give me an explanation of why i am not able to order food from you even i"/>
        <s v="you carry the quality products i feed my  dogs and cat fromm annamaet and wellness in addition you deliver these foods in a timely fashion i am a very satisfied customer and i recommend you to all my animal stewards"/>
        <s v="there is no option to cancel an auto ship so beware when you sign up for one i am still trying to cancel it there is only a pause option online and i can not get a support person to contact me"/>
        <s v="your fast delivery customer service and packaging is excellent"/>
        <s v="my dog food that is on automatic order the size i usually get was out of stock so i was told unable to ship and received no food however that same dog food was available in a larger size and noone took the time to let me know that not very good customer s"/>
        <s v="it took over one week to get my order delivered"/>
        <s v="i requested few times to add more selections of versele laga pigeon feeds and grits like gerrymandering champion black label ic start etc pls pls pls"/>
        <s v="very easy to order and products arrived quickly and in great shape thank you "/>
        <s v="i experienced a problem with my order not their fault and customer service was so quick to help me fix it really appreciate the immediate response and care that was given my order then arrived safely and packed well"/>
        <s v="besides canned dog food i ordered  bags of rather fragile treats and they arrived a little crushed the company quickly shipped four new bags of the treats they arrived in very good condition i was impressed at how quickly and easily the customer service a"/>
        <s v="still not delivered on the th&#10; days ago&#10;terrible"/>
        <s v="i did not place this order i have already notified you about this what is going on with these correspondences"/>
        <s v="quick shipping unfortunately  cans of the dog food were badly dented"/>
        <s v="the shipping is so inconsistent took almost  days to receive my dog food this happens about every  months hard to foresee when i need to order leaving my pets without food so im forced to buy dog food elsewhere"/>
        <s v="canceled my  needed vet cat food order because email doesnt match when i literally called them asking them what was going on here wouldnt send out my cat food horrible service will look do business elsewhere unless they have some killer deals"/>
        <s v="this was our first time buying on here i found what i needed at a great price it was easy to order and arrived quickly thank you"/>
        <s v="you had the product that i needed at a fair price plus your shipping was on time"/>
        <s v="fast shipping great product and even better price for what i purchased&#10;i have made my second order and will continue to do so with petflow"/>
        <s v="good selection of high quality products shipped promptly authentic product from approved distributor packaged securely for shipping"/>
        <s v="great customer service&#10;very prompt to fix slight problem"/>
        <s v="great as usual easy quick and reliable&#10;thanks"/>
        <s v="i called because my order was delayed twice the gentleman i spoke with was very condescending i told him that nowhere on the website does it state how long or how your purchase will take or ve shipped i explained to him that i have  dogs and it is hard fo"/>
        <s v="after a little confusion on your website about autoship i was helped along by a pleasant customer svc lady smooth transaction great price on what i needed and usually purchased at chewy for more  came in  days in a roomy box that my senior cat vinnie play"/>
        <s v="the experience with pet flow is always so great i love the customer service and how helpful everyone is"/>
        <s v="great service lots of dog food choices"/>
        <s v="ordering was easy and delivery was quick"/>
        <s v="they worked with me very well when my cat refused to eat the brand of prescription food id bought"/>
        <s v="service was great and combined with the best price you cant go wrong"/>
        <s v="i really appreciate that petflow carries fromm its difficult to get and petflow delivers quickly"/>
        <s v="i would give a  star for getting the dog food in a timely matter fedex is the worse by far ill have to find a local shop in my town to buy as the shipping rates a minus "/>
        <s v="the company canceled my order  tines with no notification bad company bad customer service zero stars ill keep shopping with chewycom"/>
        <s v="my order went to the wrong address and wasnt delivered thank you for replacing it"/>
        <s v="excellent pet products at bargain prices"/>
        <s v="products were shipped quick and for a great price i was searching for bird toys budgie and there were plenty of toys to pick from on the site"/>
        <s v="orders arrive on time and prices are good i recommend"/>
        <s v="my orders are always delivered within  days great service and price"/>
        <s v="they always have the items i am looking for and at a great price check out is easy and delivery is fast"/>
        <s v="this company was awful to deal with they never sent my product and gave me a hard time about my refund"/>
        <s v="although fedex is the most miserable pos low life carrier your agent putting deliver to porch actually worked they usually just kick it out the door on the way past ill buy from you again"/>
        <s v="its nice to get a heads up before a shipment goes out in case i need to adjust the contents or timing shipping is always prompt and the selection of food treats etc is quite amazing"/>
        <s v="i ordered roaches and not one of them was dead everyone of them was alive and healthy&#10;very fast shipping and very fair price&#10;i will definitely be doing more business with petflow"/>
        <s v="great and plentiful selection of pet supplies prompt delivery and excellent customer service"/>
        <s v="website has alot of choices and the delivery was on time"/>
        <s v="i mostly order kibble  bull sticks  i order  it always comes quickly"/>
        <s v="petflow ships promptly every time we order our fromm dog food from them excellent customer service"/>
        <s v="i ordered cat food for my  fur babies and it always arrives on time petflow has great communication with its costumersi like the extra help if i cant find somethingnice people"/>
        <s v="tried to place large order using  off  but ran into out of stock items making it difficult once order was finally placed got another out of stock notice if petflow is to be depended on to supply pet needs shouldnt they have items in stock"/>
        <s v="petflow has been good for me and my dog elsahappy with productsprice and shipping"/>
        <s v="great company to deal with they notify you when your next shipment is coming and you can adjust that date if needed good prices too"/>
        <s v="easy ordering quick shipping"/>
        <s v="the products arrived undamaged with heavy cans that is great"/>
        <s v="had the food in stock and promptly shipped"/>
        <s v="i received my first bully sticks from my dogs breeder when my bernese mountain dog treated them like candy the doc suggested i only order natures own grass feed steer service price and reliability have been excellent i am am auto ship customer now"/>
        <s v="i changed suppliers of canned dog food and got the same product for a substantially reduced price&#10;im happy"/>
        <s v="great prices great service"/>
        <s v="phone reps were great on both occasions this month they worked diligently to get my order dates changed and on the  lb bag of catfood for the ferals got it shipped out the same day"/>
        <s v="while the checkout experience was decent and i was able to save money with a coupon this all made me happy  once my package was delivered i was not happy i bought  bags of dog treats for my  boys and  of those bags  of same kindflavor all expire next mont"/>
        <s v="you are reliable honest efficient and timely"/>
        <s v="the filters and search were not fluid or user friendly so many items out of stock but that was not known making it time consuming i nearly gave up twice because of the experience not sure how the rest of the site is as i only searched for cat food and a d"/>
        <s v="order process easy great service corresponding with our vet"/>
        <s v="easy to find what i needed at a good price&#10;thanks"/>
        <s v="shipment always delayed and customer service never responds to email "/>
        <s v="i ordered by wet dog food from pet flow for several reasons those being the price difference between a competing online dog food distributor the ease of ordering the friendliness and helpfulness of the agent i spoke with and the fast delivery of the produ"/>
        <s v="the item i needed was in stock the process was very easy i had my order within days and on time i will continue to order through petflow"/>
        <s v="i was waiting for notification that my prescription had been verified by the vet andor that my order had been shipped after several days i contacted petflow to ask what was up i got an email saying the order was cancelled out of concern for fraud i was a "/>
        <s v="my orders were cancelled without notification twice"/>
        <s v="i have had a horrible experience which is still to date not resolved placed an order not a first time customer my vet was contacted and sent back approval for prescription food internal petflow issue isnt adjuticating the approval noone will help me or ca"/>
        <s v="easy to begin auto ship has the special dog food we were searching for that is highly rated for having ingredients important to long lives of optimal health shipment notices sent to keep us informed of when to expect order received order in timely manner "/>
        <s v="shipment was quick product was packaged well"/>
        <s v="solid reliable company to purchase from customer service seems supportive if anything beyond a typical order is needed"/>
        <s v="great website excellent prices and quick deliveries i will only get my dogs food from petflow going forward"/>
        <s v="best price fast shipping for my hungry dogs"/>
        <s v="had just what i needed at a great price very quick shipping had trouble getting the order through a couple of times but i persisted and am glad i did will definitely tell my local shelter about them i am a cat socializer and they might be interested in pu"/>
        <s v="awesome servicegreat packaginggreat pricesvery convenient"/>
        <s v="pleased with all my purchases people are helpful"/>
        <s v="auto ship does not work advance notice of order was supposed to come but does not auto ship does not take changed scheduled when modified days before shipment date will not use auto ship or this company again to order dog food"/>
        <s v="my order was canceled and i was never notified i only discovered that it was cancelled after i logged onto my account to find out when my order would be delivered i called and was given no explanation for the cancellation or when the dog food would be del"/>
        <s v="they are doing a great job left chewy for them and havent looked back since"/>
        <s v="easy website for me always a pleasure to speak customer service if you need them auto ship is easy changing ship date and products is a breeze and you get a nice discount too"/>
        <s v="quick shipping and competitive prices thank you"/>
        <s v="shipping was faster than i expected best of all the items were in perfect condition no dented cans or boxes which has not always been the case so i especially appreciate it"/>
        <s v="product was in stock added to cart and quick checkout process meant i was in and out in less than five minutes"/>
        <s v="i have now ordered a couple of times and i am  satisfied the orders are correct well packaged and on time if not early i will be ordering on a regular basis from this company i have nothing but praise for them excellent"/>
        <s v="i called customer service because my order had not shipped after several days the woman i spoke with in customer service was very polite and helpful and my order was shipped out the next day and i received notifications of the shipping status throughout t"/>
        <s v="very fast shipping had my order in a few days i was able to saveoney as well great company"/>
        <s v="i placed an order and called three days later to make sure it was coming that day i was then told that my order was cancelled for possible fraud i was never notified by a phone call or email that this happened she couldnt place a new order because it woul"/>
        <s v="prices are good and delivery is timely my problem has been with ordering from your website the system cannot seem to store my credit card information properly last time it was so bad i had to have one of your staff order for me"/>
        <s v="petflow reps are always helpful  make good on any issues you have"/>
        <s v="too long for shipment had to keep emailing when order would ship items were in stock dont know what the hold up was"/>
        <s v="great company quick delivery have all the pet products we need"/>
        <s v="petflow had brands that i have difficulty obtaining elsewhere their prices are good and the food i ordered for my dog with allergies arrived in good condition"/>
        <s v="great price on the chinchilla food that purchased i always shop away and petflow had the best price and i received it super quick"/>
        <s v="firsttime experience"/>
        <s v="i changed the address for delivery and it got mailed twice one went to the wrong address but i still had to pay for it"/>
        <s v="i ordered canned prescription royal canin wet food at a cost of  most of the cans were dented on top and bottom it could be bad for my cat to eat what a waste i usually order from chewycom but they were out of stock"/>
        <s v="discovered petflow due to chewy being out of stock for several weeks of my dogs prescription canned dog food i got the name of petflow from a trusted dog friend food arrived quickly thank you"/>
        <s v="willingness to help me through the ordering process for the first timei was having some technical difficulty"/>
        <s v="excellent service and very quick delivery"/>
        <s v="never had a bad experience prices are extremely reasonable and customer services is awesome"/>
        <s v="the customer service is extraordinary any problem ive had was corrected swiftly expertly and cheerfully these people seem genuinely interested in taking care of our pets"/>
        <s v="good price fast service"/>
        <s v="it was my first time ordering with this company and it will be my last one they canceled my order and didnt notify me when i called them they said it was flagged for fraud and had to be canceled i asked why they said they cant give me any additional info "/>
        <s v="i didnt even place the order that triggered this review to pop up it was fraud and im still dealing with the canceling of my credit card because your website wasnt secure&#10;&#10;also even on this page my name coming up as james shearer that is not my name hones"/>
        <s v="carries brand not found in most pet stores efficient fast delivery"/>
        <s v="awesome professional support with timely shipping great prices as well"/>
        <s v="prompt response when i had a problem with my order they gave me a credit because my dog will not eat the food i ordered"/>
        <s v="great experience on website and delivery"/>
        <s v="excellent pricing shipping notification and packing of order just wished they had more selection available"/>
        <s v="im was technologically inept on the computer and had to call the company to order my product the person who answered the phone was so courteous and helpful because of her i will continue to order my dogs food from petflow"/>
        <s v="everything i was looking for was in stock and delivery was quick"/>
        <s v="the whole process went smooth&#10;fast shipping&#10;very satisfied"/>
        <s v="using petflow was easy and i was able to find substrate for my tortoise that was not available near me i also ordered wet cat food it was the trouble with fedex that will make me reconsider using petflow again my catfood was shipped all over the place and"/>
        <s v="two reasons the terrific customer service and product pricing simply put they earned my business sometimes low pricing actually the best price i could find means low quality customer service but not at petflow my first order from petflow arrived damaged d"/>
        <s v="ordered prescription dog food no email telling me you got the order i called and they said it would be coming out of a warehouse did not know from where or when still no email had to go buy food locally which i am disabled and it was alot of work and extr"/>
        <s v="i was looking for better pricing for my dogs food and that is how i found pet flow i want to feed them a better dog food than what is in most grocery stores i was happy to find pet flow they have good customer service and great prices with  dogs i need a "/>
        <s v="they always have what i am looking for at a fair price in particular i order fromms dog food they are one of few places that carry it shipping is quick as well"/>
        <s v="easy awesome new pet products online orderdelivery company recommended to all pet parents "/>
        <s v="they had what i needed in stock and it came fast"/>
        <s v="website was easy to navigate and shipping was fast compared prices and petflow was the best by far will definitely order again"/>
        <s v="after deciding what brand of dog food i wanted for my new puppy i did a search for the best price&#10;petflow had the best price"/>
        <s v="recieved the last product i ordered i called your company to let you know the product was damaged bent i told the person the box was not damaged so the product had to have been put in the box damaged&#10;he didnt want to hear it and was really rude"/>
        <s v="this was a new company to me with a good buy on the products i needed so i decided to give them a try i am very disappointed  i never received an order confirmation email as stated checked my spam and was rather referred to my email provider immediately w"/>
        <s v="everything was quick and easy the custer service rep was knowledgeable professional and pleasant"/>
        <s v="could not pay with paypal for some reason kept getting message problem with connection"/>
        <s v="i appreciate their communication with me in regards to orders and delivery"/>
        <s v="i can always find the products i want for my dogs at really good prices"/>
        <s v="there was a delay in shipping and the order had to be split but throughout everything they kept me highly informed of everything going on best part for me the customer service representative who responded to my email was kind helpful and informative"/>
        <s v="great and fast service and plenty of communication  you cant ask for more"/>
        <s v="i had to get a specialty cat food for our cat who has dietary restrictions i was unable to use a coupon that had been sent to me i called and immediately it was taken care of i was able to use that coupon they quickly confirmed prescription with our vet a"/>
        <s v="easy to use fast and cheaper than other pet supply companies"/>
        <s v="over the last year there has been significant shipping delays with my autoship order the issue seems to be primarily with the nj warehouse where they dont work night weekends etc there is a discconnect between product forecasting order entry and supply ch"/>
        <s v="petflow always gets my order correct has great prices and i never have to worry about running out of food for my dogs and cats"/>
        <s v="my cat would not eat several differert canned cat foods i tried the one for stomach and hair and she has not thrown up since you now have a returning customer thanks"/>
        <s v="shipment on time customer service great"/>
        <s v="not a good experience at all i choose your company because of a discount you offered me fir being a first time customer i never got the discount because your ad was misleading i was only going to get the discount if i signed up for auto refills that was n"/>
        <s v="fast shipping&#10;had the food i needed happy to have a promo code as well &#10;great communication with shipping and delivery"/>
        <s v="the exact product i was buying locally at petsmart a prescription cat food but in a larger economy bag for about   less shipped free and on time ill be a regular customer now"/>
        <s v="very happy with the product the way it was pack got it in the time frame i was told and whats more important my cat love it and you guys where the only place who have it in stock thank you so much"/>
        <s v="ten business days after placing my order and being charged for the order the product has yet to ship  business days after placing the order i contacted customer service who indicated they would check with supplier and get back to me i was told it could ta"/>
        <s v="trouble free delivery arrived when expected as expected no complaints at all would recommend"/>
        <s v="tried ordering twiceboth times the orders got cancelled by their team neither time did they reach out to me to inform me they were cancelled it was just after waiting days for a shipping confirmation after getting an email they were fulfilling the order i"/>
        <s v="got what i ordered and delivered quickly"/>
        <s v="although i had never purchased from petflow before they delivered quick and on time and the product was exactly as advertised"/>
        <s v="had dog food i used processed my order quickly and i received it quickly&#10;only problem i had was box that it was shipped in was totally broken luckily dog food wasnt"/>
        <s v="good selection of products pricing was very competitive and shipping was super fast"/>
        <s v="good service and competitive prices products arrive in good condition and in a timely manner"/>
        <s v="they went above and beyond the call to ensure satisfaction after the carrier had lost a shipment i highly recommend petflow to anyone looking for quality goods at a fair price"/>
        <s v="could not buy cat food without a prescriptionlike what the hell is that about its all so veterinarians can get paid its total b absolutely uncalled for"/>
        <s v="availability&#10;&#10;good price&#10;&#10;easy scheduling"/>
        <s v="good products quality excellent customer service"/>
        <s v="ordering the needed vet diet for my dog has been easy more communication regarding the order and when it is shipped and will be delivered would make it a perfect transaction"/>
        <s v="you falsely advertised an item you advertised the item was in stock then when it was supposed to ship i receive an email stating was out of stock but on your website it still to this day states it is in stock now i cant cancel the auto ship i can only del"/>
        <s v="extremely friendly and helpful customer service and quality items always available shipping is always quick and they donate a bowl of food with your order winwin"/>
        <s v="very happy i ordered the food one day and received it the next"/>
        <s v="i have received my puppys food in a timely manner and he loves it thanks"/>
        <s v=" of the cans were extremely dented one of the seven damaged cans was leaking"/>
        <s v="super quick response time when i accidently ordered a toy i didnt want&#10;website is user friendly huge amount of items to choose from&#10;i used to shop a chewy but i needed a prescription and it was easier to pick my vet from you list than going through all of"/>
        <s v="petflow is wonderful many varieties of food for your pets my only gripe is that after placing an order i got a thank you email wa picture on it saying review yr item get  back they gave it to me for only one of my reviews  the very good sweet customer ser"/>
        <s v="customer service has been great but shipping practices need work i have complained on multiple occasions that my shipment of canned dog food arrives damaged they pack too many flats of cans in the same box and dont use any packing materials to prevent aga"/>
        <s v="after ordering i did not get a tracking number or shipping confirmation even after getting a notice that the food was shipped my paypal payment was taken right away&#10;i also was put on autopay without my permission&#10;i had to manually cancel an autopsy i didn"/>
        <s v="ive been overcharged for my orders since mid august due to incorrect sales tax i informed company of this explaining why we were overcharged including documentation from the state proving the correct rate but was continuously blown off and disregarded i s"/>
        <s v="concerned about the package that i ordered  weeks ago that still has not arrived im running out of the canned food for my dogs   "/>
        <s v="i have a recurring order and needed to modify tried and messed it up and ended up having two recurring orders called customer service and a very friendly person helped me navigate to delete one"/>
        <s v="overall a good experience i am not a fan of the website could be a bit more user friendly shipping takes too long orders take a while to process availability of products is ok pricessales could be better"/>
        <s v="first time ordering prescription food order for my pup and customer service was so helpful to track order to deliver as soon possible very helpful and trustworthy"/>
        <s v="as advertised product with timely service"/>
        <s v="was on time and order is right thank you"/>
        <s v="hi i live  mile off the county roadfed x is the only delivery outfit that will come up here in the winter you shipped my food with them so i got it in a short time way to go tim"/>
        <s v="need to tape top and bottom end edges just the middle is not enough on large bags"/>
        <s v="its extremely easy to order anything&#10;i really appreciate that its always on time when they say youll receive it&#10;they also give you a tracking number so you can keep track of your order&#10;its a great company and so easy ordering what you need "/>
        <s v="the deliveries arrive in good condition and on time"/>
        <s v="petflow carries the particular brands of food for my pups that i are the most nutritious and made by family run companies in the us"/>
        <s v="i have been using this service for over  years i have never had a bad experience with either the product or the customer service everyone i have dealt with has been friendly knowledgeable and professional"/>
        <s v="shipment arrived torn from stem to stern and keel meager attempts at retaping most likely by the carrier packaging too light for the weight in the box amazed that all product was still in the box even tho box was near total destruction i notified pet flow"/>
        <s v="apparently when i placed my order the item was in stock my card was charged and i expected shipment soon a couple days later i got a refund of my purchase with no explanation the explanation came a couple days later that they were out of stock seems a bit"/>
        <s v="usually i dont have any issues this time the shipment of cat food was all over the place cans were not secure in the case and many were severely dented almost like someone just threw the case in the box"/>
        <s v="responsive customer support"/>
        <s v="price and prompt delivery"/>
        <s v="i found this company online when the place i usually order from was out ordered three bags on saturday the product shipped on monday and arrived to my home on wednesday i live in a very rural area as well would definitely recommend"/>
        <s v="quick shipping helpful customer support and quality cat food purchase best price too thank you"/>
        <s v="there was a bit of confusion with the customer service rep when i called regarding the prescription diet food for my dog i had already sent the script to customer support but when i called to let them know it was there she said i needed to send it to cust"/>
        <s v="i ordered tetracolor xl tropical granules fish food and my fish thank you i got it just in time as i ran out of  days servings left speedy delivery for great price"/>
        <s v="my package was delivered damaged and they quickly replaced it without questions"/>
        <s v="has what i needed and delivered it in good time"/>
        <s v="easy to navigate website found the dog food i was looking for and with discounts applied by petflow was able to get the lowest price i could find anywhere"/>
        <s v="this was the first time i had shopped with petflow and found it to be very easy to find what i needed"/>
        <s v="i will never order anything from this company again they do not have the food i ordered but its on back order now they are holding my credit card hostage and wont cancel my order"/>
        <s v="my orders are always punctual and good this time was especially essential that my order was expedited faster than usual as my dog sitter who was taking care of my dog during a family death over the holidays didnt tell me he was almost out of food thank yo"/>
        <s v="my account showed a backorder order more product then got a bunch of products good for months"/>
        <s v="i needed to find a specific prescription food for my diabetic dog and they had it along with some other options that my vet would approve if my dog didnt like this one they got in touch with my vet immediately to verify his prescription and shipped the fo"/>
        <s v="petflow has a great selection of products great prices and fast shipping i buy the nulo cod and lentils weight management dog food my guys love it"/>
        <s v="cheaper then other places fast shipping i was very pleased"/>
        <s v="all of my dealings with pet have been positive my dog food is always delivered in a timely manner"/>
        <s v="easy to order competitive prices orders arrive fast"/>
        <s v="i purchased milk bone pill pockets this was a really good price and they shipped my order quick ill definitely be back"/>
        <s v="fast shipping and almost always have foods i am looking for in stock for immediate shipment"/>
        <s v="quick service good packing good prices"/>
        <s v="cumbersome internet system caused two orders to register rather than one canceling the orders immediately still did not stop an extra bag of dog food from arriving causing multiple emails and finally return"/>
        <s v="i received this order so quickly which i really appreciated it surprised me it was so fast"/>
        <s v="took  days for order to arrive multiple erroneous ails re expected arrival had to go buy at store andorder was delivered after i left the area"/>
        <s v="this has to be my  th or more times that i have either purchased dog and cat food from petflow the delivery service is excellent also selection is wonderful and price is just the same or less than in the stores its so nice to come home and your fur babies"/>
        <s v="was kept informed about items back ordered and other items shipped separately"/>
        <s v="petflow is a great place for pet products at reasonable prices delivery is reliable as well"/>
        <s v="ive ordered bulk cat litter from petflow several times now they offer a great price great products and quick shipping will be ordering again"/>
        <s v="website was easy to navigate checkout was quick easy to track shipping delivery within a short period of time"/>
        <s v="i can count on petflow to carry the food that my furry babies like"/>
        <s v="incredibly fast service perfect packaging everything absolutely wonderful"/>
        <s v="i love petflow there are always so helpful and easy to order i love how i get free shipping and theyre always on time customer service is great and i have definitely recommended petflow to friends and family"/>
        <s v="i have ordered from petflow several times and my items always arrived without issues the prices are the lowest in every store and online site that i could find i had a small issue and it was taken care of immediately customer service was quick to assist s"/>
        <s v="offer quality dog food and treats&#10;fast order filling and shipping&#10;reasonable prices great clearances"/>
        <s v="ease of ordering product better than described costs are reasonable very prompt shipping"/>
        <s v="petflow delivers the treats my dog prefers with the pandemic we werent always able to get her treats at the store  thats how we found petflow yay"/>
        <s v="always have great order takers fast and efficient"/>
        <s v="confirmed my order for dog food and did not ship it nor contact me i ran out of food for my dog unacceptable to harm my dog or anyones pet will never do business with a company that disregards the health of their real customers apparently this issue is no"/>
        <s v="website was easy to use and checkout was quick"/>
        <s v="easy ordering very fast delivery"/>
        <s v="great product and quick service will definitely buy from them again"/>
        <s v="timely delivery large selection of products notification of products arrival that had been out of stock great web thank you petflow"/>
        <s v="i ordered  trays of special vet approved canned dog food  it arrived quickly and well packaged no delays even though they had to confirm with vet"/>
        <s v="more often than not my dogs food is backordered so then i have to scramble to find her food then days later the backordered item ships i then have  bags of  food that i didnt budget for"/>
        <s v="i have used petflow for a few years every order has been filled accurately and timely communications regarding order status has been excellent i would give a five star rating except for the minimum order size and shipping costs"/>
        <s v="i love the products i feel the shipping takes a long time much longer than other companies i buy from"/>
        <s v="awesome website and many brands to choose from easy ordering and the dog food canine cuisine is loved by all furry friends definitely recommend petflowcom"/>
        <s v="i dont like that  orders were placed only  charged for and i still dont have either of the orders"/>
        <s v="easy to make a order and a good delivery"/>
        <s v="the shipping used to be very quick but now it seems although the items show in stock it takes a week for the items to ship it is disappointing as i grew accustomed to the fast service"/>
        <s v="i was able to find what i needed at a good price shipping and delivery was very timely too"/>
        <s v="petflow has consistently met my expectations even when having to ship from nevada what normally ships from new jersey"/>
        <s v="first time purchasing from pet flow ordered dr martys small breed food and a bag of treats great fast shipping and my dog likes the food"/>
        <s v="all online ordered prescribed cat food they took care of rest they confirmed with vet and bam  day later the food was at my door"/>
        <s v="the representative was super friendly easy to work with and quick to resolve my issue "/>
        <s v="great price very quick shipping and great to talk to"/>
        <s v="everything was so easy&#10;&#10;placing the order shipment just delivery time was a bit slower than chewy"/>
        <s v="i never received a notification that i had an upcoming subscription order being processed i was unable to edit the delivery date when i reached out to customer service several times i got zero response&#10;the day i was notified i had this order being process"/>
        <s v="your prices were the best we could find quick delivery"/>
        <s v="i had trouble finding verus dog food anywhere else but petfow had it and delivered at a good price"/>
        <s v="easy ordering product in stock and for cheapest price among other sales outlets reliable shipping and delivery"/>
        <s v="ive placed multiple orders with petflow and each time its delivered really fast with great prices an excellent service"/>
        <s v="my order never arrived i ordered the tear stain tablets and two different treats please send me my order or credit my account "/>
        <s v="on time delivery"/>
        <s v="pet flow was fast with shipping and delivered when promised merchandise was is excellent condition and exactly as pictured very pleased"/>
        <s v="the greatest part was the followup when my package got damaged and you all replaced it my only criticism is that your tape doesnt hold especially in the harsh rain"/>
        <s v="ordering was easy delivery was prompt customer service is exemplary"/>
        <s v="my product order was in stock and i received in a timely fashion"/>
        <s v="i ordered a product on january  and still have not received it ive written to petflow inquiring about this and never received a response"/>
        <s v="i can always count on my pet food delivery to be on time and well packaged"/>
        <s v="in the last year service has gone from fantastic to spectacularly frustrating my last interactions have been frustrating to the point of closing my account i have a hospitalized friend in another state i was purchasing food for his dogs and having petflow"/>
        <s v="love the carrier it was easy to get my cat in through the top door and was just the right size will fit my  pound cat as well had it within a few days of ordering it"/>
        <s v="cancelled my order and claimed it was fraud and refused to sell to me"/>
        <s v="you carry my product but took awhile to arrive "/>
        <s v="the product i ordered was out of stock yet the system still allowed me to order it even though it was out of stock i cannot trust the system to give me the correct stocking of this item"/>
        <s v="shipping was fast i saved a lot with the coupon they sent for a first time shopper got  heated mats for our dogs"/>
        <s v="pet flow is a great place for your pet needs we have been very satisfied"/>
        <s v="flagged my purchases as fraud and then refused to allow me to repurchase"/>
        <s v="we were counting on our fromm dog food autoship order to be shipped on the date that petflow said they would ship according to them they got very busy during the holidays and this order did not ship until the following week as a result we had just enough "/>
        <s v="product was in stock and order was filled correctly and quickly"/>
        <s v="delivery was on time and at a better cost than other merchants"/>
        <s v="dog food was delivered to family members home it arrived quickly and in good condition"/>
        <s v="i placed my order online easily i did receive an email stating the shipping would be delayed but they kept communication open it was only delayed by  days and i received my items as expected"/>
        <s v="the company delivered when promised with the exact items ordered my only complaint and its a little one is that it was difficult to follow the order once it was in the system so that i could see where it stood"/>
        <s v="overall petflow has good service and competitive pricing for the products they handle the website could be much more user friendly  to adjust an order or make changes to a saved order can be very confusing"/>
        <s v="carry brand i was seeking"/>
        <s v="i was low on food for my dog because i forgot to order so it got here pretty quickly i was down pretty low and i called to see when it was going to arrive and spoke to a very lovely and helpful woman in their customer service"/>
        <s v="a large variety of pet food products to choose from package arrives intact an animal gets a bowl of food with my purchase&#10;thank you"/>
        <s v="they were very friendly they would take your phone calls if your computer wasnt working and the delivery was always on time and i appreciate that thank you"/>
        <s v="the quality of the pet food the fact that you carry fromm cant get it many places and its a trusted brand by me and my family"/>
        <s v="competitive prices shipped well with no damage"/>
        <s v="petflow is the only online source that seems to be able to maintain stock of the particular taste of the wild canned variety that we prefer to feed to our guys shipping is free above  or so and since we get multiple cases no problem shipping is fedex so o"/>
        <s v="where to begin first inventory on their site isnt real in my case the veterinary dog food i ordered was to be shipped from the manufacturer who was out of stock second rather than them inform me i called for order status three times the first two i was to"/>
        <s v="i didnt make an order someone hacked my account and tried to set up an auto ship order to an address that is not mine"/>
        <s v="this was my first order from petflow i found out my dog has some pretty extensive allergies and with each passing day i had no choice but to feed him the stuff he was allergic to until my new food arrived from petflow i regret switching from my usual prov"/>
        <s v="i was told when i ordered  days for arrival it took  days i have a kennel of puppies and needed the food&#10;will never order again from you it has happened several times"/>
        <s v="everything went smooth i had to ask for help using the sight and received it well"/>
        <s v="the petflow website is easy to navigate and their autoship is easy too i appreciate getting the notices that it will be shipping and that i need to make changes if any by a certain date i also get emails keeping me up to date on my orders"/>
        <s v="didnt help at all basically said i can not order the item and move on"/>
        <s v="reasonable prices very good communication and notification system the only con is that some products are not always available and back ordered"/>
        <s v="petflow is great because they sell the dry food i feed my cat and it isnt around anywhere else i also want to say thank you for receiving my order  days after i ordered it often it can take up to a week"/>
        <s v="great company great service and great products"/>
        <s v="i couldnt access my account because i couldnt remember my password your account recovery system is not very good at all"/>
        <s v="the order was wrong i called and the young lady that answered was very professional and efficient she took care of the problem and i could hear the smile in her voice"/>
        <s v="order took almost a week to reach me when i called to check where it was i was told you were experiencing delays it would have been good customer service to tell me that via email before i called"/>
        <s v="i absolutely love petflow i am thankful for fast shipping and the fact they work so well with my vet to get my diabetic dog the food she needs"/>
        <s v="i ordered  lb bags of dog food one bag was damaged on arrival and they replaced entire order sending  replacement bags more than made up for it one thing is the replacement boxes actually had more packaging material to hold up better in shipment that the "/>
        <s v="impossible website entry customer service didnt answer my questions delivery is late  i dont have my shipment yet"/>
        <s v="i have ordered from petflow for a few years nownever had a problem my last order was a total nightmare dealing with your customer service reps rude condescending passive aggressive emails sent to me when all i asked was wheres my dog food i ordered on dec"/>
        <s v="i have used these folks for a couple of years they have the best price for the product i buy delivery is quite prompt"/>
        <s v="to slow on getting the order outhard to understand the ordering system"/>
        <s v="easy to use and find items with quick delivery"/>
        <s v="intuitive site allows me to easily order and reorder the dog food varieties i need good electronic notifications confirming orders tracking shipping and projected order arrivals i like easy"/>
        <s v="it took a little long to receive the items due to product availability this is not the st timewhen i did receive it tge order was fine"/>
        <s v="always get a great deal with coupons and the food arrives exactly when they told you will be ordering again soon"/>
        <s v="customer service is terrible i will not order from you again"/>
        <s v="i loved petflow  they used to be really good with getting my orders out right away i placed an order on  called a few days later as my order still was not sent out customer service said they were noting that my items needed to be sent out asap  still were"/>
        <s v="communication regarding shipping was lacking in the past ship dates and estimated arrival times were closer to reality"/>
        <s v="my order was cancelled without them letting me know and i received lousy customer service trying to figure out why placed my order again but of course the price of one of my items has gone up customer service will not help"/>
        <s v=" i was  cents short for free shipping so i added  treats that never got added to the order got charged for shipping the package was so heavy fedex dumped it in the wrong lobby not even bothering to drop it at my door&#10;you make us order so much  to not give"/>
        <s v="it took a very very long time to get to my house ive switched to chewy because their shipments get to me in one to  days"/>
        <s v="havent received product and you want a review ordered on  needing it no later than  and wont receive it until the th if lucky but still asked for review maybe make your automated emails for review tied to the delivery of the items would be nice"/>
        <s v="the package came in good condition and when it was running late i have a coupon for the next order that they sent"/>
        <s v="ive been with petflow for many years product is alway delivered promptly and no damage if you do have a damaged can they make it good love this company"/>
        <s v="ryan was exceptionally helpful and because of his assistance i will continue to shop at petflow"/>
        <s v=" years doing business with you petflow&#10;poor resolve for item i have been buying from you for  years&#10;&#10;i will look forward discussing this with senior corporate manager&#10;&#10;with  years in corporate myself with customer support responsibilities pehaps i could a"/>
        <s v="they always have what i need in stock and at a great price especially with the use of the coupon options"/>
        <s v="if i could give petflow  stars i would their customer service is awful awful awful they take forever to ship items on the offchance that they actually have the items available and will require a huge waste of time on your part to rectify issues that they "/>
        <s v="my order was placed december  and i still dont have it two weeks is just too long ordering from petflow is just too unpredictable sometimes its days sometimes its weeks i had to buy from another source"/>
        <s v="please give alerts or notifications when you cant fulfill an auto ship order i have to find out by checking my account after the expected shipment date has passed and im out of my cats prescription kd food have voiced my concerns multiple times over the p"/>
        <s v="delivers as promised and checks that it was received i am thrilled that i found petflow"/>
        <s v="i like that you sent the food and the price was lower than most other places i did not like not being able to order food because it seemed to automatically turn on auto shipping that i didnt want and i couldnt find a way to turn off auto shipping so i cou"/>
        <s v="made an order just like i have several times before they canceled the order but did not let us know no email no phone call nothing we bought from petco and will from now on"/>
        <s v="i have tried to use petflow a few times for their monthly shipment of dog food and i have always come across issues the first order my first bag of dog food was delivered on time the second order of dog food was delivered with tape all around it i removed"/>
        <s v="still havent received our order so ordered from and received in two days  which is good so our senior dogs do not have to eat puppy chow"/>
        <s v="order not shipped from warehouse for about a week and still shows as not picked up i had to check the status and call to cancel it after  days"/>
        <s v="no follow up regarding status of order and no order received very disappointed"/>
        <s v="like others my order was canceled without notice and i only found out when i checked my order online after  days a rep at petflow said that they automatically cancel orders because of fraud concerns if the shipping address is different than the billing ad"/>
        <s v="where is my order which was oredered on  order  bergen k cafe"/>
        <s v="my orders are taking longer and longer to get its taking about a week in the beginning they came in a few days i have ended up going to the only location nearby that carries fromm dog food while waiting for my dogs food a week ahead of time should be enou"/>
        <s v="love the convenience and customer service"/>
        <s v="everything ships quickly&#10;was disappointed that i couldnt find the one medication through petflow"/>
        <s v="placed an order for dog food waited over a week without updates so i followed up only to find out my order was canceled but i was never notified this caused such a delay with getting the food that i am currently out of had to order from somewhere else and"/>
        <s v="easy to reorder and shipping is fast and free"/>
        <s v="great experience fast shipping i havent been able to order my cats food from anywhere else because it was out of stock petflow got it for me"/>
        <s v="ordering online was easy and shipping was fast had an item that was out of stock they let me know then shipped it when it was back in stock great to do business with"/>
        <s v="great selection of products carry name brand at a reasonable price quick shipping quick response from customer service if something is wrong with your order they correct it in a timely manner very happy with my service from petflow will definitely recomme"/>
        <s v="my order was cancelled by the fraud department without any notice to m i wouldnt recommend petflow to my worst enemy i have tried to reset my password and correct the problem but when they say they sent a password reset i never receive it"/>
        <s v="sorry not sure if its my phone or your website used to always order online but the last few times i cant seem to get all the way through to place the order ill have to go back to calling my orders in"/>
        <s v="the best prices and fast shipping very happy"/>
        <s v="i have  dogs and not one of them would play with it they totally ignored it"/>
        <s v="horrible company ordered food for my dog and got an email saying we received your order called a week later as never received my order or an email saying it shipped they said they cancelled my order and could not say why as they are not allowed seriously "/>
        <s v="the company is absolutely awsomanother company sent me to petfkow and im so happy they did and i will contiune to shop at petflow thank you for being petflow"/>
        <s v="great prices and fast delivery we we were using chewy which is great but they dont carry the food we need for new dog i am very happy with my recent petflow experience"/>
        <s v="communications and correspondences via email was better than most pet stores"/>
        <s v="i am very impressed that my order was received before expected none of cans of food were damaged the food is very fresh and the price is right petflow is now my goto from now on for zignature kangaroo formula canned dog food thanks for being so on top of "/>
        <s v="terrible just terrible not helpful at all still waiting for my dogs medication its going on  weeks now i keep getting the run around from everyone i speak to im over this company yall need to get ur stufftogether"/>
        <s v="ordering can be made easier and delivery took longer than ecpected"/>
        <s v="first was the excellent selection offered at a fair price then there was delivery no easy challenge since ihe order was placed over the holiday and we had a major snow storm guess what buddyholley my bearded collie was enjoying his food and treats earlier"/>
        <s v="i have a dog who is allergic to everything basically so i used the online chat and the customer service person helped me locate a food and treats that basically only have duck one of the only things shes not allergic to"/>
        <s v="delivered on time was able to brands i wanted not available on other sites like chewey"/>
        <s v="fast shipping fair prices and excellent customer service"/>
        <s v="had products in stock quick delivery great customer service"/>
        <s v="easy to navigate the website and items shipped fast "/>
        <s v="petflow always delivers good products in a timely manner they are also the only online provider of my dogs food"/>
        <s v="twice my order has been canceled due to fear of fraud and no one ever reaches out to me to ask im frustrated that a week later when my order isnt received i call and find out it was canceled they have my email and phone number"/>
        <s v="i placed an order recently from petflow they had the best price on the items i was searching for i didnt need the items right away and i appreciated that i could request the date i would like the items shipped to me highly recommend petflow"/>
        <s v="fast shipping great prices and accurate order"/>
        <s v="i had put numerous orders in for this product in the past two years the order got canceled many times and i was told i would be notified when they came in i was never notified i just happened to come back to your site to see that you had them in stock oth"/>
        <s v="in the past the customer service was always exceptional my last phone call pertaining to a delivery delay was met with indifference  a lack of resolution ill continue to shop at petflow but will think twice before inquiring about a problem"/>
        <s v="my dog food took foreverrrrr to get here each time i called customer service it rang about  times and the phone would hang up i emailed them and it took  days for them to get back to me rep said they are overwhelmed because they are a small company id say"/>
        <s v="i contacted customer support online to cancel my auto ship i accidently set a second one while trying to cancel i had  auto ship orders i made it clear i wanted them both canceled because my order increased by almost  too pricey i found my order cheaper s"/>
        <s v="package arrived late again&#10;&#10;fed ex should not be your carrier"/>
        <s v="easy to order and i love the automatic ordering"/>
        <s v="terrible customer service worst company to ever do business with even the supervisors are rude they constantly hang up without addressing any of your issues"/>
        <s v="i placed an order which was received by petflow with a ship date of dec th dec th still had not heard a word called customer service who told me petflow had canceled the order because it was flagged as fraudulent by them  not my bank  i will never use thi"/>
        <s v="easy order process and quick response to the order"/>
        <s v="i stopped using chewy when the company was bought by petsmart im glad i chose petflo"/>
        <s v="i placed my order on  and received an email that my order would ship on  i contacted petflow on  about my order not shipping yet when i received a response the next day i was informed due to stock issues my order was cancelled but yet i wasnt notified unt"/>
        <s v="the dog food i ordered came quickly and i didnt have to pay for shipping the food i ordered changed the look of the bag so i thought i was sent the wrong food petflow responded immediately to my issue"/>
        <s v="even with your promos ex current promo pft  off  amazon is still better priced and i get better sizes and better autoship deals we are working with tough times folks  you need to step up your game on competition or get left behind not trying to be rude  i"/>
        <s v="i have an account at petflow since june &#10;unfortunately my order of cat food was cancelled without any notificationsuch an unexpected behavior of company customer service when i called them explain order was blocked by fraud prevention department without a"/>
        <s v="youre fine dont be so insecure i used you once and ive gotten like  emails from you its too much now you want to be rated its coming off very needy and insecure keep having the lowest prices and i will keep using you stop with all the email or im gone ser"/>
        <s v="had the product i was looking for for my cat fast service"/>
        <s v="our beloved newfie died a day or so after we received his auto shipment of food from perflow we had not even opened the box allison from petflow offered hers and petflows sincere condolences and she said just set the unopen box outside on the porch and sh"/>
        <s v="actually i am writing to see if i can return an unopened bag of food winnie did not like it and is back on her original food"/>
        <s v="best price on the dog food i buy very quick shipping"/>
        <s v="good sales on good products fast shipping"/>
        <s v="my beloved dog passed away unexpectedly just after i had received a large shipment of food and supplies i contacted petflow and they arranged to have the products picked up right away and closed out my auto ship orders so i would not have to do that ive u"/>
        <s v="what made my experience great was finding the product i wanted and a little more and getting it ordered quickly and easily got what i needed in just a few days before running out of the product at home excellent service great products"/>
        <s v="i wanted to purchase a item on your website but the item only showed one color blue i contacted you about wanting the item in gray and you person went out in the whrs and found that you had it in gray told me to order it and email the order number to her "/>
        <s v="i got a good price on tillys treasures beef liver chunks my dog loves them"/>
        <s v="easy order great delivery great product"/>
        <s v="i used to love petflow because the prices were reasonable with quality items and dependable shipping i have a small house so i cannot stockpile dog food so i order close to finishing a bag well now when things used to arrive in about  days of ordering it "/>
        <s v="i have been buying my dogs pet food from them for years they are very reasonably priced and are flexible enough to allow me to change my order depending on the dogs we have"/>
        <s v="my delivery address is really complicated and caused a few issues when i attempted to place my order but customer service was quick to respond to my messages and they handled the situation effectively and efficiently once shipped the order reached me in a"/>
        <s v="prices and selection were great shipping was fast and received emails regarding the status of order and shipping"/>
        <s v="the toy was so little the shampoo was expensive but worth it"/>
        <s v="my auto ship is easy and convenient and arrives quickly after it ships the food is always in stock so i never have to worry"/>
        <s v="i tried to change what we are receiving on the recurring order instead of changing the item it sent me an additional bag of dog food"/>
        <s v="great prices on the kong squeez ball"/>
        <s v="beware pet flow can accuse you of theft cat food  value from them&#10;absolutely terrible experience with my order number &#10;after receiving order confirmation from petflow&#10;i was expect receiving the tracking number for shipment but when i login to my account t"/>
        <s v="good quality products cheaper prices fast shipping"/>
        <s v="ive struggled purchasing food for my fiv cat because her vet is under my partners name but im the one buying chewy specifically made my life hell thank you petflow i appreciate yall and im great full my kitty gets her special food now "/>
        <s v="with the cost of this pet food increasing every year i decided to switch to petflow away from my usual supplier because of the discount making my dogs food more affordable really helped a lot im hoping this company continues to offer competitive pricing"/>
        <s v="i always get my dogs food on time"/>
        <s v="i have had a good relationship w petflow up until my last text message was ignored natural balance canned dog food was discontinued supposedly due to supply issues i researched other foods  decided on nutrisource which petflow carries i ordered  cases con"/>
        <s v="great customer service quick shipping"/>
        <s v="great quality and shipping was very fast definitely will be ordering from them again"/>
        <s v="liked that ordering is easy i did not like how very long it took to receive the order"/>
        <s v="my order never arrived i called your company and the person i spoke to was incredibly unprofessional sounding i asked why my order hasnt shown up and he said it was canceled by their fraud department i asked why or what triggered this and was told he coul"/>
        <s v="you were the only company that had the product i needed for my special needs cat"/>
        <s v="first customer service rep wasnt nearly has helpful as the second one i talked with the third person was reassuring now the wait for the refund "/>
        <s v="i was really happy with pet flow until two things happened one is i found some thing i could only buy at chewy and their customer service is light years beyond petflow&#10;&#10;the other is that petflow wanted a profile of me and my pets names and things in a way"/>
        <s v="fast accurate shipping and fair prices have ordered twice and will continue to order"/>
        <s v="was great i enjoyed it a lot the song made me feel special "/>
        <s v="always fast shipments i order two pound bags of food at a time the only concern is the packaging needs more tape on the box or they need to be shipped in two boxes the last shipment the tape had broke and someone for the carrier must have retaped it there"/>
        <s v="prices are high for the food i feed and i realize it may not be petflows fault but there was a huge increase in cost in just a few months also delivery seems to take a week with fedex seems long to me"/>
        <s v="my orders are taking longer and longer to arrive last order was over  days until i received it i order early so my boy doesnt run out but these times are ridiculous currently looking for another provider"/>
        <s v="wonderful products for my cats can ask for assistance should i need it great ontime deliveries for my purchases and very good service from petflow and the folks that do great jobs for me and my kitties"/>
        <s v="where do i begin i order  tennis balls then yall wanna chancel my order for fraudulent because your customer service person over the phone says why would you buy  tennis balls im sorry i have multiple dogs like wth worse part is i had to call yall  days a"/>
        <s v="quick friendly people to help with an easy phone call dependable deliveries and updates i really like their customer satisfaction approach to business"/>
        <s v="i had a major issue with my package being held up on the fedex side i emailed into petflow support to see if they could help i didnt hear back however i called a few days later the person that answered was so kind and helpful they reshipped the product i "/>
        <s v="received food in timely manner good price"/>
        <s v="great prices&#10;fast delivery&#10;a place to count on"/>
        <s v="even though this litter was out of stock and no date when available they kept me informed of my in order status i did end up of canceling and they were in great about be this too"/>
        <s v="awesome company with good deals and prompt service delivered right to your door i would highly recommend petflow for all your pets needs"/>
        <s v="what your company needs to work is your delivery time your company takes way to long from the date of purchase to get the product to your customer the company chewy gets it to me in  to  hours learn their method"/>
        <s v="great selection of dog foods and snacks and great customer service order arrive in just a few days"/>
        <s v="great price quick shipping and delivery"/>
        <s v="love the prices and quick service my only concern is i cant seem to apply the auto ship discount"/>
        <s v="name brand products fast shipping great couponsdeals"/>
        <s v="first i was sent the wrong items i called and was told they would ship the right ones out asap the next am i spent over  on dog treats  bags the original delivery took a week customer service emailed me a fed ex label to ship the wrong treats back i had t"/>
        <s v="ordered the natures logic food at a great price delivered quickly shipping free&#10;what is not to like about this"/>
        <s v="difficult to make an accurate credit card charge"/>
        <s v="my shipping box came damaged  nearly falling apart when it arrived at my door&#10;&#10;plus my bag of dr marty food was cut with a razor and food was inside the shipping box i have a picture if needed&#10;&#10;and finally it took nearly  days i ordered early sunday morni"/>
        <s v="very good customer service package arrived on time everything that i asked for was in the box complete"/>
        <s v="i needed a bag of dog food and proceeded with buy it now when i received order confirmation i saw that an item i had previously purchased was still in my cart they said they would not remove an item from my order immediately after i wasnt happy with the i"/>
        <s v="products available competitive pricing delivery delay not too bad considering the holidays"/>
        <s v="appreciate the great selection of fromm dry dog food service is great and very fast shipping"/>
        <s v="we have been using petflow for years and they are consistently fast with shipping and if there are any issues maybe x in  years they are responsive and it gets resolved fast thank you "/>
        <s v="ordered on line for less than in stores and it was delivered to me"/>
        <s v="lack of availability of the specific treats i was looking for was the only reason i did not leave a star rating otherwise prices delivery time  correctness of the order was great thanks luka  remi are headoverheels with their tasty treats"/>
        <s v="i spoke with customer service weeks ago and my concern was not addressed&#10;my original account was under my personal gmail i had an auto ship on there for years a few months ago my password did not work and when i tried repeatedly to reset it i never receiv"/>
        <s v="when i started to really look around petflow offers the best price especially since it comes right to my door in rural vermont dog food has become crazy expensive"/>
        <s v="i have used petflow for several years they are a quality organization i recently had an issue with a delivery and a return both issues were resolved quickly one via phone and the other through email they also took the time to follow up and make sure i was"/>
        <s v="website was easy to maneuver great product selection and good prices along with fast delivery time"/>
        <s v="your products are healthy and reasonable in price i also received my purchases in  days and paid no shipping due to buying  and more in merchandise i also get the pleasure to help animals in need thanks for being there"/>
        <s v="found it odd that a very popular item on the internet was discontinued i ordered  but only got one and they refunded my other one fast made&#10;it look like they were selling them too low and stopped so they didnt have to keep filling orders"/>
        <s v="i like ordering online dont like getting out delivered to my door"/>
        <s v="the shipping time is awful when i placed and order it said it will ship the next two days it didnt ship for a whole  weeks"/>
        <s v="very reliable when ordering a product even if on backorder you are kept informed impressive"/>
        <s v="best prices around initially we will see if they continue offering these deals i have referred a few friends so im hoping they dont disappoint"/>
        <s v="slow shipping slow answer to e mails dont have items in stock"/>
        <s v="im still waiting on my last order i am out of kidney can food i have  dogs i supplement dog treats through amazon as they deliver way quicker but the prescription kidney food i cannot as i tracked my last order it showed its been sitting in the homestead "/>
        <s v="i just started using you a few months ago and was a little concerned because of some of your reviews but i liked your prices and thought id give you a try glad i did you have totally delivered for me ive had several large orders for dog and cat products  "/>
        <s v="ive been a client for some time i had just bought a  lb bag of merrick senior dog food the vet said that my  year old dog reacted badly to the ingredients in the senior food which caused severe diarrhea and to go back to what i had been doing the person w"/>
        <s v="i found this company a couple months ago wow very impressed the product line is outstanding the prices are the best ive seen and last but not least the shipping is super fast ive had such a wonderful experience with their easy online ordering system ive n"/>
        <s v="order was easy to place delivery and updates were all great"/>
        <s v="i received no notice of canceled order or assistance in correcting the order"/>
        <s v="we have ordered for over a year from pet flow and have never experienced any issues what they promise we get i will be staying with them"/>
        <s v="cheaper price takes a little longer for shipping though"/>
        <s v="great service and products i use for my pets"/>
        <s v="i have had a subscription dogfood on file for  years that is prescription most of the time it is delayed or outright cancelled then i have to call and change to a different flavor in order to get the dog food the last time this happened i had to change th"/>
        <s v="i placed ab order for the first time and the product was not going to arrive for over a week that was unexceptable your competition chewy it arrives usually in two days i cancelled my order o and my auto ship"/>
        <s v="reliable delivery dels for autoship"/>
        <s v="fast delivery great prices what else could anyone want"/>
        <s v="always get excellent customer service if there is an issue vert easy to deal with"/>
        <s v="ordered product and it never shipped i had to call customer service to get it shipped"/>
        <s v="after my order being cancelled i dont know maybe three times i emailed them to get it cleared up i explain i moved and got married and mention perhaps its my maiden name  ryan tells me fraud says not to process so first i ask okay whats the reason and do "/>
        <s v="i appreciated the ease of ordering but was not really happy with the shipping time it took too long to come"/>
        <s v="petflow is great fast and efficient customer service is helpful"/>
        <s v="i switched to pet flow from chewy bc their prices got high and their customer service dramatically declined the prices and auto ship discounts are much better at pet flow and their customer service personnel are superior to chewys the only reason i gave  "/>
        <s v="as promised so delivered"/>
        <s v="when i place my order i can relax it arrives quickly and is always fresh and ready for my two senior dogs i am so happy that i have this service and dont have to lug heavy bags of questionable freshness"/>
        <s v="i placed an order your company took the money out of my account days went by with no tracking or anything so i called to see what was going on and your tech support told me she didnt know when i would be getting my order so i canceled it than after i canc"/>
        <s v="my order was easy to place and arrived quickly will order from you again  would recommend"/>
        <s v="my dogs went crazy over all these treats very happy"/>
        <s v="the representative was understanding of my situation and was quick to resolve the issue very nice and patient"/>
        <s v="great company to work withalways responsivewith quick delivery but costs seem to continue to escalate over last two years as is everything"/>
        <s v="my dog is a senior with a heart condition and must have a special lowsodium diet when her food doesnt arrive on time her diet and condition is compromised typically i receive orders in  days i need and depend this reliability my last order took  days to a"/>
        <s v="my little maltese loves the small bites beef frittata i wish you had other flavors in small bites for small breed dogs"/>
        <s v="the shipping as surprisingly slow"/>
        <s v="so when ordering food for my canaries theres been  times in the shipping process bad experiences two times the orders get returned due to the poor packaging petflow uses dont really understand why  lb bags are shipped in  thin big box without any protecti"/>
        <s v="first time using pet flow my dog food was ordered in time to arrive three days before a big trip it was delayed and came the day after i left customer service had been called several times&#10;i asked for a refund and was told i would get a credit im going ba"/>
        <s v="i always order our dogs regular food diet petflow as well as a subscription all items arrive well"/>
        <s v="great service i can always depend on pet flow"/>
        <s v="an excellent company with wonderful customer service orders are shipped efficiently and with care an added plus is their charitable donation policy"/>
        <s v="took over a week before product even got prepared for shipping zero communication"/>
        <s v="instead of a usual delivery of  business days after my orders placement it took  business days and two calls to your service"/>
        <s v="while the prices are much better than chewys the shipping is slow the only reason we wait so long for it to arrive is because of the money we save"/>
        <s v="i placed an order for cat food that petflow cancelled with no notice after wondering why it hadnt arrived yet i checked on the status and was told it had been cancelled because they thought my email was fraudulent and if i wanted to place a new order it w"/>
        <s v="super friendly staff and wonderful company"/>
        <s v="had a problem with password was locked out and when i called they said too bad you have to wait the time out they did not reset it or help any further"/>
        <s v="absolutely the worst company i have ever used to date for delivery of our dog food will never use them again they like to use the excuse that its the holidays and theyre backed up for deliveries&#10;&#10;then shut your doors and stop taking orders until you can d"/>
        <s v="ordered dog food with a few toys on wednesday night if youre a pet store and somebody orders dog food well before the weekend you ship it out before the weekend right never again with these people have fun losing money on this order what an absolute joke "/>
        <s v="i generally like pet flow but i find the website very confusing my cat has prescription food and i sent the script in with the first order when reordered however it asks for this information again i had to call to find out that it isnt necessary"/>
        <s v="shipment is quick notified timely of any deviation to shipping of order reasonable price"/>
        <s v="it was a great experience overall the ordering was easy it was delivered quickly and the price was great"/>
        <s v="the willingness to listen to my issue and try to work out a solution"/>
        <s v="the delivery is on time or close to the scheduled time"/>
        <s v="best price anywhere  in fact i bought  for what other shops were selling for the same price for one fast quick shipping totally satisfied customer"/>
        <s v="excellent selection for pet food and product came quickly enjoyed the quality and communication throughout the experience"/>
        <s v="shipping times and amount of available products"/>
        <s v="customer service was excellent"/>
        <s v="super fast shipping good selection of dog foods and good prices"/>
        <s v="tried to get my auto shipment moved up a few days sooner  instead they cancelled it when they finally shipped it appeared that i was only being charged  instead of  i figured bc of the mixup when i checked later in the day the  was added back emailing abo"/>
        <s v="bryan was great he explained things and followed up right away im thankful i connected with him about my issue"/>
        <s v="always fast shipping and always have what i need"/>
        <s v="switched over from chewy because natures logic dry dog food was a bit cheaper but shipping is very slow last package arrived opened bully stick sizing is inconsistent and seems foul"/>
        <s v="i have no complaints about the company other than you using fedex as your shipper i seem to have issues with them every time always changing delivery dates this time they left the boxes in plain sight in front of my garage allowing them to get wet in the "/>
        <s v="the treats had small fine bones in them"/>
        <s v="i honestly have never done a review ever well i have ordered twice from this company and each time there was issues the first time the help people were amazing and rushed to fix it right away so obviously i ordered again but this time omg i had to make a "/>
        <s v="didnt receive an acknowledgement from pet flow for on line order placed on a sunday i called monday morning asking for a tracking number and idea of when i could expect the  pounds of dog food i got a snarky no reply never did receive from pet flow any do"/>
        <s v="dry kibble ordered on nov  still has not arrived supposed to be delivered today they are very responsive to emails and communications good company but need soem updated shipping procedures bw"/>
        <s v="service rep said  business days and it took  days had to go to local store to buy food to get by mailing system slow lately"/>
        <s v="i had a concern with my orderthe customer service was outstanding far better than i expected my problem was taken care of very quickly and i will be ordering again soon"/>
        <s v="it took a very long time and multiple emails to customer service to see why my order didnt ship and i ordered two items only received one and no explanation where the other item is"/>
        <s v="again so many products out of stocknot available which means i have to go to other sources to get what i need"/>
        <s v="she was extremely helpful and very kind for the situation i had"/>
        <s v="the company was prompt in getting my order out the door it took the delivery service some extra time"/>
        <s v="five stars&#10;i highly recommend this company their selection is excellent and they are competitively priced"/>
        <s v="my pomsky  years old loves fromm dog food from petflow&#10;its always fresh  the duck is her favorite she likes the salmon too&#10;food is always shipped quickly&#10;i havent needed customer service but sure they are great too"/>
        <s v="representatives very helpful and friendly great bonuses"/>
        <s v="i can order fromm dog food the website is easy to use the delivery is fast"/>
        <s v="having the product i needed and fast shipping"/>
        <s v="always dependable and shipped everything on time let you change the dates on your auto ship just a great company customer service is also awesome"/>
        <s v="listen to my concern fixed the issue quickly"/>
        <s v="have been a client for years only issue is tons of promotions sent via text and never on froms which is the only product we buy"/>
        <s v="shipping was delayed for  straight days whilst i was told repeatedly that the item would ship next day generally i would give petflow  stars however this last experience was less than stellar&#10;&#10;i want to be fair and mindful that warehouse working condition"/>
        <s v="first time order for puppy food for our sons puppy and the price was fantastic with free and super fast delivery was very impressed and i am a seasoned value shopper highly recommend and will definitely order from here again"/>
        <s v="most of my experiences have been excellent unfortunately my last order of fussie cat dry food was less than good i normal order the  lbs bag and ive had no issues the cats love it the last order i purchased the  lbs bag and my cats refuse to eat it i did "/>
        <s v="shippingsecond order fr youfirst order completely messed up you can check your logs and see second order said delivery and day of supposed delivery it was still in new jersey got all items both times but not easy process except for ordering and paying wel"/>
        <s v="ive been buying from petflow for years now and been very happy with them prices are competitive items are usually in stock or quickly restocked and shipping is prompt the one time i called customer service as i wanted to add a bag of food id forgotten to "/>
        <s v="i placed an order for dog food when i noticed it hadnt shipped after a week i reached out to customer service no reply back over a week later looked up my order status and it showed that it was cancelled was never notified&#10;will never use this company agai"/>
        <s v="our cats have been put on a sensitive diet and petflow had the best price for what we needed online ordering was simple and shipping was fast will definitely order from them again"/>
        <s v="exceptionally responsive customer service also good products"/>
        <s v="easy to order prompt shipping competitive prices great service"/>
        <s v="when i received a case of blue buffalo cans in a very damaged box with  cans being severely dented i was immediately sent a full replacement i also ordered  lights for my dogs collar only  works and im hoping to receive replacements for those as well"/>
        <s v="i love that you donate to pet charities and carry nutrisource"/>
        <s v="quick shipping product works barking has decreased markedly"/>
        <s v="we needed to order prescription food for our cat and it kept getting cancelled&#10;each time it got cancelled we called and got a different answer fraud dept credit card company etc&#10;each time the person on the phone said they would take care of it&#10;finally som"/>
        <s v="bad customer service overpriced poor quality food shop somewhere else"/>
        <s v="my mind is blown they wont fill my order dumb and useless took almost two weeks to respond to me never seen a company who didnt want business last time ill shop there"/>
        <s v="petflow is a great company they go above and beyond to provide excellent customer service"/>
        <s v="ive been ordering from petflow for years i used to order from chewy but petflow offered better discounts so i switched to them for most things my only issue with petflow is shipping and thats just such a minor issue that it really isnt even review worthy "/>
        <s v="you stopped part of my order without telling me at all took me all kinds of communications to find out what the problem was i was not and am not a happy customer check your records for my order  it should tell you what went wrong&#10;&#10;how dare you now try and"/>
        <s v="my first order was cancelled with no notice&#10;my second order was placed but sent to wrong address via fed ex then i received an email saying that they cant process my order it was already processed so when i called to see what this was about i was told i w"/>
        <s v="the was available and sent promptly"/>
        <s v="the product is great so far the issue that i have is that the clumps from the urine are heavier than any other product that ive used in the past  years"/>
        <s v="only issue i have is that there is not  count in the bottle  was given only five dollars off my next order"/>
        <s v="took almost  gays to get the puppy food which i ordered a week before getting the puppy then when it did arrive the bag was not properly sealed and food had spilled out all in the box"/>
        <s v="competitive prices great customer service excellent packaging of products and fast delivery easy website to navigate and get all you are looking for what more can you ask for i highly recommend this company"/>
        <s v="i ordered dog food on line and never received a confirmation a few days later i called and was told the warehouse was working on it three days later i called again and they said it was in the warehouse with the stiff competition on line for pet food  supp"/>
        <s v="liked the convenience of getting our pet food delivered what i dislike is the time it takes to get the delivery we were down to our last kibble when the package arrived not sure the service is dependable enough"/>
        <s v="thank you for this opportunity to provide constructive feedback on my experience&#10;when i received my pet barriers i had ordered two they came on separate days which is fine but they were both in horrible shape on arrival both boxes open on both or one end "/>
        <s v="it would be nice to get some discounts for items that are less than "/>
        <s v="i ordered my pet supplies on monday and did not receive it"/>
        <s v="ive purchased from petflow for many years  usually dog treats and food always good products and good service highly recommend"/>
        <s v="easy to use website and quick delivery "/>
        <s v="great service good prices quality products"/>
        <s v="great company always on time with my order"/>
        <s v="orders are correct and intact upon delivery which is always fast any issues or delays are quickly communicated the tone of communication is always congenial and helpful and for me i can buy my dogs healthier and preferred foods that the bigbox stores do n"/>
        <s v="i love how fast they ship but im annoyed my first order the products were expiring in  weeks so i had to use  bags of sweet potato fries before they expired that didnt happen and they seemed okay so i used them until they were gone&#10;this latest order the f"/>
        <s v="good products service and price only problem is you are out of stock too often"/>
        <s v="petflow has provided exceptional service great prices and very good selection of products and foods for my pets for about  years i highly recommend this company"/>
        <s v="ordering is easy and shipping is always fast my favorite site for ordering cat food and supplies"/>
        <s v="shipping has been so fast each time ive ordered excellent customer service and great selection of pet food and items theyve won my business"/>
        <s v="easy to order  delivery was good as well"/>
        <s v="not as familiar with navigating your website thus found it confusing and confusing perhaps as i use it more ill become better with it products are excellent prices are excellent too"/>
        <s v="easy website delivery updates and promptness of delivery"/>
        <s v="i never received my package have been waiting about  weeks since order i would recommend petco or something like that"/>
        <s v="a great place to get pet food that is quality for my gigi girl"/>
        <s v="great experience from ordering to delivery"/>
        <s v="the order has been cancelled by petflow and i was not even notified thankfully chewy had my back"/>
        <s v="i placed a order on  i sent a text on  asking when my order would arrive i was told my order was flagged and never shipped the person didnt know why or what that meant why wouldnt i get a email or a call if a problem was encountered you have all my contac"/>
        <s v="fast shipping and always consistent with supply my shih tzu approves and is a happy baby thank you pet flow"/>
        <s v="your prevention protection is not accurate please fix it"/>
        <s v="shipped to me very fast and no damage packaged well enough to prevent damage i wish fromm allowed discounts for auto ship but i understand it is up to them to allow that not petflows fault at all"/>
        <s v="i appreciated receiving an email when the item i needed was back in stock i waited to buy it from petflow because their price was so much more affordable and this service was so helpful"/>
        <s v="second time ordering prescription food told its in stock and a week later they cancel the order stating its not in stock never again"/>
        <s v="i have ordered twice and each time the delivery has been delayed the order this time was not properly packaged and the box was literally falling apart and patched together with more tape than cardboard i am surprised the entire order made it here i wonder"/>
        <s v="the sales experience was fine delivery not so much again their chosen delivery company left my very heavy package sitting in front of my garage for all to see with no knock or ring at the door to let me know it was there thankfully it wasnt raining that d"/>
        <s v="the dog food came quickly"/>
        <s v="ordered  boxes of arm  hammer fragrance free super scoop cat litter two weeks ago never received it"/>
        <s v="numerous choices at excellent prices fast shipping excellent customer service highly recommend"/>
        <s v="i was told i would receive a tracking number for my package i placed on friday i did not so i called  days later on tuesday at  i understand the company doesnt work on weekends brian answered the phone he was very rude when i asked for a tracking number s"/>
        <s v="i ordered a prescription cat food where the website indicated that it was in stock when i had not received a status update after a few days i sent an email inquiring about the status and was told that it was out of stock which i had suspected since it was"/>
        <s v="the website doesnt work right horrible to navigate i got food i didnt order whats with that shipping was fast prices were good"/>
        <s v="purchased toys for my red squirrel he loves them that r safe and durable costumer service truly is customer service helpful polite this company is a joy to deal with"/>
        <s v="great service and people thank you"/>
        <s v="i ordered cat food delivery on  and i am still waiting for it to be shipped to me there has been no update"/>
        <s v="i love the products they carry i love the communication the only negative is that they are out of my items a lot however i know that probably has more to do with the company who makes it than them"/>
        <s v="products were in stock website was easy to use prices were comparable to other things online retailers"/>
        <s v="great products fresh free shipping&#10;great pricing"/>
        <s v="even though the delivery company brought my package a day later than they predicted it was still earlier than the estimated date i got when i placed my order all items arrived in good condition and i got a very reasonable price"/>
        <s v="food my pet needs was listed on your website and so i placed an order then a few days later received a message my order could not be filled items should not be listed or show as out of stock if unavailable"/>
        <s v="my order got canceled without any notification to me on  separate occasions i found out by checking the website on the status of my order"/>
        <s v="i am extremely happy with the ease of ordering from you"/>
        <s v="ordered two times and both times it was stated in stock after placing the order i was notified sorry out of stock worst website ever if you dont have it in stock ready to ship then dont state in stock"/>
        <s v="id never heard of petflow before they came up in a google search very glad they did i was able to buy some blue buffalo kitten food at a lower price than petsmart petco and chewy&#10;&#10;i also got a bunch of my kittens favorite clicker training treats at a reas"/>
        <s v="good communication shipped fast and great product"/>
        <s v="i ordered and the item was not in stock but it doesnt say that online then when i try to reach out to find out ifwhen the item will be in stock communication was minimal to none"/>
        <s v="customer service is awesome i was having trouble using a couopon and the woman i talked with took care of it its important to me that my purchase will feed a doggie"/>
        <s v="your website said the wet cat food was in stock i never received my order because you are out of the food"/>
        <s v="always satisfied with the service i have gotten at pet flow delivered in a timely manner packaged well and in good shape when it arrives and products we use are always available"/>
        <s v="great prices timely delivery and great products"/>
        <s v="package arrived promptly and was wellpacked ordering was easy the product is just what my cats love too  and its hard to find"/>
        <s v="prices great and selectiondeals appealing preparation and shipping could be quicker customer service agent was snarky&#10;still choosing over chewy "/>
        <s v="speedy service with a personal touch they also carry some brands we cant get elsewhere they are lifesavers"/>
        <s v="very quick service on fromm dog food for our new puppy we were not able to find this brand elsewhere  happily pet flow was able to keep him on his regular brand "/>
        <s v="fraud team kept flagging my credit card and cancelling my shipment even though ive purchased here many times and there was no issue with my bank"/>
        <s v="variety of flavors for fancy feast wet cat food is limited right now but i was able to find what i wanted at a great price at pet flow shipping was fast"/>
        <s v="the order i placed arrived on time i question whether this product was the actual item from the original product made by another company my beagle would not eat this brand but ate the real brand from the manufacturer the dog food didnt even look like the "/>
        <s v="love science diet pet food and love their price"/>
        <s v="happy with petflow good prices delivered timely packaged well"/>
        <s v="my dog loves petflow pet food the taste is very good the logistics is also very fast and the nutrition is very balanced"/>
        <s v="products are great customer service is excellent shipping is fast thank you very much"/>
        <s v="pros very wide selection of dog and cat items i think you could probably find what you would get at any other petretailer comparable prices the website was easy enough to navigate and there were discount codes available&#10;cons the autoship that i set up did"/>
        <s v="i will forever be a customer food gets here fast and helps other dogs in need every time you purchase plus i prefer to support a small business highly recommend and have passed on to friends"/>
        <s v="was able to place my order easily the only issue was a slight delay in delivery due to warehouse stocking i was quickly notified that my delivery would arrive a day later and i was delighted when it did"/>
        <s v="i placed an order and two days later i received an email from you saying something like your fraud review team advised you not to fill my order no explanation ive never had anything like this happen to me before"/>
        <s v="my orders are always on time if not im promptly notified expectations are properly set "/>
        <s v="i love the company but communication is bad ive had a standing order for a long time and they where unable to fill the dog food there was no communication or replacement i had to place this order on my own very disappointed"/>
        <s v="the order was processed as always however i was surprised it took so long to receive i used to order and get it within  days this time it took "/>
        <s v="on time delivery and ease of use website"/>
        <s v="the product i was looking for was available and was able to place my order without a hassle"/>
        <s v="it was great service and my stuff was delivered quickly"/>
        <s v="i just recently discovered petflow and they provided me with the best price customer service and speedy delivery for the item that i was looking for i will definitely choose petflow for future purchases"/>
        <s v="great customer service and dog food arrived on time"/>
        <s v="shipping was quick my order was accurate customer service is fantastic"/>
        <s v="terribly disappointed with this retailer order was confirmed yet i never received a shipping notification when i requested a status update was told their fraud prevention team suggested not filling the order what a load of crap i use the identical payment"/>
        <s v="easy to order and i received everything very fastwith free shipping im planning on buying more pet items from this site for sure its rare that you receive ordered things within  days from most pet sites for free unless you pay"/>
        <s v="i needed to get my prescription pet food that was sold out everywhere this was the only place that had it submitting my vet info for the prescription was easy and the food arrived quickly"/>
        <s v="company was great in fulfilling my order of hills rx derm complete dry dog food although a delay between veterinarian to petflow in the timeliness of my order some of that was beyond petflows control once things were in order the order came as expected an"/>
        <s v="competitive prices good selection of bird food quick shipping"/>
        <s v="my order is constantly being canceled why cant i stay on a list until the product is back in stock so it can be shipped to me"/>
        <s v="for over a year i have an autosubscribe food order the price went up on the food and i reached out to see if you would honor a competitors price without hesitation you did thank you so much for your superior customer service and quick and seamless orderde"/>
        <s v="the web site is easy to use great deals on all pet supplies wide variety of pet foods especially for what i need for my cavalier i recommended petflow to all my pet parents"/>
        <s v="ordered cat food on sale  cases received email item was out of stock very disappointed should have been offered sale price when item returned to stock"/>
        <s v="wonderful fast fast"/>
        <s v="had to inquire whether or not my order had shipped which it hadnt inquired twice and was told both times had not been shipped on the second inquiry i also asked that if it was not going to be shipped today  to cancel interestingly it has been shipped toda"/>
        <s v="i have a difficult time finding this product and petflow had what i needed fast delivery"/>
        <s v="great prices fast shipping and they actually have the dog food i need in the right size bag that i cant find anywhere else so glad i stumbled upon this company"/>
        <s v="ordered food got message later that it was out of stock so website isnt accurately updated waited as they said they would ship as soon as they got it in stock then i got a message that they canceled my order so this was the first and last time i will try "/>
        <s v="quick quick delivery after several deliveries of same order  lb bag of prescription dry cat food the shipping box holding the bag has become more compact and instead of a  foot long of brown packing paper crumpled and wrapped around the bag to fend off da"/>
        <s v="i love petflow i prefer them to chewy and petsmart i feel like they are geared more towards the consumer and their pets and not political posturing i buy for my pets and want a company committed to my pets"/>
        <s v="csr told me my card was fraudulent and my order would not ship i bought dog food from another place and then i notice petflow had shipped my order after telling me it was cancelled i wont shop here again"/>
        <s v="easy to order&#10;my order was a repeat order and the site made it easy to identify the previous order&#10;the site facilitated the scanning for coupons which gave me a discount&#10;communications regarding order placement shipping and delivery were timely and accura"/>
        <s v="weve been using petflow for many years now and every aspect of their service has always been amazing premium kibble reasonable price and product arrives quickly"/>
        <s v="always delivered quickly and you carry high quality cat food thank you"/>
        <s v="i ordered a couple hundred dollars worth of stuff all but  items were unable to be shipped and on backorder why do they have items listened that they clearly dont have in stock one or two items  ok but pretty much my entire order you might want to call an"/>
        <s v="main complaint  damaged cans over and over again&#10;&#10;i have been told to call and requests additional packing additional boxes email notifications on auto ship status i do all these things and still petflow comes up short&#10;&#10;if something is out of stock at the"/>
        <s v="spoke with a rep named ryan and he was extremely rude and hung up after saying have a good day because he couldnt answer my questions about a product pet flow says they have in stock"/>
        <s v="products were damaged and petflow replaced them immediately l"/>
        <s v="everything as described fast service"/>
        <s v="i like that shipment can happen the same same day as the order date delivery is fast packaging can be better as ive gotten several dented cans"/>
        <s v="this company has very quickly response and nice servicepeople are very friendly and helpful"/>
        <s v="i ordered prescription food for my sick cat submitted my vets prescription with the order made the payment and my vet confirmed it was approved the same day its not on backorder but it has now been two weeks and my order still hasnt shipped or been delive"/>
        <s v="having the dog food delivered takes a large load off my schedule the delivery people are very courteous and friendly"/>
        <s v="i had paused my auto ship then ordered what i needed weeks later i have another shipment of  lbs of dog food"/>
        <s v="petflow is unfortunately very inconsistent with their delivery we recently received  orders within  days after not getting anything for approximately  weeks"/>
        <s v="great service had the product i needed shipped and received in very reasonable time i will shop with petflow again"/>
        <s v="two orders placed at different times showed in stock gave all my billing info got confirmation of order a week later got an email order canceled due to no stock my cat needed this food asap  was quite disappointed that it took a week to notify me two time"/>
        <s v="as usual many of the cans were dented in shipping i assume makes it difficult to stack and store&#10;may not order again"/>
        <s v="i had a issue with my picky cat he would not eat the food i purchased i contacted them and they helped me out"/>
        <s v="great product and shipping was fast they communicated every step of the way will definitely order from them again"/>
        <s v="the discount on my order the order itself and the delivery time are all  star&#10;&#10; maybe you should change the name from petflow to  star"/>
        <s v="i appreciate that i can quickly reach a customer service representative on the phone when i have a question about a product or an order and im glad that petflow donates food to needy animals i also like that petflow is not connected to companies that sell"/>
        <s v="while i needed this product and was up on its delivery time id like pre notification of sending this allows me to plan about being home etc"/>
        <s v="i ordered a prescription diet for my cat and accidentally typed the incorrect vet in for the prescription referral  one that has a very similar name as that of my vet petflow emailed me that the vet didnt have any records of my cat  and i when contacted t"/>
        <s v="your website needs to be better maintained i ordered product listed as being in stock and got a confirmation email then two days later ordercwas cancelled with no explanation i called and the only reason you got  stars is customer support was so nice howe"/>
        <s v="items that were on backorder were listed as in stock on the website customer service wasnt helpful couldnt say when the items might be back in stock called back to cancel the order after finding the items cheaper on amazon and was told that the items were"/>
        <s v="i have tried to order cat food at least  times this year from petflow and they have canceled every order due to supply shortages even though when i placed my orders the food showed on the website as in stock it has been very frustrating and i am tired of "/>
        <s v="i placed an order  and signedup for ongoing orders but the next email i received was one offering a discount that was never offered to me  until after i ordered and signed on for reapeat orders&#10;thats terrible &#10;that is not a way to do business with repeat "/>
        <s v="both times that i have ordered from petflow my orders had delayed shipping dispite me calling and emailing them"/>
        <s v="i placed an order online because it showed the item in stock i didnt receive any notifications that it wasnt in stock until i emailed in a query at that point all i received was a notification that my order was canceled again with no reason as to why very"/>
        <s v="i would not have provided my personal information if i had known you dont have what i need not happy "/>
        <s v="petflow has grown on me i have used their competitor for a long time but tried petflow when i initiated a food change i have found petflow to be responsive and helpful quite honestly i feel their service has continued to improve over the time i have been "/>
        <s v="great product and shipping times im so happy to have found this company"/>
        <s v="very knowledgeable and helpful assistance over the phone quality product prices cant be beat"/>
        <s v="the item i needed was in stock priced better than the competition and arrived timely as needed"/>
        <s v="recently i ordered over  in treats they came in one large box and half of the treats raw freeze dried had turned to dust in their packages it was likely due to rough handling during shipping that had never happened before and ive been ordering treats from"/>
        <s v="i guess my card was declined for my second order of fromms cat food  cases but instead of telling me by text email call i was just ignored when i was down to one lonely can and wondering where my cat food wasi emailed no response to my question just a wel"/>
        <s v="your website lied and said a product was in stock when it wasnt we ordered it and heard nothing from you i had to call several times and then i was finally told my order was canceled because it was back ordered so was it never in stock to begin with ill n"/>
        <s v="i had a slight issue with a couple of the cans that were shipped and the customer service representative said they would issue a credit on my next order very professional and courteous service"/>
        <s v="my order was cancelled and i did not know it no email nothing i had to log into my account to find out i have reordered and hopefully product will be sent"/>
        <s v="everything i always need personal help with my orders which usually include a prescription for my cat the prescription i have is a open one that i usually have to send a picture of and petflow seems the only online site that will talk to me personally in "/>
        <s v="the people on the phone are friendly and helpful"/>
        <s v="what a great business to work with when i made an error and ordered the wrong food  customer service was happy to take it back and get me the right food&#10;what a pleasure to work with such nice and helpful staff a most unusual treat today"/>
        <s v="i originally ordered a  can case of cd chicken stew and a  can case of cd tuna stew and was told that they were both in stock about a week later i got the case of chicken stew but but still am waiting for the case of tuna stew i just called a little while"/>
        <s v="excellent product ive been buying from them for years and fast service"/>
        <s v="i ordered  cases of the hills cd wet can food one stew and one fish i only received the stew my invoice shows that i was charged for both&#10;but no explanation on why i didnt get the full order"/>
        <s v="wanted to order dog kibble but the price on the select and description page was  but when i started processing the order the cart jumped it to  i called and explained the problem the guy hung up on me i called again and the second guy also hung up on me p"/>
        <s v="would give this company zero stars if possible have ordered from chewy petco pet nirvana and vetsource with absolutely no issues whatsoever using the same credit card i used for petflow however twice petflow cancelled my order with no notice i didnt disco"/>
        <s v="i have tried to order food for my cat  times each time the order being cancelled because they did not have the product in stock i didnt understand why the would show a product in stock when in fact they didnt have it"/>
        <s v="great product exactly how it was described&#10;works great for my dogs"/>
        <s v="so glad i found this company products in stock and ships quickly appreciate the great service"/>
        <s v="i was never told you did not have the product instock i ordered it and my debit card was charged three days later i was told you were out of stock and refunded me next time tell me you were out of stock and dont make me go through the process of ordering "/>
        <s v="both orders was delivered on time petflow provides a tracker number so that you can track your order items in both boxes came spillproof and dog food bags were tightly sealed petflow also offered me  off both of my boxed items thusfar our house yorkipoo a"/>
        <s v="it is nice product"/>
        <s v="pet flow kept canceling my order and asking me to resubmit it even though it was out of stock they gave me deep discounts on the order but they were never able to deliver it this is a serious situation because my cat cannot live without her prescription f"/>
        <s v="hello&#10;i really enjoyed the experience of shopping with petflow&#10;at first the purchase was cancelled because the product was out of stock pet flow solved the issue i was informed at every step the prices are very competitive&#10;i can say that petflow is my fav"/>
        <s v="customer service is great delivery is a bit slow order shipped september  and its september th and i still do have my item"/>
        <s v="cheapest place to purchase my dogs fromm dog food and it always arrives on my doorstep fresh i feel confident in purchasing with petflow"/>
        <s v="i was pleased to find what i needed at a good price but also saw a number of things that were much higher than on other sites my order was shipped within  hrs and arrived in good condition i appreciate the messages keeping me informed every step of the wa"/>
        <s v="thank goodness for petflow i needed prescription treats i could not find any where even my vets office was out i had not heard of petflow before and you came to me and my lab bellas rescue fast shipping thank you we appreciate you so much we will be back"/>
        <s v="an honest informative explanation my cats appreciate it please send me your list of us cat food manufacturers i fiddled with your email until i couldnt view it or print it&#10;&#10;thanks"/>
        <s v="love this cat tower my girls have a great time climbing and lounging its very sturdy and was delivered promptly thank you"/>
        <s v="great products and reviews that help pet parents too bad items dont ship during the weekend great products and resources thanks"/>
        <s v="they were very helpful  my cat food was delivered on time"/>
        <s v="it took longer that buying it directly or with other companies"/>
        <s v="i have been getting auto deliveries for many years recently went on line to order and set up a new auto delivery for new puppy my ship to address was no longer correct i fixed it went to order the food and it flipped back to the bill to address i fixed it"/>
        <s v="petflow is great i place my order within  days i have dog food sooo convenient to have it shipped right to your door ive been doing business with them now for  years and will continue"/>
        <s v="if i could give it zero i would they never contacted the vet despite giving them fax phone and email and contacting them on multiple occasions i have a prescription for the same dog food but i tried ordering snacks i have a prescription for the dog food i"/>
        <s v="fast shipping and good prices for hard to find dog food"/>
        <s v="great selection timely shipping the boxes are still crap they show up half open beaten up sometimes too small for the bags of food causing them to be ripped open if i could get nutrisource food somewhere convenient i would not use petflow"/>
        <s v="i ordered some thing and the order was approved by the vet because it was a prescription then i found out five days later that the order was not being fulfilled because it was out of stock it seems as if the company should know what it has and doesnt have"/>
        <s v="have spoken to  people to get an order of dry dog food on auto ship to no avail process started late aug with everyone saying it would ship asap i still do not have it i dont understand what the problem is"/>
        <s v="my cat needs prescription hills yd after going thru the verification process  stopping my search i was told you couldnt source it wasted time waiting i was informed after the fact wish i had known in the beginning"/>
        <s v="ive been using petflow for quite a while now and have had nothing but positive experiences generally i receive my order in about four days or less"/>
        <s v="ordered on  received  via fedex&#10;&#10;the box it came in was trashed more than likely from shipping and handling i would suggest using sturdier or reinforced boxes but that probably would add more cost one of the bags was leaking food it seems the bag was not "/>
        <s v="delivery of the product was sloppy&#10;it was raining and the box was left outside where there is a dry place available"/>
        <s v="my only complaint is that the bags of dogfood were not packed properly instead of the big  pound bag being in the usual big boxes that it usually arrives in the  pound bag was crammed into the same size box as the  pound bag with the result that the box a"/>
        <s v="great prices of several items we use thank you"/>
        <s v="the best prices in stock merchandise and quick shipping would use them again"/>
        <s v="petflow carries fromm healthy weight for senior dogs bandit loves it bandits favorite is treat is the inch pizzle chews he has to have them"/>
        <s v="my order was cancelled without any notification it was a sizeable order on a brand new account but not providing notification was both inconvenient and has left me scrambling&#10;&#10;the prices will result in me trying to order from petflow again but the experie"/>
        <s v="i appreciate the discount and sales offered to your large selection of product my items arrive carefully packed and i have yet to receive one dented can or damaged item keep doing what your doing"/>
        <s v="stop accepting orders for items you do not have in stock this has happened twice now"/>
        <s v="always a great experience with petflow product is of great quality and ships fast only place i can find these ears in bulk"/>
        <s v="my dog food order arrived with  exploded and dented cans petflows  email reply was to tell me they will credit my card  today is  and my card has yet to be credited i am not happy about this order number  placed on "/>
        <s v="first time using petflow and im happy with the service i now have autoship with them used chewy autoship in the past but their service has become unreliable in past few months petflow was able to supply prescription food that was out of stock at chewy"/>
        <s v="products and pricing are wonderful shipping is slow compared to chewy thats the only downfall"/>
        <s v="orders are not packed properly and arrive dented this is not the first time customer service did in fact send me a new oder"/>
        <s v="it was entirely on me to send a prescription the order was sat on for weeks and eventually was cancelled without me asking for it now your site shows its out of stock just literally the worst order ive tried to place for prescription food  for which my ca"/>
        <s v="after receiving an email requesting i contact my vet to facilitate getting required prescription for my dog my vet had received no such request i called customer service requesting another prescription be submitted i was treated with arrogance disrespect "/>
        <s v=" thumbs down its  my order was supposed to arrive  today i was told the fraud department canceled my order for reasons they wont disclose they didnt tell me the order was canceled i was simply left waiting when i attempted to reorder payment they said the"/>
        <s v="good service and fast delivery"/>
        <s v="i have purchased from petflow regularly for a number of years they have good prices often the best they ship quickly and ive never had an issue whats not to love"/>
        <s v="my scooters food got here in a very timely manner he loves this food and it is hard to find in our area the cost is reasonable though it would be nice if there was ever a sale on it thank you petflow for helping me provide the best for my fur baby"/>
        <s v="i was very disappointed with my experience i was looking everywhere for the prescription cat food my furbaby needs and petflow was the only place that showed having it in stock but by the time they finally got around to contacting my vet nearly a week aft"/>
        <s v="ziggy went nuts over the treats its his crack cocaine will definitely order again"/>
        <s v="your service and products have always been excellent the only glitch was on my last autoship i never received notice that my order was getting ready to ship if i had i would have pushed it to a week later its not a big deal but i like having the advance n"/>
        <s v="i believe your website was corrupted and my account breached leading to several orders that i did not authorize there was faulty information shown for example the website showed order  xzy was just placed today but when i asked your rep about that order n"/>
        <s v="good food cheap easy"/>
        <s v="i placed a subscription order for prescription food for my pet petflow claimed they had it in stock i was wondering where my order was so i logged into my account to find that the order was canceled because they did not have it in stock the did not cancel"/>
        <s v="it would be nice to get some of the discount codes for nonauto ship orders for frequent order customers&#10;thanks petflow"/>
        <s v="website advertised canned yd thyroid cat food so we ordered a case after a week we were told it wasnt available which left us scrambling for thyroid food for our cat"/>
        <s v="i gave you a top score because we ordered food from you guys all the time this time i didnt get any emails i looked in my junk folder there was nothing there i had to call twice to figure out what was going on i hope you can improve this process"/>
        <s v="have enjoyed using this site to help take care of our for babies great selection decent pricesdelivery on time"/>
        <s v="our girls love the dreambone peanut butter sticks and they are always out or extra expensive on other sites this price is great"/>
        <s v="i had a good experience with this company i ordered my dogs food and received a great price order arrived in the time frame and condition expected i will be reordering as needed&#10;thank you"/>
        <s v="my pups love all of the toys we ordered from petflow most of the toys we ordered are made by kong toys are great for our young aggressive chewer as well as our fairly active  year old senior pup ordering was easy prices are great"/>
        <s v="i submitted a signed prescription from my vet through email for  orders and kept receiving emails from this vendor telling me they couldnt ship until the prescription is verified then more emails saying they would approve it if i would submit a prescripti"/>
        <s v="great communication free and fast shipping and they carry an item thats out of stock everywhere"/>
        <s v="im really happy with all my purchases from petflow affordable prices and fast shipping"/>
        <s v="i have gotten myias can food before from you but this time every single can was dented up not the quality i expect for the price of hills prescription food"/>
        <s v="the worst spoke with a customer service rep ryan and he was courteous and yet at the same time completely unhelpful and unwilling to do what it takes to resolve the issue he was very passiveaggressive so i to him to suck a bag of diks etc etc&#10;my problem w"/>
        <s v="no issues with shipment or product easy ordering"/>
        <s v="my experience was very positive i was able to get some dog treats that i had not been able to purchase for quite some time thank you"/>
        <s v="fast shipping good price"/>
        <s v="my puppy lola has had allergy skin issues and she hates all food and treats until i cane across hills prescription hypo pet flow was so nice to work with great service great prices and the variety is wonderful thank you so much"/>
        <s v="you are asking for me to rate something that hasnt yet been delivered i just tracked it and see that it is expected to be delivered tomorrow well see if that happens&#10;&#10;by the way i ordered from your competitor about  days later than this order and it was d"/>
        <s v="i am pet flow subscriber and i love it my cat food always arrives on time and if i order an item before it only takes  days to arrive or maybe less"/>
        <s v="i appreciate the delivery your prices are fair but it took a longer time to get the food i used to get food from you in  days this was  days which doesnt seem too bad but long if you expect it in  days"/>
        <s v="something went wrong with one of my first orders with your company it was either the dried beef lung or a chew toy but either way no notification was sent to explain why i drive a truck for safewayalbertsons for a living so i understand supply chain delay"/>
        <s v="scam  i tried to order bowls and they sent an email stating they were supposed to ship on the  and that i would get a tracking number in my email  i never got the tracking number so i called and they said my order was canceled because of fraud and they ca"/>
        <s v="placed an order for dogfood from petflow for the st time  not only was delivery quick but price was way better than where i usually purchase  will definitely order from petflow again"/>
        <s v="we are a small chihuahua breeding program and it is most convenient to have our dogfood deliveredwith free shipping"/>
        <s v="i ordered my cats prescription canned food called to check on it several days later  was told my order was being processed then received an email a week after my order date stating my order could not be fulfilled as it was out of stock by that time i was "/>
        <s v="soooo disappointed here needed still need rx canned cat food said it was in stock our vet sent rx right away then i didnt hear anything checked on it a week later they said oops out of stock we have to cancel your order whaaat"/>
        <s v="im usually pretty pleased with petflows delivery system but for some reason this time it took almost a week for me to get my product usually its in within a day or two so i just hope he gets a little bit more through the delivery service other than that i"/>
        <s v="was very pleased with fast courteous service"/>
        <s v="you allowed an order to be placed for rx food when it was not available i had to call to get a cancellation email it was nearly a week later before that was sent"/>
        <s v="i was very pleased with my purchase experience with petflow i ordered a hills prescription diet dry cat food that ive been having a lot of trouble finding i bought it for a better than average price it arrived earlier than quoted and in good condition"/>
        <s v="very good service i love the play pen i order"/>
        <s v="easy use of website for ordering and you have always delivered this hard to find food on time ive come to depend on your consistent service thank you"/>
        <s v="ordering is quick and easy product arrives in    days "/>
        <s v="every one was helpful i am sorry not to be able to get my at food"/>
        <s v="petflow made it easy and my food was delivered quickly with no problems my dogs love their new food and the auto ship makes it hasslefree"/>
        <s v="first time buyer ordered one product which needed vet approval once obtained shipping took a while poor communication as there was none on their part unless i called repeatedly"/>
        <s v="ive been using petflow for years now never had an issue till recently this time around i received a package before i received the shipping notification upon receiving my partial order because one item was on backorder there was  item missing other than th"/>
        <s v="i ordered two cases of food i provided the prescription and the two cases were ready to be shipped i followed up the next two days and i was told was due to the prior holiday weekend but the two cases were ready to be shipped however two days later i was "/>
        <s v="very well made and excellent quality of the product "/>
        <s v="never received product nor heard that it could not be fulfilled item was listed as in stock when purchased"/>
        <s v="always reliable and a great price thank you"/>
        <s v="absolutely friendly staff and helped me right away helped me find the perfect alternative for the same price"/>
        <s v="it was cheaper than anywhere else fast delivery  customer service was also fast and friendly"/>
        <s v="i ordered my dog food almost two weeks ago and im still waiting for it to be shipped or get a refund i have received multiple emails about them not being able to reach banfield pet hospital to get my prescription for my dog but banfield is open from like "/>
        <s v="horrible horrible service i did everything right on my part even then the food for my cats wasnt shipped in a timely manner despite me calling for it and being told it will be shipped asap multiple times only to be told later it is being delayed then bein"/>
        <s v="i placed an order for treats and a few days later the order was cancelled without any notice the reason given was something flagged a fraud alert however when i called the customer service number they couldnt give me specifics all they suggested was tryin"/>
        <s v="i was very encouraged when i first logged into this site as some of the prices are lower than other sites but just after submitting my first order im being told that half my order isnt available at this time when i logged out and went back into the site e"/>
        <s v="i travel for work and i ordered pet food via your site for the first time with my billing address as my home address and my shipping address as the place i was on location working i travel with my two cats my order was cancelled and i was not notified it "/>
        <s v="apparently my order was canceled by the fraud department id like to know why i spoke to someone on the phone as i wanted  of the item but you only had one no one notified me i ordered  from another company thinking i had  coming from you now your out and "/>
        <s v="i tried using a coupon that said expires  on  and it was already expired"/>
        <s v="i will never ever contact pet flow for anything ever again terrible terrible customer service and failure to deliver told me their fraud division refused to ship item i ordered i contacted my credit card companies and all of them said there was zero issue"/>
        <s v="love petflow site carries my favorite products great prices fast shipping and items arrive in good condition a"/>
        <s v="bimonthly order of dog food that is the best price i can find online"/>
        <s v="shows on website the food i needed for my cat was in stockand it wasnt"/>
        <s v="great products service and website"/>
        <s v="my experience isnt complete because i only received one small piece of the order kind of odd i ordered a case of cat food when i placed the order the site said i was only  away from free shipping so i ordered a small kitty toy for  i got an email on monda"/>
        <s v="half of order delivered as expected other half was on perpetual delay petflow team could not provide update except that all prescription orders were delayed this was obviously not the case as the first half of my order was fine and not delayed that said i"/>
        <s v="i tried twice to order the dog food for my  dogs both times it was cancelled by this company their so called fraud prevention dept i was dumbfounded i called to ask why the woman i talked to had no idea and could not transfer me to anyone to talk to about"/>
        <s v="ordered wrong food contacted company before shipped they said it was too far in the process they told me to deny delivery when they come the delivery company dropped off without notice and they denied my return they lost me as a customer over  i purchased"/>
        <s v="product is good but way too many emails"/>
        <s v="took over two weeks for order to arrive&#10;soft cookies are very hard"/>
        <s v="this place is a real joke seems like they are selling items that they dont have we purchased  dog bowls for our feeders after they was supposed to ship them out we called and they said that they canceled our order due to they thought it was fraud how is m"/>
        <s v="every time i order it takes forever to receive i also have received the wrong product and had to reorder and wait even longer kind of a headache customer service is just ok"/>
        <s v="nice selection of premium reasonably priced highquality cat food shipped and delivered quickly with no hassles"/>
        <s v="website is extremely difficult to navigate and customer service is merely okay&#10;after i was told my order was in stock it wasnt and my order was cancelled no well let you know as soon as it gets in or anything just plain canceled&#10;not gonna bother shopping "/>
        <s v="i place my first order with petflow a few days after placing the order i realized i hadnt received an email with shipping information so i called to find out when my order would be delivered i was informed my order was canceled i asked why it was canceled"/>
        <s v="overall it was easy to order however it took more than a week for me to receive my dog food the fl warehouse was out of stock there was no correspondence to let me know that the food was then coming from the nj warehousei had to call in order to find out "/>
        <s v="my parentsdog loves this pet food it arrived when i was advised it would arrive so that was awesome"/>
        <s v="been ordering pet food from petflow for years now and have had nothing but good experience with the company products i order are the best and at the best prices available shipping has always been super fast great company"/>
        <s v="its too hard to cancel auto ship orders it should be a simple button you can press instead you have to contact customer service which takes time for what should be something i can do myself other than that petflow is always fantastic"/>
        <s v="delivery took longer than i expected after a week and half i had not received an email letting me know my order had shipped i contacted customer service to ask and what do you know my order shipped the next day"/>
        <s v="very good customer service happy with product and delivery prescription treats my dog likes they had in stock"/>
        <s v="claimed a dog food product was in stock and even told me that only one was available not the two that i had in my cart so i purchased the one two weeks later no dog food has arrived but i just got an email stating its out of stock and not known when it wi"/>
        <s v="ordering was simple communication was excellent selection prices were great anf items were shipped promptly no problems were encountered at all"/>
        <s v="petflow had the sensitivity select dog food i needed which is hard to find at a reasonable price i received it within a week great company to deal with"/>
        <s v="order on  called on  to verify prescription received told yes will ship soon no contact from you called again on  told will ship that day i expected to receive by  tracking sent stated expected arrival  was never informed of these delays and my cat has no"/>
        <s v="i ordered hills prescription cd ocean fish wet cat food on the st of september i had no knowledge that is was not in stock prior to ordering as it was not noted on the petflow site i got an acknowledgement email from petflow and that was it to make a long"/>
        <s v="transfering a new hardcopy rx was a bit cumbersome&#10;first i was told that i had to send a new rx via us mail then i was told i could simply upload it so it took almost  weeks to receive the product"/>
        <s v="i had some issues with my order but contacted customer support twice and each time has been reassuring its easy to get a hold of a real person and the team has been very professional and courteous in resolving my issues i will continue making purchases fo"/>
        <s v="very happy experience from petflow&#10;thank you"/>
        <s v="dog food i ordered went out of stock immediately after it allowed me to order i called and i was told they could not give me any idea of when it would be in stock i tried to cancel my subscription with them but they told me they wanted to keep it for now "/>
        <s v="frdex didnt deliver the previous order your customer care rep ordered another fromm sur  turf for me and it was delivered"/>
        <s v="i signed up once for autoship  the order took over a week to reach me since that experience i order when i need it and always receive it within a few days i am a regular"/>
        <s v="i bought the august st havent even received any email with shipping last time i talked to them havent shipped yet last time i called didnt even answer"/>
        <s v="i placed an order about  days go by and i realize i hadnt gotten a shipping confirmation number i called and representative said  oh did no one reach out to you no they didnt long story short nothing happened except they held onto my money i canceled the "/>
        <s v="i placed my order a few days ago i then had to get a prescription from the vet and mail it mail it not fax it or email it but mail it i have yet to get notice that my dog treats have been mailed and it had been days my dog has ibd and these are the only t"/>
        <s v="communication with petflow staff was exceptional and professional i truly believe the staff was interested in helping me with the prescription from my vet for the product and clarification expedited the process well"/>
        <s v="super prompt service which included petflow needing to verify a new prescription with my veterinarian fast shipping too much appreciated"/>
        <s v="petflow website had hills yd canned cat food available i ordered a case they sent me a confirmation  then contacted my vet for the required prescription after receiving it  checking their inventory  then with their distributor notified me they dont have i"/>
        <s v="my order was not processed as it was flagged for fraud however i was not informed of this i had to call  days after placing the order to find out"/>
        <s v="ordered prescription cat food that was in stock never heard anything for  weeks then got an email saying it is now out of stock i looked it up again and it is not out of stock total waste of my time and i dont remember the date exactly"/>
        <s v="had what i was looking for good price and fast shipping great job"/>
        <s v="easy website to navigate customer service both via chat and phone were very helpful when i entered my cc number incorrectly shipping was fast too"/>
        <s v="my order was canceled twice without an email or call this is unacceptable and i will never recommend petflow to anyone"/>
        <s v="i have a rescue and wanted to give petflow a try because they had some great deals i placed an order in my name but used my husbands credit cardsame last namei received a confirmation days later never received it i called and was told my order was cancell"/>
        <s v="the crate arrived so quickly it was way to assemble looks great very pleased "/>
        <s v="i placed an order on  and had not heard anything about it by  so i emailed the company and was told that their fraud protection team suggested that they not fulfill the order when i emailed back for an explanation i was told to call a number which i didnt"/>
        <s v="dog food arrived in good condition dry food it was not broken up like some other places where i have ordered good service"/>
        <s v="this site is legitimate i feed my dog chicken soup for the soul weight care for dogs after checking other places they definitely had the best price so glad i found them shipping was minimal but fast set it up for auto ship"/>
        <s v="good site good site good sitegood site"/>
        <s v="i ordered a prescription diet food for my pet on a saturday that monday i called into customer service and confirmed receipt of my pets prescription i expressed urgency to the rep that we were running low and needed this food asap  days later i received a"/>
        <s v="prescription wasnt approved and i didnt get any food"/>
        <s v="fast very secure service easy and safe method of purchase and excellent products affordable pricing"/>
        <s v="nothing but good to say about petflow they have what i want the prices are fair the delivery is fast"/>
        <s v="excellent customer service i ordered etta says premium elk treats  count one arrived not  just the one i called the rep on the phone was more than polite and sent out an order for the missing  chews again the box arrived with one chew not  i called a seco"/>
        <s v="awesome to do business with received product on time"/>
        <s v="very happy that i found this site for my aging dog who needed prescribed treats that he was on most of his life they contacted my vet for approval and i did not have to wait too long before i got my package"/>
        <s v="i had a wonderful experience with petflow my cat max is on a special hills prescription diet for urinary issues it is very difficult to find cd cat food where i live i found petflow online and ordered chicken stew tuna and ocean fish i uploaded the prescr"/>
        <s v="the ordering process was easy however within one day i received an email saying my item had shipped but after  days with no tracking number i called and was told the item was out of stock shortly after that call i received an email saying the item was out"/>
        <s v="petflow and its fine customer service representatives are always dependable always on time forever and always pronpolished"/>
        <s v="excellent customer service well stocked inventory"/>
        <s v="fast shipping  best price when compared with other delivery companies of same product"/>
        <s v="petflow offers competitive prices compared with other online pet supply companies"/>
        <s v="i tried to order litter boxes for my shelter and my order was canceled without my knowledge and after the order was already supposed to have shipped i contacted the company and they canceled my order because they said it was fraudulent are used paypal whi"/>
        <s v="went from bad to worse&#10;ordered rocks and cat treats my package was lost no one reached out i contacted fed ex several days later and its gone i called petflow to get me my order over night from another location they said a manager would get in touch nothn"/>
        <s v="this is my third time ordering from this company the first two times were very positive however after putting in an order on a saturday morning they are telling me that it might leave their warehouse at some point in the day on a thursday so basically alm"/>
        <s v="everything was great&#10;i unfortunately had to let go of my baby  black lab of almost  years&#10;if when i am ready i would use your services with no questions"/>
        <s v="you offer free shipping for orders over  so i try to meet that requirement but then you offer coupons which are really nice but when i apply a coupon it brings my total below the free shipping mark my choices are to accept the shipping charges or buy more"/>
        <s v="this is my first time ordering from petflow and i am very satisfied my order came quickly and the prices are less than other places i ordered from the type of dog food i buy for my dogs is hard to find and im glad petflow has it it saves me time looking f"/>
        <s v="good service arrived when you said it would i was a little confused by the check out on your website but im old"/>
        <s v="my auto ship sat in processing status for  weeks so i paused it so i could order something else i called and the person acted like they didnt want to help once i placed my new order i received my auto ship order at the same time this was over  at one time"/>
        <s v="im unhappy with your service my vet was out of the prescription diet for my cat so i ordered from your website on friday  you charged my credit card on monday  since you charged my card i thought you had the okay from the vet to get the prescription food "/>
        <s v="two times i tried to order a particular flavor of food for my cat and both times your site said it was in stock about  days later after not hearing anything i contacted petflow only to find out that the product was out of stock&#10;&#10;you do not let customers k"/>
        <s v="this is the first time i used pet flow and i was very happy with the results they got the approval from my vet and shipped the products in a timely manner i will be using them again"/>
        <s v="great customer support and very fair pricing speedy delivery will use again and do rexommend"/>
        <s v="good communication about delivery status"/>
        <s v="i am not paul weiler not only are you asking me to rate my experience you have joined my account with his&#10;&#10;i am dawn martin and have canceled my account im a over  years a customer i hope you take my info off pauls account and vdh versa&#10;&#10;thank you"/>
        <s v="the website said they had the product  days later i received an email stating they were canceling my order they did not have the food i had originally ordered"/>
        <s v="good service ordered dog food and it arrived within couple days"/>
        <s v="my product never made it to my doorstep and i still havent received my money back extremely disappointed with the service of this company"/>
        <s v="prices are a little high but the shipping is outstanding i am able to get my dog what she needs"/>
        <s v="i was happy first time ordered food from this company i usually ordered from chewy and then they sent me the wrong food for my dogs i called they were able to change it and asked me to send back the one i had the wrong one the new order yes it was  but it"/>
        <s v="called twice to check on my order people on phone were pleasant but not very helpful my order was canceled without any communication from pet flow i was told that an email was sent but i did not receive one on the day of cancellation or ever very disappoi"/>
        <s v="the cat food arrived on time once i ordered the wrong flavor great customer service for an exchange of flavors"/>
        <s v="package arrived in timely manner"/>
        <s v="great customer service&#10;&#10;it was so easy to set up an account and get reoccurring deliveries and the prices are right"/>
        <s v="my order arrived promptly and packed well thanks"/>
        <s v="i do like petflow for my dogs food and supplies i found the auto ship to be somewhat confusing while i was determining how much dog food to order as my pup was growing im unsure how much the discount is for auto ship and when does it start i do not see di"/>
        <s v="petflow was so helpful in telling me when i should expect my package and sure enough it came on time i couldnt ask for more"/>
        <s v="good products and prices very disappointed that it took  days for delivery im used to chewy with  day delivery"/>
        <s v="great service also was able to find the prescription food i needed for my cat only here after finding it out of stock at my vet and at other web sites both my precious cat and i are very happy now"/>
        <s v="no one called me to tell me my order was going to be late my husband called and gave his credit card several months ago and i have placed orders with this credit card numerous times but for some reason yall decided not to send this order because our last "/>
        <s v="fast reliable shipping"/>
        <s v="easy to order quick free shipping got veterinary food i needed in the large size pet smart wont sell you the large size which is a much better deal been ordering all of chloes treats from you for several years keep up the good work please get her some mor"/>
        <s v="shipping was fast delivery was not not delivered by estimated day but  days after wish it was more accurate"/>
        <s v="all was good not one complaint "/>
        <s v="shipping was on the slow side but worse boxes were destroyed thankfully dog food bags were not ripped open"/>
        <s v="i am always happy with my orders from petflow i get my food within a couple days"/>
        <s v="placed an order received the order late but was sent a discount coupon to make up for it thats nice"/>
        <s v="the site and purchase was fine but then my order was canceled due to the food being out of stock its a prescriptions food so i was pleased to find somewhere that had it everywhere else has said its on backorder then disappointed when it was unavailable"/>
        <s v="super fast shipping lowest price online"/>
        <s v="i was given a  discount off  purchase my order was split and shipped in  shipments  day apart they removed the discount customer service did give me the discount after i requested it satisfied will probably order from them again provided good price on ite"/>
        <s v="ordered dog food and i was informed that it shipped on the twenty second of august its now the third of september and no dog food they said it would take seven to ten days its now been twelve days"/>
        <s v="the service at pet flow is very reliable and the prices are very competetive"/>
        <s v="all good so far but what can i say about dog food on time and price was probably fair so we will see"/>
        <s v="i would give  stars but i had several issues with the website im sure its working through the kinks technology is great until it doesnt work i will say the online chat was on point with helping i think i was actually texting with a real human and my techn"/>
        <s v="i placed an order with the company for high quality dog food when it arrived it had been expired for nearly  months this was my first order and though they refunded me when i complained i still lost faith in them as a company i expect better than expired "/>
        <s v="my dog needed a prescription diet dog food this company is a joke have us the complete run around for  weeks meanwhile my dog suffered i do not recommend this website or this company to anyone"/>
        <s v="exactly what i ordered and quick delivery time"/>
        <s v="i used to enjoy ordering from pet flow for our cats prescription diet however recently the reliability has been terrible and to make it worse the communication about it has been lacking they were very quick to charge my credit card while they place the or"/>
        <s v="im satisfied with the food but you need to use stronger boxes i order  lb bags every month and they are always opening and falling apart"/>
        <s v="this is the nd time you sent me the wrong cheaper item i called before the last order and you promised i would get the correct item as described and pictured"/>
        <s v="good customer service quick reply from pet flow i highly recommend this website for your pets needs"/>
        <s v="petflow has a great variety of foods my dog food is sometimes hard to find and they carry it their prices are competitive also"/>
        <s v="purchased  cases of dog food and many cans were dented from the delivery otherwise good value and quick delivery"/>
        <s v="horrid experience ordered some cat food on a monday and it wasnt until thursday that i was told that the food was out of stock and they didnt know when they would get more i know that cat food is in short supply but the website could have at least said ou"/>
        <s v="i love my dogs new collars they are nice and strong and very reflective i measured their old collars and ordered what i thought would be a perfect size for them unfortunately the collars are too big by alot im hoping there is something that can be done to"/>
        <s v="fast delivery good quality products"/>
        <s v="you are excellent accommodating and understanding i will buy from you again"/>
        <s v="denemarin available&#10;i was pleasantly surprised to find and purchase the above mentioned without a prescription unable to find chewable tabs for my queensland healer locally thank you thank you&#10;please let me know when you get more in stock"/>
        <s v="pet flow usually arrives in a timely manner however quality control and training are needed for packing our products especially canned and treats arrive dented and in crumbs that couple delivery too&#10;longtime customers should not be forced into auto ship  "/>
        <s v="my vet could not get the prescription wet food for my cat i tried for weeks and petflow finally had the food in stock petflow faxed the prescription to my vet and in a couple days i received the case of the wet food via fedex free shipping and i had a  of"/>
        <s v="i place an ordered on august  and messaged the company on august  since i hadnt received a invoice saying that they shipped i then got a message back saying that it was marked fraudulent and they wouldnt be sending it but they never intended to say anothe"/>
        <s v="this is the first time that i ordered from petflow and so far so good no complaints"/>
        <s v="it was all pretty seamless i am a first time customer and will be back"/>
        <s v="easy to order on line prompt delivery no fee for delivery since it was a large bag i ordered  stars"/>
        <s v="looking all over for prescription wet cat food saw a comparison between pet world petco and petflow it showed petflow had what i was looking for in stock so very excited that you were showing science diet in stock ordered  cases gave my vet a heads up you"/>
        <s v="super fast shipping i placed my order and received it  days later great service"/>
        <s v="i was sceptacle but chose to move forward and sure glad i did very prompt delivery have since ordered mega amounts of my cats favorite food again"/>
        <s v="order was quickly shipped but order was not complete due to inaccurate inventory on website and several items were very dirty when they arrived if it hadnt been for tags i would have thought the items were used somewhat disappointing"/>
        <s v="fraud department is out of control ive never known a company so bent on refusing to allow customers to purchase from them good luck with that business model lol"/>
        <s v="i recently purchased a bag of dog food emails kept me updated about when it would be delivered  it did arrive as scheduled it was a good experience  im very satisfied with the service provided"/>
        <s v="quick service  delivery no problems at all"/>
        <s v="shipping took entirely too long wasnt notified about a shipping delay until after package was due"/>
        <s v="friendly folks poor stock on hands&#10;&#10;this is the second time i attempted to order dog food from you a days after ordering both times i received an email stating that was out of stock this was for hills dd potato and venison it would have been nice to know "/>
        <s v="it took way too long to ship the food i called and canceled order while it was still in the warehouse and not processed  they sent it anyway"/>
        <s v="i ordered product&#10;never received it&#10;later told thru text communication that product was out of stock&#10;if so why was it on your website&#10;nobody advised me"/>
        <s v="fraud depoatment has flagged my account they have been no help to get this corrected i would like to purchase form this compnay but they have been no help in correcting their error about mt information being fraud who can i talk to to get this corrected"/>
        <s v="i had to reach out to find out what was happening with my order after never hearing anything"/>
        <s v="you were unable to fill my order and never let me know until i sent an email asking where it was"/>
        <s v="after making a purchase that exceeded the threshold for free shipping i was not able to add on another item after making a purchase the salesperson could not waive the shipping fee on another item i forgot to add on to my original purchase instead she wan"/>
        <s v="i ordered  bags of hills feline dry metabolic  cd which has been hard to find at alot of stores you listed it as in stock i am the veternarian for my pets and you didnt allow me to upload an image of my prescription you sent my clinic an email to get orde"/>
        <s v="i ordered my cat a specialty cat food which at the time was listed as in stock then the next day i received an email saying it was out of stock&#10;to be fair most if not all places were out of stock but thats why i was excited to finally find a store that ha"/>
        <s v="i called to cancel an order within  hrs of placing it was told it was too late but that i once it arrived i can call and request a prepaid label to return so i called when it arrived and was told that rx dog food cannot be returned and that it states that"/>
        <s v="ive been using petflow for my furry babies for a few years now and am very happy with the ease of the website navigation and managing my autoshipments they also have great customer service"/>
        <s v="i get all of the treats that my dog loves on one site for the best price"/>
        <s v="couldnt be much easier and a great price no one even close"/>
        <s v="good company and they had my babys dog food in stock"/>
        <s v="pet flow has excellent prices on the food i was looking to purchase for my cats their prompt delivery was also superb have shopped here twice and will be doing it again regularly"/>
        <s v="we have discovered some awesome dog treats available at very reasonable prices through this company ten points&#10;when we have questions or order something that is temporarily unavailable we experience stellar communication and feel that we have received exc"/>
        <s v="easy fast delivery  thank you"/>
        <s v="the website was easy to use i like the prices of the cat food and i also like the discounts you offer"/>
        <s v="im pleased with the order process and the shipping was as promised i will be ordering from petflow again"/>
        <s v="great price fast shipping"/>
        <s v="we go where fromm dog food is we move a lot and so far have never had an issue receiving our pet food and supplies from pet flow&#10;the ordering process is easy and the site has everything we need for our pets the only reason  stars is that there is no rewar"/>
        <s v="good prices great selection and excellent service i highly recommend petflow"/>
        <s v="prescription food showed in stock on the website ordered and they got a prescription from my vet the next day only then was i notified that they did not have it and did not know when it would be available as they use a thirdparty vendor that does not upda"/>
        <s v="i ordered my cats prescription food and petflow obtained his prescription frim the vet after not hearing anything for a few days i called petflow to make sure the food was in stock the representative said she would call the supplier and email me to let me"/>
        <s v="my experience with petflow has been great items are delivered when i expect them in great condition auto delivery works just as it should"/>
        <s v="easy to use site  like that you give the option to set up an auto shipment for the date i needed it to shipped instead of order now choose auto ship allowed me to set up when i need the shipment instead of waiting or ending up over stocked "/>
        <s v="my experience was good found the items quickly and without any problems"/>
        <s v="i was amazed that they had the same product i had been getting from amazon for more than  less per item so i figured well there must be a limit to how many i can buy nope so i bought more than  of them i feel like since i have suddenly lost over half of m"/>
        <s v="fast and good service thank you"/>
        <s v="convenient and prices are very good wish the shipping was a bit more urgent but will shop with them again"/>
        <s v="easy to shop great prices i got my pet waste bags quickly and wellpackaged will definitely shop with petflow again"/>
        <s v="i switched to petflow from chewy and so far so good chewy doesnt carry fromm which my dogs like the best decided to give them a try and im very satisfied the food arrived about  or  days after i placed my order the expiration date is more than a year from"/>
        <s v="loved the website  they had what i was looking for  ordering was easy i got my dog food  hours later  i will definitely use pet flow for my ongoing pet needs "/>
        <s v="the prescription cat food wd is out of stock but i was&#10;let to order it as if you had it no one seems to be able to get this its an important prescription for my cat who has a fractured pelvis&#10;arnt the making this anymore is there a substitute that might b"/>
        <s v="this company was able to get the dog food we needed and were having trouble getting elsewhere"/>
        <s v="i have a dog that needs prescription food i searched the internet and your website said you had it in stock i ordered it anticipating the amount of time i had until my dogs food ran out well you took over a week to tell me that you couldnt fulfill the ord"/>
        <s v="easy to order slight delay with the product not available in the closest warehouse but arrived well packaged"/>
        <s v="what i loved was that they told me that their fast delivery was delayed because they had to ship from another supplier without me asking where my package was they took initiative and emailed me about the details of my package"/>
        <s v="no product&#10;xxxxxxxxxcccccccczzzzzzzz"/>
        <s v="i ordered prescription cat food from pet flow however a few days later they stated they were out of stock and would ship it as soon as they received it i had to cancel my order and they were very communicative throughout the process i would definitely sho"/>
        <s v="petflow came through for me again when a kitty food subscription was out of stock ill be sticking with petflow thank you"/>
        <s v="i made an order and canceled  days later customer service told me it was taken care of the charge disappeared and i thought all was well then several more days passed and i received a shipping notice i was told it was now too late to stop my already cance"/>
        <s v="one thing i really love petflow is they always have their products available i dont get a constant on back order  like many other mail order purchases i also appreciate the occasional discounts offered to regular customers"/>
        <s v="was able to order special food for my dog that was not available elsewhere delivered quickly and i was kept uo to date on the delivery"/>
        <s v="placed an order and rx was on file waited a few days and didnt hear anything contacted the company and was told sorryits just sitting in fulfillment for some reason then the customer service person said theyd try to expedite that was almost a week ago and"/>
        <s v="our pet food was delivered promptly"/>
        <s v="timely response and followup timely processing once order details prescription food were in place the one area that needs to be addressed is the contradicting information the site provides during the prescription food order process the site noted that foo"/>
        <s v="after placing an order and receiving the shipment i realized i had ordered the wrong food i had set up auto ship for the food so immediately tried to change the type of food on my auto ship when i couldnt change it myself i emailed and the responder took "/>
        <s v="the box that the bag of food arrived in was open that was probably due to the heavy food bag inside without any protective packing"/>
        <s v="i placed an order and without notice it was canceled and the product never arrived"/>
        <s v=" your site told me that i was required to mail the original prescription for my cats hills md food luckily i had asked my vet for a prescription in june so i had an original to mail i dont like to mail this because i have to get a new one anytime i find a"/>
        <s v="dependable well stocked with helpful phone assistance"/>
        <s v="i bought a  pack of duck and a  pack of salmon usually my dog loves salmon but she did not like the salmon from pet flow it was disintegrated little chunks floating in tons of liquid she left her dish unfinished&#10;on the other hand she gobbled down the duck"/>
        <s v="was looking to get my cats food supply from a smaller company than the giant online pet stores and after researching i found petflow&#10;good prices and fast delivery&#10;very satisfied with petflows customer service as well&#10;totally recommended"/>
        <s v="the instock status of food was inaccurate"/>
        <s v="i have used petflow for a long time they carry some hard to find products which i really enjoy they are usually easy to get ahold of too if you call them&#10;&#10;the only areas i see that could afford growth are these&#10;an auto ship program that can be paused or d"/>
        <s v="first time shopper friendly knowledgeable efficient great service fast delivery i will be back"/>
        <s v="finally found a source for the hills prescription diet gluco support md dry cat food i tried my vets local pet stores and amazon my vet suggested that i try you folks success the food was in stock and shipped in a reasonable length of time happy customer "/>
        <s v="this company has labeled me as fraud after a purchase because my billing address didnt match after i called twice to their customer service department and their rep mallory said i could never buy nothing from pet flow ever again im not going to state what"/>
        <s v="working with petflow was wonderful working with fed ex their shipper was not petflow responded to every call or text that i sent them within a few minutes fed ex was another story things got lost and were late they really need to find a better carrier"/>
        <s v="online order was simple delivery was on time my only comment is that you not use plastic bubble for cushioning and instead biodegradable packing"/>
        <s v="i ordered a prescription diet for my dogi thought i was ordering hills metabolic lamb and rice diet as my dog is allergic to chicken the lamb and rice has been difficult to find and online it said petco and petflow had it available i received an email fro"/>
        <s v="this process was flawless"/>
        <s v="easy to order quick delivery"/>
        <s v="always such quick service and exactly what my ginger girl wanted thanks"/>
        <s v="the website is organized and works well ordering went smoothly and my items arrived promptly and the quality is great"/>
        <s v="i ordered  bags of hills science diet dog food for my  rotts and got a good deal i will be buying more in the future"/>
        <s v="ive been a fan of petflow for several years their service is prompt and professional an added plus is your purchase goes to help an animal in a shelter"/>
        <s v="everything was great order came in a timely manner great price no problems would recommend this company"/>
        <s v="i had issues with my order it was fixed and replaced i thank you for the help and fixing it asap"/>
        <s v="we ordered product and after two days you said it was out of stock after all"/>
        <s v="very disappointed our order was canceled by you because you didnt get your order of the goods i know you cant help it if your supplier doesnt come thru for you but our order was placed middle of july  were just told aug  you cant supply"/>
        <s v="i was so thankful that petflow had my dogs prescription food because they were the only place that did even our local vet couldnt get it as soon as my order was complete they contacted my vet to get the process going in less than  business days i ordered "/>
        <s v="exact product i was looking for and at a great price and wonderful shipping service"/>
        <s v="great product dog loves it"/>
        <s v="this was my first time ordering from somewhere other than chewycom im very pleased with their service and theyre cheaper than chewy for the litter i needed you have a new customer well done ps lets go brandon"/>
        <s v="your shipping time was x as long as quoted we ran out of dog food in the meantime i refer a lot of business your way not sure i can anymore"/>
        <s v="food order took a long time to arrive wasnt aware to order before noon on fridays to ensure order received before weekend so it was a long time before order was even received"/>
        <s v="when i ordered said in stockthen i get email not in stocktakes long time to get and multiple deliveryand you have to add up each delivery to make sure its rightprob wont order again i did twice and happened both times"/>
        <s v="items were just as i ordered and shipping was faster then i expected all good things glad we discovered petflow it was our son who has two pups that made the recommendation thankful for that"/>
        <s v="they accepted an order charged my credit card  and all the while the food which was a prescription food wasnt even in stock the item wasnt listed out of stock or on back order at the time i purchased it it was only nearly a week later after i contacted th"/>
        <s v="i purchased  bags of dog food one came right away the other took a while to be delivered"/>
        <s v="wouldnt allow me to place an order had to order through a family member its a new house but its on maps so idk what the problem is"/>
        <s v="your service by email promised to contact my vet about the order for the prescription you failed to do that and had to cancel the order"/>
        <s v="products were good but delivery took a long time and tracking didnt give updates after day "/>
        <s v="awesome experience pet feeder was bent and email was sent explaining how feeder arrived and new feeder was sent out immediately great customer service well shop here again awesome awesome awesome second feeder arrived in excellent condition and my animals"/>
        <s v="great prices and fast shipping awesome autoship discount as well"/>
        <s v="great customer service i provided some feedback regarding couponpromo codes and received a very nice response quickly i was just offering some feedback in didnt wantexpect anything in return however the rep went above and beyond and provided me with a dis"/>
        <s v="petflow has great pricing and service i signed up for the autoship program for out dogs hills science diet they were priced the most competitively my order shipped as promised and even delivered a day earlier than expected"/>
        <s v="i wasnt happy when they told me they would not charge my card unless the item was available and ready to ship out but unfortunately that wasnt the case when they decided to charge my card even if it was a preauthorization or pending i dont like to see my "/>
        <s v="petflow has the best prices on nice dog pens and wonderful customer service"/>
        <s v="at the time i ordered the product your website said that it was in stock but after about a week later it was no longer in stock and i could not get it at all i was really hoping that i could get this since after much research your website showed that it w"/>
        <s v="ive shopped with petflow for years excellent selection very good customer service too the shipping can be a little slow but thats fedex not them i get aggravated with the auto ship and you have to call in to cancel but otherwise dry happy with them"/>
        <s v="i cant actually manage autoship i always get an error that would prompt me to contact costumer service"/>
        <s v="disappointed in your service was told that you had an item in stock to be mailed when i inquired about status of order i was told an error was made and food was not being mailed out of stock "/>
        <s v="i made my first order for blue buffalo wet food for  cases because the price was great the food cost had suddenly skyrocketed on amazon and chewy shipping was fast and exactly right food had extended expiration dates so i immediately repeated my order and"/>
        <s v="my canned dog came dented one can was so dented that it opened and was so spoiled from being out on delivery that my whole kitchen smelled and i had to throw away about  or  of the cans it was so incredibly disgusting"/>
        <s v="they did not fulfill any of my orders few reliable"/>
        <s v="quick shipping great selection of dog foods"/>
        <s v="best price on dog food and super fast shippinglove pet flow"/>
        <s v="always easy to work with  the best customer service "/>
        <s v="easy ordering they kept me updated about my order order was shipped and delivered quickly great service"/>
        <s v="greatprompt service great product linda ryburn"/>
        <s v="i have ordered twice now and the cat food was delivered quickly and best of all with no damage to any cans im very pleased"/>
        <s v="i love petflow there is great healthy pet food on this site&#10;my pets look forward to their healthy food and snacks"/>
        <s v="my order was shipped on august  it is now august  and it has not shown up i would love to cancel because i had to drive  miles to the nearest pet food supplier to buy food no clue where the shipment is"/>
        <s v="very good product and fast shipping my dogs are happy"/>
        <s v="i dont think i will take a risk ordering from this place ever again i placed an order on saturday for a prescription food for my cat i provided the required information to verify my cats prescription i checked the status on the following tuesday and the o"/>
        <s v="unfortunately i ordered  bowls for our rescue it showed them as in stock and id searched everywhere i paid for it and received confirmation of the order then after a few days i received a email that there were no bowls available they were out of stock and"/>
        <s v="best dog food subscription service i use two different brands for my dogs one is a prescription food petflow has the best prices and always provides excellent customer service when i call my orders always arrive right on time i highly recommend petflow fo"/>
        <s v="horrible experience do not buy from petflow they advertise that they have product in stock and allow you to order it fill out entire order credit card info and everything online and tell you we will let you know when it ships then a week later says oh im "/>
        <s v="my order showed food was in stock email stated pending continued to say pending for a few days called and was told it would be sent asap a couple days after that was told it was out of stick and credited ordered through you because your site said it was a"/>
        <s v="fast reliable shipping high quality products for great competitive prices thank you pet flow"/>
        <s v="it was a very pleasant shopping experience i bought mixed vegetable food for my dogs they liked it very much but there were too few kinds of petflow products which were the fly in the ointment but it doesnt matter i think they will improve and i will supp"/>
        <s v="fast shipping thanks"/>
        <s v="on the website it is too easy to set up multiple auto ships would be nice if there was a confirmation box you already have this item part of an auto ship are you sure you want to add another would be nice if people could delete an autoship order without h"/>
        <s v="placed order got email that one item was out of stock and was cancelled when order came another item was not shipped but i never received another cancel notice for that one"/>
        <s v="i ordered food and was told i needed my vet to prescribe it after some back and forth with the vet that happened then petflow informed me that they didnt have the food in stock and instead of backordering it cancelled my order a lot of wasted time for no "/>
        <s v="fabulous great fantastic worth it affordable"/>
        <s v="i originally spoke with a very helpful employee who helped me place my order i received an email verifying the order i then received another email stating the order was vet approved and would ship aug  i looked up my order to check status and saw it was c"/>
        <s v="i requested my auto ship arrive early and it was shipped on  at that time i requested the next auto ship arrive in i believe it was  or  weeks however it appears that another  bag of food was shipped today i certainly do not need  of dry food hoping petfl"/>
        <s v="prices were good and all items arrived in a timely manner website is easy to use"/>
        <s v="you dont deliver parcels&#10;very disappointed"/>
        <s v="i ordered cat food on july th  days ago it still has not arrived i live in oregon early in this misadventure i received a message that it was being shipped from a more distant place nj because the closer warehouse was out of the brand i chose then i got u"/>
        <s v="you guys suck i couldnt even place an order because of ur fraud dept"/>
        <s v="i had hoped that petflow would be a reliable source to order my cats food especially the prescription food that is critically important unfortunately petflow has failed me multiple times canceling my order five days after i placed it&#10;&#10;sometimes the chat w"/>
        <s v="the shipper had damaged the box of dog food and returned it to petflow i received a nice email saying they were shipping a replacement out right away"/>
        <s v="i use petflow because theyre priced right prompt and have what the cats on prescription need"/>
        <s v="good price fast shipping thanks"/>
        <s v="ive recently moved and i was struggling to find my cats food and i found it on this website but sadly i was put on their fraud list right away i called customer service and they told me theres no way for me to talk to the fraud department to get my name o"/>
        <s v="very helpful service over the phone received just what i ordered fast"/>
        <s v="never heard from you guys said my order was reported as fraudulent &#10;seriously you never even got back to me i think your company is super sketch would never ever order from you again&#10;byeeeeeeee"/>
        <s v="great prices and fast shipping"/>
        <s v="order online was easy&#10;check out offered pay pal and was easy to check out&#10;shipping is quick&#10;pricing was great&#10;customer service is fantastic"/>
        <s v="terrible customer service and company to work with site days  business days delivered from purchase date didnt even ship the product until a week after the order and kept making excuses as to why it wasnt being shipped product was dog food for my puppy th"/>
        <s v="this is a place where they have fair prices fast delivery would buy from again a"/>
        <s v="i asked to be shipped on a monday&#10;my order wasnt shipped until tuesday&#10;the expiration date on the dog treats i this november&#10;when i purchase them from chewy or amazon the expiration date is always at least one year out"/>
        <s v="i am happy with petflow there are some inconsistencies with their warehouse packaging i placed an extra order and they shipped out boxes weighing  lb i dont know how fedex moved them i certainly couldnt i believe they need a little more training and need "/>
        <s v="i called customer service to discuss the possibility of your obtaining more fromm cat food in small bag sizes great conversation"/>
        <s v="all past orders have been good and if there were any issues in the past the staff handled it appropriately and quick however this past problem was a slap in the face and took much needed funds away from my rescues petflow did not take responsibility for a"/>
        <s v="where is the rest of my order&#10;&#10;your website shows the hills prescription metabolic and mobility  bag as being in stock yet it has not been shipped to me i do not know whether i have been charged for it&#10;&#10;please respond to me&#10;carol ann no e  olsen"/>
        <s v="first time order on a pet food i couldnt find anywhere else placed order and received order in  business days which included the time the pharmacy contacted my vet was a mailed and updated as to when my order would be delivered will order again"/>
        <s v="very bothersome you dont instantly charge my card sometimes its a day or two later i turn my credit card on and off as ive had so much fraud it takes me many attempts each month to get my order other companies i do regular&#10;busy with do the transaction imm"/>
        <s v="petflow is amazing best brands fast delivery and fair prices"/>
        <s v="i have been happy with petflow ive been able to get the cases of food that my cats like that i was unable to find elsewhere the website is easy to use and the price is as expected"/>
        <s v="ordering was easy enough shipping was the problem petflow uses fedex an unreliable company the order was split without petflow or me being aware the second portion arrived  days later this is unacceptable no packing slip was available on either shipment s"/>
        <s v="i placed a large order for kitten food credit card processed when i looked to find out shipping date a few days later it had been cancelled no notice to me no email nothing i called and they said when a large order is placed they suspect fraud total bs fi"/>
        <s v="theres no status available to see whether or not my vet has been contacted canceling the autoship is deceiving i can only pause it up to  weeks everything about this website is difficult"/>
        <s v="prices were fair and shipment came in a reasonable time"/>
        <s v="good products at good prices and fast delivery ill be using pet flow again"/>
        <s v="the ease of ordering was great  the shipping was fast"/>
        <s v="petflow carries food that others dont that i want the prices are fair and shipping is good i buy formm and nurti source the treats and toys are great"/>
        <s v="ordered  cases canned dog food eleven cans of food severely damaged  cans actually were broke open&#10;excellent place to shop but not so good packing"/>
        <s v="this is in reference to my order  i ordered  packages of these dog treats that your system said were in stock and confirmed the order via email then i receive a subsequent email advising they were out of stock not a good experience and no way to know how "/>
        <s v="customer service wouldnt help located an order i placed approximately  days ago she referred me to the website disclosures we i told her how to do her job she became upset customer service rep said we all have pets as though it wasnt a big deal my dogs or"/>
        <s v="it was so easy to find what i need for my kitties it was easy to order and it was at a great price and the delivery was very fast petflow is the best"/>
        <s v="ecxellent always helpful"/>
        <s v="my pups really like the dr marty freez dried food&#10;and i like being able to get better pricing from petflow"/>
        <s v="i ordered  boxes of arm and hammer litter i received  yesterday the packing box was not strong enough plus tape was not holding the box had holes plus one of the two boxes had broken open and litter all over the boxes inside i should have  boxes to com so"/>
        <s v="easy to navigate around the site delivery was quick and my items were packaged nicely"/>
        <s v="the food i needed was in stock when i purchased it when i didnt get an email that it had shipped i looked at my account online the account said it was delivered to my address it was not at my house so i called pet flow and was told that my order had been "/>
        <s v="i recently ordered hills science diet feline wd your website indicated that it was in stock however after several days of waiting for shipping info to come through i called to check on the order i was told that it was out of stock then a few days later yo"/>
        <s v="great products fair prices fast service"/>
        <s v="easy toorder and fast to deliver"/>
        <s v="shipping was quick however a food product needed to be exchanged due to manufacturer changed formula and didnt want old formula sold customer service was unbelievably rude and lacking concern completely i wont spend another dollar with them again and i ha"/>
        <s v="started our automatic delivery program it worked flawlessly i was able to correct a mistake in my order without any problem"/>
        <s v="the initial order went great when it came time to reorder our cats diabetic food it was out of stock we waited hoping it would return by the time we needed it but we were sent scrambling to find another source"/>
        <s v="reliable repeat order program at reasonable prices"/>
        <s v="petfow is consistently good overall timely shipping and mostly reasonable in costs any issues ive had were always addressed to satisfaction"/>
        <s v="great prices always in stock and fast delivery excellent customer service"/>
        <s v="i have shopped petflow for years but lately they are having difficulties filling and shipping orders i order when i am about  weeks out from having either dog or cat food they cant ship in a timely manneri have cancelled my last  orders due to shipping i "/>
        <s v="unfortunately the delivery was promised for a specific acceptable date then changed by petflows carrier to the next day and to make your service unusable delayed yet another day&#10;learn to honor your commitments if you want my ongoing business expectations "/>
        <s v="while there were a couple of mishaps in my order petflow went out of its way to make sure everything was made right in fact they went above and beyond ive been recommending them to my friends and family with confidence have ordered and will definitely ord"/>
        <s v="great company very fast shipping prices are competitive"/>
        <s v="petflow has the best price on the dog food i purchase for my dog ordering is simple and delivery is fast"/>
        <s v="excellent product selection and pricing we are so happy that there is a wide variety of pet products customer service is above par"/>
        <s v="the package arrived on time and everything inside was good"/>
        <s v="ordered hills wd wet cat food website said in stock i get a confirmation email and am asked to be patient as they contact my veterinarian for approval about a week later i get an email saying the food is now out of stock veterinarian was prompt in their r"/>
        <s v="nobody including my vet could get this particular rx product it was out of stock everywhere so i was thrilled to see pfs website say it was in stock i did the order arranged the rx and my vet responded to fax the next day i assumed it was all set and plan"/>
        <s v="products arrive on time and are very well packaged"/>
        <s v="my cat only wants a certain brand of talapia for breakfast each morning and since the supply chain issues we havent been able to find it from our usual source its a popular grain free brand and they havent been able to keep this brand in stock in any of t"/>
        <s v="i wish i could give a five star because i love the availability for delivery it did take a little long to receive the order but i didnt like the packaging when i opened the box i cut the bag of dog food even thought i opened it carefully just in case ther"/>
        <s v="cats like food that was ordered yet again the box was partially open when delivered some cans dented what goes"/>
        <s v="easy to use website products desired always in stock so far"/>
        <s v="when i ordered wd canned cat food i know it has to be approved by my vet and that it takes a little longer because it is prescription it was in stock when i ordered it and i thought with my request once it was approved i would get a case believing a case "/>
        <s v="was out of the dogfood that i wanted but i guess that was not their fault they cancelled the order automatically instead of giving me the option for back order or to cancel it myself"/>
        <s v="petflow is fast and accurate at shipping out my order but the packing leaves something to be desired i order two cases of canned dog food with each order and the box usually shows up damaged andor repaired but the cans are ok this time three of the  cans "/>
        <s v="everything was great&#10;&#10;everything was great until the shipping i dont know what happened but it took too long this time and i had to go locally and buy the same things that almost cost me double i cant have my cat who has kidney issues eat anything else bu"/>
        <s v="petflow always processes orders quickly and accurately shipment is excellent"/>
        <s v="extremely poor packaging with using cheap boxes and very little tape that results in receiving damaged products even walmart and amazon use better boxes and more tape for sealing"/>
        <s v="i ordered something out of stock so it was the case they said they would let me know when it came back in the customer service was very fine"/>
        <s v="the profit racks is something like speed bumps to hold me back from completing my purchase i dont like it"/>
        <s v="always have available merchandise the staff is very helpful and friendly"/>
        <s v="petflow has always been great and prompt customer service always friendly the only thing i wish for one day is for fromm products dog to go on sale once in a while  "/>
        <s v="you helped us by getting the dr marty had huge problems we received from you you spent hours trying to get this for our pup it came so fast our dog really to get this we found you by google we now will be getting this from you nice job cindy"/>
        <s v="i recently had a very helpful and pleasant experience with petflow they had left out one item by mistake in my order and also replaced a bag of dog food that came with a small hole in it no questions asked they just said they would replace it no hassle of"/>
        <s v="always easy  convenient to order our dogs food online"/>
        <s v="competitive prices and fast delivery i would order from them again "/>
        <s v="i appreciated the email stating the dog food i ordered would be a few days late im glad they sell fromms its the only dog food my dogs have been used to"/>
        <s v="great to deal with easy ordering and fast delivery thanks petflow"/>
        <s v="really one star is too high of a rating i tried to order hills science prescription diet wd wet food for my cat and saw where petflow had it available petflow verified with my vet that my cat was supposed to have the food and then i got a notice that petf"/>
        <s v="i ordered a prescription canned food for my cat you emailed me asking me to contact my vet because you didnt have approval for the food my vet approved then you canceled my order because you didnt even have the product available what a joke of a process t"/>
        <s v="your website specifically said you had my prescription cat food in stock so i ordered it  twice only after you took all my personal info and told me you were getting ready to ship my order did you inform me the food was out of stock i lost a week of findi"/>
        <s v="petflow is wonderful and always comes to my rescue when other places cannot they contact the veterinarian promptly to verify my cats prescription and the food is delivered in record time im completely satisfied with petflow"/>
        <s v="i just started using petflow for my dogs first prescription food as i found the prices better than competition they even reached out to our vet to get the prescription and in just a few days i had the food on my porch easy peasy"/>
        <s v="shipment arrived right on time thank you"/>
        <s v="very slow delivery&#10;no delivery status report&#10;much slower than chewy"/>
        <s v="first order went overall well need more discounts"/>
        <s v="awesome customer service carolina is professional and always provides fantastic customer service resolved my problem with a smile thanks"/>
        <s v="cats dont like and they dont take returns what do i do with such expensive food took over a week to get when chewy does  day shipping at most"/>
        <s v="placed an order and it was at my door in a couple of days"/>
        <s v="im disappointed with autoship items cant be added if theyre in stock when in stock and added they arent shipped if out of stock that is theyre not reserved when the order is placed why use autoship ive started ordering and buying directly and pay a penalt"/>
        <s v="placed my order on july th  im still waiting for my shipment ive had to buy food locally due to get him by i texted  emailed my concerns  was told its been approved  would be shipping in a few days as of today july th still no shipping notification or why"/>
        <s v="had an issue with a previous order petflow issued a credit for that order so i ordered again and this time everything was great i appreciate a company that makes things right i will be ordering from them again"/>
        <s v="i would say the customer service rep has had the issue i called about many times so she certainly understood the frustration i think petflow as a company leaves a lot to be desired regarding how they handle things the  stars is for the young lady whom i s"/>
        <s v="petflow delivers to my door and not to the post office and the order is accurate and secure i love them"/>
        <s v="i have dealt with pet flow for over a year now  prices very reasonable customer service great very quick delivery  have recommended them to others will continue to use them in the future"/>
        <s v="i still have not received my order or a ship date i ordered two weeks ago and the item was in stock i am out of food and disappointed"/>
        <s v="worst pet online company unreliable delivery service overall horrible pet online company do not use this company for your furry babies i am a very dissatisfied customer"/>
        <s v="customer service was good disappointed that i was able to add an item to my cart check out and process an order only to find out a week later it was not available to order"/>
        <s v="always ship fast worked hard to get my prescription food customer service is very responsive"/>
        <s v="i was very happy to find petflow since they have some products i no longer can get on chewy their ordering was smooth prices fair and i have used them twice now and i will again"/>
        <s v="ordered hard to get dog food  arrived on time as ordered"/>
        <s v="very pleased with your service especially the people that answered the phone i wait only a minute to speak to someone they are very pleasant and professional thank you"/>
        <s v="it to long to get then i only got  order then you tell me i cant get the can foodi differently wont buy from you again"/>
        <s v="still has not yet shipped despite a  day wait on the website ive contacted support via text and despite this my dogs food has not shipped"/>
        <s v="customer service very helpful quick response to text message"/>
        <s v="i would like thank pet flow and especially the young lady i spoke to when i called in about my order i have always been very happy with your service especially now service and customer satisfaction have always been extraordinary"/>
        <s v="they sent me a duplicate order and told me i could return it if i pay the shipping not good business practice lost this customer of a shipping charge that was their fault"/>
        <s v="i ordered a product you listed as in stock&#10;gave info for vet clinic&#10;order was marked shipped in account but no tracking supplied&#10;after a few days i looked on line and account said script denied by clinic&#10;then i received an email saying out of stock and or"/>
        <s v="finding birdfood in  lbs is very hard the order went great and was delivered fast very happy"/>
        <s v="my orders were canceled and i didnt get any email letting me know i had to contact customer service and they told me they were canceled"/>
        <s v="good experience and they had what i wanted and quick delivery ill use you again"/>
        <s v="i think the communication around delivery was good and the prices were good but the separate package i was sent of wet food to fulfill the order had dents along the side which i am reluctant to give to any of the cats we care for so in that regard im unsu"/>
        <s v="only picked your website because of the promised  off first order and it wasnt valid for my products"/>
        <s v="exceptional communication  deliver right on time"/>
        <s v="i ordered specific food was told two to three times just hadnt been packed and shipped vet provided prescription last minute told didnt have in inventory they repeatedly were dishonest caveat emptor"/>
        <s v="my order was canceled by you guys because you didnt have the product"/>
        <s v="appreciative of recent discount offered when purchasing greater than  worth of products i feed approximately  cats so i buy in larger quantities when on sale canned food continues to arrive dented and one can popped open on last delivery but ive already i"/>
        <s v="i am very satisfied with petflow service is great delivery is fast"/>
        <s v="so happy i found this website  they have all my frenchies products  will order again soon"/>
        <s v="i know its a specialty food but i think for the amount of food delivered for the price is still too high"/>
        <s v="order was processed very quickly and website is very easy to navigate"/>
        <s v="excellent service they keep me informed on my orders if there is a problem they inform me in advance good job"/>
        <s v="this was my first order with petflow i ordered a bag of puppy food and fed ex was to deliver i received a notice stating that it was delivered and i checked and it was not there&#10;petflow and fedex were both excellent in finding the dog food&#10;great customer "/>
        <s v="easy to use website ordering  delivery were quick and easy"/>
        <s v="my cat has a very sensitive system and no one had her food except petflow you got it here quickly and it was correct thank you"/>
        <s v="long time returning customer love this company"/>
        <s v="great prices fast shipping"/>
        <s v="fast delivery and better prices than petsmart or petco purchased  lbs of dry blue buffalo"/>
        <s v="first i couldnt remember the name of the dog food replied to one of their ads asking about it immediately they replied that theyd find it sent me the link and bingo ordered it and it came in about  days its the one food dog can eat without scratching his "/>
        <s v="excellent selection of dog food and treats good prices"/>
        <s v="readily replaced an item damaged in shipping very helpful customer service"/>
        <s v="had the quality brands need at best price"/>
        <s v="lately i have a few problems with the items ordered&#10;some chews looked really bad and i ordered some bird items that were damaged&#10;however customer service were very helpful and sent corrected items&#10;these things happen in shipment"/>
        <s v="your site was the only one that had the prescription diet my cat needed also when i went online to look for another option there was no way i could look at the ingredient list i called someone using the number you listed she also was unable to get the lis"/>
        <s v="we have  german shepards who decided to become really picky after ordering this food they eat it right up they love it i have noticed even after just a couple weeks it has also calmed down scoobys scratching some we havent been able to pinpoint why he scr"/>
        <s v="i have been using petflow for over  years their prices are great and shipping is always super fast"/>
        <s v="trustworthy company pet food shipped quickly just as good as competitors i can always rely on them"/>
        <s v="took  days for delivery ran out of dog food in the interim several emails and a phone contact to customer service nobody could tell me where my order was i received several messages none of which could tell me a correct delivery date frustrating"/>
        <s v="delivery is fast my cats love hills cat food great job hills"/>
        <s v="good price on dog food order tracking provided and fast shipping"/>
        <s v="quick customer service a variety of dog foods to choose from"/>
        <s v="i called to change an order for a later date and told her to make sure she keeps the newest date well she cancelled both orders when i called back to find out why the girl was very rude because i was upset and said the earlier call she didnt know what she"/>
        <s v="ordered with a coupon perfect delivery"/>
        <s v="only received half of our order and cannot get the auto ship part to work correctly also a very hard to navigate and unclear website not user friendly"/>
        <s v="my food order was lost in transit and after waiting for  days and having to contact the company they made it up to me by simply sending me a new order while shipping issues may not be the vendors fault communication and customer satisfaction should still "/>
        <s v="placed my first order everything arrived in wonderful condition and was priced at great prices"/>
        <s v="so great and will help if there is a problem with order al ways on time"/>
        <s v="a few things went wrong items shipped from two warehouses which is okay but took an extra few days for shipping didnt ship immediately the first shipment they shorted me a bag of food so since the chat feature wasnt working email stated they are behind on"/>
        <s v="good fast delivery and cat food was in good shape when it got here best price i could find on it too i will definitely use petflow again"/>
        <s v="will order again  stars"/>
        <s v="fast delivery available products&#10;i was able to find a certain dog food that was not available on another pet food website&#10;thanks petflow"/>
        <s v="it was great i will always order my food from here"/>
        <s v="have been using perflow for several years with  standard poodles was nice to have a lb bag of food delivered every month before they ran out plus always good prices on treats dog toothpaste bird food etc my dog gets excited to find out whats in the box"/>
        <s v="product is a little light for  pound dog shipping was quick arrived early and in good shape"/>
        <s v="petflow has always been easy to use and a good source of our pets food i just wish the shipping time was a little faster"/>
        <s v="i had found some bones at a grocery store that my dogs loved i hadnt seen them anywhere else so i saved a wrapper and checked online sure enough petflow had them i literally ordered as box full the price was way better than the store and i got them delive"/>
        <s v="very unhappy with lack of service or effort to fill script for hills diet food for kidney issues we provided the vets prescription along with the vets email which the vet said hed approve the script if petflow would just email him for approval after petfl"/>
        <s v="i am so glad that i found petflow i can get my cats their farmina dry food at a great price with fast service"/>
        <s v="petflow website is very easy to navigate able to place my order quickly and receive product in a short time"/>
        <s v="they sent me an email of monthly coupon codes i used one for  off there were no exclusions listed  it worked in my cart until after i submitted my order when they removed my coupon  my credit card was charged for  more than the total shown when i submitte"/>
        <s v="i have three auto ships over the past three months that were all canceled and i was not notified that they were canceled id call up to find out a week later where they were and they said oh we ran out so i order for the third time and i put the order in l"/>
        <s v="every order i place gets cancelled due to not in stock"/>
        <s v="ordered prescription cat food site accepted order and said available they followed up via email to get vet prescription three days later email me food is out of stock and they were cancelling order"/>
        <s v="pet flow is the worst place to get your pets food i decided to go with then since not everyone has that perticular brand since im on auto ship program it should be shipped every  weeks and first time i didnt get it ive been told there was double order i d"/>
        <s v="the folks at petflow are v nice they responded to my query quite promptly and gave me a credit because my order was delayed in shipping&#10;the notsogood part i didnt find out unril after id placed my order that it would be shipped the following week which fo"/>
        <s v="easy order process and set up of automatic delivery good price"/>
        <s v="delivery on schedule very happy with"/>
        <s v="you had our dog food listed as in stock so we ordered two bags after quite a bit of time you alerted us that it wasnt in stock that put us a week plus behind and we ran out of food this is a special diet food for our dog and not easily found very bad expe"/>
        <s v="im happy with the product that i order however the lack of date of delivery makes it hard for a customer to be able to receive it or plan to schedule to be home ive gotten email notices saying your shipment will be there tomorrow with no actual date but c"/>
        <s v="this is the third time i have ordered this cat food and the order was submitted and accepted leading me to believe i would be receiving the product three or four days later i receive an email that it is out of stock dont keep sending me emails to order it"/>
        <s v="i have been having a hard time finding some pet food faves for the dog and stumbled upon your site and you had those hard to find faves for him yay"/>
        <s v="i ordered my dogs brand of dry food fast and easy to order web site they carry my dogs brand fromm which not many physical stores do fast shipping too"/>
        <s v="your company led me on to beleive the food i ordered was in process of delivery you cancelled the order when i was down to one can at home then i had to struggle to find food for my cat with no advice from you i will not ever order from you again"/>
        <s v="i have ordered before and my order was the same rx cat food even in the middle of covid first time customer and it was fast this time days after ordering it still didnt ship i asked for it to be cancelled and was told they werent sure if it could be but t"/>
        <s v="process was seamless as far as ordering and receiving my order in a timely manner had no issues and would highly recommend petflow to anyone looking for good service and product selection"/>
        <s v="it would be nice to be able to edit your autoship if the item is backorder online i have had the item on backorder twice and the last was canceled i do not like having to make a phone call when it should be easy to make the changes online this goes for th"/>
        <s v="originally my order was to ship on july th then an email said the shipment would be late and would arrive today it currently is pm and i do not have my order"/>
        <s v="petflow had all the items i needed delivered them promptly and quickly responded to questionsconcerns i had"/>
        <s v="fast shipping with sturdy packaging good price user friendly website thanks so much"/>
        <s v="ordered wet dog food came quick and what i ordered"/>
        <s v="easy online ordering and prompt delivery"/>
        <s v="i order my cat food and it arrived quickly cannot ask for anything better&#10;&#10;oscr"/>
        <s v="we needed a certain vet approved cat food petflow faxed my vet for authorization and returned the approval petflow went to work on filling the order unfortunately it was over the th of july holiday  ran into delivery problems but petflow followed up with "/>
        <s v="i suppose i purchased something though i dont recall"/>
        <s v="i love that this site carries fromm gold brand and fast delivery"/>
        <s v="the box arrived half open and crushed and ripped open on one corner but the  bags of prescription dog food were still fine inside i informed petflow and they promptly replied and said they would initiate a complaint with the shipping company as long as th"/>
        <s v="i got what i ordered but it took ten days and a lot of the cans were dented and banged up these days i guess i should be glad that i got my order at all"/>
        <s v="i had never heard of this company but decided to use them for their prices i was amazed at how effectively they communicated how quickly the products arrived and the price was better than their competitors i will shop them again for sure"/>
        <s v="the price was very good but the delivery was sloppy and careless i came home to find the boxes laying on my lower stair step and on the walkway leading to the stairs they couldve easily been stolen as they were so close to the public sidewalk when i order"/>
        <s v="great price but out of stock why take the order in the first place waste of time and effort never coming back"/>
        <s v="i was very disappointed i ordered a case of hills prescription diet cd canine urinary care chicken  vegetable stew canned dog food and all of sudden it was cancelled"/>
        <s v="they had my cats prescription diet in stock when i couldnt find it anyplace else my order was delivered more quickly than anticipated ill use them again"/>
        <s v="the food was in stock when i ordered it took so long for your people to get the prescription from the vet someone even called me thinking they was calling the vets office it was out of stock so i never got my order it was canceled if i could have gave no "/>
        <s v="package wasnt taped very securely many of the cans were dinged or dented and worst of all was the godzilla sized cockroach i had to kill when i opened the package will not be using you again"/>
        <s v="my order arrived on the scheduled date and was complete"/>
        <s v="ive shopped at petflow for years ive always been impressed with the quality of goods the low prices and the fast shipping will do business again"/>
        <s v="it was very disappointing to have my order canceled after the item i purchased was out of stock when i ordered the item it was shown as being in stock a more accurate representation of this would be appreciated considering this is online retail"/>
        <s v="shopping was easy website easy to navigate prices were good"/>
        <s v="i received my shipment of  bags of dry dog food and found the box they were shipped in crawling with ants one of the bags had a small tear in it which caused the ants i called customer service at petflow and they immediately sent me a new bag to replace t"/>
        <s v="never received what i ordered even though i was charged for it"/>
        <s v="i am very happy with the services i receive from pet flo&#10;i do on occasion have difficulty with using the web site it will keep saying my password is in correct"/>
        <s v="i ordered puppy food and was given tracking in less than  days shipment was fast and efficient"/>
        <s v="had what i needed fast shipping"/>
        <s v="i was impressed by how fast i got that items i ordered and that they were available for auto ship now my three babies will never have to be without their chews "/>
        <s v="i have a late shipment of cat litter twice now i know shipping and supplies are messed up in our country so i understand what i dont understand is why you system doesnt alert you that the product is not in stock so you can let me know before my delivery s"/>
        <s v="great price and good product my cat and i are happy thank you"/>
        <s v="i order on a regular basis i receive my order within a couple of days of placing it never disappointed"/>
        <s v="petflow had the prescription dog food that two of my vets could not get shipping was quick and the price competitive"/>
        <s v="i was looking for the cheapest price on our puppy food i came across petflow and was excited you carried both brands of food for our gigi girl and new pup miles and they both can be delivered right to our front door i immediately enrolled in your autoship"/>
        <s v="prices are great and shipping is fast and on time my only criticism is the packing for shipping cans are arriving dented and boxes are often partially opened from not being taped properly overall very happy and will still keep shopping "/>
        <s v="received food promptly well packaged and in good condition"/>
        <s v="petflow has the cat food that i prefer many other vendors do not carry it"/>
        <s v="i found what i needed at cheaper prices and the customer service was superior petflow has a new customer and i highly recommend"/>
        <s v="petflow is always on point with my order never had a bad experience with them"/>
        <s v="i had the perfect petflow experience it took  days to get to me because of delays in middletown which was not there fault will be buying more dog food from them"/>
        <s v="i received my order but shorrt  little clay boxes and some of them with the box open already"/>
        <s v="love the selection and convenience of the auto ship recently added prescription food for one of our dogs and that was just as easy as everything else highly recommend"/>
        <s v="unable to ship a pet food product after leaving me on hold for a week what else can i say "/>
        <s v="petflow consistently meets and exceeds my expectations phone operators are extremely pleasant and helpful and get things done recently there was a sales tax exemption for pet food and the staff gave me a credit for the state tax that was going to be appli"/>
        <s v="i was very pleased buying from petflow honestly i wasnt familiar with them and they were the only ones with inventory of the dog food i was looking for the order process was clean and efficient they contacted my vet was prescription food notices were well"/>
        <s v="reputable company good prices and selection"/>
        <s v="i have consistently had double filled orders delayed orders without notification shipped orders without advance notification orders that started autoshipping that werent supposed tothe past  months has been a disaster this convenient service has become an"/>
        <s v="fast an easy the prices were great"/>
        <s v="i was looking for avoderm canned dog food as my previous supplied has been out for a very long time you have the food and the price is good i ordered it and got it in a few days  no problem with delivery my two dogs are very happy to be back on the food t"/>
        <s v="product was perfect shipping was super fast and customer service was polite helpful and efficient if i need other pet products this will be the first place i check thank you petflow"/>
        <s v="fast easy going price"/>
        <s v="as always my order arrived as scheduled with updates enroute and was well packaged consistently good service"/>
        <s v="i had a question about mixing different proteins using the stella  chewy freeze dried food and got a response much faster than i had anticipated i was able to complete my purchase without having to wait until the next day the food arrived quickly and my r"/>
        <s v="great product selection and order expediently processed and shipped"/>
        <s v="i am not sure about your products coz this was my very first order  i was waiting for my order longtime and when i logged in and checked status showed cancelled&#10;when u send order confirmation email why you cant send the cancellation email"/>
        <s v="petflow is a great company and is one of the few who sell nutrisource dog food that was recommended by our breeder for our pure bred shih tzu at a reasonable price  she has been on this food since she was weaned and is  year old now and very healthy she j"/>
        <s v="trustworthy company i recommend them"/>
        <s v="i am a loyal petflow customer for  years i am so happy to use their website i regularly order food and toys for my dog i place an order online and immediately receive confirmation then amazingly i get the order within  days petflow carries anything you ne"/>
        <s v="sent quickly great experiences so farthank you&#10;judith"/>
        <s v="recommend this vendor the items i wanted were in stock i had a coupon yeah and the checkout was two clicks since i was already registered and my information was stored i received the ahipping information within hours and the  cases of dog food arrived pac"/>
        <s v="had the cat food i needed just before i was about to run out and received quickly"/>
        <s v="always helpful courteous on time delivery"/>
        <s v="delivery was fast in spite of coming all the way across the country  i cannot find the bowls i received in this order with food anywhere else i only see bigger sizes elsewhere since my girls are small i prefer the smaller bowls by ourpets the bowls are st"/>
        <s v="have plenty of choices the shipping speeds are all time high and prices are reasonable for the items that are being sold at the website would buy again for my beloved pet"/>
        <s v="excellent customer service solving an issue with my order"/>
        <s v="everything was great it was definitely time for new dry dog food i only wish i could buy a smaller size everything else is perfect"/>
        <s v="satisfied with nutrisource dry dog food but pricey"/>
        <s v="good service i like how they keep you informed about your order "/>
        <s v="petflow sells the dog food and treats we prefer at a competitive price and the free shipping is so fast we live in a rural area where many items arent available and we really appreciate being able to shop with them"/>
        <s v="fast shipping great products"/>
        <s v="fast efficient quality product that arrives when expected for a reasonable price"/>
        <s v="i love that i can call and they have my account pulled up and bam ordered excellent customer service"/>
        <s v="quick shipment kept me informed good price and will buy from them again"/>
        <s v="i ordered kong squeak ballsm my dog loves them and also loses them so now we have some extras the price was much better than on amazon"/>
        <s v="first time using petflow i received the order nicely packed and delivered on time priced at a good value"/>
        <s v="i just changed vets so if i am still able to buy my special cat food i will return to ordering it from petflow as they are outstanding"/>
        <s v="very easy to order i needed prescription treats  they contacted  got approval from my vet  had my order in just a few days they were also cheaper than other pet mail order companies"/>
        <s v="user friendly website good prices and fast shipping"/>
        <s v="easy website to navigatequick response and deliveryvery satisfied"/>
        <s v="my kitty was diagnosed with kidney disease&#10;petflow helped me get set up on recurring food for his new diet i did have to reach out and communicate with them regarding the rx and i was impressed with the timely response and care they took to help me&#10;thank "/>
        <s v="they had what i was looking for and the delivery was very fast"/>
        <s v="nutrisource small  medium breed puppy chicken  rice dry dog food lb i just got  cairn terriers the breeder said this was the best puppy food pet flow made it so easy to place my order and the price was good i also picked up some nice dog toy"/>
        <s v="the product was available the price was fair but the ordering process kept trying to lock me in to repeating delivery it took me an unreasonable amount of time to navigate the form"/>
        <s v="i like that its compact and doesnt take up much room the food doesnt flow as well as id like but all gravity feeders work about the same the water spout could be lower theres quite a bit of water left the container must be tilted to use all the water simp"/>
        <s v="great selection and prices prefer to shop here"/>
        <s v="in this instance petflow was the only place i could acquire the exact item that i wanted and it arrived in a timely fashion in fact if they are still carrying it i will order more"/>
        <s v="i have been purchasing cat food from you all for over  years  since i got my cat i have not had any problems but my last order was shipped and it was dog food  your mistake i asked for you all to do a rush and you rushed alright you came and picked up the"/>
        <s v="has the products i need quick shipping at no charge over a certain amount packing well down"/>
        <s v="great communications came in short time"/>
        <s v="the company did not ship my pet food canceled the order and failed to notify me the only reason i noticed is because a week had went by and no dog food when i contacted them they advised they needed more information i asked why they didnt request that and"/>
        <s v="i have recently had a bad experience with chewy however i have found you i have  dog and  cats and so far you have their food i will look for other things as they come up so far everything is great"/>
        <s v="easy online ordering and super fast delivery"/>
        <s v="very efficient and convenient to have your unappreciative cats food and litter appear at your front door  highly recommend "/>
        <s v="it has been  days since my order was confirmed and it has not shipped when i contacted petflow i was told that first time rx orders can sometimes take a while to be approved but this feels ridiculous"/>
        <s v="i love petflows auto delivery system its easy to use and i can change the schedule with a couple clicks packages always arrive secure and on time"/>
        <s v="love pet flow great customer service quick shipping highly recommended&#10;have foods others dont"/>
        <s v="i was glad to find what i needed on your site but i was concerned about shipment via federal express in my opinion they are unreliable my shipment was delayed but thankfully arrived before i became worried"/>
        <s v="perfect transaction perfect delivery perfect communication your my store"/>
        <s v="i ordered veterinary dog treats so gave petflow all necessary vetinary info after no emails from them for quite a few days i emailed to see when order would be shipped out they said soon after a couple of days i called back to check to make sure that they"/>
        <s v="we have ordered through petflow a few times now and are very happy with our experiences we will continue to order our dog food and other pet items through them"/>
        <s v="always used chewy but not anymore u guys r really on top of ur game thank you anna sutocky"/>
        <s v="very fast and easy shipment of dog food  five stars&#10;their use of fedex is a problem  one star&#10;fedex drivers repeatedly damage my property repeatedly notified fedex other deliveries like ups or amazon have not had a problem"/>
        <s v="petflow was easy and fast to respond and deliver i was using chewy but it took forever to get approval for the dog food needed and i had trouble with them on every order so petflow was a relief how easily it went thank you for that and i would recommend p"/>
        <s v="my order was correct and received very timely i have no complaints"/>
        <s v="perfect my dogs thank you and extremely fast will absolutely shop here again"/>
        <s v="first fedex lost the package left on a neighbors doorstep might not be such a big deal in the city but in the country thats a game changer neighbor finally brought the package up to the house a couple of days later&#10;&#10;second product was short dated this is "/>
        <s v="this company was there for me when i couldnt find my cats prescription food anywhere thankful to have found it quick script review quick shipping"/>
        <s v="i ordered science diet wd wet cat food from them because their website said they had it in stock about a week later i got an email saying they were cancelling my order because they didnt have any in and didnt know when they would be getting it they didnt "/>
        <s v="reliable good products timely delivery"/>
        <s v="love it&#10;&#10;good products convenient quality communication and on time delivery"/>
        <s v="ive been having a hard time finding this cat food and when i did find it usually the bags were sold out this made it easy and convenient for me to order this online and got it in a couple of days before we ran out"/>
        <s v="easy site to navigate product was originally out of stock but i was notified once the product was available delivered as scheduled my cat loves the product it is a prescription food for diabetic cats hopefully i will see an improvement in his condition"/>
        <s v="the product dog food is excellent my dogs love it looking forward to do more beisness with soon"/>
        <s v="i was impressed by the selection price and delivery time of petflow getting ready to place my second order"/>
        <s v="order was correct and arrived quickly"/>
        <s v="petflow was a company that i had not heard of prior i was in need of hills cat food which was not available anywhere locally or online except at petflow i even ordered more than originally planned for they got the okay from my vet and had the order shippe"/>
        <s v="great delivery  promotions for cheaper food"/>
        <s v="great prices and fast friendly service i will continue making this my goto for pet supplies"/>
        <s v="tired ordering a product that said in stock twice now and both times i get an email a few days later saying my order was cancelled because it cant be fulfilled if it was in stock why cant it be fulfilled"/>
        <s v="this product is excellent i believe for my dogs and they love it this is however the second time i have had a bag ripped open when it arrived and food in the box and not the bag dont know if this is a problem at the packing end or the delivery end wish it"/>
        <s v="easy site to use with great prices and a large variety of options"/>
        <s v="never received my order  fedex lost it no refund or anything at all fedex express that they left it at the front door but how my gate was closed and my cameras capture nothing at all and no one was home i also called fedex several more times with no luck "/>
        <s v="i ordered cat food from petflow it showed in stock and i waited for it to ship for about a week i called customer service and the lady indicated that my order was processed needed vet prescription approval and that i should receive a tracking email that d"/>
        <s v="great way to buy my dogs food products and needs no hassles and comes straight to my door"/>
        <s v="incredible rude and out of touch representatives they didnt have my item in stock and then made me replace a second order for what they did have in stock the next day i get notified that my order was for resale and flagged as fraud even though i placed it"/>
        <s v="i disappointed in the way my packages where sent to me for example when you sent my case of dog food it was put in box that could have fit cases instead of  the rest was filed with packing papers to make it weigh more to charge more"/>
        <s v="reasonably effective but annoyingly disorganized looking for alternatives"/>
        <s v="got my online order very quickly and was pleased with how easy it was will definitely use again"/>
        <s v="after hunting high and low through my usual pet food sources i was able to find the two items that had been back ordered everywhere else delivery was fast and saved me the risk of switching brands with my dogs"/>
        <s v="we needed a shipping kennel large a bed for the kennel a toy a small bed and dog food all that got shipped was the dog food toy and small bed after visiting the pet smart store they had all we needed in stock although a higher price"/>
        <s v="my first order and i was mailed wrong product when second order can it will be out of date in  months i like to know i have a newer product"/>
        <s v="quick easy and better priced than most of the competition definitely an underknown source for pet supplies"/>
        <s v="good time on delivery just mad about the way the box showed up was thrown over my fence and box was damaged and retaped because it was so damaged think about who you ship you packages by the delivery to my house was a fedx driver who did even look to see "/>
        <s v="great choices these days it is so necessary to have a reliable resource especially for our pet family"/>
        <s v="&#10;excellent everything a company"/>
        <s v="i am so happy you carry fromm echo loves it and she gobbles it down i also love that you deliver to my home&#10;&#10;thanks again&#10;joni"/>
        <s v="please dont say you have something in stock if you really do not i was misled then was not even informed that there was a delay until i reached out myself terrible customer service"/>
        <s v="my order was shipped immediately and reasonably got what i ordered and the pooch is thrilled"/>
        <s v="everywhere was out of my pets food ordering from your site was easy and i received my shipment a few days later thanks"/>
        <s v="amazing prices quick shipping"/>
        <s v="just got a new puppy that has to have toy breed puppy proplan its been almost impossible to find it but happily petflow has it  it shipped fast love auto ship so we dont run out price is also good"/>
        <s v="we were notified that our dogs prescription food was out of stock with our usual retailer so i did an internet search and petflow was the only retailer that popped up as having the item in stock i waited for shipping confirmation and never received it so "/>
        <s v="i appreciate finding products at an affordable price at petflow i usually find those products at a better price than other sites shipping was fast and flawless"/>
        <s v="i have have ordered the freeze dried beef treats for a whilethe last two orders have been at least  to  crumbs this is very disappointing and an expensive bag of unusable if this is not corrected i will have to find another source usually i am very please"/>
        <s v="great products and very good customer service"/>
        <s v="fast shipping all items accounted for and in perfect condition"/>
        <s v="petflow has the best prices great communication with me regarding the status of my order  shipping is quick"/>
        <s v="my st package was received missing items after just one phone call everything was handled professionally and a few days later i received my missing items would order again"/>
        <s v="petflow came through for me when i couldnt find my cats food anywhere else im extremely grateful"/>
        <s v="twice now i have ordered preacription food from petflow that was listed as in stock and twice my orders jave been cancelled because the food was not in fact in stock both times i spoke with customer support that was clearly copy pasting replies off of a p"/>
        <s v="excellent service"/>
        <s v="generally ive been very pleased but the last shipment  cases of canned hog food had two damaged and open cans in it not a great response when i raised the issue since i hadnt discovered it until i got to the th of  cans otherwise no complaints"/>
        <s v="my cats food was listed as in stock on the site but my order was cancelled a week later because it was never actually in stock"/>
        <s v="delivery was delayed and this was not acceptable i will utilize another company that can deliver in  dayd"/>
        <s v="as ordered fast shipping i was so happy to be able to get my canned cat food order when chewy and amazon failed me petflow has gained a loyal customer"/>
        <s v="outstanding price for what i ordered i shopped around amazon walmart and numerous websites none even came close to your price package showed up on time excellent experience my cats thank you"/>
        <s v="fast shipping and excellent price&#10;thank you"/>
        <s v="i normally dont write reviews but i hope employees are retrained after seeing this i hadnt ever been on your website or heard of the company but my  year old fell in love with a puppy from a girl i know in utah after adopting the puppy we asked what food "/>
        <s v="the dog food we need is hard to find petflow always has it at a very good price it usually arrives in a day or two great service"/>
        <s v="im a little disappointed with petflow i ordered dog food on june rd maiming because you said it was in stock then a few days later i get an email saying that your local location was out of stock and you had to get it from another location and it was now g"/>
        <s v="fast easy to order prescription products fast shipping fantastic customer service  knowledgeable sympathetic responds quickly range of items to purchase is awesome petflow outdoes all other online pet companies on so many levels they were my saving grace "/>
        <s v="my order was processed very slowly and then canceled i was initially told that the only thing holding up my order of hill prescription diet for my cat was vet approval which i had submitted with my order close to a week elapsed and then i was told that th"/>
        <s v="very reliable when i place an order with petflow i know ill be getting what i ordered on time"/>
        <s v="great customer service had the prescription food my dog needed all the others were out of stock glad i found this site"/>
        <s v="naturvet yellow to green lawn spray  containerscontents were defective&#10;product was diluted to colored water my guess is they froze and thawed somewhere before shipping"/>
        <s v="petflow ran out of dog food in my area so found it in las vegas i got the last  bags"/>
        <s v="i got the food the quickest out of any company including amazon and their customer service gets back to you right away with any questions fabulous job"/>
        <s v="food bags are always intact delivery always on time customer service is excellent"/>
        <s v="great customer service great prices and fast shipping "/>
        <s v="i always order my dog fromm food and treats from you shipping is excellent"/>
        <s v="great price smooth transaction and quick shipping whats not to love"/>
        <s v="waited over  weeks for food to arrive for my new puppy to refill his stock we received from the breeder petflow had a great price and great reviews but when i inquired where my order was i was just told that it didnt ship due to fraud protection and they "/>
        <s v="ive used petflow for my boys food since the very beginning since i adopted him and they always deliver it on time each month they have an excellent selection of pet food available on their website and not to mention they give away  food to  dog in need fo"/>
        <s v="inventory shortage put order in and next day they dont have my babies brand so its not their fault purina discontinued the small bites&#10;now we are playing find the food they care for sorry couldnt give  stars"/>
        <s v="i have been very happy with petflow i am disabled and it is so nice to just have my dogs food show up at my door so far the items i need have been in stock which is pretty incredible in these times"/>
        <s v="i started an auto ship program with this company because cat food was running scarce in the grocery store unfortunately even this company cant keep it in stock either"/>
        <s v="the pups love the new food we found on petflow it was easy to order and arrived in no time being that its large breed formula i just wish it came in bigger chunks so they didnt inhale it at dinner time"/>
        <s v="great service good customer service the only hiccup i can see is shipping  sticks folded over in a  box"/>
        <s v="they had everything in stock and was delivered in a timely manner"/>
        <s v="great place to buy our pet supplies fast service pet flow is the best"/>
        <s v="always great to do business with ease of ordering and easy to return"/>
        <s v="i waited over a week for your pharma dept to reach out to my vet to get scrip for order i finally had to make the call myself with your rep on the line and i got right through your pharma folk really dropped the ball&#10;&#10;all the while my cat was waiting for "/>
        <s v="i was really pleased that u had the food my cat loves he is diabetic and could not find his food anywhere he refused to eat anything else got so thin i found his food through ur company and now he is gaining weight very happy kitty"/>
        <s v="i was in need of food for my cat with diabetes my vet was backordered and even chewy was out of stock but im so glad i happened upon this company and they had the food i needed available i appreciate it so much they were easy and pleasant to work with tha"/>
        <s v="worst experience with pet flow i place order and my shipping and billing address is not same you will add my account to fraud activity and dont proceed order such a unprofessional supports team cant buy in future its last time"/>
        <s v="i never received my purchase you were out of stock of my cats prescription diet even though your website said it was in stock you should keep your website up to date with what is in stock and what is out of stock because i would have never wasted my time "/>
        <s v="fast shipping easy to order and understand web site best prices around&#10;no hassles"/>
        <s v="ordered prescription dog food you said you had in stock but it very clearly was not in stock and almost two weeks later im still waiting for it not cool"/>
        <s v="the shipping box isnt strong and they package my dry dog food with the cans and the cans cut the dry food bag and it spills"/>
        <s v="i placed an order for hills glucosupport for my diabetic cat it was the weekend and i was unable to get all of the vet information directly from the vet hospital itself to place the order so i googled it i placed the order and paid for the order the order"/>
        <s v="this is the second time the cat food that i need said it was available and the second time my order was cancelled because they didnt have it if you dont have it dont say that you do i could have looked for it someplace else instead"/>
        <s v="your phone reps have always been very helpful answered my questions and given me some good advice about purchases were sold"/>
        <s v="great customer service they answered my inquiries so fast and they were super friendly"/>
        <s v="petflow works hard to earn your business and trust had an initial snafu but now orders are working smoothly"/>
        <s v="i requested a  refund after being told by petflow that i needed to renew my vets prescription i wanted to just buy the prescription dog food from my vet petflow said they could give me a credit for  but not a refund this is a classic case of petflow winni"/>
        <s v="i have ordered from petflow twice and both experiences were the same complete trash my cat eats prescription food and it is out of stock everywhere so i am ecstatic to find it on petflow i order and it took two days for my vet approval i get an email that"/>
        <s v="petflow has great prices on fromm products and delivery is great"/>
        <s v="petflows order fulfillment needs to be improved it took  days for the food that i ordered to arrive and that was after i called to see where it was and got the order prioritized for shipping if you are truthful on your website whether the food is being sh"/>
        <s v="your orders have all been fast and with no warning it took a week i will not be using you anymore as you are not dependable"/>
        <s v="great price  fast shipping  great communication"/>
        <s v="better prices than elsewhere called customer service for some assistance and the woman was very helpful will use again"/>
        <s v="wanted to try another pet food home delivery service for a change and decided to give petflow a go they were a great find and im glad i did prices were comparable and delivery was even faster packaged very well with no dented cans"/>
        <s v="prices fair but shipping times have increased"/>
        <s v="i love the variety of high quality products and brands that pet flow offers i also love how quickly they ship my order always arrives within a couple days"/>
        <s v="dont even bother if you order anything they will message you a week later saying its out of stock then the very next day its back in stock again"/>
        <s v="i was excited to see that a particular prescription wet food was back in stock on the website as it has been out of stock for over a month i placed the order online and then followed up  days later as i didnt hear any thing about shipping i was told that "/>
        <s v="cancelled my orders&#10;without telling me"/>
        <s v="very happy with the customer service only issue i had is how long it took to process my order and ship it would pay extra for faster processing and shipping"/>
        <s v="fast  easy and correct "/>
        <s v="its ok it was shipped on june st and an email tuesday said itd arrive today wed after arriving here in portland today at am fedex tracking said at pm that its being delayed a day until tomorrow thursday because of weather it doesnt affect me  i wouldnt ca"/>
        <s v="i ordered prescription pet food for my cat it took them about five days to tell me the order was cancelled because they couldnt get the food they shouldnt have taken the order in the first place"/>
        <s v="this is my third order they have products others dont and at a great price"/>
        <s v="always holds the inventory and deliver in a timely manner"/>
        <s v="worst customer service i tried doing an order twice and they couldnt send it out i will never use this company or recommend it"/>
        <s v="wonderful service i recommend"/>
        <s v="excellent service and the only delay we had was from our veterinarian sending them the prescription"/>
        <s v="i am so impressed with not only how easy ordering was but how quickly it was delivered i would never use anyone else thank you very much"/>
        <s v="i am new to petflow this was my first order website was easy to use and my item arrived promptly"/>
        <s v="disappointed that an item was there to select as available only to find out it was not p"/>
        <s v="i like using petflow and other sites which are similar they are super convenient and reliable however the cost of shipping stops me from only using their service"/>
        <s v="your website said you had the prescription cat food i needed i bothered my vet for the prescription order your company said the order was being filled then im told that it is out of stock&#10;&#10;how does this happen"/>
        <s v="always the highest quality products  superior customer service a"/>
        <s v="petflow had what i needed in special food for my cat i couldnt find it anywhere thank you so much the service was awesome"/>
        <s v="good service and a fair price thank you plan to order again"/>
        <s v="wonderful experience petflow was the only place that had the prescription food i needed for my cat they expedited my order when i expressed my needs sadly my cat passed away saturday but he loved this particular brand of food so i am very grateful that he"/>
        <s v="i have been ordering from petflow for some time now i always have a good experience with fast shipping and easy ordering i have a dog and two cats so i order often great company to do business with&#10;rob"/>
        <s v="petflow is great they processed my kitties prescription quickly and shipped my order promptly"/>
        <s v="shipping is so slow compared to chewy i use chewy whenever possible for that reason"/>
        <s v="i have had nothing but positive experiences with petflow"/>
        <s v="petflow was the only source for prescription food for my cat all local stores and vets all said they were out and it was on back order so petflow was a kitty saver"/>
        <s v="fedex took more than a week to deliver&#10;usps is better even the fedex tracking is not accurate and very slow or sometimes not even up to date"/>
        <s v="customer service was not friendly they charged and shipped me two bags of my dogs food when i only purchased one when i called back to dispute the charge they were not very helpful and kept insisting that i bring the super heavy bag to fedex for return"/>
        <s v="when fed x lost my order i called customer service and the order was replaced without hesitation that is excellent service"/>
        <s v="slow shipping went to order another bag and couldnt find it"/>
        <s v="petflow is a good company to buy cat food from i especially like having it she directly to my door i have to order a prescription type of food for my pet and cannot find it anywhere else petflow has exactly what i need"/>
        <s v="i was able to find what i needed that others didnt have turnaround was quick and order was correct"/>
        <s v="products in stock delivered in timely fashion positive experience"/>
        <s v="great selection had things others were out of great price shipped next day"/>
        <s v="after reading many reviews i cancelled my order before it was shipped many people stated they could not cancel their auto ship and weret happy with the delivery since i dont know this company and didnt know their reputation i cancelled and ordered from ch"/>
        <s v="great price and shipped well and arrived quickly"/>
        <s v="only cools for  minutes at best  not worth it i should have invested more money and got a better product"/>
        <s v="the pharmacy said my dogs food wasnt approved while my vet said it was always approved customer service was awful in fixing the situation didnt get my dogs food for a week discontinued auto ship and wont buy another thing from pet flow horrible customer s"/>
        <s v="i love the fact they carry fromms dog food their web ordering works fine and they deliver in a reasonable amount of time chewy is faster where i live&#10;&#10;however every time i have ordered dog food in cans they come  badly dented i dont mean a little dent her"/>
        <s v="i had the opportunity to subscribe and my pet food came in a timely manner i am very happy"/>
        <s v="shipped quick reasonably priced"/>
        <s v="great variety fast shipping"/>
        <s v="petflow autoship is convenient efficient and economical weve been happy customers for years highly recommend "/>
        <s v="works well but no instructions on how to adjust float"/>
        <s v="great price and quick shipping of the pigeon grains i use"/>
        <s v="easy easy easy the same quality same shipping speed cheapest place"/>
        <s v="great service for the buck and great for your pet fish"/>
        <s v="the most wonderful customer service and the most wonderful products that keep my dog happy"/>
        <s v="i love the company and the fact that they dont support brands that support animal testing its a  start due to shipping always being late and they dont have an app yet but im not leaving them because of that"/>
        <s v="good selection of products but took a long time to receive"/>
        <s v="had the product in stock and they called the vet"/>
        <s v="items not as advertised even after calling customer service described the wrong item picture not correct either that was sent&#10;took way longer than expected not likely to recommend or order again"/>
        <s v="had an issue with my order customer service was rude and terrible will never spend my money with this company again"/>
        <s v="excellent always the best"/>
        <s v="pet flow always has the dog food in stock for my pet all through pandemic they were reliable and supplies on hand and timely delivery"/>
        <s v="customer service was awesome the shipping was very fast and i was very pleased with the variety of food i will definitely order again"/>
        <s v="fromm dog food is so awesome my elderly dogs were on wet dog food and they liked it till i took them to my friends house she had the beef fromm out for her dogs my dogs decided they like that food better than theirs it was a month of trying to get them to"/>
        <s v="poorly packaged for shipment but arrived quickly"/>
        <s v="great customer service i needed my cats prescription cat food asap and they pushed the process faster for me"/>
        <s v="fast deliveries and one of the few places i found farmina dog food now im on auto delivery"/>
        <s v="i ordered cat food on  and fedex has yet to deliver it stating that the address is incorrect when it is not after hours on the phone trying to get this package i am left with no other choice but to request a refund i still dont have the cat food and am ti"/>
        <s v="we love using petflow for our pets needs the prices are competitive and its so easy to changedelaycancel our order"/>
        <s v="shipping was fast my only concern is my dog food best by date is sept  just concerned not fresh maybe older stock"/>
        <s v="petflow is the best hands down great customer service and prices"/>
        <s v="they had the food i had been searching for in stock quick shipping"/>
        <s v="super great company with fast service and great shipping"/>
        <s v="great company with very quick shipping i will be using them from now on"/>
        <s v="excellent products and outstanding service fast delivery"/>
        <s v="good price fast delivery"/>
        <s v="we have been using petflow for many years and always have great service and value"/>
        <s v="petflow has the products i need and gets them to me quickly ive used auto ship and when ive had to switch my schedule they were happy to accommodate and adjust and their customer service is so responsive i have been a loyal client for years and plan to re"/>
        <s v="every one at pet flow was extremely helpful they spent as much time as needed on the phone with me to pick the puppy food i needed when it turned out that my pup did not need the prescription i was told they were unable to take it back but they refunded h"/>
        <s v="when i ordered they knew they were out of stock i called asked questions and didnt get a direct answer"/>
        <s v="i was so happy to find my pet food in stock here actually the maker of the pet food let me know that petflow had the product in stock there was no shipping fee on the  lb bag and it arrived promptly all the way from across the country"/>
        <s v="ordered canned dog food found the price to be competitive and shipping was timely"/>
        <s v="i would advise anyone that has had a poor experience with this website  which appears to be just a website where they drop ship orders but dont actually have a warehouse to contact the attorney general in nevada where this guy or company is located&#10;if the"/>
        <s v="ordered cat food when i ordered it was in stock now saying they have none and that the online allows them to sell bags so long as they at least have  sad"/>
        <s v="i ordered dry cat food that you said you had and waited for you to tell me when it shipped you never told me you were out of it i had to get in touch with you to find out stupidly i checked for that same product a week or so later and same thing your on l"/>
        <s v="ordered md dry cat food and you waited so long to let me know you were&#10;out of it other companies let you know on the site where you are ordering&#10;that they are out wasted time"/>
        <s v="great product fast shipping"/>
        <s v="having to contact support to cancel an auto ship is ridiculous straight from the comcast book of customer service"/>
        <s v="this is the first time using petflow and i loved the experience they have great prices and fast shipping i love the selection of food also"/>
        <s v="scam site they lie and say they have stock of things they know they have no stock for just to get your information"/>
        <s v="i like pet flow and the convenience of buy fromm cat food from them"/>
        <s v="i placed an order for prescription pet food the website stated food prescriptions could be emailed or mailed so i emailed the food prescription using the email address they listed on their website for this purpose this resulted in back and forth with a re"/>
        <s v="i was trying to order prescription cat food that is in short supply your company let me order it sign up for your account contacted my vet for the prescription and went through the whole process and then told me you are out of stock why didnt you tell me "/>
        <s v="i have plenty too much food right now how can i cancel automatic service"/>
        <s v="i trust them they usually have the product that i want and if not they will let me know"/>
        <s v="this place is amazing prices really cannot be beat  and we shop around every time we stock up petflow doesnt carry all of the foods we buy but the ones they do are consistently cheaper than elsewhere including delivery&#10;&#10;i hope petflow will carry more of t"/>
        <s v="my total order was to receive  offhowever my order was split and i only received  off on the lesser item and was taxed on both i may inform my credit card company of this transaction based on your response"/>
        <s v="have always had good service from petflow"/>
        <s v="keep posting that they have hill science diet md when they dont"/>
        <s v="i have only received part of my order that i made on may th it is now the nd and i have still not received the dog food i ordered"/>
        <s v="our saint bernard was recently diagnosed with gastroparesis and needed limited ingredient treats hills makes a line of them that petflow has a great variety of at great prices shipping is super fast"/>
        <s v="excellent service&#10;thank you"/>
        <s v="i have ordered only once from flowpet but so far so good and on that note i will give them  stars there was a good variety with good prices and the order came more quickly than i expected i expect i will be shopping there more"/>
        <s v="fast shipping easy to get in contact with them if you have questions"/>
        <s v="ordered special diet  days and nothing had to order chewy  got it in  days"/>
        <s v="very friendly and knowledgeable people at petflow willing to go the extra mile to help"/>
        <s v="it is easy to change my order the staff is always easy to communicate with they are alice there to help me when i run out of food my goldens sometimes have friends over for the week"/>
        <s v="so happy you carry fromm my dog thrive on this food i love the convenience of delivery to my door the best part is shipping is included"/>
        <s v="i placed my order from canada and dealt with a customer service rep she was very friendly helpful and efficient my order was delivered very quickly to a parcel receiver in bellingham wa i am very satisfied with petflow"/>
        <s v="ms jessie at petflow was extremely helpful in fulfilling my order she was knowledgeable pleasant and very efficient i am very satisfied with the service i got"/>
        <s v="always ships quickly and arrives promptly you can trust petflow to handle your order right"/>
        <s v="took way to long to get here this was a cat food order and im use to getting it at least in a couple days when i order from amazon or chewy not sure ill order from them again"/>
        <s v="this is a great company good selection of products and at fair and reasonable prices including shipping costs delivery is very timely while so many firms are still using the pandemic as an excuse to pricegouge it is so refreshing and a pleasure to deal wi"/>
        <s v="have been waiting in my prescription for a month and still havent received sent in digital and paper copy that still had problem with them verifying and actually sending the prescription so frustrating would not recommend vetsource for pet prescriptions h"/>
        <s v="my dog is on rx dog food hills science diet dd i decided to start getting it from you i order it  changing flavorsprotein because the one i wanted said out or stock a few days later i havent heard anything so i calltext and im told that it is waiting vet "/>
        <s v="i have purchased many milk bone pill pocket packets they usually come in  pouches per box which helps to keep them from being crushed in shipment i usually purchase  boxes at a time shipping is slower then other suppliers"/>
        <s v="cancelled my order saying supply of product from manufacturer was unavailable so i went to another vendor who had no problem filling my order"/>
        <s v="received my product of prescription kitty snacks quickly&#10;thank you"/>
        <s v="pet flow has been very reliable my dogs food arrives as ordered the food is fresh and arrives quickly&#10;i have had a few problems with the website where i could not change an amount on the review your order page which was frustrating however calling custome"/>
        <s v="very good service and fast deliveryi have no complaints"/>
        <s v="items arrived quickly before i was notified that they were shipped one item was missing from the order it took a few days before i received an email that the item was out of stock credit for the item came quickly very pleased with my purchase"/>
        <s v="excellent customer service&#10;petflow inadvertently sent me an extra case of cat food i alternate the types of food so i was fine with keeping the extra food but needed to pay for that one and add another of the alternate kind the gentleman with whom i spoke"/>
        <s v="friendly when i had questions fast delivery easy to order quickly online"/>
        <s v="efficient fast shipping and great customer service&#10;&#10;good selection of animal products"/>
        <s v="very happy with products wish food was a bit cheaper"/>
        <s v="i had been looking for the puppy kibble our breeder has been using for their litter of puppies petflow was the only site that carried it very easy to work with and on time delivery thank you"/>
        <s v="staff is very friendly and helpful there was a prompt response to my question they have a vast selection and great prices they came through when i had trouble finding my finicky cats food they are my go to store"/>
        <s v="the constant urging to use autoship i can understand what i cant understand is the meaningless onetime pittance of a discount as an incentive coupled with an almost forced compliance by changing my selections to include it for me it is the most obnoxious "/>
        <s v="i tried to purchase prescription cat food for my cat on  the vet did not receive communication through you so i emailed and texted in a prescription on  both of which replied and said it was sent to the correct team and should be processed asap then i rec"/>
        <s v="i needed to order a variety of cat food that had been sold out at local shops  online retailers for some time i discovered petflow through a link on the manufacturers website i was skeptical that they could even deliver but ended up being pleasantly surpr"/>
        <s v="easy to navigate site prompt delivery"/>
        <s v="my second order experience was just as great as the first one great business"/>
        <s v="my order is always delivered in a timely manner if there is ever a question i get answers quickly in a professional and friendly way"/>
        <s v="petflow has been my goto for years now for a reason"/>
        <s v="excellent availability of products customer service shipping and communication"/>
        <s v="so easy to order my pets prescription meds on petflow they contact your vet directly for approval which takes all the work out of my hands shipping is quick and its very easy to amend the shipment schedule if needed&#10;thank you petflow for such awesome serv"/>
        <s v="i was searching for a specific food for my new puppy that was not available in many places found it here ordered and had it so fast itd make your head spin  thank you "/>
        <s v="i received my product before the original date i was very impressed since i never heard of them but i will continue to use them i highly recommend them"/>
        <s v="excellent service and product our fur baby loves the butcher block champ bones"/>
        <s v="when the package came everything was so jammed in there that the stella and chewy patties were crushed i purchased  bags of the stella and each bag had broken pieces in there"/>
        <s v="petflow had the dog food that i needed that everyone else was out of it came quickly and without any issues their website was easy to navigate also"/>
        <s v="when other sites were out of the prescription food my dog needs petflow was the only place i could find it and at a good price too delivery was fast also"/>
        <s v="great service competitive pricing"/>
        <s v="petflow had a rocky start with me because it was difficult to get customer service but they have improved so much in that department that a  star is appropriate they are the only pet delivery that has my dogs dry food and they give a years worth of coupon"/>
        <s v="delivery was okay no issues with package or product price okay too"/>
        <s v="great company fast delivery"/>
        <s v="i order  eight pound bags of prescription cat food kept getting emails about it being backordered on the website at tims of purchase it stated they were in stock placed an additional order for two  pounds of same food and that was cancelled by petflow for"/>
        <s v="always helpful and answer my questions and concerns"/>
        <s v="easy to use website and fast shipping"/>
        <s v="my order is always on time and very easy to order"/>
        <s v="i made a large order and you guys cancelled my order saying that it was a fraud there was never a time where i got an email or any contact to see if it was a fraud my dogs are now with no food due to this lack of responsibility i was informed that every t"/>
        <s v="i love the service petflow provides they have a huge variety of products plus they also offer great deals finally i must say customer service is extremely friendly to use through texting theyll help you right away thank you so much"/>
        <s v="i ordered prescription food for my cat a week went by with no shipping information i contacted pet flow and was advised that the food wasnt even in stock even though they got the approval from my vet waste of time that i couldve been searching for this pr"/>
        <s v="ordered prescription food and insulin syringes for my diabetic cat syringes came a few days later the  bags of prescription food did not after  days with no update i called customer service just to find out the food was out of stock i was never notified t"/>
        <s v="great customer service and i really appreciate it"/>
        <s v="great site for dog supplies will continue to use if prices are good"/>
        <s v="i moved over to petflow kicking and screaming from chewy chewy stopped carrying verus and petflow is now my merchant for all my canine needs i could not be happier with the customer service i like getting advance notice that my autoship is preparing to sh"/>
        <s v="with the price of dog food getting more expensive i was looking for the best price for chicken soup for the soul canned dog food pet flow had the best price when compared to other online retailers this was my first time ordering from pet flow the delivery"/>
        <s v="always arriving promptly and the correct products in the order"/>
        <s v="the best place to purchase all of my dogs need excellent service and always fast  love love lovestella loves it too"/>
        <s v="this was my first time using the site usually use a competitors site but this website showed up and i clicked to see what it was&#10;the prices are similar to the site i usually use some of the items were slightly cheaper some more expensive&#10;one huge con was "/>
        <s v="my ordered was submitted then cancelled days later i would have just bought it somewhere else should have just said out of stock now i have to scramble to find food"/>
        <s v="ordered hard to find diabetic cat food the the  lb bags are out of stock at all  companies that carry it petflow shows on the site that the  lb bags are in stock order on may th and vet approved was told that on the th its send to the warehouse for shippi"/>
        <s v="products are good but the ones i wanted were out of stock or very low"/>
        <s v="great product price communication and transaction"/>
        <s v="i was very disappointed i ordered my rx can cat food the payment was made the payment was returned this is the first email from petflow i have not received an email why my payment was returned or why i did not receive my order"/>
        <s v="quick and easy  i just entered the order and the vet details and my order was on its way the next day"/>
        <s v="my cat likes the friskies sensation cat foodi wish petflow has a larger selection of cat and dog food that weigh  lbs or less as i grow older i find it difficult to lift bags over  lbs"/>
        <s v="orders are accurate and delivered on time price is a little high at this time but no higher than other sites are charging for same pet food"/>
        <s v="ive only used petflow once first time but everything was great easy to navigate the site received order quickly packaged safely i had a general question and customer service was very nice and knowledgeable ill be a repeat customer and very glad to have fo"/>
        <s v="frustrated with the lack of customer service regarding my cat food order our vets office personally called to ok a prescription diet for our cat as we could not find it anywhere and we were running out we did not get any official notification that you end"/>
        <s v="my items from petflow always arrive quickly and accurately i enjoy using petflow for my dogs needs i highly recommend"/>
        <s v="trustworthy accommodating and much variety"/>
        <s v="products ordered came quickly and accurately the website makes reordering easy"/>
        <s v="we have shopped with pet flow for about  years and they always provide excellent service and products"/>
        <s v="ready for some captains plate sardines  mackeral now look forward to this against the grain next when they are available for purchase again&#10;&#10;thank you for getting this delivery to us as you were the only pet food company that could provide us with shrimp "/>
        <s v="every order i have placed has been canceled i call to verify everything is ok daily i am told that its being packed to ship i call again the next day and am told its shipping that day both orders have done this usually  hours later the order is canceled b"/>
        <s v="im very disappointed as the item u always order was not in stock and currently remains out of stock"/>
        <s v="fast delivery and they carry what i need"/>
        <s v="petflow was very easy to order from and was shipped out almost immediately the dog food arrived very quickly i would definitely recommend them to pet owners"/>
        <s v="ive used petflow on and for  years the delivery has always been spot on but occasionally a food change required a different vendor glad ive returned"/>
        <s v="i am always skeptical when ordering from an online store for the first time no need to worry about petflow my  bags of dog food came in a timely manner and the packaging was neat there was no crushed bags very happy customer"/>
        <s v="i successfully ordered prescription hills md through you and later you told me you were out of stock you should have known you were out of stock before allowing me to order"/>
        <s v="i had not used petflow before but they were one of the few retailers that had the pet food i needed in stock their turnaround time from order placement to shipping was incredibly quick as was the shipping time they were also very communicative each step o"/>
        <s v="ive always been able to change my scheduled auto shipment when every i need to they are quick to response and send out packages very quickly been using this company for about  years and love their services"/>
        <s v="ive never dealt with an online pet store that was so easy to work with they confirm my dogs food prescriptions and still get the food to me in just a few days im looking forward to buying treats and other supplies from them as well"/>
        <s v="customer service was fine but i could not purchase what i wanted to for my cat i ordered veterinary products and i chose the vet i went to from the search i knew pet flow or vetsource would need to contact the vet but did not know how they would then i go"/>
        <s v="i love the service i receive when i place my order if i have any issues i call and the customer service is the best"/>
        <s v="ordered cat food then received email that the order was cancelled because it was outofstock"/>
        <s v="petflow was a great shopping experience but the shipping information was not accurate on the website i did have to reach out to customer service to get the correct information other than that no complaints will definitely shop with them again"/>
        <s v="good communication and reasonable prices&#10;slow delivery time knocked this review down to four stars"/>
        <s v="it was nice that petflow actually carried the brand of dog food i get i was excited to sign up for autoship so i could stop making my husband pick up the dog food  miles away from me on his way home from work my order took over a week to arrive didnt come"/>
        <s v="great quality of products and super fast shipping"/>
        <s v="perfect&#10;fast&#10;efficient as always"/>
        <s v="when i was given a prescription for my cat that had just gotten a procedure to clear a urinary tract blockage i tried having the prescription filled by my regular vet they were out of stock of what was needed so i turned to petflow all my experience with "/>
        <s v="orders are shipped quickly prices are comparable to other companies"/>
        <s v="timely delivery no glitches and great product"/>
        <s v="the products that i ordered were as described at a fair price and arrived on time&#10; very happy customer"/>
        <s v="i had never ordered from pet flow before their website was easy and the cat food arrived promptly"/>
        <s v="i enjoyed finally finding a website that still has my cotton de tulear food that she has been on her whole life and seems to be selling out everywhere i sure hope this website keeps it in stock for the next time i need to order it"/>
        <s v="i ordered a large pet carrier and was sent a small i did contact customer service and they are suppose to send a large that was a week ago so i am still waiting"/>
        <s v="fast easy great price and i stick of my pups fave food"/>
        <s v="ordered for the first and last time when petflow was the only place that had any of my cats specialty prescription food in stock they said they called the vet office to confirm and approve the prescription but did not call the office i gave them and then "/>
        <s v="i use this site to order tracheas for my  dogsthey are a natural treat and my dogs love them this company has been very good about getting my orders to me in a timely manner so my dogs never have to miss their saturday special treat i know their prices ar"/>
        <s v="im so thankful that i found petflow&#10;its nice to know there are online options for my fur babythe prices are great and the fact that petflow gives back to pups in need makes me feel good&#10;thank you petflow"/>
        <s v="petflow usually has products other sites are out of what relief but stock up as things are getting harder to find petflow delivers quickly and in good shape"/>
        <s v="said an item was in stock when it wasnt i waited a week before being notified that it was even in the warehouse to be shipped in the meantime i was counting on the shipment for my diabetic cat i will never recommend or give the company another try"/>
        <s v="great transaction good price free delivery"/>
        <s v="quality communication and price"/>
        <s v="i have  cats two of them are eating special food for health issues it has been hard to find canned food especially proplan since the pandemic i have to search for cat food every week at the  pet stores in our area which is very stressful i was so glad tha"/>
        <s v="when i had a problem you fixed it fast ty"/>
        <s v="i buy birdseed in  lb quantities theseed quality is excellent the mixes are well balanced and the seed is fresh and viable so i am able to germinate some to use as soft food to my birds the price was reasonable when so many others are using inflation as a"/>
        <s v="ive always had a great experience w petflow i even found a better deal at another site and wanted to cancel my auto ship the customer service rep gave me a discount instead and i kept my auto ship active and its still active today excellent customer reten"/>
        <s v="only place i could get this hills formula dry food for my cat my cat is fussy and wont eat other dry foods"/>
        <s v="petflow customer service agents are efficient yet courteous the company clearly embraces the concept of the customer is always right ive been using this service for five years and have always been pleased"/>
        <s v="service and customer service is excellent"/>
        <s v="this was my first time purchasing from this company i attempted to purchase  items of the  items that i ordered i only received  those  items that i did not receive  were charged to my credit card and then i was notified after the fact that these items we"/>
        <s v="easy to order online  customer service is quick to respond  resolve any issues will order again"/>
        <s v="i love petflow much better than chewy"/>
        <s v="the ease of changing or adding to existing orders could be just a little easier its muchimproved from what it used to be for sure but it still takes far too long to setup an order for autoship make it easy and more efficient please"/>
        <s v="every order is fulfilled quickly and accurately and then shipped really fast i love petflow"/>
        <s v="was very disappointed with shipping time for this order and delivery information was delayed twice"/>
        <s v="while i wish petflow did not use fedex i did not get my package or replacement package petflow was wonderful through an annoying process"/>
        <s v="quick delivery on the dog food i ordered im thankful for petflow because they carry canine caviar which is a hardtofind dog food my french bulldog does great on this food no allergies"/>
        <s v="petflow has great pricing and fast delivery they also have great customer service who do a fabulous job of following up on your order i will definitely be ordering from them again"/>
        <s v="super easy to order from and they shipped our food and treats quickly"/>
        <s v="quick ordering process and they obtained the prescription from my vet just as quick where other sites never completed the process it was smooth and i will order again"/>
        <s v="the petflow site was easy to navigate i found the size of the dog food bag i wanted for the right price the communication was superb including delivery information  i would order from them anytime"/>
        <s v="happy with my order pup got a really cute stuffed llama that i had my eye on for quite a while price was excellent also bella pate not always easy to find in a retail outlet"/>
        <s v="the case of hill id digestive care was delivered damaged when i opened the case three cans were blown and the rest had visual damage to each can i called pet flow to advise and wanted to send the complete case back to them they said prescription dog food "/>
        <s v="i placed an order for a second time with petflow first time was great however this second order never shipped and upon inquiring about the status i was informed that our fraud department suggested we not fill this order take care what"/>
        <s v="quick cat food shipping fair price and easy ordering all good"/>
        <s v="i ordered two packages of dry cat food  hills prescription diet gastrointestinal biome digestive  fiber care chicken dry cat &#10;i used to order it on chewycom or amazoncom for medical reasons my cat needs this food unfortunately and for an unknown reason  t"/>
        <s v="took longer than we thought but it was ok but everything was good"/>
        <s v="this was a remarkable experience i received the wrong order i meant to purchase  bags of lamb and peas large breed i received lamb and rice i called and the same day they shipped the correct  bags i wanted&#10;this is a model example of perfect customer servi"/>
        <s v="ordered my pets food that needs a prescription you said it was in stock i looked for a way to email the prescription to you but couldnt find one on your site&#10;&#10;i gave you all the information you need to verify and order to food from my vet a week later you"/>
        <s v="product packed well great communication"/>
        <s v="easy to order through my vet and super fast shipping no complaints"/>
        <s v="the product came on time and as described cant wait to order from them again"/>
        <s v="we are now  days beyond the promised delivery date when i contacted the company they said i should have planned better im wondering if the company even has this product"/>
        <s v="first time i ordered from pet flow my order was cancelled by petflow because my items were not in stock after i ordered them however i had been charged via pay pal and then had to wait for a refund needless to say i cancelled my auto shipment and will not"/>
        <s v="my pets prescription food has been out of stock everywhere for weeks i was recommended a replacement to help my cat while i tried to find something in stock but then i found his diet in stock on pet flow so i chose to purchase that almost a week later i g"/>
        <s v="i was told to mail in the prescription for the productthan i got an email that they did not have the product and now i dont have the prescription&#10;it would have been a lot easier if i was told they did not have it"/>
        <s v="petflow has always delivered when expected there have been a very few rare occasions when something happened due to the courier service but petflow made it right immediately also the food i buy is hard to find in local stores but is available through petf"/>
        <s v="very happy with the experience customer&#10;service very pleasant and speed of order sorry the food is out of stock still but would order here again once it comes back in thank you"/>
        <s v="though my order was sent to the wrong address the company made it right by resending the product to the correct address quickly and without a hastle"/>
        <s v="easy to order delivery was great"/>
        <s v="quick shipping and responsive staff to customer inquiries"/>
        <s v="seemed to take a long time from order to delivery but mist disappointing was a couple of the cans were dented and leaked all the liquid throughout the box"/>
        <s v="excellent service prompt delivery able to purchase an item i couldnt find anywhere else"/>
        <s v="needed to return a bag of cat food that my cats did not do well on wanted to exchange for two bags of a different food was a simple process involving one phone call received a return label to send back unopened bag of cat food and received my replacement "/>
        <s v="fantastic service quick delivery and the food was unspoiled and not damaged will be coming back for more kitty thanks you too "/>
        <s v="petflow does an outstanding job when it comes to providing timely deliveries they also have a wide variety of products from which to choose thank yu petflow"/>
        <s v="i have discovered petflow to be a resource to depend on&#10;the last shipment of the blue wilderness turkey of which&#10;i usually order the  pack of   oz cans   free&#10;shipping included was received minus  carton a quick call&#10;to petflow with no hassel resolution w"/>
        <s v="they had great products to choose from that arrive on time and fast for all things i have ever bought"/>
        <s v="there was some confusion about what and when my order was to be shipped after a few messages my order was delivered and all was well"/>
        <s v="i went with petflow for our dogs food because they had the cheapest shipping rate my surprise was although it was the cheapest it was also the fastest"/>
        <s v="ordering was very easy and they had a much quicker processing time than other places customer service was very friendly"/>
        <s v="my latest order of two  pound bags of fromm dog food arrived in a box that had been badly damaged and the top bag of food had a four inch slash in it dog food had leaked out all over my porch and entryway and no doubt in the fedex truck&#10;&#10;pet flow immediat"/>
        <s v="prescription product was supposedly in stock until i found out days later"/>
        <s v="my dog food order always arrives exactly when promised and that assurance is why i have been a petflow customer for such a long time"/>
        <s v="have been getting my dog food auto shipped for many years i am very pleased with the delivery always on time and always in perfect condition i have not ever experienced a problem"/>
        <s v="twice in the past week i have ordered cat food that was shown to be in stock only to get an email a few days later telling me that it wasnt available that is very frustrating and quite annoying and doesnt make me want to order from them again"/>
        <s v="excellent customer service and customerfriendly policies&#10;i had ordered ver diet food for my cat i used  can out of the case and it turned out that my cat was allergic to the food&#10;&#10;oi called petflow customer service to see if there was someplace local i co"/>
        <s v="i had never heard of petflow before but after another company i use for pet supplies didnt have a brand i was looking for i did an online search to find where to buy my product petflow came up as being one of the companies that carried it after researchin"/>
        <s v="fast service and delivery i had emailed customer service and they responded quickly"/>
        <s v="everyone was out of a particular flavor of the food my kitties really like i added my name to be notified when it was back in stock and they did that promptly my order experience was wonderful  everything i ordered came thru promptly and in good order can"/>
        <s v="got the wrong product they did reach out but still waiting to see how we go about sending it back and get our refund&#10;fran dolmage"/>
        <s v="i place a large order for dog and cat supplies on wednesday it received an order confirmation with tracking number the following monday i recieved an email saying my order would be delivered tomorrow tuesday by end of day&#10;when my order did not arrive tues"/>
        <s v="website was easy to use but unfortunately it said that one of the items i purchased was in stock but days later i received an email that said that they actually did not have it in stock since its backordered they said i wouldnt be charged until they actua"/>
        <s v="was so happy to find and buy these bowls&#10;needed small ones  &#10;needed stainless steel  &#10;needed weighted bottoms  &#10;pretty fast shipping  &#10;thank you so much petflow"/>
        <s v="prices are reasonable shipping is fast happy with the ordering"/>
        <s v="my order was cancelled because my vet for some reason wouldnt approve the prescription food request from petflow and said i had to give petflow the written prescription i have i could not find a way in petflow systems to upload the prescription form on th"/>
        <s v="you guys really should say that you have products available for purchase if you literally dont have any in stock"/>
        <s v="st order  most cans dented  unusable customer service ordered replacement the replacement got cancelled as they were out of stock i had to call again to get the refund the system didnt know it was a replacement&#10;&#10;a week later their site says in stock so i "/>
        <s v="get my name right i did happen to type it out on my information portion of my account not hard figure out"/>
        <s v="best price service and product"/>
        <s v="great price the shipping was good and everything arrived as expected i will order from petflow again"/>
        <s v="absolutely terrible they list food in stock that they dont actually have they then hold funds for two weeks to then cancel the order&#10;&#10;get organized and be honest about what you really have in stock"/>
        <s v="always get what i order in a timely fashion"/>
        <s v="they executed the order beautifully the box arrived as expected i ordered sealed dog treats so i have not opened fully yet&#10;&#10;this is my second order and they have not done well on both"/>
        <s v="one of the few places that has grain free greenies and can ship them expeditiously"/>
        <s v="the product i ordered was shipped and delivered within  days thats amazing"/>
        <s v="i was lied to from customer service they also implied that i was stupid we live out in the sticks and they tried to convince me that fedex was going to deliver to me on easter sunday i do not appreciate being lied to"/>
        <s v="your delivery is exceptional i am also pleased that you carry fromme&#10;there arent a lot of pet stores that do"/>
        <s v="easy to order great prices fast shipping&#10;thank you petflow"/>
        <s v="always have what i need and receive it in  dsys"/>
        <s v="you take orders for items you dont have available"/>
        <s v="order filled promptly and delivered very timely great service"/>
        <s v="there was a bit of confusion between petflow and the vet i received an email  days after i placed my order saying the vet had yet to respond to the prescription the vet said they had no record of being contacted but after i gave the phone number to the ve"/>
        <s v="shipping quick and correct products excellent and as described"/>
        <s v="easy convenient to use one of the items i ordered was no longer in stock i was notified and refunded immediately there is a wide range of products available to chose from at very competitive prices great service"/>
        <s v="my dog now needs kidney support food i ordered her kibble and pet flow contacted my vet for authorization we had her new food in  days thank you pet flow for being so prompt in responding to my request"/>
        <s v="advertised dog food they didnt have felt i was suckered in to get personal information ordered food twice website said in stock they canceled both orders saying didnt have yet didnt change status on the website had also enrolled in autoship website wouldn"/>
        <s v="i ordered food and have been waiting for a response let you with my vets numbers and even left a text per instructions and nothing im still waiting for any sort of reply"/>
        <s v="i ordered a type of prescription dry cat food made by hills hills said you had i in stock and so did your website i placed my order with veterinary information for prescription approval this probably took one day not more than two but as time went on i re"/>
        <s v="awesome company will definitely be using them moving forward to order my dogs food "/>
        <s v="item showed in stock took almost a week for them to state it wasnt available and to check back for when its in stock yet when i looked at their website they didnt change the items availability so just keep taking peoples information even though its not av"/>
        <s v="when i order it says you have product a week later you say you dont have it and cancel order you need to change this no for sure what is in stock this has happened to me before non way to run a business you dont care about the customer doubt i will order "/>
        <s v="we have ordered dog  puppy food from petflow for many years and always received excellent service on our last order of  bags one of the bags was out of the box it had been torn open and taped shut with clear shipping tape there was a fed ex label on it re"/>
        <s v="easy ordering and perfect delivery"/>
        <s v="product bought as advertised online sales works perfectly shipping was fast this is my second transaction with this company and am very pleased"/>
        <s v="ordered veterinarian prescribed food for diabetic cat and was advised through email it will ship within  days was then emailed  days later with a full order cancellation not being aware of how to fulfill orders due to inventory issues is one thing and und"/>
        <s v="ordered but had to update my credit card thought the order was canceled after several attempts after updating the card all orders went through and were processed now i have three bags of food and spent more than that i intended to"/>
        <s v="placed order based on website saying product was in stock vet approved prescription dog food in one day contacted customer service twice over  days to determine order status finally on day  we received an email saying the product was not in stock and refu"/>
        <s v="the petflow website listed for sale prescription cat food that it turns out was not in stock when i ordered that food apparently no one checked whether it was in stock and my order was processed i then had to jump through a number of hoops to get to them "/>
        <s v="one of the kitty litter bags had small tears in it so about a third of a cup was spilled in the box"/>
        <s v="this was a good experience overall products we wanted were available and reasonably priced we even tried a new product that is now a hit in our household  thank you"/>
        <s v="petflow has everything i was looking for the items i ordered were delivered promptly without any damage to bags of kibble or cans ill definitely keep ordering from petflow"/>
        <s v="never received the product after a couple weeks the order was cancelled since the product was never available to begin with apparently petflow has no idea what their inventory actually is i was never actually charged for the product"/>
        <s v="i love petflowcom because they are not the big guy they are all pet passionate people like me they carry products i trust"/>
        <s v="simple to order and came amazingly fast"/>
        <s v="your customer service was as usual excellent but the delivery service was not up to par because they changed the delivery date a few times tho that may have been due to weather problems which understandably is out of anyones control"/>
        <s v="great competitive pricing the only complaint is they make it difficult to cancel existing programs you have to place a phone call in order to do this they do not make it possible online through your account"/>
        <s v="customer service was easy to get in touch with and very courteous"/>
        <s v="customer service responds quickly very helpful  courteous a pleasure to do business with"/>
        <s v="the item i ordered was  and still is  shown as stock on the website it is not in stock had it been out of stock i would not have placed the order when i called petflow to see if they had inventory they told me they could not check because the prescription"/>
        <s v="mostly all my goods are damaged cans are bent and creased and half the treats are in the bottom of the bag for my rabbit treat sticks"/>
        <s v="i am aware no one can predict the weather but this particular order was important on two separate occasions i was informed my order would arrive  as it is i am still waiting below is the time frame which honestly is ridiculous&#10;your package is&#10;on its way&#10;s"/>
        <s v="i am very satisfied with petflo and the customer service i had to call to make a change with special instructions before my delivery and the representative was able to take care of that for me promptly without any hesitation or any issues i would definite"/>
        <s v="i will start by saying they always have what i need in stock which is a huge plus my two main issues are longer shipping times and the last time i ordered i accidentally ordered the wrong size can of food because the picture was of a smaller can it was my"/>
        <s v="high quality difficult to find dog food at reasonable prices fast delivery with free shipping with minimum purchase of  i believe is the current threshold been ordering fromms gold dry dog food from them for years and it is always fresh and genuine its th"/>
        <s v="i love petflow the site is very userfriendly and customizable&#10;i dont like shopping and their home delivery makes getting my pets food a breeze&#10;and they carry my preferred brands"/>
        <s v="i looked everywhere for this particular hills science diet adult tender chicken dinner canned cat food  to  yrsand you folks were the only online business that carried this product for my cat it arrived safely at my frontgate i live in a very rural area o"/>
        <s v="i have used pet flow foe about  years they have any thing you want&#10;relative to dogs and deliver it quickly they can put you on a program for delivery so you dont have to call them they also can deliver to other addresses if you happen to be out of town fo"/>
        <s v="they kept messing my order up double charged&#10;and one of the phone operators was very aggravating"/>
        <s v="on my first order i ordered one small bag of dog food my dog has a few food allergies and this was a new flavor so a  pound bag would do upon arrival i always check the expiration date on all food i order and noticed this bag was about to expire i wasnt c"/>
        <s v="shipping was not as quick as it said but once i called them they looked into it they made sure it went out that day"/>
        <s v="shipping is fast and dog food is fresh"/>
        <s v="quite frankly my disappointment is because i really didnt order this time my order was processed without me hitting the accept button it was sent any way"/>
        <s v="i chatted with a rep to see if petflow carried taste of the wild wet food it was out of stock and rep asked if id like and email when the product came in they emailed me it was in stock i ordered it and it was delivered my dog is a very happy pup now&#10;than"/>
        <s v="had a difficult time find the dog food and found it here quick delivery"/>
        <s v="you charged me for prescription cat food and for non prescription cat food but only delivered the nonprescription cat food"/>
        <s v="one of the few sites that has fromm dog food quick free delivery i also like your give back to the pet community policy"/>
        <s v="fair prices and very fast free shipping i will shop here again"/>
        <s v="fair prices fast shipping large assortment of products"/>
        <s v="i ordered a prescription dog food that was listed as available then wasted time and attention coordinating with our busy veterinarian was never advised the item was on back order and had to reach out to the company to find out the dog food hadnt been sent"/>
        <s v="easy online ordering usually has what i need but doesnt ship as fast as other companies"/>
        <s v="it has been almost two weeks and i have not received my order i called to inquire where it might bei was told to call fed ex the folks at fed ex told me they couldnt deliver my package because the road was to muddyalthough the mail has been delivered ever"/>
        <s v="ordered two items but only one was available real time inventory to indicate whether stock is available for purchase would help the customer"/>
        <s v="great selection great prices great service"/>
        <s v="i am unable to cancel my automatic shipment why is it so difficult"/>
        <s v="i was able to purchase cat food here that i couldnt find anywhere else delivery was quick"/>
        <s v="my order did not arrive on time and my puppy was getting low on food but their customer service was friendly and willing to do whatever to make it right i appreciate the customer service and how easy it was to connect with someone through text to explain "/>
        <s v="the canned cat food i ordered from petflow was out of stock at other major online pet supply retailers for extended periods of time this special food was less expensive at petflow and arrived quick my order was packed in a sturdy box with adequate packing"/>
        <s v="i have been trusting my pets needs to petflow for several years now my food is on auto delivery and can be changed as needed with no problems the customer service has been excellent i have had a small issue here and there and they take care of it right aw"/>
        <s v="right in time delivery fresh food my gsp thanks yall"/>
        <s v="good company to deal with"/>
        <s v="great user friendly site delivery has been fairly quick too i appreciate the auto order program"/>
        <s v="i placed my order for my dogs kibble it arrived in  days amazing so happy with petflow"/>
        <s v="petflow makes it easy to use their autoship easily change the datesthey let you know when its getting ready so you can speed it up or slow it down and the dog food prices are very competitive plus its delivered to my door"/>
        <s v="excellent service quick delivery"/>
        <s v="i received the wrong size canned dog food they could not help"/>
        <s v="do not buy first order wrong canned food then didnt have inventory to send correct food with no time line then requested refund after i returned wrong food next day to them and still one week later no refund"/>
        <s v="quick and efficient delivery of prescription dog food that was out of stock at other online retailers petflow contacted my veterinarian right away for approval after i placed my order very happy with the customer service"/>
        <s v="excellent customer service and lightning fast shipping the fromms crunchy os are my dogs favorite treats and i couldnt locate them while traveling on our rv i found petflow and stocked up"/>
        <s v="excellent customer service and amazing shipping thanks for making it so easy to order"/>
        <s v="great shipping"/>
        <s v="excellent service fast and friendly"/>
        <s v="the order was shipped quickly and with no problems an easy smooth transaction"/>
        <s v="made the switch from the other options out there about  months ago and could not be more impressed from the selection freshness of product speed of shipping that puts the others to shame  not to mention arriving very securely packed without the dented can"/>
        <s v="i needed an addition to my regular order and it was taken care of efficiently and expeditiously"/>
        <s v="ive been a customer of petflow for  years and they are an excellent reliable company i rarely have an issue and when i have its usually not on their end but more so on the shipping and delivery end nevertheless petflow customer service always makes it rig"/>
        <s v="best company to deal with unbelievable customer service"/>
        <s v="love buying from petflow prices are great and shipping is super fast am a repeat customer"/>
        <s v="great online store&#10;lots of products good prices&#10;and excellent customer service support team"/>
        <s v="i give one star because i never actually received the dog food i ordered i placed an order for prescription dog food received notice there was an issue with the prescription so i called the vet but was told the issue was not on their end then petflow canc"/>
        <s v="i have a legged cat that was shot before i adopted him willie is a special guy on a special diet i was running low several pet food outlets said they had none and werent expecting to get any maybe it was discontinued&#10;i should look for a replacement&#10;i foun"/>
        <s v="products have always been delivered on time website for updatingcanceling orders has had glitches on several occasions"/>
        <s v="i thought it took to long to receive my order"/>
        <s v="hands down the best price in bulk cow ears for my dog a local shop wanted twice as much for the exact same product customer for life here"/>
        <s v="i was looking for a place that sold the food i need for my dogs at a good price and i have found it"/>
        <s v="i have been trying to find a prescription food for my cat and was delighted when petflows website said they had it in stock unfortunately it turns out that its probably not in stock the website should be updated appropriately responses to my emails were q"/>
        <s v="easy to navigate web site fast and efficient online ordering and delivery"/>
        <s v="the shelves were bare for the cat food that i have been feeding my cat and i couldnt find her food anywhere i called the company that makes her food they were out too but i was told of a place to call low and behold they had her food so i bought a case an"/>
        <s v="treats almost expired in a very recent order i purchased multiple bags of merrick dog treats  i just realized they all expired already"/>
        <s v="no other supplier had this cat food and my cat really needed it fast delivery and service ill buy again"/>
        <s v="i am a returning customer pet flows prices and their customers service are exceptional i will not shop anywhere else for my doggie food"/>
        <s v="i couldnt find my yellow lab her food anywhere  im used to it being delivered on a regular basis my vet found you online and let me know thanks to you she has her regular diet "/>
        <s v="petflow provides and delivers product as expected the fourstar rating is because of their return policy which is stricter than the other online pet sites"/>
        <s v="great customer service and very fast delivery thanks"/>
        <s v="petflow has always come through on my orders delivery is prompt only issue is every so often delivery service is a little rough with the package  but thats on them not petflow only once damage was excessive called petflow and they took care of it"/>
        <s v="our cats require a prescription food petflow has always had it in stock when others have been out of stock a real life saver weve never had any issues with petflow"/>
        <s v="our order shipped so fast very happy with you"/>
        <s v="i ordered  cases of canned dog food one case turned out to be something different so i called petflow and they gave me a credit for the wrong food&#10;i donated the case to a local animal shelter and i was happy with their service"/>
        <s v="great price on the right product when i needed help with the order telephone help was easy and effective with no wait time"/>
        <s v="petflow has the products i want at a reasonable price delivery is great"/>
        <s v="very hard to find my dogs prescription food but you had it and sent it to me quickly thanks so much"/>
        <s v="i truly love all the products my dog ginger loves them too you are an excellent company i really love doing business with you you are fast and i have never&#10;had a problem with you thanks connie sower"/>
        <s v="great company to work with provides excellent customer service"/>
        <s v="been very happy with the price i pay for my dog food good selection of other items for my dog fast delivery"/>
        <s v="best customer service calls are actually answered quickly by humans that are always helpful and resolve issues"/>
        <s v="my last order was supposed to be  canine caviar buffalo toothpick dog treats  i was sent one in a box so i was  short not the first time that has happened either the most frustrating part about this time was that when i called customer service they said t"/>
        <s v="vet approved and im a vet "/>
        <s v="i never received my order told my credit card was not valid it was a good credit card there was nothing i could do to correct any info so as a result i will not be using your website sorry i like convenience of shopping on line"/>
        <s v="the entire process of getting my dogs prescription liver support dog food was quick and easy"/>
        <s v="great prices fast shipping and easy to use website whats not to love my new goto place for everything my maltipoo puppy needs"/>
        <s v="your customer service team is fast efficient and respectful thank you for hiring outstanding people"/>
        <s v="whenever ive contacted customer service they have always been very helpful and so nice their pricing is great and shipping is fast"/>
        <s v="i am very satisfied with petflow feed products i find this company dependable while trying to keep costs within reason for the consumer i like the convenience of many products available for dogs as well as cats free shipping is appreciated with prompt and"/>
        <s v="my order was accurate prompt and a good competitive price so thankful we found you we will be reordering for our sweet pups and kitties"/>
        <s v="first shipment of dog food was good second shipment had the wrong food shipped"/>
        <s v="they had what i was looking for  delivery was quick and easy"/>
        <s v="love the selection and the speedy delivery"/>
        <s v="i used amazon subscribe  save for years but in the last couple of years it either is not in stock or shipping takes  days petflow has no supply issues ships immediately and is cheaper needless to say i have switched both subscriptions to petflow"/>
        <s v="my dog needed her prescription dog food my normal supplier had been out for sometime i was in a panic reached out to petflow explained the situation how most pet suppliers were out of stock of the hills id small bites food petflow reassured me that they h"/>
        <s v="petflow never fails to provide quick turnaround times and has the food thats best for my dog their customer service folks are the best"/>
        <s v="they have the dog food i want at a price i like"/>
        <s v="ordered little stinker pads received in record time good price"/>
        <s v="fast ship&#10;great product line"/>
        <s v="i was excited to find petflow i ordered my cat food on march  it is now april   i have yet to receive my order i am waiting and hoping it will come soon"/>
        <s v="petflow had my hard to find dog food in stock ordering was easy and shipping was very fast  days second time ive used them and will continue to do so in the future"/>
        <s v="easy ordering quick delivery great customer service"/>
        <s v="i am pleased with the ease of ordering ive found quick delivery on canned food but the large bags of dry food usually take a lot longer to receive"/>
        <s v="everything went very well&#10;thanks for thst"/>
        <s v="although their losing me as a customer is out of their control im unable to give them a better review&#10;perhaps if their leadership would utilize a more reliable carrier than fedex theyd get my business back&#10;they do have excellent customer service and i lik"/>
        <s v="ordered hills rx dog food item was shown as in stock with anticipated shipping date order was accepted days later i received an email stating food was out of stocki thought good was on its way and it wasnt even in stock not a good experiencefirst and last"/>
        <s v="excellent website that makes ordering pet products a snap especially repeat orders really appreciate the fair prices and reasonable shipping rates"/>
        <s v="web site shows product prescription pet food in stock we ordered it and were charged called to check on order and told it will ship next monday several days later i get an email saying the product is out of stock and my order is being cancelled so now im "/>
        <s v="purchased a cat harness sizing was accurate and quick delivery"/>
        <s v="i like the great service with petflow alot time and time again they have what i need for my pup"/>
        <s v="all went well thank you"/>
        <s v="these ppl are so dumb dont bother with a third party place was with chewy for five years never had a problem had to switch to these  for prescription food been with them for  months and had to call  times in one wk bc they couldnt get anything right its n"/>
        <s v="quick service company had product not available at other sites"/>
        <s v="petflow was the only store i could find that had the cat food i needed in stock their price was competitive and they had free shipping the case of food arrived right on time"/>
        <s v="fast shipping good communication "/>
        <s v="great quick service always reliable"/>
        <s v="excellent customer service i had a problem with one of the items in my order but the issue was quickly resolved i highly recommend pet flow"/>
        <s v="you showed  oz cans in the photo and sent me  oz cans&#10;very misleading"/>
        <s v="this company took my order for prescription dog food and sat on it over a week before canceling my order because it wasnt in stock by then my sick dog had run out of food and i had to order from somewhere else"/>
        <s v="not much to add to the  stars i had to call them about my billing address and they were great to work with  friendly attentive and very helpful"/>
        <s v="i have only done  set of purchases so far but am very pleased petflow had cat food that pretty much all other sites and stores do not and delivered as quickly as chewycom would have"/>
        <s v="petflow had our hills prescription food in stock and shipped it to us in j just a few dayschewy stopped stocking our food a while agothank you petflow"/>
        <s v="product in stock as needed and always shipped promptly"/>
        <s v="we are elderly wonderful that the heavy dog food bags are delivered to our front door"/>
        <s v="you keep on accepting my order and then you later say it is out of stock why not refuse to accept the order that you do not have in stock"/>
        <s v="you asked so even though i know it is horrid times to expect our shipments to to be filled  because it was my dogs only source of food and not to be notified until shipment day you didnt have it wasnt what i would have expected notification so i could fin"/>
        <s v="service was awesome wrote an email asking about my order and it was not even an hour and i heard a response i am a customer for good now"/>
        <s v="i have a cat who has no teeth&#10;finding squeeze treats he likes has been a challenge&#10;my cat loves these treats&#10;plus they are healthy treats"/>
        <s v="good fast service good prices"/>
        <s v="im very satisfied with my order from petflow due to the product i ordered petflow had to notify my pets veterinarian  they did this quickly&#10;therefore i received my order within days&#10;i will definitely be ordering from them again"/>
        <s v="you had what we were searching everywhere for unfortunately  days afterwards the quantity was cut in half  stars for a full order but only  for taking away a bag of rabbit cookies"/>
        <s v="horrible the lack of communication with the company and warehouse i called and was told i would receive a call back and never did they had me counting on a shipment for over a week and canceled it  days later due to no product  and for me to find outi cal"/>
        <s v="excellent service of our favorite dog food fromm is the best food"/>
        <s v="website is easy to navigate great pricing and orders ship out quicklyautoship makes it simple to ensure ms hunter always has her favorite food in her bowl"/>
        <s v="glad i found you shipped order right away you made my dog very happy"/>
        <s v="my  year old diabetic cat was out on a diet of royal canin pv diet absolutely no one had this food i found petflow while surfing the web one night and saw that they had the food i needed i ordered the food there was a bit of a delay with my prescription a"/>
        <s v="petflow is awesome great customer service"/>
        <s v="fantastic customer service great prices fast shipping i am trying to purchase less from large retails like you know who and havent had to for any pet food or most pet supplies since finding petflow"/>
        <s v="dog wont eat the food is so stiff if wont come out of can"/>
        <s v="my second time buying my pet food at petflow  what i like the most is the possibilito buy two packs with a better price the delivery is free and is ok  not to fast but ok  is good to know that it took to  days to delivery than you need to buy in advance"/>
        <s v="the process to order a prescription food is ridiculous the instructions on how to handle the prescription are incredibly unclear and the expected timeline of when your order will be delivered even more confusing i placed my order immediately emailed the p"/>
        <s v="great service you had the cat food i needed when every other place was out of stock prompt delivery thanks so much"/>
        <s v="availability of special diet and fast friendly customer service"/>
        <s v="no problems quick and efficient"/>
        <s v="great customer service always have the products that i need when i need them thank you petflow"/>
        <s v="i have been ordering from petflow for sometime now and i truly love it  its hard to find certain brands like fromm from your local pet stores so i airways shop here did i mention shipping is pretty fast i am happy customer"/>
        <s v="i was able to find the food for my cat herehe has ibd and can only eat certain foods these kind people give great service answered all my questions im very pleased with pet flows service"/>
        <s v="i buy crickets very often i got  and  were dead usually always there are some dead but this time the number was higher not good"/>
        <s v="very satisfied with my order i was notified when the treats my dog eats were available they contacted her vets for the prescription information  sent out immediately"/>
        <s v="ordered prescription food on a time crunch confided x with customer service it was ordered confirmed and waiting to ship and then finally cancelled after a week horrible service"/>
        <s v="my dogs love the buffalo treats great value and service"/>
        <s v="they always have what my parrots need and everything is fairly priced"/>
        <s v="i was able to connect with customer service about issues with my prescription and they took care of it and i received my cat food thank you"/>
        <s v="very user friendly process good variety of product reasonable prices love the free shipping with orders over  keep up the great work"/>
        <s v="good products and good service and delivery"/>
        <s v="my dogs food was not available where i usually purchase it so i tried petflow they had the food and i received it the next day i was so pleased to find a company that stocks the dog food i use and sends it quickly and efficiently i have since used petflow"/>
        <s v="after being informed in the th hour from another site that my auto ship dog food was not in stock and the order could not be filled i went to the pet flow site they had the food i needed and it arrived as promised i was very impressed and grateful"/>
        <s v="first shipment was short contacted customer service via email and a replacement item was shipped immediately great customer service"/>
        <s v="very happy you carry verus delivery is quick&#10;thank you"/>
        <s v="petflow was fantastic food was in stock at a great price  even though bigger companies did not have it claiming supply chain problems delivery was super speedy customer service prompt and friendly highly recommend"/>
        <s v="i was relieved that petflow had the urinary diet food for my cat when other big name pet suppliers were sold out ordering ease and timely shipping were other plus factors"/>
        <s v="my vet recommended this website for my prescription cat food i enjoy the fact that you can add promo codes when they arise for online auto ship orders i am also able to get my cat litter&#10;&#10;the only issue i have is that petflow does not sell multicat tidyca"/>
        <s v="have been a satisfied customer for a while with pet flow&#10;more importantly our dog gets excited when his box with his favorite treats arrive&#10;pet flow has acceptable prices and prompt service on their high quality products"/>
        <s v="they were fast with the shipping and awesome prices"/>
        <s v="i have never had to wait so long for an order from pet flow my poor cat has run out of his special diet food and we have been waiting for i order both canned and dry food for him and his canned food is in back order im disappointed on how long ive had to "/>
        <s v="i do like pet flow as my go to food delivery system sometimes the products are a day or two late one of my deliveries actually contained two  lb bags in one box which i was not happy with also i would appreciate some packing like paper or something to cov"/>
        <s v="fast shipping great price and the dog food we needed we couldnt be happier with the transaction thanks petflow"/>
        <s v="i have purchased the oxbow organic hay before and oxbow is a great company the products were fine and the time it took to get the order out was fast however fedex lost the first order not unusual the customer service rep at your company was kind enough to"/>
        <s v="there is obviously a shortage on royal canin cat food and i called royal canaan and they recommended this site so i ordered a case and when they were filling my order they didnt have any so that was that and and i still dont have any food ordered for her "/>
        <s v="i have used pet flow for years and theyve always done a good job and provided what i needed this time they didnt have what i needed and they were a little late in letting me know but other than that i have no complaints"/>
        <s v="i placed my  order for prescription dog food on a sunday night received someone elses order on thursday called customer service and advised of issue asked that they ship correct order at no charge with overnight delivery was told they wont ship overnight "/>
        <s v="excellent service fast delivery"/>
        <s v="impressed the dog food arrived in perfect condition in a box that fit the bag something that doesnt happen with other companies"/>
        <s v="i love petflow for great customer service fast and reliable service great dog food for my babies in great price&#10;im petflow customer since i became doggy mommy almost  years ago my  golden retrievers are doing amazing on farmina food"/>
        <s v="i adore petflow i love what the company is and stands for and the donations they make unfortunately they just dont have everything i buy for my pets so i find myself going through other companies to get them i would love to see them grow though and offer "/>
        <s v="good service although a bit slower than our other service which may have been due to the vet not responding promptly"/>
        <s v="this was my first time ordering with petflow and i must say it was great it was a prescription food it was faster than ordering with chewy would highly recommend"/>
        <s v="had the product my babies needed when everyone else was out fast and easy checkout and fast shipping"/>
        <s v="quickly received ill be back "/>
        <s v="great service had the items i needed and i love the giving back to needy animals"/>
        <s v="i get the same dog food every time last time i ordered it took longer than expected to receive it but this time it was tracked and arrived earlier than expected totally satisfied"/>
        <s v="great service good prices"/>
        <s v="normally i am very happy with petflow with the exception of some packaging missteps this time it just took too long to get here but everything else was good not sure if that was due to the shipping issues the country is having now or if it was internal by"/>
        <s v="i received a substitute product that would not work in my household of pets i called and immediately the product i had ordered was sent to me from a different warehouse"/>
        <s v="great to deal with fast shipping highly recommend"/>
        <s v="fast shipping not a big selection of fish products but what they do carry have very good prices"/>
        <s v="all of my normal vendors were out of my babys food but i was able to order via petflow and it arrived within  days thank you"/>
        <s v="i am very happy to have found petflow i run a neonatal kitten rescue and it is vital i am able to find the same productsfood i use on a daily basis not being able to find and purchase certain foods is critical for some kittens i only leave one star off be"/>
        <s v="petflow was the only location i could find the prescription food i needed for my cat everybody else was out of stock it took  business days to get the vet approval and to receive the order longer than other vendors but at least they had what i needed over"/>
        <s v="after i gave my credit card info and counted on receiving the shipment i was then told later on that it was out of stock"/>
        <s v="the order process was great as wellas the returns my dog food that i ordered came in a package all tore up delivery by fedex which i have issues with with other shipments from now on i will not be buying anything on line from companys that use fedex"/>
        <s v="waited  months for my cats favorite wet canned food to come in finally got a notification that it was in and would be shipped to me i noticed the address was incorrect  old address so i corrected it after another week i got a notification that it would be"/>
        <s v="i just ordered from petflow for the first time and had a great experience the food i needed was in stock and i was able to get a discount as a firsttimer the package arrived promptly i have no complaints"/>
        <s v="good selection prices and delivery"/>
        <s v="love love petflow they had my cats food in stock when no another vendors have it and shipping is fast thanks again petflow for keeping my cat happy"/>
        <s v="i was grateful to find petflow because they were the only company online or in store that had stock of my furboys prescription food as a pet parent i was panicking they handled contacting our vet for the prescription  had the food to us within a week than"/>
        <s v="well considering i only got part of my order and nobody knew where the rest of it went and they had to reissue it as well as it being prescription food and first time ordering with company id say it didnt go well"/>
        <s v="had competitive prices with other online retailers customer service prompt and pleasant when i called with a question fast shipping all as expected had products when other online retailers were out of stock"/>
        <s v="easy orderinglove getting the discount  really helps in this day and time please continue offering more higher discounts and customers will choose you every time shipping was quick great packaging thanks"/>
        <s v="great prices on fromm dog food fast delivery on a great product"/>
        <s v="i have shopped petflow for years and have always gotten accurate orders fast shipping and very good pricesespecially with autoship"/>
        <s v="i didnt get the flavor cat food i ordered  its my cats favorite and the reason i ordered from you"/>
        <s v="i have ordered from them only a couple of times but i received good service and a timely delivery"/>
        <s v="great service fast delivery "/>
        <s v="petflow shipments are always late will not be ordering from petflow anymore"/>
        <s v="always helpful customer service ive been with them for more than ten years much easier than schlepping to the store every month to buy their food i have five doggies"/>
        <s v="price is reasonable slow on shipping and several of the cans were dented and caved in so will check careful for leaks before i feed my dogs"/>
        <s v="i love the service its so quick and every order is always correct"/>
        <s v="petflow since they came online has been an important part of my supply chain&#10;reliable  good prices  helping animals&#10;thank you"/>
        <s v="petflow took care of my request and shipped my order rapidly this was much apppreciated"/>
        <s v="great product fail on fedex ground delivery&#10;driver didnt delivery on first attempt drove past my house need to address this"/>
        <s v="i was truly in a bind trying to get prescription cat food fast for my cat with a newly diagnosed urinary tract disease the gentleman i spoke with over the phone was compassionate toward my situation and genuinely helpful in quickly getting my prescription"/>
        <s v="petflow has been excellent with every order i have placed i will continue to use this company and products"/>
        <s v="usually a  this was only a  as one of the cans was dented"/>
        <s v="petflow carries the brands of foods i use for our cat  guide puppy in training our guide dog school likes us to use fromm family foods fromm is made in the usa  fromm brand is not carried by many stores or online shops auto ship helps me be sure not to ru"/>
        <s v="fast shipping new customer very happy autoship prices are very good"/>
        <s v="competitive pricing dependable shipping and carries prescription food at better prices than the vets office offers"/>
        <s v="first time using this business and it was a very positive one i ordered a large bag of victor dog food and it was delivered very quickly will use them again"/>
        <s v="very helpful and extremely friendly"/>
        <s v="the only place i can consistently find my dogs brand of food easy to ordrr and fast shipping prices are reasonable as well with autoship the prices are even better"/>
        <s v="i purchased science diet wet puppy food for my new puppy and he refused to eat it i contacted customer service by email and explained my situation that same day i received notification that i was being refunded my purchase price&#10;that is excellent customer"/>
        <s v="i purchased an item online said only two left i ordered two got an email the next day they were our whats the point of having an inventory notice online if its not accurate and other orders are allowed the product you just paid gir disappointing"/>
        <s v="horrible buying experience i will never buy it from you guys again"/>
        <s v="wow customer service fast and genuine  but this is also a rare company that gives back in amazing ways sure they are smaller but thats where usually the care happens thank you petflow"/>
        <s v="since there is a shortage of my dogs prescription diet i called several times to get information on deliveryevery time i had a helpful and friendly employee on the phonethey understood my concerns and did everything possible to helpmy pup got his food tha"/>
        <s v="i would give it  stars except that the flap doesnt quite close otherwise it is a good door for the price that allows my year old great dane not to have to stoop as much as he goes through"/>
        <s v="easy to order and at a great price so impressed that i chose to have a standing order for our beautiful breezy"/>
        <s v="quick response time and friendly customer service"/>
        <s v="i like that pet flow is accurate with the information they share with me and the options i have with my orders thats really important to me id also like to ask that the dm food i get from now on be the savory select cat food instead of the pate which my c"/>
        <s v="happy with the product however when i ordered it said it would ship immediately and  days later it finally shipped i needed the dog food and with that  day delay it made me go purchase a smaller bag to get me through"/>
        <s v="very easy online ordering and pretty fast delivery im not able to purchase fromm dog food where i live i actually found petflow on fromms website"/>
        <s v="very fast delivery"/>
        <s v="i ordered the dog food on march th still waiting delivery its been almost two weeks my orders from pet flow in the past have been delivered quickly"/>
        <s v="shipping takes too long but i can deal with that what is unacceptable is when you have items listed in stock when you really dont specially when it comes to items that need a veterinarian prescription i dont care how big of a company you are thats why the"/>
        <s v="very easy to order prompt delivery of product ordered"/>
        <s v="my order arrived in a timely manner beautifully packed with recyclable materials i received discounts that compare favorably to other online pet suppliers i wanted to order fromm products and fromms familyowned company will only sell through certain compa"/>
        <s v="pet flow was willing to sell me a product they did not have in stock pet flow said that the manufacturer hills science diet had the pet food in their warehouse i telephoned hills science diet and they also report not having the purchased cat food in stock"/>
        <s v="in my last order for dog food to petflow the order was first just later than expected when i called up customer service i was told that orders were piling up at petflow but that the order would be given an expedited designation by the customer service per"/>
        <s v="best company ever ive used them for years theyre dependable and refund your money if your dog reacts badly to a new food or treat etc or if a treat they sold has been recalled by its company which is not petflows fault their prices are even lower than che"/>
        <s v="great service arrived quickly and got exactly what i ordered"/>
        <s v="my dog loves this dog food and it was very quick getting to us thankyou"/>
        <s v="product almost always in stock good variety of the brands my dogs use quick delivery but the packaging always arrives damaged likely because its just too heavy"/>
        <s v="i ordered two bags of dog food and it was delivered in a beat up box and dropped  feet from my covered porch in the rain sure the seller didnt leave it in the rain but are responsible for the safe arrival of the package my star rating is because i contact"/>
        <s v="ive been buying from petflow for years and im very happy with their products and prices the only issues i ever have is with the delivery companies constantly changing the delivery date otherwise i love petflow"/>
        <s v="service was good and efficient price seems a bit high pound bag of dog food was twice the price i would have paid for a  pound bag at walmart but with transportation down would order again"/>
        <s v="petflow always comes through for me no complaints"/>
        <s v="perfect timing to get my prescription food for my kitty"/>
        <s v="until now i have had no issues with petflow  order food for dog  dog food delivered promptly&#10;&#10;this time i ordered the dog food as usual and have waited waited waited for it to be delivered three days after getting this request for a review i have finally "/>
        <s v="this is the only place that has my dogs treats customer service has been great with changing a delivery date due to weather and checking on expiration dates"/>
        <s v="you got always what i need for my pets and more and the shipping is always on time"/>
        <s v="super slow at shipping that makes me not use them often"/>
        <s v="excellent service delivery etc i love petflow"/>
        <s v="im so happy to have found you you will have a customer for life"/>
        <s v="my box was damaged along with the contents inside i emailed explaining what happened and was not satisfied with the customer service will never be ordering from petflow again and will tell everyone i know not to horrific"/>
        <s v="fast excellent service"/>
        <s v="good prices and fast delivery i will continue to order from you all and recommend your site"/>
        <s v="i placed my order and then called tomake sure that the product was in stock i was told the product i wanted  oz can was not available but they would change it to the  oz cans i told the gentleman that it wasnt my first choice but if he promises thatthe pr"/>
        <s v="i love petflow shipping is fast customer service is great and i especially love the fact that they feed shelter animals every time you make a purchase"/>
        <s v="excellent service dependable"/>
        <s v="we are very happy with petflow they always have exactly what we need and we receive all products in a timely manner"/>
        <s v="with petflow i have been able to find good quality pet supplies at exceptional prices and i usually receive my order the next day i have no complaints"/>
        <s v="i contacted petflow about getting food for my dog the representative had the information already on file and was extremely helpful she notified me of the automatic refills and i received the food after three days very efficient and i would recommend this "/>
        <s v="product was great but delivery took  days to long for the premium price"/>
        <s v="you usually deliver quite quickly but this took a week in addition there was just one sheet of brown paper and many of the cans were dented"/>
        <s v="real quick in shipment and correct itemresonable price"/>
        <s v="ive always had good experiences with pet flow but the last order had some issues a bag of dry dog food had a hole in it and some of the cans were dented pretty badly well i contacted their customer service and they sent out a completely new order for free"/>
        <s v=" times i have ordered from your company and each time the shipping has not been what was stated it has each time shipped later than the stated ship date when i would inquire there would be excuses your prices are the same as competitors but their shipping"/>
        <s v="the petflow folks are always helpful great products for my animal kids  thank you"/>
        <s v="would not accept a copy of the prescription for medications wanted it mailed caused further delays other online firms dont require this"/>
        <s v="i am very pleased with petflow  the pet food i was needing was not in stock at a local big box store that normally has the best price petflow had it in stock smaller poundage however with their  off first  autoship orders i was able to get more pounds at "/>
        <s v="had the products i wanted and received items quickly"/>
        <s v="timely delivery and had my cats prescription food when other vendors did not"/>
        <s v="i did not hear from pet flow quickly that they could not fill my order of specific dietary cat food but they cancelled my order and i believe will not show on my credit card i understand there is shortage of pet food right now but their website said in st"/>
        <s v="i ordered a food which my pets really need since it is prescribed it was out of stock but i wasnt told promptly i had to contact support to learn they were out and planned to cancel my order days later "/>
        <s v="great products fast shipping"/>
        <s v="excellent product quality very professional customer service prompt delivery"/>
        <s v="i love petflow they feature my dogs brand of food which he has eaten since birth fromm as well as a good selection of treats and toys ordering is a breeze online and the deliveries are prompt even with all the delays in the supply chain and delivery servi"/>
        <s v="my dog was given dry dog food canned dog food and pet flow dog food all at the same time he rooted around until he found the pet flow that is always his first choice he loves it"/>
        <s v="outstanding company with great service prices and fast shipping"/>
        <s v="they always seem to have our dogs food whereas as certain stores rarely do and im continuously told that its all due to covid which im sick of hearing yet petflow always comes through which is why ill continue to purchase our dogs food through them depend"/>
        <s v="i feel that if you sent the prescription authorization for all  bags of food to my vet they would of be authorized by sending over a script for  bags then another for the remainder bags caused a problem and  script was denied for being a duplicate"/>
        <s v="my products were delivered in a timely fashion and no damage to any of the cans"/>
        <s v="great deal kept me apprised of the status and arrived as promised"/>
        <s v="i have been a customer of perflow for years always happy with the products they carry and their customer service department"/>
        <s v="i was waiting for my order on  shipped on  delay in arizona delay in san diego  delivered on  i dont know the delay problem&#10;felipe lopez"/>
        <s v="website is ease to use service has been good prices reasonable"/>
        <s v="excellent prices fast shipping thank you"/>
        <s v="received fast shipping on product and prompt and courteous customer service from petflow reps"/>
        <s v="petflow had the food that i needed for my dog in stock and less than  hrs of placing the order my vet sent in the script and the food arrived within  days int was great ti be able to find the food that was hard to find on other sites"/>
        <s v="excellent customer service great and fast shipping very pleased"/>
        <s v="we have used petflow for dog food purchases for about a year everything about the service was great however my low rating is based on the customer service interface on their website i discovered i can buy the product cheaper locally and tried to cancel my"/>
        <s v="the beef pizzle steer bully sticks dog treats gave both of my shih tzus terrible diarrhea and i only gave them a small piece"/>
        <s v="i have ordered online for the convenience but your delivery company has made it inconvenient i am sorry but trying to carry a large heavy box from my condo mailboxes to my unit so it is not stolen is too difficult my daughter will pickup the food at her l"/>
        <s v="easy to order and find items on your web site fast delivery and friendly help"/>
        <s v="great prices dependable free shipping"/>
        <s v="my dog food arrived quickly and was just what i ordered will use pedflow again thanks"/>
        <s v="i ordered an instock item which took two weeks to receive and then it was the wrong item first and last time ordering from this company"/>
        <s v="they had the food when no one else did and shipped it quickly happy customer"/>
        <s v="fast delivery of the perfect puppy food for my little baby going to order some more puppy treats so glad to offend you all"/>
        <s v="delivery is a little slow i sent coupons to you but they were never applied to my account they should have been sent back to me thats bad business"/>
        <s v="the prices are comparable to other sites but petflow offers coupons and deals that keep bringing me back to shop here shipping is fast too"/>
        <s v="the lid on my automatic dog feeder and water combo was broke when i got it"/>
        <s v="it was easy to place my order and delivery was in a timely manner i will order again from petflow"/>
        <s v="with shortage of pet food currently challenging all pet owners i appreciate your quick shipping policies i realize that it is hard to keep stock on hand and you certainly helped us secure supplies for our  cats thanks for the prompt service and we look fo"/>
        <s v="prompt when shipping items in stock not so prompt in communicating when items are back ordered and the website shows them still in stock i placed an order my vet approved february  i checked on it february  and was advised the wet food was cancelled becau"/>
        <s v="packaging was poorly done on feed bags needs to send in stronger boxes"/>
        <s v="everything arrived in good shape happy with my purchase"/>
        <s v="great products and fast delivery recipe for success"/>
        <s v="it is helpful to have pet food delivered pet flow gets my order correct and it comes on time thanks"/>
        <s v="thanks for having the food i wanted when no one else did quick delivery too"/>
        <s v="always reliable for stock and fast shipping"/>
        <s v="my order was shipped fast well packed&#10;it was here in a timely manner very pleased with transaction will buy from again h"/>
        <s v="shipping is too long and items arent shipped together"/>
        <s v="great first time buyer experience delivered in a timely manner and in good condition"/>
        <s v="great customer service easy online ordering prompt action and delivery thanks petflow"/>
        <s v="for years i have been happy with petflow"/>
        <s v="petflow prices are very competitive and their shipping speed is excellent i had a question once and received a reply within minutes not hours or days like some other companies very pleased with petflow"/>
        <s v="what a great company fast shipping great products when i searched many sites for my cats favorite brand with no luck i found petflow very happy i did would highly recommend"/>
        <s v="some cans were damaged and dented it would be good if the products are in good shape prior to shipping"/>
        <s v="i was so impressed the package was delivered within just a couple of days impeccable execution"/>
        <s v="not happy back order food reordered and delivered without the discount thinking about switching to chewy"/>
        <s v="hard to give a review when i havent received my order yet because it has been delayed  times i know that times are hard for a lot of companies so im going to keep my fingers crossed and hope the cat food gets here before our cats eat us "/>
        <s v="quality dog food good prices fast delivery"/>
        <s v="they always have what i need in stock at reasonable prices and i usually receive my order within a week great customer service too"/>
        <s v="love it great place to shop"/>
        <s v="every time i reach out to petflow they resolve an issue almost instantaneously my cat food cans came completely dented and partially opened they replaced all of them quickly my  off coupon didnt go through they credited it immediately their customer servi"/>
        <s v="the cat food i bought to help my cat lose weight is inferior to purina products in every measurable metric these varieties contain ingredients that should never be fed to a cat"/>
        <s v="great service great quality great prices"/>
        <s v="the instinct dog food is great howeer the fedex shipping sucks the package sat on the truck for  days being listed as out for delivery as common occurrence i would order from petflow more if they did not use fedex"/>
        <s v="when i order my food is always delivered very quickly without any delay or problem we have been getting our two dogs food from petflow for years now and are very happy with the service we have received"/>
        <s v="i really enjoy petflow you have all the dog food products i need  its delivered in a very timely fashion"/>
        <s v="i wish you could get expiration dates on products before they ship especially on auto ships"/>
        <s v="as a new customer with  cats and a feral family of cats ive been pleased with the product selection and the timely shipping thanks"/>
        <s v="my first order and it was easy and arrived quickly"/>
        <s v="great customer service over the phone as i was concerned about being out of food and they were receptive and put the order as a stat order"/>
        <s v="very happy with the delivery process and how fast it arrived"/>
        <s v="a year ago i would have given you five stars but in the last two months or maybe three you have not been able to deliver the kind of pet food my dog eats honest kitchen turkey or chicken and the last time i ordered stellas beef you sent only a very small "/>
        <s v="i am very satisfied fast delivery discounts "/>
        <s v="great prices communication and follow up always a pleasure to do business with"/>
        <s v="thank you so much for getting charles his food so quickly hes had pancreatitis for almost a year which means he is on a very strict diet of prescription foods only i order on monday and you have charles his food by thursday friday at the latest thank you "/>
        <s v="easy to place an order and quick and timely delivery"/>
        <s v="fast and easy helpful customer service and great products"/>
        <s v="fast delivery and quality product damage that required disposal of some product but unclear if result of shipper or not"/>
        <s v="appreciated the quick turnover and delivery of y prescription dog food and the good communication about timing"/>
        <s v="good price  fast shipping"/>
        <s v="i like the decent prices and fast delivery however every package arrives damaged everytime the contents are often damaged too they would get a higher rating if that is remedied"/>
        <s v="for the last three shipments it ran into several issues&#10;for various reasons my shipments were delayed&#10;i no longer can rely on the fact that my dogs food will be delivered in a timely manner&#10;i am looking into over options"/>
        <s v="great selection received everything quickly on time and as ordered"/>
        <s v="two months in a row they messed my orders up so bad i had too buy dog food to get them through until delivery it caused my dogs upset tummies loose poo and itching doesnt make them or me very happy&#10;&#10;i have had issues before but this is the last time i do "/>
        <s v="got the prescription promptly after poor start now all is well good service fixing the early problem"/>
        <s v="i cannot give a review as yet because my product has been back ordered for some time i am a first time purchaser at pet flow and found the website to be easy to navigate i browsed through the site and found so many good products  products i will definitel"/>
        <s v="great service  fast shipping "/>
        <s v="i was pleasantly surprised at how quick i received it"/>
        <s v="i love ordering from petflow for all my pets needs dog food cat food treats and anything else that my pets need i love that they are a small business and they have great customer service and always keep everything i order fresh i have been buying from pet"/>
        <s v="petflow had what i was looking for and at a good price and the shipping was fast"/>
        <s v="it took way too long to receive my order chewy does a much better job"/>
        <s v="we received our order on time and free delivery was convenient"/>
        <s v="i love petflow easy ordering and quick delivery never any issues at all so glad i found this company"/>
        <s v="love pet flow have used them for over a decade highly recommend any customer service calls are quickly resolved but i have only had  the whole time"/>
        <s v="customer for years pet flow is our favorite dog food center"/>
        <s v="the price is fair and delivery was quick"/>
        <s v="the prices are good shipping was quick and i was kept up to date from the order confirmation through the delivery notification"/>
        <s v="we and our cats loved all the toys we selected and they arrived safely and&#10;in a good amount of shipping time will order more in the future"/>
        <s v="ive ordered twice in the last couple of weeks prescription cat food and nexguard and both times they reached out to my vet in a timely manner and i received my orders within a few days&#10;will definitely use them again"/>
        <s v="good prices fast shipping"/>
        <s v="petflow maintains a huge assortment of animal foods and provides prompt shipment"/>
        <s v="was told shipment would arrive in  days was told on fifth day being delivered between  am and  or  pm didnt arrive until  days later and no one worked over weekend to assist me&#10;&#10;good prices bad info order well in advance of day needed"/>
        <s v="i changed my address  weeks before moving in november placed an order for  weeks after the move and my food was still delivered to the wrong address customer service never fixed it placed another order in feb and it was also delivered to the wrong address"/>
        <s v="pet flow did everything correctly fedex lies and claims they deliver packages when they do not"/>
        <s v="i feed a very good high quality dog food i live in a small town and unfortunately the little store where i purchased my dogs food stopped selling all pet products i was going to have to drive  minutes each way to another city to get dog food a friend in t"/>
        <s v="good selection and prices during a difficult time but i was disappointed that two items i ordered turned out to be out of stock but that was not indicated at the time i placed the order i only found out later when the instock items were shipped and as a r"/>
        <s v="petflow is great they consistently have my pups dog food in stock as well as some cool toys "/>
        <s v="everything is wonderful except for the fact that its difficult to cancel reoccurring orders this shouldnt be made into such a hassle that i have to call for that to be done"/>
        <s v="happy i made the switch&#10;&#10;i recently switch from a competitor to petflow for all my daily pet needs i made this switch because their prices were simply better lower than the leading competitor for same or similar products delivery service is as good if not"/>
        <s v="no problem with company but will only ship with fedex and fedex lost my package so never received my order from petflow and what i ordered has been on backorder ever since"/>
        <s v="bought a case of cat food from petflow as chewy was out of stock at the time and product did not ship for over a week at the end of the week i cancelled the order and emailed customer support which confirmed order would be cancelled two weeks later my acc"/>
        <s v="my order arrived on time in great condition and my pup loves her new food"/>
        <s v="super easy shipping and processing experience they contact the vet directly and deliver incredibly quickly"/>
        <s v="treats were shipped really fast and was a better price and service compared to amazon"/>
        <s v="fast delivery especially good for heavy stuff i just wish there was a wider variety of cat treats and toys the dental treat that i wanted to get was sold out its been sold out for a while hope its restocked soon"/>
        <s v="the ease of ordering and how fast my order arrived was awesome"/>
        <s v="i had the best girl with customer service who was able to secure a nice discount for our auto ship order thank you"/>
        <s v="the system has twice now changed my auto delivery date to a year in the future making it impossible for me to correct it online and schedule an immediate delivery because i am only allowed to select a delivery date after the last delivery which according "/>
        <s v="placed my first order with petflow and had a issue locating my order details i contacted petflow customer service and received a a response within  hours that resolved my issue very impressed with their response to my questions and received my order on ti"/>
        <s v="i love petflows selection and mission please try to have your shipping times better reflect how long it will take with the supply chain issues it would be better to say a package will arrive later and be happily surprised if it arrives early vs saying it "/>
        <s v="petflows shipping was quick and efficient i love that my order is helping others in need im glad that my pets food and supplements are available through pet flow the only thing i ask is to add merrick canned dog food with healthy grains"/>
        <s v="i had a problem and their customer service rectified the problem&#10;very pleased with how it was handled"/>
        <s v="fast shipping product arrives in great shape no holes or banged up boxes auto ship is flexible and ways to edit great notifications for shipping and arrival always fresh food with good dates"/>
        <s v="most of the representatives i spoketexted with were wonderful i was disappointed because while waiting for prescription dog food to ship i was given a few different responses depending on who answered petflow customer service line&#10;but now i received what "/>
        <s v="took a little longer than estimated for it to ship but thats probably the manufacturer availability being what it is right now for pet food i am extremely happy to have found another resource for prescription kibble fast handling  shipping when ready"/>
        <s v="pet flow order came even faster than expected"/>
        <s v="i ordered prescription science diet cd canned food it arrived on time this is the first time i ordered from petflow i hope to order from them later intime"/>
        <s v="my cat winnie loves nutro wet cat food and i was able to find the wet food winnie loves petflow sent it right out to us quickly i am happy i found petflow"/>
        <s v="food is shipped quickly every time and communication is excellent wish theyd get rid of the one button in checkout that makes you check just ship once every time"/>
        <s v="i have relied upon petflow for hard to find foods even from online sources their product delivery is fast and reliable their website is efficient and easy to maneuver no problems have cropped up as happens sometimes on amazon i have always been pleased wi"/>
        <s v="pet flow was the only place that had the prescription food i needed&#10;they were very helpful by making my order a critical ship so that i would have the food in time for my pet to be boarded"/>
        <s v="i have been shopping at petflow and am very pleased with their products price  service they are prompt on shipping and keep you informed if there are any issues with your order my dogs love the bones  beef tendons"/>
        <s v="never received what i ordered  days later they told me it was ever in stock i will never order again from this loser company"/>
        <s v="i appreciated being informed that you were out of an item i was refunded promptly i had ordered  to take advantage of free shipping i inquired if i was going to be charged shipping on the one item it took some time to verify that i wouldnt be charged than"/>
        <s v="no complaints &#10;i got what i wanted and it came soon"/>
        <s v="this company stinks i ordered enough to get free shipping then they email me and say they do not have the dog feeder that was the entire reason for the purchase so i ask them to cancel it it was already shipped so i ask can i return it  they said yes and "/>
        <s v="i ordered prescription cat food said it was in stock but it wasnt after waiting for shipping confirmation that never cae after several emails i was informed that you canceled my order "/>
        <s v="petflow needs some serious work on its autoship program i am supposed to get a shipment of dog food every three weeks my autoship records show my last shipped  and my next ship date  considering this is only february your autoship program needs some serio"/>
        <s v="you provided excellent service my order was shipped when i was told and it was complete i will definitely be reordering thank you"/>
        <s v="fast easy ordering and my dog loves the food"/>
        <s v="petflow is a wonderful place to get everything for your furbaby their prices and stock are superb and they ship immediately im so glad i found them"/>
        <s v="weve ordered from this company many times and have only had one issue which was out of their control canned food arrived badly dented but pet flow immediately issued us a replacement other than that their delivery service is fast and good i would recommen"/>
        <s v="i reached out to customer support they responded very quickly and were very helpful and easy to work with"/>
        <s v="i have not received my order and have not heard back from petflow"/>
        <s v="you had the prescription food i needed when no one else did  thank you"/>
        <s v="i texted petflow with an issue i was having with my account they contacted me shortly afterwards asked for my email address associated with my account and fixed the issue within minutes the associate who helped me was polite informative and a pleasure to "/>
        <s v="shipment was much faster than chewy within my own state whose ship center is only maybe an hour away from where i live thank you as i had ran out of food for my dogs and this shipment was well packaged and super fast"/>
        <s v="i adopted a special needs cat and we rely on hills prescription diet digestive care canned food he came to me with a  can supply and it works really well for him to maintain his weight and keep his tummy happy its the only food he can eat without it comin"/>
        <s v="on time when product is available"/>
        <s v="great product but i knew that glad i could get it deliveredseemed almost twice as expensive as my local source"/>
        <s v="great shoplow pricefast delivery"/>
        <s v="no issues order was received quickly except for the bengals shirt wasnt in time for the game but understand it"/>
        <s v="great deals on dog food with quick delivery"/>
        <s v="this was my first order and was pleased with the entire experience&#10;looking forward to ordering when i need food again"/>
        <s v="i ordered the van ness medium crock heavyweight dishes the dishes were delivered in a timely manor and in excellent condition the price was outstanding we are very happy with petflow and will order again"/>
        <s v="was disappointed in how long it took my order to get here"/>
        <s v="petflow was efficient with excellent customer service will continue to order from this fabulous pet source"/>
        <s v="my order never arrived fed ex said it did but there is no  pound box of dog food anywhere"/>
        <s v="by requiring our vet to set up an account with your company you made it impossible to purchase our cats prescription diet so we went with another company that easily connected with our vet and got the job done your customer service was friendly and easy t"/>
        <s v="i have had my dog food delivered by petflow for several years all was good until the last  mo of  my orders were delayed to the point of having to go to a retail store and purchase dog food on  occasions one order was  days late thankfully as of  things a"/>
        <s v="very angry with you because i could not buy the food for my puppy since you asked the veterinary clinic for a code in the mail that you sent and they did not know what the code was i hope that in the future you will cause fewer problems and help more"/>
        <s v="pet flow never disappoints me or my fur babies my orders are sent quickly and always correct rarely do i have to call customer service and only if i need to make a change to my auto orders i am a very loyal customer and dont plan on changing "/>
        <s v="easy ordering quick delivery makes it so easy thank you"/>
        <s v="i ordered a product&#10;&#10;there was some type of glitch in my credit card process&#10;waited and waited for the delivery&#10;&#10;finally called and then was told of the issue&#10;&#10;no email&#10;no notifications&#10;&#10;just left in the dark&#10;&#10;i ran out of dog food for my dog while at my "/>
        <s v="this was my first order with petflow they had product in stock that i couldnt find elsewhere and they shipped fast very pleased"/>
        <s v="with the problems today about getting pet food it is reassuring to me that when i order food for my cat or dog it is never out of stock well done and thank you"/>
        <s v="the site shows in stock when in fact it is not&#10;when you call customer service they tell you it was just purchased  its now unavailable&#10;yet a few days  now weeks later it still shows it is in stock&#10;this place cannot be trusted"/>
        <s v="ill have an opinion when i confirm the new bag my dogs food came in and more often than not the bags are slicedripped open slipping in the box theyre delivered in resulting in having to get a new bag which costs your company more money your staff needs to"/>
        <s v="use a different shipping company took  days to get to me "/>
        <s v="my cat had emergency surgery for bladder stones i had to immediately switch his food and everything was prescription level i couldnt find it anywhere locally this happened over the weekend the price from pet flow was among the lowest i could find if not t"/>
        <s v="the shipment was packed the best that i have seen no bent cans package was far better than other vendors that i have bought from"/>
        <s v="i have been using auto ship with this company for quite sometime and have liked the product for my dogs recently tho the food we choose has been out of stock and this disappointing hopefully this will be in stock again soon"/>
        <s v="my papillons love fromm duck  veg i mixed it with their old dry food  they would sit  pick out the fromm duck"/>
        <s v="the order was filled as promised i ordered aquarium supplies gravel and lighting and arrived as ordered shipping was a little slow but there were delays due to weather from fedex the new jersey warehouse was out of one of the items i ordered but quickly f"/>
        <s v="petflow provides everything i need for my senior dog nora prices are competitive items are in stock quick delivery and outstanding customer service we are happy and loyal customers"/>
        <s v="i ordered cat food&#10;the order didnt go through  petflow said that the vet didnt think they were a reputable vendor&#10;never heard that before"/>
        <s v="have been using petflow for years&#10;&#10;love the price and free delivery phone staff are always friendly products are what i want for my furrbabbies usually get them a toy great selection"/>
        <s v="website listed my cats prescription cat food as available so i ordered it several days later i receive notice that it is out of stock so now my cat has to go a few days without her prescription cat food this was my first time using your company and it wil"/>
        <s v="very nice company to work with "/>
        <s v="i was very pleased with the order that i received and how promptly it was delivered and i certainly recommend this company for your pets food ordering online was very simple and id say i received my shipment within maybe less than a week after i placed th"/>
        <s v="available inventory and good pricing made this the go to choice to feed my pets"/>
        <s v="i like shopping at petflow have been doing it for over  years and like ordering nutrisource dog food since they are probably the only ones that carry it online lately ive been taking advantage of their  discount on nutrisource but on the negative side my "/>
        <s v="you had my hard to find food&#10;i like your tracking method&#10;arrived timely"/>
        <s v="lady who took my order was very professional knowledgeable helpful and caring she placed my order fast and without any trouble great experience"/>
        <s v="the one thing about petflow is they just get it done you order your product you get instant verification and confirmation to your email and then when shipped you get the tracking number along with any updates from the carrier that might come up this is th"/>
        <s v="i shopped online for royal canin digest sensitive cat food and your website showed you had it in stock i placed  orders each for  cans within  minutes of your website updating that it had stock your email confirmation stated that the first order would shi"/>
        <s v="great company product arrived quickly and not damaged i am a very happy customer"/>
        <s v="very fast and accurate delivery&#10;thank you"/>
        <s v="good price quick delivery good product"/>
        <s v="they have the food i want for my dogs and it arrives quickly"/>
        <s v="i just want to share a wow from petflow i received the collar i purchased but the release button was so difficult to open that i called to ask if easier to just buy a new one or replace it first the guy was sooo nice he said no thats fine we will ship you"/>
        <s v="everything is always prefect packaging and shipping is great"/>
        <s v="love petflow they have the fromm brand i want which is hard to find for delivery&#10;&#10;i sometimes wish packages would come quicker but last delivery was faster than previous&#10;&#10;good prices easy checkout process like that they save previous orders i dont do auto"/>
        <s v="my first time using g pet flow very pleasant experience"/>
        <s v="have a good product selectionprompt delivery and give discounts for long time customers thanks"/>
        <s v="transaction was perfect ordering was easy shipping and handling was completed in a timely manor order was received as ordered henry was thrilled with a new ball pleasant surprise"/>
        <s v="excellent service arrived quickly and very healthy dog food"/>
        <s v="excellent shipping excellent packaging competitive prices easy ordering"/>
        <s v="they have a great selection of foods i love that they help pets in need and they offer rewards for referrals"/>
        <s v="excellent source for my sweet frenchies needs wonderful customer service they very quickly replaced  cases of canned fromms that were damaged in shipping and i enjoy looking thru the site to find special treats and maybe another toy "/>
        <s v="petflow had the brand of dog food i needed and it arrived in  days your online ordering was quick and efficient keep up the great service"/>
        <s v="wonderful company the shipping time was super fast and the customer service team was very helpful i had an issue with my order and when i called customer service they were quick to help solve the issue i have never used petflow before but i will stick wit"/>
        <s v="excellent transaction"/>
        <s v="your company sucks im never buying any thing from you again "/>
        <s v="cat food in stock quick shipping everything in good shape"/>
        <s v="i am very happy with my order from petflow i found cat food on their site that i was unable to find any where else it was shipped quickly great place to shop for pets"/>
        <s v="super fast shipping and easy to deal with processed my dogs prescription food fast with a straightforward process switched from chewy who were awful to deal with"/>
        <s v="i have had a very hard time finding taste of the wild wet dog food anywhere for my dog and pet flow had it i ordered it and they sent it right out their site was easy to use and the ordering process was easy as well i will be using pet flow again"/>
        <s v="petflow has been charging me for dog food they couldnt source they charged my credit card for two bags of dog food but only delivered one i had to call monthly to get the refund after showing them the shipping weight did not equate to the  bags but one i "/>
        <s v="pet flow is doing an excellent job of coping with the shipping issues generated by the pandemic i appreciate that you keep me informed about my orders and shipments as you deal with events that compact my order it enables me to plan for our pet needs than"/>
        <s v="all are ok thank you"/>
        <s v="i am so thrilled with the fast delivery and awesome service thank you for the great job"/>
        <s v="as a new customer to petflow it is worth nothing that their website prices and delivery was outstanding and exceeded my expectation thank you"/>
        <s v="excellent service the price was right and the delivery was super fast"/>
        <s v="hello&#10;what a difficult experience ordered rx food for a very sick kitten on january  th then reached to customer service on the th to enquire about the timelines for a local store was out of stock and was running out of food for the kitten then was reassu"/>
        <s v="freeze dried dog food if handled wrong will arrive as powder order arrived next day in excellent condition thank you"/>
        <s v="ive used petflow for a number of years now and have not been disappointed once  even during the crazy shipping times of covid their site is easy to shop and they provide me with lots of flexibility when i need to adjust my standing dog food shipment if yo"/>
        <s v="easily found the dog food i wanted many other sites and all local stores were out of the royal canin yorkshire terrier loaf in sauce that both my daughter and i feed our yorkies not only did you have it but the delivery was exceptionally quick even ahead "/>
        <s v="finally found a store that has my preferred dog food in stock thanks for your prompt service"/>
        <s v=" wish you had a place where buyers could communicate with shippers upon purchase on where to place packages shipper left package out on stairs in full view of potential thieves packages need to be placed inside of my  ft gate at front door&#10;&#10; several cans "/>
        <s v="petflow online shopping is a great way to shop we live in a rural area not a lot of places to shop at petflow i can get fromme pet food for my pets to eat healthy i also can get healthy treats for my pets if not for pet flow online i would be driving  mil"/>
        <s v="these tail wagers  beef rib bones  are so loved by my dogs but i am only allowed to buy  at a time which i dont like but they are way cheaper than publix which is where i was buying them i will continue to purchase because the dogs love them but i may hav"/>
        <s v="price was good shipping was good but one bag of rabbit food out of about  identical bags in the order was not rabbit food but hampster food to their credit i did not pursue this or notify them of the problem just wasnt worth my time i need things to be co"/>
        <s v="repeat customer  love them"/>
        <s v="it is so nice to have a reliable way to get what i need for my cat"/>
        <s v="first order and didnt have any difficulties or problems"/>
        <s v="i ordered treats for my fur babies i got a great price on them this was the first time i had ordered got the treats in a few days best service thank you"/>
        <s v="product was on time buy packaging was smashed you need to strengthen you packaging"/>
        <s v="enjoyed the prompt service will use them in the future"/>
        <s v="im happy they had the product i need and that theyre willing to do the autoship the only thing is that i requested for it to be delivered by the th and now its going to be five days late so i had to go somewhere else and pay full price in the interim beca"/>
        <s v="delivery is always super fast and much appreciated"/>
        <s v="prompt service and competively priced"/>
        <s v="paid for order to only be refunded days later as it was not in stock though it is not the fault that dog food companies cannot get the ingredients to make the food it is petflows fault that the food appears on the website as being in stock when it is not "/>
        <s v="ordered  products two were out of stock i contacted petfllow multiple times to cancel the two out of stock products one cancelled correctly but the other already shipped so i received a  off inconvenience discount on it then after all that two of the same"/>
        <s v="i ordered prescription dog food and it was listed in stock placed the order and sent in the prescription to the email listed two days later got an email saying they were having difficulty getting the prescription i sent it again and they confirmed receivi"/>
        <s v="local vets out of prescribed cat food  could not find any anywhere on line either even with a popular and well known pet supplier accidentally found pet flow and they had the food out cat needs they got the prescription right away and processed i sent it "/>
        <s v="items shipped wrong twice customer service promised to let me know if the items were discontinued or if they were going to replace them yet again and never emailed or called back terrible customer support still havent been credited back for my items"/>
        <s v="quick service n delivery"/>
        <s v="items arrived promptly im very pleased they offer bones made in the usa which my dogs love"/>
        <s v="i would have preferred to get my items a bit sooner as i have from other pet vendors i also wish i could get the grain version of honest kitchens base mix i had to go elsewhere to do so"/>
        <s v="we started using pet flow a year ago to order pet treatsour regular place was out of stock so i searched around  found pet flowthey are better priced and price doesnt go up and down constantlysuper easy to order but if you need to callcustomer service is "/>
        <s v="i have  macaw parrots so the ae toys i ordered are the same quality i have ordered for  years now from other companies price was reasonable and shipping time very reasonable plus i paid no shipping costs will definitely order again in a couple months"/>
        <s v="very easy to use and very fast shipping thank you i will use you again for my future orders"/>
        <s v="from start to finish my order was handled with professional ease i will continue to purchase from petflow"/>
        <s v="i ordered puppy food through petflow because it was the only place beside amazon that i could get it i was getting a new puppy on tuesday and i chose petflow because it said oneday shipping i didnt choose amazon because theres was twoday and i needed it f"/>
        <s v="i recently ordered  pounds of kibble it was delivered quickly and the next day i found out my puppy had some dietary restrictions i contacted petflow and they were very helpful i was able to return the unopened bag and receive a full refund i am so impres"/>
        <s v="i have ordered from petflow almost  years the service and prices are wonderful your staff is so responsive and knowledgeable best quality of products would never use anyone else im a true fan"/>
        <s v="the right products delivered on a timely basis and in good shape"/>
        <s v="the reason why i did not give  stars because its not vacuum sealed i guess for easy stocking of the product but it wont be fresh anymore who ever is i charged of the stocking the product put a pin hole in each bag tell me if im wrong"/>
        <s v="very happy that what i need for my dog is in stock and it ships in a timely manner&#10;thank you&#10;jean havens"/>
        <s v="i signed up for the automatic order to find this dog food my dog would eat that according to reviews was healthy friday january    am est pet flow wrote order received order    my order did not get a tracking order at first so i confirmed via email the em"/>
        <s v="i placed my order  days ago i still have not been advised when it will be shipped"/>
        <s v="my order was canceled and no one bothered to tell me first time trying to order  not happy with this"/>
        <s v="i found petflow after searching high and low for the royal canin pv wet cat food when the company i usually buy from was out of stock due to the nature of the situation with our cat it was very important we located this food and thanks to petflow and thei"/>
        <s v="sent me the wrong product twice in a row customer service was great in apologizing and refunding my payment after two wrong shipments but i shouldnt have to go through calling them twice for a simple order i think they need to educate their warehouse peop"/>
        <s v="they carry the fromm food our jack russell terriers love great website easy to find what we want reorder function makes shopping easy orders ship quickly been using this site for several years and we are very happy using"/>
        <s v="absolute scam of a company twice now they have sent an autoship that i had paused and charged me then when you call they want you do go and ship it back to them for their mistake instead of sending someone to pick it up&#10;&#10;also you cant cancel autoships on "/>
        <s v="i was running really low on my dog petes dry food&#10;i could not find royal canin adult bulldog food anywhere over the last month even my automatic delivery sevice was out of stock&#10;i looked online and petflow had it in stock yippee&#10;i ordered it with a discou"/>
        <s v="ordered from pet flow for the first time my dogs food arrived quickly and i got a great price on the food wil be ordering again"/>
        <s v="i still havent received my product it was estimated  days for delivery and we are almost  weeks out no updates whatsoever"/>
        <s v="this was my first order with petflow one item arrived in days but the other item is still pending with zero communication if its out of stock as it is in so many places just communicate that"/>
        <s v="i went online to order my dogs prescription food  it showed that it was in stock when i ordered it said that i would receive in about  days when this date past i emailed the response made no mention that it was out of stock  days later i called  was infor"/>
        <s v="order as expected and on time prices great value"/>
        <s v="petflow was literally the only source for my dogs hills hypotreats which are on back order customer service was really helpful and product was delivered on a timely basis with adequate followup"/>
        <s v="always get my order fast and accurate"/>
        <s v="my experience overall has been very positive during the past two years my order is processed and shipped within a reasonable timeframe it has been very convenient to have heavy bags of dog food delivered to my door petflow also helps me to keep from havin"/>
        <s v="fast shipping great pricesamazing customer service"/>
        <s v="website showed the prescription food i needed as available for quite some time since i placed my order i received my shipment of toys and no food was delivered i called on the status of the prescription dog food and was told i would get a response back an"/>
        <s v="i had a problem with a shipment not being delivered petflow solved the problem quickly and kept me informed"/>
        <s v="i am so impressed with every stage in purchasing the cat food i needed i set up auto purchase that gave me a discount but when i went to check out they did not have enough to send so i thought i would lose it no same deal they notified me every step of th"/>
        <s v="always pleased with petflow been with them for years"/>
        <s v="very fast shipping which is really important all the products i need are on this website"/>
        <s v="good food good  and delivered to the front door&#10;great service too"/>
        <s v="this was the first time i ordered from pet flow they were really great i got my order within a few days will definitely order from them again"/>
        <s v="your service has been very good i will continue to use your products"/>
        <s v="have been ordering from petflow for more than  years and have never been disappointed with their service and prices they keep you informed on the progress of your order and items arrive in a timely manor auto ship is the best service they offer"/>
        <s v="always very helpfulprofessionalunderstanding if you have a question or concern or if you need guidance on something willing to match pricing and more than likely do better than competition only down side is they use fed ex who leaves the package somewhere"/>
        <s v="i love this company i have always got what i need from them you should give them a try"/>
        <s v="i like that some of my auto ship order wasnt ready for shipment and you shipped each individual packages automatically without charging me a shipping fee even though the contents of either package didnt meet the cost requirement for free shipping im so ap"/>
        <s v="i have been ordering from petflow for years now even have auto ship it works out great and have recommended it to friends"/>
        <s v="fast convenient delivery never a problem so much easier than shopping at the pet or grocery store love petflow"/>
        <s v="always reliable with super fast shipping and a lot of choices&#10;highly recommend"/>
        <s v="my experience with petflow has been all positive they care about there customers"/>
        <s v="this was my first order it arrived promptly petflow was the only vendor that had the item in stock i would and will order from this vendor again very satisfied with them"/>
        <s v="food came in a timely manner"/>
        <s v="ordered dog food and the food was received in a timely manner never had a problem with petflow"/>
        <s v="ordered a veterinarian prescription diet for my dog the food was delivered promptly in  to  days this was at a time when the food was back ordered and couldnt get it at many other places will now be using petflow as my main supplier been very happy with t"/>
        <s v="perfect  every order"/>
        <s v="although there are supply issues the customer service team is excellent and so helpful i also receive email letting me know they are still on top of my backorder when it comes in"/>
        <s v="i love pet flow the shipping is fast and their prices cant be beat super cute products and a great variety of dog treats"/>
        <s v="petflow not only had what i needed but also at a price that was lower than where i purchase locally my order came in a timely manner and i received free shipping which i was very happy about"/>
        <s v="petflow has always been there wfull answers great delivery no bs about anything"/>
        <s v="petflow makes it easy for me to get a specialty dog food that i am unable to get locally as i live in a rural area so far no damages to any of my shipments and delivery has been fast i also like how they have a variety of toys at reasonable prices"/>
        <s v="ive only used your company once so i cant give an honest opinion of pet flow&#10;what i can see is that you should look at switching which company you ship with or at least give options of other shipping companies fedex is horrible i used u use them at the cl"/>
        <s v="this is the second ordered i placed with you i had hoped it was going to be a lasting relationship sadly it is not in the first case i placed my order only part of the order was shipped when it arrived i was notified that the other item was out of stock t"/>
        <s v="great website glad i found it as an alternative to my usual my usual store was out of a specific food and i was able to find it here for a good price"/>
        <s v="website and order process were both easy shipping was efficient"/>
        <s v="better prices than chewy fast shipping thank you"/>
        <s v="first time buyer impressed by variety and choices of products wonderful service"/>
        <s v="hi for over a week told me food item was in stock and would be shipped shortly called several times and was told the same story yesterday i was emailed a message that it was out of stock and they would let me know when they had it in inventory that doesnt"/>
        <s v="thank you kittys love theirs items"/>
        <s v="i phoned prior to placing an order to verify that my finicky cats food was in stock and informed that it was three days later it still hadnt shipped when i phoned again to ask when it would ship i was informed that it was out of stock&#10;&#10;i should have been "/>
        <s v="so glad i found petflow recently i moved to another city and state and i was having a hard time finding the food that my standard poodle had been eating i ordered from another company when i was getting low however  weeks after my order i still had not re"/>
        <s v="i order a bag of fromm dog food and the process could not have been any smoother the order came very quickly i would definitely order from petflow again"/>
        <s v="i couldnt find the pet food i have been using in stock at all of my regular vendors so i tried petflow because they had it and i have no complaints shipped and arrived on time and i was sent updates along the way which i really appreciate"/>
        <s v="i ordered purina pro plan veterinary diet ha on  it showed that it was in stock and my prescription was verified but as of  still has not shipped"/>
        <s v="placed order by phone on the th was told the order would ship either that evening or monday never received a shipping notice so i finally called on wednesday to check on status was told by recording to leave a message and a rep would get back to me no cal"/>
        <s v="the company carries great products and is quick to respond with customer service if you wish to cancel your auto ship it is cumbersome but it does get done&#10;the biggest drawback is that they use fedex as their shipper and no other option fedex is absolutel"/>
        <s v="your website and customer reps have no idea if products you have are in stock&#10;i place and order thinking you have food for my pets then i get an email stating food is on back order&#10;i need a more reliable company that has food in stock to buy"/>
        <s v="when i order a prescription diet cat food it should not take  phone calls to get it shipped this is not optional food that can be replaced with something else temporarily it is something my cat needs to live on my first phone call i was told the authoriza"/>
        <s v="this was my first time using pet flow i found the site very east to use and the package came earlier than expected with no problem in packaging they deserve a  star"/>
        <s v="i got my exact order very quickly i was impressed because i buy online often and it usually is not what i ordered poor quality shipped in separate boxes andor late as all get out&#10;not petflow all nice quality good condition quick delivery in same box five "/>
        <s v="web site ordering and autoship process is terrible very clunky and has caused problems with orders twice now most recently resulted in receiving double order of  lbs of dog food and charged  different prices texted customer about this almost a week ago an"/>
        <s v="my last order had  items that were out of stock and therefore didnt make my monthly order i received communication regarding one item being shipped upon it being restocked but the nd item was never acknowledged restocked nor substituted for"/>
        <s v="easy to order prices are comparable and shipping right to my door great ive had one order that was messed up i called customer service and the lady was very helpful professional and quickly fixed my issue petflow is fantastic the only issue im having now "/>
        <s v="in a world where cat food is an item on the hard to find list i googled where can i find and discovered your website i am thankful you were able to supply and continue to supply the food my kitties love thank you"/>
        <s v="good selection easy to shop and a good price the only thing i could ask for is a way to check order status if its there i couldnt find it otherwise a very good first experience and ill be back"/>
        <s v="so happy to find yall and be able to order and receive the product a lot of places are out thank you"/>
        <s v="the worst dont buy from them they screw everything up from the spelling of my name my phone number and not telling me they were out of something i paid for and it was an urgent order"/>
        <s v="the pet service i usually use was out of the cat food i needed you had it your service is as good or better than what i usually use you were fast and you kept me aware of its status you have a new customer im very pleased thank you"/>
        <s v="unfortunately my last  ordered have taken over a week to arrive the last order apparently got stuck in the system and sat for a week in order shipping status promoting a phone call to resolve"/>
        <s v="the plus with petflow is that they carry fromm and they dont price the product more than anyone else maybe the company controls that either way that is the plushowevershipping takes way too long that is where chewey excels we are all in a hurry these days"/>
        <s v="very accommodating whenever i have to change my auto order they have no problem changing the date"/>
        <s v="horrible customer service repetitive delays in the purchases and buy with petflow made my life harder it lost the good convenience that i previously had"/>
        <s v="petflow has most of the items that i need for my fur babies fast delivery and good communication if something in my auto ship program isnt available their customer service is the best"/>
        <s v="received text stating it was being shipped that dayth six days later received another text stating was being shipped that dayth"/>
        <s v="i thought i was ordering small  oz cans of dog food based on my item search and photo results however unknown to me the  oz cans were outofstock so the order defaulted to the larger  oz cans which is what was shipped to me these larger cans spoil before i"/>
        <s v="arrived quickly and in good condition just what we needed especially when these are so hard to find"/>
        <s v=" out of my  items were cracked the packing was horrible  and even though i heard from someone finally today  now your out of stock for my items  you did put the money back on my card i really needed those items"/>
        <s v="love petflow been using them for years"/>
        <s v="part of my order was defective and i wrote to tell them so i received a form letter of acknowledgement back but it took  days for an actual response the item is being replaced but has not yet shipped and i think their customer service is pretty poor"/>
        <s v="as soon as i gave him his first taste he wouldnt leave me alone after he ate lol what a great come back"/>
        <s v="great i initially got only two of the four items i ordered  but the rest of the items i ordered came the next day"/>
        <s v="this was my first order from petflow but it wont be my last the dog food that i needed was available the website was easy to navigate and the order arrived on time im a happy customer"/>
        <s v="this would be five stars customers service was fast friendly and helpful i deducted  stars because my order took so long to arrivethis was i m sure due to unforseen circumstances like our recent weathercovid and such however i was told at the time i place"/>
        <s v="ordering dog food and treats online works out great"/>
        <s v="packaging has improved the lb bags i order are finally coming in the proper sized boxes  my last very large order  bags were packed well and the tape helda first your customer service on the phone was awesome luckily for me because i find the website very"/>
        <s v="good selection of pet food easy to order and shipping fast"/>
        <s v="great service quick shipping ive been ordering fromm dog dog food for over  years from petflow and have always been very satisfied with their service"/>
        <s v="my dog is on a prescription dog food and i couldnt find any i called petflow and talked to the sweetest lady who helped me set up my order for recurring so i dont have to worry about it im sorry i cannot remember that ladys name but a big shout out to her"/>
        <s v="i ordered a lb bag of dog food along with a lb of dog food when the delivery day came i only received the small bag so i called pet flow to find out what happened seemed they ran out of my dogs food at the nearest wearhouse and had to send it to me from l"/>
        <s v="great on time delivery box and contents in good condition"/>
        <s v="petflow tries very hard to do what is right i had a code for  off online it took the discount  then on the receipt it was gone i left a message and someone called me back he didnt question the perc and immediately took the  off congrats for returning the "/>
        <s v=" of my deliveries have had slashes in the bag so i havent been able to use the food ive complained and most times they sent me a new bag but very inconvenient"/>
        <s v="ordered nearly two weeks ago rx dog food status was always shipping had to hound no pun them for status finally just gave up and cancelled the order look elsewhere"/>
        <s v="great service prompt delivery"/>
        <s v="good selection and reasonable shipping times always have trouble ordering"/>
        <s v="i was very happy with service from customer service"/>
        <s v="the one reason i placed an order with this company was for a specific item they listed on their web site i had to order another very small item to qualify for free shipping so i did i was later informed the main item was no longer in stock and never had a"/>
        <s v="was disappointed on my order the item i ordered was out of stock and replacement with something else without informing"/>
        <s v="i give one star only because  wasnt an option i placed my order then get an email stating that the product i ordered was unavailable in fact discontinued then i start getting emails saying my payment through paypal wouldnt authorizeworked fine for everyon"/>
        <s v="the box was falling apart i cant imagine how the delivery driver managed to carry it to the porch fortunately the bags of food are intact and not&#10;damaged"/>
        <s v="excellent order on time i will order something soon thank you"/>
        <s v="i really loved my experience with petflow the items i ordered were well packaged and arrived in a timely manner&#10;i plan on continuing to do business with them"/>
        <s v="fabulous website  excellent customer support  service "/>
        <s v="i placed my order on january and did not receive my package until january i was expecting shipping to be sooner and i almost ran out of food for my  working dogs although i appreciate that petflow carries open farm i will not be ordering the dr tims from "/>
        <s v="excellent company i made a mistake and had to cancel an order and it was  no problem fast great service  highly recommend"/>
        <s v="great company to order products wanted since pet store where i normally gets them have quit handling these wonderful treats great service also"/>
        <s v="first order for new puppy food that wasnt available locally process was easy delivery was on time and packaged well will order again"/>
        <s v="horrible customer service i order food for my dog they charged but didnt send it i called them a week later and they said they didnt have it in stock meanwhile they charged it already they sent it later on without a hurry  days later i havent received it "/>
        <s v="i spent a lot of time with my review so i will submit but beware you have to accept certain terms and conditions to submit a review&#10;&#10;everything went fine for a year and a half our dog needs a prescription diet then for the last shipment they said the orde"/>
        <s v="accurate and timely delivery&#10;&#10;thanks"/>
        <s v="ordered prescription cat food my vet approved the prescription in one day waited a week with no delivery called customer service and was told as soon as the pharmacy warehouse sends it out ill get an email after waiting  days with no email or food i cance"/>
        <s v="it has taken too long to receive my order finally got one of the items but cant even download the shipping information for the other item i ordered prescription food for my dog something i needed in a timely manner"/>
        <s v="always there to answer questions and to help out"/>
        <s v="being told it was delivered and it wasnt i di nt receive the shipment until several days later this is not acceptable"/>
        <s v="only received  of rx cat food order placed in december &#10;no way to check on line&#10;calls to customer service have not resulted in any feedback as to status"/>
        <s v="placed order  being advised shipment would be made within  days never received shipment called every few days  continuously received same story  to be shipped within  days now  days later still have received nothing  including an acknowledgement that cann"/>
        <s v="excellent customer service patiently worked with me to solve problem with order"/>
        <s v="generally timely and professional service my major reason for not buying everything through petflow is your use of fedex ground to deliver packages in this area north georgia fedex is terrible most delivery packages in this area go through their austell g"/>
        <s v="my order was fulfilled in two days without hiccups great prices products and shipping"/>
        <s v="petflow is the only supplier i can get the cat food my cat likes from i can get the food he likes in bulk and it is at a good price he eats a can every day of one kind and he is very picky thanks for being there"/>
        <s v="check your bank balances people if youre on autoship even if youre not check your bank balances the food is great my dog loves the food no problems there i bought   lb bags of this dog food for the first time on november  for  so then a week later on dece"/>
        <s v="no problems with the product but shipping was very slow allow  or more days to get your food from them"/>
        <s v="overall i love petflow but in this particular case where my autoship was delayed due to outofstock conditions i feel i was not notified sufficiently quickly enough to react as a result the hills prescription cat food i had ran out and i needed to switch m"/>
        <s v="they make it easy love how they call your vet for prescription food fast deliveries"/>
        <s v="called petflow to see if i could get meow mix they were very helpful and&#10;i ordered a multi pack box i received it right away everybody was very&#10;police and nice will definitely use again"/>
        <s v="have ordered from petflow many have always had fast efficient service"/>
        <s v="my package was stolen and they reached out and provided me with a new bag at no cost"/>
        <s v="petflow helped me out in a pinch when other companies were out of my cats prescription food petflow came through for me i really appreciate that as she is older and needs her special food"/>
        <s v="reasonable prices quick fulfilment and delivery its always like this thanks"/>
        <s v="my order arrived incomplete and it was downhill from there on i dont have time to detail my problems trying to get things straightened out i had been satisfied with my experiences with pet flow in the past but this was a total mess"/>
        <s v="they could not deliver i called and called and received excuse after excuseended up cancelling my order and order through amazon"/>
        <s v="my auto ship from petflow is so easy to use its easy to add or remove products depending on what my animals need that month and if i end up needing something extra i can order and receive it quickly on the rare occasions that something is backordered i ge"/>
        <s v="have ordered my furkids prescription food several times your customer service has always been great"/>
        <s v="pet flow still carries the brands i feed my dogs and at fair prices some outlets dont have the variety and choices i find on pet flow"/>
        <s v="dog gates are sturdy shipped quickly great service"/>
        <s v="the app is difficult i tried to cancel the order and it didnt work i am going to stop the pet flow auto matic orders they are difficult i had a double order the time before too much trouble to change m upotn"/>
        <s v="pet flow shipments are always ontime and there is sometimes a discount"/>
        <s v="great selection ordering was easy and my order arrived quickly and in good order my experience was very positive"/>
        <s v="products have been great with all the limited choices due to allergies i have been great full to find what i need"/>
        <s v="i ordered dog treats from the company my order was delivered within  to  days through the christmas holiday two bags came cracked i called and they redelivered two more bags and didnt charge the customer service was really good it took no time to get the "/>
        <s v="product delivered on time as promised quality is excellent"/>
        <s v="not good service a lot of back and forth and useless waiting"/>
        <s v="i would usually leave  stars but my pups dog food on several occasions has arrived late  so in result  ive had to go to stores to buy the same kibble"/>
        <s v="shipping dates are really slow which can be annoying for thing you cannot get locally they always run  days later than expected it seems when you have  hungry parrots that can be an issue they also have a limited selection of foods for dogs and birds but "/>
        <s v="i placed my order thursday the th asked by chat if saturday is a business dayit isnt because the warehouses that have the supplies dont work weekends fine was told it would ship friday and maybe fedex would deliver saturday but i would have it monday its "/>
        <s v="first time customer&#10;easy online ordering&#10;great price&#10;delivery prompt&#10;ill be sharing this company info without a doubt"/>
        <s v="my two kittens were recently prescribed a hydrolyzed protein diet because of the pandemic the food was next to impossible to find petflow had the products that i needed and quickly processed and delivered my order im so grateful to have found this site th"/>
        <s v="still havent received my order this is an awful experience will be my last"/>
        <s v="reliable and excellent"/>
        <s v="order place has stalled on colorado from vegas on its way to indiana tracking is not being updated and the response time to email is a day or more behind"/>
        <s v="customer service is top notch i love that i can message about my order in an email or text and get a reply quickly great discount for new customers and a constant supply of my pets food thank you pet flow"/>
        <s v="i really like your products the frequency of communication about a shipment and my pets are happy too "/>
        <s v="pricing good i was kept informed of delayed shipment due to weather will buy again"/>
        <s v="i was luckily to find what i needed at a great orice shipping was fast and because i met the minimum i got free shipping will shop again"/>
        <s v="been with petflow going on  years now they always help me if i need specialty food or just basic pet food so many choices and the treats too thank you for meeting my expectations in each box i receive fan for life&#10;&#10;denice"/>
        <s v="delivery was quick and im very happy with the red gravel red gravel is hard to find"/>
        <s v=" discount on quality dog food&#10;is perfect"/>
        <s v="petflow falsely advertised a food as in stock then withheld the funds they took from my account i was diligent thankfully but despite my best efforts it still took  calls to customer service to get my money back each cs rep provided conflicting info with "/>
        <s v="very fast service great deals on the food i purchase"/>
        <s v="placed an order for a prescription dog food on  which your web site said was in stock which was a surprise because all other pet stores were out of stock received a confirmation with an order number pending charge on our credit card pending charge dropped"/>
        <s v="would really like invoice included with shipment would alleviate one step in filing claims"/>
        <s v="great customer service an order was placed and an item was missing i sent an email to report it and they sent the item out immediately no questions asked will continue to be a customer"/>
        <s v="easy to order great price and fast shipping"/>
        <s v="petflow came through when other trusted online pet food providers dropped the ball even with the order itself and managing fedex  they kept engaged until the entire was completely fulfilled and delivered service is tough to put a price tag on thx petflow"/>
        <s v="horrible communication useless customer service promised emails never received in stock item still not received after  days new tracking number refers to item already delivered not item still waiting for this was my first and last order"/>
        <s v="they have the dog food i use but not the cat food they are slower to deliver than other sites"/>
        <s v="good fast service"/>
        <s v="pet flow staff have been knowledgeable polite and able to meet my needs every time i have called the products carried are high quality and competitively priced"/>
        <s v="great to do business with very fast delivery will use again"/>
        <s v="each order comes as anticipated and very timely"/>
        <s v="first time ordering from petflow the online ordering process was quick and easy and we received the order very promptly highly recommend pet flow"/>
        <s v="petflow has a great selection and affordable prices on a variety of dog and cat foods they ship quickly and always send notifications on the status of your order"/>
        <s v="ordered three bags of dog food one was delivered promptly the other almost two weeks to arrive and when it did one of the bags had opened and spilled kibble all over the box"/>
        <s v="ive ordered from petflow for over  years&#10;ordered always delivered on time prices are righteous highly recommend"/>
        <s v="never did get my order and it took  days for you to let me know it was out of stock"/>
        <s v="my dog hannah absolutely loves this new pet food she smells it from the other end of my house and comes running waiting impatiently only to devour it in no time plus the delivery was prompt thank you so much"/>
        <s v="very fast delivery great discount &#10;thanks"/>
        <s v="my order arrived on time and complete one product i wanted to order was out of stock but theres an option to get an email notification when its available which is extremely helpful"/>
        <s v="im very happy with petflow they were great with me and my vet to get the vet to prescribe canine tds my vet was not so nice"/>
        <s v="been a customer for several years now reliable shipping and excellent email notice to help me adjust my autoship if needed excellent customer service by phone when needed"/>
        <s v="out of the last ten orders three were messed up and did not deliver on time one of which required our cat sitter to go to a specialty pet shop to get food while we were on vacation"/>
        <s v="my recent order was delayed due to weather and the shipping company when i spoke with the petflow customer service they were helpful tracking the package and keeping me posted on when it would be received i appreciate this help"/>
        <s v="i didnt get my delivery but when i talked to the customer service man we discovered i hadnt changed my address at petflow since i moved in may it got sent to the old house but he went ahead and sent a replacement to my new address he was very kind even wh"/>
        <s v="i have received numerous orders from this company and they are always accurate and timely thats why i will continue to order from them"/>
        <s v="quick response to my order with delivery time kept me updated"/>
        <s v="my order came in good time i have been unable to locate hill science diet food through my usual sources however petflow came through with flying colors not only was i able to obtain some of the wet food i normally feed my cats but i was able to obtain com"/>
        <s v="very good company with a wide selection of products timely delivery and easy to order i like this site very much"/>
        <s v="great selection of product i have always found my selections in stock deliver is unbelievably fast"/>
        <s v="coupons never are useable for purchase of fromm dog food&#10;&#10;delivery is by fedex in a word fedex is lousy i realize this is another company but they are making petflow look bad and they chose them"/>
        <s v="my buddy loves the treats from petflow on my last order one item he dearly loves was left off because it was out of stock to my surprise when petflows new shipment arrived they sent the item sopleased never has that happen with any company that is strictl"/>
        <s v="competitive prices great delivery honest and trustworthy"/>
        <s v="overflow consistently delivers high quality cat food to my house what could be better"/>
        <s v="my cat passed away unexpectedly a couple days after ordering her prescription food online i contacted customer service via text  very convenient option they were not able to return the food because it had already shipped but when i shared my situation the"/>
        <s v="i love the convenience but petflows online ordering setup is sooooo difficult to use result ive had multiple unwanted shipments no matter what i do&#10;&#10;for months ive tried to get rid of an extra autoship program i cancelled chat reps cancelled finally a pho"/>
        <s v="love the extensive variety of pet foods especially the better brands prices are comparable to or better than others delivery is quick only one constructive feedback is the shopping cart view i would prefer it could be full screen"/>
        <s v="i still havent received my order&#10;&#10;i ordered some dog food and a  chinchilla chew to get free shipping&#10;&#10;the chinchilla toy came quickly and it was in a huge box that could have fit the bag of dog food that i ordered as well&#10;&#10;the dog food still has not come"/>
        <s v="ive been buying quality pet food from petflow for about three years they carry quality brands they have excellent customer service and their website is easy to navigate i like the autoship option which is also easy to edit so i have only great things to s"/>
        <s v="on time and best price good by amazon"/>
        <s v="i had trouble finding my cats prescription food customer service was marvelous and ultimately i was able to secure a bag for her"/>
        <s v="place the order  days ago and still no shipment yet call them a few days ago and was informed that it was ready to ship but still no info whatsoever"/>
        <s v="very timely service thanks"/>
        <s v="great  quick delivery thanks"/>
        <s v="one of the few places i could find what i needed at a great price was the cherry on top it shipped quickly and got here fast i now have some happy cory catfish"/>
        <s v="always get my order quickly and good prices too"/>
        <s v="i was pleasantly surprised that petflow had the special canned cat food that i was looking for and couldnt find locally additionally the shipment was very well packed and arrived quickly this was my first time to order from petflow and i was impressed wil"/>
        <s v="everything came to my home in time before i ran out of dog food the one toy was slow but it all still made it to my home so the dog could enjoy it"/>
        <s v="love this company always have what i order&#10;shipment comes really fast&#10;never had a problem with petflow"/>
        <s v="great products&#10;great prices&#10;fast shipping&#10;employees on phone are so courteoushelpful and knowledgeable&#10;exceptional place to shop"/>
        <s v="easy website layout and good selection of pet food i love the fromm dry cat food selection and my cat loves his treats too my cat approves petflow"/>
        <s v="excellent quick delivery with best pricing  will definitely be a returning customer"/>
        <s v="my initial shipment was damaged but the csr was extremely helpful and sent me a replacement promptly"/>
        <s v="its been over two weeks and i have yet to receive a shipping confirmation will likely dispute order"/>
        <s v="received exactly what i ordered and in excellent condition thank you"/>
        <s v="i love using petflow they have wonderful options for my dog and good communication on orders highly recommend"/>
        <s v="very nice better than expected we purchased it for ferrell cats to stay warm we set it up in our house and our cat thinks its his new house he loves it"/>
        <s v="petflows customer service is exceptional the website is easy to navigate and check out super fast shipping"/>
        <s v="pet flow continues to carry the special dog food that i require for my pet at a good price and they ship it super fast very satisfied with their service"/>
        <s v="petflow offers a wide variety of limited ingredient snacks for my dogs and the prices are very reasonable"/>
        <s v="i was sucked in by the promise of a discount in exchange for my email address then i couldnt use the discount because it had a previously undisclosed minimum order requirement which was extremely high i felt tricked i would normally order  bag of dog food"/>
        <s v="service extremely quick and they seem to have a supply over and above what other entities have on hand first time with petflow but will certainly look to them as an option in the future"/>
        <s v="ive used petflow for years and have always received top notch service i love the enormous variety of products available for my  dogs and ive easily found the best products for each  is  and the other is  they also include the sources for the products whic"/>
        <s v="pet flow is wonderful but the delivery leaves much to be desired fed ex refuses to bring my packages to my front door instead they are left in the street"/>
        <s v="petflow has been fine not stellar with occasional hiccoughs on prescription food authorization lately theyve been completely unreliable as a retailer causing us to cancel our subscriptions and move to chewy"/>
        <s v="wide variety of products and fast service on orders even if they are specialty items"/>
        <s v="the product was good and well packaged but it was a week late and required me to go all over the local area multiple times to supplement the food until me order got here id be perfectly happy and would definitely order things again if pet flow would stop "/>
        <s v="my dog food took  week and  to arrive to me"/>
        <s v="petflow is great you call and always get a live person right away ive been with them for years cant beat their customer service"/>
        <s v="i thought i had cancelled one order to order a different food it turned out i got both orders i was told it would be fine to keep them both and use them and just set a later date for my auto shipping"/>
        <s v="petflow delivers quickly they have an autoship program you can change your auto ship as many times as you want and they have the best prices for the quality of products"/>
        <s v="my order of dog food was shipped on a monday said friday delivery and did not come till the next monday with that delay i had to go get dog food i didnt want to in order to get by until my order came chewy takes  days i guess ill go back there"/>
        <s v="i purchased some hard to find puppy food because no stores in my area carry it i found it in stock with petflow i ordered it and they use fedex as their shipping carrier i have had numerous problems with getting my packages late via fedex i emailed petflo"/>
        <s v="great selection and easy to check out shipment came in a timely manner"/>
        <s v="petflow is efficient and speedy i never worry that my product will arrive on time"/>
        <s v="petflow is fast and accurate they beat amazon on delivery time the prices are on target and no complaints about the product from stanley or bruski very glad we found them thank you"/>
        <s v="love the quick shipping love the cost of foods ie royal canin love that items are in stock and love the customer service&#10;what else is there"/>
        <s v="i made an order from petflow awhile back never received the order when i checked the order it had been canceled due to an error by the veterinarian unfortunately no one told me it was cancelled i called the veterinarian and their internal communications g"/>
        <s v="i received my complete order it was a few days later than usual but that was to be expected at christmas time the problem was that a bottle of white dog shampoo had opened up inside the box and covered a  pound bag of dog food and a raincoat with a whole "/>
        <s v="my one complaint is that you cannot cancel an order on your online account had to call numerous times to get a customer service agent to fix a mistake on ordering very frustrating hope they make changes with online ordering"/>
        <s v="so much care was placed into packing my order it was wonderful there was a lot of cushion in the box so the cans didnt arrive all bent i will definitely place another order soon"/>
        <s v="they shipped my wet catfood over a week after i placed the order scheduling it to be delivered the nd of december and could do nothing to delay or cancel the order even before ups had it so my food is going to freeze over and over again while we are gone "/>
        <s v="prompt shipping i ordered dr marty for my fussy dog and he likes it so i will order again"/>
        <s v="petflow is a class act&#10;always have my product in stock and fast free shipping&#10;a"/>
        <s v="i have been buying my dog food from petflow for years now it has always arrived quickly and fresh and my dog is happy"/>
        <s v="very reliable auto ship and quick with off cycle purchases"/>
        <s v="excellent service with competitive pricing"/>
        <s v="dented dog food cans at times sent concern about this five days ago and have yet to receive a response"/>
        <s v="there was a mistake in the order and they didnt hesitate to make it right great customer service great product"/>
        <s v="great products offered with fast delivery thank you"/>
        <s v="the price was right and the quality was great that along with fast shipping gives petflow  stars"/>
        <s v="great site i discovered it by accident after chewy was out of my cats food i gave it a try and was pleasantly surprised how wonderful petflow was the delivery was very fast the product fresh and well packaged they saved the day now i ordered again and thi"/>
        <s v="i discovered petflow when another major retailer had no inventory of my cats preferred flavor of prescription food i enjoyed the experience and fresh inventory so much that ive been buying from petflow ever since"/>
        <s v="i searched at least six different retailers to find this special canned pt food specially formulated for my small breed senior picky eater with only  remaining teeth to no avail i was desperate as my little yr old girl turns away from nearly all other sim"/>
        <s v="never had a problem have recommended"/>
        <s v="order was easy to place and delivery was prompt thank you"/>
        <s v="thank you for the ease of ordering  the speed of getting my order delivered also i am very impressed with your website"/>
        <s v="i have been ordering my dogs food from petflow for a few years they always have a quick turn around from order being placed to delivery my dogs eat fromms large breed dog food which can only be purchased in specialty stores petflow has been wonderful to o"/>
        <s v="i have had a great experience with petflow only once i had a packagedelivery that was stuck somewhere unknown customer service immediately sent it to me again without question i was grateful and impressed&#10;also when you place an order with petflow you need"/>
        <s v="always quality items from pet flow and they are recieved in a timely manner"/>
        <s v="i like this company they have a great selection of dog foods that are difficult to find other places their prices are comparable to other sites although they may be a few dollars higher i like that they say they do note food to animal shelters"/>
        <s v="false info on delivery date  no follow up  product seems to be stuck in transit in a black hole in neighboring state product is over a week delayed from promised date with no follow up status update  will never deal with pet flow again  not a well run bus"/>
        <s v="great communication speedy service and delivery even when supplies are low thank you"/>
        <s v="very pleasant experience good customer service&#10;fast delivery prices are ok"/>
        <s v="placed order and received item earlier than anticipated will definitely us this vendor again considering we have four bernese mountain dogs they do eat"/>
        <s v="im still waiting for my dog food delivery or even an update no news since it reached my local distribution center  days ago "/>
        <s v="things came well packaged and timely no complaints"/>
        <s v="took  days in transit the packaging was taped and retaped the treats were on each side of the package front and back no doubt they will be dust when i open them this company needs to step up there game in the shipping department"/>
        <s v="prices were good product availability was good shipping was good and free im happy with them"/>
        <s v="petflow is responsive to clients with good prices and discounts fast shipping"/>
        <s v="except for a blip on the refund all is well will continue to get my fog food here"/>
        <s v="what i wanted quickly received with terrific phone support"/>
        <s v="huge variety of pet supplies and fast shipping"/>
        <s v="i couldnt find my cats favorite food in any of major stores or any of the major online store but petflow had it and was able to get fast and easy"/>
        <s v="great service shipped my order out quickly they had a cat food i have been searching for but was out of stock everywhere luckily they had it in abundance thank you so much "/>
        <s v="very prompt and courteous and take care to answer emails"/>
        <s v="had product and delivered in a timely manner"/>
        <s v="quick and easy"/>
        <s v="i changed my delivery date and the shipment still came"/>
        <s v="received the wrong items messaged  hrs ago and no response"/>
        <s v="fast delivery and great product as usual package came undamaged"/>
        <s v="best offer i could find for the price delivered promptly and just when needed i will be using petflow in the future"/>
        <s v="super service for shipping my fromm gold dog food highly recommend"/>
        <s v="the store itself has great prices and selection however the shipping of those products has been a nightmare placed an order on the morning of  spoke to someone on the phone inquiring as to the location from which the products were coming from i was told t"/>
        <s v="shipped fast and had the items in stock that others didnt what more can you ask for"/>
        <s v="excellent service and the best pricing so glad i found you thanks "/>
        <s v="very pleased with pet flows service and products"/>
        <s v="great prices and selections of high rated dog foods shipping free over  and fast"/>
        <s v="petflow has the best prices for pet food and deliveries are reliable sometimes my cats wet food is not in stock but when that happens it is not in stock anywhere"/>
        <s v="every time i order from here they always double my order i ordered one big bag of dog food and i received two and charged for two instead of one this is the second time they did this i will not order from them again"/>
        <s v="great dog food my maltese acts like a pup and she is  she has been eating salmon a la veg for  yrs"/>
        <s v="excellent service best dog food ever would not feed my dog anything else then natural balance"/>
        <s v="staff were very good at listening and finding a solution that would help me"/>
        <s v="excellent customer service and fast shipping"/>
        <s v="my delivery isnt not comingvery very slowly"/>
        <s v="i was very pleased with my order i found an item for my birds that i couldnt find anywhere else for a cheaper price and it arrived very quickly"/>
        <s v="petflow apparently doesnt put in packing so i got all of cans dented up petflow needs to protect the cans"/>
        <s v="been ordering from petflow for along timequick shippingcompetitive priceshas the brand of dogfood we wantwish they offered prescription medications"/>
        <s v="i was with this company for many years but repeated mix ups with my food delays and supply issues took a toll moved my business to chewy didnt want to buy my fur babies have to eat"/>
        <s v="we ordered pet food on nov  and received it today dec  way to long i have three emails telling me earlier dates probably our last order from pet flow"/>
        <s v="you need to improve on your customer service on the phone you also need to improve on your deliveries services meaning when customers ordered products from your website&#10;it needs to be more accurate in the amount of products you have online website store t"/>
        <s v="i am very happy with my purchase of cat food from petflow the only issue i had was trying to find out on the web site how i could check out otherwise great"/>
        <s v="they have great customer service and they try very hard to please their customers they also have a wide variety of pet foods"/>
        <s v="love this company great to work with and carry alot of different foods"/>
        <s v="very few notices of what was going on i finally sent  emails and made a phone call joseph was very kind it took  days to get here wonder if it would come i had to buy dog food in the meantime not happy product was good and why did it come from new jersy n"/>
        <s v="i wouldve given a  star review however with my last order it wouldve been nice if i was informed that my order for dog food was not available from where it is usually shipped i usually get it within a week but since it was coming from much farther away it"/>
        <s v="only half my order arrived so far fedex dropped the busted box in the middle of the front yard and left i wonder if the second half will show up or if fedex will make it disappear like last order"/>
        <s v="great service as usual even over the holiday weekend order was accurate and delivered on time"/>
        <s v="website easy appreciate the discount&#10;other places were sold out of the dog food i need so thankful it was in stock and delivered in a decent timeframe"/>
        <s v="thanks for having the food in stock now its get to him to actually eat the food"/>
        <s v="great experience&#10;fast shipping and great communication with seller"/>
        <s v="shipping not according to what was indicated at the time the order was placed"/>
        <s v="excellent transaction  will shop again"/>
        <s v="petsmart stopped carrying the avoderm brand then petsmart followed&#10;im very frustrated with them since they still advertise the products yet not in stock or not available&#10;i contacted avoderm and they recommend petflow&#10;my initial purchase took longer that e"/>
        <s v="my hund loves the chow we ordered from petflow"/>
        <s v="i always get what i need in a quick turnaround for my  year old hound"/>
        <s v="great product great price"/>
        <s v="the folks at petflow were kind enough to give me a  credit for fedexs deplorable delivery service they held my shipment hostage in their distribution center for   days&#10;my shipment was correct  sent out as quickly as they received the approval from my vet"/>
        <s v="great and prompt service and delivery the bag charge was a bit of a surprise though might be wise to hide that under one of the other headings"/>
        <s v="i placed orders during weekends the return email said my order would be placed the following monday and email would be sent of when to expect delivery i have had to call customer service a couple times and order was finally put thru my dogs do better when"/>
        <s v="i thought that the price was high compared to the vets office other than that the experience was good"/>
        <s v="i had a very frustrating experience with petflow my original order was scheduled for nextday delivery however it took close to a week from getting the cat food i ordered petflow misled me on my delivery date this is the only food my cat can digest  so it "/>
        <s v="very happy with my purchase experience excellent help thank you"/>
        <s v="i paid for a package of food for my chihuahua that needed a recipe from the vet but we could not get it so i would like to have my money back"/>
        <s v="i wrote to the company regarding a complaint about customer service claiming that i didnt have funds to pay for an order that was an auto ship and said backordered and after ordering something else i got billed for it not knowing what this charge was i ca"/>
        <s v="petflow carries our dogs preferred high quality food  treats we auto order and receive our shipments quickly"/>
        <s v="i like petflow i have ordered from them before this time it took way too long to get my order and the only reason i got it when i did is because i called and complained then they showed it being shipped right away but it still took  days after complaining"/>
        <s v="the whole reason why i ordered from petflow is because of their quick shipping in  days it took over a week for my food to arrive i had tobuy another brand of food that upset all of my dogs stomachs never again"/>
        <s v="i was very happy to be able to find a food item that i needed that was sold out on chewy amazon and all of my local pet supply stores the only reason for the  stars instead of  was the delivery notifications i understand delivery delays especially right n"/>
        <s v="very impressed with being able to get what i need for my furbabies special food so far its always been in stock unlike the competitor sites and various pet stores prices are a smidgen lower than everywhere ive normally gone delivery is  at this point my f"/>
        <s v="easy website to navigate fair prices and fast shipping"/>
        <s v="customer service has definitely declined website keeps changing making it difficult to order when you want iused to order  different products at  different times of the month and still get the auto ship discount now i get nothingbeen a member since &#10;looki"/>
        <s v="third time they have got the order wrong "/>
        <s v="i have been pleased in the past with available dog foods treats toys etc and delivery i have experienced a lot of out of stock items that i have on autoship i have had to buy these items on my own else where"/>
        <s v="fast delivery"/>
        <s v="great discount on hill science canned food for my dopey cat its becoming difficult to find the chicken n rice flavor so it was a relief that you had it"/>
        <s v="you carry the dog food that my puppy needs for his first year the prices are reasonable and affordable"/>
        <s v="i tried to switch my monthly orders for food treats meds and flea collars to petflow it was a disaster i get how the economy is currently but your communication is terrible i cant work with a company that takes days to acknowledge a request and i see all "/>
        <s v="can someone contact me&#10;"/>
        <s v="excellent product delivered quickly competitive pricing"/>
        <s v="need a better way to let people know that their order was shipped with a tracking number had to text you to find out when my order was to be shipped when i received an email telling my that it was shipped and there was no tracking info available need to l"/>
        <s v="i was able to get my dogs food from you when no other retailer had it thank you"/>
        <s v="product was as advertisedworks great arrival was fastprice was good service was friendly and professional great company"/>
        <s v=" days after i should have recieved my order i called because i did not know why or where it waswell was told by a very rude lady she would send an e mail to hurry up my order at another warehouse because they had none i asked why they didnot notify me it "/>
        <s v="fast service good prices arrived in great condition has follow up emails"/>
        <s v="chewys orders always arrived within  days i decided to give petflow a try after close to a week i had to call petflow to ask where the dog food order was they said they delayed getting the order through  waited until the next day to initiate the order and"/>
        <s v="i love that my choice of dog food is always ready to deliver to our door when we need it auto ship is great and not having to lug the big bags home from the store is even better"/>
        <s v="the products i ordered arrived quickly and website was easy to navigate"/>
        <s v="disappointed i created my first order on  and order still hasnt even shipped  no communication updates either uggh"/>
        <s v="very happy with my purchase shipping is fast and communication is excellent"/>
        <s v="it was supper easy to place my order shipping was quick"/>
        <s v="good job sending package on timely basis thank you"/>
        <s v="always super fast shipping and great packaging"/>
        <s v="always good condition of cat bagged food arrived in great shape and the order was correcttimely order"/>
        <s v="had products i couldnt find any other site"/>
        <s v="dog food was listed in stock at time of placing order after a few days of showing shipped ends up order wasnt shipped i called and was informed that it was out of stock in the warehouse"/>
        <s v="never received my order in over a month and spoke to over  customer service people dont buy from this company "/>
        <s v="order placing was easy great site set up like the autoship offer too already referred them to my neighbor"/>
        <s v="ordering was easy and my purchases arrived quickly which is wonderful during these times&#10;i give this site a  instead of  because i was unable to read reviews on the products i bought my cats are not eating one of them and would like to know what other buy"/>
        <s v="saved from having my kitten upset i have been unable to find the food my kitten eats after several trips to pet store with no luck went online to royal canin site and pet flow was a recommended store to order from fortunately for my kitten yall had plenty"/>
        <s v="i liked the prices and the toys and treats available but several of the items that i ordered sold out and were removed from my order after id checked out and paid for them however i will be giving them another chance when the supply chain problems are bet"/>
        <s v="good service"/>
        <s v="fast shipping and great inventory of cheap toys"/>
        <s v="we use auto ship for most of the products we buy online i found pet flows autoship program to be extremely difficult to manage and no longer use it as a result i often buy pet products from other suppliers we have  pets and buy a lot of pet products"/>
        <s v="speedy delivery stuff usually comes within  or  days good customer service i called to ask a question about my product and they answered quickly and with good telephone manner i just signed up for autoship well see how that goes i just wished they carried"/>
        <s v="we love the convenience of auto shipping we were surprised at how easy it is to add or delete items for a specific auto ship or for future orders the prices are fantastic and i like that i can still find fromm products here"/>
        <s v="very smooth experience good price and reasonable and quick shipping"/>
        <s v="order and paid for dry dog food and  cans of wet dog food the day they shipped it i got an email saying they will refund me cause they are all of sudden out of that particular wet dog food i then had to run everywhere to find it at the last minute&#10;when th"/>
        <s v="everything went very smoothly from ordering all the way to delivery i was very happy and will use them again"/>
        <s v="delivery was delayed  times said  day delivery i got it in days not satisfied with delivery"/>
        <s v="ordered prescription dog food but got nothing but excuses for over a week their reps made one excuse after another as to why my dogs food was not shipped"/>
        <s v="excellent service im a happy customer"/>
        <s v="i am totally impressed with petflow they deliver product quickly and have the pet food in stock and if they are out of stock they will send email to let you know that it is back in stock they are now the only one that carries my dogs food and i hope they "/>
        <s v="i have been&#10;using petflow for several years because they carry the type of dog food i want my dogs to have and no stores anywhere near me have it in fact trying to get high quality dog food id have to travel an hour one way so it is very convenient to hav"/>
        <s v="very fast shipping they sell good quality items"/>
        <s v="very good customer service contacted my vet for prescription diet food and shipped out immediately highly recommend"/>
        <s v="great products and service that excels more than satisfied consumer from maryland "/>
        <s v="i spoke with a very helpful woman who checked with supply  found a case of hills savory cat food our local petsmart had been out of it for a while my  year old cat loves that particular food and takes her meds with itshe has hyperthyroidism the food arriv"/>
        <s v="i placed an order on  received an email saying i would get a shipping confirmation when it shipped when not received by  i reached out to customer service and was told it was delivered on  as of  i still have no food  was forced to order elsewhere your cu"/>
        <s v="my husband shopped here last christmas and gave it  stars i like the site because they have unusual things and make great gift items"/>
        <s v="i requested the heavy package be left at the garage door under the overhang but it was left at the front door instead otherwise very easy convenient efficient order and delivery"/>
        <s v="excellent service and everything packed with care"/>
        <s v="currently waiting to receive order know distribution system is messed up i will try to explain to my hungry miniature doxie would have been helpful if at the point of order for petflow to made a statement that delivery could take up to x weeks or more and"/>
        <s v="i love the quick delivery when we order our dogs food so convenient"/>
        <s v="good cat loved it"/>
        <s v="ordered dog food for the first from petflow the ordering was simple easy website navigation and the product arrived in a timely manner"/>
        <s v="they let me order food and charged me and called my vet to confirm the prescription and they didnt even have the food in stock in these times of cat food shortages wasting my entire week thinking i had found food for my cat was detrimental to my finding m"/>
        <s v="very good customer service&#10;they work with you to get you just what you want"/>
        <s v="ive used petflow for a year now and love it the orders are easy to complete and quick to deliver&#10;i had to call customer service to change my order and quickly received the credit on my card i switched dog food brand and mistakenly forgot to cancel my auto"/>
        <s v="package was a week late but i believe that was fedex fault when i contacted petflow about the delay the response came relatively quickly and they let me know they contacted fedex to figure out the issue i received the package the next day the customer ser"/>
        <s v="great pricing however i wasnt able to use my  on my second order as promised i did rate the company a  star however after reading the other  star ratings i feel im just another customer that was mislead"/>
        <s v="very slow to ship resulted in poor arrival time i thought  days was enough time but was wrong"/>
        <s v="i spoke with somebody in chat and i canceled this order i was told that my order was canceled i asked for confirmation that my order was canceled to an email they told me we dont do that two days later i had two of my  lids show up at my door after it was"/>
        <s v="although i have had great success with using petflow in the past currently their service is quite poor i had a older cat is needs vet prescribed food after ordering food recently petflow informed me the vet indicated i have no relationship with them ok i "/>
        <s v="petflow has cat food that i cant find elsewhere which is nice i like their automatic programs except for not being able to edit them ive been sent products that i cant use and have to contribute to the humane society delivery is always fast and well packa"/>
        <s v="my dog food always arrives on time they always correct if a mistake happens we are happy with the service"/>
        <s v="this gate is working very well at our house the twoway open door is terrific we are very happy"/>
        <s v="great prices selection fast shipping love petflow"/>
        <s v="excellent selection of items and their delivery was spot on and timely i tried them when chewy did not have the brand of food that i was looking for i learned that since chewy was purchased by petsmart they no longer carry fromms dog food"/>
        <s v="thank you so much petflow you have the prescription wetfood available for my halo"/>
        <s v="the delivery of our canned dog food was quick we had a problem with one of the cases due to the shipper and petflow customer service was excellent"/>
        <s v="never received the dog food i ordered nor did anyone follow up after i called them inquiring about the missing order super disappointing untrustworthy and poor customer service"/>
        <s v="petflow is a great company to do my on line buying from the customer service persons are the best"/>
        <s v="like the quick service and available products i have only had one problem since using petflow ordered pill pouches and they arrived smashed good company that i have recommended"/>
        <s v="always get my pups treats and food from petflow great service and super quick delivery with updates"/>
        <s v="on oct th after not being able to obtain the prescription canned dog food needed through normal online pet care provider for over  days i found the petflow website which showed the food was in stock to be sure i called the same day  spoke to an agent who "/>
        <s v="customer service is excellent what they sayhappens and quickly delivery is fast packaged very well notifications of shipment delays when to expect delivery are outstanding&#10;love this companythey genuinely understand how important our fur babies are to us b"/>
        <s v="i had a hard time finding what i wanted and petflow had it fair price fair shipping cost and timely i will be a repeat customer"/>
        <s v="always what they promised great deals"/>
        <s v="i ordered a few items using an account credit when one of the items was out of stock at one warehouse and had to be shipped from a different warehouse they charged my paypal account without my consent for this item that was already paid for using the acco"/>
        <s v="great prices easy to order and prompt delivery im a convert"/>
        <s v="i have ordered the  pack of bully sticks from petflow several times they are an expensive item anywhere and the cost keeps going up as with everything these days their prices are fair and their shipping is fast one thing i have noticed is that the total a"/>
        <s v="ordered online instead of my local store who is almost always out of stock i just order when the old bag is halfway empty  food comes within a couple of days usually no issues"/>
        <s v="my order was filled shortly after it was placed but  days after it was due to be delivered only of  boxes has been the other two boxes are sitting at a fed ex center waiting to be loaded onto the delivery truck the petflow customer service people were ver"/>
        <s v="i ordered my dogs food and had it within a couple days and free delivery to boot"/>
        <s v="our order was delivered very fast  the price was reasonable the website is easy to use"/>
        <s v="came on time and exactly what i needed couldnt find it anywhere else thanks"/>
        <s v="placed order and received it in less than one week"/>
        <s v="what a mess this company is i thought chewy was annoying&#10;&#10;i will never use petflow again"/>
        <s v="when i received my order the box and the bag of dog food had been ripped open i called customer service and they had a new bag out the same day awesome customer service thank you very much"/>
        <s v="outstanding well trained smart friendly  knowledgable customer service and i depend heavily on the autoship program"/>
        <s v="ordered everything i have a chew everything puppy i placed my order then received an email for a couple items not in the warehouse that was fine but never received either an email or receipt for my items or what my final cost was they did state i wouldnt "/>
        <s v="i love petflow they always have what i need for my dog  and ship it out fast a service every order"/>
        <s v="everyone at petflow seems to be familiar with their inventory  very helpful great place to shop for your pets needs"/>
        <s v="the treats were perfect and fast shipping thank you"/>
        <s v="petflow was recommended by my girlfriend and i switched dog food and my dog loves it and i have no complaints  recommend and i can set up times of delivery between bags"/>
        <s v="just started auto ship of a cat food for skin allergies made by hills and once i know how much i will need of blue buffalos i will make it auto ship the hills i am running into availability of just ordering when i need it or at the vets it was even a prob"/>
        <s v="love pet flow very kind and friendly customer service they always have my cat bff weruva in and the  off is always a plus"/>
        <s v="i have been pleased with petflow customer service has been great products are good the only problem i have had is using your website to cancel autoship i have only been able to pause it i dont know if this is intentional or an oversight i know i can call "/>
        <s v="my doggies food comes so quickly after i order its always in perfect condition"/>
        <s v="always an easy transaction we order our dog food from here regularly"/>
        <s v="didnt have my order in stock and canceled my shipment with a puppy it is hard to just up and switch food when an order doesnt arrive as expected so had to go to extra lengths to find the specific food"/>
        <s v="awesome as usual  always on time great customer service and fantastic product"/>
        <s v="our toy poodle has been permanently put on hills canned stew due to health issues but we found it was not available due to a supply shortage then we turned to petflow and found her entire supply with fast delivery petflow looks out for our furry kids and "/>
        <s v="i love the autoship option for my cat items purchases in particular i order large containersboxes of cat litterpetflow does an excellent job of packing it and it always arrives undamaged they also keep me informed of any shipment delays etc"/>
        <s v="i began using petflow several years ago i love them because&#10; i can speak to a real american born person who always helps me&#10; they carry brands from small companies such as fromm&#10; somehow they get fedex to deliver to my house on time fedex usually does not"/>
        <s v="product was delivered quickly on time with no damage"/>
        <s v="excellent communication and reliable timely deliveries customer service is the best ive ever worked with my goto supplier for quality pet food"/>
        <s v="excellent customer service and easy auto ship options"/>
        <s v="good service selection prices"/>
        <s v="customer service has always been polite and helpful but unfortunately i have needed to use them frequently with my autoship orders i had  pets getting prescription diets but they kept sending the requests for refill to the incorrect veterinarian then some"/>
        <s v="the item i ordered turned out to be unavailable i received an email a few days after ordering which informed me of that fact i dont know why you cant update your website so someone doesnt end up ordering something you dont actually have thankfully i was a"/>
        <s v="i placed an order and had to cancel i was shocked how quickly my text message was received and taken care of not entirely trusting the text system i called customer service and the lady was courteous and confirmed order was already canceled customer servi"/>
        <s v="petflow is wonderful the lady i spoke with taking my order was terrific my pet food all arrived quickly and in good condition delivered right to my front door  thank you petflow "/>
        <s v="i wish i had known about you sooner i order my pups dog food  it arrives the next day thank you for such great service"/>
        <s v="products are great good selection could have been better communication on the order status and shipping times compared to other companier i order from taking  or  days to prepare an order to ship is too slow especially with little to no communication from"/>
        <s v="i was pleasantly surprised that petflow had products that chewy had out of stock and they shipped it free and fast good work petflow i will definitely buy from you again"/>
        <s v="always great service and excellent selection"/>
        <s v="have been waiting for almost  weeks for the dog food i ordered they said it got lost"/>
        <s v="i really like pet flow and would order from them more but it seems like they are frequently out of stock of the products i want so i am then forced to go elsewhere and shop"/>
        <s v="great price and item was shipped out in timely fashion"/>
        <s v="petflow has excellent customer service i ordered a case of canned dog food and it once again came with almost all the cans dented i called to let them know and they sent me a new case of cans without dents would have liked the original shipment to have co"/>
        <s v="when it comes to the phone reps i have always had friendly and competent service from petflow however the inadequacies of the website have me at the point of switching companies i have set up autoship for rx cat food when i log in there is just no way for"/>
        <s v="customer service was great but i was disappointed in the bully sticks they were the right length but very small around not what i expected"/>
        <s v="i liked the idea that at petflow i can get fromm dog food and treats delivered right to my door with free shipping"/>
        <s v="can you wait til i receive my order so far your premature review begging is a turn off"/>
        <s v="great site lots of items i couldnt find elsewhere especially limited ingredient feline canned shipping was fast will buy again for sure"/>
        <s v="i am so very pleased with petflow every shipment arrives on time prices are fair customer service is outstanding and shipments arrive properly packed have never had anything broken"/>
        <s v="i have  cats for whom the chickennnreast is a regular morning treat they all look forward to it every day"/>
        <s v="delivery of my product arrived timely but i needed to cancel my autoship when you select to cancel there is no option to cancel only pause i had to wait until the next day to call and and speak with someone to cancel and when asked why i had to share with"/>
        <s v="my experience with petflow was excellent their pricing and availability of products is very good the kept me informed of my order status from start to finish they were the only company that had what i needed and i received my order promptly i will continu"/>
        <s v="bad experience took forever to acknowledge receipt of pet rx all the while losing time to secure the limited supply of product i ordered by the time they confirmed receipt of the script and acknowledged the order the supply dwindled and i lost the product"/>
        <s v="always fast shipping and great products "/>
        <s v="products are fine website is fine but i have a problem with auto ship set up it is impossible to cancel auto ship program i can delay and change the date of shipment but cannot cancel without calling the office and because of this have received duplicate "/>
        <s v="my puppy and cat love it&#10;i love how big the bowl and reserve tank are and how quite the motor is as well as the way the water circulates in the bowl no splashing i had the large original drinkwell pet fountain and so far i prefer this one a lot over the d"/>
        <s v="this was the very first time i ever purchased from the site and i was a little nervous in the beginning but that was all changed when i found out that they shipped on the day they said they were going to and i received it when i needed it i am very happy "/>
        <s v="its been weeks and i havent received the good yet i cant believe they are asking my opinion of an item that hasnt arrived yet"/>
        <s v="the orders are always late the customer service rep was rude and unhelpful i had to speak to the manager to get some resolve"/>
        <s v="because as a customer petflow mislead me  petflow sold me merchandise and the sold it to another customer then sent me a message that they were now out of stock  and petflow still has not refunded my money  we will never shop with petflow again  ta"/>
        <s v="first time ordering with this company placed the order on  by  still hadnt received it i called and apparently the shipment got lost employee offered to send out another order but declined to give any type of promo code or discount even though i told her "/>
        <s v="unfortunately when i placed my order my items were in stock then i got an email saying they were out of stock and i was refunded havent order again"/>
        <s v="very punctual and nice but the fedex delivery person did not do his job left the box near the mail box and not at the door i am senior and cannot pick up this heave box"/>
        <s v="petflow came through for me with a prescription order when chewy could not hours on the phone with chewy and multiple customer service agents and chewy failed  they have problems over there i contacted petflow and they took my prescription and had my cat "/>
        <s v="love the convenience of not having to shop and hoist large bags of food"/>
        <s v="i ordered treats that showed in stock they never came so i emailed they said they were now out of stock and would notify me when in stock they ended up cancelling my order  not a good experience for first time customer"/>
        <s v="great fast service great intro prices for new customers when you do autoship"/>
        <s v="horrible customer service keeps lying to me about when my order is going to come in every time i looked it up it was supposed to be delivered today at at  in the morning now too and it never showed up and i cant seem to find the damn email to tell me wher"/>
        <s v="most anything i was looking for i was available on petflow and at a good price"/>
        <s v="received mats exceptionally quickly for a very good price"/>
        <s v="fast order great packaging great price"/>
        <s v="i love the service however  bags of dog food i have received had busted bags and dog food all in the boxes"/>
        <s v="i used to use other wellknown online mail pet services but they stopped carrying the brand of dog food i have given my beloved english singer spaniel for  years i then discovered petflow carried this brand they are courteous professional and most importan"/>
        <s v="i ordered a product that said it was in stock only to be told  days later it was out of stock the website is misleading"/>
        <s v="great prices products and customer service"/>
        <s v="the kitty litter box split and was all over the box"/>
        <s v="fast carefully packed service"/>
        <s v="this is a fantastic gate it looks divine and was easy to assemble perfect for my maltese thank you"/>
        <s v="you take orders knowing products not available no trust ever again"/>
        <s v="petflow has a good selection of products they are almost always in stock the have competitive pricing and they deliver quickly usually  days"/>
        <s v="reliable product easy ordering process dependable delivery thanks petflow"/>
        <s v="i have place  orders with petflow both orders shipped out on the same day packages arrived quickly excellent company highly recommend"/>
        <s v="great selection of products  emphasis on very healthy items good price points  delivery is always on time  in good condition"/>
        <s v="thank you for carrying my dogs prescription dog food hills metabolic your website was the only trustworthy site in stock my dog beau says thanks for his food too"/>
        <s v="i ordered food for my dog on the petflow website my first order took a little while because they needed to verify with my vet since it was a prescription food my second order was shipped the next day and arrived a day later at my house excellent service t"/>
        <s v="great customer service quick  courteous"/>
        <s v="ive been using petflow for years for my dogs food subcritical platform the customer service is outstanding the product diversity is unbeatable"/>
        <s v="placed order for dog food that i needed asap then days later petflow cancelled order and wont refund my payment for  to  days i had to then find a physical store that sold my brand of food so aggravated didnt they know my order wouldnt be fulfilled when t"/>
        <s v="all item sent even if it took more than one box for same free shipping"/>
        <s v="products ordered  stars ease of ordering  stars speed of shipping which may or may not be petflows issue  stars my order included dog food i was only given  tracking number and unfortunately that tracking number was for the items shipped separately from t"/>
        <s v="ordered butcher block bones and a box of dog biscuits at checkout there was no information that the bones were out of stock you shipped only the dog biscuits i cancelled order you said it already shipped and we could just go ahead and keep the biscuits or"/>
        <s v="i was impressed with how quickly my order arrived it was protected in a strong box very professional thank you"/>
        <s v="i ordered a new flexi leash for my canine having carefully researched various sites and noting petflow for my first time decided to have a go and was pleasantly surprised at the pricing service and delivery they run out of the leash but notified me immedi"/>
        <s v="product that is not available elsewhere is available on petflow which i appreciate with supply issues from the manufacturer petflow provides another option to find the pet food im looking for&#10;&#10;shipping time is slower that other online sites so i need to p"/>
        <s v="first time using will use again"/>
        <s v="your selection and prices are good i also appreciate the discounts available only thing i have a problem with is fedex delivery but since i eventually get my order ill be okay with it"/>
        <s v="excellent service however now i can not find the product anymore&#10;vital essentials relief hemp dog chews relieves inflammation"/>
        <s v="i have been trying to find the special urinary diet treats for my fur baby for months i finally found them on your site only to be told weeks later whoops you dont have them well put it on your website then that they are unavailable"/>
        <s v="great selection and services&#10;happy dogs"/>
        <s v="everything from locating products on the website to check out was very easy i wish that some kind of summary or packing slip was included with the delivery but other than that everything went as smoothly as it could thank you"/>
        <s v="petflow has the products i need and if they dont they can explain to me why they dont and why i cant find the product anywhere else something might be happening at the manufatcurers end or with the distributer etc they are always very helpful if i have to"/>
        <s v="it seems a bit difficult to delete an autoship maybe its me"/>
        <s v="not very long shipping from the date of the order prices same as vet"/>
        <s v="ordered on  prescription approved the same day item was in stock estimated delivery oct   days for a prescription assuming it arrives on the th and no update at all unacceptable and the same thing happened the last time i ordered terrible service they als"/>
        <s v="i get all my dog food and treats from you usually all is good and no problemshowever last order the  lb bag of their nutrisource weight management bag was torn and kibble leaked out into delivery box i do not like giving my pups any food or treats where t"/>
        <s v="petflow always has the prescription diet dog food in stock my dog requires i dont have to wait for them to ship thank you for your service"/>
        <s v="ive used this company twice and both calls were speedy and user friendly ive also used chewy and those calls tend to be cumbersome nice people at both companies ex chewy asks lots of questions before i can place my order i believe petflow just needed my p"/>
        <s v="love the products and ease of ordering my problem is with the actual shippingpackaging of items being sent to my house often everything no matter what size or weight is thrown into the same weakly sealed one strip of packing tape thin cardboard box by the"/>
        <s v="my purchase was delivered in a timely manner&#10;prices are fabulous just  at any other retail store is  ish&#10;&#10;once im finally moved into my new house i will start automatic shipping "/>
        <s v="always correct  timely a bit of delay due to getting items further than nv to az end point but that is expected in the shipping issues across all businesses"/>
        <s v="so far so good&#10;petsmart has let me down with late shipping not in stock and lb bags of dog food with way too much powder they refuse to ship in boxes that match the large bags and simple will not use any kind of packing&#10;fthat we be dun wit does mfers&#10;petf"/>
        <s v="first time ordering autoship for dog food so far so good"/>
        <s v="quick delivery and always coupons to be found"/>
        <s v="quick dependable service with diverse item selection most companies now offer free shipping on all orders which should be a consideration here"/>
        <s v="great product the company you use for shipping is horrible boxes opened when delivered bags of food broke open from throwing it down on the ground poor shipping"/>
        <s v="great prices and products in stock ready to ship i will definitely order again"/>
        <s v="great service and fast delivery excellent "/>
        <s v="always a pleasure shopping with pet flow"/>
        <s v="great company quick shipping i order dog food from them all the time but was disappointed on the last dog toy i bought this time my little dog that doesnt really destroy toys had this stuffed pizza toy destroyed after  minutes i probably wont order any mo"/>
        <s v="always got what my cats want and always delivered on time petflow gives me one less thing i have to worry about with there auto ship"/>
        <s v="great company with excellent customer service"/>
        <s v="great prices excellent shipping time thank you"/>
        <s v="nd time ordering from petflow and i am a very happy customer i read a lot of bad reviews online about this company and was a bit concerned but honestly ive had an excellent experience with them so far the order was accurate and i received the products in "/>
        <s v="excellent customer service very professional and accommodating&#10;thank you"/>
        <s v="petflows prices are good and the delivery is super fast"/>
        <s v="i ordered prescription food from them which needed my vets approval spent over  at first the food order was put on hold until january   i contacted the customer service and they were able to get rid of the pause but they still had to contact my vet before"/>
        <s v="competitive pricing product availability and fast shipping thank you petflow"/>
        <s v="gave petflow a chance because chewy was out of stock on one of the items i needed and petflow showed it in stock after placing and paying for the order i got an email stating one of my items was out of stock turns out it was the same one chewy was out of "/>
        <s v="i think im going to like this sifting litter box that i just bought its different from anything i ever used before but its simple enough to figure out"/>
        <s v="i loved the selection and ease of checkout on petflow the one time i dealt with customer service was completely painless and i would recommend this company to any pet owner the only improvement that i can think of would be to have a way to save items for "/>
        <s v="competitive price&#10;fast delivery"/>
        <s v="good pricing great variety quick service need i say more"/>
        <s v="the first time i ordered my dogs canned food the experience was pretty negative as none of my requests were taken care of it was if they just ignored me the second time was a better experience"/>
        <s v="ordered item  weeks ago web site said in stock  called twice did not receive any real answers or satisfaction said it was problem at he suppliers warehouse update just received email that product just shipped all is good"/>
        <s v="first i was told my food order was on its way and shipped then told it was on back ordered and cant be delivered  i want to cancel my order but have no where to call or know how to do it&#10;but company sends constant emails &#10;also i ordered toys based on my d"/>
        <s v="they have products of dog food i cant find anywhere else"/>
        <s v="products are great service was great the packaging for shipment was terrible both boxes were broken open due to poor lack of packing material it was amazing items ordered were still in the boxes"/>
        <s v="my dogs are happy and so am i with the services on delivery of their foodsand my cats are happy too"/>
        <s v="there no price gauging my order was received quickly and packaged perfectly i will order through them again"/>
        <s v="respond to emails very quickly take care of a problem pronto"/>
        <s v="it is difficult at times to get dog food during this pandemic petflow is dependable thank you"/>
        <s v="excellent service and delivery selection of products is probably the best that ive yet to find shipping has been on time pricing is very competitive thank you for a positive experience"/>
        <s v="the replacement squeakers i purchased were supposed to be large unfortunately they were medium sized merely passed off as large they were barely bigger than the small squeakers i also purchased"/>
        <s v="it was supposed to be here thursday it is now wednesday almost a week late and no estimated delivery date i was hoping this would be convenient however now its way worse than just driving  minutes to the pet store"/>
        <s v="overall the service is good but i have a routine shipping monthly on the th unfortunately my order of prescription dog food was not picked up by fedex until the th and not shipped until the th now it looks like i will run out of food a day early not good"/>
        <s v="prices are good however shipping time not so good my items took about  days to arrive when using other company  days tops this probably why i will not shop with pet flow again"/>
        <s v="love the delivery its heavy for me to carry to the trunk and then into my house plus the food is great and so are the treats thanks"/>
        <s v="ordered several teddy bear toys  enough to get free shipping arrived so quick my dog loves these toys  they are quite durable and shes quite a chewer ive got enough to last for a while got a good price too not dependent upon quantity  better than petsmart"/>
        <s v="ordered fromms pate canned food for my dogs upcoming surgery promptly shipped but delivery was held up with no updates contacted pet flow to see if they could get any information aimee quickly responded that she would contact the shipper and would get a f"/>
        <s v="great service reasonable prices good quality will definitely buy again"/>
        <s v="usually we have a great experience with petflow this time however was a real struggle i was told over and over by petflow that they reached out to our vet for food approval but my vet told me they never received any contact from them i even went to my vet"/>
        <s v="i contacted customer service because i received the wrong dog food and they immediately resolved the situation and sent me a return shipping label this company has some of the best and quickest customer service agents ive ever dealt with"/>
        <s v="excellent fast service"/>
        <s v="very easy ordering only site that had the wet food i needed took a little longer to ship but was received in an acceptable period of time"/>
        <s v="i have been a returning customer for a while now petflow has always had excellent service it is most appreciated thank you"/>
        <s v="petflow had the specialty prescription dog food my vet could not get they made the buying process easy and shipped quickly i will keep shopping with petflow"/>
        <s v="great customer service their text option is awesome"/>
        <s v="my order was well wrapped and delivered in a timely fashion i will continue to use pet flow and highly recommend them"/>
        <s v="love this company so easy to work with"/>
        <s v="excellent service i would recommend"/>
        <s v="amazing service the prescription dog food i needed was back ordered by the manufacturer i explained to the petflow customer service that that was the only food my dog could eat they did an online search and found it and had it shipped to me this was not t"/>
        <s v="i appreciate how fast my orders are delivered and that they have exactly what i am looking for"/>
        <s v="see csr file"/>
        <s v="easy to order form the site order shipped and arrived quickly"/>
        <s v="ordered lb bag of dog food and order was processed immediately and delivery was quick"/>
        <s v="found this vendor on line  they were one of the only sites that had the prescription dog food i needed none of the local pet stores had this food in stock i ordered the food from them at a reasonable price and received the shipment in a timely manner well"/>
        <s v="i have no idea what i bought from your site but all my online cat food orders have been prompt and the requested product was the one i received but if this was the royal canin cat food order  my god the price not you the manufacturer lee hoffman"/>
        <s v="my cats eat a pretty particular food that can be hard to find found it on petflow and for an affordable price everything arrived safely and quickly you can contact them directly by text and email i did to check on shipment status and a real person got bac"/>
        <s v="ordered dog food which they said was in stock  prescription food for my dog after paying for it the next day they tell me  oh we are out of that this is the only food he can eat prescribed "/>
        <s v="great service great value"/>
        <s v="great selection of in stock items and shipping is quick and dependable"/>
        <s v="petflow had what i needed in cat food that i couldnt find anywhere else however it took nearly a week to ship although they were several days ahead of their shipping estimate the long shipping may be mostly due to supply chain problemshard to tell now"/>
        <s v="when our vet said he wanted our aussies food changed i had to cancel our standing order  order the new food i contacted petflow by email  received an immediate reply i am so impressed by the ease  speed with which my problem was handled thanks for the gre"/>
        <s v="you need to allow electronic upload of prescriptions for pet food i had to mail the hard copy and then wait for you to get approval from my vet after you received it this took about  days and why would you even need approval when i mailed you the actual o"/>
        <s v="this place is da bomb they have very fast very nice customer service and that is far and few between these days do not hesitate do it do it u will not regret i was using chewy and pet smart and im out with those as long as they keep my dogs in stock im a "/>
        <s v="great experience will use them again"/>
        <s v="easy to find exactly what i was looking for quick delivery"/>
        <s v="i was very happy with my experience i placed an order for my cats food it shipped quickly and i got it within two days of being shipped the cans were excellently packed and the price for food was great i was and am satisfied with my experience and will co"/>
        <s v="friendly staff good selection of dog food"/>
        <s v="wrong food sent now i have to return it&#10;redbox it drive to fedx haul in in"/>
        <s v="we and our  german shorthair pups think your quick service and price are excellent"/>
        <s v="i ordered id chicken stew after two weeks i called you and you said your order is out of stock but still shows available"/>
        <s v="i always feel as though they truly want to make their customers feel satisfied i appreciate that very much"/>
        <s v="rder email confirmation was delayed and the email notification that shipment will be delayed was also late customer service needs improvement"/>
        <s v="super convenient great selection of grain free options prompt delivery"/>
        <s v="couldnt locate my brand of food in new state n city where i now reside found your website and luckily i now have my dogs favorite brands of food best part same price as it was in minnesota at chuck n dons store better it was delivered to my door i will be"/>
        <s v="i was forced to buy two items to get to the minimal amount only one was shipped not the one i wanted"/>
        <s v="couldnt find our dogs food anywhere you were the only place we found and you got it to us so fast and even contacted our vet for approval"/>
        <s v="i have been ordering from petflow for several years now and have always been satisfied with the products and the delivery recently they went above and beyond on an order that was delivered damaged the customer service was excellent and i was totally satis"/>
        <s v="great phone help on getting oscars rx for science diet in and the food shipped quickly"/>
        <s v="petflow had a prescription food in stock for my pet that other sites did not they also had a great promotion for new autoship customers and a separate promotion that saved me money on my prescription food when i had trouble applying the coupon code at che"/>
        <s v="petflow has excellent prices and a great variety of items their customer service is exellent also however it does take a bit longer than competitors to receive the ordered items and they shipped us the wrong item twice they did pay for the returned shippi"/>
        <s v="petflow was a great find with all the shortages and difficulties getting our cats hills science diet and with the price gouging at competitor sites it was certainly gratifying to find what i was looking for at petflow our cats are finicky and spoiled and "/>
        <s v="each time i placed an order of what was supposed to be in stock the company took my order and my credit card information and then days later told me the product was no longer available it really felt like a bait and switch after it happened  times really "/>
        <s v="specialty food said available on website called to be sure available too emailed a week later on backorder very poor customer service"/>
        <s v="i still havent received my dog food fedex keeps saying exception and attempted delivery that never occurred"/>
        <s v="i couldnt find this prescription treat for my dog anywhere but petflow had it in stock my dog is happy she can have a couple of treats a day now thanks to petflow"/>
        <s v="fast delivery  easy to use website&#10;thank you&#10;laura"/>
        <s v="fast service as usual product in good condition well packaged"/>
        <s v="wonderful product arrived as promised good company to do business with"/>
        <s v="ordered rx catcase cansblue wu on  vet contacted on  responded same day on  still no confirmation that order had shipped&#10;&#10;  had made calls earlyon to check to see if everything had been approved processed and had specifically asked when placing the order "/>
        <s v="as usual everything arrived timely and accurately"/>
        <s v="i ordered the prescription dogfood i needed nothing happened i called customer service and they told me they would expedite getting it shipped&#10;a day later i got an email saying it was out of stock this should not have happened now i am hunting for the foo"/>
      </sharedItems>
    </cacheField>
    <cacheField name="processes_review" numFmtId="0">
      <sharedItems>
        <s v="i shopped product milk bone pill pouches several weeks our dog on holistic herbal supplements dosing requires about five pouches a day petflow hands down a best price retailer my target product great value consumer customer service prompt courteous effici"/>
        <s v="arm hammer litter dust free clumpingseal which difficult find i used wear a mask handling other litter not necessary now no smell i have it on auto ship which makes it convenient it less expensive than buying in store"/>
        <s v="i have been with them since my orders are on time when there was a delay during covid they were sending out notices updates i had an issue with my fed ex people taking my dog food company immediately send another order out me they are wonderful always res"/>
        <s v="petflow was able ship an important dog food product that was not available from other online merchants it was frustrating contacting usual sources until petflow showed up on a browser search we had not heard of petflow before we will not forget them"/>
        <s v="i received a damaged pet food bag customer service people were so responsive wonderful i received a replacement bag immediately i always prefer petflow because your shipping always professional with no loose food or mess i always promote you my pet friend"/>
        <s v="this second time i have received rancid dog food from this company first time they finally answered my email said they would resend order they resent order item was wrong they then ignored my email didnt respond my phone call&#10;as of right now they are igno"/>
        <s v="company was very responsive problems i had manoeuvering their site shipping was well within reasonable expectations&#10;my only issue has do with site not being easy me actually mazelike in its degree of difficulty i wish it would be more customer friendly pe"/>
        <s v="ordered dog food days later no shipment no contact have call cancel order delete your payment method pretty much a fake joke site"/>
        <s v="people there if contacted go up beyond answer questions help orders are processed in record time shipped out fast&#10;very happy with switch over using them very satisfied customer"/>
        <s v="this was my first purchase from petflow i am impressed first when i set up my my new account i had issues with logging in i received email with digit security code but when i used link use it i wasnt sent page enter after multiple trys i gave up monday mo"/>
        <s v="firsttime customer i ordered canned cat food because of good price free shippinggood timely deliverygood&#10;however packaging was terrible both boxes split open from one box cans had popped open spilling liquid throughout three other cans were so badly dente"/>
        <s v="ive discovered petflow because i searched best value i could find bully sticks my dogs ive been really happy with my purchases will look them other pet supplies in future"/>
        <s v="good product but it would have been easier if these bags were boxed separately being a little old lady its hard manage both of them together but its all good"/>
        <s v="i have had a great experience with petflow they carry fromm dog food which can be hard find good prices website easy use i can adjust date of my subscription as needed"/>
        <s v="i had change my password past three times i attempted place an order everytime i ended up having call customer service place order when i tried tell agent what was happening with order app i kept getting replies that basically called me a liar what was ha"/>
        <s v="i was surprised be able talk an actual person whenever i called support one of few places i can buy best food my dog"/>
        <s v="quality fromm dog food treats that can not be found on other sites exceptional service"/>
        <s v="i placed a large order my nd one petflow was running a good special unfortunately they had some internet issues which delayed my order however it arrived fairly quickly giving issues one of dry food bags had a puncture hole in it when i spoke a representa"/>
        <s v="shipping usually pretty fast which much appreciated there seems be an issue with using my credit card on petflow page but now i just use paypal that seems work out fine"/>
        <s v="one of best things i love besides great pet product selection how petflow ships orders if something heavy being shipped with something that can easily be crushed there a u shaped piece of cardboard inserted in box create a protective space easily crushed "/>
        <s v="had a technical problem with my account had call help your rep was very helpful got food ordered delivered quickly"/>
        <s v="really pleasant helpful people on phones lowest price by far of any fast n free shipping great experience"/>
        <s v="i have used pet flow in past many years ago with success dont remember having same issues ive had recently when i started using there company again a dog food called rockster which produced in europe only sold via a couple store fronts petflow where i liv"/>
        <s v="my first experience was terrible i placed an order on may th on may th it was not even being processed i cancelled it placed an order in chewycom got it at same day&#10;i will not use petflow anymore"/>
        <s v="cannot cancel an auto ship online cannot update expired credit card on auto ship online had call nobody available until am eastern finally pause auto ship place new order do not ever set up any auto ship"/>
        <s v="first transaction auto ship went well cheaper than chewy all downhill after that cant log into account change or cancel autoship tried password reset never get email checked junk email as well contact support ok well send you a password reset email umm co"/>
        <s v="i placed an order on may thupdates tracking with fedex did not occur past second day ultimately an agent ordered a replacement order on may on may th shipment was on a truck delivery but did not arrivethe site still said it would be delivered by end of da"/>
        <s v="i just discovered petflow great selection prices just like or better than online retailer named after a jungle i usually get my order in days using standard shipping will continue shopping here"/>
        <s v="items i ordered were exactly what i wanted they were delivered in a timely manner"/>
        <s v="my delivery was very delayed then showed up even a day later than it was supposed very dissatisfied with this past order petflow wouldnt even offer expedite shipping even though delay was on their end didnt even offed a discount a future order"/>
        <s v="when i called order anything customer service representatives that represent your company they are so so nice very knowledgeable just i just love them theyre great"/>
        <s v="product ordered needed be shipped from a further destination fedex gave an arrival date of monday may then changed their arrival date sunday may it actually arrived on tuesday may i had go store buy some dry food see me through tuesday"/>
        <s v="we purchased canned dog food from petflow their prices were lowest we were able find as this brand was hard find elsewhere ordering was very easy shipping was quick flawless we will continue purchase from petflow"/>
        <s v="petflow only place i can find fromm dog food their prices are reasonable they ship quickly"/>
        <s v="it was able order easily delivery was prompt products had good variety"/>
        <s v="i find best price on my preferred cat food at petflow everything also packaged neatly arrived in perfect shape petflow has been great only criticism would be that it took nearly a week receive order but now i factor this in when i place an order ill absol"/>
        <s v="i have shopped at a couple of different online pet sites only be disappointed frustrated when i found petflow say least i was skeptical but my surprise petflow came through as promised not only did they process my order quickly it was shipped just as fast"/>
        <s v="items were received in a timely manner were packaged well descriptions on your website were accurate very detailed this was very helpful"/>
        <s v="i love your fast shipping fact that you use boxes that are strong enough hold contents you carry bags of dr kelseys kitty litter instead of new lb boxes boxes are too heavy me but i can handle pound bags your prices are best"/>
        <s v="i had a very friendly young lady help me order my cat food her name savannah it was a pleasure having her help me today&#10;&#10;today at bottom of this page some unknown reason someone chose type in date as may not so"/>
        <s v="customer service outstanding always kind helpful courteous professional petflow often has special discounts ive applied my purchases can be counted on have special brand flavor of dog food my admittedly spoiled princess dog eats when i cant find it anywhe"/>
        <s v="this second time that ive been sent two shipments system said i needed update my credit card i did then it was double charged foible shipped"/>
        <s v="there was an issue with shipping petflow team resolved it within hours ive been a customer of petflow several years they always come through my kiddos me thank you"/>
        <s v="i had an issue with shipping damage they fixed problem right away a"/>
        <s v="i placed my order on rd of may after a number of phone calls my order hadnt been shipped on th of may i asked my money be refunded i more than understand business small my account stated that my order was shipped on rd when in actuality it never shipped a"/>
        <s v="just discovered this company great price super fast shipping will definitely be back highly recommend"/>
        <s v="petflow has always been great with wonderful customer service support my only issue that they dont protect their canned food deliveries very well i always end up with a few dented cans they do offer make it right i just wish it wasnt every time"/>
        <s v="my order arrived later than expected some of items were damaged leading a frustrating return process petflow has its pros cons i would advise potential customers weigh them carefully before making a purchase"/>
        <s v="person was very kind but as soon as i hung up phone my order was delivered it seems me she should have been able tell it was shipped i never received an email stating my order was shipped"/>
        <s v="great prices great customer service really fast delivery"/>
        <s v="we can count on petflow delivery ontime with autoship like this easy way ordering my dogs food"/>
        <s v="very good prices product arrived in about a week we are perhaps spoiled by next day two day delivery but thankfully i had anticipated running out of dog food"/>
        <s v="great customer service whoever i speak with always helps me with my issue"/>
        <s v="nice quality collar with a quick release snap i love this beautiful blue collar matching leash petflow best"/>
        <s v="i arrived at site via a link that promised a discount discount appeared on checkout page i checked out with discount applied however discount was not included in final billing so i feel i was cheated"/>
        <s v="you bet everyone elses prices your delivery was great order was correct"/>
        <s v="web site difficult navigate it takes several attempts order a bag of dog food"/>
        <s v="petflow had dog food product i was looking i had spent a long time searching other various web sites not having any luck petflow was very good with communications shippingdelivery of my order very excited find them"/>
        <s v="start order did not go through after attempts using my debit card point of me being highly suspicious about a scam it was not until i called phone number because rep in chat text were dismissal that i was notified there was a problem with companys system "/>
        <s v="days since i placed my order online called verify that my order was coming from nj warehouse im in nj about an hr away from warehouse i still dont even have a comfirmation that my order has even shipped"/>
        <s v="they canceled an order without telling me when i sent an email asking what happened response was a little on snarky side i asked a follow up question never received a reply i thought id try this out but its not worththe headache rudeness ill never stray f"/>
        <s v="shipping took way longer than chewys box that fedex eventually delivered was in horrible shape"/>
        <s v="my credit card always getting flagged fraud with this site site itself has good selection with great prices but if i want continue using it i have make a paypal acct"/>
        <s v="price was right time receive product was fast only issue was packaging lbs of cat food lbs littler in a box that could not handle weight cat littler box broke open we had little everywhere"/>
        <s v="all items arrived within a few days well packed&#10;ordered dog food was a bit worried about possibly getting a short expiration date&#10;the food had an expiration date of over a year&#10;very pleased"/>
        <s v="did not like how mostly everything i looked was out of stock&#10;did not like how i was charged an extra not told prior my order came from a different warehouse so i was charged differently this should not have been my fault i shouldve only paid what i origin"/>
        <s v="i called ask a few questions rep could not answer anything luckily i called back got a rep who could basic questions also once when i was a prior customer then with my last order i called assistance was assured my issues would be handled they werent i wou"/>
        <s v="i have had two auto shipments of dog food messed up in less than months first of all i do auto ship with you i order bags of victor nutrapro every weeks my first problem was an order of two bags sent me one was not in a box was taped shut where it had bee"/>
        <s v="shipping was by slow boat very disappointed in that"/>
        <s v="always fair price prompt shipping great products choices"/>
        <s v="it was very helpful have that special with off of purchase its hard me as a senior on a fixed income"/>
        <s v="easy transaction good selection good prices quick shipment"/>
        <s v="shipping literally always late i know that out of your control but it would be worth talking fed ex about it im sure you are losing return business"/>
        <s v="quick delivery of a hardtofind product my dog loves"/>
        <s v="petflow has good prices if you have&#10;coupon codes use google incognito"/>
        <s v="i ordered a case of cans of dog food when it came cans were severely dented i called company they did send out a new case very quickly when new set of came were damaged unusable this isnt cheap dog food packagingshrink wrapping wasnt messed up so im not s"/>
        <s v="online ordering easy product selection great delivery fast good customer service boot"/>
        <s v="we needed dog food asap so petflow rescue plus their subscription program gets food us on time without having wait order we love it"/>
        <s v="easy order delivered in a timely matter when i had a problem with a delivery as crushed cans or a torn bag of dry dog food it was taken care of"/>
        <s v="sure easy navigate experience was quick they have good deals ill definitely be back recommend others"/>
        <s v="good prices selections fast delivery"/>
        <s v="i made a mistake on my order customer service immediately corrected it me"/>
        <s v="always willing put up with my constant changes"/>
        <s v="accurate timely i depend on them every month"/>
        <s v="shipped from nevada ohio then back california it took days get food"/>
        <s v="i love connivence of having my dogs food delivered directly my home it so easy have auto ship if i want choose additional products i just go on line"/>
        <s v="great customer service love your sales i order litter use pharmacy great products"/>
        <s v="very helpful friendly support staff reliable shipping"/>
        <s v="prices are awesome super fast shipping"/>
        <s v="i love selection of products offered my dogs loved treats they received prices are amazing"/>
        <s v="everything was great as alwaysvery courteous helpful"/>
        <s v="extremely fast processing delivery i placed my order night time april food my dog left at my door april pm truly greyhound speed thank you perflow"/>
        <s v="i did not get my dog food i asked fed ex about it it lost i got cat food litter but not dog food&#10;&#10;can you resend it"/>
        <s v="i love pet flow toys are always best quality have a lot of options great service"/>
        <s v="i bought large bags of open farm food from you but now you only sell small bags"/>
        <s v="i love this food my schipperke it has great ingredients delivery very fast i would have recommend fromms friends"/>
        <s v="websites very easy use product arrived promptly product arrived in great shape product that arrived was exactly what was ordered no complaints"/>
        <s v="reasonably priced fromm dry dog food&#10;easy website browse place an order shipping was on time&#10;&#10;will order from this site again"/>
        <s v="petflow had product i needed would rate a star but product took an excessive time ship recieve"/>
        <s v="none"/>
        <s v="quick&#10;easy&#10;kept you informed&#10;open communication"/>
        <s v="a very smooth seamless process secure my spot in breeders upcoming litter"/>
        <s v="easy order i received correct shipment"/>
        <s v="hard find dog food at a good price e quick free shipping"/>
        <s v="easy order wide variety of product choices great prices"/>
        <s v="ordering was easy delivery was fast i found what i wanted"/>
        <s v="cant beat prices very convenient service"/>
        <s v="great prices loved free shipping"/>
        <s v="highly recommended thank you guys providing absolutely phenomenal service"/>
        <s v="my shipment reached grand junction co which close where i live then it was shipped back nevada then back grand junction this second time this has happened all of cans were damaged when i received my shipment"/>
        <s v="love how tall it isand lookjust what i was looking forwas shipped very fast"/>
        <s v="pet flow was very good about my special order they had reach out my vet get script dog food did so i received my order right after that thank you"/>
        <s v="had a problem with my order duplicate customer service fixed right away answered phone with a person i could understand super plus that"/>
        <s v="my order came with cans dented out of this not first time"/>
        <s v="good company order better prices"/>
        <s v="you had items i wanted at a good price my order was filled shipped as advertised ill use your service again thank you"/>
        <s v="ive always had good reliable service from petflow im very happy with experience"/>
        <s v="my card number failed go through properly i didnt know it so i finally called company when i didnt get my product they explained me what had happened i said oh lets go ahead use number again when i went ahead they give me discount my trouble you cant beat"/>
        <s v="always get anything i order on a timely basis"/>
        <s v="prices were extremely competitive everything arrived without a problem delivery was fast"/>
        <s v="i have yet get my order it was easy ordering"/>
        <s v="best value bully sticks nobody comes close every place way more expensive"/>
        <s v="i received what i ordered pronto great prices compared petco i saved compared petco"/>
        <s v="had everything i needed ordering was quick easy speedy delivery"/>
        <s v="furkids love treats customer service was top notch great communication"/>
        <s v="quick shipping a great price i will be a returning customer"/>
        <s v="super fast shipping awesome fantastic prices"/>
        <s v="great communication with frequent updates on my order tracking"/>
        <s v="wish there were more options length of time dog food ordering"/>
        <s v="experience was great shipping was fast very happy with my purchase"/>
        <s v="its a great product family dog loves it"/>
        <s v="lured in by low pricing i ordered a case of a new dog food canned try it out i ended up converting my dog over about days onto this new food i then ordered more cases with petflow of same food i had auditioned transitioned my dog onto&#10;&#10;what a nightmare th"/>
        <s v="order came just as promised very quick shipping"/>
        <s v="best price fast delivery"/>
        <s v="i think you provide good service deliver your products on a timely basis"/>
        <s v="good prices large selection fast delivery good response questions"/>
        <s v="super fast shipping competitive pricing accurate order delivered"/>
        <s v="as i said before a mistake was made with my order customer service immediately fixed it"/>
        <s v="wonderful find natural balance venison canned food in stock delivereddelivered"/>
        <s v="package was never delivered days after order"/>
        <s v="they had what i needed hardtofind item in stock shipped quickly"/>
        <s v="very easy navigate website excellent prices great selection just an overall best experience second none"/>
        <s v="i received my order promptly these people are on their game sure"/>
        <s v="user friendly online shopping experience very good prices"/>
        <s v="i was pleased with prices products at petflow"/>
        <s v="quick delivery on great product at a great price"/>
        <s v="great prices good service"/>
        <s v="got what i ordered it was delivered on time"/>
        <s v="pet flow had an out of stock item we have been looking over months my dogs are so happy"/>
        <s v="great prices free fast shipping awesome"/>
        <s v="higgins parrots feed"/>
        <s v="fast shipping great fresh seed brands i use higgins"/>
        <s v="easy place an order great prices fast shipping"/>
        <s v="good customer service great prices"/>
        <s v="i always get good service at a good price in a very good time"/>
        <s v="good price on pigeon feed shipped with no damage"/>
        <s v="company affordable customer service exceptional"/>
        <s v="everything was perfect thank you"/>
        <s v="great prices prompt delivery"/>
        <s v="ordered you didnt have in stock still waiting"/>
        <s v="easy order at a fair price this day age"/>
        <s v="easy place order delivered on time"/>
        <s v="good price timely delivery"/>
        <s v="they get my stuff i ordered me within a few days"/>
        <s v="love product very fast serviceshipping"/>
        <s v="like always quick reliable"/>
        <s v="good i will purchase again"/>
        <s v="you had what i wanted you got it me quickly"/>
        <s v="you had product that i needed it was shipped quickly"/>
        <s v="great shipping speed bones i ordered are great"/>
        <s v="good price fast shipping"/>
        <s v="fast efficient service"/>
        <s v="easy ordering experience good products"/>
        <s v="my dog loves it"/>
        <s v="fast easy&#10;good price"/>
        <s v="i order in no time my order delivered staff also quite helpful with advice customer service"/>
        <s v="i am committed feeding my cat required ingredients suggested by my vet give tammy quality of life as she grows older because of cost of prescription diet food i have shop around best affordable prices which petflow has provided my number one choice price "/>
        <s v="i needed a prescription food you say you stock your instructions were mail prescription in this seems bazaar in online world after a few days you emailed me saying that i could email a scanned in image of prescirption&#10;&#10;why didnt you provide this right up "/>
        <s v="always fast service good prices"/>
        <s v="best price on kmr liquid powder"/>
        <s v="great service pricing&#10;&#10;thank you"/>
        <s v="first petflow shipped my product wrong address even though they confirmed via email text that address would be updated correct address shipment secondly do not rely on their autoship they have constant delays so it not dependable like everything else abou"/>
        <s v="great service&#10;easy order&#10;shipped quickly&#10;thanks"/>
        <s v="excellent customer service thank you"/>
        <s v="i found what i needed quickly not many shippers carry nutrisource i also got a significant discount through my capital one addon so i bought bags get free delivery they were delivered very quickly as well i am disappointed that they dont participate in fr"/>
        <s v="easy navigate website lots of name brand foods at reasonable prices"/>
        <s v="best prices anywhere great communication from petflow received food four days after ordered pet flow notified me on day order was delayed one day in st paul location but was quicker delivery time than other companies i have used so was very happy find pet"/>
        <s v="shipment was received in a timely manner however cost of canned food i purchased almost can i would have expected a little bit of packaging material in box almost all of cans have big dents in them from being shipped i am glad that though that they carry "/>
        <s v="due shipping restrictions i was unable reroute delivery via my fedex delivery manager this a big issue me because i live in an apartment complex with a lot of theft having my cats expensive food stolen too much of a risk take when ordering from petflow"/>
        <s v="website very easy navigate our purchases were shipped arrived quickly our home prices are best ive found all these things have added up me be a repeat customer"/>
        <s v="easy order quick shipping makes petflow a winner in my book"/>
        <s v="good selection of cat foods good quality fast shipping with fair prices"/>
        <s v="product a case less than competitors&#10;shipping time relatively timely they product came in manageable size boxes not one oversized heavy box"/>
        <s v="they are very responsive an item was missing from my shipment it was reshipped within a day or two"/>
        <s v="fedex failed deliver package even though it was shown as delivered boxes of milk bones one call petflow sent a replacement one week later fedex package showed up most likely dropped off by a neighbor called petflow they said keep treats donate a pet shelt"/>
        <s v="timely orders great communication wonderful products"/>
        <s v="they gave me a credit because something i ordered was no longer in stock new items came very fast"/>
        <s v="it was my second order second time it was easy with high expectations&#10;thank you nice service"/>
        <s v="tried chewy but there no comparison pet flow your service far above them my order always delivered quickly customer service department great helpful i am a returning customer pet flow best"/>
        <s v="prompt services delivery competitive pricing"/>
        <s v="lowest price i could find fast shipping knowledgeable polite customer serviceone small flaw wasnt able use paypal no biggie"/>
        <s v="always good products always good prices repeat customer many times over"/>
        <s v="i received packages in good shape as promised with little delay products were as described much appreciated thank you petflow"/>
        <s v="had call in because of recent c card change efficient quick delivery thank you"/>
        <s v="petflow offers items my dog at lower prices than other pet supply websites there arent as many choices as bigger websites but i look at petflow first when i need something because of their good prices my order shipped quickly accurately"/>
        <s v="i can change order they always catch up with changes"/>
        <s v="that it got delivered in time your price fare"/>
        <s v="they got my order out me in a timely matter a good price"/>
        <s v="we needed small litter pans were able find them at petflow not only were we able buy quantity we required but these were also lowest price available online thank you petflow"/>
        <s v="easy use website i found product i wanted notifications sent through whole process after purchase was made product arrived when specified in whole undamaged form well packed"/>
        <s v="i am very happy with fast delivery also knowing that my ordered items are available im still learning how navigate auto shipment with petflows system there are too many shipment options on page i have accidentally double ordered because of how auto shipme"/>
        <s v="we appreciate your efforts keep orijen products in stock past five years our puppy has been alive you get them us fast thanks"/>
        <s v="great customer service chews need be long lasting"/>
        <s v="this was first time i had use a prescription food staff was on ball got taken care right of way shipped me in days"/>
        <s v="auto ship a lifesaver prices are comparable store prices but never having worry about running out fantastic they are always on time as promised"/>
        <s v="they are still bothering my vet a prescription on an i order i canceled annoying"/>
        <s v="best prices fast free delivery you can get cashbak with rakuten"/>
        <s v="i got what i order when was suppost be deliver"/>
        <s v="reliable easy ordering quick shipping their prices fish food we use best you can find&#10;dont hesitate use petflow&#10;theyre outstanding"/>
        <s v="always great finds at great prices on your site"/>
        <s v="i was very pleased about shipping that it came on day it said it would also i like price a lot of people in amazon are price gouging so this nice thank you"/>
        <s v="fast shipping was provided as i was running low on canned dog food only problem was some of cans were smashed they still were able be opened but tough get all food oyt"/>
        <s v="love large guinea pig house she loves cloth ones without a bottom petflow was only place i could find them so happy they had them i will absolutely continue order from them"/>
        <s v="quick shipping easy websitecost up tho"/>
        <s v="rapid response&#10;personal interchange&#10;human contact"/>
        <s v="first time customer ordered prescription food so it had be approved by my vet still had my order in less than a week thanks speedy delivery"/>
        <s v="this was my first time purchasing products available my cockatiels while limited were good quality issue i have with packaging of pounds of millet they need be put in a bag first prevent seeds from spilling out into larger box it creates wasteage a mess b"/>
        <s v="very professional my orders are always right on time"/>
        <s v="i have a been a long time chewy customer you beat their price on one of items then with autoship you beat price on other item so i gave you a try you delivered&#10;&#10;i am new plan stay"/>
        <s v="timely delivery wide choice of product at a competitive price"/>
        <s v="original order on damaged in transit heard nothing a week after i called replacement order initiated supposed be delivered on its now order still showing intransit from nj with no additional info as eta or when my order should be delivered very poor perfo"/>
        <s v="a better value than their competitors fast service thank you"/>
        <s v="had my product in stock great price payed shipping thank you"/>
        <s v="always fast friendly service"/>
        <s v="fast delivery cans not dented price"/>
        <s v="my order was processed shipped promptly at a very good price"/>
        <s v="prices are comparable free delivery great"/>
        <s v="so happy get my very hard find dog food"/>
        <s v="we like ordering from petflow orders come quick it easy get what we need our babies"/>
        <s v="easy order it shipped quickly pup enjoying toys"/>
        <s v="so easy order online was quickly delivered my home"/>
        <s v="i like that i was able find food my dog that hard locate in pet stores my order was received within five days my pup was very happy i will definitely make more purchases from petflow"/>
        <s v="i have used pet flow a number of times they are usually on time get things shipped timely"/>
        <s v="what can i sayevery order on delivered in a very reasonable time selection of products as well as price spot on"/>
        <s v="great wish they had an app wish shipping was faster"/>
        <s v="never no discount or coupon fromm food spend dollars a month on from food"/>
        <s v="you see brands of dog food other companies do not"/>
        <s v="love sales that petflow sometimes has i always get what i ordered as expected in a timely manner easy check out too"/>
        <s v="i called help with an order agent wanted me be schooled on how add an auto order i just wanted her help me delete start new order she said in a not nice way that if i didnt learn i would call each time im staying with chewy best service always helpful che"/>
        <s v="name brand item at good price there was a problem with my credit card being accepted i called talked a real human being was helped promptly&#10;customer service with real people getting either rare today"/>
        <s v="whenever i have a problem its always taken care of immediately"/>
        <s v="company easy work with helpful when i have had problems easy work with resolve any issues shipping timely also"/>
        <s v="i got my order on time it was less expensive than any other place"/>
        <s v="fast easy shop order plus customer service was great answering my questions via email"/>
        <s v="you have a toy that my dog loves i have trouble finding it but you have it so thank you"/>
        <s v="customer service nonexistent shipping takes forever"/>
        <s v="better prices than chewy shipping a bit slower but worth it if you just plan ahead&#10;&#10;first order with them took about a week get second larger order only took a few days from east west coast not bad at all good selection of products also"/>
        <s v="prices good fast leaning a but much on subscribing my cat an animal things need be flexible not locked into same food delivered regularly cant i get a discount without subscribing"/>
        <s v="ordered twice order was canceled with no explanation finally called they said my cardorder was suspicious that i needed call i went ahead ordered from petco instead they had no issues with my payment then i asked them take me off their mailing list which "/>
        <s v="i ordered dog food it was delivered next day"/>
        <s v="when item was ordered i didnt receive any communication as when it would arrive that was accurate after email stating that it was ordered also initially form of payment used was incorrect company didnt notify me or communicate with me so that i could corr"/>
        <s v="always have fromm dog food in stock always received my order within days great service"/>
        <s v="you ship so fast i really appreciate plus your products prices are really good affordable i can count on my dogs getting exactly what they need thank you"/>
        <s v="great customer service when an issue arises"/>
        <s v="petflows customer service great always someone helpful answer phone solve issues"/>
        <s v="ordering from their website easy they have good prices fast shipping"/>
        <s v="well it all started with me not noticing that shipping address was wron i didnt notice it until order was done so i sent an email a test if i remember correctly i then received a phone call discussed wrong shipping address with someone who assured me that"/>
        <s v="i had been shopping from another company but prices were just getting steep i found petflowcom have reasonable prices all products i needed my fur babies customer service has been great i recommend pet flow all parents up fur babies"/>
        <s v="i searched internet petflow had best price blue buffalo brand delivery was quick we are very satisfied"/>
        <s v="if i could give a rating of zero stars i would i order two different times both were immediately cancelled no reason given i texted emailed you company with no response i have since started using a different pet company my needs&#10;no customer service at all"/>
        <s v="easy use website food arrived on time"/>
        <s v="you offer fast shipping my fussy cat who only eats three things i appreciate your quick turnaround time"/>
        <s v="delivery was delayed i was expecting it friday it got pushed until monday this was my first time ordering so ill be wary if i order again be mindful of delays not sure if this experience those on auto ship have"/>
        <s v="excellent telephone info easy buyreceive what our pets needed qualityprice were best i could find also"/>
        <s v="my dog had dental surgery i needed more royal canin canned food my usual stores out of stock i discovered petflow online great price super fast ship my new go store i recommended many friends"/>
        <s v="easy order on line quick delivery when i called customer service they were exceptional"/>
        <s v="only place i can get smallbreed dog food i need fairly fast shipping very helpful customer service"/>
        <s v="petflow has lost me has a customer weve been ordering on a consistent basis since july so just shy of years this final straw has been last two months when we decided order all our food month in one large order we have been told we are fraudulent then petf"/>
        <s v="ive been ordering from my chihuahua since he was a puppy hes now two years old everything so quick prompt best company ive ever dealt with when it comes my dogs thank you"/>
        <s v="amazing company that im glad i found your prices are great your customer service super friendly helpful"/>
        <s v="petflow had best overall price with shipping i could find anywhere on items i needed shipping took a few days but only one company offers next day delivery their goods prices are increasing"/>
        <s v="no problems fast shipping"/>
        <s v="we never received this order&#10;we have received several emails that say our order was delivered but it has not arrived"/>
        <s v="product arrived quickly as i was running low"/>
        <s v="my order my precious pets arrived promptly in good condition my dogs have loved food treats i have been pleasantly surprised so much that i have made a second order"/>
        <s v="i ordered kong toys my pitbull just loves them squeaker a prolonged one so it really keeps him entertained&#10;i would recommend these anyone who has a curious pup&#10;as petflow they have a vast array of items experience was a pleasant one i would recommend doin"/>
        <s v="fast delivery fairpriced excellent service my chessie thank you"/>
        <s v="petflow had all information from a purchase from some time ago&#10;immediately filled order sent pet food which arrived in no time&#10;smooth"/>
        <s v="i ordered well over a week ago still have not received it"/>
        <s v="product was just what i was looking we have three large dogs they enjoy big bones chew on local store that we use purchase them from no longer carries them i told vet this she suggested go online i found petflow was very happy find same bones a a great pr"/>
        <s v="easy order fast delivery"/>
        <s v="amazingly fast shipping our dog has allergies so getting right dog food consistently important petflow has come through twice now us"/>
        <s v="pet flows price science diet was less expensive than other online suppliers i checked with i received my order within two days of ordering overall i was happy with my shopping experience"/>
        <s v="convenience of having products delivered my door a big plus dog food always fresh if when i have call assistance everyone friendly helpful"/>
        <s v="order was filled quickly shipped right my door i know from experience that if i had a problem with my order it would be worked out it a great company"/>
        <s v="items i needed were in stock when i couldnt find them elsewhere i have switched my subscription service petflow fast shipping too"/>
        <s v="part of my order was incorrect but they promptly took care of it arranging pick up incorrect items delivering correct ones"/>
        <s v="i found dog food i needed an excellent price it was delivered quickly"/>
        <s v="i was hesitant after i made purchase as i looked at comments saw how people had trouble with shipping i was grateful have not experienced this i immediately received a tracking number my order arrived on time"/>
        <s v="fast shipping lower prices than many other places ive bought my dogs favorite brand of food"/>
        <s v="i received a broke cracked pet carrier they shipped a new one very next day it arrived in good condition"/>
        <s v="easy ordering fast shipping"/>
        <s v="wrong dog bowls were sent then they wanted me return them by fedex would send me correct ones but when they did that they sent them by fedex ground they would not have arrived in time when i called they said there was nothing they could do except cancel i"/>
        <s v="i am a first time customer of pet flow representative was available upon calling ask a few questions rep was very courteous knowledgeable answer all my questions able track order which arrived in two days yes i will order again"/>
        <s v="i love that my dogs favorite dog food i order gets delivered right my front door in a matter of two days whats better than that"/>
        <s v="prompt delivery product just as described arrived without damage"/>
        <s v="came timely it was easy order"/>
        <s v="ordered prescription food my diabetic dog first time with petflow transaction was handled smoothly correctly order arrived on time as expected"/>
        <s v="wonderful company great selection of products super quick shipping very reasonable prices outstanding customer service"/>
        <s v="great pricing free shipping acceptable shipping time"/>
        <s v="ordering was easy shipping was fast"/>
        <s v="petflow always in stock ships immediately my pet supplies arrive in perfect condition no complaints here"/>
        <s v="petflow website easy navigate my order was processed shipped quickly accurately"/>
        <s v="sitejabber website reviews complaints&#10;thanks your review was successfully submitted woo hoo &#10;our internal mod team will take a look notify you when its posted&#10;&#10;thumbnail of user ardigoc&#10;ardigo c&#10; reviews helpful votes&#10;whew&#10;april th &#10;i ordered a few items "/>
        <s v="fast delivery always have what i want at reasonable prices"/>
        <s v="i ordered my dogs food it came right in time"/>
        <s v="was happy get our new puppy food we were looking at a good deal however dog food bag had a hole in it food was scattered everywhere box was falling apart which was not a big deal except that our food bag had a hole in it"/>
        <s v="fast easy service timely delivery easy return well be back order again in future"/>
        <s v="my order was correct came quickly was as advertised my doggos love love love this food i loved ordering experience"/>
        <s v="my order hasnt been shipped after over a week when i reached out i was told i had call management im glad i received a prompt response but i dont want call anyone i didnt want wait any longer so i went back chewy although your prices were a fraction bette"/>
        <s v="excellent items packing was also excellent fast shipping will order again"/>
        <s v="most items are always in stock reasonably priced my orders are shipped promptly keep up great work"/>
        <s v="very nice quick with my order unlike some other companies who delay my package love it coupons please send more because we in a recession thank you"/>
        <s v="been ordering from petflow a few years now they have fast shipping always get my order correct i also like that they have many different foods products choose from"/>
        <s v="my first time with petflow it was a fluke how i heard about them glad i did wonderful website easy use im not a tech savvy person love autodelivery discount variety they have my little ones flavor of pure vita dog food hard find online but petflow had it "/>
        <s v="always a positive experience quick delivery has always resolved promptly if there are any issues"/>
        <s v="quick delivery good prices trustworthy we always get what we ordered thank you"/>
        <s v="representatives are very understanding easy work with"/>
        <s v="i had a little trouble placing order initially but that was apparently me rather than site once order was placed i received an email stating that one of items was out of stock would ship from another location i went website found that on remaining parts o"/>
        <s v="you have decent prices quality products i am a customer life"/>
        <s v="both times that we have ordered we have gotten out purchase when promised&#10;only thing i have that may need be worked on ordering site it took me like times finally fulfill my order"/>
        <s v="love pet flowbeen using them years now"/>
        <s v="ive never heard of this company they sent me an order confirmation wouldnt tell me what credit card was used but apparently someone targeting them gain what i have no idea how does using a stolen credit card ship something someone who didnt order going be"/>
        <s v="petflow amazing dog food i ordered was out of stock from other company i have used so i was so pleased petflow had it in stock it got me quickly which surprised me since it came fed ex who i have not had a great experience with speedy delivery so thrilled"/>
        <s v="all of my experiences with petflow are amazing"/>
        <s v="first attempt pay failed due a fraud control with my credit card after i approved it website did not let me retry payment it was some glitch i attempted calling petflow during business hours but i was put on an endless wait of over minutes i ended up canc"/>
        <s v="very quick delivery high quality products i really appreciated how good they were at communicating status of order as well will definitely shop with them again"/>
        <s v="you should have known when i placed my order that you did not have it in stock"/>
        <s v="easy shopping great products comparable prices fast shipping"/>
        <s v="shipping was quick order was right prices are getting awful high but i guess that due our rotten economy"/>
        <s v="if i could give you a star i would i was a new customer i purchased a bag of dog food my dog that has a super sensitive stomach i waited days food never arrived so i had call customer service them finally tell me that i was flagged fraud so my dog had no "/>
        <s v="buyer beware petflow had so many excuses as why they couldnt ship my prescription order cc wouldnt work vet clinic wasnt on record it was my account was flagged fraudinformed fraud dept would reach out me never happened then my order of hard find food wen"/>
        <s v="quick service easy use"/>
        <s v="i buy canned dog food i should have split my order into two because i could have taken advantage of two discounts that way it was an expensive order but i only used one discount my fault it cost me&#10;petflow has best price on dog food that i buy i tell peop"/>
        <s v="web site needs be a little eiser use i have a hard time adjusting auto ship without out deleting product resubmitted increase or decrease amount of product&#10;&#10;also i need pigeon grit be added sale i also use versa laga grit red stone"/>
        <s v="petflow has food toys my dogs love website easy use my orders arrive quickly"/>
        <s v="customer service awesome ordering online quick easy my dog loves these treats"/>
        <s v="super delivered my home price good"/>
        <s v="very helpful polite phone staff prompt delivery a positive shopper experience will continue shop my cats rx food from petflow"/>
        <s v="i placed an order my card was charged then credited a day or so later then i was locked out of my account i created another account same thing happened all no reason my orders were never shipped it was a waste of my time i dont understand what problem was"/>
        <s v="well you know what they say about st impressions&#10;the csrs are never on same page when asked same questions when csrs were asked when will i receive my shipment answers varied between csrs&#10;one csr said everything will ship on monday while yet another said "/>
        <s v="delivery slower than chewy occasionally items are sold out"/>
        <s v="it only recently that we came back petflow after a period of being away no particular reason this we are very pleased with experience will be coming back as a customer meanwhile we had been doing business with a major competitor of yours their customer se"/>
        <s v="my dogs were having an allergy attack you gave me ideas on what do what buy allergies it really helped"/>
        <s v="shipping was superfast koko got her favorite food at a price that left me amazed not mention a bit piqued at myself paying so much more from other major online stores last several years note that this wasnt any kind of sale it was petflows regular price s"/>
        <s v="pet flow always gets my order right delivers in a couple of days"/>
        <s v="they had product i needed at a great price fast shipping too"/>
        <s v="place order first time on petflow a difficult product find on after almost two weeks i attempted log in my account on website which had been deleted my payment had post via my bank on no refund so i called customer service was told my order had been cance"/>
        <s v="ordering was very easy cost was less than most places shipping time was outstanding days that was over a weekend"/>
        <s v="i had some issues on broken items due poor packaging i let pet flow know they took care of it i have been using pet flow a long time this my first problem yes i will keep purchasing from pet flow"/>
        <s v="my order was canceled i was given no notification about cancellation additionally when i talked a customer service person inquire they were not helpful either they couldnt tell me what caused cancellation because payment done through a third party it was "/>
        <s v="products i needed were very reasonably priced delivered my door step quickly"/>
        <s v="shame on petflow&#10;&#10;the shipment of dog food year old dogs failed be shipped&#10;&#10;ordered on i was informed my vet had approved hills prescription wd canned dog food&#10;&#10;on petflow informed me due uncertain times were currently delayed on email too busy fulfill an"/>
        <s v="good product good service"/>
        <s v="first time purchase two orders were cancelled no reasons i called customer service they said they will investigate send me an explanation email received no explanation nothingand agent attitude was terrible one of order refund has not been issued until i "/>
        <s v="i did not order anything but received multiple emails about an order being delivered my name my address&#10;i didnt receive anything&#10;something seriously amiss here"/>
        <s v="overrall experience with this online vendor excellent however they frequently run out of products often sometimes they delay thr shipments&#10;the possitive that they try help clients when they call on phone"/>
        <s v="petflow my first choice dog supplies great customer service friendly people who genuinely care about their customers"/>
        <s v="i never placed an order with you but my credit card was charged by someone else"/>
        <s v="prices are very competitive shipment arrived very quickly"/>
        <s v="great price with opportunity get free shipping fast accurate shipping order filling they had dog food i was looking"/>
        <s v="i still havent received my order&#10;it took over two weeks receive a call from petflow after placing my order evidently they didnt have my full address that has been at least a week still have not received a shipping notification i ordered puppy food because"/>
        <s v="good company nice people that can be reached by phone right away no robots&#10;&#10;good selection of products very helpful do not rush you&#10;&#10;petflow carries my favorite cat dog food orijen"/>
        <s v="i ordered boxes of pound cat litter i got a great deal hr shipping an easy shopping experience plus raukten had cash back this was a better deal than chewycom which usually best i am very happy"/>
        <s v="fast delivery&#10;accurate order"/>
        <s v="good products at good prices delivered timely"/>
        <s v="very good service thank you"/>
        <s v="every time i order from petflow i get fast service its nice know when i need food or treats or toys they are on their way quickly i also like receiving tracking information keep in loop"/>
        <s v="order canceled no reason or notice given"/>
        <s v="great prices fast delivery almost everything taking care of your pets"/>
        <s v="did not like that i buy a membership in order save on my purchasevery disappointed with that part of checkout"/>
        <s v="left product out by street in rainit was covered in plasticbut still by street bad news"/>
        <s v="i ordered some guinea pig food price was better than any other place it shipped out fast company did a great job emailing when it shipped out with tracking products arrived perfectly packaged in a box that was just right size shipment nothing was damaged "/>
        <s v="i have ordered twice now from this company fast shipping boxes arrived in tact no problems"/>
        <s v="i had been looking best auto ship on wet cat food found petflow be best they ship quickly whole experience just great"/>
        <s v="good prices great customer service you also carry brands that mainstream stores do not"/>
        <s v="i ordered dog food be sent my daughters while she keeping my dog you evidently canceled my order was not advised by petflow"/>
        <s v="i always did love petflow only switched after years of buying from them because it took a bit longer receive product than was convenient after finding out that they carry a product i was not able get at my current pet food company i decided try again it s"/>
        <s v="account flagged as fraud long wait time customer service had give credit card info over phone cant get a password email reset even though you recognize my email address so cant access account"/>
        <s v="petflow published an anniversary discount of orders over i was so frustrated when my order wouldnt accept discount i called petflow spoke a real person bonus points better still customer service rep was apologetic friendly worked with me get discount appl"/>
        <s v="website takes too long navigate&#10;shipping takes too long&#10; days from order delivery"/>
        <s v="great prices fast shipping only compliant several cans were dented but they were still sealed"/>
        <s v="this a fake account i already called my bank you a few weeks ago someone using my email address an old card that already marked fraudulent purchase cat supplies i dont even own a cat i have unsubscribed continue get these emails from your company when i c"/>
        <s v="friendly competent person that took care of my problem quickly"/>
        <s v="star may or may not be fair but its make a point i have not prior history or account with petflow i randomly started receiving multiple daily emails from petflow regarding multiple orders made including order updates multiple people in multiple states i s"/>
        <s v="i ordered cat food when it didnt come i was just running out i called they didnt even bother tell me that it had been cancelled because they couldnt verify that order was from a real person"/>
        <s v="round cat scratcher fitted perfectly inside a round woven basket that my cats love i had remove cardboard supports which was easy do&#10;many thanks"/>
        <s v="not sure why but i had a monthly subscription set up with my name old address some credit card i dont own not sure what caused it website wouldnt let me cancel anything so i had call in talk with someone get them cancel it person was really helpful but it"/>
        <s v="easy online ordering product came as promised with no issues"/>
        <s v="pricing ease of using your website"/>
        <s v="we received a shipment from petflow never made an order when we contacted petflow customer service rescinded order sent a notice fedex pick up package we were supposed leave package outdoors after days we contacted customer service again pick up package f"/>
        <s v="i keep getting emails about orders i did not submit showing a shipping address in mexico ny i am reluctant click on any link in their email message will not call number listed as this appears be a scam"/>
        <s v="excellent service super fast delivery"/>
        <s v="first time i used automatic dog bowl it leaks around fitting"/>
        <s v="my purchased was flagged canceledi have called twice no one can tell me whyi am pissed"/>
        <s v="ordered times from petflow great customer service every time they answer calls respond emails honestly do everything you would want from a company not mention affordable prices"/>
        <s v="lb bags of dog food in one box too heavy i cant move it"/>
        <s v="i am getting emails about orders i did not place i have replied back numerous times i am not jeff i have not placed any orders with you based on this experience i never will i would like you leave me alone"/>
        <s v="delivery time product wasnt as promised it was completely unacceptable"/>
        <s v="amazing experience&#10;my package was delivered on time very fast"/>
        <s v="product was delivered as promised"/>
        <s v="pet flow always has my dogs food in stock it arrives very quickly"/>
        <s v="easy use app ordering always quick delivery also if i order a large bag of food my dog i get free shipping"/>
        <s v="have had very good experience with petflow&#10;good products with great shipping&#10;will order more"/>
        <s v="price was much better than most other places that i have purchased i reached out you about changing my shipment response was great i will continue purchase from this company"/>
        <s v="quick reliable service ive been with them a while now sometimes it takes longer in winter"/>
        <s v="i love convenience of petflow i live in a rural area they are best price value having my dogs specialty food shipped they make it easy with auto shipments even when i need change dates its very easy shipping always as expected as well"/>
        <s v="i have never shopped with you guys remove my email from your marketing emails company"/>
        <s v="first time purchasing beats amazon prices"/>
        <s v="i always find a great selection of products competitive pricing"/>
        <s v="all was well with initial service product problem with your packaging of two large bags of dog food in one box box quality mediocre at best dog food too heavy too large box box broke open this could be foreseen also many seniors order from you boxes are t"/>
        <s v="i am happily impressed with personal service speed of delivery from petflow as long as petflow carries pet food i use i will continue shop petflow"/>
        <s v="exceedingly expensive&#10;if i oculd attach a screen print id show prove it you look at price same item from chewy most other reputable companies i put chewys link here but trust pilot doesnt allow links too bad because it was proof&#10;chewy oz cans of medley&#10;an"/>
        <s v="ive been buying from petflow several years every order has been carefully packaged timely delivered shop with confidence"/>
        <s v="what i ordered was in stock order fulfilled promptly"/>
        <s v="great quality products very quick shipping"/>
        <s v="i bought kong monster balls our beagle her second set of them she loves them so much she hardly plays with any of her other toys"/>
        <s v="your two representatives tristan ryan were knowledgeable professional courteous they helped me through process of creating a subscription account"/>
        <s v="good prices delivered as expected"/>
        <s v="you cancelled my order because i made it while traveling abroad dont worry i will never visit your website again"/>
        <s v="my dogs most favorite treats are impossible find thankfully petflow has them in stock regularly no more rationing their favorites always fast shipping arrives in great condition"/>
        <s v="prices of blues buffalo wilderness canned dog food was good delivery was late bc it was out of stock which was fine however six of cans were dented which i wont use"/>
        <s v="fast shipping prices in line with other companies"/>
        <s v="great prices fast delivery"/>
        <s v="great selection price fast delivery"/>
        <s v="had never heard of this company before was planning use chewy our order but found this company in an online search they offered a coupon so i opted give them a try our order was prescription dog food so we had go through mailing in script same every compa"/>
        <s v="easy navigate website you had food both my pets"/>
        <s v="very pleased with purchase price was great better than amazon free shipping over certain amount fast also very well packaged often from a it looks like it rode behind truck not in it very happy with petflow they be my new goto supplier thank you petflow"/>
        <s v="my first order was cancelled in error by merchant they were quick resolve this when i called unfortunately same thing happened again when i ordered other merchandise again they were quick resolve this with a phone call customer service folks are excellent"/>
        <s v="easy me order package showed up in a very timely manner"/>
        <s v="prices are good&#10;wish delivery was faster"/>
        <s v="i added a few things my cart left a bit get some lunch i came back several emails telling me about contents of my cart coupons on such it had been like minutes yall was already bugging me calm hell down&#10;&#10;further i had off coupon so i applied that but beca"/>
        <s v="i have sent in prescription several times my order still has not been filled it way too time consuming"/>
        <s v="i havent received order after two weeks i havent received a reply from help desk about when its coming"/>
        <s v="petflow definitely had best price on this item that i could find including prompt free shipping"/>
        <s v="fast great prices great selection super customer service"/>
        <s v="best prices that ive found great customer service shipped my order promptly"/>
        <s v="found pet flow purely by accident when looking a specific dog food kibble online made my first order which was shipped promptly arrived in a few days i also noticed that prices are very competitive shipping free over a purchase"/>
        <s v="i know that road conditions my order were difficult but delay was minimal"/>
        <s v="likes good pricing fast shipping&#10;dislikes not disclosing all information about pet food ingredients lack of customer support"/>
        <s v="my first experience was excellentfrom quality of productmy dog loves chicken treatsto customer service sale was a great way me become acquainted as i do live on a budget"/>
        <s v="your website very intrusive hard navigate all i wanted do was look up availability choose pay it invariably brings up prior views goes all over even signed me up recurring deliveries decided leave shop somewhere else"/>
        <s v="i have been using this company years will continue do so they carry highquality product have a great customer service fast shipping"/>
        <s v="petflow has such a variety of options your pet i have a very picky cat cant always find her choice of food at pet store thankfully i discovered petflow they were way less expensive than store i normally shop at had exactly what i needed food arrived in pa"/>
        <s v="price was good product was received promptly ordering was easy only issue was that most of cans in one case were severely dented customer service responded quickly provided a new case"/>
        <s v="ive ordered several times from petflow&#10;they have excellent products easy website navigate good customer service"/>
        <s v="low prices fast shipping"/>
        <s v="quick delivery when everyone else so slow or delayed accurate orders petflow cares about animals by donating a portion of profits"/>
        <s v="i received dog food i ordered in a timely manner they offer a wide variety of food"/>
        <s v="fast shipping on hard find item thanks"/>
        <s v="i order from petflow a lot never been disappointed"/>
        <s v="upon placing order i received email from petflowasking me allow a couple of days while vet contacted around middle of week food was delivered as promised with no hassles my cat can not conusme any other food this veterinerian prescribed diet seems so far "/>
        <s v="i had call customer service regarding an auto ship that i needed sooner somehow i had an extra bag of cat food arrive i may have made error but when i called petflow representative they were willing take bag back however i wanted keep it as product has ke"/>
        <s v="food arrives quickly well packaged they carry fromm dog food which chewy petco dont carry"/>
        <s v="item was priced very fairly shipping was soo fast just an excellent experience"/>
        <s v="when i got my package i found that i was only sent half of my order i called customer service got ready go rounds with someone telling me they were sorry but it wasnt like that at all i was immediately sent another shipment no fuss or hassle me it service"/>
        <s v="i already reported that this my email not dale leonards i was told that dales account was removed from your records please remove my email from your records&#10;thank you&#10;d beatson"/>
        <s v="lots of finger pointing between my vet petflow im not sure what problem was but vet said he never heard from&#10;petflow vet so preset want processed first time in last year ive had any issues with process on prescription dog food anyways once i stirred pot l"/>
        <s v="it was easy find product place order shipping was super speedy which my cats appreciated"/>
        <s v="it arrived in time no delays or hiccups in delivery"/>
        <s v="its always great great low price super fast shipping great experience all way aroundlove pet flowthanks"/>
        <s v="pedros mom allison was attentive helpful pleasant shes a truly a professional customer service agent"/>
        <s v="thank you excellent customer service"/>
        <s v="constant account hacks i would be recommend"/>
        <s v="my account was hacked my credit card information was mixed in with at least one other strangers information when i advised petflow about problem i was merely told i had been victim of some outsiders actions start a new account with a different email addre"/>
        <s v="easy use website fast easy shipping great products it would be nice if free shipping limit was lowered"/>
        <s v="very cool customer service quick shipping price high but puppies love it"/>
        <s v="wrong product was shipped petflow immediately sent out correct food my dog great customer service will definitely buy from then again"/>
        <s v="pet flow most awesome online pet food provider in market even w trivial issues we incurred they prevailed as winner so did we thanks"/>
        <s v="package order was ok just left at wrong house i did not see any notice of delivery"/>
        <s v="i have always had good service from petflow i have received damaged cans they have always taken care of me i donate damaged cans shelter customer service reps have always been very friendly professional i love that they also donate shelters rescues it mea"/>
        <s v="just switched over you from many years with chewycom ongoing out of stock our prescription food then far too many cute apologies&#10;&#10;came you fill you had inventory twice actually now i am on auto with you&#10;&#10;thank you"/>
        <s v="i ordered items one never shipped both items were coming out of same warehouse shipping st item took days when my order arrived i called tell them my nd item never came customer service was great said they would rush that item out since it was their fault"/>
        <s v="very hard work with even though i had a prescription from veterinarian office which they never contacted carolina beach kept sending me same message if you have a copy of your prescription please email a clear copy along with your order number we may be a"/>
        <s v="ease of ordering modifying my auto ship order"/>
        <s v="all of information you need fill my order you have on file which helps things go very smoothly"/>
        <s v="i tried ordering dog food twice both my orders were cancelled some reason never received an email saying it was canceled just never reviewed package had log onto my account check what was going on both times ended up having get dog food that my dog has ne"/>
        <s v="everything came quickly but bird treat sticks came all broken up i wish there was a better way send them"/>
        <s v="i am getting emails telling me that my order on its way or its delivered i did not order anything recently please get this straight&#10;nothing being charged on my credit card i just get emails saying my order on its way some address i dont even recognize in "/>
        <s v="no issues will order again"/>
        <s v="i placed an order with no explanation or email they canceled it i logged on my account see why it was taking so long deliver it just said order canceled i called customer support waited on hold minutes then it just hung up on me worst customer service eve"/>
        <s v="every time i have called everyone very respectful answers my questions"/>
        <s v="order came fast&#10;staff answered my email quickly helpfully&#10;this company actually has real people who answer phone are sp pleasant helpful&#10;prices are good"/>
        <s v="always works perfectlyorder online what i ordered delivers in a few days"/>
        <s v="it was real fast service get bag of pet food our puppy appreciated it"/>
        <s v="it was great receive dog food in three days delivered my door lowest price"/>
        <s v="i ordered two cases of merrick grain free chunky pappys pot roast canned dog food i received one case of correct item one of another food one of my dogs has a chicken allergy so we checked ingredients on cans we didnt order they had chicken in them i call"/>
        <s v="although i received an email stating my order needed be fulfilled by a further distanced warehouse that my order could take up extra days this company was able deliver my goods on original date&#10;&#10;this was important because no one in my area had this certai"/>
        <s v="it was easy place order online it came quickly"/>
        <s v="great service ships on time have purchased multiple times"/>
        <s v="this account was supposed be closed as it fraudulent still getting emails it looks like their purchase went though please close this account"/>
        <s v="very good prices on dog food we need also fast shipping"/>
        <s v="my e mail bein used through your website without being verified by myself i am not using your website at all"/>
        <s v="fast efficient delivery of a difficult find product"/>
        <s v="my account was hacked charges were made then i was told times they restarted my autoship but never did then locked my account meanwhile im expected my dogs food that i cant get around town"/>
        <s v="great prices i texted with a request was answered within hours with a nicely stated response"/>
        <s v="i have been dealing with your company a very long time just love doing so all of representatives are so friendly helpful a quality that seems lost in these times"/>
        <s v="two of things i ordered were out of stock but there was no indication when i placed order that they were so i was quite disappointed when i opened box two items were not inlcuded"/>
        <s v="mr bigdog samson loves cranberry treats parmesan treats best hell eat both but picks out cranberry first art"/>
        <s v="outstanding customer service reps they are very knowledgeable helpful thank you"/>
        <s v="what a great place shop dog food"/>
        <s v="there a glitch in your system my account kept going auto fill even though i cancelled it back in i should not have a problem now that i asked have my account deleted"/>
        <s v="prices were great orders were sent right away"/>
        <s v="great service ultrafast delivery"/>
        <s v="twice now ive relied on petflow send me my blue wilderness but its been out of stock very disappointing"/>
        <s v="my order was canceled i wasnt notified when i called find out why i was told it was flagged as fraud due quality in my order i explained it was not fraud it was less than a month of food my two dogs i was told they would reach out team that blocked order "/>
        <s v="my login was hacked a fraudulent order was placed using my account even after i asked petflow cancel order fully delete my account they still sent me a request review order on trustpilot seriously"/>
        <s v="petflow always has best pricing fast shipping auto ship wonderful never forgetting all your pets needs its also customizable would definitely recommend petflow"/>
        <s v="great selection ontime shopping"/>
        <s v="prices speedy shipping best feeding hungry dogs even better"/>
        <s v="prices are generally same as amazon service better prefer support a private company when possible they sell fromm products"/>
        <s v="petflow a great place that offers best bang your buck&#10;toys were as described pups were very happy"/>
        <s v="i screwed up my order mikaila fixed it without a problem my items arrived quickly i appreciated new customer discount as well"/>
        <s v="we have used petflow years through course of many dogs have always found them very informative caring a company that we do buisness with monthy between petflow chewy there no better fullservice animal food etc provider"/>
        <s v="petflow always responsive great at filling our monthly auto ship order happy do business with them"/>
        <s v="even though i have complained before petflow continues package two lb bags of food on one box resulting in gedex carrier drop box contents inside burst open"/>
        <s v="i got a great deal on a great product i was worried because i had never shopped with petflow before i received my order in a timely fashion i received plenty of notification about status of my order particular dog feeder i was looking was out of stock oth"/>
        <s v="easy ordering process my only complaint that it would be more convenient see past orders order again or edit an order as having go thru search products needed my cat on special diet just need be able order his food in a quick easy fashion"/>
        <s v="easy fast reasonable"/>
        <s v="easy place order items arrived as described when expected very happy with everything"/>
        <s v="i love that you donate a meal a homeless animal with my purchase its a wonderful way help them not forget them also your shipping exemplary i wish more companies were like pet flow"/>
        <s v="petflows phone wraps are very pleasant knowledgeable on how help you my english cream golden retriever walter needs a veterinarian prescription dry dog food i used get it through chewy but lately theyve been having a hard time keeping it stocked when it w"/>
        <s v="order was cancelled i had call email weeks calls emails&#10;&#10;supposedly due some unknown reason my account was flagged as fraudulent no real explanation&#10;&#10;i was told a few times reset my pw however my account has been disabled&#10;&#10;i was told several times an emai"/>
        <s v="shipping seems take a bit longer than it used but i suppose its a common problem petflow does update their delivery date notifications though"/>
        <s v="i live in florida my email was used order twice shipments went texas probably using a stolen credit card i was not charged talked petflo representative last week with information"/>
        <s v="im so glad you asked i will be back process was simple professional unbelievably fast thank you"/>
        <s v="mallory was awesome&#10;she deserves a raise&#10;only issue still waiting&#10;been billed finally got notification it shipped possibly because it had go vet&#10;anyway again i will ask mallory next time"/>
        <s v="this first time ive ordered from this outfit i was totally pleased with transaction their price for&#10;the dogfood i ordered was reasonable they shipped quickly rocco dog a happy camper"/>
        <s v="love fact its cheaper comes right my door no shipping cost great deals"/>
        <s v="i was looking that specific dog food our new puppy petflow was only online store that i could find verus brand"/>
        <s v="i found food i was looking price high but industry standard i liked option purchase a large bag of them thanks"/>
        <s v="pet flow way go i order my fur baby food all time from pet flow my delivery on time that why they are best&#10;thank you pet flow all of team that works there shadow said woof"/>
        <s v="you send me a survey link yet i still havent received items surely you know this communication terrible takes several days any response hopefully ill get items soon i understand weather delay but my items have basically gone nowhere i ordered from another"/>
        <s v="while prices at petflow may be good there are severe problems with having products in stock it seems that no matter what i order wet or dry cat food cat litter its out of stock or has come from a further away location it didnt use be like this petflow was"/>
        <s v="reliable great choices"/>
        <s v="everything i order was right i get fast delivery"/>
        <s v="easy ordering fast delivery competitive prices&#10;&#10;my only complaint too many texts emails"/>
        <s v="i had recently ordered food from pat flow with no issue a couple of times my card was compromised i had an issue with it resolved it but recently some reason no one will give me an explanation of why i am not able order food from you even if my card uptod"/>
        <s v="you carry quality products i feed my dogs cat fromm annamaet wellness in addition you deliver these foods in a timely fashion i am a very satisfied customer i recommend you all my animal stewards"/>
        <s v="there no option cancel an auto ship so beware when you sign up one i am still trying cancel it there only a pause option online i can not get a support person contact me"/>
        <s v="your fast delivery customer service packaging excellent"/>
        <s v="my dog food that on automatic order size i usually get was out of stock so i was told unable ship received no food however that same dog food was available in a larger size noone took time let me know that not very good customer service"/>
        <s v="it took over one week get my order delivered"/>
        <s v="i requested few times add more selections of versele laga pigeon feeds grits like gerrymandering champion black label ic start etc pls pls pls"/>
        <s v="very easy order products arrived quickly in great shape thank you"/>
        <s v="i experienced a problem with my order not their fault customer service was so quick help me fix it really appreciate immediate response care that was given my order then arrived safely packed well"/>
        <s v="besides canned dog food i ordered bags of rather fragile treats they arrived a little crushed company quickly shipped four new bags of treats they arrived in very good condition i was impressed at how quickly easily customer service agent handled this"/>
        <s v="still not delivered on th&#10; days ago&#10;terrible"/>
        <s v="i did not place this order i have already notified you about this what going on with these correspondences"/>
        <s v="quick shipping unfortunately cans of dog food were badly dented"/>
        <s v="shipping so inconsistent took almost days receive my dog food this happens about every months hard foresee when i need order leaving my pets without food so im forced buy dog food elsewhere"/>
        <s v="canceled my needed vet cat food order because email doesnt match when i literally called them asking them what was going on here wouldnt send out my cat food horrible service will look do business elsewhere unless they have some killer deals"/>
        <s v="this was our first time buying on here i found what i needed at a great price it was easy order arrived quickly thank you"/>
        <s v="you had product that i needed at a fair price plus your shipping was on time"/>
        <s v="fast shipping great product even better price what i purchased&#10;i have made my second order will continue do so with petflow"/>
        <s v="good selection of high quality products shipped promptly authentic product from approved distributor packaged securely shipping"/>
        <s v="great customer service&#10;very prompt fix slight problem"/>
        <s v="great as usual easy quick reliable&#10;thanks"/>
        <s v="i called because my order was delayed twice gentleman i spoke with was very condescending i told him that nowhere on website does it state how long or how your purchase will take or ve shipped i explained him that i have dogs it hard me get an exact time "/>
        <s v="after a little confusion on your website about autoship i was helped along by a pleasant customer svc lady smooth transaction great price on what i needed usually purchased at chewy more came in days in a roomy box that my senior cat vinnie played in days"/>
        <s v="experience with pet flow always so great i love customer service how helpful everyone"/>
        <s v="great service lots of dog food choices"/>
        <s v="ordering was easy delivery was quick"/>
        <s v="they worked with me very well when my cat refused eat brand of prescription food id bought"/>
        <s v="service was great combined with best price you cant go wrong"/>
        <s v="i really appreciate that petflow carries fromm its difficult get petflow delivers quickly"/>
        <s v="i would give a star getting dog food in a timely matter fedex worse by far ill have find a local shop in my town buy as shipping rates a minus"/>
        <s v="company canceled my order tines with no notification bad company bad customer service zero stars ill keep shopping with chewycom"/>
        <s v="my order went wrong address wasnt delivered thank you replacing it"/>
        <s v="excellent pet products at bargain prices"/>
        <s v="products were shipped quick a great price i was searching bird toys budgie there were plenty of toys pick from on site"/>
        <s v="orders arrive on time prices are good i recommend"/>
        <s v="my orders are always delivered within days great service price"/>
        <s v="they always have items i am looking at a great price check out easy delivery fast"/>
        <s v="this company was awful deal with they never sent my product gave me a hard time about my refund"/>
        <s v="although fedex most miserable pos low life carrier your agent putting deliver porch actually worked they usually just kick it out door on way past ill buy from you again"/>
        <s v="its nice get a heads up before a shipment goes out in case i need adjust contents or timing shipping always prompt selection of food treats etc quite amazing"/>
        <s v="i ordered roaches not one of them was dead everyone of them was alive healthy&#10;very fast shipping very fair price&#10;i will definitely be doing more business with petflow"/>
        <s v="great plentiful selection of pet supplies prompt delivery excellent customer service"/>
        <s v="website has alot of choices delivery was on time"/>
        <s v="i mostly order kibble bull sticks i order it always comes quickly"/>
        <s v="petflow ships promptly every time we order our fromm dog food from them excellent customer service"/>
        <s v="i ordered cat food my fur babies it always arrives on time petflow has great communication with its costumersi like extra help if i cant find somethingnice people"/>
        <s v="tried place large order using off but ran into out of stock items making it difficult once order was finally placed got another out of stock notice if petflow be depended on supply pet needs shouldnt they have items in stock"/>
        <s v="petflow has been good me my dog elsahappy with productsprice shipping"/>
        <s v="great company deal with they notify you when your next shipment coming you can adjust that date if needed good prices too"/>
        <s v="easy ordering quick shipping"/>
        <s v="products arrived undamaged with heavy cans that great"/>
        <s v="had food in stock promptly shipped"/>
        <s v="i received my first bully sticks from my dogs breeder when my bernese mountain dog treated them like candy doc suggested i only order natures own grass feed steer service price reliability have been excellent i am am auto ship customer now"/>
        <s v="i changed suppliers of canned dog food got same product a substantially reduced price&#10;im happy"/>
        <s v="great prices great service"/>
        <s v="phone reps were great on both occasions this month they worked diligently get my order dates changed on lb bag of catfood ferals got it shipped out same day"/>
        <s v="while checkout experience was decent i was able save money with a coupon this all made me happy once my package was delivered i was not happy i bought bags of dog treats my boys of those bags of same kindflavor all expire next month they will not be eaten"/>
        <s v="you are reliable honest efficient timely"/>
        <s v="filters search were not fluid or user friendly so many items out of stock but that was not known making it time consuming i nearly gave up twice because of experience not sure how rest of site as i only searched cat food a dog bone"/>
        <s v="order process easy great service corresponding with our vet"/>
        <s v="easy find what i needed at a good price&#10;thanks"/>
        <s v="shipment always delayed customer service never responds email"/>
        <s v="i ordered by wet dog food from pet flow several reasons those being price difference between a competing online dog food distributor ease of ordering friendliness helpfulness of agent i spoke with fast delivery of product&#10;&#10;the price difference with or wit"/>
        <s v="item i needed was in stock process was very easy i had my order within days on time i will continue order through petflow"/>
        <s v="i was waiting notification that my prescription had been verified by vet andor that my order had been shipped after several days i contacted petflow ask what was up i got an email saying order was cancelled out of concern fraud i was a longtime customer o"/>
        <s v="my orders were cancelled without notification twice"/>
        <s v="i have had a horrible experience which still date not resolved placed an order not a first time customer my vet was contacted sent back approval prescription food internal petflow issue isnt adjuticating approval noone will help me or call me back after m"/>
        <s v="easy begin auto ship has special dog food we were searching that highly rated having ingredients important long lives of optimal health shipment notices sent keep us informed of when expect order received order in timely manner with zero problems"/>
        <s v="shipment was quick product was packaged well"/>
        <s v="solid reliable company purchase from customer service seems supportive if anything beyond a typical order needed"/>
        <s v="great website excellent prices quick deliveries i will only get my dogs food from petflow going forward"/>
        <s v="best price fast shipping my hungry dogs"/>
        <s v="had just what i needed at a great price very quick shipping had trouble getting order through a couple of times but i persisted am glad i did will definitely tell my local shelter about them i am a cat socializer they might be interested in purchasing fro"/>
        <s v="awesome servicegreat packaginggreat pricesvery convenient"/>
        <s v="pleased with all my purchases people are helpful"/>
        <s v="auto ship does not work advance notice of order was supposed come but does not auto ship does not take changed scheduled when modified days before shipment date will not use auto ship or this company again order dog food"/>
        <s v="my order was canceled i was never notified i only discovered that it was cancelled after i logged onto my account find out when my order would be delivered i called was given no explanation cancellation or when dog food would be delivered never again"/>
        <s v="they are doing a great job left chewy them havent looked back since"/>
        <s v="easy website me always a pleasure speak customer service if you need them auto ship easy changing ship date products a breeze you get a nice discount too"/>
        <s v="quick shipping competitive prices thank you"/>
        <s v="shipping was faster than i expected best of all items were in perfect condition no dented cans or boxes which has not always been case so i especially appreciate it"/>
        <s v="product was in stock added cart quick checkout process meant i was in out in less than five minutes"/>
        <s v="i have now ordered a couple of times i am satisfied orders are correct well packaged on time if not early i will be ordering on a regular basis from this company i have nothing but praise them excellent"/>
        <s v="i called customer service because my order had not shipped after several days woman i spoke with in customer service was very polite helpful my order was shipped out next day i received notifications of shipping status throughout process my order arrived "/>
        <s v="very fast shipping had my order in a few days i was able saveoney as well great company"/>
        <s v="i placed an order called three days later make sure it was coming that day i was then told that my order was cancelled possible fraud i was never notified by a phone call or email that this happened she couldnt place a new order because it would still go "/>
        <s v="prices are good delivery timely my problem has been with ordering from your website system cannot seem store my credit card information properly last time it was so bad i had have one of your staff order me"/>
        <s v="petflow reps are always helpful make good on any issues you have"/>
        <s v="too long shipment had keep emailing when order would ship items were in stock dont know what hold up was"/>
        <s v="great company quick delivery have all pet products we need"/>
        <s v="petflow had brands that i have difficulty obtaining elsewhere their prices are good food i ordered my dog with allergies arrived in good condition"/>
        <s v="great price on chinchilla food that purchased i always shop away petflow had best price i received it super quick"/>
        <s v="firsttime experience"/>
        <s v="i changed address delivery it got mailed twice one went wrong address but i still had pay it"/>
        <s v="i ordered canned prescription royal canin wet food at a cost of most of cans were dented on top bottom it could be bad my cat eat what a waste i usually order from chewycom but they were out of stock"/>
        <s v="discovered petflow due chewy being out of stock several weeks of my dogs prescription canned dog food i got name of petflow from a trusted dog friend food arrived quickly thank you"/>
        <s v="willingness help me through ordering process first timei was having some technical difficulty"/>
        <s v="excellent service very quick delivery"/>
        <s v="never had a bad experience prices are extremely reasonable customer services awesome"/>
        <s v="customer service extraordinary any problem ive had was corrected swiftly expertly cheerfully these people seem genuinely interested in taking care of our pets"/>
        <s v="good price fast service"/>
        <s v="it was my first time ordering with this company it will be my last one they canceled my order didnt notify me when i called them they said it was flagged fraud had be canceled i asked why they said they cant give me any additional info my order wasnt big "/>
        <s v="i didnt even place order that triggered this review pop up it was fraud im still dealing with canceling of my credit card because your website wasnt secure&#10;&#10;also even on this page my name coming up as james shearer that not my name honestly im not going g"/>
        <s v="carries brand not found in most pet stores efficient fast delivery"/>
        <s v="awesome professional support with timely shipping great prices as well"/>
        <s v="prompt response when i had a problem with my order they gave me a credit because my dog will not eat food i ordered"/>
        <s v="great experience on website delivery"/>
        <s v="excellent pricing shipping notification packing of order just wished they had more selection available"/>
        <s v="im was technologically inept on computer had call company order my product person who answered phone was so courteous helpful because of her i will continue order my dogs food from petflow"/>
        <s v="everything i was looking was in stock delivery was quick"/>
        <s v="whole process went smooth&#10;fast shipping&#10;very satisfied"/>
        <s v="using petflow was easy i was able find substrate my tortoise that was not available near me i also ordered wet cat food it was trouble with fedex that will make me reconsider using petflow again my catfood was shipped all over place arrived a week later t"/>
        <s v="two reasons terrific customer service product pricing simply put they earned my business sometimes low pricing actually best price i could find means low quality customer service but not at petflow my first order from petflow arrived damaged due knife cut"/>
        <s v="ordered prescription dog food no email telling me you got order i called they said it would be coming out of a warehouse did not know from where or when still no email had go buy food locally which i am disabled it was alot of work extra money after about"/>
        <s v="i was looking better pricing my dogs food that how i found pet flow i want feed them a better dog food than what in most grocery stores i was happy find pet flow they have good customer service great prices with dogs i need a good price i will be ordering"/>
        <s v="they always have what i am looking at a fair price in particular i order fromms dog food they are one of few places that carry it shipping quick as well"/>
        <s v="easy awesome new pet products online orderdelivery company recommended all pet parents"/>
        <s v="they had what i needed in stock it came fast"/>
        <s v="website was easy navigate shipping was fast compared prices petflow was best by far will definitely order again"/>
        <s v="after deciding what brand of dog food i wanted my new puppy i did a search best price&#10;petflow had best price"/>
        <s v="recieved last product i ordered i called your company let you know product was damaged bent i told person box was not damaged so product had have been put in box damaged&#10;he didnt want hear it was really rude"/>
        <s v="this was a new company me with a good buy on products i needed so i decided give them a try i am very disappointed i never received an order confirmation email as stated checked my spam was rather referred my email provider immediately without even offeri"/>
        <s v="everything was quick easy custer service rep was knowledgeable professional pleasant"/>
        <s v="could not pay with paypal some reason kept getting message problem with connection"/>
        <s v="i appreciate their communication with me in regards orders delivery"/>
        <s v="i can always find products i want my dogs at really good prices"/>
        <s v="there was a delay in shipping order had be split but throughout everything they kept me highly informed of everything going on best part me customer service representative who responded my email was kind helpful informative"/>
        <s v="great fast service plenty of communication you cant ask more"/>
        <s v="i had get a specialty cat food our cat who has dietary restrictions i was unable use a coupon that had been sent me i called immediately it was taken care of i was able use that coupon they quickly confirmed prescription with our vet delivered in a timely"/>
        <s v="easy use fast cheaper than other pet supply companies"/>
        <s v="over last year there has been significant shipping delays with my autoship order issue seems be primarily with nj warehouse where they dont work night weekends etc there a discconnect between product forecasting order entry supply chain these operations a"/>
        <s v="petflow always gets my order correct has great prices i never have worry about running out of food my dogs cats"/>
        <s v="my cat would not eat several differert canned cat foods i tried one stomach hair she has not thrown up since you now have a returning customer thanks"/>
        <s v="shipment on time customer service great"/>
        <s v="not a good experience at all i choose your company because of a discount you offered me fir being a first time customer i never got discount because your ad was misleading i was only going get discount if i signed up auto refills that was not mentioned wi"/>
        <s v="fast shipping&#10;had food i needed happy have a promo code as well &#10;great communication with shipping delivery"/>
        <s v="exact product i was buying locally at petsmart a prescription cat food but in a larger economy bag about less shipped free on time ill be a regular customer now"/>
        <s v="very happy with product way it was pack got it in time frame i was told whats more important my cat love it you guys where only place who have it in stock thank you so much"/>
        <s v="ten business days after placing my order being charged order product has yet ship business days after placing order i contacted customer service who indicated they would check with supplier get back me i was told it could take up business days my order sh"/>
        <s v="trouble free delivery arrived when expected as expected no complaints at all would recommend"/>
        <s v="tried ordering twiceboth times orders got cancelled by their team neither time did they reach out me inform me they were cancelled it was just after waiting days a shipping confirmation after getting an email they were fulfilling order i had reach out ask"/>
        <s v="got what i ordered delivered quickly"/>
        <s v="although i had never purchased from petflow before they delivered quick on time product was exactly as advertised"/>
        <s v="had dog food i used processed my order quickly i received it quickly&#10;only problem i had was box that it was shipped in was totally broken luckily dog food wasnt"/>
        <s v="good selection of products pricing was very competitive shipping was super fast"/>
        <s v="good service competitive prices products arrive in good condition in a timely manner"/>
        <s v="they went above beyond call ensure satisfaction after carrier had lost a shipment i highly recommend petflow anyone looking quality goods at a fair price"/>
        <s v="could not buy cat food without a prescriptionlike what hell that about its all so veterinarians can get paid its total b absolutely uncalled"/>
        <s v="availability&#10;&#10;good price&#10;&#10;easy scheduling"/>
        <s v="good products quality excellent customer service"/>
        <s v="ordering needed vet diet my dog has been easy more communication regarding order when it shipped will be delivered would make it a perfect transaction"/>
        <s v="you falsely advertised an item you advertised item was in stock then when it was supposed ship i receive an email stating was out of stock but on your website it still this day states it in stock now i cant cancel auto ship i can only delay it im unable r"/>
        <s v="extremely friendly helpful customer service quality items always available shipping always quick they donate a bowl of food with your order winwin"/>
        <s v="very happy i ordered food one day received it next"/>
        <s v="i have received my puppys food in a timely manner he loves it thanks"/>
        <s v="of cans were extremely dented one of seven damaged cans was leaking"/>
        <s v="super quick response time when i accidently ordered a toy i didnt want&#10;website user friendly huge amount of items choose from&#10;i used shop a chewy but i needed a prescription it was easier pick my vet from you list than going through all of chewys site als"/>
        <s v="petflow wonderful many varieties of food your pets my only gripe that after placing an order i got a thank you email wa picture on it saying review yr item get back they gave it me only one of my reviews very good sweet customer service reps have never fo"/>
        <s v="customer service has been great but shipping practices need work i have complained on multiple occasions that my shipment of canned dog food arrives damaged they pack too many flats of cans in same box dont use any packing materials prevent against damage"/>
        <s v="after ordering i did not get a tracking number or shipping confirmation even after getting a notice that food was shipped my paypal payment was taken right away&#10;i also was put on autopay without my permission&#10;i had manually cancel an autopsy i didnt agree"/>
        <s v="ive been overcharged my orders since mid august due incorrect sales tax i informed company of this explaining why we were overcharged including documentation from state proving correct rate but was continuously blown off disregarded i shouldnt have prove "/>
        <s v="concerned about package that i ordered weeks ago that still has not arrived im running out of canned food my dogs"/>
        <s v="i have a recurring order needed modify tried messed it up ended up having two recurring orders called customer service a very friendly person helped me navigate delete one"/>
        <s v="overall a good experience i am not a fan of website could be a bit more user friendly shipping takes too long orders take a while process availability of products ok pricessales could be better"/>
        <s v="first time ordering prescription food order my pup customer service was so helpful track order deliver as soon possible very helpful trustworthy"/>
        <s v="as advertised product with timely service"/>
        <s v="was on time order right thank you"/>
        <s v="hi i live mile off county roadfed x only delivery outfit that will come up here in winter you shipped my food with them so i got it in a short time way go tim"/>
        <s v="need tape top bottom end edges just middle not enough on large bags"/>
        <s v="its extremely easy order anything&#10;i really appreciate that its always on time when they say youll receive it&#10;they also give you a tracking number so you can keep track of your order&#10;its a great company so easy ordering what you need"/>
        <s v="deliveries arrive in good condition on time"/>
        <s v="petflow carries particular brands of food my pups that i are most nutritious made by family run companies in us"/>
        <s v="i have been using this service over years i have never had a bad experience with either product or customer service everyone i have dealt with has been friendly knowledgeable professional"/>
        <s v="shipment arrived torn from stem stern keel meager attempts at retaping most likely by carrier packaging too light weight in box amazed that all product was still in box even tho box was near total destruction i notified pet flow get zero response im think"/>
        <s v="apparently when i placed my order item was in stock my card was charged i expected shipment soon a couple days later i got a refund of my purchase with no explanation explanation came a couple days later that they were out of stock seems a bit odd that it"/>
        <s v="usually i dont have any issues this time shipment of cat food was all over place cans were not secure in case many were severely dented almost like someone just threw case in box"/>
        <s v="responsive customer support"/>
        <s v="price prompt delivery"/>
        <s v="i found this company online when place i usually order from was out ordered three bags on saturday product shipped on monday arrived my home on wednesday i live in a very rural area as well would definitely recommend"/>
        <s v="quick shipping helpful customer support quality cat food purchase best price too thank you"/>
        <s v="there was a bit of confusion with customer service rep when i called regarding prescription diet food my dog i had already sent script customer support but when i called let them know it was there she said i needed send it customer support better listenin"/>
        <s v="i ordered tetracolor xl tropical granules fish food my fish thank you i got it just in time as i ran out of days servings left speedy delivery great price"/>
        <s v="my package was delivered damaged they quickly replaced it without questions"/>
        <s v="has what i needed delivered it in good time"/>
        <s v="easy navigate website found dog food i was looking with discounts applied by petflow was able get lowest price i could find anywhere"/>
        <s v="this was first time i had shopped with petflow found it be very easy find what i needed"/>
        <s v="i will never order anything from this company again they do not have food i ordered but its on back order now they are holding my credit card hostage wont cancel my order"/>
        <s v="my orders are always punctual good this time was especially essential that my order was expedited faster than usual as my dog sitter who was taking care of my dog during a family death over holidays didnt tell me he was almost out of food thank you sendin"/>
        <s v="my account showed a backorder order more product then got a bunch of products good months"/>
        <s v="i needed find a specific prescription food my diabetic dog they had it along with some other options that my vet would approve if my dog didnt like this one they got in touch with my vet immediately verify his prescription shipped food me within hours"/>
        <s v="petflow has a great selection of products great prices fast shipping i buy nulo cod lentils weight management dog food my guys love it"/>
        <s v="cheaper then other places fast shipping i was very pleased"/>
        <s v="all of my dealings with pet have been positive my dog food always delivered in a timely manner"/>
        <s v="easy order competitive prices orders arrive fast"/>
        <s v="i purchased milk bone pill pockets this was a really good price they shipped my order quick ill definitely be back"/>
        <s v="fast shipping almost always have foods i am looking in stock immediate shipment"/>
        <s v="quick service good packing good prices"/>
        <s v="cumbersome internet system caused two orders register rather than one canceling orders immediately still did not stop an extra bag of dog food from arriving causing multiple emails finally return"/>
        <s v="i received this order so quickly which i really appreciated it surprised me it was so fast"/>
        <s v="took days order arrive multiple erroneous ails re expected arrival had go buy at store andorder was delivered after i left area"/>
        <s v="this has be my th or more times that i have either purchased dog cat food from petflow delivery service excellent also selection wonderful price just same or less than in stores its so nice come home your fur babies food here"/>
        <s v="was kept informed about items back ordered other items shipped separately"/>
        <s v="petflow a great place pet products at reasonable prices delivery reliable as well"/>
        <s v="ive ordered bulk cat litter from petflow several times now they offer a great price great products quick shipping will be ordering again"/>
        <s v="website was easy navigate checkout was quick easy track shipping delivery within a short period of time"/>
        <s v="i can count on petflow carry food that my furry babies like"/>
        <s v="incredibly fast service perfect packaging everything absolutely wonderful"/>
        <s v="i love petflow there are always so helpful easy order i love how i get free shipping theyre always on time customer service great i have definitely recommended petflow friends family"/>
        <s v="i have ordered from petflow several times my items always arrived without issues prices are lowest in every store online site that i could find i had a small issue it was taken care of immediately customer service was quick assist super friendly helpful"/>
        <s v="offer quality dog food treats&#10;fast order filling shipping&#10;reasonable prices great clearances"/>
        <s v="ease of ordering product better than described costs are reasonable very prompt shipping"/>
        <s v="petflow delivers treats my dog prefers with pandemic we werent always able get her treats at store thats how we found petflow yay"/>
        <s v="always have great order takers fast efficient"/>
        <s v="confirmed my order dog food did not ship it nor contact me i ran out of food my dog unacceptable harm my dog or anyones pet will never do business with a company that disregards health of their real customers apparently this issue not isolated my experien"/>
        <s v="website was easy use checkout was quick"/>
        <s v="easy ordering very fast delivery"/>
        <s v="great product quick service will definitely buy from them again"/>
        <s v="timely delivery large selection of products notification of products arrival that had been out of stock great web thank you petflow"/>
        <s v="i ordered trays of special vet approved canned dog food it arrived quickly well packaged no delays even though they had confirm with vet"/>
        <s v="more often than not my dogs food backordered so then i have scramble find her food then days later backordered item ships i then have bags of food that i didnt budget"/>
        <s v="i have used petflow a few years every order has been filled accurately timely communications regarding order status has been excellent i would give a five star rating except minimum order size shipping costs"/>
        <s v="i love products i feel shipping takes a long time much longer than other companies i buy from"/>
        <s v="awesome website many brands choose from easy ordering dog food canine cuisine loved by all furry friends definitely recommend petflowcom"/>
        <s v="i dont like that orders were placed only charged i still dont have either of orders"/>
        <s v="easy make a order a good delivery"/>
        <s v="shipping used be very quick but now it seems although items show in stock it takes a week items ship it disappointing as i grew accustomed fast service"/>
        <s v="i was able find what i needed at a good price shipping delivery was very timely too"/>
        <s v="petflow has consistently met my expectations even when having ship from nevada what normally ships from new jersey"/>
        <s v="first time purchasing from pet flow ordered dr martys small breed food a bag of treats great fast shipping my dog likes food"/>
        <s v="all online ordered prescribed cat food they took care of rest they confirmed with vet bam day later food was at my door"/>
        <s v="representative was super friendly easy work with quick resolve my issue"/>
        <s v="great price very quick shipping great talk"/>
        <s v="everything was so easy&#10;&#10;placing order shipment just delivery time was a bit slower than chewy"/>
        <s v="i never received a notification that i had an upcoming subscription order being processed i was unable edit delivery date when i reached out customer service several times i got zero response&#10;the day i was notified i had this order being processed within "/>
        <s v="your prices were best we could find quick delivery"/>
        <s v="i had trouble finding verus dog food anywhere else but petfow had it delivered at a good price"/>
        <s v="easy ordering product in stock cheapest price among other sales outlets reliable shipping delivery"/>
        <s v="ive placed multiple orders with petflow each time its delivered really fast with great prices an excellent service"/>
        <s v="my order never arrived i ordered tear stain tablets two different treats please send me my order or credit my account"/>
        <s v="on time delivery"/>
        <s v="pet flow was fast with shipping delivered when promised merchandise was excellent condition exactly as pictured very pleased"/>
        <s v="greatest part was followup when my package got damaged you all replaced it my only criticism that your tape doesnt hold especially in harsh rain"/>
        <s v="ordering was easy delivery was prompt customer service exemplary"/>
        <s v="my product order was in stock i received in a timely fashion"/>
        <s v="i ordered a product on january still have not received it ive written petflow inquiring about this never received a response"/>
        <s v="i can always count on my pet food delivery be on time well packaged"/>
        <s v="in last year service has gone from fantastic spectacularly frustrating my last interactions have been frustrating point of closing my account i have a hospitalized friend in another state i was purchasing food his dogs having petflow deliver it his home t"/>
        <s v="love carrier it was easy get my cat in through top door was just right size will fit my pound cat as well had it within a few days of ordering it"/>
        <s v="cancelled my order claimed it was fraud refused sell me"/>
        <s v="you carry my product but took awhile arrive"/>
        <s v="product i ordered was out of stock yet system still allowed me order it even though it was out of stock i cannot trust system give me correct stocking of this item"/>
        <s v="shipping was fast i saved a lot with coupon they sent a first time shopper got heated mats our dogs"/>
        <s v="pet flow a great place your pet needs we have been very satisfied"/>
        <s v="flagged my purchases as fraud then refused allow me repurchase"/>
        <s v="we were counting on our fromm dog food autoship order be shipped on date that petflow said they would ship according them they got very busy during holidays this order did not ship until following week as a result we had just enough food mixswitch another"/>
        <s v="product was in stock order was filled correctly quickly"/>
        <s v="delivery was on time at a better cost than other merchants"/>
        <s v="dog food was delivered family members home it arrived quickly in good condition"/>
        <s v="i placed my order online easily i did receive an email stating shipping would be delayed but they kept communication open it was only delayed by days i received my items as expected"/>
        <s v="company delivered when promised with exact items ordered my only complaint its a little one that it was difficult follow order once it was in system so that i could see where it stood"/>
        <s v="overall petflow has good service competitive pricing products they handle website could be much more user friendly adjust an order or make changes a saved order can be very confusing"/>
        <s v="carry brand i was seeking"/>
        <s v="i was low on food my dog because i forgot order so it got here pretty quickly i was down pretty low i called see when it was going arrive spoke a very lovely helpful woman in their customer service"/>
        <s v="a large variety of pet food products choose from package arrives intact an animal gets a bowl of food with my purchase&#10;thank you"/>
        <s v="they were very friendly they would take your phone calls if your computer wasnt working delivery was always on time i appreciate that thank you"/>
        <s v="quality of pet food fact that you carry fromm cant get it many places its a trusted brand by me my family"/>
        <s v="competitive prices shipped well with no damage"/>
        <s v="petflow only online source that seems be able maintain stock of particular taste of wild canned variety that we prefer feed our guys shipping free above or so since we get multiple cases no problem shipping fedex so order traceable too we have ordered mul"/>
        <s v="where begin first inventory on their site isnt real in my case veterinary dog food i ordered was be shipped from manufacturer who was out of stock second rather than them inform me i called order status three times first two i was told orders processing t"/>
        <s v="i didnt make an order someone hacked my account tried set up an auto ship order an address that not mine"/>
        <s v="this was my first order from petflow i found out my dog has some pretty extensive allergies with each passing day i had no choice but feed him stuff he was allergic until my new food arrived from petflow i regret switching from my usual provider i was giv"/>
        <s v="i was told when i ordered days arrival it took days i have a kennel of puppies needed food&#10;will never order again from you it has happened several times"/>
        <s v="everything went smooth i had ask help using sight received it well"/>
        <s v="petflow website easy navigate their autoship easy too i appreciate getting notices that it will be shipping that i need make changes if any by a certain date i also get emails keeping me up date on my orders"/>
        <s v="didnt help at all basically said i can not order item move on"/>
        <s v="reasonable prices very good communication notification system only con that some products are not always available back ordered"/>
        <s v="petflow great because they sell dry food i feed my cat it isnt around anywhere else i also want say thank you receiving my order days after i ordered it often it can take up a week"/>
        <s v="great company great service great products"/>
        <s v="i couldnt access my account because i couldnt remember my password your account recovery system not very good at all"/>
        <s v="order was wrong i called young lady that answered was very professional efficient she took care of problem i could hear smile in her voice"/>
        <s v="order took almost a week reach me when i called check where it was i was told you were experiencing delays it would have been good customer service tell me that via email before i called"/>
        <s v="i absolutely love petflow i am thankful fast shipping fact they work so well with my vet get my diabetic dog food she needs"/>
        <s v="i ordered lb bags of dog food one bag was damaged on arrival they replaced entire order sending replacement bags more than made up it one thing replacement boxes actually had more packaging material hold up better in shipment that first shipment with dama"/>
        <s v="impossible website entry customer service didnt answer my questions delivery late i dont have my shipment yet"/>
        <s v="i have ordered from petflow a few years nownever had a problem my last order was a total nightmare dealing with your customer service reps rude condescending passive aggressive emails sent me when all i asked was wheres my dog food i ordered on dec st ful"/>
        <s v="i have used these folks a couple of years they have best price product i buy delivery quite prompt"/>
        <s v="slow on getting order outhard understand ordering system"/>
        <s v="easy use find items with quick delivery"/>
        <s v="intuitive site allows me easily order reorder dog food varieties i need good electronic notifications confirming orders tracking shipping projected order arrivals i like easy"/>
        <s v="it took a little long receive items due product availability this not st timewhen i did receive it tge order was fine"/>
        <s v="always get a great deal with coupons food arrives exactly when they told you will be ordering again soon"/>
        <s v="customer service terrible i will not order from you again"/>
        <s v="i loved petflow they used be really good with getting my orders out right away i placed an order on called a few days later as my order still was not sent out customer service said they were noting that my items needed be sent out asap still were not ship"/>
        <s v="communication regarding shipping was lacking in past ship dates estimated arrival times were closer reality"/>
        <s v="my order was cancelled without them letting me know i received lousy customer service trying figure out why placed my order again but of course price of one of my items has gone up customer service will not help"/>
        <s v="i was cents short free shipping so i added treats that never got added order got charged shipping package was so heavy fedex dumped it in wrong lobby not even bothering drop it at my door&#10;you make us order so much not give free shipping when with tax my o"/>
        <s v="it took a very very long time get my house ive switched chewy because their shipments get me in one days"/>
        <s v="havent received product you want a review ordered on needing it no later than wont receive it until th if lucky but still asked review maybe make your automated emails review tied delivery of items would be nice"/>
        <s v="package came in good condition when it was running late i have a coupon next order that they sent"/>
        <s v="ive been with petflow many years product alway delivered promptly no damage if you do have a damaged can they make it good love this company"/>
        <s v="ryan was exceptionally helpful because of his assistance i will continue shop at petflow"/>
        <s v="years doing business with you petflow&#10;poor resolve item i have been buying from you years&#10;&#10;i will look forward discussing this with senior corporate manager&#10;&#10;with years in corporate myself with customer support responsibilities pehaps i could assist getti"/>
        <s v="they always have what i need in stock at a great price especially with use of coupon options"/>
        <s v="if i could give petflow stars i would their customer service awful awful awful they take forever ship items on offchance that they actually have items available will require a huge waste of time on your part rectify issues that they create they consistent"/>
        <s v="my order was placed december i still dont have it two weeks just too long ordering from petflow just too unpredictable sometimes its days sometimes its weeks i had buy from another source"/>
        <s v="please give alerts or notifications when you cant fulfill an auto ship order i have find out by checking my account after expected shipment date has passed im out of my cats prescription kd food have voiced my concerns multiple times over phone that notic"/>
        <s v="delivers as promised checks that it was received i am thrilled that i found petflow"/>
        <s v="i like that you sent food price was lower than most other places i did not like not being able order food because it seemed automatically turn on auto shipping that i didnt want i couldnt find a way turn off auto shipping so i couldnt order food"/>
        <s v="made an order just like i have several times before they canceled order but did not let us know no email no phone call nothing we bought from petco will from now on"/>
        <s v="i have tried use petflow a few times their monthly shipment of dog food i have always come across issues first order my first bag of dog food was delivered on time second order of dog food was delivered with tape all around it i removed tape see that bag "/>
        <s v="still havent received our order so ordered from received in two days which good so our senior dogs do not have eat puppy chow"/>
        <s v="order not shipped from warehouse about a week still shows as not picked up i had check status call cancel it after days"/>
        <s v="no follow up regarding status of order no order received very disappointed"/>
        <s v="like others my order was canceled without notice i only found out when i checked my order online after days a rep at petflow said that they automatically cancel orders because of fraud concerns if shipping address different than billing address even thoug"/>
        <s v="where my order which was oredered on order bergen k cafe"/>
        <s v="my orders are taking longer longer get its taking about a week in beginning they came in a few days i have ended up going only location nearby that carries fromm dog food while waiting my dogs food a week ahead of time should be enough time but it hasnt b"/>
        <s v="love convenience customer service"/>
        <s v="everything ships quickly&#10;was disappointed that i couldnt find one medication through petflow"/>
        <s v="placed an order dog food waited over a week without updates so i followed up only find out my order was canceled but i was never notified this caused such a delay with getting food that i am currently out of had order from somewhere else still waiting"/>
        <s v="easy reorder shipping fast free"/>
        <s v="great experience fast shipping i havent been able order my cats food from anywhere else because it was out of stock petflow got it me"/>
        <s v="ordering online was easy shipping was fast had an item that was out of stock they let me know then shipped it when it was back in stock great do business with"/>
        <s v="great selection of products carry name brand at a reasonable price quick shipping quick response from customer service if something wrong with your order they correct it in a timely manner very happy with my service from petflow will definitely recommend "/>
        <s v="my order was cancelled by fraud department without any notice m i wouldnt recommend petflow my worst enemy i have tried reset my password correct problem but when they say they sent a password reset i never receive it"/>
        <s v="sorry not sure if its my phone or your website used always order online but last few times i cant seem get all way through place order ill have go back calling my orders in"/>
        <s v="best prices fast shipping very happy"/>
        <s v="i have dogs not one of them would play with it they totally ignored it"/>
        <s v="horrible company ordered food my dog got an email saying we received your order called a week later as never received my order or an email saying it shipped they said they cancelled my order could not say why as they are not allowed seriously you can not "/>
        <s v="company absolutely awsomanother company sent me petfkow im so happy they did i will contiune shop at petflow thank you being petflow"/>
        <s v="great prices fast delivery we we were using chewy which great but they dont carry food we need new dog i am very happy with my recent petflow experience"/>
        <s v="communications correspondences via email was better than most pet stores"/>
        <s v="i am very impressed that my order was received before expected none of cans of food were damaged food very fresh price right petflow now my goto from now on zignature kangaroo formula canned dog food thanks being so on top of things"/>
        <s v="terrible just terrible not helpful at all still waiting my dogs medication its going on weeks now i keep getting run around from everyone i speak im over this company yall need get ur stufftogether"/>
        <s v="ordering can be made easier delivery took longer than ecpected"/>
        <s v="first was excellent selection offered at a fair price then there was delivery no easy challenge since ihe order was placed over holiday we had a major snow storm guess what buddyholley my bearded collie was enjoying his food treats earlier than excepted w"/>
        <s v="i have a dog who allergic everything basically so i used online chat customer service person helped me locate a food treats that basically only have duck one of only things shes not allergic"/>
        <s v="delivered on time was able brands i wanted not available on other sites like chewey"/>
        <s v="fast shipping fair prices excellent customer service"/>
        <s v="had products in stock quick delivery great customer service"/>
        <s v="easy navigate website items shipped fast"/>
        <s v="petflow always delivers good products in a timely manner they are also only online provider of my dogs food"/>
        <s v="twice my order has been canceled due fear of fraud no one ever reaches out me ask im frustrated that a week later when my order isnt received i call find out it was canceled they have my email phone number"/>
        <s v="i placed an order recently from petflow they had best price on items i was searching i didnt need items right away i appreciated that i could request date i would like items shipped me highly recommend petflow"/>
        <s v="fast shipping great prices accurate order"/>
        <s v="i had put numerous orders in this product in past two years order got canceled many times i was told i would be notified when they came in i was never notified i just happened come back your site see that you had them in stock otherwise good product we ha"/>
        <s v="in past customer service was always exceptional my last phone call pertaining a delivery delay was met with indifference a lack of resolution ill continue shop at petflow but will think twice before inquiring about a problem"/>
        <s v="my dog food took foreverrrrr get here each time i called customer service it rang about times phone would hang up i emailed them it took days them get back me rep said they are overwhelmed because they are a small company id say hire more people because t"/>
        <s v="i contacted customer support online cancel my auto ship i accidently set a second one while trying cancel i had auto ship orders i made it clear i wanted them both canceled because my order increased by almost too pricey i found my order cheaper somewhere"/>
        <s v="package arrived late again&#10;&#10;fed ex should not be your carrier"/>
        <s v="easy order i love automatic ordering"/>
        <s v="terrible customer service worst company ever do business with even supervisors are rude they constantly hang up without addressing any of your issues"/>
        <s v="i placed an order which was received by petflow with a ship date of dec th dec th still had not heard a word called customer service who told me petflow had canceled order because it was flagged as fraudulent by them not my bank i will never use this comp"/>
        <s v="easy order process quick response order"/>
        <s v="i stopped using chewy when company was bought by petsmart im glad i chose petflo"/>
        <s v="i placed my order on received an email that my order would ship on i contacted petflow on about my order not shipping yet when i received a response next day i was informed due stock issues my order was cancelled but yet i wasnt notified until i reached o"/>
        <s v="dog food i ordered came quickly i didnt have pay shipping food i ordered changed look of bag so i thought i was sent wrong food petflow responded immediately my issue"/>
        <s v="even with your promos ex current promo pft off amazon still better priced i get better sizes better autoship deals we are working with tough times folks you need step up your game on competition or get left behind not trying be rude its just facts"/>
        <s v="i have an account at petflow since june &#10;unfortunately my order of cat food was cancelled without any notificationsuch an unexpected behavior of company customer service when i called them explain order was blocked by fraud prevention department without a"/>
        <s v="youre fine dont be so insecure i used you once ive gotten like emails from you its too much now you want be rated its coming off very needy insecure keep having lowest prices i will keep using you stop with all email or im gone seriously"/>
        <s v="had product i was looking for my cat fast service"/>
        <s v="our beloved newfie died a day or so after we received his auto shipment of food from perflow we had not even opened box allison from petflow offered hers petflows sincere condolences she said just set unopen box outside on porch she would have fedex pick "/>
        <s v="actually i am writing see if i can return an unopened bag of food winnie did not like it back on her original food"/>
        <s v="best price on dog food i buy very quick shipping"/>
        <s v="good sales on good products fast shipping"/>
        <s v="my beloved dog passed away unexpectedly just after i had received a large shipment of food supplies i contacted petflow they arranged have products picked up right away closed out my auto ship orders so i would not have do that ive used petflow more than "/>
        <s v="what made my experience great was finding product i wanted a little more getting it ordered quickly easily got what i needed in just a few days before running out of product at home excellent service great products"/>
        <s v="i wanted purchase a item on your website but item only showed one color blue i contacted you about wanting item in gray you person went out in whrs found that you had it in gray told me order it email order number her she would make sure i received gray l"/>
        <s v="i got a good price on tillys treasures beef liver chunks my dog loves them"/>
        <s v="easy order great delivery great product"/>
        <s v="i used love petflow because prices were reasonable with quality items dependable shipping i have a small house so i cannot stockpile dog food so i order close finishing a bag well now when things used arrive in about days of ordering it can be weeks or da"/>
        <s v="i have been buying my dogs pet food from them years they are very reasonably priced are flexible enough allow me change my order depending on dogs we have"/>
        <s v="my delivery address really complicated caused a few issues when i attempted place my order but customer service was quick respond my messages they handled situation effectively efficiently once shipped order reached me in a very reasonable amount of time&#10;"/>
        <s v="prices selection were great shipping was fast received emails regarding status of order shipping"/>
        <s v="toy was so little shampoo was expensive but worth it"/>
        <s v="my auto ship easy convenient arrives quickly after it ships food always in stock so i never have worry"/>
        <s v="i tried change what we are receiving on recurring order instead of changing item it sent me an additional bag of dog food"/>
        <s v="great prices on kong squeez ball"/>
        <s v="beware pet flow can accuse you of theft cat food value from them&#10;absolutely terrible experience with my order number &#10;after receiving order confirmation from petflow&#10;i was expect receiving tracking number shipment but when i login my account order status "/>
        <s v="good quality products cheaper prices fast shipping"/>
        <s v="ive struggled purchasing food my fiv cat because her vet under my partners name but im one buying chewy specifically made my life hell thank you petflow i appreciate yall im great full my kitty gets her special food now"/>
        <s v="with cost of this pet food increasing every year i decided switch petflow away from my usual supplier because of discount making my dogs food more affordable really helped a lot im hoping this company continues offer competitive pricing"/>
        <s v="i always get my dogs food on time"/>
        <s v="i have had a good relationship w petflow up until my last text message was ignored natural balance canned dog food was discontinued supposedly due supply issues i researched other foods decided on nutrisource which petflow carries i ordered cases confirma"/>
        <s v="great customer service quick shipping"/>
        <s v="great quality shipping was very fast definitely will be ordering from them again"/>
        <s v="liked that ordering easy i did not like how very long it took receive order"/>
        <s v="my order never arrived i called your company person i spoke was incredibly unprofessional sounding i asked why my order hasnt shown up he said it was canceled by their fraud department i asked why or what triggered this was told he couldnt tell me why the"/>
        <s v="you were only company that had product i needed my special needs cat"/>
        <s v="first customer service rep wasnt nearly has helpful as second one i talked with third person was reassuring now wait refund"/>
        <s v="i was really happy with pet flow until two things happened one i found some thing i could only buy at chewy their customer service light years beyond petflow&#10;&#10;the other that petflow wanted a profile of me my pets names things in a way that made me feel li"/>
        <s v="fast accurate shipping fair prices have ordered twice will continue order"/>
        <s v="was great i enjoyed it a lot song made me feel special"/>
        <s v="always fast shipments i order two pound bags of food at a time only concern packaging needs more tape on box or they need be shipped in two boxes last shipment tape had broke someone carrier must have retaped it there was clear package tape on top of orig"/>
        <s v="prices are high food i feed i realize it may not be petflows fault but there was a huge increase in cost in just a few months also delivery seems take a week with fedex seems long me"/>
        <s v="my orders are taking longer longer arrive last order was over days until i received it i order early so my boy doesnt run out but these times are ridiculous currently looking another provider"/>
        <s v="wonderful products my cats can ask assistance should i need it great ontime deliveries my purchases very good service from petflow folks that do great jobs me my kitties"/>
        <s v="where do i begin i order tennis balls then yall wanna chancel my order fraudulent because your customer service person over phone says why would you buy tennis balls im sorry i have multiple dogs like wth worse part i had call yall days after my order fig"/>
        <s v="quick friendly people help with an easy phone call dependable deliveries updates i really like their customer satisfaction approach business"/>
        <s v="i had a major issue with my package being held up on fedex side i emailed into petflow support see if they could help i didnt hear back however i called a few days later person that answered was so kind helpful they reshipped product i left call crying ju"/>
        <s v="received food in timely manner good price"/>
        <s v="great prices&#10;fast delivery&#10;a place count on"/>
        <s v="even though this litter was out of stock no date when available they kept me informed of my in order status i did end up of canceling they were in great about be this too"/>
        <s v="awesome company with good deals prompt service delivered right your door i would highly recommend petflow all your pets needs"/>
        <s v="what your company needs work your delivery time your company takes way long from date of purchase get product your customer company chewy gets it me in hours learn their method"/>
        <s v="great selection of dog foods snacks great customer service order arrive in just a few days"/>
        <s v="great price quick shipping delivery"/>
        <s v="love prices quick service my only concern i cant seem apply auto ship discount"/>
        <s v="name brand products fast shipping great couponsdeals"/>
        <s v="first i was sent wrong items i called was told they would ship right ones out asap next am i spent over on dog treats bags original delivery took a week customer service emailed me a fed ex label ship wrong treats back i had drive a fed ex drop off do it "/>
        <s v="ordered natures logic food at a great price delivered quickly shipping free&#10;what not like about this"/>
        <s v="difficult make an accurate credit card charge"/>
        <s v="my shipping box came damaged nearly falling apart when it arrived at my door&#10;&#10;plus my bag of dr marty food was cut with a razor food was inside shipping box i have a picture if needed&#10;&#10;and finally it took nearly days i ordered early sunday morning product"/>
        <s v="very good customer service package arrived on time everything that i asked was in box complete"/>
        <s v="i needed a bag of dog food proceeded with buy it now when i received order confirmation i saw that an item i had previously purchased was still in my cart they said they would not remove an item from my order immediately after i wasnt happy with item when"/>
        <s v="products available competitive pricing delivery delay not too bad considering holidays"/>
        <s v="appreciate great selection of fromm dry dog food service great very fast shipping"/>
        <s v="we have been using petflow years they are consistently fast with shipping if there are any issues maybe x in years they are responsive it gets resolved fast thank you"/>
        <s v="ordered on line less than in stores it was delivered me"/>
        <s v="lack of availability of specific treats i was looking was only reason i did not leave a star rating otherwise prices delivery time correctness of order was great thanks luka remi are headoverheels with their tasty treats"/>
        <s v="i spoke with customer service weeks ago my concern was not addressed&#10;my original account was under my personal gmail i had an auto ship on there years a few months ago my password did not work when i tried repeatedly reset it i never received reset emailn"/>
        <s v="when i started really look around petflow offers best price especially since it comes right my door in rural vermont dog food has become crazy expensive"/>
        <s v="i have used petflow several years they are a quality organization i recently had an issue with a delivery a return both issues were resolved quickly one via phone other through email they also took time follow up make sure i was satisfied"/>
        <s v="website was easy maneuver great product selection good prices along with fast delivery time"/>
        <s v="your products are healthy reasonable in price i also received my purchases in days paid no shipping due buying more in merchandise i also get pleasure help animals in need thanks being there"/>
        <s v="found it odd that a very popular item on internet was discontinued i ordered but only got one they refunded my other one fast made&#10;it look like they were selling them too low stopped so they didnt have keep filling orders"/>
        <s v="i like ordering online dont like getting out delivered my door"/>
        <s v="shipping time awful when i placed order it said it will ship next two days it didnt ship a whole weeks"/>
        <s v="very reliable when ordering a product even if on backorder you are kept informed impressive"/>
        <s v="best prices around initially we will see if they continue offering these deals i have referred a few friends so im hoping they dont disappoint"/>
        <s v="slow shipping slow answer e mails dont have items in stock"/>
        <s v="im still waiting on my last order i am out of kidney can food i have dogs i supplement dog treats through amazon as they deliver way quicker but prescription kidney food i cannot as i tracked my last order it showed its been sitting in homestead fed ex de"/>
        <s v="i just started using you a few months ago was a little concerned because of some of your reviews but i liked your prices thought id give you a try glad i did you have totally delivered me ive had several large orders dog cat products star"/>
        <s v="ive been a client some time i had just bought a lb bag of merrick senior dog food vet said that my year old dog reacted badly ingredients in senior food which caused severe diarrhea go back what i had been doing person who answered my call credited my acc"/>
        <s v="i found this company a couple months ago wow very impressed product line outstanding prices are best ive seen last but not least shipping super fast ive had such a wonderful experience with their easy online ordering system ive never had contact customer "/>
        <s v="order was easy place delivery updates were all great"/>
        <s v="i received no notice of canceled order or assistance in correcting order"/>
        <s v="we have ordered over a year from pet flow have never experienced any issues what they promise we get i will be staying with them"/>
        <s v="cheaper price takes a little longer shipping though"/>
        <s v="great service products i use my pets"/>
        <s v="i have had a subscription dogfood on file years that prescription most of time it delayed or outright cancelled then i have call change a different flavor in order get dog food last time this happened i had change flavor twice request a new order times be"/>
        <s v="i placed ab order first time product was not going arrive over a week that was unexceptable your competition chewy it arrives usually in two days i cancelled my order o my auto ship"/>
        <s v="reliable delivery dels autoship"/>
        <s v="fast delivery great prices what else could anyone want"/>
        <s v="always get excellent customer service if there an issue vert easy deal with"/>
        <s v="ordered product it never shipped i had call customer service get it shipped"/>
        <s v="after my order being cancelled i dont know maybe three times i emailed them get it cleared up i explain i moved got married mention perhaps its my maiden name ryan tells me fraud says not process so first i ask okay whats reason do i need call ryan says t"/>
        <s v="i appreciated ease of ordering but was not really happy with shipping time it took too long come"/>
        <s v="petflow great fast efficient customer service helpful"/>
        <s v="i switched pet flow from chewy bc their prices got high their customer service dramatically declined prices auto ship discounts are much better at pet flow their customer service personnel are superior chewys only reason i gave stars bc they dont carry pe"/>
        <s v="as promised so delivered"/>
        <s v="when i place my order i can relax it arrives quickly always fresh ready my two senior dogs i am so happy that i have this service dont have lug heavy bags of questionable freshness"/>
        <s v="i placed an order your company took money out of my account days went by with no tracking or anything so i called see what was going on your tech support told me she didnt know when i would be getting my order so i canceled it than after i canceled your c"/>
        <s v="my order was easy place arrived quickly will order from you again would recommend"/>
        <s v="my dogs went crazy over all these treats very happy"/>
        <s v="representative was understanding of my situation was quick resolve issue very nice patient"/>
        <s v="great company work withalways responsivewith quick delivery but costs seem continue escalate over last two years as everything"/>
        <s v="my dog a senior with a heart condition must have a special lowsodium diet when her food doesnt arrive on time her diet condition compromised typically i receive orders in days i need depend this reliability my last order took days arrive when i called inq"/>
        <s v="my little maltese loves small bites beef frittata i wish you had other flavors in small bites small breed dogs"/>
        <s v="shipping as surprisingly slow"/>
        <s v="so when ordering food my canaries theres been times in shipping process bad experiences two times orders get returned due poor packaging petflow uses dont really understand why lb bags are shipped in thin big box without any protection inside that reason "/>
        <s v="first time using pet flow my dog food was ordered in time arrive three days before a big trip it was delayed came day after i left customer service had been called several times&#10;i asked a refund was told i would get a credit im going back chewy until pet "/>
        <s v="i always order our dogs regular food diet petflow as well as a subscription all items arrive well"/>
        <s v="great service i can always depend on pet flow"/>
        <s v="an excellent company with wonderful customer service orders are shipped efficiently with care an added plus their charitable donation policy"/>
        <s v="took over a week before product even got prepared shipping zero communication"/>
        <s v="instead of a usual delivery of business days after my orders placement it took business days two calls your service"/>
        <s v="while prices are much better than chewys shipping slow only reason we wait so long it arrive because of money we save"/>
        <s v="i placed an order cat food that petflow cancelled with no notice after wondering why it hadnt arrived yet i checked on status was told it had been cancelled because they thought my email was fraudulent if i wanted place a new order it would have be with a"/>
        <s v="super friendly staff wonderful company"/>
        <s v="had a problem with password was locked out when i called they said too bad you have wait time out they did not reset it or help any further"/>
        <s v="absolutely worst company i have ever used date delivery of our dog food will never use them again they like use excuse that its holidays theyre backed up deliveries&#10;&#10;then shut your doors stop taking orders until you can deliver dont waste my time with you"/>
        <s v="ordered dog food with a few toys on wednesday night if youre a pet store somebody orders dog food well before weekend you ship it out before weekend right never again with these people have fun losing money on this order what an absolute joke of a pet sup"/>
        <s v="i generally like pet flow but i find website very confusing my cat has prescription food i sent script in with first order when reordered however it asks this information again i had call find out that it isnt necessary"/>
        <s v="shipment quick notified timely of any deviation shipping of order reasonable price"/>
        <s v="it was a great experience overall ordering was easy it was delivered quickly price was great"/>
        <s v="willingness listen my issue try work out a solution"/>
        <s v="delivery on time or close scheduled time"/>
        <s v="best price anywhere in fact i bought what other shops were selling same price one fast quick shipping totally satisfied customer"/>
        <s v="excellent selection pet food product came quickly enjoyed quality communication throughout experience"/>
        <s v="shipping times amount of available products"/>
        <s v="customer service was excellent"/>
        <s v="super fast shipping good selection of dog foods good prices"/>
        <s v="tried get my auto shipment moved up a few days sooner instead they cancelled it when they finally shipped it appeared that i was only being charged instead of i figured bc of mixup when i checked later in day was added back emailing about it has gotten ze"/>
        <s v="bryan was great he explained things followed up right away im thankful i connected with him about my issue"/>
        <s v="always fast shipping always have what i need"/>
        <s v="switched over from chewy because natures logic dry dog food was a bit cheaper but shipping very slow last package arrived opened bully stick sizing inconsistent seems foul"/>
        <s v="i have no complaints about company other than you using fedex as your shipper i seem have issues with them every time always changing delivery dates this time they left boxes in plain sight in front of my garage allowing them get wet in rain before i coul"/>
        <s v="treats had small fine bones in them"/>
        <s v="i honestly have never done a review ever well i have ordered twice from this company each time there was issues first time help people were amazing rushed fix it right away so obviously i ordered again but this time omg i had make a new email because it l"/>
        <s v="didnt receive an acknowledgement from pet flow on line order placed on a sunday i called monday morning asking a tracking number idea of when i could expect pounds of dog food i got a snarky no reply never did receive from pet flow any documentation of or"/>
        <s v="dry kibble ordered on nov still has not arrived supposed be delivered today they are very responsive emails communications good company but need soem updated shipping procedures bw"/>
        <s v="service rep said business days it took days had go local store buy food get by mailing system slow lately"/>
        <s v="i had a concern with my orderthe customer service was outstanding far better than i expected my problem was taken care of very quickly i will be ordering again soon"/>
        <s v="it took a very long time multiple emails customer service see why my order didnt ship i ordered two items only received one no explanation where other item"/>
        <s v="again so many products out of stocknot available which means i have go other sources get what i need"/>
        <s v="she was extremely helpful very kind situation i had"/>
        <s v="company was prompt in getting my order out door it took delivery service some extra time"/>
        <s v="five stars&#10;i highly recommend this company their selection excellent they are competitively priced"/>
        <s v="my pomsky years old loves fromm dog food from petflow&#10;its always fresh duck her favorite she likes salmon too&#10;food always shipped quickly&#10;i havent needed customer service but sure they are great too"/>
        <s v="representatives very helpful friendly great bonuses"/>
        <s v="i can order fromm dog food website easy use delivery fast"/>
        <s v="having product i needed fast shipping"/>
        <s v="always dependable shipped everything on time let you change dates on your auto ship just a great company customer service also awesome"/>
        <s v="listen my concern fixed issue quickly"/>
        <s v="have been a client years only issue tons of promotions sent via text never on froms which only product we buy"/>
        <s v="shipping was delayed straight days whilst i was told repeatedly that item would ship next day generally i would give petflow stars however this last experience was less than stellar&#10;&#10;i want be fair mindful that warehouse working conditions are difficult p"/>
        <s v="first time order puppy food our sons puppy price was fantastic with free super fast delivery was very impressed i am a seasoned value shopper highly recommend will definitely order from here again"/>
        <s v="most of my experiences have been excellent unfortunately my last order of fussie cat dry food was less than good i normal order lbs bag ive had no issues cats love it last order i purchased lbs bag my cats refuse eat it i did call pet flow inquire if they"/>
        <s v="shippingsecond order fr youfirst order completely messed up you can check your logs see second order said delivery day of supposed delivery it was still in new jersey got all items both times but not easy process except ordering paying wellll second time "/>
        <s v="ive been buying from petflow years now been very happy with them prices are competitive items are usually in stock or quickly restocked shipping prompt one time i called customer service as i wanted add a bag of food id forgotten include in an order peopl"/>
        <s v="i placed an order dog food when i noticed it hadnt shipped after a week i reached out customer service no reply back over a week later looked up my order status it showed that it was cancelled was never notified&#10;will never use this company again now im bu"/>
        <s v="our cats have been put on a sensitive diet petflow had best price what we needed online ordering was simple shipping was fast will definitely order from them again"/>
        <s v="exceptionally responsive customer service also good products"/>
        <s v="easy order prompt shipping competitive prices great service"/>
        <s v="when i received a case of blue buffalo cans in a very damaged box with cans being severely dented i was immediately sent a full replacement i also ordered lights my dogs collar only works im hoping receive replacements those as well"/>
        <s v="i love that you donate pet charities carry nutrisource"/>
        <s v="quick shipping product works barking has decreased markedly"/>
        <s v="we needed order prescription food our cat it kept getting cancelled&#10;each time it got cancelled we called got a different answer fraud dept credit card company etc&#10;each time person on phone said they would take care of it&#10;finally someone must of actually t"/>
        <s v="bad customer service overpriced poor quality food shop somewhere else"/>
        <s v="my mind blown they wont fill my order dumb useless took almost two weeks respond me never seen a company who didnt want business last time ill shop there"/>
        <s v="petflow a great company they go above beyond provide excellent customer service"/>
        <s v="ive been ordering from petflow years i used order from chewy but petflow offered better discounts so i switched them most things my only issue with petflow shipping thats just such a minor issue that it really isnt even review worthy doesnt occur often i "/>
        <s v="you stopped part of my order without telling me at all took me all kinds of communications find out what problem was i was not am not a happy customer check your records my order it should tell you what went wrong&#10;&#10;how dare you now try lecture me about wh"/>
        <s v="my first order was cancelled with no notice&#10;my second order was placed but sent wrong address via fed ex then i received an email saying that they cant process my order it was already processed so when i called see what this was about i was told i would n"/>
        <s v="was available sent promptly"/>
        <s v="product great so far issue that i have that clumps from urine are heavier than any other product that ive used in past years"/>
        <s v="only issue i have that there not count in bottle was given only five dollars off my next order"/>
        <s v="took almost gays get puppy food which i ordered a week before getting puppy then when it did arrive bag was not properly sealed food had spilled out all in box"/>
        <s v="competitive prices great customer service excellent packaging of products fast delivery easy website navigate get all you are looking what more can you ask i highly recommend this company"/>
        <s v="i ordered dog food on line never received a confirmation a few days later i called was told warehouse was working on it three days later i called again they said it was in warehouse with stiff competition on line pet food supplies i dont feel that i need "/>
        <s v="liked convenience of getting our pet food delivered what i dislike time it takes get delivery we were down our last kibble when package arrived not sure service dependable enough"/>
        <s v="thank you this opportunity provide constructive feedback on my experience&#10;when i received my pet barriers i had ordered two they came on separate days which fine but they were both in horrible shape on arrival both boxes open on both or one end some taped"/>
        <s v="it would be nice get some discounts items that are less than"/>
        <s v="i ordered my pet supplies on monday did not receive it"/>
        <s v="ive purchased from petflow many years usually dog treats food always good products good service highly recommend"/>
        <s v="easy use website quick delivery"/>
        <s v="great service good prices quality products"/>
        <s v="great company always on time with my order"/>
        <s v="orders are correct intact upon delivery which always fast any issues or delays are quickly communicated tone of communication always congenial helpful me i can buy my dogs healthier preferred foods that bigbox stores do not carry i also like that sizes of"/>
        <s v="i love how fast they ship but im annoyed my first order products were expiring in weeks so i had use bags of sweet potato fries before they expired that didnt happen they seemed okay so i used them until they were gone&#10;this latest order fries dont expire "/>
        <s v="good products service price only problem you are out of stock too often"/>
        <s v="petflow has provided exceptional service great prices very good selection of products foods my pets about years i highly recommend this company"/>
        <s v="ordering easy shipping always fast my favorite site ordering cat food supplies"/>
        <s v="shipping has been so fast each time ive ordered excellent customer service great selection of pet food items theyve won my business"/>
        <s v="easy order delivery was good as well"/>
        <s v="not as familiar with navigating your website thus found it confusing confusing perhaps as i use it more ill become better with it products are excellent prices are excellent too"/>
        <s v="easy website delivery updates promptness of delivery"/>
        <s v="i never received my package have been waiting about weeks since order i would recommend petco or something like that"/>
        <s v="a great place get pet food that quality my gigi girl"/>
        <s v="great experience from ordering delivery"/>
        <s v="order has been cancelled by petflow i was not even notified thankfully chewy had my back"/>
        <s v="i placed a order on i sent a text on asking when my order would arrive i was told my order was flagged never shipped person didnt know why or what that meant why wouldnt i get a email or a call if a problem was encountered you have all my contact informat"/>
        <s v="fast shipping always consistent with supply my shih tzu approves a happy baby thank you pet flow"/>
        <s v="your prevention protection not accurate please fix it"/>
        <s v="shipped me very fast no damage packaged well enough prevent damage i wish fromm allowed discounts auto ship but i understand it up them allow that not petflows fault at all"/>
        <s v="i appreciated receiving an email when item i needed was back in stock i waited buy it from petflow because their price was so much more affordable this service was so helpful"/>
        <s v="second time ordering prescription food told its in stock a week later they cancel order stating its not in stock never again"/>
        <s v="i have ordered twice each time delivery has been delayed order this time was not properly packaged box was literally falling apart patched together with more tape than cardboard i am surprised entire order made it here i wondered why you are able sell fan"/>
        <s v="sales experience was fine delivery not so much again their chosen delivery company left my very heavy package sitting in front of my garage all see with no knock or ring at door let me know it was there thankfully it wasnt raining that day i am not sure i"/>
        <s v="dog food came quickly"/>
        <s v="ordered boxes of arm hammer fragrance free super scoop cat litter two weeks ago never received it"/>
        <s v="numerous choices at excellent prices fast shipping excellent customer service highly recommend"/>
        <s v="i was told i would receive a tracking number my package i placed on friday i did not so i called days later on tuesday at i understand company doesnt work on weekends brian answered phone he was very rude when i asked a tracking number saying why would th"/>
        <s v="i ordered a prescription cat food where website indicated that it was in stock when i had not received a status update after a few days i sent an email inquiring about status was told that it was out of stock which i had suspected since it was out of stoc"/>
        <s v="website doesnt work right horrible navigate i got food i didnt order whats with that shipping was fast prices were good"/>
        <s v="purchased toys my red squirrel he loves them that r safe durable costumer service truly customer service helpful polite this company a joy deal with"/>
        <s v="great service people thank you"/>
        <s v="i ordered cat food delivery on i am still waiting it be shipped me there has been no update"/>
        <s v="i love products they carry i love communication only negative that they are out of my items a lot however i know that probably has more do with company who makes it than them"/>
        <s v="products were in stock website was easy use prices were comparable other things online retailers"/>
        <s v="great products fresh free shipping&#10;great pricing"/>
        <s v="even though delivery company brought my package a day later than they predicted it was still earlier than estimated date i got when i placed my order all items arrived in good condition i got a very reasonable price"/>
        <s v="food my pet needs was listed on your website so i placed an order then a few days later received a message my order could not be filled items should not be listed or show as out of stock if unavailable"/>
        <s v="my order got canceled without any notification me on separate occasions i found out by checking website on status of my order"/>
        <s v="i am extremely happy with ease of ordering from you"/>
        <s v="ordered two times both times it was stated in stock after placing order i was notified sorry out of stock worst website ever if you dont have it in stock ready ship then dont state in stock"/>
        <s v="id never heard of petflow before they came up in a google search very glad they did i was able buy some blue buffalo kitten food at a lower price than petsmart petco chewy&#10;&#10;i also got a bunch of my kittens favorite clicker training treats at a reasonable "/>
        <s v="good communication shipped fast great product"/>
        <s v="i ordered item was not in stock but it doesnt say that online then when i try reach out find out ifwhen item will be in stock communication was minimal none"/>
        <s v="customer service awesome i was having trouble using a couopon woman i talked with took care of it its important me that my purchase will feed a doggie"/>
        <s v="your website said wet cat food was in stock i never received my order because you are out of food"/>
        <s v="always satisfied with service i have gotten at pet flow delivered in a timely manner packaged well in good shape when it arrives products we use are always available"/>
        <s v="great prices timely delivery great products"/>
        <s v="package arrived promptly was wellpacked ordering was easy product just what my cats love too its hard find"/>
        <s v="prices great selectiondeals appealing preparation shipping could be quicker customer service agent was snarky&#10;still choosing over chewy"/>
        <s v="speedy service with a personal touch they also carry some brands we cant get elsewhere they are lifesavers"/>
        <s v="very quick service on fromm dog food our new puppy we were not able find this brand elsewhere happily pet flow was able keep him on his regular brand"/>
        <s v="fraud team kept flagging my credit card cancelling my shipment even though ive purchased here many times there was no issue with my bank"/>
        <s v="variety of flavors fancy feast wet cat food limited right now but i was able find what i wanted at a great price at pet flow shipping was fast"/>
        <s v="order i placed arrived on time i question whether this product was actual item from original product made by another company my beagle would not eat this brand but ate real brand from manufacturer dog food didnt even look like real food"/>
        <s v="love science diet pet food love their price"/>
        <s v="happy with petflow good prices delivered timely packaged well"/>
        <s v="my dog loves petflow pet food taste very good logistics also very fast nutrition very balanced"/>
        <s v="products are great customer service excellent shipping fast thank you very much"/>
        <s v="pros very wide selection of dog cat items i think you could probably find what you would get at any other petretailer comparable prices website was easy enough navigate there were discount codes available&#10;cons autoship that i set up did not get shipped un"/>
        <s v="i will forever be a customer food gets here fast helps other dogs in need every time you purchase plus i prefer support a small business highly recommend have passed on friends"/>
        <s v="was able place my order easily only issue was a slight delay in delivery due warehouse stocking i was quickly notified that my delivery would arrive a day later i was delighted when it did"/>
        <s v="i placed an order two days later i received an email from you saying something like your fraud review team advised you not fill my order no explanation ive never had anything like this happen me before"/>
        <s v="my orders are always on time if not im promptly notified expectations are properly set"/>
        <s v="i love company but communication bad ive had a standing order a long time they where unable fill dog food there was no communication or replacement i had place this order on my own very disappointed"/>
        <s v="order was processed as always however i was surprised it took so long receive i used order get it within days this time it took"/>
        <s v="on time delivery ease of use website"/>
        <s v="product i was looking was available was able place my order without a hassle"/>
        <s v="it was great service my stuff was delivered quickly"/>
        <s v="i just recently discovered petflow they provided me with best price customer service speedy delivery item that i was looking i will definitely choose petflow future purchases"/>
        <s v="great customer service dog food arrived on time"/>
        <s v="shipping was quick my order was accurate customer service fantastic"/>
        <s v="terribly disappointed with this retailer order was confirmed yet i never received a shipping notification when i requested a status update was told their fraud prevention team suggested not filling order what a load of crap i use identical payment source "/>
        <s v="easy order i received everything very fastwith free shipping im planning on buying more pet items from this site sure its rare that you receive ordered things within days from most pet sites free unless you pay"/>
        <s v="i needed get my prescription pet food that was sold out everywhere this was only place that had it submitting my vet info prescription was easy food arrived quickly"/>
        <s v="company was great in fulfilling my order of hills rx derm complete dry dog food although a delay between veterinarian petflow in timeliness of my order some of that was beyond petflows control once things were in order order came as expected overall i was"/>
        <s v="competitive prices good selection of bird food quick shipping"/>
        <s v="my order constantly being canceled why cant i stay on a list until product back in stock so it can be shipped me"/>
        <s v="over a year i have an autosubscribe food order price went up on food i reached out see if you would honor a competitors price without hesitation you did thank you so much your superior customer service quick seamless orderdelivery"/>
        <s v="web site easy use great deals on all pet supplies wide variety of pet foods especially what i need my cavalier i recommended petflow all my pet parents"/>
        <s v="ordered cat food on sale cases received email item was out of stock very disappointed should have been offered sale price when item returned stock"/>
        <s v="wonderful fast fast"/>
        <s v="had inquire whether or not my order had shipped which it hadnt inquired twice was told both times had not been shipped on second inquiry i also asked that if it was not going be shipped today cancel interestingly it has been shipped today"/>
        <s v="i have a difficult time finding this product petflow had what i needed fast delivery"/>
        <s v="great prices fast shipping they actually have dog food i need in right size bag that i cant find anywhere else so glad i stumbled upon this company"/>
        <s v="ordered food got message later that it was out of stock so website isnt accurately updated waited as they said they would ship as soon as they got it in stock then i got a message that they canceled my order so this was first last time i will try this sit"/>
        <s v="quick quick delivery after several deliveries of same order lb bag of prescription dry cat food shipping box holding bag has become more compact instead of a foot long of brown packing paper crumpled wrapped around bag fend off damage makes a great tail c"/>
        <s v="i love petflow i prefer them chewy petsmart i feel like they are geared more towards consumer their pets not political posturing i buy my pets want a company committed my pets"/>
        <s v="csr told me my card was fraudulent my order would not ship i bought dog food from another place then i notice petflow had shipped my order after telling me it was cancelled i wont shop here again"/>
        <s v="easy order&#10;my order was a repeat order site made it easy identify previous order&#10;the site facilitated scanning coupons which gave me a discount&#10;communications regarding order placement shipping delivery were timely accurate&#10;the item delivered was as order"/>
        <s v="weve been using petflow many years now every aspect of their service has always been amazing premium kibble reasonable price product arrives quickly"/>
        <s v="always delivered quickly you carry high quality cat food thank you"/>
        <s v="i ordered a couple hundred dollars worth of stuff all but items were unable be shipped on backorder why do they have items listened that they clearly dont have in stock one or two items ok but pretty much my entire order you might want call ask if they ha"/>
        <s v="main complaint damaged cans over over again&#10;&#10;i have been told call requests additional packing additional boxes email notifications on auto ship status i do all these things still petflow comes up short&#10;&#10;if something out of stock at time of shipping not a"/>
        <s v="spoke with a rep named ryan he was extremely rude hung up after saying have a good day because he couldnt answer my questions about a product pet flow says they have in stock"/>
        <s v="products were damaged petflow replaced them immediately l"/>
        <s v="everything as described fast service"/>
        <s v="i like that shipment can happen same same day as order date delivery fast packaging can be better as ive gotten several dented cans"/>
        <s v="this company has very quickly response nice servicepeople are very friendly helpful"/>
        <s v="i ordered prescription food my sick cat submitted my vets prescription with order made payment my vet confirmed it was approved same day its not on backorder but it has now been two weeks my order still hasnt shipped or been delivered i havent received an"/>
        <s v="having dog food delivered takes a large load off my schedule delivery people are very courteous friendly"/>
        <s v="i had paused my auto ship then ordered what i needed weeks later i have another shipment of lbs of dog food"/>
        <s v="petflow unfortunately very inconsistent with their delivery we recently received orders within days after not getting anything approximately weeks"/>
        <s v="great service had product i needed shipped received in very reasonable time i will shop with petflow again"/>
        <s v="two orders placed at different times showed in stock gave all my billing info got confirmation of order a week later got an email order canceled due no stock my cat needed this food asap was quite disappointed that it took a week notify me two times they "/>
        <s v="as usual many of cans were dented in shipping i assume makes it difficult stack store&#10;may not order again"/>
        <s v="i had a issue with my picky cat he would not eat food i purchased i contacted them they helped me out"/>
        <s v="great product shipping was fast they communicated every step of way will definitely order from them again"/>
        <s v="discount on my order order itself delivery time are all star&#10;&#10; maybe you should change name from petflow star"/>
        <s v="i appreciate that i can quickly reach a customer service representative on phone when i have a question about a product or an order im glad that petflow donates food needy animals i also like that petflow not connected companies that sell live animals how"/>
        <s v="while i needed this product was up on its delivery time id like pre notification of sending this allows me plan about being home etc"/>
        <s v="i ordered a prescription diet my cat accidentally typed incorrect vet in prescription referral one that has a very similar name as that of my vet petflow emailed me that vet didnt have any records of my cat i when contacted them confused i found out why&#10;&#10;"/>
        <s v="your website needs be better maintained i ordered product listed as being in stock got a confirmation email then two days later ordercwas cancelled with no explanation i called only reason you got stars customer support was so nice however product i was t"/>
        <s v="items that were on backorder were listed as in stock on website customer service wasnt helpful couldnt say when items might be back in stock called back cancel order after finding items cheaper on amazon was told that items were already back in stock were"/>
        <s v="i have tried order cat food at least times this year from petflow they have canceled every order due supply shortages even though when i placed my orders food showed on website as in stock it has been very frustrating i am tired of wasting my time orderin"/>
        <s v="i placed an order signedup ongoing orders but next email i received was one offering a discount that was never offered me until after i ordered signed on reapeat orders&#10;thats terrible &#10;that not a way do business with repeat customers"/>
        <s v="both times that i have ordered from petflow my orders had delayed shipping dispite me calling emailing them"/>
        <s v="i placed an order online because it showed item in stock i didnt receive any notifications that it wasnt in stock until i emailed in a query at that point all i received was a notification that my order was canceled again with no reason as why very frustr"/>
        <s v="i would not have provided my personal information if i had known you dont have what i need not happy"/>
        <s v="petflow has grown on me i have used their competitor a long time but tried petflow when i initiated a food change i have found petflow be responsive helpful quite honestly i feel their service has continued improve over time i have been using them they"/>
        <s v="great product shipping times im so happy have found this company"/>
        <s v="very knowledgeable helpful assistance over phone quality product prices cant be beat"/>
        <s v="item i needed was in stock priced better than competition arrived timely as needed"/>
        <s v="recently i ordered over in treats they came in one large box half of treats raw freeze dried had turned dust in their packages it was likely due rough handling during shipping that had never happened before ive been ordering treats from petflow years i ca"/>
        <s v="i guess my card was declined my second order of fromms cat food cases but instead of telling me by text email call i was just ignored when i was down one lonely can wondering where my cat food wasi emailed no response my question just a well get back you "/>
        <s v="your website lied said a product was in stock when it wasnt we ordered it heard nothing from you i had call several times then i was finally told my order was canceled because it was back ordered so was it never in stock begin with ill never order or atte"/>
        <s v="i had a slight issue with a couple of cans that were shipped customer service representative said they would issue a credit on my next order very professional courteous service"/>
        <s v="my order was cancelled i did not know it no email nothing i had log into my account find out i have reordered hopefully product will be sent"/>
        <s v="everything i always need personal help with my orders which usually include a prescription my cat prescription i have a open one that i usually have send a picture of petflow seems only online site that will talk me personally in order get this done as op"/>
        <s v="people on phone are friendly helpful"/>
        <s v="what a great business work with when i made an error ordered wrong food customer service was happy take it back get me right food&#10;what a pleasure work with such nice helpful staff a most unusual treat today"/>
        <s v="i originally ordered a can case of cd chicken stew a can case of cd tuna stew was told that they were both in stock about a week later i got case of chicken stew but but still am waiting case of tuna stew i just called a little while ago see why case ot t"/>
        <s v="excellent product ive been buying from them years fast service"/>
        <s v="i ordered cases of hills cd wet can food one stew one fish i only received stew my invoice shows that i was charged both&#10;but no explanation on why i didnt get full order"/>
        <s v="wanted order dog kibble but price on select description page was but when i started processing order cart jumped it i called explained problem guy hung up on me i called again second guy also hung up on me petflow will never see another order anything fro"/>
        <s v="would give this company zero stars if possible have ordered from chewy petco pet nirvana vetsource with absolutely no issues whatsoever using same credit card i used petflow however twice petflow cancelled my order with no notice i didnt discover until i "/>
        <s v="i have tried order food my cat times each time order being cancelled because they did not have product in stock i didnt understand why would show a product in stock when in fact they didnt have it"/>
        <s v="great product exactly how it was described&#10;works great my dogs"/>
        <s v="so glad i found this company products in stock ships quickly appreciate great service"/>
        <s v="i was never told you did not have product instock i ordered it my debit card was charged three days later i was told you were out of stock refunded me next time tell me you were out of stock dont make me go through process of ordering something you clearl"/>
        <s v="both orders was delivered on time petflow provides a tracker number so that you can track your order items in both boxes came spillproof dog food bags were tightly sealed petflow also offered me off both of my boxed items thusfar our house yorkipoo maltes"/>
        <s v="it nice product"/>
        <s v="pet flow kept canceling my order asking me resubmit it even though it was out of stock they gave me deep discounts on order but they were never able deliver it this a serious situation because my cat cannot live without her prescription food they said a m"/>
        <s v="hello&#10;i really enjoyed experience of shopping with petflow&#10;at first purchase was cancelled because product was out of stock pet flow solved issue i was informed at every step prices are very competitive&#10;i can say that petflow my favorite store now"/>
        <s v="customer service great delivery a bit slow order shipped september its september th i still do have my item"/>
        <s v="cheapest place purchase my dogs fromm dog food it always arrives on my doorstep fresh i feel confident in purchasing with petflow"/>
        <s v="i was pleased find what i needed at a good price but also saw a number of things that were much higher than on other sites my order was shipped within hrs arrived in good condition i appreciate messages keeping me informed every step of way there are good"/>
        <s v="thank goodness petflow i needed prescription treats i could not find any where even my vets office was out i had not heard of petflow before you came me my lab bellas rescue fast shipping thank you we appreciate you so much we will be back"/>
        <s v="an honest informative explanation my cats appreciate it please send me your list of us cat food manufacturers i fiddled with your email until i couldnt view it or print it&#10;&#10;thanks"/>
        <s v="love this cat tower my girls have a great time climbing lounging its very sturdy was delivered promptly thank you"/>
        <s v="great products reviews that help pet parents too bad items dont ship during weekend great products resources thanks"/>
        <s v="they were very helpful my cat food was delivered on time"/>
        <s v="it took longer that buying it directly or with other companies"/>
        <s v="i have been getting auto deliveries many years recently went on line order set up a new auto delivery new puppy my ship address was no longer correct i fixed it went order food it flipped back bill address i fixed it but order still shipped wrong address "/>
        <s v="petflow great i place my order within days i have dog food sooo convenient have it shipped right your door ive been doing business with them now years will continue"/>
        <s v="if i could give it zero i would they never contacted vet despite giving them fax phone email contacting them on multiple occasions i have a prescription same dog food but i tried ordering snacks i have a prescription dog food it works snacks as well accor"/>
        <s v="fast shipping good prices hard find dog food"/>
        <s v="great selection timely shipping boxes are still crap they show up half open beaten up sometimes too small bags of food causing them be ripped open if i could get nutrisource food somewhere convenient i would not use petflow"/>
        <s v="i ordered some thing order was approved by vet because it was a prescription then i found out five days later that order was not being fulfilled because it was out of stock it seems as if company should know what it has doesnt have in stock before it acce"/>
        <s v="have spoken people get an order of dry dog food on auto ship no avail process started late aug with everyone saying it would ship asap i still do not have it i dont understand what problem"/>
        <s v="my cat needs prescription hills yd after going thru verification process stopping my search i was told you couldnt source it wasted time waiting i was informed after fact wish i had known in beginning"/>
        <s v="ive been using petflow quite a while now have had nothing but positive experiences generally i receive my order in about four days or less"/>
        <s v="ordered on received via fedex&#10;&#10;the box it came in was trashed more than likely from shipping handling i would suggest using sturdier or reinforced boxes but that probably would add more cost one of bags was leaking food it seems bag was not sealed properl"/>
        <s v="delivery of product was sloppy&#10;it was raining box was left outside where there a dry place available"/>
        <s v="my only complaint that bags of dogfood were not packed properly instead of big pound bag being in usual big boxes that it usually arrives in pound bag was crammed into same size box as pound bag with result that box arrived in damaged condition had been t"/>
        <s v="great prices of several items we use thank you"/>
        <s v="best prices in stock merchandise quick shipping would use them again"/>
        <s v="petflow carries fromm healthy weight senior dogs bandit loves it bandits favorite treat inch pizzle chews he has have them"/>
        <s v="my order was cancelled without any notification it was a sizeable order on a brand new account but not providing notification was both inconvenient has left me scrambling&#10;&#10;the prices will result in me trying order from petflow again but experienced servic"/>
        <s v="i appreciate discount sales offered your large selection of product my items arrive carefully packed i have yet receive one dented can or damaged item keep doing what your doing"/>
        <s v="stop accepting orders items you do not have in stock this has happened twice now"/>
        <s v="always a great experience with petflow product of great quality ships fast only place i can find these ears in bulk"/>
        <s v="my dog food order arrived with exploded dented cans petflows email reply was tell me they will credit my card today my card has yet be credited i am not happy about this order number placed on"/>
        <s v="first time using petflow im happy with service i now have autoship with them used chewy autoship in past but their service has become unreliable in past few months petflow was able supply prescription food that was out of stock at chewy"/>
        <s v="products pricing are wonderful shipping slow compared chewy thats only downfall"/>
        <s v="orders are not packed properly arrive dented this not first time customer service did in fact send me a new oder"/>
        <s v="it was entirely on me send a prescription order was sat on weeks eventually was cancelled without me asking it now your site shows its out of stock just literally worst order ive tried place prescription food which my cat has had go without because i kept"/>
        <s v="after receiving an email requesting i contact my vet facilitate getting required prescription my dog my vet had received no such request i called customer service requesting another prescription be submitted i was treated with arrogance disrespect unprofe"/>
        <s v="thumbs down its my order was supposed arrive today i was told fraud department canceled my order reasons they wont disclose they didnt tell me order was canceled i was simply left waiting when i attempted reorder payment they said fish food was that out o"/>
        <s v="good service fast delivery"/>
        <s v="i have purchased from petflow regularly a number of years they have good prices often best they ship quickly ive never had an issue whats not love"/>
        <s v="my scooters food got here in a very timely manner he loves this food it hard find in our area cost reasonable though it would be nice if there was ever a sale on it thank you petflow helping me provide best my fur baby"/>
        <s v="i was very disappointed with my experience i was looking everywhere prescription cat food my furbaby needs petflow was only place that showed having it in stock but by time they finally got around contacting my vet nearly a week after i placed my order it"/>
        <s v="ziggy went nuts over treats its his crack cocaine will definitely order again"/>
        <s v="your service products have always been excellent only glitch was on my last autoship i never received notice that my order was getting ready ship if i had i would have pushed it a week later its not a big deal but i like having advance notice in case i wa"/>
        <s v="i believe your website was corrupted my account breached leading several orders that i did not authorize there was faulty information shown example website showed order xzy was just placed today but when i asked your rep about that order number he told me"/>
        <s v="good food cheap easy"/>
        <s v="i placed a subscription order prescription food my pet petflow claimed they had it in stock i was wondering where my order was so i logged into my account find that order was canceled because they did not have it in stock did not cancel my autoshipment ju"/>
        <s v="it would be nice get some of discount codes nonauto ship orders frequent order customers&#10;thanks petflow"/>
        <s v="website advertised canned yd thyroid cat food so we ordered a case after a week we were told it wasnt available which left us scrambling thyroid food our cat"/>
        <s v="i gave you a top score because we ordered food from you guys all time this time i didnt get any emails i looked in my junk folder there was nothing there i had call twice figure out what was going on i hope you can improve this process"/>
        <s v="have enjoyed using this site help take care of our babies great selection decent pricesdelivery on time"/>
        <s v="our girls love dreambone peanut butter sticks they are always out or extra expensive on other sites this price great"/>
        <s v="i had a good experience with this company i ordered my dogs food received a great price order arrived in time frame condition expected i will be reordering as needed&#10;thank you"/>
        <s v="my pups love all of toys we ordered from petflow most of toys we ordered are made by kong toys are great our young aggressive chewer as well as our fairly active year old senior pup ordering was easy prices are great"/>
        <s v="i submitted a signed prescription from my vet through email orders kept receiving emails from this vendor telling me they couldnt ship until prescription verified then more emails saying they would approve it if i would submit a prescription from my vet i"/>
        <s v="great communication free fast shipping they carry an item thats out of stock everywhere"/>
        <s v="im really happy with all my purchases from petflow affordable prices fast shipping"/>
        <s v="i have gotten myias can food before from you but this time every single can was dented up not quality i expect price of hills prescription food"/>
        <s v="worst spoke with a customer service rep ryan he was courteous yet at same time completely unhelpful unwilling do what it takes resolve issue he was very passiveaggressive so i him suck a bag of diks etc etc&#10;my problem was getting an uploaded prescription "/>
        <s v="no issues with shipment or product easy ordering"/>
        <s v="my experience was very positive i was able get some dog treats that i had not been able purchase quite some time thank you"/>
        <s v="fast shipping good price"/>
        <s v="my puppy lola has had allergy skin issues she hates all food treats until i cane across hills prescription hypo pet flow was so nice work with great service great prices variety wonderful thank you so much"/>
        <s v="you are asking me rate something that hasnt yet been delivered i just tracked it see that it expected be delivered tomorrow well see if that happens&#10;&#10;by way i ordered from your competitor about days later than this order it was delivered last week sohow w"/>
        <s v="i am pet flow subscriber i love it my cat food always arrives on time if i order an item before it only takes days arrive or maybe less"/>
        <s v="i appreciate delivery your prices are fair but it took a longer time get food i used get food from you in days this was days which doesnt seem too bad but long if you expect it in days"/>
        <s v="something went wrong with one of my first orders with your company it was either dried beef lung or a chew toy but either way no notification was sent explain why i drive a truck safewayalbertsons a living so i understand supply chain delays but what i do"/>
        <s v="scam i tried order bowls they sent an email stating they were supposed ship on that i would get a tracking number in my email i never got tracking number so i called they said my order was canceled because of fraud they cant tell me why or how but they so"/>
        <s v="placed an order dogfood from petflow st time not only was delivery quick but price was way better than where i usually purchase will definitely order from petflow again"/>
        <s v="we are a small chihuahua breeding program it most convenient have our dogfood deliveredwith free shipping"/>
        <s v="i ordered my cats prescription canned food called check on it several days later was told my order was being processed then received an email a week after my order date stating my order could not be fulfilled as it was out of stock by that time i was out "/>
        <s v="soooo disappointed here needed still need rx canned cat food said it was in stock our vet sent rx right away then i didnt hear anything checked on it a week later they said oops out of stock we have cancel your order whaaat"/>
        <s v="im usually pretty pleased with petflows delivery system but some reason this time it took almost a week me get my product usually its in within a day or two so i just hope he gets a little bit more through delivery service other than that its ok i know ev"/>
        <s v="was very pleased with fast courteous service"/>
        <s v="you allowed an order be placed rx food when it was not available i had call get a cancellation email it was nearly a week later before that was sent"/>
        <s v="i was very pleased with my purchase experience with petflow i ordered a hills prescription diet dry cat food that ive been having a lot of trouble finding i bought it a better than average price it arrived earlier than quoted in good condition"/>
        <s v="very good service i love play pen i order"/>
        <s v="easy use of website ordering you have always delivered this hard find food on time ive come depend on your consistent service thank you"/>
        <s v="ordering quick easy product arrives in days"/>
        <s v="every one was helpful i am sorry not be able get my at food"/>
        <s v="petflow made it easy my food was delivered quickly with no problems my dogs love their new food auto ship makes it hasslefree"/>
        <s v="first time buyer ordered one product which needed vet approval once obtained shipping took a while poor communication as there was none on their part unless i called repeatedly"/>
        <s v="ive been using petflow years now never had an issue till recently this time around i received a package before i received shipping notification upon receiving my partial order because one item was on backorder there was item missing other than backordered"/>
        <s v="i ordered two cases of food i provided prescription two cases were ready be shipped i followed up next two days i was told was due prior holiday weekend but two cases were ready be shipped however two days later i was told that product was out of stock bu"/>
        <s v="very well made excellent quality of product"/>
        <s v="never received product nor heard that it could not be fulfilled item was listed as in stock when purchased"/>
        <s v="always reliable a great price thank you"/>
        <s v="absolutely friendly staff helped me right away helped me find perfect alternative same price"/>
        <s v="it was cheaper than anywhere else fast delivery customer service was also fast friendly"/>
        <s v="i ordered my dog food almost two weeks ago im still waiting it be shipped or get a refund i have received multiple emails about them not being able reach banfield pet hospital get my prescription my dog but banfield open from like am pm everyday"/>
        <s v="horrible horrible service i did everything right on my part even then food my cats wasnt shipped in a timely manner despite me calling it being told it will be shipped asap multiple times only be told later it being delayed then being offered have it get "/>
        <s v="i placed an order treats a few days later order was cancelled without any notice reason given was something flagged a fraud alert however when i called customer service number they couldnt give me specifics all they suggested was trying place order again "/>
        <s v="i was very encouraged when i first logged into this site as some of prices are lower than other sites but just after submitting my first order im being told that half my order isnt available at this time when i logged out went back into site everything i "/>
        <s v="i travel work i ordered pet food via your site first time with my billing address as my home address my shipping address as place i was on location working i travel with my two cats my order was cancelled i was not notified it was cancelled fraud when i c"/>
        <s v="apparently my order was canceled by fraud department id like know why i spoke someone on phone as i wanted of item but you only had one no one notified me i ordered from another company thinking i had coming from you now your out i will have pay more than"/>
        <s v="i tried using a coupon that said expires on it was already expired"/>
        <s v="i will never ever contact pet flow anything ever again terrible terrible customer service failure deliver told me their fraud division refused ship item i ordered i contacted my credit card companies all of them said there was zero issues with any of my c"/>
        <s v="love petflow site carries my favorite products great prices fast shipping items arrive in good condition a"/>
        <s v="bimonthly order of dog food that best price i can find online"/>
        <s v="shows on website food i needed my cat was in stockand it wasnt"/>
        <s v="great products service website"/>
        <s v="my experience isnt complete because i only received one small piece of order kind of odd i ordered a case of cat food when i placed order site said i was only away from free shipping so i ordered a small kitty toy i got an email on monday that my order ha"/>
        <s v="half of order delivered as expected other half was on perpetual delay petflow team could not provide update except that all prescription orders were delayed this was obviously not case as first half of my order was fine not delayed that said if they antic"/>
        <s v="i tried twice order dog food my dogs both times it was cancelled by this company their so called fraud prevention dept i was dumbfounded i called ask why woman i talked had no idea could not transfer me anyone talk about it i got an email from another per"/>
        <s v="ordered wrong food contacted company before shipped they said it was too far in process they told me deny delivery when they come delivery company dropped off without notice they denied my return they lost me as a customer over i purchased bag of food fro"/>
        <s v="product good but way too many emails"/>
        <s v="took over two weeks order arrive&#10;soft cookies are very hard"/>
        <s v="this place a real joke seems like they are selling items that they dont have we purchased dog bowls our feeders after they was supposed ship them out we called they said that they canceled our order due they thought it was fraud how making a purchase a fr"/>
        <s v="every time i order it takes forever receive i also have received wrong product had reorder wait even longer kind of a headache customer service just ok"/>
        <s v="nice selection of premium reasonably priced highquality cat food shipped delivered quickly with no hassles"/>
        <s v="website extremely difficult navigate customer service merely okay&#10;after i was told my order was in stock it wasnt my order was cancelled no well let you know as soon as it gets in or anything just plain canceled&#10;not gonna bother shopping here again"/>
        <s v="i place my first order with petflow a few days after placing order i realized i hadnt received an email with shipping information so i called find out when my order would be delivered i was informed my order was canceled i asked why it was canceled was to"/>
        <s v="overall it was easy order however it took more than a week me receive my dog food fl warehouse was out of stock there was no correspondence let me know that food was then coming from nj warehousei had call in order find out when my order was being deliver"/>
        <s v="my parentsdog loves this pet food it arrived when i was advised it would arrive so that was awesome"/>
        <s v="been ordering pet food from petflow years now have had nothing but good experience with company products i order are best at best prices available shipping has always been super fast great company"/>
        <s v="its too hard cancel auto ship orders it should be a simple button you can press instead you have contact customer service which takes time what should be something i can do myself other than that petflow always fantastic"/>
        <s v="delivery took longer than i expected after a week half i had not received an email letting me know my order had shipped i contacted customer service ask what do you know my order shipped next day"/>
        <s v="very good customer service happy with product delivery prescription treats my dog likes they had in stock"/>
        <s v="claimed a dog food product was in stock even told me that only one was available not two that i had in my cart so i purchased one two weeks later no dog food has arrived but i just got an email stating its out of stock not known when it will be in decepti"/>
        <s v="ordering was simple communication was excellent selection prices were great anf items were shipped promptly no problems were encountered at all"/>
        <s v="petflow had sensitivity select dog food i needed which hard find at a reasonable price i received it within a week great company deal with"/>
        <s v="order on called on verify prescription received told yes will ship soon no contact from you called again on told will ship that day i expected receive by tracking sent stated expected arrival was never informed of these delays my cat has now run out of fo"/>
        <s v="i ordered hills prescription cd ocean fish wet cat food on st of september i had no knowledge that was not in stock prior ordering as it was not noted on petflow site i got an acknowledgement email from petflow that was it make a long tedious story short "/>
        <s v="transfering a new hardcopy rx was a bit cumbersome&#10;first i was told that i had send a new rx via us mail then i was told i could simply upload it so it took almost weeks receive product"/>
        <s v="i had some issues with my order but contacted customer support twice each time has been reassuring its easy get a hold of a real person team has been very professional courteous in resolving my issues i will continue making purchases my fourlegged friends"/>
        <s v="very happy experience from petflow&#10;thank you"/>
        <s v="dog food i ordered went out of stock immediately after it allowed me order i called i was told they could not give me any idea of when it would be in stock i tried cancel my subscription with them but they told me they wanted keep it now i am calling agai"/>
        <s v="frdex didnt deliver previous order your customer care rep ordered another fromm sur turf me it was delivered"/>
        <s v="i signed up once autoship order took over a week reach me since that experience i order when i need it always receive it within a few days i am a regular"/>
        <s v="i bought august st havent even received any email with shipping last time i talked them havent shipped yet last time i called didnt even answer"/>
        <s v="i placed an order about days go by i realize i hadnt gotten a shipping confirmation number i called representative said oh did no one reach out you no they didnt long story short nothing happened except they held onto my money i canceled order now im wait"/>
        <s v="i placed my order a few days ago i then had get a prescription from vet mail it mail it not fax it or email it but mail it i have yet get notice that my dog treats have been mailed it had been days my dog has ibd these are only treats she can have so im a"/>
        <s v="communication with petflow staff was exceptional professional i truly believe staff was interested in helping me with prescription from my vet product clarification expedited process well"/>
        <s v="super prompt service which included petflow needing verify a new prescription with my veterinarian fast shipping too much appreciated"/>
        <s v="petflow website had hills yd canned cat food available i ordered a case they sent me a confirmation then contacted my vet required prescription after receiving it checking their inventory then with their distributor notified me they dont have it wouldnt i"/>
        <s v="my order was not processed as it was flagged fraud however i was not informed of this i had call days after placing order find out"/>
        <s v="ordered prescription cat food that was in stock never heard anything weeks then got an email saying it now out of stock i looked it up again it not out of stock total waste of my time i dont remember date exactly"/>
        <s v="had what i was looking good price fast shipping great job"/>
        <s v="easy website navigate customer service both via chat phone were very helpful when i entered my cc number incorrectly shipping was fast too"/>
        <s v="my order was canceled twice without an email or call this unacceptable i will never recommend petflow anyone"/>
        <s v="i have a rescue wanted give petflow a try because they had some great deals i placed an order in my name but used my husbands credit cardsame last namei received a confirmation days later never received it i called was told my order was cancelled because "/>
        <s v="crate arrived so quickly it was way assemble looks great very pleased"/>
        <s v="i placed an order on had not heard anything about it by so i emailed company was told that their fraud protection team suggested that they not fulfill order when i emailed back an explanation i was told call a number which i didnt do but i think i should "/>
        <s v="dog food arrived in good condition dry food it was not broken up like some other places where i have ordered good service"/>
        <s v="this site legitimate i feed my dog chicken soup soul weight care dogs after checking other places they definitely had best price so glad i found them shipping was minimal but fast set it up auto ship"/>
        <s v="good site good site good sitegood site"/>
        <s v="i ordered a prescription diet food my pet on a saturday that monday i called into customer service confirmed receipt of my pets prescription i expressed urgency rep that we were running low needed this food asap days later i received an email canceling my"/>
        <s v="prescription wasnt approved i didnt get any food"/>
        <s v="fast very secure service easy safe method of purchase excellent products affordable pricing"/>
        <s v="nothing but good say about petflow they have what i want prices are fair delivery fast"/>
        <s v="excellent customer service i ordered etta says premium elk treats count one arrived not just one i called rep on phone was more than polite sent out an order missing chews again box arrived with one chew not i called a second time again rep was very kind "/>
        <s v="awesome do business with received product on time"/>
        <s v="very happy that i found this site my aging dog who needed prescribed treats that he was on most of his life they contacted my vet approval i did not have wait too long before i got my package"/>
        <s v="i had a wonderful experience with petflow my cat max on a special hills prescription diet urinary issues it very difficult find cd cat food where i live i found petflow online ordered chicken stew tuna ocean fish i uploaded prescription from my vet food w"/>
        <s v="ordering process was easy however within one day i received an email saying my item had shipped but after days with no tracking number i called was told item was out of stock shortly after that call i received an email saying item was out of stock not goo"/>
        <s v="petflow its fine customer service representatives are always dependable always on time forever always pronpolished"/>
        <s v="excellent customer service well stocked inventory"/>
        <s v="fast shipping best price when compared with other delivery companies of same product"/>
        <s v="petflow offers competitive prices compared with other online pet supply companies"/>
        <s v="i tried order litter boxes my shelter my order was canceled without my knowledge after order was already supposed have shipped i contacted company they canceled my order because they said it was fraudulent are used paypal which a secure account they could"/>
        <s v="went from bad worse&#10;ordered rocks cat treats my package was lost no one reached out i contacted fed ex several days later its gone i called petflow get me my order over night from another location they said a manager would get in touch nothng i ordered fr"/>
        <s v="this my third time ordering from this company first two times were very positive however after putting in an order on a saturday morning they are telling me that it might leave their warehouse at some point in day on a thursday so basically almost a week "/>
        <s v="everything was great&#10;i unfortunately had let go of my baby black lab of almost years&#10;if when i am ready i would use your services with no questions"/>
        <s v="you offer free shipping orders over so i try meet that requirement but then you offer coupons which are really nice but when i apply a coupon it brings my total below free shipping mark my choices are accept shipping charges or buy more bring value back a"/>
        <s v="this my first time ordering from petflow i am very satisfied my order came quickly prices are less than other places i ordered from type of dog food i buy my dogs hard find im glad petflow has it it saves me time looking it"/>
        <s v="good service arrived when you said it would i was a little confused by check out on your website but im old"/>
        <s v="my auto ship sat in processing status weeks so i paused it so i could order something else i called person acted like they didnt want help once i placed my new order i received my auto ship order at same time this was over at one time very frustrating wil"/>
        <s v="im unhappy with your service my vet was out of prescription diet my cat so i ordered from your website on friday you charged my credit card on monday since you charged my card i thought you had okay from vet get prescription food me i thought it would be "/>
        <s v="two times i tried order a particular flavor of food my cat both times your site said it was in stock about days later after not hearing anything i contacted petflow only find out that product was out of stock&#10;&#10;you do not let customers know that an item ou"/>
        <s v="this first time i used pet flow i was very happy with results they got approval from my vet shipped products in a timely manner i will be using them again"/>
        <s v="great customer support very fair pricing speedy delivery will use again do rexommend"/>
        <s v="good communication about delivery status"/>
        <s v="i am not paul weiler not only are you asking me rate my experience you have joined my account with his&#10;&#10;i am dawn martin have canceled my account im a over years a customer i hope you take my info off pauls account vdh versa&#10;&#10;thank you"/>
        <s v="website said they had product days later i received an email stating they were canceling my order they did not have food i had originally ordered"/>
        <s v="good service ordered dog food it arrived within couple days"/>
        <s v="my product never made it my doorstep i still havent received my money back extremely disappointed with service of this company"/>
        <s v="prices are a little high but shipping outstanding i am able get my dog what she needs"/>
        <s v="i was happy first time ordered food from this company i usually ordered from chewy then they sent me wrong food my dogs i called they were able change it asked me send back one i had wrong one new order yes it was but its still not here as of yet leaving "/>
        <s v="called twice check on my order people on phone were pleasant but not very helpful my order was canceled without any communication from pet flow i was told that an email was sent but i did not receive one on day of cancellation or ever very disappointed di"/>
        <s v="cat food arrived on time once i ordered wrong flavor great customer service an exchange of flavors"/>
        <s v="package arrived in timely manner"/>
        <s v="great customer service&#10;&#10;it was so easy set up an account get reoccurring deliveries prices are right"/>
        <s v="my order arrived promptly packed well thanks"/>
        <s v="i do like petflow my dogs food supplies i found auto ship be somewhat confusing while i was determining how much dog food order as my pup was growing im unsure how much discount auto ship when does it start i do not see discount auto ship on orders also a"/>
        <s v="petflow was so helpful in telling me when i should expect my package sure enough it came on time i couldnt ask more"/>
        <s v="good products prices very disappointed that it took days delivery im used chewy with day delivery"/>
        <s v="great service also was able find prescription food i needed my cat only here after finding it out of stock at my vet at other web sites both my precious cat i are very happy now"/>
        <s v="no one called me tell me my order was going be late my husband called gave his credit card several months ago i have placed orders with this credit card numerous times but some reason yall decided not send this order because our last names are not same so"/>
        <s v="fast reliable shipping"/>
        <s v="easy order quick free shipping got veterinary food i needed in large size pet smart wont sell you large size which a much better deal been ordering all of chloes treats from you several years keep up good work please get her some more piggy sticksthanks"/>
        <s v="shipping was fast delivery was not not delivered by estimated day but days after wish it was more accurate"/>
        <s v="all was good not one complaint"/>
        <s v="shipping was on slow side but worse boxes were destroyed thankfully dog food bags were not ripped open"/>
        <s v="i am always happy with my orders from petflow i get my food within a couple days"/>
        <s v="placed an order received order late but was sent a discount coupon make up it thats nice"/>
        <s v="site purchase was fine but then my order was canceled due food being out of stock its a prescriptions food so i was pleased find somewhere that had it everywhere else has said its on backorder then disappointed when it was unavailable"/>
        <s v="super fast shipping lowest price online"/>
        <s v="i was given a discount off purchase my order was split shipped in shipments day apart they removed discount customer service did give me discount after i requested it satisfied will probably order from them again provided good price on item needed"/>
        <s v="ordered dog food i was informed that it shipped on twenty second of august its now third of september no dog food they said it would take seven ten days its now been twelve days"/>
        <s v="service at pet flow very reliable prices are very competetive"/>
        <s v="all good so far but what can i say about dog food on time price was probably fair so we will see"/>
        <s v="i would give stars but i had several issues with website im sure its working through kinks technology great until it doesnt work i will say online chat was on point with helping i think i was actually texting with a real human my technical issues were sol"/>
        <s v="i placed an order with company high quality dog food when it arrived it had been expired nearly months this was my first order though they refunded me when i complained i still lost faith in them as a company i expect better than expired food there prices"/>
        <s v="my dog needed a prescription diet dog food this company a joke have us complete run around weeks meanwhile my dog suffered i do not recommend this website or this company anyone"/>
        <s v="exactly what i ordered quick delivery time"/>
        <s v="i used enjoy ordering from pet flow our cats prescription diet however recently reliability has been terrible make it worse communication about it has been lacking they were very quick charge my credit card while they place order then several days later e"/>
        <s v="im satisfied with food but you need use stronger boxes i order lb bags every month they are always opening falling apart"/>
        <s v="this nd time you sent me wrong cheaper item i called before last order you promised i would get correct item as described pictured"/>
        <s v="good customer service quick reply from pet flow i highly recommend this website your pets needs"/>
        <s v="petflow has a great variety of foods my dog food sometimes hard find they carry it their prices are competitive also"/>
        <s v="purchased cases of dog food many cans were dented from delivery otherwise good value quick delivery"/>
        <s v="horrid experience ordered some cat food on a monday it wasnt until thursday that i was told that food was out of stock they didnt know when they would get more i know that cat food in short supply but website could have at least said out of stock like oth"/>
        <s v="i love my dogs new collars they are nice strong very reflective i measured their old collars ordered what i thought would be a perfect size them unfortunately collars are too big by alot im hoping there something that can be done correct this matter"/>
        <s v="fast delivery good quality products"/>
        <s v="you are excellent accommodating understanding i will buy from you again"/>
        <s v="denemarin available&#10;i was pleasantly surprised find purchase above mentioned without a prescription unable find chewable tabs my queensland healer locally thank you thank you&#10;please let me know when you get more in stock"/>
        <s v="pet flow usually arrives in a timely manner however quality control training are needed packing our products especially canned treats arrive dented in crumbs that couple delivery too&#10;longtime customers should not be forced into auto ship offered same disc"/>
        <s v="my vet could not get prescription wet food my cat i tried weeks petflow finally had food in stock petflow faxed prescription my vet in a couple days i received case of wet food via fedex free shipping i had a off coupon from my online coupon locator my ca"/>
        <s v="i place an ordered on august messaged company on august since i hadnt received a invoice saying that they shipped i then got a message back saying that it was marked fraudulent they wouldnt be sending it but they never intended say another email saying so"/>
        <s v="this first time that i ordered from petflow so far so good no complaints"/>
        <s v="it was all pretty seamless i am a first time customer will be back"/>
        <s v="easy order on line prompt delivery no fee delivery since it was a large bag i ordered stars"/>
        <s v="looking all over prescription wet cat food saw a comparison between pet world petco petflow it showed petflow had what i was looking in stock so very excited that you were showing science diet in stock ordered cases gave my vet a heads up youd be contacti"/>
        <s v="super fast shipping i placed my order received it days later great service"/>
        <s v="i was sceptacle but chose move forward sure glad i did very prompt delivery have since ordered mega amounts of my cats favorite food again"/>
        <s v="order was quickly shipped but order was not complete due inaccurate inventory on website several items were very dirty when they arrived if it hadnt been tags i would have thought items were used somewhat disappointing"/>
        <s v="fraud department out of control ive never known a company so bent on refusing allow customers purchase from them good luck with that business model lol"/>
        <s v="i recently purchased a bag of dog food emails kept me updated about when it would be delivered it did arrive as scheduled it was a good experience im very satisfied with service provided"/>
        <s v="quick service delivery no problems at all"/>
        <s v="shipping took entirely too long wasnt notified about a shipping delay until after package was due"/>
        <s v="friendly folks poor stock on hands&#10;&#10;this second time i attempted order dog food from you a days after ordering both times i received an email stating that was out of stock this was hills dd potato venison it would have been nice know that this item was ou"/>
        <s v="it took way too long ship food i called canceled order while it was still in warehouse not processed they sent it anyway"/>
        <s v="i ordered product&#10;never received it&#10;later told thru text communication that product was out of stock&#10;if so why was it on your website&#10;nobody advised me"/>
        <s v="fraud depoatment has flagged my account they have been no help get this corrected i would like purchase form this compnay but they have been no help in correcting their error about mt information being fraud who can i talk to get this corrected"/>
        <s v="i had reach out find out what was happening with my order after never hearing anything"/>
        <s v="you were unable fill my order never let me know until i sent an email asking where it was"/>
        <s v="after making a purchase that exceeded threshold free shipping i was not able add on another item after making a purchase salesperson could not waive shipping fee on another item i forgot add on my original purchase instead she wanted me purchase more item"/>
        <s v="i ordered bags of hills feline dry metabolic cd which has been hard find at alot of stores you listed it as in stock i am veternarian my pets you didnt allow me upload an image of my prescription you sent my clinic an email get order approved same day sen"/>
        <s v="i ordered my cat a specialty cat food which at time was listed as in stock then next day i received an email saying it was out of stock&#10;to be fair most if not all places were out of stock but thats why i was excited finally find a store that had it availa"/>
        <s v="i called cancel an order within hrs of placing it was told it was too late but that i once it arrived i can call request a prepaid label return so i called when it arrived was told that rx dog food cannot be returned that it states that on website i said "/>
        <s v="ive been using petflow my furry babies a few years now am very happy with ease of website navigation managing my autoshipments they also have great customer service"/>
        <s v="i get all of treats that my dog loves on one site best price"/>
        <s v="couldnt be much easier a great price no one even close"/>
        <s v="good company they had my babys dog food in stock"/>
        <s v="pet flow has excellent prices on food i was looking purchase my cats their prompt delivery was also superb have shopped here twice will be doing it again regularly"/>
        <s v="we have discovered some awesome dog treats available at very reasonable prices through this company ten points&#10;when we have questions or order something that temporarily unavailable we experience stellar communication feel that we have received excellent "/>
        <s v="easy fast delivery thank you"/>
        <s v="website was easy use i like prices of cat food i also like discounts you offer"/>
        <s v="im pleased with order process shipping was as promised i will be ordering from petflow again"/>
        <s v="great price fast shipping"/>
        <s v="we go where fromm dog food we move a lot so far have never had an issue receiving our pet food supplies from pet flow&#10;the ordering process easy site has everything we need our pets only reason stars that there no rewards program otherwise as long as they "/>
        <s v="good prices great selection excellent service i highly recommend petflow"/>
        <s v="prescription food showed in stock on website ordered they got a prescription from my vet next day only then was i notified that they did not have it did not know when it would be available as they use a thirdparty vendor that does not update their site wa"/>
        <s v="i ordered my cats prescription food petflow obtained his prescription frim vet after not hearing anything a few days i called petflow make sure food was in stock representative said she would call supplier email me let me know i received an email saying f"/>
        <s v="my experience with petflow has been great items are delivered when i expect them in great condition auto delivery works just as it should"/>
        <s v="easy use site like that you give option set up an auto shipment date i needed it shipped instead of order now choose auto ship allowed me set up when i need shipment instead of waiting or ending up over stocked"/>
        <s v="my experience was good found items quickly without any problems"/>
        <s v="i was amazed that they had same product i had been getting from amazon more than less per item so i figured well there must be a limit how many i can buy nope so i bought more than of them i feel like since i have suddenly lost over half of my income due "/>
        <s v="fast good service thank you"/>
        <s v="convenient prices are very good wish shipping was a bit more urgent but will shop with them again"/>
        <s v="easy shop great prices i got my pet waste bags quickly wellpackaged will definitely shop with petflow again"/>
        <s v="i switched petflow from chewy so far so good chewy doesnt carry fromm which my dogs like best decided give them a try im very satisfied food arrived about or days after i placed my order expiration date more than a year from now so food fresh not outdated"/>
        <s v="loved website they had what i was looking ordering was easy i got my dog food hours later i will definitely use pet flow my ongoing pet needs"/>
        <s v="prescription cat food wd out of stock but i was&#10;let order it as if you had it no one seems be able get this its an important prescription my cat who has a fractured pelvis&#10;arnt making this anymore there a substitute that might be ok like one of other hill"/>
        <s v="this company was able get dog food we needed were having trouble getting elsewhere"/>
        <s v="i have a dog that needs prescription food i searched internet your website said you had it in stock i ordered it anticipating amount of time i had until my dogs food ran out well you took over a week tell me that you couldnt fulfill order leaving me scram"/>
        <s v="easy order slight delay with product not available in closest warehouse but arrived well packaged"/>
        <s v="what i loved was that they told me that their fast delivery was delayed because they had ship from another supplier without me asking where my package was they took initiative emailed me about details of my package"/>
        <s v="no product&#10;xxxxxxxxxcccccccczzzzzzzz"/>
        <s v="i ordered prescription cat food from pet flow however a few days later they stated they were out of stock would ship it as soon as they received it i had cancel my order they were very communicative throughout process i would definitely shop with them aga"/>
        <s v="petflow came through me again when a kitty food subscription was out of stock ill be sticking with petflow thank you"/>
        <s v="i made an order canceled days later customer service told me it was taken care of charge disappeared i thought all was well then several more days passed i received a shipping notice i was told it was now too late stop my already canceled order i am not a"/>
        <s v="one thing i really love petflow they always have their products available i dont get a constant on back order like many other mail order purchases i also appreciate occasional discounts offered regular customers"/>
        <s v="was able order special food my dog that was not available elsewhere delivered quickly i was kept uo date on delivery"/>
        <s v="placed an order rx was on file waited a few days didnt hear anything contacted company was told sorryits just sitting in fulfillment some reason then customer service person said theyd try expedite that was almost a week ago still no order or communicatio"/>
        <s v="our pet food was delivered promptly"/>
        <s v="timely response followup timely processing once order details prescription food were in place one area that needs be addressed contradicting information site provides during prescription food order process site noted that food nonmedicine prescriptions ca"/>
        <s v="after placing an order receiving shipment i realized i had ordered wrong food i had set up auto ship food so immediately tried change type of food on my auto ship when i couldnt change it myself i emailed responder took care of issue me changed product fo"/>
        <s v="box that bag of food arrived in was open that was probably due heavy food bag inside without any protective packing"/>
        <s v="i placed an order without notice it was canceled product never arrived"/>
        <s v="your site told me that i was required mail original prescription my cats hills md food luckily i had asked my vet a prescription in june so i had an original mail i dont like mail this because i have get a new one anytime i find a better price somewhere e"/>
        <s v="dependable well stocked with helpful phone assistance"/>
        <s v="i bought a pack of duck a pack of salmon usually my dog loves salmon but she did not like salmon from pet flow it was disintegrated little chunks floating in tons of liquid she left her dish unfinished&#10;on other hand she gobbled down duck"/>
        <s v="was looking get my cats food supply from a smaller company than giant online pet stores after researching i found petflow&#10;good prices fast delivery&#10;very satisfied with petflows customer service as well&#10;totally recommended"/>
        <s v="instock status of food was inaccurate"/>
        <s v="i have used petflow a long time they carry some hard find products which i really enjoy they are usually easy get ahold of too if you call them&#10;&#10;the only areas i see that could afford growth are these&#10;an auto ship program that can be paused or deleted by "/>
        <s v="first time shopper friendly knowledgeable efficient great service fast delivery i will be back"/>
        <s v="finally found a source hills prescription diet gluco support md dry cat food i tried my vets local pet stores amazon my vet suggested that i try you folks success food was in stock shipped in a reasonable length of time happy customer cat thank you appare"/>
        <s v="this company has labeled me as fraud after a purchase because my billing address didnt match after i called twice their customer service department their rep mallory said i could never buy nothing from pet flow ever again im not going state what i do a li"/>
        <s v="working with petflow was wonderful working with fed ex their shipper was not petflow responded every call or text that i sent them within a few minutes fed ex was another story things got lost were late they really need find a better carrier"/>
        <s v="online order was simple delivery was on time my only comment that you not use plastic bubble cushioning instead biodegradable packing"/>
        <s v="i ordered a prescription diet my dogi thought i was ordering hills metabolic lamb rice diet as my dog allergic chicken lamb rice has been difficult find online it said petco petflow had it available i received an email from petflow indicating order was on"/>
        <s v="this process was flawless"/>
        <s v="easy order quick delivery"/>
        <s v="always such quick service exactly what my ginger girl wanted thanks"/>
        <s v="website organized works well ordering went smoothly my items arrived promptly quality great"/>
        <s v="i ordered bags of hills science diet dog food my rotts got a good deal i will be buying more in future"/>
        <s v="ive been a fan of petflow several years their service prompt professional an added plus your purchase goes help an animal in a shelter"/>
        <s v="everything was great order came in a timely manner great price no problems would recommend this company"/>
        <s v="i had issues with my order it was fixed replaced i thank you help fixing it asap"/>
        <s v="we ordered product after two days you said it was out of stock after all"/>
        <s v="very disappointed our order was canceled by you because you didnt get your order of goods i know you cant help it if your supplier doesnt come thru you but our order was placed middle of july were just told aug you cant supply"/>
        <s v="i was so thankful that petflow had my dogs prescription food because they were only place that did even our local vet couldnt get it as soon as my order was complete they contacted my vet get process going in less than business days i ordered got approval"/>
        <s v="exact product i was looking at a great price wonderful shipping service"/>
        <s v="great product dog loves it"/>
        <s v="this was my first time ordering from somewhere other than chewycom im very pleased with their service theyre cheaper than chewy litter i needed you have a new customer well done ps lets go brandon"/>
        <s v="your shipping time was x as long as quoted we ran out of dog food in meantime i refer a lot of business your way not sure i can anymore"/>
        <s v="food order took a long time arrive wasnt aware order before noon on fridays ensure order received before weekend so it was a long time before order was even received"/>
        <s v="when i ordered said in stockthen i get email not in stocktakes long time get multiple deliveryand you have add up each delivery make sure its rightprob wont order again i did twice happened both times"/>
        <s v="items were just as i ordered shipping was faster then i expected all good things glad we discovered petflow it was our son who has two pups that made recommendation thankful that"/>
        <s v="they accepted an order charged my credit card all while food which was a prescription food wasnt even in stock item wasnt listed out of stock or on back order at time i purchased it it was only nearly a week later after i contacted them regarding order af"/>
        <s v="i purchased bags of dog food one came right away other took a while be delivered"/>
        <s v="wouldnt allow me place an order had order through a family member its a new house but its on maps so idk what problem"/>
        <s v="your service by email promised contact my vet about order prescription you failed do that had cancel order"/>
        <s v="products were good but delivery took a long time tracking didnt give updates after day"/>
        <s v="awesome experience pet feeder was bent email was sent explaining how feeder arrived new feeder was sent out immediately great customer service well shop here again awesome awesome awesome second feeder arrived in excellent condition my animals are in love"/>
        <s v="great prices fast shipping awesome autoship discount as well"/>
        <s v="great customer service i provided some feedback regarding couponpromo codes received a very nice response quickly i was just offering some feedback in didnt wantexpect anything in return however rep went above beyond provided me with a discount wonderful "/>
        <s v="petflow has great pricing service i signed up autoship program out dogs hills science diet they were priced most competitively my order shipped as promised even delivered a day earlier than expected"/>
        <s v="i wasnt happy when they told me they would not charge my card unless item was available ready ship out but unfortunately that wasnt case when they decided charge my card even if it was a preauthorization or pending i dont like see my balance increase unle"/>
        <s v="petflow has best prices on nice dog pens wonderful customer service"/>
        <s v="at time i ordered product your website said that it was in stock but after about a week later it was no longer in stock i could not get it at all i was really hoping that i could get this since after much research your website showed that it was available"/>
        <s v="ive shopped with petflow years excellent selection very good customer service too shipping can be a little slow but thats fedex not them i get aggravated with auto ship you have call in cancel but otherwise dry happy with them"/>
        <s v="i cant actually manage autoship i always get an error that would prompt me contact costumer service"/>
        <s v="disappointed in your service was told that you had an item in stock be mailed when i inquired about status of order i was told an error was made food was not being mailed out of stock"/>
        <s v="i made my first order blue buffalo wet food cases because price was great food cost had suddenly skyrocketed on amazon chewy shipping was fast exactly right food had extended expiration dates so i immediately repeated my order had same great experience im"/>
        <s v="my canned dog came dented one can was so dented that it opened was so spoiled from being out on delivery that my whole kitchen smelled i had throw away about or of cans it was so incredibly disgusting"/>
        <s v="they did not fulfill any of my orders few reliable"/>
        <s v="quick shipping great selection of dog foods"/>
        <s v="best price on dog food super fast shippinglove pet flow"/>
        <s v="always easy work with best customer service"/>
        <s v="easy ordering they kept me updated about my order order was shipped delivered quickly great service"/>
        <s v="greatprompt service great product linda ryburn"/>
        <s v="i have ordered twice now cat food was delivered quickly best of all with no damage any cans im very pleased"/>
        <s v="i love petflow there great healthy pet food on this site&#10;my pets look forward their healthy food snacks"/>
        <s v="my order was shipped on august it now august it has not shown up i would love cancel because i had drive miles nearest pet food supplier buy food no clue where shipment"/>
        <s v="very good product fast shipping my dogs are happy"/>
        <s v="i dont think i will take a risk ordering from this place ever again i placed an order on saturday a prescription food my cat i provided required information verify my cats prescription i checked status on following tuesday order status was shipping a coup"/>
        <s v="unfortunately i ordered bowls our rescue it showed them as in stock id searched everywhere i paid it received confirmation of order then after a few days i received a email that there were no bowls available they were out of stock i wouldnt be receiving m"/>
        <s v="best dog food subscription service i use two different brands my dogs one a prescription food petflow has best prices always provides excellent customer service when i call my orders always arrive right on time i highly recommend petflow all of your pets "/>
        <s v="horrible experience do not buy from petflow they advertise that they have product in stock allow you order it fill out entire order credit card info everything online tell you we will let you know when it ships then a week later says oh im sorry we dont a"/>
        <s v="my order showed food was in stock email stated pending continued say pending a few days called was told it would be sent asap a couple days after that was told it was out of stick credited ordered through you because your site said it was available when n"/>
        <s v="fast reliable shipping high quality products great competitive prices thank you pet flow"/>
        <s v="it was a very pleasant shopping experience i bought mixed vegetable food my dogs they liked it very much but there were too few kinds of petflow products which were fly in ointment but it doesnt matter i think they will improve i will support them"/>
        <s v="fast shipping thanks"/>
        <s v="on website it too easy set up multiple auto ships would be nice if there was a confirmation box you already have this item part of an auto ship are you sure you want add another would be nice if people could delete an autoship order without have call cust"/>
        <s v="placed order got email that one item was out of stock was cancelled when order came another item was not shipped but i never received another cancel notice that one"/>
        <s v="i ordered food was told i needed my vet prescribe it after some back forth with vet that happened then petflow informed me that they didnt have food in stock instead of backordering it cancelled my order a lot of wasted time no result"/>
        <s v="fabulous great fantastic worth it affordable"/>
        <s v="i originally spoke with a very helpful employee who helped me place my order i received an email verifying order i then received another email stating order was vet approved would ship aug i looked up my order check status saw it was canceled i called was"/>
        <s v="i requested my auto ship arrive early it was shipped on at that time i requested next auto ship arrive in i believe it was or weeks however it appears that another bag of food was shipped today i certainly do not need of dry food hoping petflow will help "/>
        <s v="prices were good all items arrived in a timely manner website easy use"/>
        <s v="you dont deliver parcels&#10;very disappointed"/>
        <s v="i ordered cat food on july th days ago it still has not arrived i live in oregon early in this misadventure i received a message that it was being shipped from a more distant place nj because closer warehouse was out of brand i chose then i got updates th"/>
        <s v="you guys suck i couldnt even place an order because of ur fraud dept"/>
        <s v="i had hoped that petflow would be a reliable source order my cats food especially prescription food that critically important unfortunately petflow has failed me multiple times canceling my order five days after i placed it&#10;&#10;sometimes chat window on their"/>
        <s v="shipper had damaged box of dog food returned it petflow i received a nice email saying they were shipping a replacement out right away"/>
        <s v="i use petflow because theyre priced right prompt have what cats on prescription need"/>
        <s v="good price fast shipping thanks"/>
        <s v="ive recently moved i was struggling find my cats food i found it on this website but sadly i was put on their fraud list right away i called customer service they told me theres no way me talk fraud department get my name off of list so i never got actual"/>
        <s v="very helpful service over phone received just what i ordered fast"/>
        <s v="never heard from you guys said my order was reported as fraudulent &#10;seriously you never even got back me i think your company super sketch would never ever order from you again&#10;byeeeeeeee"/>
        <s v="great prices fast shipping"/>
        <s v="order online was easy&#10;check out offered pay pal was easy check out&#10;shipping quick&#10;pricing was great&#10;customer service fantastic"/>
        <s v="terrible customer service company work with site days business days delivered from purchase date didnt even ship product until a week after order kept making excuses as why it wasnt being shipped product was dog food my puppy that could only be ordered on"/>
        <s v="this a place where they have fair prices fast delivery would buy from again a"/>
        <s v="i asked be shipped on a monday&#10;my order wasnt shipped until tuesday&#10;the expiration date on dog treats i this november&#10;when i purchase them from chewy or amazon expiration date always at least one year out"/>
        <s v="i am happy with petflow there are some inconsistencies with their warehouse packaging i placed an extra order they shipped out boxes weighing lb i dont know how fedex moved them i certainly couldnt i believe they need a little more training need use commo"/>
        <s v="i called customer service discuss possibility of your obtaining more fromm cat food in small bag sizes great conversation"/>
        <s v="all past orders have been good if there were any issues in past staff handled it appropriately quick however this past problem was a slap in face took much needed funds away from my rescues petflow did not take responsibility a screw up on an order i was "/>
        <s v="where rest of my order&#10;&#10;your website shows hills prescription metabolic mobility bag as being in stock yet it has not been shipped me i do not know whether i have been charged it&#10;&#10;please respond me&#10;carol ann no e olsen"/>
        <s v="first time order on a pet food i couldnt find anywhere else placed order received order in business days which included time pharmacy contacted my vet was a mailed updated as when my order would be delivered will order again"/>
        <s v="very bothersome you dont instantly charge my card sometimes its a day or two later i turn my credit card on off as ive had so much fraud it takes me many attempts each month get my order other companies i do regular&#10;busy with do transaction immediately su"/>
        <s v="petflow amazing best brands fast delivery fair prices"/>
        <s v="i have been happy with petflow ive been able get cases of food that my cats like that i was unable find elsewhere website easy use price as expected"/>
        <s v="ordering was easy enough shipping was problem petflow uses fedex an unreliable company order was split without petflow or me being aware second portion arrived days later this unacceptable no packing slip was available on either shipment so no information"/>
        <s v="i placed a large order kitten food credit card processed when i looked find out shipping date a few days later it had been cancelled no notice me no email nothing i called they said when a large order placed they suspect fraud total bs first only time you"/>
        <s v="theres no status available see whether or not my vet has been contacted canceling autoship deceiving i can only pause it up weeks everything about this website difficult"/>
        <s v="prices were fair shipment came in a reasonable time"/>
        <s v="good products at good prices fast delivery ill be using pet flow again"/>
        <s v="ease of ordering was great shipping was fast"/>
        <s v="petflow carries food that others dont that i want prices are fair shipping good i buy formm nurti source treats toys are great"/>
        <s v="ordered cases canned dog food eleven cans of food severely damaged cans actually were broke open&#10;excellent place shop but not so good packing"/>
        <s v="this in reference my order i ordered packages of these dog treats that your system said were in stock confirmed order via email then i receive a subsequent email advising they were out of stock not a good experience no way know how long before i can recei"/>
        <s v="customer service wouldnt help located an order i placed approximately days ago she referred me website disclosures we i told her how do her job she became upset customer service rep said we all have pets as though it wasnt a big deal my dogs order had no "/>
        <s v="it was so easy find what i need my kitties it was easy order it was at a great price delivery was very fast petflow best"/>
        <s v="ecxellent always helpful"/>
        <s v="my pups really like dr marty freez dried food&#10;and i like being able get better pricing from petflow"/>
        <s v="i ordered boxes of arm hammer litter i received yesterday packing box was not strong enough plus tape was not holding box had holes plus one of two boxes had broken open litter all over boxes inside i should have boxes com soon you did notify me that some"/>
        <s v="easy navigate around site delivery was quick my items were packaged nicely"/>
        <s v="food i needed was in stock when i purchased it when i didnt get an email that it had shipped i looked at my account online account said it was delivered my address it was not at my house so i called pet flow was told that my order had been cancelled becau"/>
        <s v="i recently ordered hills science diet feline wd your website indicated that it was in stock however after several days of waiting shipping info come through i called check on order i was told that it was out of stock then a few days later you canceled my "/>
        <s v="great products fair prices fast service"/>
        <s v="easy toorder fast deliver"/>
        <s v="shipping was quick however a food product needed be exchanged due manufacturer changed formula didnt want old formula sold customer service was unbelievably rude lacking concern completely i wont spend another dollar with them again i have told all pet pa"/>
        <s v="started our automatic delivery program it worked flawlessly i was able correct a mistake in my order without any problem"/>
        <s v="initial order went great when it came time reorder our cats diabetic food it was out of stock we waited hoping it would return by time we needed it but we were sent scrambling find another source"/>
        <s v="reliable repeat order program at reasonable prices"/>
        <s v="petfow consistently good overall timely shipping mostly reasonable in costs any issues ive had were always addressed satisfaction"/>
        <s v="great prices always in stock fast delivery excellent customer service"/>
        <s v="i have shopped petflow years but lately they are having difficulties filling shipping orders i order when i am about weeks out from having either dog or cat food they cant ship in a timely manneri have cancelled my last orders due shipping i will wait try"/>
        <s v="unfortunately delivery was promised a specific acceptable date then changed by petflows carrier next day make your service unusable delayed yet another day&#10;learn honor your commitments if you want my ongoing business expectations saturday do not mean mond"/>
        <s v="while there were a couple of mishaps in my order petflow went out of its way make sure everything was made right in fact they went above beyond ive been recommending them my friends family with confidence have ordered will definitely order again thanks es"/>
        <s v="great company very fast shipping prices are competitive"/>
        <s v="petflow has best price on dog food i purchase my dog ordering simple delivery fast"/>
        <s v="excellent product selection pricing we are so happy that there a wide variety of pet products customer service above par"/>
        <s v="package arrived on time everything inside was good"/>
        <s v="ordered hills wd wet cat food website said in stock i get a confirmation email am asked be patient as they contact my veterinarian approval about a week later i get an email saying food now out of stock veterinarian was prompt in their response so unfortu"/>
        <s v="nobody including my vet could get this particular rx product it was out of stock everywhere so i was thrilled see pfs website say it was in stock i did order arranged rx my vet responded fax next day i assumed it was all set planned around it shipping soo"/>
        <s v="products arrive on time are very well packaged"/>
        <s v="my cat only wants a certain brand of talapia breakfast each morning since supply chain issues we havent been able find it from our usual source its a popular grain free brand they havent been able keep this brand in stock in any of their stores that also "/>
        <s v="i wish i could give a five star because i love availability delivery it did take a little long receive order but i didnt like packaging when i opened box i cut bag of dog food even thought i opened it carefully just in case there should be some type of pr"/>
        <s v="cats like food that was ordered yet again box was partially open when delivered some cans dented what goes"/>
        <s v="easy use website products desired always in stock so far"/>
        <s v="when i ordered wd canned cat food i know it has be approved by my vet that it takes a little longer because it prescription it was in stock when i ordered it i thought with my request once it was approved i would get a case believing a case was held my or"/>
        <s v="was out of dogfood that i wanted but i guess that was not their fault they cancelled order automatically instead of giving me option back order or cancel it myself"/>
        <s v="petflow fast accurate at shipping out my order but packing leaves something be desired i order two cases of canned dog food with each order box usually shows up damaged andor repaired but cans are ok this time three of cans where bent with one actually cr"/>
        <s v="everything was great&#10;&#10;everything was great until shipping i dont know what happened but it took too long this time i had go locally buy same things that almost cost me double i cant have my cat who has kidney issues eat anything else but this brand of can"/>
        <s v="petflow always processes orders quickly accurately shipment excellent"/>
        <s v="extremely poor packaging with using cheap boxes very little tape that results in receiving damaged products even walmart amazon use better boxes more tape sealing"/>
        <s v="i ordered something out of stock so it was case they said they would let me know when it came back in customer service was very fine"/>
        <s v="profit racks something like speed bumps hold me back from completing my purchase i dont like it"/>
        <s v="always have available merchandise staff very helpful friendly"/>
        <s v="petflow has always been great prompt customer service always friendly only thing i wish one day fromm products dog go on sale once in a while"/>
        <s v="you helped us by getting dr marty had huge problems we received from you you spent hours trying get this our pup it came so fast our dog really get this we found you by google we now will be getting this from you nice job cindy"/>
        <s v="i recently had a very helpful pleasant experience with petflow they had left out one item by mistake in my order also replaced a bag of dog food that came with a small hole in it no questions asked they just said they would replace it no hassle of fuss ve"/>
        <s v="always easy convenient order our dogs food online"/>
        <s v="competitive prices fast delivery i would order from them again"/>
        <s v="i appreciated email stating dog food i ordered would be a few days late im glad they sell fromms its only dog food my dogs have been used"/>
        <s v="great deal with easy ordering fast delivery thanks petflow"/>
        <s v="really one star too high of a rating i tried order hills science prescription diet wd wet food my cat saw where petflow had it available petflow verified with my vet that my cat was supposed have food then i got a notice that petflow cancelled my order be"/>
        <s v="i ordered a prescription canned food my cat you emailed me asking me contact my vet because you didnt have approval food my vet approved then you canceled my order because you didnt even have product available what a joke of a process thanks wasting every"/>
        <s v="your website specifically said you had my prescription cat food in stock so i ordered it twice only after you took all my personal info told me you were getting ready ship my order did you inform me food was out of stock i lost a week of finding food my p"/>
        <s v="petflow wonderful always comes my rescue when other places cannot they contact veterinarian promptly verify my cats prescription food delivered in record time im completely satisfied with petflow"/>
        <s v="i just started using petflow my dogs first prescription food as i found prices better than competition they even reached out our vet get prescription in just a few days i had food on my porch easy peasy"/>
        <s v="shipment arrived right on time thank you"/>
        <s v="very slow delivery&#10;no delivery status report&#10;much slower than chewy"/>
        <s v="first order went overall well need more discounts"/>
        <s v="awesome customer service carolina professional always provides fantastic customer service resolved my problem with a smile thanks"/>
        <s v="cats dont like they dont take returns what do i do with such expensive food took over a week get when chewy does day shipping at most"/>
        <s v="placed an order it was at my door in a couple of days"/>
        <s v="im disappointed with autoship items cant be added if theyre in stock when in stock added they arent shipped if out of stock that theyre not reserved when order placed why use autoship ive started ordering buying directly pay a penalty doing that"/>
        <s v="placed my order on july th im still waiting my shipment ive had buy food locally due get him by i texted emailed my concerns was told its been approved would be shipping in a few days as of today july th still no shipping notification or why there a delay"/>
        <s v="had an issue with a previous order petflow issued a credit that order so i ordered again this time everything was great i appreciate a company that makes things right i will be ordering from them again"/>
        <s v="i would say customer service rep has had issue i called about many times so she certainly understood frustration i think petflow as a company leaves a lot be desired regarding how they handle things stars young lady whom i spoke with"/>
        <s v="petflow delivers my door not post office order accurate secure i love them"/>
        <s v="i have dealt with pet flow over a year now prices very reasonable customer service great very quick delivery have recommended them others will continue use them in future"/>
        <s v="i still have not received my order or a ship date i ordered two weeks ago item was in stock i am out of food disappointed"/>
        <s v="worst pet online company unreliable delivery service overall horrible pet online company do not use this company your furry babies i am a very dissatisfied customer"/>
        <s v="customer service was good disappointed that i was able add an item my cart check out process an order only find out a week later it was not available order"/>
        <s v="always ship fast worked hard get my prescription food customer service very responsive"/>
        <s v="i was very happy find petflow since they have some products i no longer can get on chewy their ordering was smooth prices fair i have used them twice now i will again"/>
        <s v="ordered hard get dog food arrived on time as ordered"/>
        <s v="very pleased with your service especially people that answered phone i wait only a minute speak someone they are very pleasant professional thank you"/>
        <s v="it long get then i only got order then you tell me i cant get can foodi differently wont buy from you again"/>
        <s v="still has not yet shipped despite a day wait on website ive contacted support via text despite this my dogs food has not shipped"/>
        <s v="customer service very helpful quick response text message"/>
        <s v="i would like thank pet flow especially young lady i spoke when i called in about my order i have always been very happy with your service especially now service customer satisfaction have always been extraordinary"/>
        <s v="they sent me a duplicate order told me i could return it if i pay shipping not good business practice lost this customer of a shipping charge that was their fault"/>
        <s v="i ordered a product you listed as in stock&#10;gave info vet clinic&#10;order was marked shipped in account but no tracking supplied&#10;after a few days i looked on line account said script denied by clinic&#10;then i received an email saying out of stock order cancelle"/>
        <s v="finding birdfood in lbs very hard order went great was delivered fast very happy"/>
        <s v="my orders were canceled i didnt get any email letting me know i had contact customer service they told me they were canceled"/>
        <s v="good experience they had what i wanted quick delivery ill use you again"/>
        <s v="i think communication around delivery was good prices were good but separate package i was sent of wet food fulfill order had dents along side which i am reluctant give any of cats we care so in that regard im unsure of whether ask a partial refund andor "/>
        <s v="only picked your website because of promised off first order it wasnt valid my products"/>
        <s v="exceptional communication deliver right on time"/>
        <s v="i ordered specific food was told two three times just hadnt been packed shipped vet provided prescription last minute told didnt have in inventory they repeatedly were dishonest caveat emptor"/>
        <s v="my order was canceled by you guys because you didnt have product"/>
        <s v="appreciative of recent discount offered when purchasing greater than worth of products i feed approximately cats so i buy in larger quantities when on sale canned food continues arrive dented one can popped open on last delivery but ive already informed y"/>
        <s v="i am very satisfied with petflow service great delivery fast"/>
        <s v="so happy i found this website they have all my frenchies products will order again soon"/>
        <s v="i know its a specialty food but i think amount of food delivered price still too high"/>
        <s v="order was processed very quickly website very easy navigate"/>
        <s v="excellent service they keep me informed on my orders if there a problem they inform me in advance good job"/>
        <s v="this was my first order with petflow i ordered a bag of puppy food fed ex was deliver i received a notice stating that it was delivered i checked it was not there&#10;petflow fedex were both excellent in finding dog food&#10;great customer service"/>
        <s v="easy use website ordering delivery were quick easy"/>
        <s v="my cat has a very sensitive system no one had her food except petflow you got it here quickly it was correct thank you"/>
        <s v="long time returning customer love this company"/>
        <s v="fast delivery better prices than petsmart or petco purchased lbs of dry blue buffalo"/>
        <s v="first i couldnt remember name of dog food replied one of their ads asking about it immediately they replied that theyd find it sent me link bingo ordered it it came in about days its one food dog can eat without scratching his hide off lovely be it"/>
        <s v="excellent selection of dog food treats good prices"/>
        <s v="readily replaced an item damaged in shipping very helpful customer service"/>
        <s v="had quality brands need at best price"/>
        <s v="lately i have a few problems with items ordered&#10;some chews looked really bad i ordered some bird items that were damaged&#10;however customer service were very helpful sent corrected items&#10;these things happen in shipment"/>
        <s v="your site was only one that had prescription diet my cat needed also when i went online look another option there was no way i could look at ingredient list i called someone using number you listed she also was unable get list of ingredients but told me s"/>
        <s v="we have german shepards who decided become really picky after ordering this food they eat it right up they love it i have noticed even after just a couple weeks it has also calmed down scoobys scratching some we havent been able pinpoint why he scratches "/>
        <s v="i have been using petflow over years their prices are great shipping always super fast"/>
        <s v="trustworthy company pet food shipped quickly just as good as competitors i can always rely on them"/>
        <s v="took days delivery ran out of dog food in interim several emails a phone contact customer service nobody could tell me where my order was i received several messages none of which could tell me a correct delivery date frustrating"/>
        <s v="delivery fast my cats love hills cat food great job hills"/>
        <s v="good price on dog food order tracking provided fast shipping"/>
        <s v="quick customer service a variety of dog foods choose from"/>
        <s v="i called change an order a later date told her make sure she keeps newest date well she cancelled both orders when i called back find out why girl was very rude because i was upset said earlier call she didnt know what she was doing i may just switch back"/>
        <s v="ordered with a coupon perfect delivery"/>
        <s v="only received half of our order cannot get auto ship part work correctly also a very hard navigate unclear website not user friendly"/>
        <s v="my food order was lost in transit after waiting days having contact company they made it up me by simply sending me a new order while shipping issues may not be vendors fault communication customer satisfaction should still matter"/>
        <s v="placed my first order everything arrived in wonderful condition was priced at great prices"/>
        <s v="so great will help if there a problem with order al ways on time"/>
        <s v="a few things went wrong items shipped from two warehouses which okay but took an extra few days shipping didnt ship immediately first shipment they shorted me a bag of food so since chat feature wasnt working email stated they are behind on answering so i"/>
        <s v="good fast delivery cat food was in good shape when it got here best price i could find on it too i will definitely use petflow again"/>
        <s v="will order again stars"/>
        <s v="fast delivery available products&#10;i was able find a certain dog food that was not available on another pet food website&#10;thanks petflow"/>
        <s v="it was great i will always order my food from here"/>
        <s v="have been using perflow several years with standard poodles was nice have a lb bag of food delivered every month before they ran out plus always good prices on treats dog toothpaste bird food etc my dog gets excited find out whats in box"/>
        <s v="product a little light pound dog shipping was quick arrived early in good shape"/>
        <s v="petflow has always been easy use a good source of our pets food i just wish shipping time was a little faster"/>
        <s v="i had found some bones at a grocery store that my dogs loved i hadnt seen them anywhere else so i saved a wrapper checked online sure enough petflow had them i literally ordered as box full price was way better than store i got them delivered what could b"/>
        <s v="very unhappy with lack of service or effort fill script hills diet food kidney issues we provided vets prescription along with vets email which vet said hed approve script if petflow would just email him approval after petflow related they could not reach"/>
        <s v="i am so glad that i found petflow i can get my cats their farmina dry food at a great price with fast service"/>
        <s v="petflow website very easy navigate able place my order quickly receive product in a short time"/>
        <s v="they sent me an email of monthly coupon codes i used one off there were no exclusions listed it worked in my cart until after i submitted my order when they removed my coupon my credit card was charged more than total shown when i submitted order when i c"/>
        <s v="i have three auto ships over past three months that were all canceled i was not notified that they were canceled id call up find out a week later where they were they said oh we ran out so i order third time i put order in last friday tomorrow morning fri"/>
        <s v="every order i place gets cancelled due not in stock"/>
        <s v="ordered prescription cat food site accepted order said available they followed up via email get vet prescription three days later email me food out of stock they were cancelling order"/>
        <s v="pet flow worst place get your pets food i decided go with then since not everyone has that perticular brand since im on auto ship program it should be shipped every weeks first time i didnt get it ive been told there was double order i didnt get it again "/>
        <s v="folks at petflow are v nice they responded my query quite promptly gave me a credit because my order was delayed in shipping&#10;the notsogood part i didnt find out unril after id placed my order that it would be shipped following week which forced me scrambl"/>
        <s v="easy order process set up of automatic delivery good price"/>
        <s v="delivery on schedule very happy with"/>
        <s v="you had our dog food listed as in stock so we ordered two bags after quite a bit of time you alerted us that it wasnt in stock that put us a week plus behind we ran out of food this a special diet food our dog not easily found very bad experience we wont "/>
        <s v="im happy with product that i order however lack of date of delivery makes it hard a customer be able receive it or plan schedule be home ive gotten email notices saying your shipment will be there tomorrow with no actual date but comes a couple of days la"/>
        <s v="this third time i have ordered this cat food order was submitted accepted leading me believe i would be receiving product three or four days later i receive an email that it out of stock dont keep sending me emails order it if it out of stock"/>
        <s v="i have been having a hard time finding some pet food faves dog stumbled upon your site you had those hard find faves him yay"/>
        <s v="i ordered my dogs brand of dry food fast easy order web site they carry my dogs brand fromm which not many physical stores do fast shipping too"/>
        <s v="your company led me on beleive food i ordered was in process of delivery you cancelled order when i was down one can at home then i had struggle find food my cat with no advice from you i will not ever order from you again"/>
        <s v="i have ordered before my order was same rx cat food even in middle of covid first time customer it was fast this time days after ordering it still didnt ship i asked it be cancelled was told they werent sure if it could be but they would let me know days "/>
        <s v="process was seamless as far as ordering receiving my order in a timely manner had no issues would highly recommend petflow anyone looking good service product selection"/>
        <s v="it would be nice be able edit your autoship if item backorder online i have had item on backorder twice last was canceled i do not like having make a phone call when it should be easy make changes online this goes cancelation of an autosgip as well"/>
        <s v="originally my order was ship on july th then an email said shipment would be late would arrive today it currently pm i do not have my order"/>
        <s v="petflow had all items i needed delivered them promptly quickly responded questionsconcerns i had"/>
        <s v="fast shipping with sturdy packaging good price user friendly website thanks so much"/>
        <s v="ordered wet dog food came quick what i ordered"/>
        <s v="easy online ordering prompt delivery"/>
        <s v="i order my cat food it arrived quickly cannot ask anything better&#10;&#10;oscr"/>
        <s v="we needed a certain vet approved cat food petflow faxed my vet authorization returned approval petflow went work on filling order unfortunately it was over th of july holiday ran into delivery problems but petflow followed up with carrier petflow monitore"/>
        <s v="i suppose i purchased something though i dont recall"/>
        <s v="i love that this site carries fromm gold brand fast delivery"/>
        <s v="box arrived half open crushed ripped open on one corner but bags of prescription dog food were still fine inside i informed petflow they promptly replied said they would initiate a complaint with shipping company as long as food was fine nothing else need"/>
        <s v="i got what i ordered but it took ten days a lot of cans were dented banged up these days i guess i should be glad that i got my order at all"/>
        <s v="i had never heard of this company but decided use them their prices i was amazed at how effectively they communicated how quickly products arrived price was better than their competitors i will shop them again sure"/>
        <s v="price was very good but delivery was sloppy careless i came home find boxes laying on my lower stair step on walkway leading stairs they couldve easily been stolen as they were so close public sidewalk when i order from other companies they have courtesy "/>
        <s v="great price but out of stock why take order in first place waste of time effort never coming back"/>
        <s v="i was very disappointed i ordered a case of hills prescription diet cd canine urinary care chicken vegetable stew canned dog food all of sudden it was cancelled"/>
        <s v="they had my cats prescription diet in stock when i couldnt find it anyplace else my order was delivered more quickly than anticipated ill use them again"/>
        <s v="food was in stock when i ordered it took so long your people get prescription from vet someone even called me thinking they was calling vets office it was out of stock so i never got my order it was canceled if i could have gave no stars i would of do you"/>
        <s v="package wasnt taped very securely many of cans were dinged or dented worst of all was godzilla sized cockroach i had kill when i opened package will not be using you again"/>
        <s v="my order arrived on scheduled date was complete"/>
        <s v="ive shopped at petflow years ive always been impressed with quality of goods low prices fast shipping will do business again"/>
        <s v="it was very disappointing have my order canceled after item i purchased was out of stock when i ordered item it was shown as being in stock a more accurate representation of this would be appreciated considering this online retail"/>
        <s v="shopping was easy website easy navigate prices were good"/>
        <s v="i received my shipment of bags of dry dog food found box they were shipped in crawling with ants one of bags had a small tear in it which caused ants i called customer service at petflow they immediately sent me a new bag replace damaged one i did not hav"/>
        <s v="never received what i ordered even though i was charged it"/>
        <s v="i am very happy with services i receive from pet flo&#10;i do on occasion have difficulty with using web site it will keep saying my password in correct"/>
        <s v="i ordered puppy food was given tracking in less than days shipment was fast efficient"/>
        <s v="had what i needed fast shipping"/>
        <s v="i was impressed by how fast i got that items i ordered that they were available auto ship now my three babies will never have be without their chews"/>
        <s v="i have a late shipment of cat litter twice now i know shipping supplies are messed up in our country so i understand what i dont understand why you system doesnt alert you that product not in stock so you can let me know before my delivery should be here "/>
        <s v="great price good product my cat i are happy thank you"/>
        <s v="i order on a regular basis i receive my order within a couple of days of placing it never disappointed"/>
        <s v="petflow had prescription dog food that two of my vets could not get shipping was quick price competitive"/>
        <s v="i was looking cheapest price on our puppy food i came across petflow was excited you carried both brands of food our gigi girl new pup miles they both can be delivered right our front door i immediately enrolled in your autoship i also love that you are a"/>
        <s v="prices are great shipping fast on time my only criticism packing shipping cans are arriving dented boxes are often partially opened from not being taped properly overall very happy will still keep shopping"/>
        <s v="received food promptly well packaged in good condition"/>
        <s v="petflow has cat food that i prefer many other vendors do not carry it"/>
        <s v="i found what i needed at cheaper prices customer service was superior petflow has a new customer i highly recommend"/>
        <s v="petflow always on point with my order never had a bad experience with them"/>
        <s v="i had perfect petflow experience it took days get me because of delays in middletown which was not there fault will be buying more dog food from them"/>
        <s v="i received my order but shorrt little clay boxes some of them with box open already"/>
        <s v="love selection convenience of auto ship recently added prescription food one of our dogs that was just as easy as everything else highly recommend"/>
        <s v="unable ship a pet food product after leaving me on hold a week what else can i say"/>
        <s v="petflow consistently meets exceeds my expectations phone operators are extremely pleasant helpful get things done recently there was a sales tax exemption pet food staff gave me a credit state tax that was going be applied order keep up good work"/>
        <s v="i was very pleased buying from petflow honestly i wasnt familiar with them they were only ones with inventory of dog food i was looking order process was clean efficient they contacted my vet was prescription food notices were well timed delivery as expec"/>
        <s v="reputable company good prices selection"/>
        <s v="i have consistently had double filled orders delayed orders without notification shipped orders without advance notification orders that started autoshipping that werent supposed tothe past months has been a disaster this convenient service has become any"/>
        <s v="fast an easy prices were great"/>
        <s v="i was looking avoderm canned dog food as my previous supplied has been out a very long time you have food price good i ordered it got it in a few days no problem with delivery my two dogs are very happy be back on food they ate years i will be ordering as"/>
        <s v="product was perfect shipping was super fast customer service was polite helpful efficient if i need other pet products this will be first place i check thank you petflow"/>
        <s v="fast easy going price"/>
        <s v="as always my order arrived as scheduled with updates enroute was well packaged consistently good service"/>
        <s v="i had a question about mixing different proteins using stella chewy freeze dried food got a response much faster than i had anticipated i was able complete my purchase without having wait until next day food arrived quickly my rosie loves it will definite"/>
        <s v="great product selection order expediently processed shipped"/>
        <s v="i am not sure about your products coz this was my very first order i was waiting my order longtime when i logged in checked status showed cancelled&#10;when u send order confirmation email why you cant send cancellation email"/>
        <s v="petflow a great company one of few who sell nutrisource dog food that was recommended by our breeder our pure bred shih tzu at a reasonable price she has been on this food since she was weaned year old now very healthy she just loves it&#10;thanks petflow"/>
        <s v="trustworthy company i recommend them"/>
        <s v="i am a loyal petflow customer years i am so happy use their website i regularly order food toys my dog i place an order online immediately receive confirmation then amazingly i get order within days petflow carries anything you need your pet a wonderful c"/>
        <s v="sent quickly great experiences so farthank you&#10;judith"/>
        <s v="recommend this vendor items i wanted were in stock i had a coupon yeah checkout was two clicks since i was already registered my information was stored i received ahipping information within hours cases of dog food arrived packaged welland with no dents i"/>
        <s v="had cat food i needed just before i was about run out received quickly"/>
        <s v="always helpful courteous on time delivery"/>
        <s v="delivery was fast in spite of coming all way across country i cannot find bowls i received in this order with food anywhere else i only see bigger sizes elsewhere since my girls are small i prefer smaller bowls by ourpets bowls are sturdy nonskid a good s"/>
        <s v="have plenty of choices shipping speeds are all time high prices are reasonable items that are being sold at website would buy again my beloved pet"/>
        <s v="excellent customer service solving an issue with my order"/>
        <s v="everything was great it was definitely time new dry dog food i only wish i could buy a smaller size everything else perfect"/>
        <s v="satisfied with nutrisource dry dog food but pricey"/>
        <s v="good service i like how they keep you informed about your order"/>
        <s v="petflow sells dog food treats we prefer at a competitive price free shipping so fast we live in a rural area where many items arent available we really appreciate being able shop with them"/>
        <s v="fast shipping great products"/>
        <s v="fast efficient quality product that arrives when expected a reasonable price"/>
        <s v="i love that i can call they have my account pulled up bam ordered excellent customer service"/>
        <s v="quick shipment kept me informed good price will buy from them again"/>
        <s v="i ordered kong squeak ballsm my dog loves them also loses them so now we have some extras price was much better than on amazon"/>
        <s v="first time using petflow i received order nicely packed delivered on time priced at a good value"/>
        <s v="i just changed vets so if i am still able buy my special cat food i will return ordering it from petflow as they are outstanding"/>
        <s v="very easy order i needed prescription treats they contacted got approval from my vet had my order in just a few days they were also cheaper than other pet mail order companies"/>
        <s v="user friendly website good prices fast shipping"/>
        <s v="easy website navigatequick response deliveryvery satisfied"/>
        <s v="my kitty was diagnosed with kidney disease&#10;petflow helped me get set up on recurring food his new diet i did have reach out communicate with them regarding rx i was impressed with timely response care they took help me&#10;thank you"/>
        <s v="they had what i was looking delivery was very fast"/>
        <s v="nutrisource small medium breed puppy chicken rice dry dog food lb i just got cairn terriers breeder said this was best puppy food pet flow made it so easy place my order price was good i also picked up some nice dog toy"/>
        <s v="product was available price was fair but ordering process kept trying lock me in repeating delivery it took me an unreasonable amount of time navigate form"/>
        <s v="i like that its compact doesnt take up much room food doesnt flow as well as id like but all gravity feeders work about same water spout could be lower theres quite a bit of water left container must be tilted use all water simple fix would be raise one s"/>
        <s v="great selection prices prefer shop here"/>
        <s v="in this instance petflow was only place i could acquire exact item that i wanted it arrived in a timely fashion in fact if they are still carrying it i will order more"/>
        <s v="i have been purchasing cat food from you all over years since i got my cat i have not had any problems but my last order was shipped it was dog food your mistake i asked you all do a rush you rushed alright you came picked up dog food mean while my cat st"/>
        <s v="has products i need quick shipping at no charge over a certain amount packing well down"/>
        <s v="great communications came in short time"/>
        <s v="company did not ship my pet food canceled order failed notify me only reason i noticed because a week had went by no dog food when i contacted them they advised they needed more information i asked why they didnt request that notify me answer i received w"/>
        <s v="i have recently had a bad experience with chewy however i have found you i have dog cats so far you have their food i will look other things as they come up so far everything great"/>
        <s v="easy online ordering super fast delivery"/>
        <s v="very efficient convenient have your unappreciative cats food litter appear at your front door highly recommend"/>
        <s v="it has been days since my order was confirmed it has not shipped when i contacted petflow i was told that first time rx orders can sometimes take a while be approved but this feels ridiculous"/>
        <s v="i love petflows auto delivery system its easy use i can change schedule with a couple clicks packages always arrive secure on time"/>
        <s v="love pet flow great customer service quick shipping highly recommended&#10;have foods others dont"/>
        <s v="i was glad find what i needed on your site but i was concerned about shipment via federal express in my opinion they are unreliable my shipment was delayed but thankfully arrived before i became worried"/>
        <s v="perfect transaction perfect delivery perfect communication your my store"/>
        <s v="i ordered veterinary dog treats so gave petflow all necessary vetinary info after no emails from them quite a few days i emailed see when order would be shipped out they said soon after a couple of days i called back check make sure that they had item in "/>
        <s v="we have ordered through petflow a few times now are very happy with our experiences we will continue order our dog food other pet items through them"/>
        <s v="always used chewy but not anymore u guys r really on top of ur game thank you anna sutocky"/>
        <s v="very fast easy shipment of dog food five stars&#10;their use of fedex a problem one star&#10;fedex drivers repeatedly damage my property repeatedly notified fedex other deliveries like ups or amazon have not had a problem"/>
        <s v="petflow was easy fast respond deliver i was using chewy but it took forever get approval dog food needed i had trouble with them on every order so petflow was a relief how easily it went thank you that i would recommend petflow everyone with pet"/>
        <s v="my order was correct received very timely i have no complaints"/>
        <s v="perfect my dogs thank you extremely fast will absolutely shop here again"/>
        <s v="first fedex lost package left on a neighbors doorstep might not be such a big deal in city but in country thats a game changer neighbor finally brought package up house a couple of days later&#10;&#10;second product was short dated this midjune of product has bbd"/>
        <s v="this company was there me when i couldnt find my cats prescription food anywhere thankful have found it quick script review quick shipping"/>
        <s v="i ordered science diet wd wet cat food from them because their website said they had it in stock about a week later i got an email saying they were cancelling my order because they didnt have any in didnt know when they would be getting it they didnt char"/>
        <s v="reliable good products timely delivery"/>
        <s v="love it&#10;&#10;good products convenient quality communication on time delivery"/>
        <s v="ive been having a hard time finding this cat food when i did find it usually bags were sold out this made it easy convenient me order this online got it in a couple of days before we ran out"/>
        <s v="easy site navigate product was originally out of stock but i was notified once product was available delivered as scheduled my cat loves product it a prescription food diabetic cats hopefully i will see an improvement in his condition"/>
        <s v="product dog food excellent my dogs love it looking forward do more beisness with soon"/>
        <s v="i was impressed by selection price delivery time of petflow getting ready place my second order"/>
        <s v="order was correct arrived quickly"/>
        <s v="petflow was a company that i had not heard of prior i was in need of hills cat food which was not available anywhere locally or online except at petflow i even ordered more than originally planned they got okay from my vet had order shipped my home within"/>
        <s v="great delivery promotions cheaper food"/>
        <s v="great prices fast friendly service i will continue making this my goto pet supplies"/>
        <s v="tired ordering a product that said in stock twice now both times i get an email a few days later saying my order was cancelled because it cant be fulfilled if it was in stock why cant it be fulfilled"/>
        <s v="this product excellent i believe my dogs they love it this however second time i have had a bag ripped open when it arrived food in box not bag dont know if this a problem at packing end or delivery end wish it wouldnt happen again"/>
        <s v="easy site use with great prices a large variety of options"/>
        <s v="never received my order fedex lost it no refund or anything at all fedex express that they left it at front door but how my gate was closed my cameras capture nothing at all no one was home i also called fedex several more times with no luck they say they"/>
        <s v="i ordered cat food from petflow it showed in stock i waited it ship about a week i called customer service lady indicated that my order was processed needed vet prescription approval that i should receive a tracking email that day or following did not rec"/>
        <s v="great way buy my dogs food products needs no hassles comes straight my door"/>
        <s v="incredible rude out of touch representatives they didnt have my item in stock then made me replace a second order what they did have in stock next day i get notified that my order was resale flagged as fraud even though i placed it through them explained "/>
        <s v="i disappointed in way my packages where sent me example when you sent my case of dog food it was put in box that could have fit cases instead of rest was filed with packing papers make it weigh more charge more"/>
        <s v="reasonably effective but annoyingly disorganized looking alternatives"/>
        <s v="got my online order very quickly was pleased with how easy it was will definitely use again"/>
        <s v="after hunting high low through my usual pet food sources i was able find two items that had been back ordered everywhere else delivery was fast saved me risk of switching brands with my dogs"/>
        <s v="we needed a shipping kennel large a bed kennel a toy a small bed dog food all that got shipped was dog food toy small bed after visiting pet smart store they had all we needed in stock although a higher price"/>
        <s v="my first order i was mailed wrong product when second order can it will be out of date in months i like know i have a newer product"/>
        <s v="quick easy better priced than most of competition definitely an underknown source pet supplies"/>
        <s v="good time on delivery just mad about way box showed up was thrown over my fence box was damaged retaped because it was so damaged think about who you ship you packages by delivery my house was a fedx driver who did even look see if this was spot deliver j"/>
        <s v="great choices these days it so necessary have a reliable resource especially our pet family"/>
        <s v="excellent everything a company"/>
        <s v="i am so happy you carry fromm echo loves it she gobbles it down i also love that you deliver my home&#10;&#10;thanks again&#10;joni"/>
        <s v="please dont say you have something in stock if you really do not i was misled then was not even informed that there was a delay until i reached out myself terrible customer service"/>
        <s v="my order was shipped immediately reasonably got what i ordered pooch thrilled"/>
        <s v="everywhere was out of my pets food ordering from your site was easy i received my shipment a few days later thanks"/>
        <s v="amazing prices quick shipping"/>
        <s v="just got a new puppy that has have toy breed puppy proplan its been almost impossible find it but happily petflow has it it shipped fast love auto ship so we dont run out price also good"/>
        <s v="we were notified that our dogs prescription food was out of stock with our usual retailer so i did an internet search petflow was only retailer that popped up as having item in stock i waited shipping confirmation never received it so i contacted petflow "/>
        <s v="i appreciate finding products at an affordable price at petflow i usually find those products at a better price than other sites shipping was fast flawless"/>
        <s v="i have have ordered freeze dried beef treats a whilethe last two orders have been at least crumbs this very disappointing an expensive bag of unusable if this not corrected i will have find another source usually i am very pleased with petflow recommend t"/>
        <s v="great products very good customer service"/>
        <s v="fast shipping all items accounted in perfect condition"/>
        <s v="petflow has best prices great communication with me regarding status of my order shipping quick"/>
        <s v="my st package was received missing items after just one phone call everything was handled professionally a few days later i received my missing items would order again"/>
        <s v="petflow came through me when i couldnt find my cats food anywhere else im extremely grateful"/>
        <s v="twice now i have ordered preacription food from petflow that was listed as in stock twice my orders jave been cancelled because food was not in fact in stock both times i spoke with customer support that was clearly copy pasting replies off of a pdf since"/>
        <s v="excellent service"/>
        <s v="generally ive been very pleased but last shipment cases of canned hog food had two damaged open cans in it not a great response when i raised issue since i hadnt discovered it until i got th of cans otherwise no complaints"/>
        <s v="my cats food was listed as in stock on site but my order was cancelled a week later because it was never actually in stock"/>
        <s v="delivery was delayed this was not acceptable i will utilize another company that can deliver in dayd"/>
        <s v="as ordered fast shipping i was so happy be able get my canned cat food order when chewy amazon failed me petflow has gained a loyal customer"/>
        <s v="outstanding price what i ordered i shopped around amazon walmart numerous websites none even came close your price package showed up on time excellent experience my cats thank you"/>
        <s v="fast shipping excellent price&#10;thank you"/>
        <s v="i normally dont write reviews but i hope employees are retrained after seeing this i hadnt ever been on your website or heard of company but my year old fell in love with a puppy from a girl i know in utah after adopting puppy we asked what food she was a"/>
        <s v="dog food we need hard find petflow always has it at a very good price it usually arrives in a day or two great service"/>
        <s v="im a little disappointed with petflow i ordered dog food on june rd maiming because you said it was in stock then a few days later i get an email saying that your local location was out of stock you had get it from another location it was now going be del"/>
        <s v="fast easy order prescription products fast shipping fantastic customer service knowledgeable sympathetic responds quickly range of items purchase awesome petflow outdoes all other online pet companies on so many levels they were my saving grace during cov"/>
        <s v="my order was processed very slowly then canceled i was initially told that only thing holding up my order of hill prescription diet my cat was vet approval which i had submitted with my order close a week elapsed then i was told that supplier could not pr"/>
        <s v="very reliable when i place an order with petflow i know ill be getting what i ordered on time"/>
        <s v="great customer service had prescription food my dog needed all others were out of stock glad i found this site"/>
        <s v="naturvet yellow green lawn spray containerscontents were defective&#10;product was diluted colored water my guess they froze thawed somewhere before shipping"/>
        <s v="petflow ran out of dog food in my area so found it in las vegas i got last bags"/>
        <s v="i got food quickest out of any company including amazon their customer service gets back you right away with any questions fabulous job"/>
        <s v="food bags are always intact delivery always on time customer service excellent"/>
        <s v="great customer service great prices fast shipping"/>
        <s v="i always order my dog fromm food treats from you shipping excellent"/>
        <s v="great price smooth transaction quick shipping whats not love"/>
        <s v="waited over weeks food arrive my new puppy refill his stock we received from breeder petflow had a great price great reviews but when i inquired where my order was i was just told that it didnt ship due fraud protection they refused discuss further yes i "/>
        <s v="ive used petflow my boys food since very beginning since i adopted him they always deliver it on time each month they have an excellent selection of pet food available on their website not mention they give away food dog in need each food purchase we make"/>
        <s v="inventory shortage put order in next day they dont have my babies brand so its not their fault purina discontinued small bites&#10;now we are playing find food they care sorry couldnt give stars"/>
        <s v="i have been very happy with petflow i am disabled it so nice just have my dogs food show up at my door so far items i need have been in stock which pretty incredible in these times"/>
        <s v="i started an auto ship program with this company because cat food was running scarce in grocery store unfortunately even this company cant keep it in stock either"/>
        <s v="pups love new food we found on petflow it was easy order arrived in no time being that its large breed formula i just wish it came in bigger chunks so they didnt inhale it at dinner time"/>
        <s v="great service good customer service only hiccup i can see shipping sticks folded over in a box"/>
        <s v="they had everything in stock was delivered in a timely manner"/>
        <s v="great place buy our pet supplies fast service pet flow best"/>
        <s v="always great do business with ease of ordering easy return"/>
        <s v="i waited over a week your pharma dept reach out my vet get scrip order i finally had make call myself with your rep on line i got right through your pharma folk really dropped ball&#10;&#10;all while my cat was waiting her special food"/>
        <s v="i was really pleased that u had food my cat loves he diabetic could not find his food anywhere he refused eat anything else got so thin i found his food through ur company now he gaining weight very happy kitty"/>
        <s v="i was in need of food my cat with diabetes my vet was backordered even chewy was out of stock but im so glad i happened upon this company they had food i needed available i appreciate it so much they were easy pleasant work with thanks petflow"/>
        <s v="worst experience with pet flow i place order my shipping billing address not same you will add my account fraud activity dont proceed order such a unprofessional supports team cant buy in future its last time"/>
        <s v="i never received my purchase you were out of stock of my cats prescription diet even though your website said it was in stock you should keep your website up date with what in stock what out of stock because i would have never wasted my time ordering it i"/>
        <s v="fast shipping easy order understand web site best prices around&#10;no hassles"/>
        <s v="ordered prescription dog food you said you had in stock but it very clearly was not in stock almost two weeks later im still waiting it not cool"/>
        <s v="shipping box isnt strong they package my dry dog food with cans cans cut dry food bag it spills"/>
        <s v="i placed an order hills glucosupport my diabetic cat it was weekend i was unable get all of vet information directly from vet hospital itself place order so i googled it i placed order paid order order was cancelled by your company as something in informa"/>
        <s v="this second time cat food that i need said it was available second time my order was cancelled because they didnt have it if you dont have it dont say that you do i could have looked it someplace else instead"/>
        <s v="your phone reps have always been very helpful answered my questions given me some good advice about purchases were sold"/>
        <s v="great customer service they answered my inquiries so fast they were super friendly"/>
        <s v="petflow works hard earn your business trust had an initial snafu but now orders are working smoothly"/>
        <s v="i requested a refund after being told by petflow that i needed renew my vets prescription i wanted just buy prescription dog food from my vet petflow said they could give me a credit but not a refund this a classic case of petflow winning battle losing wa"/>
        <s v="i have ordered from petflow twice both experiences were same complete trash my cat eats prescription food it out of stock everywhere so i am ecstatic find it on petflow i order it took two days my vet approval i get an email that now food sold out my orde"/>
        <s v="petflow has great prices on fromm products delivery great"/>
        <s v="petflows order fulfillment needs be improved it took days food that i ordered arrive that was after i called see where it was got order prioritized shipping if you are truthful on your website whether food being shipped from nj or nv warehouses then i can"/>
        <s v="your orders have all been fast with no warning it took a week i will not be using you anymore as you are not dependable"/>
        <s v="great price fast shipping great communication"/>
        <s v="better prices than elsewhere called customer service some assistance woman was very helpful will use again"/>
        <s v="wanted try another pet food home delivery service a change decided give petflow a go they were a great find im glad i did prices were comparable delivery was even faster packaged very well with no dented cans"/>
        <s v="prices fair but shipping times have increased"/>
        <s v="i love variety of high quality products brands that pet flow offers i also love how quickly they ship my order always arrives within a couple days"/>
        <s v="dont even bother if you order anything they will message you a week later saying its out of stock then very next day its back in stock again"/>
        <s v="i was excited see that a particular prescription wet food was back in stock on website as it has been out of stock over a month i placed order online then followed up days later as i didnt hear any thing about shipping i was told that they just received a"/>
        <s v="cancelled my orders&#10;without telling me"/>
        <s v="very happy with customer service only issue i had how long it took process my order ship it would pay extra faster processing shipping"/>
        <s v="fast easy correct"/>
        <s v="its ok it was shipped on june st an email tuesday said itd arrive today wed after arriving here in portland today at am fedex tracking said at pm that its being delayed a day until tomorrow thursday because of weather it doesnt affect me i wouldnt care ot"/>
        <s v="i ordered prescription pet food my cat it took them about five days tell me order was cancelled because they couldnt get food they shouldnt have taken order in first place"/>
        <s v="this my third order they have products others dont at a great price"/>
        <s v="always holds inventory deliver in a timely manner"/>
        <s v="worst customer service i tried doing an order twice they couldnt send it out i will never use this company or recommend it"/>
        <s v="wonderful service i recommend"/>
        <s v="excellent service only delay we had was from our veterinarian sending them prescription"/>
        <s v="i am so impressed with not only how easy ordering was but how quickly it was delivered i would never use anyone else thank you very much"/>
        <s v="i am new petflow this was my first order website was easy use my item arrived promptly"/>
        <s v="disappointed that an item was there select as available only find out it was not p"/>
        <s v="i like using petflow other sites which are similar they are super convenient reliable however cost of shipping stops me from only using their service"/>
        <s v="your website said you had prescription cat food i needed i bothered my vet prescription order your company said order was being filled then im told that it out of stock&#10;&#10;how does this happen"/>
        <s v="always highest quality products superior customer service a"/>
        <s v="petflow had what i needed in special food my cat i couldnt find it anywhere thank you so much service was awesome"/>
        <s v="good service a fair price thank you plan order again"/>
        <s v="wonderful experience petflow was only place that had prescription food i needed my cat they expedited my order when i expressed my needs sadly my cat passed away saturday but he loved this particular brand of food so i am very grateful that he had a coupl"/>
        <s v="i have been ordering from petflow some time now i always have a good experience with fast shipping easy ordering i have a dog two cats so i order often great company do business with&#10;rob"/>
        <s v="petflow great they processed my kitties prescription quickly shipped my order promptly"/>
        <s v="shipping so slow compared chewy i use chewy whenever possible that reason"/>
        <s v="i have had nothing but positive experiences with petflow"/>
        <s v="petflow was only source prescription food my cat all local stores vets all said they were out it was on back order so petflow was a kitty saver"/>
        <s v="fedex took more than a week deliver&#10;usps better even fedex tracking not accurate very slow or sometimes not even up date"/>
        <s v="customer service was not friendly they charged shipped me two bags of my dogs food when i only purchased one when i called back dispute charge they were not very helpful kept insisting that i bring super heavy bag fedex return"/>
        <s v="when fed x lost my order i called customer service order was replaced without hesitation that excellent service"/>
        <s v="slow shipping went order another bag couldnt find it"/>
        <s v="petflow a good company buy cat food from i especially like having it she directly my door i have order a prescription type of food my pet cannot find it anywhere else petflow has exactly what i need"/>
        <s v="i was able find what i needed that others didnt have turnaround was quick order was correct"/>
        <s v="products in stock delivered in timely fashion positive experience"/>
        <s v="great selection had things others were out of great price shipped next day"/>
        <s v="after reading many reviews i cancelled my order before it was shipped many people stated they could not cancel their auto ship weret happy with delivery since i dont know this company didnt know their reputation i cancelled ordered from chewy now i cant g"/>
        <s v="great price shipped well arrived quickly"/>
        <s v="only cools minutes at best not worth it i should have invested more money got a better product"/>
        <s v="pharmacy said my dogs food wasnt approved while my vet said it was always approved customer service was awful in fixing situation didnt get my dogs food a week discontinued auto ship wont buy another thing from pet flow horrible customer service"/>
        <s v="i love fact they carry fromms dog food their web ordering works fine they deliver in a reasonable amount of time chewy faster where i live&#10;&#10;however every time i have ordered dog food in cans they come badly dented i dont mean a little dent here there that"/>
        <s v="i had opportunity subscribe my pet food came in a timely manner i am very happy"/>
        <s v="shipped quick reasonably priced"/>
        <s v="great variety fast shipping"/>
        <s v="petflow autoship convenient efficient economical weve been happy customers years highly recommend"/>
        <s v="works well but no instructions on how adjust float"/>
        <s v="great price quick shipping of pigeon grains i use"/>
        <s v="easy easy easy same quality same shipping speed cheapest place"/>
        <s v="great service buck great your pet fish"/>
        <s v="most wonderful customer service most wonderful products that keep my dog happy"/>
        <s v="i love company fact that they dont support brands that support animal testing its a start due shipping always being late they dont have an app yet but im not leaving them because of that"/>
        <s v="good selection of products but took a long time receive"/>
        <s v="had product in stock they called vet"/>
        <s v="items not as advertised even after calling customer service described wrong item picture not correct either that was sent&#10;took way longer than expected not likely recommend or order again"/>
        <s v="had an issue with my order customer service was rude terrible will never spend my money with this company again"/>
        <s v="excellent always best"/>
        <s v="pet flow always has dog food in stock my pet all through pandemic they were reliable supplies on hand timely delivery"/>
        <s v="customer service was awesome shipping was very fast i was very pleased with variety of food i will definitely order again"/>
        <s v="fromm dog food so awesome my elderly dogs were on wet dog food they liked it till i took them my friends house she had beef fromm out her dogs my dogs decided they like that food better than theirs it was a month of trying get them eat their food i asked "/>
        <s v="poorly packaged shipment but arrived quickly"/>
        <s v="great customer service i needed my cats prescription cat food asap they pushed process faster me"/>
        <s v="fast deliveries one of few places i found farmina dog food now im on auto delivery"/>
        <s v="i ordered cat food on fedex has yet deliver it stating that address incorrect when it not after hours on phone trying get this package i am left with no other choice but request a refund i still dont have cat food am tired of wasting hours talking low lev"/>
        <s v="we love using petflow our pets needs prices are competitive its so easy changedelaycancel our order"/>
        <s v="shipping was fast my only concern my dog food best by date sept just concerned not fresh maybe older stock"/>
        <s v="petflow best hands down great customer service prices"/>
        <s v="they had food i had been searching in stock quick shipping"/>
        <s v="super great company with fast service great shipping"/>
        <s v="great company with very quick shipping i will be using them from now on"/>
        <s v="excellent products outstanding service fast delivery"/>
        <s v="good price fast delivery"/>
        <s v="we have been using petflow many years always have great service value"/>
        <s v="petflow has products i need gets them me quickly ive used auto ship when ive had switch my schedule they were happy accommodate adjust their customer service so responsive i have been a loyal client years plan remain one"/>
        <s v="every one at pet flow was extremely helpful they spent as much time as needed on phone with me pick puppy food i needed when it turned out that my pup did not need prescription i was told they were unable take it back but they refunded half cost"/>
        <s v="when i ordered they knew they were out of stock i called asked questions didnt get a direct answer"/>
        <s v="i was so happy find my pet food in stock here actually maker of pet food let me know that petflow had product in stock there was no shipping fee on lb bag it arrived promptly all way from across country"/>
        <s v="ordered canned dog food found price be competitive shipping was timely"/>
        <s v="i would advise anyone that has had a poor experience with this website which appears be just a website where they drop ship orders but dont actually have a warehouse contact attorney general in nevada where this guy or company located&#10;if they are pretendi"/>
        <s v="ordered cat food when i ordered it was in stock now saying they have none that online allows them sell bags so long as they at least have sad"/>
        <s v="i ordered dry cat food that you said you had waited you tell me when it shipped you never told me you were out of it i had get in touch with you find out stupidly i checked that same product a week or so later same thing your on line app said you had it i"/>
        <s v="ordered md dry cat food you waited so long let me know you were&#10;out of it other companies let you know on site where you are ordering&#10;that they are out wasted time"/>
        <s v="great product fast shipping"/>
        <s v="having contact support cancel an auto ship ridiculous straight from comcast book of customer service"/>
        <s v="this first time using petflow i loved experience they have great prices fast shipping i love selection of food also"/>
        <s v="scam site they lie say they have stock of things they know they have no stock just get your information"/>
        <s v="i like pet flow convenience of buy fromm cat food from them"/>
        <s v="i placed an order prescription pet food website stated food prescriptions could be emailed or mailed so i emailed food prescription using email address they listed on their website this purpose this resulted in back forth with a representative who conveye"/>
        <s v="i was trying order prescription cat food that in short supply your company let me order it sign up your account contacted my vet prescription went through whole process then told me you are out of stock why didnt you tell me up front you were out of stock"/>
        <s v="i have plenty too much food right now how can i cancel automatic service"/>
        <s v="i trust them they usually have product that i want if not they will let me know"/>
        <s v="this place amazing prices really cannot be beat we shop around every time we stock up petflow doesnt carry all of foods we buy but ones they do are consistently cheaper than elsewhere including delivery&#10;&#10;i hope petflow will carry more of vegetarian canned"/>
        <s v="my total order was receive offhowever my order was split i only received off on lesser item was taxed on both i may inform my credit card company of this transaction based on your response"/>
        <s v="have always had good service from petflow"/>
        <s v="keep posting that they have hill science diet md when they dont"/>
        <s v="i have only received part of my order that i made on may th it now nd i have still not received dog food i ordered"/>
        <s v="our saint bernard was recently diagnosed with gastroparesis needed limited ingredient treats hills makes a line of them that petflow has a great variety of at great prices shipping super fast"/>
        <s v="excellent service&#10;thank you"/>
        <s v="i have ordered only once from flowpet but so far so good on that note i will give them stars there was a good variety with good prices order came more quickly than i expected i expect i will be shopping there more"/>
        <s v="fast shipping easy get in contact with them if you have questions"/>
        <s v="ordered special diet days nothing had order chewy got it in days"/>
        <s v="very friendly knowledgeable people at petflow willing go extra mile help"/>
        <s v="it easy change my order staff always easy communicate with they are alice there help me when i run out of food my goldens sometimes have friends over week"/>
        <s v="so happy you carry fromm my dog thrive on this food i love convenience of delivery my door best part shipping included"/>
        <s v="i placed my order from canada dealt with a customer service rep she was very friendly helpful efficient my order was delivered very quickly a parcel receiver in bellingham wa i am very satisfied with petflow"/>
        <s v="ms jessie at petflow was extremely helpful in fulfilling my order she was knowledgeable pleasant very efficient i am very satisfied with service i got"/>
        <s v="always ships quickly arrives promptly you can trust petflow handle your order right"/>
        <s v="took way long get here this was a cat food order im use getting it at least in a couple days when i order from amazon or chewy not sure ill order from them again"/>
        <s v="this a great company good selection of products at fair reasonable prices including shipping costs delivery very timely while so many firms are still using pandemic as an excuse pricegouge it so refreshing a pleasure deal with petflow this only company i "/>
        <s v="have been waiting in my prescription a month still havent received sent in digital paper copy that still had problem with them verifying actually sending prescription so frustrating would not recommend vetsource pet prescriptions hoping get my order one d"/>
        <s v="my dog on rx dog food hills science diet dd i decided start getting it from you i order it changing flavorsprotein because one i wanted said out or stock a few days later i havent heard anything so i calltext im told that it waiting vet authorization i ca"/>
        <s v="i have purchased many milk bone pill pocket packets they usually come in pouches per box which helps keep them from being crushed in shipment i usually purchase boxes at a time shipping slower then other suppliers"/>
        <s v="cancelled my order saying supply of product from manufacturer was unavailable so i went another vendor who had no problem filling my order"/>
        <s v="received my product of prescription kitty snacks quickly&#10;thank you"/>
        <s v="pet flow has been very reliable my dogs food arrives as ordered food fresh arrives quickly&#10;i have had a few problems with website where i could not change an amount on review your order page which was frustrating however calling customer service resolved "/>
        <s v="very good service fast deliveryi have no complaints"/>
        <s v="items arrived quickly before i was notified that they were shipped one item was missing from order it took a few days before i received an email that item was out of stock credit item came quickly very pleased with my purchase"/>
        <s v="excellent customer service&#10;petflow inadvertently sent me an extra case of cat food i alternate types of food so i was fine with keeping extra food but needed pay that one add another of alternate kind gentleman with whom i spoke straighten everything out "/>
        <s v="friendly when i had questions fast delivery easy order quickly online"/>
        <s v="efficient fast shipping great customer service&#10;&#10;good selection of animal products"/>
        <s v="very happy with products wish food was a bit cheaper"/>
        <s v="i had been looking puppy kibble our breeder has been using their litter of puppies petflow was only site that carried it very easy work with on time delivery thank you"/>
        <s v="staff very friendly helpful there was a prompt response my question they have a vast selection great prices they came through when i had trouble finding my finicky cats food they are my go store"/>
        <s v="constant urging use autoship i can understand what i cant understand meaningless onetime pittance of a discount as an incentive coupled with an almost forced compliance by changing my selections include it me it most obnoxious pushy waste of my time i may"/>
        <s v="i tried purchase prescription cat food my cat on vet did not receive communication through you so i emailed texted in a prescription on both of which replied said it was sent correct team should be processed asap then i received an email on stating you we"/>
        <s v="i needed order a variety of cat food that had been sold out at local shops online retailers some time i discovered petflow through a link on manufacturers website i was skeptical that they could even deliver but ended up being pleasantly surprised ive sin"/>
        <s v="easy navigate site prompt delivery"/>
        <s v="my second order experience was just as great as first one great business"/>
        <s v="my order always delivered in a timely manner if there ever a question i get answers quickly in a professional friendly way"/>
        <s v="petflow has been my goto years now a reason"/>
        <s v="excellent availability of products customer service shipping communication"/>
        <s v="so easy order my pets prescription meds on petflow they contact your vet directly approval which takes all work out of my hands shipping quick its very easy amend shipment schedule if needed&#10;thank you petflow such awesome service"/>
        <s v="i was searching a specific food my new puppy that was not available in many places found it here ordered had it so fast itd make your head spin thank you"/>
        <s v="i received my product before original date i was very impressed since i never heard of them but i will continue use them i highly recommend them"/>
        <s v="excellent service product our fur baby loves butcher block champ bones"/>
        <s v="when package came everything was so jammed in there that stella chewy patties were crushed i purchased bags of stella each bag had broken pieces in there"/>
        <s v="petflow had dog food that i needed that everyone else was out of it came quickly without any issues their website was easy navigate also"/>
        <s v="when other sites were out of prescription food my dog needs petflow was only place i could find it at a good price too delivery was fast also"/>
        <s v="great service competitive pricing"/>
        <s v="petflow had a rocky start with me because it was difficult get customer service but they have improved so much in that department that a star appropriate they are only pet delivery that has my dogs dry food they give a years worth of coupons offset expens"/>
        <s v="delivery was okay no issues with package or product price okay too"/>
        <s v="great company fast delivery"/>
        <s v="i order eight pound bags of prescription cat food kept getting emails about it being backordered on website at tims of purchase it stated they were in stock placed an additional order two pounds of same food that was cancelled by petflow not being in stoc"/>
        <s v="always helpful answer my questions concerns"/>
        <s v="easy use website fast shipping"/>
        <s v="my order always on time very easy order"/>
        <s v="i made a large order you guys cancelled my order saying that it was a fraud there was never a time where i got an email or any contact see if it was a fraud my dogs are now with no food due this lack of responsibility i was informed that every time i make"/>
        <s v="i love service petflow provides they have a huge variety of products plus they also offer great deals finally i must say customer service extremely friendly use through texting theyll help you right away thank you so much"/>
        <s v="i ordered prescription food my cat a week went by with no shipping information i contacted pet flow was advised that food wasnt even in stock even though they got approval from my vet waste of time that i couldve been searching this prescription food else"/>
        <s v="ordered prescription food insulin syringes my diabetic cat syringes came a few days later bags of prescription food did not after days with no update i called customer service just find out food was out of stock i was never notified that it was out of sto"/>
        <s v="great customer service i really appreciate it"/>
        <s v="great site dog supplies will continue use if prices are good"/>
        <s v="i moved over petflow kicking screaming from chewy chewy stopped carrying verus petflow now my merchant all my canine needs i could not be happier with customer service i like getting advance notice that my autoship preparing ship i like updates when there"/>
        <s v="with price of dog food getting more expensive i was looking best price chicken soup soul canned dog food pet flow had best price when compared other online retailers this was my first time ordering from pet flow delivery was fast items were received in pe"/>
        <s v="always arriving promptly correct products in order"/>
        <s v="best place purchase all of my dogs need excellent service always fast love love lovestella loves it too"/>
        <s v="this was my first time using site usually use a competitors site but this website showed up i clicked see what it was&#10;the prices are similar site i usually use some of items were slightly cheaper some more expensive&#10;one huge con was that i spent an hour f"/>
        <s v="my ordered was submitted then cancelled days later i would have just bought it somewhere else should have just said out of stock now i have scramble find food"/>
        <s v="ordered hard find diabetic cat food the lb bags are out of stock at all companies that carry it petflow shows on site that lb bags are in stock order on may th vet approved was told that on th its send warehouse shipping called on th see why ive not got a"/>
        <s v="products are good but ones i wanted were out of stock or very low"/>
        <s v="great product price communication transaction"/>
        <s v="i was very disappointed i ordered my rx can cat food payment was made payment was returned this first email from petflow i have not received an email why my payment was returned or why i did not receive my order"/>
        <s v="quick easy i just entered order vet details my order was on its way next day"/>
        <s v="my cat likes friskies sensation cat foodi wish petflow has a larger selection of cat dog food that weigh lbs or less as i grow older i find it difficult lift bags over lbs"/>
        <s v="orders are accurate delivered on time price a little high at this time but no higher than other sites are charging same pet food"/>
        <s v="ive only used petflow once first time but everything was great easy navigate site received order quickly packaged safely i had a general question customer service was very nice knowledgeable ill be a repeat customer very glad have found petflow"/>
        <s v="frustrated with lack of customer service regarding my cat food order our vets office personally called ok a prescription diet our cat as we could not find it anywhere we were running out we did not get any official notification that you ended up being out"/>
        <s v="my items from petflow always arrive quickly accurately i enjoy using petflow my dogs needs i highly recommend"/>
        <s v="trustworthy accommodating much variety"/>
        <s v="products ordered came quickly accurately website makes reordering easy"/>
        <s v="we have shopped with pet flow about years they always provide excellent service products"/>
        <s v="ready some captains plate sardines mackeral now look forward this against grain next when they are available purchase again&#10;&#10;thank you getting this delivery us as you were only pet food company that could provide us with shrimp daddy our cats thank you ve"/>
        <s v="every order i have placed has been canceled i call verify everything ok daily i am told that its being packed ship i call again next day am told its shipping that day both orders have done this usually hours later order canceled by you i have never receiv"/>
        <s v="im very disappointed as item u always order was not in stock currently remains out of stock"/>
        <s v="fast delivery they carry what i need"/>
        <s v="petflow was very easy order from was shipped out almost immediately dog food arrived very quickly i would definitely recommend them pet owners"/>
        <s v="ive used petflow on years delivery has always been spot on but occasionally a food change required a different vendor glad ive returned"/>
        <s v="i am always skeptical when ordering from an online store first time no need worry about petflow my bags of dog food came in a timely manner packaging was neat there was no crushed bags very happy customer"/>
        <s v="i successfully ordered prescription hills md through you later you told me you were out of stock you should have known you were out of stock before allowing me order"/>
        <s v="i had not used petflow before but they were one of few retailers that had pet food i needed in stock their turnaround time from order placement shipping was incredibly quick as was shipping time they were also very communicative each step of way&#10;&#10;i will b"/>
        <s v="ive always been able change my scheduled auto shipment when every i need they are quick response send out packages very quickly been using this company about years love their services"/>
        <s v="ive never dealt with an online pet store that was so easy work with they confirm my dogs food prescriptions still get food me in just a few days im looking forward buying treats other supplies from them as well"/>
        <s v="customer service was fine but i could not purchase what i wanted my cat i ordered veterinary products i chose vet i went from search i knew pet flow or vetsource would need contact vet but did not know how they would then i got an email that pet flow coul"/>
        <s v="i love service i receive when i place my order if i have any issues i call customer service best"/>
        <s v="ordered cat food then received email that order was cancelled because it was outofstock"/>
        <s v="petflow was a great shopping experience but shipping information was not accurate on website i did have reach out customer service get correct information other than that no complaints will definitely shop with them again"/>
        <s v="good communication reasonable prices&#10;slow delivery time knocked this review down four stars"/>
        <s v="it was nice that petflow actually carried brand of dog food i get i was excited sign up autoship so i could stop making my husband pick up dog food miles away from me on his way home from work my order took over a week arrive didnt come when it said it wo"/>
        <s v="great quality of products super fast shipping"/>
        <s v="perfect&#10;fast&#10;efficient as always"/>
        <s v="when i was given a prescription my cat that had just gotten a procedure clear a urinary tract blockage i tried having prescription filled by my regular vet they were out of stock of what was needed so i turned petflow all my experience with petflow has be"/>
        <s v="orders are shipped quickly prices are comparable other companies"/>
        <s v="timely delivery no glitches great product"/>
        <s v="products that i ordered were as described at a fair price arrived on time&#10; very happy customer"/>
        <s v="i had never ordered from pet flow before their website was easy cat food arrived promptly"/>
        <s v="i enjoyed finally finding a website that still has my cotton de tulear food that she has been on her whole life seems be selling out everywhere i sure hope this website keeps it in stock next time i need order it"/>
        <s v="i ordered a large pet carrier was sent a small i did contact customer service they are suppose send a large that was a week ago so i am still waiting"/>
        <s v="fast easy great price i stick of my pups fave food"/>
        <s v="ordered first last time when petflow was only place that had any of my cats specialty prescription food in stock they said they called vet office confirm approve prescription but did not call office i gave them then canceled order i tried reorder within h"/>
        <s v="i use this site order tracheas my dogsthey are a natural treat my dogs love them this company has been very good about getting my orders me in a timely manner so my dogs never have miss their saturday special treat i know their prices are great because i "/>
        <s v="im so thankful that i found petflow&#10;its nice know there are online options my fur babythe prices are great fact that petflow gives back pups in need makes me feel good&#10;thank you petflow"/>
        <s v="petflow usually has products other sites are out of what relief but stock up as things are getting harder find petflow delivers quickly in good shape"/>
        <s v="said an item was in stock when it wasnt i waited a week before being notified that it was even in warehouse be shipped in meantime i was counting on shipment my diabetic cat i will never recommend or give company another try"/>
        <s v="great transaction good price free delivery"/>
        <s v="quality communication price"/>
        <s v="i have cats two of them are eating special food health issues it has been hard find canned food especially proplan since pandemic i have search cat food every week at pet stores in our area which very stressful i was so glad that i found petflow on line s"/>
        <s v="when i had a problem you fixed it fast ty"/>
        <s v="i buy birdseed in lb quantities theseed quality excellent mixes are well balanced seed fresh viable so i am able germinate some use as soft food my birds price was reasonable when so many others are using inflation as an excuse profiteering it was shipped"/>
        <s v="ive always had a great experience w petflow i even found a better deal at another site wanted cancel my auto ship customer service rep gave me a discount instead i kept my auto ship active its still active today excellent customer retention greatly apprec"/>
        <s v="only place i could get this hills formula dry food my cat my cat fussy wont eat other dry foods"/>
        <s v="petflow customer service agents are efficient yet courteous company clearly embraces concept of customer always right ive been using this service five years have always been pleased"/>
        <s v="service customer service excellent"/>
        <s v="this was my first time purchasing from this company i attempted purchase items of items that i ordered i only received those items that i did not receive were charged my credit card then i was notified after fact that these items were out of stock that my"/>
        <s v="easy order online customer service quick respond resolve any issues will order again"/>
        <s v="i love petflow much better than chewy"/>
        <s v="ease of changing or adding existing orders could be just a little easier its muchimproved from what it used be sure but it still takes far too long setup an order autoship make it easy more efficient please"/>
        <s v="every order fulfilled quickly accurately then shipped really fast i love petflow"/>
        <s v="was very disappointed with shipping time this order delivery information was delayed twice"/>
        <s v="while i wish petflow did not use fedex i did not get my package or replacement package petflow was wonderful through an annoying process"/>
        <s v="quick delivery on dog food i ordered im thankful petflow because they carry canine caviar which a hardtofind dog food my french bulldog does great on this food no allergies"/>
        <s v="petflow has great pricing fast delivery they also have great customer service who do a fabulous job of following up on your order i will definitely be ordering from them again"/>
        <s v="super easy order from they shipped our food treats quickly"/>
        <s v="quick ordering process they obtained prescription from my vet just as quick where other sites never completed process it was smooth i will order again"/>
        <s v="petflow site was easy navigate i found size of dog food bag i wanted right price communication was superb including delivery information i would order from them anytime"/>
        <s v="happy with my order pup got a really cute stuffed llama that i had my eye on quite a while price was excellent also bella pate not always easy find in a retail outlet"/>
        <s v="case of hill id digestive care was delivered damaged when i opened case three cans were blown rest had visual damage each can i called pet flow advise wanted send complete case back them they said prescription dog food cannot be returned he representative"/>
        <s v="i placed an order a second time with petflow first time was great however this second order never shipped upon inquiring about status i was informed that our fraud department suggested we not fill this order take care what"/>
        <s v="quick cat food shipping fair price easy ordering all good"/>
        <s v="i ordered two packages of dry cat food hills prescription diet gastrointestinal biome digestive fiber care chicken dry cat &#10;i used order it on chewycom or amazoncom medical reasons my cat needs this food unfortunately an unknown reason this cat food tempo"/>
        <s v="took longer than we thought but it was ok but everything was good"/>
        <s v="this was a remarkable experience i received wrong order i meant purchase bags of lamb peas large breed i received lamb rice i called same day they shipped correct bags i wanted&#10;this a model example of perfect customer service"/>
        <s v="ordered my pets food that needs a prescription you said it was in stock i looked a way email prescription you but couldnt find one on your site&#10;&#10;i gave you all information you need verify order food from my vet a week later you canceled order a week i kno"/>
        <s v="product packed well great communication"/>
        <s v="easy order through my vet super fast shipping no complaints"/>
        <s v="product came on time as described cant wait order from them again"/>
        <s v="we are now days beyond promised delivery date when i contacted company they said i should have planned better im wondering if company even has this product"/>
        <s v="first time i ordered from pet flow my order was cancelled by petflow because my items were not in stock after i ordered them however i had been charged via pay pal then had wait a refund needless say i cancelled my auto shipment will not order from petflo"/>
        <s v="my pets prescription food has been out of stock everywhere weeks i was recommended a replacement help my cat while i tried find something in stock but then i found his diet in stock on pet flow so i chose purchase that almost a week later i got an email f"/>
        <s v="i was told mail in prescription productthan i got an email that they did not have product now i dont have prescription&#10;it would have been a lot easier if i was told they did not have it"/>
        <s v="petflow has always delivered when expected there have been a very few rare occasions when something happened due courier service but petflow made it right immediately also food i buy hard find in local stores but available through petflow i love convenien"/>
        <s v="very happy with experience customer&#10;service very pleasant speed of order sorry food out of stock still but would order here again once it comes back in thank you"/>
        <s v="though my order was sent wrong address company made it right by resending product correct address quickly without a hastle"/>
        <s v="easy order delivery was great"/>
        <s v="quick shipping responsive staff customer inquiries"/>
        <s v="seemed take a long time from order delivery but mist disappointing was a couple of cans were dented leaked all liquid throughout box"/>
        <s v="excellent service prompt delivery able purchase an item i couldnt find anywhere else"/>
        <s v="needed return a bag of cat food that my cats did not do well on wanted exchange two bags of a different food was a simple process involving one phone call received a return label send back unopened bag of cat food received my replacement food within i bel"/>
        <s v="fantastic service quick delivery food was unspoiled not damaged will be coming back more kitty thanks you too"/>
        <s v="petflow does an outstanding job when it comes providing timely deliveries they also have a wide variety of products from which choose thank yu petflow"/>
        <s v="i have discovered petflow be a resource depend on&#10;the last shipment of blue wilderness turkey of which&#10;i usually order pack of oz cans free&#10;shipping included was received minus carton a quick call&#10;to petflow with no hassel resolution was what i expected&#10;a"/>
        <s v="they had great products choose from that arrive on time fast all things i have ever bought"/>
        <s v="there was some confusion about what when my order was be shipped after a few messages my order was delivered all was well"/>
        <s v="i went with petflow our dogs food because they had cheapest shipping rate my surprise was although it was cheapest it was also fastest"/>
        <s v="ordering was very easy they had a much quicker processing time than other places customer service was very friendly"/>
        <s v="my latest order of two pound bags of fromm dog food arrived in a box that had been badly damaged top bag of food had a four inch slash in it dog food had leaked out all over my porch entryway no doubt in fedex truck&#10;&#10;pet flow immediately sent me another b"/>
        <s v="prescription product was supposedly in stock until i found out days later"/>
        <s v="my dog food order always arrives exactly when promised that assurance why i have been a petflow customer such a long time"/>
        <s v="have been getting my dog food auto shipped many years i am very pleased with delivery always on time always in perfect condition i have not ever experienced a problem"/>
        <s v="twice in past week i have ordered cat food that was shown be in stock only get an email a few days later telling me that it wasnt available that very frustrating quite annoying doesnt make me want order from them again"/>
        <s v="excellent customer service customerfriendly policies&#10;i had ordered ver diet food my cat i used can out of case it turned out that my cat was allergic food&#10;&#10;oi called petflow customer service see if there was someplace local i could return remaining cans i"/>
        <s v="i had never heard of petflow before but after another company i use pet supplies didnt have a brand i was looking i did an online search find where buy my product petflow came up as being one of companies that carried it after researching company reading "/>
        <s v="fast service delivery i had emailed customer service they responded quickly"/>
        <s v="everyone was out of a particular flavor of food my kitties really like i added my name be notified when it was back in stock they did that promptly my order experience was wonderful everything i ordered came thru promptly in good order cant ask better ser"/>
        <s v="got wrong product they did reach out but still waiting see how we go about sending it back get our refund&#10;fran dolmage"/>
        <s v="i place a large order dog cat supplies on wednesday it received an order confirmation with tracking number following monday i recieved an email saying my order would be delivered tomorrow tuesday by end of day&#10;when my order did not arrive tuesday evening "/>
        <s v="website was easy use but unfortunately it said that one of items i purchased was in stock but days later i received an email that said that they actually did not have it in stock since its backordered they said i wouldnt be charged until they actually shi"/>
        <s v="was so happy find buy these bowls&#10;needed small ones &#10;needed stainless steel &#10;needed weighted bottoms &#10;pretty fast shipping &#10;thank you so much petflow"/>
        <s v="prices are reasonable shipping fast happy with ordering"/>
        <s v="my order was cancelled because my vet some reason wouldnt approve prescription food request from petflow said i had give petflow written prescription i have i could not find a way in petflow systems upload prescription form on their site frustrating becau"/>
        <s v="you guys really should say that you have products available purchase if you literally dont have any in stock"/>
        <s v="st order most cans dented unusable customer service ordered replacement replacement got cancelled as they were out of stock i had call again get refund system didnt know it was a replacement&#10;&#10;a week later their site says in stock so i try ordering more ve"/>
        <s v="get my name right i did happen type it out on my information portion of my account not hard figure out"/>
        <s v="best price service product"/>
        <s v="great price shipping was good everything arrived as expected i will order from petflow again"/>
        <s v="absolutely terrible they list food in stock that they dont actually have they then hold funds two weeks then cancel order&#10;&#10;get organized be honest about what you really have in stock"/>
        <s v="always get what i order in a timely fashion"/>
        <s v="they executed order beautifully box arrived as expected i ordered sealed dog treats so i have not opened fully yet&#10;&#10;this my second order they have not done well on both"/>
        <s v="one of few places that has grain free greenies can ship them expeditiously"/>
        <s v="product i ordered was shipped delivered within days thats amazing"/>
        <s v="i was lied from customer service they also implied that i was stupid we live out in sticks they tried convince me that fedex was going deliver me on easter sunday i do not appreciate being lied"/>
        <s v="your delivery exceptional i am also pleased that you carry fromme&#10;there arent a lot of pet stores that do"/>
        <s v="easy order great prices fast shipping&#10;thank you petflow"/>
        <s v="always have what i need receive it in dsys"/>
        <s v="you take orders items you dont have available"/>
        <s v="order filled promptly delivered very timely great service"/>
        <s v="there was a bit of confusion between petflow vet i received an email days after i placed my order saying vet had yet respond prescription vet said they had no record of being contacted but after i gave phone number vet call petflow they were told that ord"/>
        <s v="shipping quick correct products excellent as described"/>
        <s v="easy convenient use one of items i ordered was no longer in stock i was notified refunded immediately there a wide range of products available chose from at very competitive prices great service"/>
        <s v="my dog now needs kidney support food i ordered her kibble pet flow contacted my vet authorization we had her new food in days thank you pet flow being so prompt in responding my request"/>
        <s v="advertised dog food they didnt have felt i was suckered in get personal information ordered food twice website said in stock they canceled both orders saying didnt have yet didnt change status on website had also enrolled in autoship website wouldnt let m"/>
        <s v="i ordered food have been waiting a response let you with my vets numbers even left a text per instructions nothing im still waiting any sort of reply"/>
        <s v="i ordered a type of prescription dry cat food made by hills hills said you had i in stock so did your website i placed my order with veterinary information prescription approval this probably took one day not more than two but as time went on i received n"/>
        <s v="awesome company will definitely be using them moving forward order my dogs food"/>
        <s v="item showed in stock took almost a week them state it wasnt available check back when its in stock yet when i looked at their website they didnt change items availability so just keep taking peoples information even though its not available this a poor bu"/>
        <s v="when i order it says you have product a week later you say you dont have it cancel order you need change this no sure what in stock this has happened me before non way run a business you dont care about customer doubt i will order with you sgain"/>
        <s v="we have ordered dog puppy food from petflow many years always received excellent service on our last order of bags one of bags was out of box it had been torn open taped shut with clear shipping tape there was a fed ex label on it reading repackaged&#10;we we"/>
        <s v="easy ordering perfect delivery"/>
        <s v="product bought as advertised online sales works perfectly shipping was fast this my second transaction with this company am very pleased"/>
        <s v="ordered veterinarian prescribed food diabetic cat was advised through email it will ship within days was then emailed days later with a full order cancellation not being aware of how fulfill orders due inventory issues one thing understandable not being a"/>
        <s v="ordered but had update my credit card thought order was canceled after several attempts after updating card all orders went through were processed now i have three bags of food spent more than that i intended"/>
        <s v="placed order based on website saying product was in stock vet approved prescription dog food in one day contacted customer service twice over days determine order status finally on day we received an email saying product was not in stock refunded order i "/>
        <s v="petflow website listed sale prescription cat food that it turns out was not in stock when i ordered that food apparently no one checked whether it was in stock my order was processed i then had jump through a number of hoops get them a prescription from v"/>
        <s v="one of kitty litter bags had small tears in it so about a third of a cup was spilled in box"/>
        <s v="this was a good experience overall products we wanted were available reasonably priced we even tried a new product that now a hit in our household thank you"/>
        <s v="petflow has everything i was looking items i ordered were delivered promptly without any damage bags of kibble or cans ill definitely keep ordering from petflow"/>
        <s v="never received product after a couple weeks order was cancelled since product was never available begin with apparently petflow has no idea what their inventory actually i was never actually charged product"/>
        <s v="i love petflowcom because they are not big guy they are all pet passionate people like me they carry products i trust"/>
        <s v="simple order came amazingly fast"/>
        <s v="your customer service was as usual excellent but delivery service was not up par because they changed delivery date a few times tho that may have been due weather problems which understandably out of anyones control"/>
        <s v="great competitive pricing only complaint they make it difficult cancel existing programs you have place a phone call in order do this they do not make it possible online through your account"/>
        <s v="customer service was easy get in touch with very courteous"/>
        <s v="customer service responds quickly very helpful courteous a pleasure do business with"/>
        <s v="item i ordered was still shown as stock on website it not in stock had it been out of stock i would not have placed order when i called petflow see if they had inventory they told me they could not check because prescription diet was inventoried in anothe"/>
        <s v="mostly all my goods are damaged cans are bent creased half treats are in bottom of bag my rabbit treat sticks"/>
        <s v="i am aware no one can predict weather but this particular order was important on two separate occasions i was informed my order would arrive as it i am still waiting below time frame which honestly ridiculous&#10;your package is&#10;on its way&#10;shipping historyhid"/>
        <s v="i am very satisfied with petflo customer service i had call make a change with special instructions before my delivery representative was able take care of that me promptly without any hesitation or any issues i would definitely order from them again"/>
        <s v="i will start by saying they always have what i need in stock which a huge plus my two main issues are longer shipping times last time i ordered i accidentally ordered wrong size can of food because picture was of a smaller can it was my fault but picture "/>
        <s v="high quality difficult find dog food at reasonable prices fast delivery with free shipping with minimum purchase of i believe current threshold been ordering fromms gold dry dog food from them years it always fresh genuine its only food i feed my lb dog h"/>
        <s v="i love petflow site very userfriendly customizable&#10;i dont like shopping their home delivery makes getting my pets food a breeze&#10;and they carry my preferred brands"/>
        <s v="i looked everywhere this particular hills science diet adult tender chicken dinner canned cat food yrsand you folks were only online business that carried this product my cat it arrived safely at my frontgate i live in a very rural area of southern califo"/>
        <s v="i have used pet flow foe about years they have any thing you want&#10;relative dogs deliver it quickly they can put you on a program delivery so you dont have call them they also can deliver other addresses if you happen be out of town a period they accuratel"/>
        <s v="they kept messing my order up double charged&#10;and one of phone operators was very aggravating"/>
        <s v="on my first order i ordered one small bag of dog food my dog has a few food allergies this was a new flavor so a pound bag would do upon arrival i always check expiration date on all food i order noticed this bag was about expire i wasnt comfortable feedi"/>
        <s v="shipping was not as quick as it said but once i called them they looked into it they made sure it went out that day"/>
        <s v="shipping fast dog food fresh"/>
        <s v="quite frankly my disappointment because i really didnt order this time my order was processed without me hitting accept button it was sent any way"/>
        <s v="i chatted with a rep see if petflow carried taste of wild wet food it was out of stock rep asked if id like email when product came in they emailed me it was in stock i ordered it it was delivered my dog a very happy pup now&#10;thank you your prompt service"/>
        <s v="had a difficult time find dog food found it here quick delivery"/>
        <s v="you charged me prescription cat food non prescription cat food but only delivered nonprescription cat food"/>
        <s v="one of few sites that has fromm dog food quick free delivery i also like your give back pet community policy"/>
        <s v="fair prices very fast free shipping i will shop here again"/>
        <s v="fair prices fast shipping large assortment of products"/>
        <s v="i ordered a prescription dog food that was listed as available then wasted time attention coordinating with our busy veterinarian was never advised item was on back order had reach out company find out dog food hadnt been sent"/>
        <s v="easy online ordering usually has what i need but doesnt ship as fast as other companies"/>
        <s v="it has been almost two weeks i have not received my order i called inquire where it might bei was told call fed ex folks at fed ex told me they couldnt deliver my package because road was muddyalthough mail has been delivered every daythe school bus has r"/>
        <s v="ordered two items but only one was available real time inventory indicate whether stock available purchase would help customer"/>
        <s v="great selection great prices great service"/>
        <s v="i am unable cancel my automatic shipment why it so difficult"/>
        <s v="i was able purchase cat food here that i couldnt find anywhere else delivery was quick"/>
        <s v="my order did not arrive on time my puppy was getting low on food but their customer service was friendly willing do whatever make it right i appreciate customer service how easy it was connect with someone through text explain issue"/>
        <s v="canned cat food i ordered from petflow was out of stock at other major online pet supply retailers extended periods of time this special food was less expensive at petflow arrived quick my order was packed in a sturdy box with adequate packing material ca"/>
        <s v="i have been trusting my pets needs petflow several years now my food on auto delivery can be changed as needed with no problems customer service has been excellent i have had a small issue here there they take care of it right away i also use petflow send"/>
        <s v="right in time delivery fresh food my gsp thanks yall"/>
        <s v="good company deal with"/>
        <s v="great user friendly site delivery has been fairly quick too i appreciate auto order program"/>
        <s v="i placed my order my dogs kibble it arrived in days amazing so happy with petflow"/>
        <s v="petflow makes it easy use their autoship easily change datesthey let you know when its getting ready so you can speed it up or slow it down dog food prices are very competitive plus its delivered my door"/>
        <s v="excellent service quick delivery"/>
        <s v="i received wrong size canned dog food they could not help"/>
        <s v="do not buy first order wrong canned food then didnt have inventory send correct food with no time line then requested refund after i returned wrong food next day them still one week later no refund"/>
        <s v="quick efficient delivery of prescription dog food that was out of stock at other online retailers petflow contacted my veterinarian right away approval after i placed my order very happy with customer service"/>
        <s v="excellent customer service lightning fast shipping fromms crunchy os are my dogs favorite treats i couldnt locate them while traveling on our rv i found petflow stocked up"/>
        <s v="excellent customer service amazing shipping thanks making it so easy order"/>
        <s v="great shipping"/>
        <s v="excellent service fast friendly"/>
        <s v="order was shipped quickly with no problems an easy smooth transaction"/>
        <s v="made switch from other options out there about months ago could not be more impressed from selection freshness of product speed of shipping that puts others shame not mention arriving very securely packed without dented cans that have become norm at amzn "/>
        <s v="i needed an addition my regular order it was taken care of efficiently expeditiously"/>
        <s v="ive been a customer of petflow years they are an excellent reliable company i rarely have an issue when i have its usually not on their end but more so on shipping delivery end nevertheless petflow customer service always makes it right"/>
        <s v="best company deal with unbelievable customer service"/>
        <s v="love buying from petflow prices are great shipping super fast am a repeat customer"/>
        <s v="great online store&#10;lots of products good prices&#10;and excellent customer service support team"/>
        <s v="i give one star because i never actually received dog food i ordered i placed an order prescription dog food received notice there was an issue with prescription so i called vet but was told issue was not on their end then petflow cancelled my order so i "/>
        <s v="i have a legged cat that was shot before i adopted him willie a special guy on a special diet i was running low several pet food outlets said they had none werent expecting get any maybe it was discontinued&#10;i should look a replacement&#10;i found pet flow onl"/>
        <s v="products have always been delivered on time website updatingcanceling orders has had glitches on several occasions"/>
        <s v="i thought it took long receive my order"/>
        <s v="hands down best price in bulk cow ears my dog a local shop wanted twice as much exact same product customer life here"/>
        <s v="i was looking a place that sold food i need my dogs at a good price i have found it"/>
        <s v="i have been trying find a prescription food my cat was delighted when petflows website said they had it in stock unfortunately it turns out that its probably not in stock website should be updated appropriately responses my emails were quick but were cann"/>
        <s v="easy navigate web site fast efficient online ordering delivery"/>
        <s v="shelves were bare cat food that i have been feeding my cat i couldnt find her food anywhere i called company that makes her food they were out too but i was told of a place call low behold they had her food so i bought a case it would be shipped asap we a"/>
        <s v="treats almost expired in a very recent order i purchased multiple bags of merrick dog treats i just realized they all expired already"/>
        <s v="no other supplier had this cat food my cat really needed it fast delivery service ill buy again"/>
        <s v="i am a returning customer pet flows prices their customers service are exceptional i will not shop anywhere else my doggie food"/>
        <s v="i couldnt find my yellow lab her food anywhere im used it being delivered on a regular basis my vet found you online let me know thanks you she has her regular diet"/>
        <s v="petflow provides delivers product as expected fourstar rating because of their return policy which stricter than other online pet sites"/>
        <s v="great customer service very fast delivery thanks"/>
        <s v="petflow has always come through on my orders delivery prompt only issue every so often delivery service a little rough with package but thats on them not petflow only once damage was excessive called petflow they took care of it"/>
        <s v="our cats require a prescription food petflow has always had it in stock when others have been out of stock a real life saver weve never had any issues with petflow"/>
        <s v="our order shipped so fast very happy with you"/>
        <s v="i ordered cases of canned dog food one case turned out be something different so i called petflow they gave me a credit wrong food&#10;i donated case a local animal shelter i was happy with their service"/>
        <s v="great price on right product when i needed help with order telephone help was easy effective with no wait time"/>
        <s v="petflow has products i want at a reasonable price delivery great"/>
        <s v="very hard find my dogs prescription food but you had it sent it me quickly thanks so much"/>
        <s v="i truly love all products my dog ginger loves them too you are an excellent company i really love doing business with you you are fast i have never&#10;had a problem with you thanks connie sower"/>
        <s v="great company work with provides excellent customer service"/>
        <s v="been very happy with price i pay my dog food good selection of other items my dog fast delivery"/>
        <s v="best customer service calls are actually answered quickly by humans that are always helpful resolve issues"/>
        <s v="my last order was supposed be canine caviar buffalo toothpick dog treats i was sent one in a box so i was short not first time that has happened either most frustrating part about this time was that when i called customer service they said they were going"/>
        <s v="vet approved im a vet"/>
        <s v="i never received my order told my credit card was not valid it was a good credit card there was nothing i could do correct any info so as a result i will not be using your website sorry i like convenience of shopping on line"/>
        <s v="entire process of getting my dogs prescription liver support dog food was quick easy"/>
        <s v="great prices fast shipping easy use website whats not love my new goto place everything my maltipoo puppy needs"/>
        <s v="your customer service team fast efficient respectful thank you hiring outstanding people"/>
        <s v="whenever ive contacted customer service they have always been very helpful so nice their pricing great shipping fast"/>
        <s v="i am very satisfied with petflow feed products i find this company dependable while trying keep costs within reason consumer i like convenience of many products available dogs as well as cats free shipping appreciated with prompt reliable service i find w"/>
        <s v="my order was accurate prompt a good competitive price so thankful we found you we will be reordering our sweet pups kitties"/>
        <s v="first shipment of dog food was good second shipment had wrong food shipped"/>
        <s v="they had what i was looking delivery was quick easy"/>
        <s v="love selection speedy delivery"/>
        <s v="i used amazon subscribe save years but in last couple of years it either not in stock or shipping takes days petflow has no supply issues ships immediately cheaper needless say i have switched both subscriptions petflow"/>
        <s v="my dog needed her prescription dog food my normal supplier had been out sometime i was in a panic reached out petflow explained situation how most pet suppliers were out of stock of hills id small bites food petflow reassured me that they has product in s"/>
        <s v="petflow never fails provide quick turnaround times has food thats best my dog their customer service folks are best"/>
        <s v="they have dog food i want at a price i like"/>
        <s v="ordered little stinker pads received in record time good price"/>
        <s v="fast ship&#10;great product line"/>
        <s v="i was excited find petflow i ordered my cat food on march it now april i have yet receive my order i am waiting hoping it will come soon"/>
        <s v="petflow had my hard find dog food in stock ordering was easy shipping was very fast days second time ive used them will continue do so in future"/>
        <s v="easy ordering quick delivery great customer service"/>
        <s v="i am pleased with ease of ordering ive found quick delivery on canned food but large bags of dry food usually take a lot longer receive"/>
        <s v="everything went very well&#10;thanks thst"/>
        <s v="although their losing me as a customer out of their control im unable give them a better review&#10;perhaps if their leadership would utilize a more reliable carrier than fedex theyd get my business back&#10;they do have excellent customer service i like fact the"/>
        <s v="ordered hills rx dog food item was shown as in stock with anticipated shipping date order was accepted days later i received an email stating food was out of stocki thought good was on its way it wasnt even in stock not a good experiencefirst last time i "/>
        <s v="excellent website that makes ordering pet products a snap especially repeat orders really appreciate fair prices reasonable shipping rates"/>
        <s v="web site shows product prescription pet food in stock we ordered it were charged called check on order told it will ship next monday several days later i get an email saying product out of stock my order being cancelled so now im a week closer running out"/>
        <s v="purchased a cat harness sizing was accurate quick delivery"/>
        <s v="i like great service with petflow alot time time again they have what i need my pup"/>
        <s v="all went well thank you"/>
        <s v="these ppl are so dumb dont bother with a third party place was with chewy five years never had a problem had switch these prescription food been with them months had call times in one wk bc they couldnt get anything right its not like i can get a prescrip"/>
        <s v="quick service company had product not available at other sites"/>
        <s v="petflow was only store i could find that had cat food i needed in stock their price was competitive they had free shipping case of food arrived right on time"/>
        <s v="fast shipping good communication"/>
        <s v="great quick service always reliable"/>
        <s v="excellent customer service i had a problem with one of items in my order but issue was quickly resolved i highly recommend pet flow"/>
        <s v="you showed oz cans in photo sent me oz cans&#10;very misleading"/>
        <s v="this company took my order prescription dog food sat on it over a week before canceling my order because it wasnt in stock by then my sick dog had run out of food i had order from somewhere else"/>
        <s v="not much add stars i had call them about my billing address they were great work with friendly attentive very helpful"/>
        <s v="i have only done set of purchases so far but am very pleased petflow had cat food that pretty much all other sites stores do not delivered as quickly as chewycom would have"/>
        <s v="petflow had our hills prescription food in stock shipped it us in j just a few dayschewy stopped stocking our food a while agothank you petflow"/>
        <s v="product in stock as needed always shipped promptly"/>
        <s v="we are elderly wonderful that heavy dog food bags are delivered our front door"/>
        <s v="you keep on accepting my order then you later say it out of stock why not refuse accept order that you do not have in stock"/>
        <s v="you asked so even though i know it horrid times expect our shipments to be filled because it was my dogs only source of food not be notified until shipment day you didnt have it wasnt what i would have expected notification so i could find it elsewhere ah"/>
        <s v="service was awesome wrote an email asking about my order it was not even an hour i heard a response i am a customer good now"/>
        <s v="i have a cat who has no teeth&#10;finding squeeze treats he likes has been a challenge&#10;my cat loves these treats&#10;plus they are healthy treats"/>
        <s v="good fast service good prices"/>
        <s v="im very satisfied with my order from petflow due product i ordered petflow had notify my pets veterinarian they did this quickly&#10;therefore i received my order within days&#10;i will definitely be ordering from them again"/>
        <s v="you had what we were searching everywhere unfortunately days afterwards quantity was cut in half stars a full order but only taking away a bag of rabbit cookies"/>
        <s v="horrible lack of communication with company warehouse i called was told i would receive a call back never did they had me counting on a shipment over a week canceled it days later due no product me find outi called them"/>
        <s v="excellent service of our favorite dog food fromm best food"/>
        <s v="website easy navigate great pricing orders ship out quicklyautoship makes it simple ensure ms hunter always has her favorite food in her bowl"/>
        <s v="glad i found you shipped order right away you made my dog very happy"/>
        <s v="my year old diabetic cat was out on a diet of royal canin pv diet absolutely no one had this food i found petflow while surfing web one night saw that they had food i needed i ordered food there was a bit of a delay with my prescription its readability bu"/>
        <s v="petflow awesome great customer service"/>
        <s v="fantastic customer service great prices fast shipping i am trying purchase less from large retails like you know who havent had any pet food or most pet supplies since finding petflow"/>
        <s v="dog wont eat food so stiff if wont come out of can"/>
        <s v="my second time buying my pet food at petflow what i like most possibilito buy two packs with a better price delivery free ok not fast but ok good know that it took days delivery than you need buy in advance"/>
        <s v="process order a prescription food ridiculous instructions on how handle prescription are incredibly unclear expected timeline of when your order will be delivered even more confusing i placed my order immediately emailed prescription almost a week late th"/>
        <s v="great service you had cat food i needed when every other place was out of stock prompt delivery thanks so much"/>
        <s v="availability of special diet fast friendly customer service"/>
        <s v="no problems quick efficient"/>
        <s v="great customer service always have products that i need when i need them thank you petflow"/>
        <s v="i have been ordering from petflow sometime now i truly love it its hard find certain brands like fromm from your local pet stores so i airways shop here did i mention shipping pretty fast i am happy customer"/>
        <s v="i was able find food my cat herehe has ibd can only eat certain foods these kind people give great service answered all my questions im very pleased with pet flows service"/>
        <s v="i buy crickets very often i got were dead usually always there are some dead but this time number was higher not good"/>
        <s v="very satisfied with my order i was notified when treats my dog eats were available they contacted her vets prescription information sent out immediately"/>
        <s v="ordered prescription food on a time crunch confided x with customer service it was ordered confirmed waiting ship then finally cancelled after a week horrible service"/>
        <s v="my dogs love buffalo treats great value service"/>
        <s v="they always have what my parrots need everything fairly priced"/>
        <s v="i was able connect with customer service about issues with my prescription they took care of it i received my cat food thank you"/>
        <s v="very user friendly process good variety of product reasonable prices love free shipping with orders over keep up great work"/>
        <s v="good products good service delivery"/>
        <s v="my dogs food was not available where i usually purchase it so i tried petflow they had food i received it next day i was so pleased find a company that stocks dog food i use sends it quickly efficiently i have since used petflow treats other doggie goodie"/>
        <s v="after being informed in th hour from another site that my auto ship dog food was not in stock order could not be filled i went pet flow site they had food i needed it arrived as promised i was very impressed grateful"/>
        <s v="first shipment was short contacted customer service via email a replacement item was shipped immediately great customer service"/>
        <s v="very happy you carry verus delivery quick&#10;thank you"/>
        <s v="petflow was fantastic food was in stock at a great price even though bigger companies did not have it claiming supply chain problems delivery was super speedy customer service prompt friendly highly recommend"/>
        <s v="i was relieved that petflow had urinary diet food my cat when other big name pet suppliers were sold out ordering ease timely shipping were other plus factors"/>
        <s v="my vet recommended this website my prescription cat food i enjoy fact that you can add promo codes when they arise online auto ship orders i am also able get my cat litter&#10;&#10;the only issue i have that petflow does not sell multicat tidycat breeze pee pads "/>
        <s v="have been a satisfied customer a while with pet flow&#10;more importantly our dog gets excited when his box with his favorite treats arrive&#10;pet flow has acceptable prices prompt service on their high quality products"/>
        <s v="they were fast with shipping awesome prices"/>
        <s v="i have never had wait so long an order from pet flow my poor cat has run out of his special diet food we have been waiting i order both canned dry food him his canned food in back order im disappointed on how long ive had wait my cats food"/>
        <s v="i do like pet flow as my go food delivery system sometimes products are a day or two late one of my deliveries actually contained two lb bags in one box which i was not happy with also i would appreciate some packing like paper or something cover dog food"/>
        <s v="fast shipping great price dog food we needed we couldnt be happier with transaction thanks petflow"/>
        <s v="i have purchased oxbow organic hay before oxbow a great company products were fine time it took get order out was fast however fedex lost first order not unusual customer service rep at your company was kind enough replace order i like your company but i "/>
        <s v="there obviously a shortage on royal canin cat food i called royal canaan they recommended this site so i ordered a case when they were filling my order they didnt have any so that was that and i still dont have any food ordered her i dont know whats going"/>
        <s v="i have used pet flow years theyve always done a good job provided what i needed this time they didnt have what i needed they were a little late in letting me know but other than that i have no complaints"/>
        <s v="i placed my order prescription dog food on a sunday night received someone elses order on thursday called customer service advised of issue asked that they ship correct order at no charge with overnight delivery was told they wont ship overnight on friday"/>
        <s v="excellent service fast delivery"/>
        <s v="impressed dog food arrived in perfect condition in a box that fit bag something that doesnt happen with other companies"/>
        <s v="i love petflow great customer service fast reliable service great dog food my babies in great price&#10;im petflow customer since i became doggy mommy almost years ago my golden retrievers are doing amazing on farmina food"/>
        <s v="i adore petflow i love what company stands donations they make unfortunately they just dont have everything i buy my pets so i find myself going through other companies get them i would love see them grow though offer more what i can find or even find a r"/>
        <s v="good service although a bit slower than our other service which may have been due vet not responding promptly"/>
        <s v="this was my first time ordering with petflow i must say it was great it was a prescription food it was faster than ordering with chewy would highly recommend"/>
        <s v="had product my babies needed when everyone else was out fast easy checkout fast shipping"/>
        <s v="quickly received ill be back"/>
        <s v="great service had items i needed i love giving back needy animals"/>
        <s v="i get same dog food every time last time i ordered it took longer than expected receive it but this time it was tracked arrived earlier than expected totally satisfied"/>
        <s v="great service good prices"/>
        <s v="normally i am very happy with petflow with exception of some packaging missteps this time it just took too long get here but everything else was good not sure if that was due shipping issues country having now or if it was internal by shipping out later t"/>
        <s v="i received a substitute product that would not work in my household of pets i called immediately product i had ordered was sent me from a different warehouse"/>
        <s v="great deal with fast shipping highly recommend"/>
        <s v="fast shipping not a big selection of fish products but what they do carry have very good prices"/>
        <s v="all of my normal vendors were out of my babys food but i was able order via petflow it arrived within days thank you"/>
        <s v="i am very happy have found petflow i run a neonatal kitten rescue it vital i am able find same productsfood i use on a daily basis not being able find purchase certain foods critical some kittens i only leave one star off because of amount of time it take"/>
        <s v="petflow was only location i could find prescription food i needed my cat everybody else was out of stock it took business days get vet approval receive order longer than other vendors but at least they had what i needed overall pleased with this purchase"/>
        <s v="after i gave my credit card info counted on receiving shipment i was then told later on that it was out of stock"/>
        <s v="order process was great as wellas returns my dog food that i ordered came in a package all tore up delivery by fedex which i have issues with with other shipments from now on i will not be buying anything on line from companys that use fedex"/>
        <s v="waited months my cats favorite wet canned food come in finally got a notification that it was in would be shipped me i noticed address was incorrect old address so i corrected it after another week i got a notification that it would be delivered tomorrow "/>
        <s v="i just ordered from petflow first time had a great experience food i needed was in stock i was able get a discount as a firsttimer package arrived promptly i have no complaints"/>
        <s v="good selection prices delivery"/>
        <s v="love love petflow they had my cats food in stock when no another vendors have it shipping fast thanks again petflow keeping my cat happy"/>
        <s v="i was grateful find petflow because they were only company online or in store that had stock of my furboys prescription food as a pet parent i was panicking they handled contacting our vet prescription had food us within a week thank you petflow"/>
        <s v="well considering i only got part of my order nobody knew where rest of it went they had reissue it as well as it being prescription food first time ordering with company id say it didnt go well"/>
        <s v="had competitive prices with other online retailers customer service prompt pleasant when i called with a question fast shipping all as expected had products when other online retailers were out of stock"/>
        <s v="easy orderinglove getting discount really helps in this day time please continue offering more higher discounts customers will choose you every time shipping was quick great packaging thanks"/>
        <s v="great prices on fromm dog food fast delivery on a great product"/>
        <s v="i have shopped petflow years have always gotten accurate orders fast shipping very good pricesespecially with autoship"/>
        <s v="i didnt get flavor cat food i ordered its my cats favorite reason i ordered from you"/>
        <s v="i have ordered from them only a couple of times but i received good service a timely delivery"/>
        <s v="great service fast delivery"/>
        <s v="petflow shipments are always late will not be ordering from petflow anymore"/>
        <s v="always helpful customer service ive been with them more than ten years much easier than schlepping store every month buy their food i have five doggies"/>
        <s v="price reasonable slow on shipping several of cans were dented caved in so will check careful leaks before i feed my dogs"/>
        <s v="i love service its so quick every order always correct"/>
        <s v="petflow since they came online has been an important part of my supply chain&#10;reliable good prices helping animals&#10;thank you"/>
        <s v="petflow took care of my request shipped my order rapidly this was much apppreciated"/>
        <s v="great product fail on fedex ground delivery&#10;driver didnt delivery on first attempt drove past my house need address this"/>
        <s v="i was truly in a bind trying get prescription cat food fast my cat with a newly diagnosed urinary tract disease gentleman i spoke with over phone was compassionate toward my situation genuinely helpful in quickly getting my prescription verified by vet my"/>
        <s v="petflow has been excellent with every order i have placed i will continue use this company products"/>
        <s v="usually a this was only a as one of cans was dented"/>
        <s v="petflow carries brands of foods i use our cat guide puppy in training our guide dog school likes us use fromm family foods fromm made in usa fromm brand not carried by many stores or online shops auto ship helps me be sure not run out&#10;only negative i find"/>
        <s v="fast shipping new customer very happy autoship prices are very good"/>
        <s v="competitive pricing dependable shipping carries prescription food at better prices than vets office offers"/>
        <s v="first time using this business it was a very positive one i ordered a large bag of victor dog food it was delivered very quickly will use them again"/>
        <s v="very helpful extremely friendly"/>
        <s v="only place i can consistently find my dogs brand of food easy ordrr fast shipping prices are reasonable as well with autoship prices are even better"/>
        <s v="i purchased science diet wet puppy food my new puppy he refused eat it i contacted customer service by email explained my situation that same day i received notification that i was being refunded my purchase price&#10;that excellent customer service that stan"/>
        <s v="i purchased an item online said only two left i ordered two got an email next day they were our whats point of having an inventory notice online if its not accurate other orders are allowed product you just paid gir disappointing"/>
        <s v="horrible buying experience i will never buy it from you guys again"/>
        <s v="wow customer service fast genuine but this also a rare company that gives back in amazing ways sure they are smaller but thats where usually care happens thank you petflow"/>
        <s v="since there a shortage of my dogs prescription diet i called several times get information on deliveryevery time i had a helpful friendly employee on phonethey understood my concerns did everything possible helpmy pup got his food thanks petflow directly "/>
        <s v="i would give it stars except that flap doesnt quite close otherwise it a good door price that allows my year old great dane not have stoop as much as he goes through"/>
        <s v="easy order at a great price so impressed that i chose have a standing order our beautiful breezy"/>
        <s v="quick response time friendly customer service"/>
        <s v="i like that pet flow accurate with information they share with me options i have with my orders thats really important me id also like ask that dm food i get from now on be savory select cat food instead of pate which my cat wont eat thank you"/>
        <s v="happy with product however when i ordered it said it would ship immediately days later it finally shipped i needed dog food with that day delay it made me go purchase a smaller bag get me through"/>
        <s v="very easy online ordering pretty fast delivery im not able purchase fromm dog food where i live i actually found petflow on fromms website"/>
        <s v="very fast delivery"/>
        <s v="i ordered dog food on march th still waiting delivery its been almost two weeks my orders from pet flow in past have been delivered quickly"/>
        <s v="shipping takes too long but i can deal with that what unacceptable when you have items listed in stock when you really dont specially when it comes items that need a veterinarian prescription i dont care how big of a company you are thats why they have co"/>
        <s v="very easy order prompt delivery of product ordered"/>
        <s v="my order arrived in a timely manner beautifully packed with recyclable materials i received discounts that compare favorably other online pet suppliers i wanted order fromm products fromms familyowned company will only sell through certain companies that "/>
        <s v="pet flow was willing sell me a product they did not have in stock pet flow said that manufacturer hills science diet had pet food in their warehouse i telephoned hills science diet they also report not having purchased cat food in stock"/>
        <s v="in my last order dog food petflow order was first just later than expected when i called up customer service i was told that orders were piling up at petflow but that order would be given an expedited designation by customer service person day after that "/>
        <s v="best company ever ive used them years theyre dependable refund your money if your dog reacts badly a new food or treat etc or if a treat they sold has been recalled by its company which not petflows fault their prices are even lower than chewyi tell peopl"/>
        <s v="great service arrived quickly got exactly what i ordered"/>
        <s v="my dog loves this dog food it was very quick getting us thankyou"/>
        <s v="product almost always in stock good variety of brands my dogs use quick delivery but packaging always arrives damaged likely because its just too heavy"/>
        <s v="i ordered two bags of dog food it was delivered in a beat up box dropped feet from my covered porch in rain sure seller didnt leave it in rain but are responsible safe arrival of package my star rating because i contacted customer no service with photos o"/>
        <s v="ive been buying from petflow years im very happy with their products prices only issues i ever have with delivery companies constantly changing delivery date otherwise i love petflow"/>
        <s v="service was good efficient price seems a bit high pound bag of dog food was twice price i would have paid a pound bag at walmart but with transportation down would order again"/>
        <s v="petflow always comes through me no complaints"/>
        <s v="perfect timing get my prescription food my kitty"/>
        <s v="until now i have had no issues with petflow order food dog dog food delivered promptly&#10;&#10;this time i ordered dog food as usual have waited waited waited it be delivered three days after getting this request a review i have finally gotten an email stating t"/>
        <s v="this only place that has my dogs treats customer service has been great with changing a delivery date due weather checking on expiration dates"/>
        <s v="you got always what i need my pets more shipping always on time"/>
        <s v="super slow at shipping that makes me not use them often"/>
        <s v="excellent service delivery etc i love petflow"/>
        <s v="im so happy have found you you will have a customer life"/>
        <s v="my box was damaged along with contents inside i emailed explaining what happened was not satisfied with customer service will never be ordering from petflow again will tell everyone i know not horrific"/>
        <s v="fast excellent service"/>
        <s v="good prices fast delivery i will continue order from you all recommend your site"/>
        <s v="i placed my order then called tomake sure that product was in stock i was told product i wanted oz can was not available but they would change it oz cans i told gentleman that it wasnt my first choice but if he promises thatthe product was available then "/>
        <s v="i love petflow shipping fast customer service great i especially love fact that they feed shelter animals every time you make a purchase"/>
        <s v="excellent service dependable"/>
        <s v="we are very happy with petflow they always have exactly what we need we receive all products in a timely manner"/>
        <s v="with petflow i have been able find good quality pet supplies at exceptional prices i usually receive my order next day i have no complaints"/>
        <s v="i contacted petflow about getting food my dog representative had information already on file was extremely helpful she notified me of automatic refills i received food after three days very efficient i would recommend this company all my friends dog owner"/>
        <s v="product was great but delivery took days long premium price"/>
        <s v="you usually deliver quite quickly but this took a week in addition there was just one sheet of brown paper many of cans were dented"/>
        <s v="real quick in shipment correct itemresonable price"/>
        <s v="ive always had good experiences with pet flow but last order had some issues a bag of dry dog food had a hole in it some of cans were dented pretty badly well i contacted their customer service they sent out a completely new order free so they really made"/>
        <s v="times i have ordered from your company each time shipping has not been what was stated it has each time shipped later than stated ship date when i would inquire there would be excuses your prices are same as competitors but their shipping much more reliab"/>
        <s v="petflow folks are always helpful great products my animal kids thank you"/>
        <s v="would not accept a copy of prescription medications wanted it mailed caused further delays other online firms dont require this"/>
        <s v="i am very pleased with petflow pet food i was needing was not in stock at a local big box store that normally has best price petflow had it in stock smaller poundage however with their off first autoship orders i was able get more pounds at a cheaper cost"/>
        <s v="had products i wanted received items quickly"/>
        <s v="timely delivery had my cats prescription food when other vendors did not"/>
        <s v="i did not hear from pet flow quickly that they could not fill my order of specific dietary cat food but they cancelled my order i believe will not show on my credit card i understand there shortage of pet food right now but their website said in stock&#10;&#10;go"/>
        <s v="i ordered a food which my pets really need since it prescribed it was out of stock but i wasnt told promptly i had contact support learn they were out planned cancel my order days later"/>
        <s v="great products fast shipping"/>
        <s v="excellent product quality very professional customer service prompt delivery"/>
        <s v="i love petflow they feature my dogs brand of food which he has eaten since birth fromm as well as a good selection of treats toys ordering a breeze online deliveries are prompt even with all delays in supply chain delivery services thoughtfully packed thi"/>
        <s v="my dog was given dry dog food canned dog food pet flow dog food all at same time he rooted around until he found pet flow that always his first choice he loves it"/>
        <s v="outstanding company with great service prices fast shipping"/>
        <s v="they always seem have our dogs food whereas as certain stores rarely do im continuously told that its all due covid which im sick of hearing yet petflow always comes through which why ill continue purchase our dogs food through them dependable punctual wi"/>
        <s v="i feel that if you sent prescription authorization all bags of food my vet they would of be authorized by sending over a script bags then another remainder bags caused a problem script was denied being a duplicate"/>
        <s v="my products were delivered in a timely fashion no damage any of cans"/>
        <s v="great deal kept me apprised of status arrived as promised"/>
        <s v="i have been a customer of perflow years always happy with products they carry their customer service department"/>
        <s v="i was waiting my order on shipped on delay in arizona delay in san diego delivered on i dont know delay problem&#10;felipe lopez"/>
        <s v="website ease use service has been good prices reasonable"/>
        <s v="excellent prices fast shipping thank you"/>
        <s v="received fast shipping on product prompt courteous customer service from petflow reps"/>
        <s v="petflow had food that i needed my dog in stock less than hrs of placing order my vet sent in script food arrived within days int was great ti be able find food that was hard find on other sites"/>
        <s v="excellent customer service great fast shipping very pleased"/>
        <s v="we have used petflow dog food purchases about a year everything about service was great however my low rating based on customer service interface on their website i discovered i can buy product cheaper locally tried cancel my autoship order when clicking "/>
        <s v="beef pizzle steer bully sticks dog treats gave both of my shih tzus terrible diarrhea i only gave them a small piece"/>
        <s v="i have ordered online convenience but your delivery company has made it inconvenient i am sorry but trying carry a large heavy box from my condo mailboxes my unit so it not stolen too difficult my daughter will pickup food at her local pet store bring it "/>
        <s v="easy order find items on your web site fast delivery friendly help"/>
        <s v="great prices dependable free shipping"/>
        <s v="my dog food arrived quickly was just what i ordered will use pedflow again thanks"/>
        <s v="i ordered an instock item which took two weeks receive then it was wrong item first last time ordering from this company"/>
        <s v="they had food when no one else did shipped it quickly happy customer"/>
        <s v="fast delivery of perfect puppy food my little baby going order some more puppy treats so glad offend you all"/>
        <s v="delivery a little slow i sent coupons you but they were never applied my account they should have been sent back me thats bad business"/>
        <s v="prices are comparable other sites but petflow offers coupons deals that keep bringing me back shop here shipping fast too"/>
        <s v="lid on my automatic dog feeder water combo was broke when i got it"/>
        <s v="it was easy place my order delivery was in a timely manner i will order again from petflow"/>
        <s v="with shortage of pet food currently challenging all pet owners i appreciate your quick shipping policies i realize that it hard keep stock on hand you certainly helped us secure supplies our cats thanks prompt service we look forward future purchases than"/>
        <s v="prompt when shipping items in stock not so prompt in communicating when items are back ordered website shows them still in stock i placed an order my vet approved february i checked on it february was advised wet food was cancelled because my vet turned i"/>
        <s v="packaging was poorly done on feed bags needs send in stronger boxes"/>
        <s v="everything arrived in good shape happy with my purchase"/>
        <s v="great products fast delivery recipe success"/>
        <s v="it helpful have pet food delivered pet flow gets my order correct it comes on time thanks"/>
        <s v="thanks having food i wanted when no one else did quick delivery too"/>
        <s v="always reliable stock fast shipping"/>
        <s v="my order was shipped fast well packed&#10;it was here in a timely manner very pleased with transaction will buy from again h"/>
        <s v="shipping too long items arent shipped together"/>
        <s v="great first time buyer experience delivered in a timely manner in good condition"/>
        <s v="great customer service easy online ordering prompt action delivery thanks petflow"/>
        <s v="years i have been happy with petflow"/>
        <s v="petflow prices are very competitive their shipping speed excellent i had a question once received a reply within minutes not hours or days like some other companies very pleased with petflow"/>
        <s v="what a great company fast shipping great products when i searched many sites my cats favorite brand with no luck i found petflow very happy i did would highly recommend"/>
        <s v="some cans were damaged dented it would be good if products are in good shape prior shipping"/>
        <s v="i was so impressed package was delivered within just a couple of days impeccable execution"/>
        <s v="not happy back order food reordered delivered without discount thinking about switching chewy"/>
        <s v="hard give a review when i havent received my order yet because it has been delayed times i know that times are hard a lot of companies so im going keep my fingers crossed hope cat food gets here before our cats eat us"/>
        <s v="quality dog food good prices fast delivery"/>
        <s v="they always have what i need in stock at reasonable prices i usually receive my order within a week great customer service too"/>
        <s v="love it great place shop"/>
        <s v="every time i reach out petflow they resolve an issue almost instantaneously my cat food cans came completely dented partially opened they replaced all of them quickly my off coupon didnt go through they credited it immediately their customer service best"/>
        <s v="cat food i bought help my cat lose weight inferior purina products in every measurable metric these varieties contain ingredients that should never be fed a cat"/>
        <s v="great service great quality great prices"/>
        <s v="instinct dog food great howeer fedex shipping sucks package sat on truck days being listed as out delivery as common occurrence i would order from petflow more if they did not use fedex"/>
        <s v="when i order my food always delivered very quickly without any delay or problem we have been getting our two dogs food from petflow years now are very happy with service we have received"/>
        <s v="i really enjoy petflow you have all dog food products i need its delivered in a very timely fashion"/>
        <s v="i wish you could get expiration dates on products before they ship especially on auto ships"/>
        <s v="as a new customer with cats a feral family of cats ive been pleased with product selection timely shipping thanks"/>
        <s v="my first order it was easy arrived quickly"/>
        <s v="great customer service over phone as i was concerned about being out of food they were receptive put order as a stat order"/>
        <s v="very happy with delivery process how fast it arrived"/>
        <s v="a year ago i would have given you five stars but in last two months or maybe three you have not been able deliver kind of pet food my dog eats honest kitchen turkey or chicken last time i ordered stellas beef you sent only a very small package&#10;&#10;i havent r"/>
        <s v="i am very satisfied fast delivery discounts"/>
        <s v="great prices communication follow up always a pleasure do business with"/>
        <s v="thank you so much getting charles his food so quickly hes had pancreatitis almost a year which means he on a very strict diet of prescription foods only i order on monday you have charles his food by thursday friday at latest thank you once again"/>
        <s v="easy place an order quick timely delivery"/>
        <s v="fast easy helpful customer service great products"/>
        <s v="fast delivery quality product damage that required disposal of some product but unclear if result of shipper or not"/>
        <s v="appreciated quick turnover delivery of y prescription dog food good communication about timing"/>
        <s v="i like decent prices fast delivery however every package arrives damaged everytime contents are often damaged too they would get a higher rating if that remedied"/>
        <s v="last three shipments it ran into several issues&#10;for various reasons my shipments were delayed&#10;i no longer can rely on fact that my dogs food will be delivered in a timely manner&#10;i am looking into over options"/>
        <s v="great selection received everything quickly on time as ordered"/>
        <s v="two months in a row they messed my orders up so bad i had too buy dog food get them through until delivery it caused my dogs upset tummies loose poo itching doesnt make them or me very happy&#10;&#10;i have had issues before but this last time i do not recommend "/>
        <s v="got prescription promptly after poor start now all well good service fixing early problem"/>
        <s v="i cannot give a review as yet because my product has been back ordered some time i am a first time purchaser at pet flow found website be easy navigate i browsed through site found so many good products products i will definitely use my husky on a prescri"/>
        <s v="great service fast shipping"/>
        <s v="i was pleasantly surprised at how quick i received it"/>
        <s v="i love ordering from petflow all my pets needs dog food cat food treats anything else that my pets need i love that they are a small business they have great customer service always keep everything i order fresh i have been buying from petflow so many yea"/>
        <s v="petflow had what i was looking at a good price shipping was fast"/>
        <s v="it took way too long receive my order chewy does a much better job"/>
        <s v="we received our order on time free delivery was convenient"/>
        <s v="i love petflow easy ordering quick delivery never any issues at all so glad i found this company"/>
        <s v="love pet flow have used them over a decade highly recommend any customer service calls are quickly resolved but i have only had whole time"/>
        <s v="customer years pet flow our favorite dog food center"/>
        <s v="price fair delivery was quick"/>
        <s v="prices are good shipping was quick i was kept up date from order confirmation through delivery notification"/>
        <s v="we our cats loved all toys we selected they arrived safely and&#10;in a good amount of shipping time will order more in future"/>
        <s v="ive ordered twice in last couple of weeks prescription cat food nexguard both times they reached out my vet in a timely manner i received my orders within a few days&#10;will definitely use them again"/>
        <s v="good prices fast shipping"/>
        <s v="petflow maintains a huge assortment of animal foods provides prompt shipment"/>
        <s v="was told shipment would arrive in days was told on fifth day being delivered between am or pm didnt arrive until days later no one worked over weekend assist me&#10;&#10;good prices bad info order well in advance of day needed"/>
        <s v="i changed my address weeks before moving in november placed an order weeks after move my food was still delivered wrong address customer service never fixed it placed another order in feb it was also delivered wrong address customer svc finally gave me a "/>
        <s v="pet flow did everything correctly fedex lies claims they deliver packages when they do not"/>
        <s v="i feed a very good high quality dog food i live in a small town unfortunately little store where i purchased my dogs food stopped selling all pet products i was going have drive minutes each way another city get dog food a friend in dog rescue world told "/>
        <s v="good selection prices during a difficult time but i was disappointed that two items i ordered turned out be out of stock but that was not indicated at time i placed order i only found out later when instock items were shipped as a result i missed out on c"/>
        <s v="petflow great they consistently have my pups dog food in stock as well as some cool toys"/>
        <s v="everything wonderful except fact that its difficult cancel reoccurring orders this shouldnt be made into such a hassle that i have call that be done"/>
        <s v="happy i made switch&#10;&#10;i recently switch from a competitor petflow all my daily pet needs i made this switch because their prices were simply better lower than leading competitor same or similar products delivery service as good if not better that my previo"/>
        <s v="no problem with company but will only ship with fedex fedex lost my package so never received my order from petflow what i ordered has been on backorder ever since"/>
        <s v="bought a case of cat food from petflow as chewy was out of stock at time product did not ship over a week at end of week i cancelled order emailed customer support which confirmed order would be cancelled two weeks later my account charged ordered that wa"/>
        <s v="my order arrived on time in great condition my pup loves her new food"/>
        <s v="super easy shipping processing experience they contact vet directly deliver incredibly quickly"/>
        <s v="treats were shipped really fast was a better price service compared amazon"/>
        <s v="fast delivery especially good heavy stuff i just wish there was a wider variety of cat treats toys dental treat that i wanted get was sold out its been sold out a while hope its restocked soon"/>
        <s v="ease of ordering how fast my order arrived was awesome"/>
        <s v="i had best girl with customer service who was able secure a nice discount our auto ship order thank you"/>
        <s v="system has twice now changed my auto delivery date a year in future making it impossible me correct it online schedule an immediate delivery because i am only allowed select a delivery date after last delivery which according their system was months from "/>
        <s v="placed my first order with petflow had a issue locating my order details i contacted petflow customer service received a a response within hours that resolved my issue very impressed with their response my questions received my order on time would purchas"/>
        <s v="i love petflows selection mission please try have your shipping times better reflect how long it will take with supply chain issues it would be better say a package will arrive later be happily surprised if it arrives early vs saying it will arrive early "/>
        <s v="petflows shipping was quick efficient i love that my order helping others in need im glad that my pets food supplements are available through pet flow only thing i ask add merrick canned dog food with healthy grains"/>
        <s v="i had a problem their customer service rectified problem&#10;very pleased with how it was handled"/>
        <s v="fast shipping product arrives in great shape no holes or banged up boxes auto ship flexible ways edit great notifications shipping arrival always fresh food with good dates"/>
        <s v="most of representatives i spoketexted with were wonderful i was disappointed because while waiting prescription dog food ship i was given a few different responses depending on who answered petflow customer service line&#10;but now i received what was needed "/>
        <s v="took a little longer than estimated it ship but thats probably manufacturer availability being what it right now pet food i am extremely happy have found another resource prescription kibble fast handling shipping when ready"/>
        <s v="pet flow order came even faster than expected"/>
        <s v="i ordered prescription science diet cd canned food it arrived on time this first time i ordered from petflow i hope order from them later intime"/>
        <s v="my cat winnie loves nutro wet cat food i was able find wet food winnie loves petflow sent it right out us quickly i am happy i found petflow"/>
        <s v="food shipped quickly every time communication excellent wish theyd get rid of one button in checkout that makes you check just ship once every time"/>
        <s v="i have relied upon petflow hard find foods even from online sources their product delivery fast reliable their website efficient easy maneuver no problems have cropped up as happens sometimes on amazon i have always been pleased with my experiences with p"/>
        <s v="pet flow was only place that had prescription food i needed&#10;they were very helpful by making my order a critical ship so that i would have food in time my pet be boarded"/>
        <s v="i have been shopping at petflow am very pleased with their products price service they are prompt on shipping keep you informed if there are any issues with your order my dogs love bones beef tendons"/>
        <s v="never received what i ordered days later they told me it was ever in stock i will never order again from this loser company"/>
        <s v="i appreciated being informed that you were out of an item i was refunded promptly i had ordered take advantage of free shipping i inquired if i was going be charged shipping on one item it took some time verify that i wouldnt be charged thank you but i wa"/>
        <s v="no complaints &#10;i got what i wanted it came soon"/>
        <s v="this company stinks i ordered enough get free shipping then they email me say they do not have dog feeder that was entire reason purchase so i ask them cancel it it was already shipped so i ask can i return it they said yes sent me shipping label then sai"/>
        <s v="i ordered prescription cat food said it was in stock but it wasnt after waiting shipping confirmation that never cae after several emails i was informed that you canceled my order"/>
        <s v="petflow needs some serious work on its autoship program i am supposed get a shipment of dog food every three weeks my autoship records show my last shipped my next ship date considering this only february your autoship program needs some serious work"/>
        <s v="you provided excellent service my order was shipped when i was told it was complete i will definitely be reordering thank you"/>
        <s v="fast easy ordering my dog loves food"/>
        <s v="petflow a wonderful place get everything your furbaby their prices stock are superb they ship immediately im so glad i found them"/>
        <s v="weve ordered from this company many times have only had one issue which was out of their control canned food arrived badly dented but pet flow immediately issued us a replacement other than that their delivery service fast good i would recommend this comp"/>
        <s v="i reached out customer support they responded very quickly were very helpful easy work with"/>
        <s v="i have not received my order have not heard back from petflow"/>
        <s v="you had prescription food i needed when no one else did thank you"/>
        <s v="i texted petflow with an issue i was having with my account they contacted me shortly afterwards asked my email address associated with my account fixed issue within minutes associate who helped me was polite informative a pleasure communicate with about "/>
        <s v="shipment was much faster than chewy within my own state whose ship center only maybe an hour away from where i live thank you as i had ran out of food my dogs this shipment was well packaged super fast"/>
        <s v="i adopted a special needs cat we rely on hills prescription diet digestive care canned food he came me with a can supply it works really well him maintain his weight keep his tummy happy its only food he can eat without it coming back up if you know what "/>
        <s v="on time when product available"/>
        <s v="great product but i knew that glad i could get it deliveredseemed almost twice as expensive as my local source"/>
        <s v="great shoplow pricefast delivery"/>
        <s v="no issues order was received quickly except bengals shirt wasnt in time game but understand it"/>
        <s v="great deals on dog food with quick delivery"/>
        <s v="this was my first order was pleased with entire experience&#10;looking forward ordering when i need food again"/>
        <s v="i ordered van ness medium crock heavyweight dishes dishes were delivered in a timely manor in excellent condition price was outstanding we are very happy with petflow will order again"/>
        <s v="was disappointed in how long it took my order get here"/>
        <s v="petflow was efficient with excellent customer service will continue order from this fabulous pet source"/>
        <s v="my order never arrived fed ex said it did but there no pound box of dog food anywhere"/>
        <s v="by requiring our vet set up an account with your company you made it impossible purchase our cats prescription diet so we went with another company that easily connected with our vet got job done your customer service was friendly easy communicate with"/>
        <s v="i have had my dog food delivered by petflow several years all was good until last mo of my orders were delayed point of having go a retail store purchase dog food on occasions one order was days late thankfully as of things are looking upknock on wood hap"/>
        <s v="very angry with you because i could not buy food my puppy since you asked veterinary clinic a code in mail that you sent they did not know what code was i hope that in future you will cause fewer problems help more"/>
        <s v="pet flow never disappoints me or my fur babies my orders are sent quickly always correct rarely do i have call customer service only if i need make a change my auto orders i am a very loyal customer dont plan on changing"/>
        <s v="easy ordering quick delivery makes it so easy thank you"/>
        <s v="i ordered a product&#10;&#10;there was some type of glitch in my credit card process&#10;waited waited delivery&#10;&#10;finally called then was told of issue&#10;&#10;no email&#10;no notifications&#10;&#10;just left in dark&#10;&#10;i ran out of dog food my dog while at my home in new hampshire&#10;had dr"/>
        <s v="this was my first order with petflow they had product in stock that i couldnt find elsewhere they shipped fast very pleased"/>
        <s v="with problems today about getting pet food it reassuring me that when i order food my cat or dog it never out of stock well done thank you"/>
        <s v="site shows in stock when in fact it not&#10;when you call customer service they tell you it was just purchased its now unavailable&#10;yet a few days now weeks later it still shows it in stock&#10;this place cannot be trusted"/>
        <s v="ill have an opinion when i confirm new bag my dogs food came in more often than not bags are slicedripped open slipping in box theyre delivered in resulting in having get a new bag which costs your company more money your staff needs get with program its "/>
        <s v="use a different shipping company took days get me"/>
        <s v="my cat had emergency surgery bladder stones i had immediately switch his food everything was prescription level i couldnt find it anywhere locally this happened over weekend price from pet flow was among lowest i could find if not exact same as competitor"/>
        <s v="shipment was packed best that i have seen no bent cans package was far better than other vendors that i have bought from"/>
        <s v="i have been using auto ship with this company quite sometime have liked product my dogs recently tho food we choose has been out of stock this disappointing hopefully this will be in stock again soon"/>
        <s v="my papillons love fromm duck veg i mixed it with their old dry food they would sit pick out fromm duck"/>
        <s v="order was filled as promised i ordered aquarium supplies gravel lighting arrived as ordered shipping was a little slow but there were delays due weather from fedex new jersey warehouse was out of one of items i ordered but quickly filled order via las veg"/>
        <s v="petflow provides everything i need my senior dog nora prices are competitive items are in stock quick delivery outstanding customer service we are happy loyal customers"/>
        <s v="i ordered cat food&#10;the order didnt go through petflow said that vet didnt think they were a reputable vendor&#10;never heard that before"/>
        <s v="have been using petflow years&#10;&#10;love price free delivery phone staff are always friendly products are what i want my furrbabbies usually get them a toy great selection"/>
        <s v="website listed my cats prescription cat food as available so i ordered it several days later i receive notice that it out of stock so now my cat has go a few days without her prescription cat food this was my first time using your company it will most lik"/>
        <s v="very nice company work with"/>
        <s v="i was very pleased with order that i received how promptly it was delivered i certainly recommend this company your pets food ordering online was very simple id say i received my shipment within maybe less than a week after i placed order theyre a pleasur"/>
        <s v="available inventory good pricing made this go choice feed my pets"/>
        <s v="i like shopping at petflow have been doing it over years like ordering nutrisource dog food since they are probably only ones that carry it online lately ive been taking advantage of their discount on nutrisource but on negative side my last bag came with"/>
        <s v="you had my hard find food&#10;i like your tracking method&#10;arrived timely"/>
        <s v="lady who took my order was very professional knowledgeable helpful caring she placed my order fast without any trouble great experience"/>
        <s v="one thing about petflow they just get it done you order your product you get instant verification confirmation your email then when shipped you get tracking number along with any updates from carrier that might come up this main reason i use them above an"/>
        <s v="i shopped online royal canin digest sensitive cat food your website showed you had it in stock i placed orders each cans within minutes of your website updating that it had stock your email confirmation stated that first order would ship out same day seco"/>
        <s v="great company product arrived quickly not damaged i am a very happy customer"/>
        <s v="very fast accurate delivery&#10;thank you"/>
        <s v="good price quick delivery good product"/>
        <s v="they have food i want my dogs it arrives quickly"/>
        <s v="i just want share a wow from petflow i received collar i purchased but release button was so difficult open that i called ask if easier just buy a new one or replace it first guy was sooo nice he said no thats fine we will ship you a new one just throw ou"/>
        <s v="everything always prefect packaging shipping great"/>
        <s v="love petflow they have fromm brand i want which hard find delivery&#10;&#10;i sometimes wish packages would come quicker but last delivery was faster than previous&#10;&#10;good prices easy checkout process like that they save previous orders i dont do automated because "/>
        <s v="my first time using g pet flow very pleasant experience"/>
        <s v="have a good product selectionprompt delivery give discounts long time customers thanks"/>
        <s v="transaction was perfect ordering was easy shipping handling was completed in a timely manor order was received as ordered henry was thrilled with a new ball pleasant surprise"/>
        <s v="excellent service arrived quickly very healthy dog food"/>
        <s v="excellent shipping excellent packaging competitive prices easy ordering"/>
        <s v="they have a great selection of foods i love that they help pets in need they offer rewards referrals"/>
        <s v="excellent source my sweet frenchies needs wonderful customer service they very quickly replaced cases of canned fromms that were damaged in shipping i enjoy looking thru site find special treats maybe another toy"/>
        <s v="petflow had brand of dog food i needed it arrived in days your online ordering was quick efficient keep up great service"/>
        <s v="wonderful company shipping time was super fast customer service team was very helpful i had an issue with my order when i called customer service they were quick help solve issue i have never used petflow before but i will stick with them going forward"/>
        <s v="excellent transaction"/>
        <s v="your company sucks im never buying any thing from you again"/>
        <s v="cat food in stock quick shipping everything in good shape"/>
        <s v="i am very happy with my order from petflow i found cat food on their site that i was unable find any where else it was shipped quickly great place shop pets"/>
        <s v="super fast shipping easy deal with processed my dogs prescription food fast with a straightforward process switched from chewy who were awful deal with"/>
        <s v="i have had a very hard time finding taste of wild wet dog food anywhere my dog pet flow had it i ordered it they sent it right out their site was easy use ordering process was easy as well i will be using pet flow again"/>
        <s v="petflow has been charging me dog food they couldnt source they charged my credit card two bags of dog food but only delivered one i had call monthly get refund after showing them shipping weight did not equate bags but one i missed a few calls now theyve "/>
        <s v="pet flow doing an excellent job of coping with shipping issues generated by pandemic i appreciate that you keep me informed about my orders shipments as you deal with events that compact my order it enables me plan our pet needs thanks so much&#10;&#10;gunnys gra"/>
        <s v="all are ok thank you"/>
        <s v="i am so thrilled with fast delivery awesome service thank you great job"/>
        <s v="as a new customer petflow it worth nothing that their website prices delivery was outstanding exceeded my expectation thank you"/>
        <s v="excellent service price was right delivery was super fast"/>
        <s v="hello&#10;what a difficult experience ordered rx food a very sick kitten on january th then reached customer service on th enquire about timelines a local store was out of stock was running out of food kitten then was reassured that purchase would be shipped "/>
        <s v="freeze dried dog food if handled wrong will arrive as powder order arrived next day in excellent condition thank you"/>
        <s v="ive used petflow a number of years now have not been disappointed once even during crazy shipping times of covid their site easy shop they provide me with lots of flexibility when i need adjust my standing dog food shipment if youre looking a friendly alt"/>
        <s v="easily found dog food i wanted many other sites all local stores were out of royal canin yorkshire terrier loaf in sauce that both my daughter i feed our yorkies not only did you have it but delivery was exceptionally quick even ahead of your predicted da"/>
        <s v="finally found a store that has my preferred dog food in stock thanks your prompt service"/>
        <s v="wish you had a place where buyers could communicate with shippers upon purchase on where place packages shipper left package out on stairs in full view of potential thieves packages need be placed inside of my ft gate at front door&#10;&#10; several cans are dama"/>
        <s v="petflow online shopping a great way shop we live in a rural area not a lot of places shop at petflow i can get fromme pet food my pets eat healthy i also can get healthy treats my pets if not pet flow online i would be driving miles one way shop in stores"/>
        <s v="these tail wagers beef rib bones are so loved by my dogs but i am only allowed buy at a time which i dont like but they are way cheaper than publix which where i was buying them i will continue purchase because dogs love them but i may have found a replac"/>
        <s v="price was good shipping was good but one bag of rabbit food out of about identical bags in order was not rabbit food but hampster food their credit i did not pursue this or notify them of problem just wasnt worth my time i need things be correct first tim"/>
        <s v="repeat customer love them"/>
        <s v="it so nice have a reliable way get what i need my cat"/>
        <s v="first order didnt have any difficulties or problems"/>
        <s v="i ordered treats my fur babies i got a great price on them this was first time i had ordered got treats in a few days best service thank you"/>
        <s v="product was on time buy packaging was smashed you need strengthen you packaging"/>
        <s v="enjoyed prompt service will use them in future"/>
        <s v="im happy they had product i need that theyre willing do autoship only thing that i requested it be delivered by th now its going be five days late so i had go somewhere else pay full price in interim because they didnt ship at all in time period that i re"/>
        <s v="delivery always super fast much appreciated"/>
        <s v="prompt service competively priced"/>
        <s v="paid order only be refunded days later as it was not in stock though it not fault that dog food companies cannot get ingredients make food it petflows fault that food appears on website as being in stock when it not dont sell things you dont actually have"/>
        <s v="ordered products two were out of stock i contacted petfllow multiple times cancel two out of stock products one cancelled correctly but other already shipped so i received a off inconvenience discount on it then after all that two of same product was ship"/>
        <s v="i ordered prescription dog food it was listed in stock placed order sent in prescription email listed two days later got an email saying they were having difficulty getting prescription i sent it again they confirmed receiving it five days later no dog fo"/>
        <s v="local vets out of prescribed cat food could not find any anywhere on line either even with a popular well known pet supplier accidentally found pet flow they had food out cat needs they got prescription right away processed i sent it it arrived when we we"/>
        <s v="items shipped wrong twice customer service promised let me know if items were discontinued or if they were going replace them yet again never emailed or called back terrible customer support still havent been credited back my items"/>
        <s v="quick service n delivery"/>
        <s v="items arrived promptly im very pleased they offer bones made in usa which my dogs love"/>
        <s v="i would have preferred get my items a bit sooner as i have from other pet vendors i also wish i could get grain version of honest kitchens base mix i had go elsewhere do so"/>
        <s v="we started using pet flow a year ago order pet treatsour regular place was out of stock so i searched around found pet flowthey are better priced price doesnt go up down constantlysuper easy order but if you need callcustomer service greatthey also have a"/>
        <s v="i have macaw parrots so ae toys i ordered are same quality i have ordered years now from other companies price was reasonable shipping time very reasonable plus i paid no shipping costs will definitely order again in a couple months"/>
        <s v="very easy use very fast shipping thank you i will use you again my future orders"/>
        <s v="from start finish my order was handled with professional ease i will continue purchase from petflow"/>
        <s v="i ordered puppy food through petflow because it was only place beside amazon that i could get it i was getting a new puppy on tuesday i chose petflow because it said oneday shipping i didnt choose amazon because theres was twoday i needed it faster than t"/>
        <s v="i recently ordered pounds of kibble it was delivered quickly next day i found out my puppy had some dietary restrictions i contacted petflow they were very helpful i was able return unopened bag receive a full refund i am so impressed with this kind of cu"/>
        <s v="i have ordered from petflow almost years service prices are wonderful your staff so responsive knowledgeable best quality of products would never use anyone else im a true fan"/>
        <s v="right products delivered on a timely basis in good shape"/>
        <s v="reason why i did not give stars because its not vacuum sealed i guess easy stocking of product but it wont be fresh anymore who ever i charged of stocking product put a pin hole in each bag tell me if im wrong"/>
        <s v="very happy that what i need my dog in stock it ships in a timely manner&#10;thank you&#10;jean havens"/>
        <s v="i signed up automatic order find this dog food my dog would eat that according reviews was healthy friday january am est pet flow wrote order received order my order did not get a tracking order at first so i confirmed via email email was apologetic offer"/>
        <s v="i placed my order days ago i still have not been advised when it will be shipped"/>
        <s v="my order was canceled no one bothered tell me first time trying order not happy with this"/>
        <s v="i found petflow after searching high low royal canin pv wet cat food when company i usually buy from was out of stock due nature of situation with our cat it was very important we located this food thanks petflow their customer service they exceeded my ex"/>
        <s v="sent me wrong product twice in a row customer service was great in apologizing refunding my payment after two wrong shipments but i shouldnt have go through calling them twice a simple order i think they need educate their warehouse people wont be orderin"/>
        <s v="they carry fromm food our jack russell terriers love great website easy find what we want reorder function makes shopping easy orders ship quickly been using this site several years we are very happy using"/>
        <s v="absolute scam of a company twice now they have sent an autoship that i had paused charged me then when you call they want you do go ship it back them their mistake instead of sending someone pick it up&#10;&#10;also you cant cancel autoships on website you have p"/>
        <s v="i was running really low on my dog petes dry food&#10;i could not find royal canin adult bulldog food anywhere over last month even my automatic delivery sevice was out of stock&#10;i looked online petflow had it in stock yippee&#10;i ordered it with a discount it ar"/>
        <s v="ordered from pet flow first time my dogs food arrived quickly i got a great price on food wil be ordering again"/>
        <s v="i still havent received my product it was estimated days delivery we are almost weeks out no updates whatsoever"/>
        <s v="this was my first order with petflow one item arrived in days but other item still pending with zero communication if its out of stock as it in so many places just communicate that"/>
        <s v="i went online order my dogs prescription food it showed that it was in stock when i ordered it said that i would receive in about days when this date past i emailed response made no mention that it was out of stock days later i called was informed that it"/>
        <s v="order as expected on time prices great value"/>
        <s v="petflow was literally only source my dogs hills hypotreats which are on back order customer service was really helpful product was delivered on a timely basis with adequate followup"/>
        <s v="always get my order fast accurate"/>
        <s v="my experience overall has been very positive during past two years my order processed shipped within a reasonable timeframe it has been very convenient have heavy bags of dog food delivered my door petflow also helps me keep from having stop at pet store "/>
        <s v="fast shipping great pricesamazing customer service"/>
        <s v="website showed prescription food i needed as available quite some time since i placed my order i received my shipment of toys no food was delivered i called on status of prescription dog food was told i would get a response back did not i was told by repr"/>
        <s v="i had a problem with a shipment not being delivered petflow solved problem quickly kept me informed"/>
        <s v="i am so impressed with every stage in purchasing cat food i needed i set up auto purchase that gave me a discount but when i went check out they did not have enough send so i thought i would lose it no same deal they notified me every step of way made sur"/>
        <s v="always pleased with petflow been with them years"/>
        <s v="very fast shipping which really important all products i need are on this website"/>
        <s v="good food good delivered front door&#10;great service too"/>
        <s v="this was first time i ordered from pet flow they were really great i got my order within a few days will definitely order from them again"/>
        <s v="your service has been very good i will continue use your products"/>
        <s v="have been ordering from petflow more than years have never been disappointed with their service prices they keep you informed on progress of your order items arrive in a timely manor auto ship best service they offer"/>
        <s v="always very helpfulprofessionalunderstanding if you have a question or concern or if you need guidance on something willing match pricing more than likely do better than competition only down side they use fed ex who leaves package somewhere in vicinity o"/>
        <s v="i love this company i have always got what i need from them you should give them a try"/>
        <s v="i like that some of my auto ship order wasnt ready shipment you shipped each individual packages automatically without charging me a shipping fee even though contents of either package didnt meet cost requirement free shipping im so appreciative i didnt h"/>
        <s v="i have been ordering from petflow years now even have auto ship it works out great have recommended it friends"/>
        <s v="fast convenient delivery never a problem so much easier than shopping at pet or grocery store love petflow"/>
        <s v="always reliable with super fast shipping a lot of choices&#10;highly recommend"/>
        <s v="my experience with petflow has been all positive they care about there customers"/>
        <s v="this was my first order it arrived promptly petflow was only vendor that had item in stock i would will order from this vendor again very satisfied with them"/>
        <s v="food came in a timely manner"/>
        <s v="ordered dog food food was received in a timely manner never had a problem with petflow"/>
        <s v="ordered a veterinarian prescription diet my dog food was delivered promptly in days this was at a time when food was back ordered couldnt get it at many other places will now be using petflow as my main supplier been very happy with them"/>
        <s v="perfect every order"/>
        <s v="although there are supply issues customer service team excellent so helpful i also receive email letting me know they are still on top of my backorder when it comes in"/>
        <s v="i love pet flow shipping fast their prices cant be beat super cute products a great variety of dog treats"/>
        <s v="petflow not only had what i needed but also at a price that was lower than where i purchase locally my order came in a timely manner i received free shipping which i was very happy about"/>
        <s v="petflow has always been there wfull answers great delivery no bs about anything"/>
        <s v="petflow makes it easy me get a specialty dog food that i am unable get locally as i live in a rural area so far no damages any of my shipments delivery has been fast i also like how they have a variety of toys at reasonable prices"/>
        <s v="ive only used your company once so i cant give an honest opinion of pet flow&#10;what i can see that you should look at switching which company you ship with or at least give options of other shipping companies fedex horrible i used u use them at clinic i wor"/>
        <s v="this second ordered i placed with you i had hoped it was going be a lasting relationship sadly it not in first case i placed my order only part of order was shipped when it arrived i was notified that other item was out of stock this happened again recent"/>
        <s v="great website glad i found it as an alternative my usual my usual store was out of a specific food i was able find it here a good price"/>
        <s v="website order process were both easy shipping was efficient"/>
        <s v="better prices than chewy fast shipping thank you"/>
        <s v="first time buyer impressed by variety choices of products wonderful service"/>
        <s v="hi over a week told me food item was in stock would be shipped shortly called several times was told same story yesterday i was emailed a message that it was out of stock they would let me know when they had it in inventory that doesnt work when it food y"/>
        <s v="thank you kittys love theirs items"/>
        <s v="i phoned prior placing an order verify that my finicky cats food was in stock informed that it was three days later it still hadnt shipped when i phoned again ask when it would ship i was informed that it was out of stock&#10;&#10;i should have been notified of t"/>
        <s v="so glad i found petflow recently i moved another city state i was having a hard time finding food that my standard poodle had been eating i ordered from another company when i was getting low however weeks after my order i still had not received it i orde"/>
        <s v="i order a bag of fromm dog food process could not have been any smoother order came very quickly i would definitely order from petflow again"/>
        <s v="i couldnt find pet food i have been using in stock at all of my regular vendors so i tried petflow because they had it i have no complaints shipped arrived on time i was sent updates along way which i really appreciate"/>
        <s v="i ordered purina pro plan veterinary diet ha on it showed that it was in stock my prescription was verified but as of still has not shipped"/>
        <s v="placed order by phone on th was told order would ship either that evening or monday never received a shipping notice so i finally called on wednesday check on status was told by recording leave a message a rep would get back me no call just received an em"/>
        <s v="company carries great products quick respond with customer service if you wish cancel your auto ship it cumbersome but it does get done&#10;the biggest drawback that they use fedex as their shipper no other option fedex absolutely terrible their customer serv"/>
        <s v="your website customer reps have no idea if products you have are in stock&#10;i place order thinking you have food my pets then i get an email stating food on back order&#10;i need a more reliable company that has food in stock buy"/>
        <s v="when i order a prescription diet cat food it should not take phone calls get it shipped this not optional food that can be replaced with something else temporarily it something my cat needs live on my first phone call i was told authorization from my vet "/>
        <s v="this was my first time using pet flow i found site very east use package came earlier than expected with no problem in packaging they deserve a star"/>
        <s v="i got my exact order very quickly i was impressed because i buy online often it usually not what i ordered poor quality shipped in separate boxes andor late as all get out&#10;not petflow all nice quality good condition quick delivery in same box five stars"/>
        <s v="web site ordering autoship process terrible very clunky has caused problems with orders twice now most recently resulted in receiving double order of lbs of dog food charged different prices texted customer about this almost a week ago have not heard a wo"/>
        <s v="my last order had items that were out of stock therefore didnt make my monthly order i received communication regarding one item being shipped upon it being restocked but nd item was never acknowledged restocked nor substituted"/>
        <s v="easy order prices are comparable shipping right my door great ive had one order that was messed up i called customer service lady was very helpful professional quickly fixed my issue petflow fantastic only issue im having now backordered products but that"/>
        <s v="in a world where cat food an item on hard find list i googled where can i find discovered your website i am thankful you were able supply continue supply food my kitties love thank you"/>
        <s v="good selection easy shop a good price only thing i could ask a way check order status if its there i couldnt find it otherwise a very good first experience ill be back"/>
        <s v="so happy find yall be able order receive product a lot of places are out thank you"/>
        <s v="worst dont buy from them they screw everything up from spelling of my name my phone number not telling me they were out of something i paid it was an urgent order"/>
        <s v="pet service i usually use was out of cat food i needed you had it your service as good or better than what i usually use you were fast you kept me aware of its status you have a new customer im very pleased thank you"/>
        <s v="unfortunately my last ordered have taken over a week arrive last order apparently got stuck in system sat a week in order shipping status promoting a phone call resolve"/>
        <s v="plus with petflow that they carry fromm they dont price product more than anyone else maybe company controls that either way that plushowevershipping takes way too long that where chewey excels we are all in a hurry these days including me i look receive "/>
        <s v="very accommodating whenever i have change my auto order they have no problem changing date"/>
        <s v="horrible customer service repetitive delays in purchases buy with petflow made my life harder it lost good convenience that i previously had"/>
        <s v="petflow has most of items that i need my fur babies fast delivery good communication if something in my auto ship program isnt available their customer service best"/>
        <s v="received text stating it was being shipped that dayth six days later received another text stating was being shipped that dayth"/>
        <s v="i thought i was ordering small oz cans of dog food based on my item search photo results however unknown me oz cans were outofstock so order defaulted larger oz cans which what was shipped me these larger cans spoil before i can finish them as i have a sm"/>
        <s v="arrived quickly in good condition just what we needed especially when these are so hard find"/>
        <s v="out of my items were cracked packing was horrible even though i heard from someone finally today now your out of stock my items you did put money back on my card i really needed those items"/>
        <s v="love petflow been using them years"/>
        <s v="part of my order was defective i wrote tell them so i received a form letter of acknowledgement back but it took days an actual response item being replaced but has not yet shipped i think their customer service pretty poor"/>
        <s v="as soon as i gave him his first taste he wouldnt leave me alone after he ate lol what a great come back"/>
        <s v="great i initially got only two of four items i ordered but rest of items i ordered came next day"/>
        <s v="this was my first order from petflow but it wont be my last dog food that i needed was available website was easy navigate order arrived on time im a happy customer"/>
        <s v="this would be five stars customers service was fast friendly helpful i deducted stars because my order took so long arrivethis was i m sure due unforseen circumstances like our recent weathercovid such however i was told at time i placed my order that it "/>
        <s v="ordering dog food treats online works out great"/>
        <s v="packaging has improved lb bags i order are finally coming in proper sized boxes my last very large order bags were packed well tape helda first your customer service on phone was awesome luckily me because i find website very cumbersome when good savings "/>
        <s v="good selection of pet food easy order shipping fast"/>
        <s v="great service quick shipping ive been ordering fromm dog dog food over years from petflow have always been very satisfied with their service"/>
        <s v="my dog on a prescription dog food i couldnt find any i called petflow talked sweetest lady who helped me set up my order recurring so i dont have worry about it im sorry i cannot remember that ladys name but a big shout out her all her advice patience wit"/>
        <s v="i ordered a lb bag of dog food along with a lb of dog food when delivery day came i only received small bag so i called pet flow find out what happened seemed they ran out of my dogs food at nearest wearhouse had send it me from las vegas they had sent me"/>
        <s v="great on time delivery box contents in good condition"/>
        <s v="petflow tries very hard do what right i had a code off online it took discount then on receipt it was gone i left a message someone called me back he didnt question perc immediately took off congrats returning call giving no arguments it was refreshing"/>
        <s v="of my deliveries have had slashes in bag so i havent been able use food ive complained most times they sent me a new bag but very inconvenient"/>
        <s v="ordered nearly two weeks ago rx dog food status was always shipping had hound no pun them status finally just gave up cancelled order look elsewhere"/>
        <s v="great service prompt delivery"/>
        <s v="good selection reasonable shipping times always have trouble ordering"/>
        <s v="i was very happy with service from customer service"/>
        <s v="one reason i placed an order with this company was a specific item they listed on their web site i had order another very small item qualify free shipping so i did i was later informed main item was no longer in stock never had an option cancel other smal"/>
        <s v="was disappointed on my order item i ordered was out of stock replacement with something else without informing"/>
        <s v="i give one star only because wasnt an option i placed my order then get an email stating that product i ordered was unavailable in fact discontinued then i start getting emails saying my payment through paypal wouldnt authorizeworked fine everyone else bu"/>
        <s v="box was falling apart i cant imagine how delivery driver managed carry it porch fortunately bags of food are intact not&#10;damaged"/>
        <s v="excellent order on time i will order something soon thank you"/>
        <s v="i really loved my experience with petflow items i ordered were well packaged arrived in a timely manner&#10;i plan on continuing do business with them"/>
        <s v="fabulous website excellent customer support service"/>
        <s v="i placed my order on january did not receive my package until january i was expecting shipping be sooner i almost ran out of food my working dogs although i appreciate that petflow carries open farm i will not be ordering dr tims from petflow any longer w"/>
        <s v="excellent company i made a mistake had cancel an order it was no problem fast great service highly recommend"/>
        <s v="great company order products wanted since pet store where i normally gets them have quit handling these wonderful treats great service also"/>
        <s v="first order new puppy food that wasnt available locally process was easy delivery was on time packaged well will order again"/>
        <s v="horrible customer service i order food my dog they charged but didnt send it i called them a week later they said they didnt have it in stock meanwhile they charged it already they sent it later on without a hurry days later i havent received it yet i don"/>
        <s v="i spent a lot of time with my review so i will submit but beware you have accept certain terms conditions submit a review&#10;&#10;everything went fine a year a half our dog needs a prescription diet then last shipment they said order was submitted then a few day"/>
        <s v="accurate timely delivery&#10;&#10;thanks"/>
        <s v="ordered prescription cat food my vet approved prescription in one day waited a week with no delivery called customer service was told as soon as pharmacy warehouse sends it out ill get an email after waiting days with no email or food i canceled order bou"/>
        <s v="it has taken too long receive my order finally got one of items but cant even download shipping information other item i ordered prescription food my dog something i needed in a timely manner"/>
        <s v="always there answer questions help out"/>
        <s v="being told it was delivered it wasnt i di nt receive shipment until several days later this not acceptable"/>
        <s v="only received of rx cat food order placed in december &#10;no way check on line&#10;calls customer service have not resulted in any feedback as status"/>
        <s v="placed order being advised shipment would be made within days never received shipment called every few days continuously received same story be shipped within days now days later still have received nothing including an acknowledgement that cannot ship wh"/>
        <s v="excellent customer service patiently worked with me solve problem with order"/>
        <s v="generally timely professional service my major reason not buying everything through petflow your use of fedex ground deliver packages in this area north georgia fedex terrible most delivery packages in this area go through their austell ga facility austel"/>
        <s v="my order was fulfilled in two days without hiccups great prices products shipping"/>
        <s v="petflow only supplier i can get cat food my cat likes from i can get food he likes in bulk it at a good price he eats a can every day of one kind he very picky thanks being there"/>
        <s v="check your bank balances people if youre on autoship even if youre not check your bank balances food great my dog loves food no problems there i bought lb bags of this dog food first time on november so then a week later on december they had a off sale so"/>
        <s v="no problems with product but shipping was very slow allow or more days get your food from them"/>
        <s v="overall i love petflow but in this particular case where my autoship was delayed due outofstock conditions i feel i was not notified sufficiently quickly enough react as a result hills prescription cat food i had ran out i needed switch my girls temporari"/>
        <s v="they make it easy love how they call your vet prescription food fast deliveries"/>
        <s v="called petflow see if i could get meow mix they were very helpful and&#10;i ordered a multi pack box i received it right away everybody was very&#10;police nice will definitely use again"/>
        <s v="have ordered from petflow many have always had fast efficient service"/>
        <s v="my package was stolen they reached out provided me with a new bag at no cost"/>
        <s v="petflow helped me out in a pinch when other companies were out of my cats prescription food petflow came through me i really appreciate that as she older needs her special food"/>
        <s v="reasonable prices quick fulfilment delivery its always like this thanks"/>
        <s v="my order arrived incomplete it was downhill from there on i dont have time detail my problems trying get things straightened out i had been satisfied with my experiences with pet flow in past but this was a total mess"/>
        <s v="they could not deliver i called called received excuse after excuseended up cancelling my order order through amazon"/>
        <s v="my auto ship from petflow so easy use its easy add or remove products depending on what my animals need that month if i end up needing something extra i can order receive it quickly on rare occasions that something backordered i get excellent communicatio"/>
        <s v="have ordered my furkids prescription food several times your customer service has always been great"/>
        <s v="pet flow still carries brands i feed my dogs at fair prices some outlets dont have variety choices i find on pet flow"/>
        <s v="dog gates are sturdy shipped quickly great service"/>
        <s v="app difficult i tried cancel order it didnt work i am going stop pet flow auto matic orders they are difficult i had a double order time before too much trouble change m upotn"/>
        <s v="pet flow shipments are always ontime there sometimes a discount"/>
        <s v="great selection ordering was easy my order arrived quickly in good order my experience was very positive"/>
        <s v="products have been great with all limited choices due allergies i have been great full find what i need"/>
        <s v="i ordered dog treats from company my order was delivered within days through christmas holiday two bags came cracked i called they redelivered two more bags didnt charge customer service was really good it took no time get other two bags also i will defin"/>
        <s v="product delivered on time as promised quality excellent"/>
        <s v="not good service a lot of back forth useless waiting"/>
        <s v="i would usually leave stars but my pups dog food on several occasions has arrived late so in result ive had go stores buy same kibble"/>
        <s v="shipping dates are really slow which can be annoying thing you cannot get locally they always run days later than expected it seems when you have hungry parrots that can be an issue they also have a limited selection of foods dogs birds but what they do h"/>
        <s v="i placed my order thursday th asked by chat if saturday a business dayit isnt because warehouses that have supplies dont work weekends fine was told it would ship friday maybe fedex would deliver saturday but i would have it monday its shipping from nj ky"/>
        <s v="first time customer&#10;easy online ordering&#10;great price&#10;delivery prompt&#10;ill be sharing this company info without a doubt"/>
        <s v="my two kittens were recently prescribed a hydrolyzed protein diet because of pandemic food was next impossible find petflow had products that i needed quickly processed delivered my order im so grateful have found this site theyre amazing"/>
        <s v="still havent received my order this an awful experience will be my last"/>
        <s v="reliable excellent"/>
        <s v="order place has stalled on colorado from vegas on its way indiana tracking not being updated response time email a day or more behind"/>
        <s v="customer service top notch i love that i can message about my order in an email or text get a reply quickly great discount new customers a constant supply of my pets food thank you pet flow"/>
        <s v="i really like your products frequency of communication about a shipment my pets are happy too"/>
        <s v="pricing good i was kept informed of delayed shipment due weather will buy again"/>
        <s v="i was luckily find what i needed at a great orice shipping was fast because i met minimum i got free shipping will shop again"/>
        <s v="been with petflow going on years now they always help me if i need specialty food or just basic pet food so many choices treats too thank you meeting my expectations in each box i receive fan life&#10;&#10;denice"/>
        <s v="delivery was quick im very happy with red gravel red gravel hard find"/>
        <s v="discount on quality dog food&#10;is perfect"/>
        <s v="petflow falsely advertised a food as in stock then withheld funds they took from my account i was diligent thankfully but despite my best efforts it still took calls customer service get my money back each cs rep provided conflicting info with previous re"/>
        <s v="very fast service great deals on food i purchase"/>
        <s v="placed an order a prescription dog food on which your web site said was in stock which was a surprise because all other pet stores were out of stock received a confirmation with an order number pending charge on our credit card pending charge dropped off "/>
        <s v="would really like invoice included with shipment would alleviate one step in filing claims"/>
        <s v="great customer service an order was placed an item was missing i sent an email report it they sent item out immediately no questions asked will continue be a customer"/>
        <s v="easy order great price fast shipping"/>
        <s v="petflow came through when other trusted online pet food providers dropped ball even with order itself managing fedex they kept engaged until entire was completely fulfilled delivered service tough put a price tag on thx petflow"/>
        <s v="horrible communication useless customer service promised emails never received in stock item still not received after days new tracking number refers item already delivered not item still waiting this was my first last order"/>
        <s v="they have dog food i use but not cat food they are slower deliver than other sites"/>
        <s v="good fast service"/>
        <s v="pet flow staff have been knowledgeable polite able meet my needs every time i have called products carried are high quality competitively priced"/>
        <s v="great do business with very fast delivery will use again"/>
        <s v="each order comes as anticipated very timely"/>
        <s v="first time ordering from petflow online ordering process was quick easy we received order very promptly highly recommend pet flow"/>
        <s v="petflow has a great selection affordable prices on a variety of dog cat foods they ship quickly always send notifications on status of your order"/>
        <s v="ordered three bags of dog food one was delivered promptly other almost two weeks arrive when it did one of bags had opened spilled kibble all over box"/>
        <s v="ive ordered from petflow over years&#10;ordered always delivered on time prices are righteous highly recommend"/>
        <s v="never did get my order it took days you let me know it was out of stock"/>
        <s v="my dog hannah absolutely loves this new pet food she smells it from other end of my house comes running waiting impatiently only devour it in no time plus delivery was prompt thank you so much"/>
        <s v="very fast delivery great discount &#10;thanks"/>
        <s v="my order arrived on time complete one product i wanted order was out of stock but theres an option get an email notification when its available which extremely helpful"/>
        <s v="im very happy with petflow they were great with me my vet get vet prescribe canine tds my vet was not so nice"/>
        <s v="been a customer several years now reliable shipping excellent email notice help me adjust my autoship if needed excellent customer service by phone when needed"/>
        <s v="out of last ten orders three were messed up did not deliver on time one of which required our cat sitter go a specialty pet shop get food while we were on vacation"/>
        <s v="my recent order was delayed due weather shipping company when i spoke with petflow customer service they were helpful tracking package keeping me posted on when it would be received i appreciate this help"/>
        <s v="i didnt get my delivery but when i talked customer service man we discovered i hadnt changed my address at petflow since i moved in may it got sent old house but he went ahead sent a replacement my new address he was very kind even when it was my fault"/>
        <s v="i have received numerous orders from this company they are always accurate timely thats why i will continue order from them"/>
        <s v="quick response my order with delivery time kept me updated"/>
        <s v="my order came in good time i have been unable locate hill science diet food through my usual sources however petflow came through with flying colors not only was i able obtain some of wet food i normally feed my cats but i was able obtain comparable choic"/>
        <s v="very good company with a wide selection of products timely delivery easy order i like this site very much"/>
        <s v="great selection of product i have always found my selections in stock deliver unbelievably fast"/>
        <s v="coupons never are useable purchase of fromm dog food&#10;&#10;delivery by fedex in a word fedex lousy i realize this another company but they are making petflow look bad they chose them"/>
        <s v="my buddy loves treats from petflow on my last order one item he dearly loves was left off because it was out of stock my surprise when petflows new shipment arrived they sent item sopleased never has that happen with any company that strictly pets before"/>
        <s v="competitive prices great delivery honest trustworthy"/>
        <s v="overflow consistently delivers high quality cat food my house what could be better"/>
        <s v="my cat passed away unexpectedly a couple days after ordering her prescription food online i contacted customer service via text very convenient option they were not able return food because it had already shipped but when i shared my situation they refund"/>
        <s v="i love convenience but petflows online ordering setup sooooo difficult use result ive had multiple unwanted shipments no matter what i do&#10;&#10;for months ive tried get rid of an extra autoship program i cancelled chat reps cancelled finally a phone call seeme"/>
        <s v="love extensive variety of pet foods especially better brands prices are comparable or better than others delivery quick only one constructive feedback shopping cart view i would prefer it could be full screen"/>
        <s v="i still havent received my order&#10;&#10;i ordered some dog food a chinchilla chew get free shipping&#10;&#10;the chinchilla toy came quickly it was in a huge box that could have fit bag of dog food that i ordered as well&#10;&#10;the dog food still has not come yes it might be"/>
        <s v="ive been buying quality pet food from petflow about three years they carry quality brands they have excellent customer service their website easy navigate i like autoship option which also easy edit so i have only great things say about this company thank"/>
        <s v="on time best price good by amazon"/>
        <s v="i had trouble finding my cats prescription food customer service was marvelous ultimately i was able secure a bag her"/>
        <s v="place order days ago still no shipment yet call them a few days ago was informed that it was ready ship but still no info whatsoever"/>
        <s v="very timely service thanks"/>
        <s v="great quick delivery thanks"/>
        <s v="one of few places i could find what i needed at a great price was cherry on top it shipped quickly got here fast i now have some happy cory catfish"/>
        <s v="always get my order quickly good prices too"/>
        <s v="i was pleasantly surprised that petflow had special canned cat food that i was looking couldnt find locally additionally shipment was very well packed arrived quickly this was my first time order from petflow i was impressed will definitely order again"/>
        <s v="everything came my home in time before i ran out of dog food one toy was slow but it all still made it my home so dog could enjoy it"/>
        <s v="love this company always have what i order&#10;shipment comes really fast&#10;never had a problem with petflow"/>
        <s v="great products&#10;great prices&#10;fast shipping&#10;employees on phone are so courteoushelpful knowledgeable&#10;exceptional place shop"/>
        <s v="easy website layout good selection of pet food i love fromm dry cat food selection my cat loves his treats too my cat approves petflow"/>
        <s v="excellent quick delivery with best pricing will definitely be a returning customer"/>
        <s v="my initial shipment was damaged but csr was extremely helpful sent me a replacement promptly"/>
        <s v="its been over two weeks i have yet receive a shipping confirmation will likely dispute order"/>
        <s v="received exactly what i ordered in excellent condition thank you"/>
        <s v="i love using petflow they have wonderful options my dog good communication on orders highly recommend"/>
        <s v="very nice better than expected we purchased it ferrell cats stay warm we set it up in our house our cat thinks its his new house he loves it"/>
        <s v="petflows customer service exceptional website easy navigate check out super fast shipping"/>
        <s v="pet flow continues carry special dog food that i require my pet at a good price they ship it super fast very satisfied with their service"/>
        <s v="petflow offers a wide variety of limited ingredient snacks my dogs prices are very reasonable"/>
        <s v="i was sucked in by promise of a discount in exchange my email address then i couldnt use discount because it had a previously undisclosed minimum order requirement which was extremely high i felt tricked i would normally order bag of dog food at a time bu"/>
        <s v="service extremely quick they seem have a supply over above what other entities have on hand first time with petflow but will certainly look them as an option in future"/>
        <s v="ive used petflow years have always received top notch service i love enormous variety of products available my dogs ive easily found best products each other they also include sources products which i find very important deliveries have always been on tim"/>
        <s v="pet flow wonderful but delivery leaves much be desired fed ex refuses bring my packages my front door instead they are left in street"/>
        <s v="petflow has been fine not stellar with occasional hiccoughs on prescription food authorization lately theyve been completely unreliable as a retailer causing us cancel our subscriptions move chewy"/>
        <s v="wide variety of products fast service on orders even if they are specialty items"/>
        <s v="product was good well packaged but it was a week late required me go all over local area multiple times supplement food until me order got here id be perfectly happy would definitely order things again if pet flow would stop using fedex their shipper"/>
        <s v="my dog food took week arrive me"/>
        <s v="petflow great you call always get a live person right away ive been with them years cant beat their customer service"/>
        <s v="i thought i had cancelled one order order a different food it turned out i got both orders i was told it would be fine keep them both use them just set a later date my auto shipping"/>
        <s v="petflow delivers quickly they have an autoship program you can change your auto ship as many times as you want they have best prices quality of products"/>
        <s v="my order of dog food was shipped on a monday said friday delivery did not come till next monday with that delay i had go get dog food i didnt want in order get by until my order came chewy takes days i guess ill go back there"/>
        <s v="i purchased some hard find puppy food because no stores in my area carry it i found it in stock with petflow i ordered it they use fedex as their shipping carrier i have had numerous problems with getting my packages late via fedex i emailed petflow give "/>
        <s v="great selection easy check out shipment came in a timely manner"/>
        <s v="petflow efficient speedy i never worry that my product will arrive on time"/>
        <s v="petflow fast accurate they beat amazon on delivery time prices are on target no complaints about product from stanley or bruski very glad we found them thank you"/>
        <s v="love quick shipping love cost of foods ie royal canin love that items are in stock love customer service&#10;what else there"/>
        <s v="i made an order from petflow awhile back never received order when i checked order it had been canceled due an error by veterinarian unfortunately no one told me it was cancelled i called veterinarian their internal communications got confused that why th"/>
        <s v="i received my complete order it was a few days later than usual but that was be expected at christmas time problem was that a bottle of white dog shampoo had opened up inside box covered a pound bag of dog food a raincoat with a whole bottle of blue shamp"/>
        <s v="my one complaint that you cannot cancel an order on your online account had call numerous times get a customer service agent fix a mistake on ordering very frustrating hope they make changes with online ordering"/>
        <s v="so much care was placed into packing my order it was wonderful there was a lot of cushion in box so cans didnt arrive all bent i will definitely place another order soon"/>
        <s v="they shipped my wet catfood over a week after i placed order scheduling it be delivered nd of december could do nothing delay or cancel order even before ups had it so my food going freeze over over again while we are gone christmas if i dont pay a big fe"/>
        <s v="prompt shipping i ordered dr marty my fussy dog he likes it so i will order again"/>
        <s v="petflow a class act&#10;always have my product in stock fast free shipping&#10;a"/>
        <s v="i have been buying my dog food from petflow years now it has always arrived quickly fresh my dog happy"/>
        <s v="very reliable auto ship quick with off cycle purchases"/>
        <s v="excellent service with competitive pricing"/>
        <s v="dented dog food cans at times sent concern about this five days ago have yet receive a response"/>
        <s v="there was a mistake in order they didnt hesitate make it right great customer service great product"/>
        <s v="great products offered with fast delivery thank you"/>
        <s v="price was right quality was great that along with fast shipping gives petflow stars"/>
        <s v="great site i discovered it by accident after chewy was out of my cats food i gave it a try was pleasantly surprised how wonderful petflow was delivery was very fast product fresh well packaged they saved day now i ordered again this time price was great o"/>
        <s v="i discovered petflow when another major retailer had no inventory of my cats preferred flavor of prescription food i enjoyed experience fresh inventory so much that ive been buying from petflow ever since"/>
        <s v="i searched at least six different retailers find this special canned pt food specially formulated my small breed senior picky eater with only remaining teeth no avail i was desperate as my little yr old girl turns away from nearly all other similar produc"/>
        <s v="never had a problem have recommended"/>
        <s v="order was easy place delivery was prompt thank you"/>
        <s v="thank you ease of ordering speed of getting my order delivered also i am very impressed with your website"/>
        <s v="i have been ordering my dogs food from petflow a few years they always have a quick turn around from order being placed delivery my dogs eat fromms large breed dog food which can only be purchased in specialty stores petflow has been wonderful order food "/>
        <s v="i have had a great experience with petflow only once i had a packagedelivery that was stuck somewhere unknown customer service immediately sent it me again without question i was grateful impressed&#10;also when you place an order with petflow you need stand "/>
        <s v="always quality items from pet flow they are recieved in a timely manner"/>
        <s v="i like this company they have a great selection of dog foods that are difficult find other places their prices are comparable other sites although they may be a few dollars higher i like that they say they do note food animal shelters"/>
        <s v="false info on delivery date no follow up product seems be stuck in transit in a black hole in neighboring state product over a week delayed from promised date with no follow up status update will never deal with pet flow again not a well run business"/>
        <s v="great communication speedy service delivery even when supplies are low thank you"/>
        <s v="very pleasant experience good customer service&#10;fast delivery prices are ok"/>
        <s v="placed order received item earlier than anticipated will definitely us this vendor again considering we have four bernese mountain dogs they do eat"/>
        <s v="im still waiting my dog food delivery or even an update no news since it reached my local distribution center days ago"/>
        <s v="things came well packaged timely no complaints"/>
        <s v="took days in transit packaging was taped retaped treats were on each side of package front back no doubt they will be dust when i open them this company needs step up there game in shipping department"/>
        <s v="prices were good product availability was good shipping was good free im happy with them"/>
        <s v="petflow responsive clients with good prices discounts fast shipping"/>
        <s v="except a blip on refund all well will continue get my fog food here"/>
        <s v="what i wanted quickly received with terrific phone support"/>
        <s v="huge variety of pet supplies fast shipping"/>
        <s v="i couldnt find my cats favorite food in any of major stores or any of major online store but petflow had it was able get fast easy"/>
        <s v="great service shipped my order out quickly they had a cat food i have been searching but was out of stock everywhere luckily they had it in abundance thank you so much"/>
        <s v="very prompt courteous take care answer emails"/>
        <s v="had product delivered in a timely manner"/>
        <s v="quick easy"/>
        <s v="i changed my delivery date shipment still came"/>
        <s v="received wrong items messaged hrs ago no response"/>
        <s v="fast delivery great product as usual package came undamaged"/>
        <s v="best offer i could find price delivered promptly just when needed i will be using petflow in future"/>
        <s v="super service shipping my fromm gold dog food highly recommend"/>
        <s v="store itself has great prices selection however shipping of those products has been a nightmare placed an order on morning of spoke someone on phone inquiring as location from which products were coming from i was told that my order was being packaged wou"/>
        <s v="shipped fast had items in stock that others didnt what more can you ask"/>
        <s v="excellent service best pricing so glad i found you thanks"/>
        <s v="very pleased with pet flows service products"/>
        <s v="great prices selections of high rated dog foods shipping free over fast"/>
        <s v="petflow has best prices pet food deliveries are reliable sometimes my cats wet food not in stock but when that happens it not in stock anywhere"/>
        <s v="every time i order from here they always double my order i ordered one big bag of dog food i received two charged two instead of one this second time they did this i will not order from them again"/>
        <s v="great dog food my maltese acts like a pup she she has been eating salmon a la veg yrs"/>
        <s v="excellent service best dog food ever would not feed my dog anything else then natural balance"/>
        <s v="staff were very good at listening finding a solution that would help me"/>
        <s v="excellent customer service fast shipping"/>
        <s v="my delivery isnt not comingvery very slowly"/>
        <s v="i was very pleased with my order i found an item my birds that i couldnt find anywhere else a cheaper price it arrived very quickly"/>
        <s v="petflow apparently doesnt put in packing so i got all of cans dented up petflow needs protect cans"/>
        <s v="been ordering from petflow along timequick shippingcompetitive priceshas brand of dogfood we wantwish they offered prescription medications"/>
        <s v="i was with this company many years but repeated mix ups with my food delays supply issues took a toll moved my business chewy didnt want buy my fur babies have eat"/>
        <s v="we ordered pet food on nov received it today dec way long i have three emails telling me earlier dates probably our last order from pet flow"/>
        <s v="you need improve on your customer service on phone you also need improve on your deliveries services meaning when customers ordered products from your website&#10;it needs be more accurate in amount of products you have online website store amount of products"/>
        <s v="i am very happy with my purchase of cat food from petflow only issue i had was trying find out on web site how i could check out otherwise great"/>
        <s v="they have great customer service they try very hard please their customers they also have a wide variety of pet foods"/>
        <s v="love this company great work with carry alot of different foods"/>
        <s v="very few notices of what was going on i finally sent emails made a phone call joseph was very kind it took days get here wonder if it would come i had buy dog food in meantime not happy product was good why did it come from new jersy nevada closer"/>
        <s v="i wouldve given a star review however with my last order it wouldve been nice if i was informed that my order dog food was not available from where it usually shipped i usually get it within a week but since it was coming from much farther away it took da"/>
        <s v="only half my order arrived so far fedex dropped busted box in middle of front yard left i wonder if second half will show up or if fedex will make it disappear like last order"/>
        <s v="great service as usual even over holiday weekend order was accurate delivered on time"/>
        <s v="website easy appreciate discount&#10;other places were sold out of dog food i need so thankful it was in stock delivered in a decent timeframe"/>
        <s v="thanks having food in stock now its get him actually eat food"/>
        <s v="great experience&#10;fast shipping great communication with seller"/>
        <s v="shipping not according what was indicated at time order was placed"/>
        <s v="excellent transaction will shop again"/>
        <s v="petsmart stopped carrying avoderm brand then petsmart followed&#10;im very frustrated with them since they still advertise products yet not in stock or not available&#10;i contacted avoderm they recommend petflow&#10;my initial purchase took longer that expected howe"/>
        <s v="my hund loves chow we ordered from petflow"/>
        <s v="i always get what i need in a quick turnaround my year old hound"/>
        <s v="great product great price"/>
        <s v="folks at petflow were kind enough give me a credit fedexs deplorable delivery service they held my shipment hostage in their distribution center days&#10;my shipment was correct sent out as quickly as they received approval from my vet"/>
        <s v="great prompt service delivery bag charge was a bit of a surprise though might be wise hide that under one of other headings"/>
        <s v="i placed orders during weekends return email said my order would be placed following monday email would be sent of when expect delivery i have had call customer service a couple times order was finally put thru my dogs do better when their food isnt chang"/>
        <s v="i thought that price was high compared vets office other than that experience was good"/>
        <s v="i had a very frustrating experience with petflow my original order was scheduled nextday delivery however it took close a week from getting cat food i ordered petflow misled me on my delivery date this only food my cat can digest so it became an emergency"/>
        <s v="very happy with my purchase experience excellent help thank you"/>
        <s v="i paid a package of food my chihuahua that needed a recipe from vet but we could not get it so i would like have my money back"/>
        <s v="i wrote company regarding a complaint about customer service claiming that i didnt have funds pay an order that was an auto ship said backordered after ordering something else i got billed it not knowing what this charge was i called in find out customer "/>
        <s v="petflow carries our dogs preferred high quality food treats we auto order receive our shipments quickly"/>
        <s v="i like petflow i have ordered from them before this time it took way too long get my order only reason i got it when i did because i called complained then they showed it being shipped right away but it still took days after complaining i needed dog food "/>
        <s v="whole reason why i ordered from petflow because of their quick shipping in days it took over a week my food arrive i had tobuy another brand of food that upset all of my dogs stomachs never again"/>
        <s v="i was very happy be able find a food item that i needed that was sold out on chewy amazon all of my local pet supply stores only reason stars instead of was delivery notifications i understand delivery delays especially right now but i received different "/>
        <s v="very impressed with being able get what i need my furbabies special food so far its always been in stock unlike competitor sites various pet stores prices are a smidgen lower than everywhere ive normally gone delivery at this point my first order came wit"/>
        <s v="easy website navigate fair prices fast shipping"/>
        <s v="customer service has definitely declined website keeps changing making it difficult order when you want iused order different products at different times of month still get auto ship discount now i get nothingbeen a member since &#10;looking around a better d"/>
        <s v="third time they have got order wrong"/>
        <s v="i have been pleased in past with available dog foods treats toys etc delivery i have experienced a lot of out of stock items that i have on autoship i have had buy these items on my own else where"/>
        <s v="fast delivery"/>
        <s v="great discount on hill science canned food my dopey cat its becoming difficult find chicken n rice flavor so it was a relief that you had it"/>
        <s v="you carry dog food that my puppy needs his first year prices are reasonable affordable"/>
        <s v="i tried switch my monthly orders food treats meds flea collars petflow it was a disaster i get how economy currently but your communication terrible i cant work with a company that takes days acknowledge a request i see all bbb complaints your concept gre"/>
        <s v="can someone contact me"/>
        <s v="excellent product delivered quickly competitive pricing"/>
        <s v="need a better way let people know that their order was shipped with a tracking number had text you find out when my order was be shipped when i received an email telling my that it was shipped there was no tracking info available need let people know actu"/>
        <s v="i was able get my dogs food from you when no other retailer had it thank you"/>
        <s v="product was as advertisedworks great arrival was fastprice was good service was friendly professional great company"/>
        <s v="days after i should have recieved my order i called because i did not know why or where it waswell was told by a very rude lady she would send an e mail hurry up my order at another warehouse because they had none i asked why they didnot notify me it was "/>
        <s v="fast service good prices arrived in great condition has follow up emails"/>
        <s v="chewys orders always arrived within days i decided give petflow a try after close a week i had call petflow ask where dog food order was they said they delayed getting order through waited until next day initiate order then they were short staffed then ma"/>
        <s v="i love that my choice of dog food always ready deliver our door when we need it auto ship great not having lug big bags home from store even better"/>
        <s v="products i ordered arrived quickly website was easy navigate"/>
        <s v="disappointed i created my first order on order still hasnt even shipped no communication updates either uggh"/>
        <s v="very happy with my purchase shipping fast communication excellent"/>
        <s v="it was supper easy place my order shipping was quick"/>
        <s v="good job sending package on timely basis thank you"/>
        <s v="always super fast shipping great packaging"/>
        <s v="always good condition of cat bagged food arrived in great shape order was correcttimely order"/>
        <s v="had products i couldnt find any other site"/>
        <s v="dog food was listed in stock at time of placing order after a few days of showing shipped ends up order wasnt shipped i called was informed that it was out of stock in warehouse"/>
        <s v="never received my order in over a month spoke over customer service people dont buy from this company"/>
        <s v="order placing was easy great site set up like autoship offer too already referred them my neighbor"/>
        <s v="ordering was easy my purchases arrived quickly which wonderful during these times&#10;i give this site a instead of because i was unable read reviews on products i bought my cats are not eating one of them would like know what other buyers said or if they add"/>
        <s v="saved from having my kitten upset i have been unable find food my kitten eats after several trips pet store with no luck went online royal canin site pet flow was a recommended store order from fortunately my kitten yall had plenty of cans me order very s"/>
        <s v="i liked prices toys treats available but several of items that i ordered sold out were removed from my order after id checked out paid them however i will be giving them another chance when supply chain problems are better"/>
        <s v="good service"/>
        <s v="fast shipping great inventory of cheap toys"/>
        <s v="we use auto ship most of products we buy online i found pet flows autoship program be extremely difficult manage no longer use it as a result i often buy pet products from other suppliers we have pets buy a lot of pet products"/>
        <s v="speedy delivery stuff usually comes within or days good customer service i called ask a question about my product they answered quickly with good telephone manner i just signed up autoship well see how that goes i just wished they carried fancy feast gril"/>
        <s v="we love convenience of auto shipping we were surprised at how easy it add or delete items a specific auto ship or future orders prices are fantastic i like that i can still find fromm products here"/>
        <s v="very smooth experience good price reasonable quick shipping"/>
        <s v="order paid dry dog food cans of wet dog food day they shipped it i got an email saying they will refund me cause they are all of sudden out of that particular wet dog food i then had run everywhere find it at last minute&#10;when lb victor dry dog food arrive"/>
        <s v="everything went very smoothly from ordering all way delivery i was very happy will use them again"/>
        <s v="delivery was delayed times said day delivery i got it in days not satisfied with delivery"/>
        <s v="ordered prescription dog food but got nothing but excuses over a week their reps made one excuse after another as why my dogs food was not shipped"/>
        <s v="excellent service im a happy customer"/>
        <s v="i am totally impressed with petflow they deliver product quickly have pet food in stock if they are out of stock they will send email let you know that it back in stock they are now only one that carries my dogs food i hope they always will thank you petf"/>
        <s v="i have been&#10;using petflow several years because they carry type of dog food i want my dogs have no stores anywhere near me have it in fact trying get high quality dog food id have travel an hour one way so it very convenient have it shipped directly my ho"/>
        <s v="very fast shipping they sell good quality items"/>
        <s v="very good customer service contacted my vet prescription diet food shipped out immediately highly recommend"/>
        <s v="great products service that excels more than satisfied consumer from maryland"/>
        <s v="i spoke with a very helpful woman who checked with supply found a case of hills savory cat food our local petsmart had been out of it a while my year old cat loves that particular food takes her meds with itshe has hyperthyroidism food arrived as promised"/>
        <s v="i placed an order on received an email saying i would get a shipping confirmation when it shipped when not received by i reached out customer service was told it was delivered on as of i still have no food was forced order elsewhere your customer service "/>
        <s v="my husband shopped here last christmas gave it stars i like site because they have unusual things make great gift items"/>
        <s v="i requested heavy package be left at garage door under overhang but it was left at front door instead otherwise very easy convenient efficient order delivery"/>
        <s v="excellent service everything packed with care"/>
        <s v="currently waiting receive order know distribution system messed up i will try explain my hungry miniature doxie would have been helpful if at point of order petflow made a statement that delivery could take up x weeks or more if that unacceptable cancel o"/>
        <s v="i love quick delivery when we order our dogs food so convenient"/>
        <s v="good cat loved it"/>
        <s v="ordered dog food first from petflow ordering was simple easy website navigation product arrived in a timely manner"/>
        <s v="they let me order food charged me called my vet confirm prescription they didnt even have food in stock in these times of cat food shortages wasting my entire week thinking i had found food my cat was detrimental my finding more in a timely fashion shame "/>
        <s v="very good customer service&#10;they work with you get you just what you want"/>
        <s v="ive used petflow a year now love it orders are easy complete quick deliver&#10;i had call customer service change my order quickly received credit on my card i switched dog food brand mistakenly forgot cancel my automatic refill order great customer service"/>
        <s v="package was a week late but i believe that was fedex fault when i contacted petflow about delay response came relatively quickly they let me know they contacted fedex figure out issue i received package next day customer service was friendly helpful"/>
        <s v="great pricing however i wasnt able use my on my second order as promised i did rate company a star however after reading other star ratings i feel im just another customer that was mislead"/>
        <s v="very slow ship resulted in poor arrival time i thought days was enough time but was wrong"/>
        <s v="i spoke with somebody in chat i canceled this order i was told that my order was canceled i asked confirmation that my order was canceled an email they told me we dont do that two days later i had two of my lids show up at my door after it was canceled i "/>
        <s v="although i have had great success with using petflow in past currently their service quite poor i had a older cat needs vet prescribed food after ordering food recently petflow informed me vet indicated i have no relationship with them ok i called vet the"/>
        <s v="petflow has cat food that i cant find elsewhere which nice i like their automatic programs except not being able edit them ive been sent products that i cant use have contribute humane society delivery always fast well packaged"/>
        <s v="my dog food always arrives on time they always correct if a mistake happens we are happy with service"/>
        <s v="this gate working very well at our house twoway open door terrific we are very happy"/>
        <s v="great prices selection fast shipping love petflow"/>
        <s v="excellent selection of items their delivery was spot on timely i tried them when chewy did not have brand of food that i was looking i learned that since chewy was purchased by petsmart they no longer carry fromms dog food"/>
        <s v="thank you so much petflow you have prescription wetfood available my halo"/>
        <s v="delivery of our canned dog food was quick we had a problem with one of cases due shipper petflow customer service was excellent"/>
        <s v="never received dog food i ordered nor did anyone follow up after i called them inquiring about missing order super disappointing untrustworthy poor customer service"/>
        <s v="petflow a great company do my on line buying from customer service persons are best"/>
        <s v="like quick service available products i have only had one problem since using petflow ordered pill pouches they arrived smashed good company that i have recommended"/>
        <s v="always get my pups treats food from petflow great service super quick delivery with updates"/>
        <s v="on oct th after not being able obtain prescription canned dog food needed through normal online pet care provider over days i found petflow website which showed food was in stock be sure i called same day spoke an agent who confirmed their database did in"/>
        <s v="customer service excellent what they sayhappens quickly delivery fast packaged very well notifications of shipment delays when expect delivery are outstanding&#10;love this companythey genuinely understand how important our fur babies are us bravo pet flow"/>
        <s v="i had a hard time finding what i wanted petflow had it fair price fair shipping cost timely i will be a repeat customer"/>
        <s v="always what they promised great deals"/>
        <s v="i ordered a few items using an account credit when one of items was out of stock at one warehouse had be shipped from a different warehouse they charged my paypal account without my consent this item that was already paid using account credit i will never"/>
        <s v="great prices easy order prompt delivery im a convert"/>
        <s v="i have ordered pack of bully sticks from petflow several times they are an expensive item anywhere cost keeps going up as with everything these days their prices are fair their shipping fast one thing i have noticed that total amount that my receipt says "/>
        <s v="ordered online instead of my local store who almost always out of stock i just order when old bag halfway empty food comes within a couple of days usually no issues"/>
        <s v="my order was filled shortly after it was placed but days after it was due be delivered only of boxes has been other two boxes are sitting at a fed ex center waiting be loaded onto delivery truck petflow customer service people were very kind pleasant work"/>
        <s v="i ordered my dogs food had it within a couple days free delivery boot"/>
        <s v="our order was delivered very fast price was reasonable website easy use"/>
        <s v="came on time exactly what i needed couldnt find it anywhere else thanks"/>
        <s v="placed order received it in less than one week"/>
        <s v="what a mess this company i thought chewy was annoying&#10;&#10;i will never use petflow again"/>
        <s v="when i received my order box bag of dog food had been ripped open i called customer service they had a new bag out same day awesome customer service thank you very much"/>
        <s v="outstanding well trained smart friendly knowledgable customer service i depend heavily on autoship program"/>
        <s v="ordered everything i have a chew everything puppy i placed my order then received an email a couple items not in warehouse that was fine but never received either an email or receipt my items or what my final cost was they did state i wouldnt be charged i"/>
        <s v="i love petflow they always have what i need my dog ship it out fast a service every order"/>
        <s v="everyone at petflow seems be familiar with their inventory very helpful great place shop your pets needs"/>
        <s v="treats were perfect fast shipping thank you"/>
        <s v="petflow was recommended by my girlfriend i switched dog food my dog loves it i have no complaints recommend i can set up times of delivery between bags"/>
        <s v="just started auto ship of a cat food skin allergies made by hills once i know how much i will need of blue buffalos i will make it auto ship hills i am running into availability of just ordering when i need it or at vets it was even a problem before pande"/>
        <s v="love pet flow very kind friendly customer service they always have my cat bff weruva in off always a plus"/>
        <s v="i have been pleased with petflow customer service has been great products are good only problem i have had using your website cancel autoship i have only been able pause it i dont know if this intentional or an oversight i know i can call cancel but it mo"/>
        <s v="my doggies food comes so quickly after i order its always in perfect condition"/>
        <s v="always an easy transaction we order our dog food from here regularly"/>
        <s v="didnt have my order in stock canceled my shipment with a puppy it hard just up switch food when an order doesnt arrive as expected so had go extra lengths find specific food"/>
        <s v="awesome as usual always on time great customer service fantastic product"/>
        <s v="our toy poodle has been permanently put on hills canned stew due health issues but we found it was not available due a supply shortage then we turned petflow found her entire supply with fast delivery petflow looks out our furry kids that we are very grat"/>
        <s v="i love autoship option my cat items purchases in particular i order large containersboxes of cat litterpetflow does an excellent job of packing it it always arrives undamaged they also keep me informed of any shipment delays etc"/>
        <s v="i began using petflow several years ago i love them because&#10; i can speak a real american born person who always helps me&#10; they carry brands from small companies such as fromm&#10; somehow they get fedex deliver my house on time fedex usually does not deliver "/>
        <s v="product was delivered quickly on time with no damage"/>
        <s v="excellent communication reliable timely deliveries customer service best ive ever worked with my goto supplier quality pet food"/>
        <s v="excellent customer service easy auto ship options"/>
        <s v="good service selection prices"/>
        <s v="customer service has always been polite helpful but unfortunately i have needed use them frequently with my autoship orders i had pets getting prescription diets but they kept sending requests refill incorrect veterinarian then somehow changed pet names t"/>
        <s v="item i ordered turned out be unavailable i received an email a few days after ordering which informed me of that fact i dont know why you cant update your website so someone doesnt end up ordering something you dont actually have thankfully i was able fin"/>
        <s v="i placed an order had cancel i was shocked how quickly my text message was received taken care of not entirely trusting text system i called customer service lady was courteous confirmed order was already canceled customer service a lost art these days bu"/>
        <s v="petflow wonderful lady i spoke with taking my order was terrific my pet food all arrived quickly in good condition delivered right my front door thank you petflow"/>
        <s v="i wish i had known about you sooner i order my pups dog food it arrives next day thank you such great service"/>
        <s v="products are great good selection could have been better communication on order status shipping times compared other companier i order from taking or days prepare an order ship too slow especially with little no communication from you as when order will b"/>
        <s v="i was pleasantly surprised that petflow had products that chewy had out of stock they shipped it free fast good work petflow i will definitely buy from you again"/>
        <s v="always great service excellent selection"/>
        <s v="have been waiting almost weeks dog food i ordered they said it got lost"/>
        <s v="i really like pet flow would order from them more but it seems like they are frequently out of stock of products i want so i am then forced go elsewhere shop"/>
        <s v="great price item was shipped out in timely fashion"/>
        <s v="petflow has excellent customer service i ordered a case of canned dog food it once again came with almost all cans dented i called let them know they sent me a new case of cans without dents would have liked original shipment have come not damaged"/>
        <s v="when it comes phone reps i have always had friendly competent service from petflow however inadequacies of website have me at point of switching companies i have set up autoship rx cat food when i log in there just no way me add extra items my order take "/>
        <s v="customer service was great but i was disappointed in bully sticks they were right length but very small around not what i expected"/>
        <s v="i liked idea that at petflow i can get fromm dog food treats delivered right my door with free shipping"/>
        <s v="can you wait til i receive my order so far your premature review begging a turn off"/>
        <s v="great site lots of items i couldnt find elsewhere especially limited ingredient feline canned shipping was fast will buy again sure"/>
        <s v="i am so very pleased with petflow every shipment arrives on time prices are fair customer service outstanding shipments arrive properly packed have never had anything broken"/>
        <s v="i have cats whom chickennnreast a regular morning treat they all look forward it every day"/>
        <s v="delivery of my product arrived timely but i needed cancel my autoship when you select cancel there no option cancel only pause i had wait until next day call and speak with someone cancel when asked why i had share with a complete stranger that my furbaby"/>
        <s v="my experience with petflow was excellent their pricing availability of products very good kept me informed of my order status from start finish they were only company that had what i needed i received my order promptly i will continue buying prescription "/>
        <s v="bad experience took forever acknowledge receipt of pet rx all while losing time secure limited supply of product i ordered by time they confirmed receipt of script acknowledged order supply dwindled i lost product mind you that took days days yet my debit"/>
        <s v="always fast shipping great products"/>
        <s v="products are fine website fine but i have a problem with auto ship set up it impossible cancel auto ship program i can delay change date of shipment but cannot cancel without calling office because of this have received duplicate shipments"/>
        <s v="my puppy cat love it&#10;i love how big bowl reserve tank are how quite motor as well as way water circulates in bowl no splashing i had large original drinkwell pet fountain so far i prefer this one a lot over drinkwell"/>
        <s v="this was very first time i ever purchased from site i was a little nervous in beginning but that was all changed when i found out that they shipped on day they said they were going i received it when i needed it i am very happy with service will use it ag"/>
        <s v="its been weeks i havent received good yet i cant believe they are asking my opinion of an item that hasnt arrived yet"/>
        <s v="orders are always late customer service rep was rude unhelpful i had speak manager get some resolve"/>
        <s v="because as a customer petflow mislead me petflow sold me merchandise sold it another customer then sent me a message that they were now out of stock petflow still has not refunded my money we will never shop with petflow again ta"/>
        <s v="first time ordering with this company placed order on by still hadnt received it i called apparently shipment got lost employee offered send out another order but declined give any type of promo code or discount even though i told her i had go out an purc"/>
        <s v="unfortunately when i placed my order my items were in stock then i got an email saying they were out of stock i was refunded havent order again"/>
        <s v="very punctual nice but fedex delivery person did not do his job left box near mail box not at door i am senior cannot pick up this heave box"/>
        <s v="petflow came through me with a prescription order when chewy could not hours on phone with chewy multiple customer service agents chewy failed they have problems over there i contacted petflow they took my prescription had my cat food shipped me arriving "/>
        <s v="love convenience of not having shop hoist large bags of food"/>
        <s v="i ordered treats that showed in stock they never came so i emailed they said they were now out of stock would notify me when in stock they ended up cancelling my order not a good experience first time customer"/>
        <s v="great fast service great intro prices new customers when you do autoship"/>
        <s v="horrible customer service keeps lying me about when my order going come in every time i looked it up it was supposed be delivered today at at in morning now too it never showed up i cant seem find damn email tell me where hell my order then i call at your"/>
        <s v="most anything i was looking i was available on petflow at a good price"/>
        <s v="received mats exceptionally quickly a very good price"/>
        <s v="fast order great packaging great price"/>
        <s v="i love service however bags of dog food i have received had busted bags dog food all in boxes"/>
        <s v="i used use other wellknown online mail pet services but they stopped carrying brand of dog food i have given my beloved english singer spaniel years i then discovered petflow carried this brand they are courteous professional most importantly quick delive"/>
        <s v="i ordered a product that said it was in stock only be told days later it was out of stock website misleading"/>
        <s v="great prices products customer service"/>
        <s v="kitty litter box split was all over box"/>
        <s v="fast carefully packed service"/>
        <s v="this a fantastic gate it looks divine was easy assemble perfect my maltese thank you"/>
        <s v="you take orders knowing products not available no trust ever again"/>
        <s v="petflow has a good selection of products they are almost always in stock have competitive pricing they deliver quickly usually days"/>
        <s v="reliable product easy ordering process dependable delivery thanks petflow"/>
        <s v="i have place orders with petflow both orders shipped out on same day packages arrived quickly excellent company highly recommend"/>
        <s v="great selection of products emphasis on very healthy items good price points delivery always on time in good condition"/>
        <s v="thank you carrying my dogs prescription dog food hills metabolic your website was only trustworthy site in stock my dog beau says thanks his food too"/>
        <s v="i ordered food my dog on petflow website my first order took a little while because they needed verify with my vet since it was a prescription food my second order was shipped next day arrived a day later at my house excellent service thank you"/>
        <s v="great customer service quick courteous"/>
        <s v="ive been using petflow years my dogs food subcritical platform customer service outstanding product diversity unbeatable"/>
        <s v="placed order dog food that i needed asap then days later petflow cancelled order wont refund my payment days i had then find a physical store that sold my brand of food so aggravated didnt they know my order wouldnt be fulfilled when they took payment"/>
        <s v="all item sent even if it took more than one box same free shipping"/>
        <s v="products ordered stars ease of ordering stars speed of shipping which may or may not be petflows issue stars my order included dog food i was only given tracking number unfortunately that tracking number was items shipped separately from dog food i never "/>
        <s v="ordered butcher block bones a box of dog biscuits at checkout there was no information that bones were out of stock you shipped only dog biscuits i cancelled order you said it already shipped we could just go ahead keep biscuits or donate them that was ni"/>
        <s v="i was impressed with how quickly my order arrived it was protected in a strong box very professional thank you"/>
        <s v="i ordered a new flexi leash my canine having carefully researched various sites noting petflow my first time decided have a go was pleasantly surprised at pricing service delivery they run out of leash but notified me immediately they would get it back in"/>
        <s v="product that not available elsewhere available on petflow which i appreciate with supply issues from manufacturer petflow provides another option find pet food im looking for&#10;&#10;shipping time slower that other online sites so i need plan further ahead recei"/>
        <s v="first time using will use again"/>
        <s v="your selection prices are good i also appreciate discounts available only thing i have a problem with fedex delivery but since i eventually get my order ill be okay with it"/>
        <s v="excellent service however now i can not find product anymore&#10;vital essentials relief hemp dog chews relieves inflammation"/>
        <s v="i have been trying find special urinary diet treats my fur baby months i finally found them on your site only be told weeks later whoops you dont have them well put it on your website then that they are unavailable"/>
        <s v="great selection services&#10;happy dogs"/>
        <s v="everything from locating products on website check out was very easy i wish that some kind of summary or packing slip was included with delivery but other than that everything went as smoothly as it could thank you"/>
        <s v="petflow has products i need if they dont they can explain me why they dont why i cant find product anywhere else something might be happening at manufatcurers end or with distributer etc they are always very helpful if i have call them on phone too help p"/>
        <s v="it seems a bit difficult delete an autoship maybe its me"/>
        <s v="not very long shipping from date of order prices same as vet"/>
        <s v="ordered on prescription approved same day item was in stock estimated delivery oct days a prescription assuming it arrives on th no update at all unacceptable same thing happened last time i ordered terrible service they also promised update me twice when"/>
        <s v="i get all my dog food treats from you usually all good no problemshowever last order lb bag of their nutrisource weight management bag was torn kibble leaked out into delivery box i do not like giving my pups any food or treats where container has been op"/>
        <s v="petflow always has prescription diet dog food in stock my dog requires i dont have wait them ship thank you your service"/>
        <s v="ive used this company twice both calls were speedy user friendly ive also used chewy those calls tend be cumbersome nice people at both companies ex chewy asks lots of questions before i can place my order i believe petflow just needed my phone number fas"/>
        <s v="love products ease of ordering my problem with actual shippingpackaging of items being sent my house often everything no matter what size or weight thrown into same weakly sealed one strip of packing tape thin cardboard box by time it arrives at my house "/>
        <s v="my purchase was delivered in a timely manner&#10;prices are fabulous just at any other retail store ish&#10;&#10;once im finally moved into my new house i will start automatic shipping"/>
        <s v="always correct timely a bit of delay due getting items further than nv az end point but that expected in shipping issues across all businesses"/>
        <s v="so far so good&#10;petsmart has let me down with late shipping not in stock lb bags of dog food with way too much powder they refuse ship in boxes that match large bags simple will not use any kind of packing&#10;fthat we be dun wit does mfers&#10;petflow met our nee"/>
        <s v="first time ordering autoship dog food so far so good"/>
        <s v="quick delivery always coupons be found"/>
        <s v="quick dependable service with diverse item selection most companies now offer free shipping on all orders which should be a consideration here"/>
        <s v="great product company you use shipping horrible boxes opened when delivered bags of food broke open from throwing it down on ground poor shipping"/>
        <s v="great prices products in stock ready ship i will definitely order again"/>
        <s v="great service fast delivery excellent"/>
        <s v="always a pleasure shopping with pet flow"/>
        <s v="great company quick shipping i order dog food from them all time but was disappointed on last dog toy i bought this time my little dog that doesnt really destroy toys had this stuffed pizza toy destroyed after minutes i probably wont order any more stuffe"/>
        <s v="always got what my cats want always delivered on time petflow gives me one less thing i have worry about with there auto ship"/>
        <s v="great company with excellent customer service"/>
        <s v="great prices excellent shipping time thank you"/>
        <s v="nd time ordering from petflow i am a very happy customer i read a lot of bad reviews online about this company was a bit concerned but honestly ive had an excellent experience with them so far order was accurate i received products in days thats amazing e"/>
        <s v="excellent customer service very professional accommodating&#10;thank you"/>
        <s v="petflows prices are good delivery super fast"/>
        <s v="i ordered prescription food from them which needed my vets approval spent over at first food order was put on hold until january i contacted customer service they were able get rid of pause but they still had contact my vet before shipping order me i had "/>
        <s v="competitive pricing product availability fast shipping thank you petflow"/>
        <s v="gave petflow a chance because chewy was out of stock on one of items i needed petflow showed it in stock after placing paying order i got an email stating one of my items was out of stock turns out it was same one chewy was out of stock on if i cant trust"/>
        <s v="i think im going like this sifting litter box that i just bought its different from anything i ever used before but its simple enough figure out"/>
        <s v="i loved selection ease of checkout on petflow one time i dealt with customer service was completely painless i would recommend this company any pet owner only improvement that i can think of would be have a way save items future purchase"/>
        <s v="competitive price&#10;fast delivery"/>
        <s v="good pricing great variety quick service need i say more"/>
        <s v="first time i ordered my dogs canned food experience was pretty negative as none of my requests were taken care of it was if they just ignored me second time was a better experience"/>
        <s v="ordered item weeks ago web site said in stock called twice did not receive any real answers or satisfaction said it was problem at he suppliers warehouse update just received email that product just shipped all good"/>
        <s v="first i was told my food order was on its way shipped then told it was on back ordered cant be delivered i want cancel my order but have no where call or know how do it&#10;but company sends constant emails &#10;also i ordered toys based on my dogs weight but the"/>
        <s v="they have products of dog food i cant find anywhere else"/>
        <s v="products are great service was great packaging shipment was terrible both boxes were broken open due poor lack of packing material it was amazing items ordered were still in boxes"/>
        <s v="my dogs are happy so am i with services on delivery of their foodsand my cats are happy too"/>
        <s v="there no price gauging my order was received quickly packaged perfectly i will order through them again"/>
        <s v="respond emails very quickly take care of a problem pronto"/>
        <s v="it difficult at times get dog food during this pandemic petflow dependable thank you"/>
        <s v="excellent service delivery selection of products probably best that ive yet find shipping has been on time pricing very competitive thank you a positive experience"/>
        <s v="replacement squeakers i purchased were supposed be large unfortunately they were medium sized merely passed off as large they were barely bigger than small squeakers i also purchased"/>
        <s v="it was supposed be here thursday it now wednesday almost a week late no estimated delivery date i was hoping this would be convenient however now its way worse than just driving minutes pet store"/>
        <s v="overall service good but i have a routine shipping monthly on th unfortunately my order of prescription dog food was not picked up by fedex until th not shipped until th now it looks like i will run out of food a day early not good"/>
        <s v="prices are good however shipping time not so good my items took about days arrive when using other company days tops this probably why i will not shop with pet flow again"/>
        <s v="love delivery its heavy me carry trunk then into my house plus food great so are treats thanks"/>
        <s v="ordered several teddy bear toys enough get free shipping arrived so quick my dog loves these toys they are quite durable shes quite a chewer ive got enough last a while got a good price too not dependent upon quantity better than petsmart highly recommend"/>
        <s v="ordered fromms pate canned food my dogs upcoming surgery promptly shipped but delivery was held up with no updates contacted pet flow see if they could get any information aimee quickly responded that she would contact shipper would get a free replacement"/>
        <s v="great service reasonable prices good quality will definitely buy again"/>
        <s v="usually we have a great experience with petflow this time however was a real struggle i was told over over by petflow that they reached out our vet food approval but my vet told me they never received any contact from them i even went my vet twice get the"/>
        <s v="i contacted customer service because i received wrong dog food they immediately resolved situation sent me a return shipping label this company has some of best quickest customer service agents ive ever dealt with"/>
        <s v="excellent fast service"/>
        <s v="very easy ordering only site that had wet food i needed took a little longer ship but was received in an acceptable period of time"/>
        <s v="i have been a returning customer a while now petflow has always had excellent service it most appreciated thank you"/>
        <s v="petflow had specialty prescription dog food my vet could not get they made buying process easy shipped quickly i will keep shopping with petflow"/>
        <s v="great customer service their text option awesome"/>
        <s v="my order was well wrapped delivered in a timely fashion i will continue use pet flow highly recommend them"/>
        <s v="love this company so easy work with"/>
        <s v="excellent service i would recommend"/>
        <s v="amazing service prescription dog food i needed was back ordered by manufacturer i explained petflow customer service that that was only food my dog could eat they did an online search found it had it shipped me this was not service i was expecting due lac"/>
        <s v="i appreciate how fast my orders are delivered that they have exactly what i am looking"/>
        <s v="see csr file"/>
        <s v="easy order form site order shipped arrived quickly"/>
        <s v="ordered lb bag of dog food order was processed immediately delivery was quick"/>
        <s v="found this vendor on line they were one of only sites that had prescription dog food i needed none of local pet stores had this food in stock i ordered food from them at a reasonable price received shipment in a timely manner well done"/>
        <s v="i have no idea what i bought from your site but all my online cat food orders have been prompt requested product was one i received but if this was royal canin cat food order my god price not you manufacturer lee hoffman"/>
        <s v="my cats eat a pretty particular food that can be hard find found it on petflow an affordable price everything arrived safely quickly you can contact them directly by text email i did check on shipment status a real person got back me quickly ill definitel"/>
        <s v="ordered dog food which they said was in stock prescription food my dog after paying it next day they tell me oh we are out of that this only food he can eat prescribed"/>
        <s v="great service great value"/>
        <s v="great selection of in stock items shipping quick dependable"/>
        <s v="petflow had what i needed in cat food that i couldnt find anywhere else however it took nearly a week ship although they were several days ahead of their shipping estimate long shipping may be mostly due supply chain problemshard tell now"/>
        <s v="when our vet said he wanted our aussies food changed i had cancel our standing order order new food i contacted petflow by email received an immediate reply i am so impressed by ease speed with which my problem was handled thanks great customer service"/>
        <s v="you need allow electronic upload of prescriptions pet food i had mail hard copy then wait you get approval from my vet after you received it this took about days why would you even need approval when i mailed you actual original script anyway whole proces"/>
        <s v="this place da bomb they have very fast very nice customer service that far few between these days do not hesitate do it do it u will not regret i was using chewy pet smart im out with those as long as they keep my dogs in stock im a life long petflow cust"/>
        <s v="great experience will use them again"/>
        <s v="easy find exactly what i was looking quick delivery"/>
        <s v="i was very happy with my experience i placed an order my cats food it shipped quickly i got it within two days of being shipped cans were excellently packed price food was great i was am satisfied with my experience will continue shop here"/>
        <s v="friendly staff good selection of dog food"/>
        <s v="wrong food sent now i have return it&#10;redbox it drive fedx haul in in"/>
        <s v="we our german shorthair pups think your quick service price are excellent"/>
        <s v="i ordered id chicken stew after two weeks i called you you said your order out of stock but still shows available"/>
        <s v="i always feel as though they truly want make their customers feel satisfied i appreciate that very much"/>
        <s v="rder email confirmation was delayed email notification that shipment will be delayed was also late customer service needs improvement"/>
        <s v="super convenient great selection of grain free options prompt delivery"/>
        <s v="couldnt locate my brand of food in new state n city where i now reside found your website luckily i now have my dogs favorite brands of food best part same price as it was in minnesota at chuck n dons store better it was delivered my door i will be orderi"/>
        <s v="i was forced buy two items get minimal amount only one was shipped not one i wanted"/>
        <s v="couldnt find our dogs food anywhere you were only place we found you got it us so fast even contacted our vet approval"/>
        <s v="i have been ordering from petflow several years now have always been satisfied with products delivery recently they went above beyond on an order that was delivered damaged customer service was excellent i was totally satisfied with how quickly completely"/>
        <s v="great phone help on getting oscars rx science diet in food shipped quickly"/>
        <s v="petflow had a prescription food in stock my pet that other sites did not they also had a great promotion new autoship customers a separate promotion that saved me money on my prescription food when i had trouble applying coupon code at checkout due a syst"/>
        <s v="petflow has excellent prices a great variety of items their customer service exellent also however it does take a bit longer than competitors receive ordered items they shipped us wrong item twice they did pay returned shipping made arrangements items be "/>
        <s v="petflow was a great find with all shortages difficulties getting our cats hills science diet with price gouging at competitor sites it was certainly gratifying find what i was looking at petflow our cats are finicky spoiled they love their hills pandemic "/>
        <s v="each time i placed an order of what was supposed be in stock company took my order my credit card information then days later told me product was no longer available it really felt like a bait switch after it happened times really bad business practices"/>
        <s v="specialty food said available on website called be sure available too emailed a week later on backorder very poor customer service"/>
        <s v="i still havent received my dog food fedex keeps saying exception attempted delivery that never occurred"/>
        <s v="i couldnt find this prescription treat my dog anywhere but petflow had it in stock my dog happy she can have a couple of treats a day now thanks petflow"/>
        <s v="fast delivery easy use website&#10;thank you&#10;laura"/>
        <s v="fast service as usual product in good condition well packaged"/>
        <s v="wonderful product arrived as promised good company do business with"/>
        <s v="ordered rx catcase cansblue wu on vet contacted on responded same day on still no confirmation that order had shipped&#10;&#10; had made calls earlyon check see if everything had been approved processed had specifically asked when placing order having any issues "/>
        <s v="as usual everything arrived timely accurately"/>
        <s v="i ordered prescription dogfood i needed nothing happened i called customer service they told me they would expedite getting it shipped&#10;a day later i got an email saying it was out of stock this should not have happened now i am hunting food my dog needs"/>
      </sharedItems>
    </cacheField>
    <cacheField name="word_count" numFmtId="0">
      <sharedItems containsSemiMixedTypes="0" containsString="0" containsNumber="1" containsInteger="1">
        <n v="40.0"/>
        <n v="39.0"/>
        <n v="50.0"/>
        <n v="43.0"/>
        <n v="44.0"/>
        <n v="52.0"/>
        <n v="80.0"/>
        <n v="23.0"/>
        <n v="28.0"/>
        <n v="73.0"/>
        <n v="61.0"/>
        <n v="30.0"/>
        <n v="32.0"/>
        <n v="63.0"/>
        <n v="24.0"/>
        <n v="15.0"/>
        <n v="83.0"/>
        <n v="31.0"/>
        <n v="58.0"/>
        <n v="20.0"/>
        <n v="18.0"/>
        <n v="157.0"/>
        <n v="37.0"/>
        <n v="124.0"/>
        <n v="305.0"/>
        <n v="26.0"/>
        <n v="42.0"/>
        <n v="36.0"/>
        <n v="16.0"/>
        <n v="12.0"/>
        <n v="53.0"/>
        <n v="68.0"/>
        <n v="22.0"/>
        <n v="41.0"/>
        <n v="29.0"/>
        <n v="13.0"/>
        <n v="82.0"/>
        <n v="45.0"/>
        <n v="33.0"/>
        <n v="38.0"/>
        <n v="8.0"/>
        <n v="17.0"/>
        <n v="14.0"/>
        <n v="120.0"/>
        <n v="35.0"/>
        <n v="65.0"/>
        <n v="190.0"/>
        <n v="9.0"/>
        <n v="21.0"/>
        <n v="11.0"/>
        <n v="70.0"/>
        <n v="5.0"/>
        <n v="7.0"/>
        <n v="6.0"/>
        <n v="27.0"/>
        <n v="19.0"/>
        <n v="1.0"/>
        <n v="4.0"/>
        <n v="54.0"/>
        <n v="10.0"/>
        <n v="623.0"/>
        <n v="3.0"/>
        <n v="67.0"/>
        <n v="71.0"/>
        <n v="49.0"/>
        <n v="46.0"/>
        <n v="77.0"/>
        <n v="64.0"/>
        <n v="34.0"/>
        <n v="56.0"/>
        <n v="94.0"/>
        <n v="174.0"/>
        <n v="118.0"/>
        <n v="189.0"/>
        <n v="47.0"/>
        <n v="78.0"/>
        <n v="142.0"/>
        <n v="66.0"/>
        <n v="95.0"/>
        <n v="51.0"/>
        <n v="57.0"/>
        <n v="355.0"/>
        <n v="97.0"/>
        <n v="60.0"/>
        <n v="160.0"/>
        <n v="59.0"/>
        <n v="72.0"/>
        <n v="121.0"/>
        <n v="163.0"/>
        <n v="62.0"/>
        <n v="69.0"/>
        <n v="113.0"/>
        <n v="106.0"/>
        <n v="84.0"/>
        <n v="87.0"/>
        <n v="75.0"/>
        <n v="25.0"/>
        <n v="108.0"/>
        <n v="55.0"/>
        <n v="123.0"/>
        <n v="109.0"/>
        <n v="98.0"/>
        <n v="2.0"/>
        <n v="101.0"/>
        <n v="89.0"/>
        <n v="232.0"/>
        <n v="79.0"/>
        <n v="88.0"/>
        <n v="81.0"/>
        <n v="169.0"/>
        <n v="91.0"/>
        <n v="74.0"/>
        <n v="105.0"/>
        <n v="127.0"/>
        <n v="296.0"/>
        <n v="85.0"/>
        <n v="104.0"/>
        <n v="99.0"/>
        <n v="48.0"/>
        <n v="290.0"/>
        <n v="103.0"/>
        <n v="90.0"/>
        <n v="76.0"/>
        <n v="136.0"/>
        <n v="143.0"/>
        <n v="129.0"/>
        <n v="212.0"/>
        <n v="235.0"/>
        <n v="145.0"/>
        <n v="153.0"/>
        <n v="110.0"/>
        <n v="93.0"/>
        <n v="213.0"/>
        <n v="137.0"/>
        <n v="180.0"/>
        <n v="166.0"/>
        <n v="111.0"/>
        <n v="96.0"/>
        <n v="100.0"/>
        <n v="114.0"/>
        <n v="102.0"/>
        <n v="86.0"/>
        <n v="117.0"/>
        <n v="226.0"/>
        <n v="132.0"/>
        <n v="138.0"/>
        <n v="151.0"/>
        <n v="116.0"/>
        <n v="119.0"/>
        <n v="158.0"/>
        <n v="141.0"/>
        <n v="234.0"/>
        <n v="107.0"/>
        <n v="122.0"/>
        <n v="178.0"/>
        <n v="170.0"/>
        <n v="282.0"/>
        <n v="271.0"/>
        <n v="128.0"/>
        <n v="176.0"/>
        <n v="186.0"/>
        <n v="126.0"/>
        <n v="149.0"/>
        <n v="115.0"/>
        <n v="162.0"/>
        <n v="168.0"/>
        <n v="173.0"/>
        <n v="125.0"/>
        <n v="146.0"/>
        <n v="172.0"/>
        <n v="230.0"/>
        <n v="112.0"/>
        <n v="139.0"/>
        <n v="156.0"/>
        <n v="92.0"/>
        <n v="155.0"/>
        <n v="144.0"/>
        <n v="133.0"/>
        <n v="140.0"/>
        <n v="131.0"/>
        <n v="248.0"/>
        <n v="311.0"/>
        <n v="291.0"/>
        <n v="373.0"/>
      </sharedItems>
    </cacheField>
    <cacheField name="positive_count" numFmtId="0">
      <sharedItems containsSemiMixedTypes="0" containsString="0" containsNumber="1" containsInteger="1">
        <n v="5.0"/>
        <n v="4.0"/>
        <n v="3.0"/>
        <n v="2.0"/>
        <n v="0.0"/>
        <n v="9.0"/>
        <n v="1.0"/>
        <n v="6.0"/>
      </sharedItems>
    </cacheField>
    <cacheField name="negative_count" numFmtId="0">
      <sharedItems containsSemiMixedTypes="0" containsString="0" containsNumber="1" containsInteger="1">
        <n v="1.0"/>
        <n v="0.0"/>
        <n v="2.0"/>
        <n v="5.0"/>
        <n v="3.0"/>
        <n v="4.0"/>
      </sharedItems>
    </cacheField>
    <cacheField name="sentiment_theme" numFmtId="0">
      <sharedItems>
        <s v="Customer Support"/>
        <s v="Value &amp; Convenience"/>
        <s v="Fulfillment &amp; Shipping"/>
        <s v="Account &amp; Website"/>
        <s v="Food Safety"/>
        <s v="Other"/>
        <s v="Trust &amp; Experience"/>
        <s v="Service Recovery"/>
        <s v="Availability"/>
      </sharedItems>
    </cacheField>
    <cacheField name="sentiment" numFmtId="0">
      <sharedItems>
        <s v="Positive"/>
        <s v="Negative"/>
        <s v="Neutral"/>
      </sharedItems>
    </cacheField>
    <cacheField name="reviewer_cleaned" numFmtId="0">
      <sharedItems>
        <s v="george romer"/>
        <s v="deborah helfer"/>
        <s v="sam walker"/>
        <s v="janie"/>
        <s v="vanessa howard"/>
        <s v="judith l williams"/>
        <s v="nan r"/>
        <s v="dave minnich"/>
        <s v="cynde s r"/>
        <s v="catherine nocella"/>
        <s v="customer"/>
        <s v="m k mullenbach"/>
        <s v="julie b"/>
        <s v="anne"/>
        <s v="joe p chavez"/>
        <s v="josh"/>
        <s v="gary"/>
        <s v="ann"/>
        <s v="ken l"/>
        <s v="theresa patzke guiver"/>
        <s v="linda lee"/>
        <s v="barbara tierney"/>
        <s v="daniel faflik"/>
        <s v="eduardo"/>
        <s v="packoffour"/>
        <s v="mel"/>
        <s v="nancy madigan"/>
        <s v="david j"/>
        <s v="kimberly"/>
        <s v="melinda jewart"/>
        <s v="gracie wierbinski"/>
        <s v="vicki"/>
        <s v="linda w oviedo fl"/>
        <s v="renee frank"/>
        <s v="patricia connors"/>
        <s v="maria m"/>
        <s v="jack hammer the electric radio show"/>
        <s v="carol ganser"/>
        <s v="k johnson"/>
        <s v="carol cole"/>
        <s v="karen clark"/>
        <s v="tammmy mackai"/>
        <s v="patrick litterer"/>
        <s v="tactical ant"/>
        <s v="cece moore"/>
        <s v="diane l"/>
        <s v="debra zborowski"/>
        <s v="ana arellano"/>
        <s v="nancy valett"/>
        <s v="b stroup"/>
        <s v="virginia dunk"/>
        <s v="steven seltzer"/>
        <s v="natalie"/>
        <s v="joyce"/>
        <s v="jk"/>
        <s v="donna beckner"/>
        <s v="dawn dowling"/>
        <s v="wb"/>
        <s v="william cardona"/>
        <s v="dianne wiley"/>
        <s v="laura shigemitsu"/>
        <s v="cara moore"/>
        <s v="linda"/>
        <s v="monti"/>
        <s v="charlene gioradno"/>
        <s v="maria perrone"/>
        <s v="sue"/>
        <s v="larry hogue"/>
        <s v="rired"/>
        <s v="kc jenkins"/>
        <s v="susan anderson"/>
        <s v="deanna f"/>
        <s v="allison cryer"/>
        <s v="lisa"/>
        <s v="barb bichons"/>
        <s v="nikki parson"/>
        <s v="alex g"/>
        <s v="linda crostic"/>
        <s v="christine flowers"/>
        <s v="baillee"/>
        <s v="paul"/>
        <s v="linda conversa"/>
        <s v="donna quante"/>
        <s v="deb"/>
        <s v="amanda garner"/>
        <s v="ruth"/>
        <s v="debbie trigg"/>
        <s v="olshopper"/>
        <s v="nicole tabbert"/>
        <s v="ania loveless"/>
        <s v="larry thompson"/>
        <s v="tom kulpinski"/>
        <s v="karen salay"/>
        <s v="yadi govea"/>
        <s v="audrey scruggs"/>
        <s v="colleen thompson"/>
        <s v="donna la rocco"/>
        <s v="aussie lover"/>
        <s v="elyse"/>
        <s v="armando lopez"/>
        <s v="julio rodriguez"/>
        <s v="helaine dietz"/>
        <s v="lex"/>
        <s v="bessie"/>
        <s v="vickie"/>
        <s v="kelly"/>
        <s v="dave b"/>
        <s v="lana"/>
        <s v="theodore frank"/>
        <s v="mom of fur babies"/>
        <s v="vivian parker"/>
        <s v="jeannine theakos"/>
        <s v="gail macgillivray"/>
        <s v="eulises r anton"/>
        <s v="catherine clark"/>
        <s v="ken b"/>
        <s v="jeffrey brewster"/>
        <s v="donald brumfield"/>
        <s v="penelope smith"/>
        <s v="ellen hurwitch"/>
        <s v="karen lanz"/>
        <s v="llemmon"/>
        <s v="richard vernon"/>
        <s v="terria bryant"/>
        <s v="kidsarek"/>
        <s v="cheryl mccoy"/>
        <s v="maria klein"/>
        <s v="mm"/>
        <s v="michael gibson"/>
        <s v="andrea ullon"/>
        <s v="jennifer carver"/>
        <s v="janet grey"/>
        <s v="happy customer"/>
        <s v="alyson mcdonald"/>
        <s v="benjamin kiing"/>
        <s v="jean"/>
        <s v="nextadvisor reader"/>
        <s v="julie l"/>
        <s v="ann mccoy"/>
        <s v="david"/>
        <s v="anonymous"/>
        <s v="walter wininger"/>
        <s v="siham ayoub"/>
        <s v="joe pick"/>
        <s v="tom s"/>
        <s v="laura m"/>
        <s v="barbara anderson"/>
        <s v="rick east"/>
        <s v="jennifer taylor"/>
        <s v="daniel grace"/>
        <s v="dennis felicio"/>
        <s v="mark jackson"/>
        <s v="margaret palmer"/>
        <s v="susan borland"/>
        <s v="tmot"/>
        <s v="robert"/>
        <s v="andrea schultheis"/>
        <s v="janet"/>
        <s v="n luffey"/>
        <s v="otmane hattani"/>
        <s v="kenneth"/>
        <s v="john kimber"/>
        <s v="jackie frascatore"/>
        <s v="john wu"/>
        <s v="richard nuzman"/>
        <s v="wanda harris"/>
        <s v="harold talbot"/>
        <s v="dianne"/>
        <s v="donna peterson"/>
        <s v="drgsd"/>
        <s v="mina seymour"/>
        <s v="ellen ennis"/>
        <s v="ronda daus"/>
        <s v="baron eike von lincoln"/>
        <s v="betty jo lesonsky"/>
        <s v="donna biondi"/>
        <s v="tuyen nguyen"/>
        <s v="andranea alexander"/>
        <s v="eric ridgeway"/>
        <s v="julia b"/>
        <s v="katherine sidon"/>
        <s v="nordvpn customer"/>
        <s v="dona joerger"/>
        <s v="shirley harris"/>
        <s v="al disante"/>
        <s v="elwood smith"/>
        <s v="linda klemkawalden"/>
        <s v="anthony cuccaro"/>
        <s v="carrie"/>
        <s v="rosi walsh"/>
        <s v="anthony williams"/>
        <s v="dewayne lovell"/>
        <s v="ahmmed patwary"/>
        <s v="andrea"/>
        <s v="terry anderson"/>
        <s v="sylvia bl"/>
        <s v="valerie fox"/>
        <s v="roch malzac"/>
        <s v="eric bell"/>
        <s v="phillip manley"/>
        <s v="linda sforza"/>
        <s v="lisa rosselli"/>
        <s v="karen ivers"/>
        <s v="crystal brown"/>
        <s v="greg"/>
        <s v="renee p"/>
        <s v="mary"/>
        <s v="dacatsparky"/>
        <s v="troy arenz"/>
        <s v="amy c"/>
        <s v="ariana"/>
        <s v="gail b"/>
        <s v="laura romano"/>
        <s v="jack"/>
        <s v="furrykid mom"/>
        <s v="john defeo"/>
        <s v="bobbi helms"/>
        <s v="kb"/>
        <s v="maria"/>
        <s v="nancy pope"/>
        <s v="larysa muzhanova"/>
        <s v="marian"/>
        <s v="marie hutchings"/>
        <s v="sheryl bilus"/>
        <s v="philip"/>
        <s v="svetlana litvinski"/>
        <s v="grace"/>
        <s v="nora"/>
        <s v="mew"/>
        <s v="barbara bowen baer"/>
        <s v="dr c"/>
        <s v="debbie good"/>
        <s v="moe"/>
        <s v="nancy font"/>
        <s v="edgardo gonzalez"/>
        <s v="eugene woodard"/>
        <s v="wrestling mama"/>
        <s v="lf"/>
        <s v="dr brenda luther"/>
        <s v="ann weinrich"/>
        <s v="ronald mrofcza"/>
        <s v="terri"/>
        <s v="peter j cappello"/>
        <s v="kevin benedict"/>
        <s v="mary busby"/>
        <s v="crystal ortiz"/>
        <s v="jack paul"/>
        <s v="barbara coleman"/>
        <s v="mary ballogg"/>
        <s v="arnold grad"/>
        <s v="amanda"/>
        <s v="ranjana bhattacharya"/>
        <s v="susan thomas"/>
        <s v="andy"/>
        <s v="craig"/>
        <s v="jim"/>
        <s v="rhonda peyton"/>
        <s v="troy harimon"/>
        <s v="laura kotlar"/>
        <s v="maureen meil"/>
        <s v="joseph j puiia jr"/>
        <s v="monica colville"/>
        <s v="donna sullivan"/>
        <s v="od"/>
        <s v="michelle currey"/>
        <s v="cynthia e day"/>
        <s v="rose moore"/>
        <s v="alicia patterson"/>
        <s v="kevin kochenour"/>
        <s v="joseph campe"/>
        <s v="lori"/>
        <s v="maria mireles"/>
        <s v="mary lopez"/>
        <s v="sheba"/>
        <s v="ginny stenoien"/>
        <s v="kei"/>
        <s v="michele allen"/>
        <s v="karen doman"/>
        <s v="kszymo"/>
        <s v="nismoman"/>
        <s v="michael lord"/>
        <s v="sara lentz"/>
        <s v="pm"/>
        <s v="walter williams"/>
        <s v="caldwell"/>
        <s v="jeannett wasicek"/>
        <s v="mary ayala"/>
        <s v="joeyc"/>
        <s v="helen"/>
        <s v="carmello"/>
        <s v="therese kaschuluk"/>
        <s v="veronica villanueva"/>
        <s v="ron c"/>
        <s v="christine smith"/>
        <s v="rachel"/>
        <s v="gina"/>
        <s v="mayra"/>
        <s v="lisa hall"/>
        <s v="donna s"/>
        <s v="peter di"/>
        <s v="frank kendrick"/>
        <s v="christina clark"/>
        <s v="vickie hancock"/>
        <s v="mike seiss"/>
        <s v="deana woodruff"/>
        <s v="marktrimarc"/>
        <s v="chris w"/>
        <s v="karen armer"/>
        <s v="steven s"/>
        <s v="machaca"/>
        <s v="robin lawson"/>
        <s v="lynda claver"/>
        <s v="ted wiaterowski"/>
        <s v="tammy wiggins"/>
        <s v="jheri"/>
        <s v="hannah susan selznick"/>
        <s v="james heidebrecht"/>
        <s v="tammy cox"/>
        <s v="jb walter"/>
        <s v="bill d"/>
        <s v="wr"/>
        <s v="cheryl harper"/>
        <s v="marilyn smith"/>
        <s v="stacia travis"/>
        <s v="debnva"/>
        <s v="ashley"/>
        <s v="soraya f"/>
        <s v="bobbie mcgee"/>
        <s v="meg whipple"/>
        <s v="ariella"/>
        <s v="ann marie peskowski"/>
        <s v="colleen annes"/>
        <s v="tonya deitrick"/>
        <s v="lois schwechtje"/>
        <s v="doug"/>
        <s v="canine mom"/>
        <s v="bernie hamblin"/>
        <s v="cheryl robinson"/>
        <s v="marilyn kempinski"/>
        <s v="katherine gismondi"/>
        <s v="paulette vocu"/>
        <s v="harold"/>
        <s v="gordon bryant"/>
        <s v="marion mohr"/>
        <s v="wa"/>
        <s v="ray vitale"/>
        <s v="barbara swanson"/>
        <s v="el roake"/>
        <s v="mckeone alonna"/>
        <s v="alexandra mendizabal"/>
        <s v="barb wcustomer"/>
        <s v="pamela m"/>
        <s v="vh"/>
        <s v="allen karol"/>
        <s v="shellie hall"/>
        <s v="maryann kurtz"/>
        <s v="lisa peak"/>
        <s v="donald coffman"/>
        <s v="dru hofmann"/>
        <s v="leyla davis"/>
        <s v="leslie seeley"/>
        <s v="scammed user"/>
        <s v="jane collier"/>
        <s v="sporesharon r goltz"/>
        <s v="antonio popjordanov"/>
        <s v="linda croll howell"/>
        <s v="susan langman"/>
        <s v="mike miller"/>
        <s v="jennak"/>
        <s v="linda rucker"/>
        <s v="brenda perezgoodrum"/>
        <s v="daniel hollingsworth"/>
        <s v="pg"/>
        <s v="jeff"/>
        <s v="karen"/>
        <s v="mary beth didion"/>
        <s v="joannie maheux"/>
        <s v="nancy addesso"/>
        <s v="hailey sumpter"/>
        <s v="michael moore"/>
        <s v="jerry divijak"/>
        <s v="andre henderson"/>
        <s v="donna perez"/>
        <s v="murray ritland"/>
        <s v="kristina durocher"/>
        <s v="diane stewart"/>
        <s v="delaine endl"/>
        <s v="sheila robbins"/>
        <s v="gary rold"/>
        <s v="dian"/>
        <s v="kimberly coleman"/>
        <s v="vera wilson"/>
        <s v="mully"/>
        <s v="tara olson"/>
        <s v="ga dog lover"/>
        <s v="b e gunbye"/>
        <s v="daniel gotten"/>
        <s v="xs"/>
        <s v="kathleen armstrong"/>
        <s v="martha krogstad"/>
        <s v="leisure world"/>
        <s v="terry richardson"/>
        <s v="molly b"/>
        <s v="keith dugas"/>
        <s v="darren maguire"/>
        <s v="vickie nelson"/>
        <s v="matt c"/>
        <s v="sheryl s"/>
        <s v="jeffrey b"/>
        <s v="taylor smith"/>
        <s v="stefanie rosenthal"/>
        <s v="brenda m"/>
        <s v="tim"/>
        <s v="frank w"/>
        <s v="dana fehsal"/>
        <s v="stella"/>
        <s v="mary schings"/>
        <s v="smileyone"/>
        <s v="catgirl"/>
        <s v="edmond kachurak"/>
        <s v="nancy harvey"/>
        <s v="huckabees place"/>
        <s v="alberta walker"/>
        <s v="lisa mitchell"/>
        <s v="sandy spencer"/>
        <s v="robert thrush"/>
        <s v="heather"/>
        <s v="patrick kelley"/>
        <s v="brent new"/>
        <s v="cat mom"/>
        <s v="sho en kan nei"/>
        <s v="daniel merrill"/>
        <s v="nina"/>
        <s v="carol lloyd"/>
        <s v="david groves"/>
        <s v="bob johnson"/>
        <s v="peter nguyen"/>
        <s v="alyssa hara"/>
        <s v="brandon phillips"/>
        <s v="anne jennings"/>
        <s v="kyle"/>
        <s v="andrew stevenson"/>
        <s v="victoria"/>
        <s v="consumer"/>
        <s v="alessandra caltabiano"/>
        <s v="jesse witt"/>
        <s v="alicia"/>
        <s v="monica cloninger"/>
        <s v="eddie hales"/>
        <s v="kp"/>
        <s v="wildspaniels"/>
        <s v="kyriaka ehrensberger"/>
        <s v="virha pate"/>
        <s v="s blake"/>
        <s v="mark a"/>
        <s v="karen arnold"/>
        <s v="karen gregory"/>
        <s v="mxf"/>
        <s v="judith lustgarten"/>
        <s v="ellen eaton"/>
        <s v="julieggeno"/>
        <s v="claudia kleczkowski"/>
        <s v="marcy"/>
        <s v="sarah sappington"/>
        <s v="richard sykes"/>
        <s v="cris e"/>
        <s v="shay lee"/>
        <s v="joel rappaport"/>
        <s v="cheryl paszkiewicz"/>
        <s v="jennie dunlap"/>
        <s v="carole paulsen"/>
        <s v="gene w"/>
        <s v="kim gifford"/>
        <s v="andrew g"/>
        <s v="mike koeck"/>
        <s v="donna belderrain"/>
        <s v="rose oneil"/>
        <s v="joann fry"/>
        <s v="michael baca"/>
        <s v="samantha roldan"/>
        <s v="pamela genovesi macdonald"/>
        <s v="sarah saalfield"/>
        <s v="rpf"/>
        <s v="kathy"/>
        <s v="darren parker"/>
        <s v="steven miller sr"/>
        <s v="alice burke"/>
        <s v="john"/>
        <s v="rachelle marple"/>
        <s v="teri vaillancourt"/>
        <s v="maria guillermo"/>
        <s v="michele"/>
        <s v="debbie"/>
        <s v="gordon celliers"/>
        <s v="lisa kelly"/>
        <s v="deborah ann"/>
        <s v="sandyn"/>
        <s v="anita hudnall"/>
        <s v="darlene scheuermann"/>
        <s v="daniel jarovisky"/>
        <s v="sheila g"/>
        <s v="abina cohen"/>
        <s v="therese"/>
        <s v="michael"/>
        <s v="donna hilliard"/>
        <s v="debra"/>
        <s v="jayme k"/>
        <s v="darlene dalijon"/>
        <s v="anthony kelly"/>
        <s v="john rodriguez"/>
        <s v="steven richardson"/>
        <s v="anthony reid"/>
        <s v="brooke marsh"/>
        <s v="charlotta"/>
        <s v="jg"/>
        <s v="jean germano"/>
        <s v="lynn"/>
        <s v="william coberly"/>
        <s v="ruby kilgore"/>
        <s v="maria detommaso"/>
        <s v="donna heaston"/>
        <s v="gena berkebile"/>
        <s v="jeffrey brenner"/>
        <s v="larry gruetzmacher"/>
        <s v="bonnie vohden"/>
        <s v="vicki k boyles"/>
        <s v="karen w"/>
        <s v="donald moravick"/>
        <s v="nate"/>
        <s v="barbara smith"/>
        <s v="rod ferrand"/>
        <s v="mike"/>
        <s v="edward"/>
        <s v="jane roberts"/>
        <s v="simone"/>
        <s v="rickie rabourn"/>
        <s v="maryjane carlisle"/>
        <s v="rebecca"/>
        <s v="anne demsky"/>
        <s v="clare longo"/>
        <s v="skwa"/>
        <s v="lorraine swanson"/>
        <s v="caucus"/>
        <s v="deborah"/>
        <s v="andy johnson"/>
        <s v="rebecca bergwall"/>
        <s v="smb"/>
        <s v="brooke"/>
        <s v="rita"/>
        <s v="kim amoiapost"/>
        <s v="kristin hetland"/>
        <s v="art contrestano"/>
        <s v="julie mcmanus"/>
        <s v="carol zingler"/>
        <s v="jennifer"/>
        <s v="helen lamagna"/>
        <s v="pete"/>
        <s v="lawrence otis"/>
        <s v="jb"/>
        <s v="js"/>
        <s v="sandra wagoner"/>
        <s v="bergen county nj home buyer"/>
        <s v="rick cianflone"/>
        <s v="shirley dufrane"/>
        <s v="imran khan"/>
        <s v="william"/>
        <s v="evan demarr"/>
        <s v="roberta workman"/>
        <s v="desert skies kennel"/>
        <s v="jmr"/>
        <s v="richard rippon"/>
        <s v="nathaniel dearinger"/>
        <s v="carol karvosky"/>
        <s v="robert cook"/>
        <s v="judith patterson"/>
        <s v="nora baga"/>
        <s v="cathy karabetsos"/>
        <s v="doodlebug"/>
        <s v="ronald straub"/>
        <s v="a wortham"/>
        <s v="jerri carroll"/>
        <s v="co sierra glass distributors"/>
        <s v="sonya robinson"/>
        <s v="erica"/>
        <s v="laurie s"/>
        <s v="theresa"/>
        <s v="libby allen"/>
        <s v="janet tennison"/>
        <s v="patricia"/>
        <s v="jay eldredge"/>
        <s v="mary madecosmtih"/>
        <s v="roberto rios ruiz"/>
        <s v="jenny drastura"/>
        <s v="robert short"/>
        <s v="sherry hardwick thomas"/>
        <s v="lc"/>
        <s v="a krutsch"/>
        <s v="lori kiesow"/>
        <s v="peggy hitchings"/>
        <s v="joseph sobremonte"/>
        <s v="sandra halpin"/>
        <s v="katharyn s"/>
        <s v="richard weiss"/>
        <s v="jaqueline cormier"/>
        <s v="james"/>
        <s v="catherine warner"/>
        <s v="shasta sowards"/>
        <s v="jonathan"/>
        <s v="festive"/>
        <s v="patty"/>
        <s v="christian lewis"/>
        <s v="susan wisz"/>
        <s v="amy k"/>
        <s v="anon"/>
        <s v="c santana"/>
        <s v="susan manning"/>
        <s v="kim bulkowski"/>
        <s v="ginny bee"/>
        <s v="michele sage"/>
        <s v="brenda brendy pugs"/>
        <s v="samantha"/>
        <s v="virginia welsh"/>
        <s v="shelley"/>
        <s v="christine whittinghill"/>
        <s v="lynn huizinga"/>
        <s v="denise kochick"/>
        <s v="daniel neumann"/>
        <s v="pamela"/>
        <s v="bradley serlis"/>
        <s v="skeeter"/>
        <s v="mindy reed"/>
        <s v="fabiola v"/>
        <s v="kimberly guidi"/>
        <s v="valentine"/>
        <s v="ron knight"/>
        <s v="helen coryell"/>
        <s v="brian ward"/>
        <s v="willard d meyer"/>
        <s v="juan azcona"/>
        <s v="diane"/>
        <s v="crystalballing"/>
        <s v="terresa holmes"/>
        <s v="tmh"/>
        <s v="tracy wight"/>
        <s v="steven"/>
        <s v="gail morrison"/>
        <s v="angie hutchins"/>
        <s v="brian ohearn"/>
        <s v="john oroke"/>
        <s v="jj"/>
        <s v="spike cover"/>
        <s v="richard qq"/>
        <s v="david hansen"/>
        <s v="cambrea hendricks"/>
        <s v="laurel long"/>
        <s v="mhan"/>
        <s v="customer ellen"/>
        <s v="shelly g"/>
        <s v="mohammad abdi"/>
        <s v="patrick valentine"/>
        <s v="j howe"/>
        <s v="adriana culmone"/>
        <s v="olga intskirveli"/>
        <s v="pamela cooper"/>
        <s v="renea justice"/>
        <s v="jane getsla"/>
        <s v="erin murphy"/>
        <s v="katherine forbes"/>
        <s v="carl simonian"/>
        <s v="roscoe white"/>
        <s v="linda hatcher"/>
        <s v="herb lowrance"/>
        <s v="nancy hough"/>
        <s v="rajan girdhar"/>
        <s v="name withheld"/>
        <s v="rossermond"/>
        <s v="risa"/>
        <s v="mauricio"/>
        <s v="sonja allen"/>
        <s v="frances drake"/>
        <s v="aj bon"/>
        <s v="ap"/>
        <s v="teresa brace"/>
        <s v="christina kaelin"/>
        <s v="clifford heater"/>
        <s v="pamela doherty"/>
        <s v="george crafts"/>
        <s v="jean quigley"/>
        <s v="constance antonelli"/>
        <s v="cnm"/>
        <s v="kristin"/>
        <s v="diane langlois"/>
        <s v="ed coan"/>
        <s v="susan tashiro"/>
        <s v="robert adams"/>
        <s v="botti"/>
        <s v="sharon hazelrigg"/>
        <s v="jody warder newport dr naples fl"/>
        <s v="mary jane"/>
        <s v="denise fergusson"/>
        <s v="stephen"/>
        <s v="portland customer"/>
        <s v="yulia b"/>
        <s v="james shearer"/>
        <s v="arden larsen"/>
        <s v="rob"/>
        <s v="karen costello"/>
        <s v="amy"/>
        <s v="april woodruff"/>
        <s v="marcelino"/>
        <s v="gary fuller"/>
        <s v="kg"/>
        <s v="kevin"/>
        <s v="linda lou"/>
        <s v="cynthia greene"/>
        <s v="maryanne"/>
        <s v="dennitta hill"/>
        <s v="jill johnson"/>
        <s v="greg bisi"/>
        <s v="song lee"/>
        <s v="pauline hamasaki"/>
        <s v="last name ranney"/>
        <s v="anita"/>
        <s v="stephen beckett"/>
        <s v="sara christy hanshew"/>
        <s v="olga abella"/>
        <s v="shalene h"/>
        <s v="georgia"/>
        <s v="heidi mccain"/>
        <s v="joy"/>
        <s v="cb"/>
        <s v="customermsmarianne"/>
        <s v="julia johnson"/>
        <s v="gregory gigantiello"/>
        <s v="christine robinson"/>
        <s v="marylou"/>
        <s v="pam l"/>
        <s v="jim damm"/>
        <s v="odalys cruz"/>
        <s v="jessica friedman"/>
        <s v="tammy borell"/>
        <s v="nk"/>
        <s v="debbie lattin"/>
        <s v="matthew"/>
        <s v="et"/>
        <s v="steve w"/>
        <s v="scott bilot"/>
        <s v="steven harrington"/>
        <s v="roxanne m kitzman"/>
        <s v="diana l"/>
        <s v="unhappy member"/>
        <s v="stephanie p"/>
        <s v="jean silver"/>
        <s v="frank viola"/>
        <s v="julie waymire"/>
        <s v="chanel silva"/>
        <s v="robert naylis"/>
        <s v="kriss m"/>
        <s v="grandma rink"/>
        <s v="don peters"/>
        <s v="leslie fearing"/>
        <s v="deirdre santoscoy"/>
        <s v="melonie eso"/>
        <s v="donna ross"/>
        <s v="paul auger"/>
        <s v="steve sell"/>
        <s v="michael ri"/>
        <s v="julie"/>
        <s v="customer timothy"/>
        <s v="bruce"/>
        <s v="debbie reyes"/>
        <s v="kathyn"/>
        <s v="bubbleslatour"/>
        <s v="cheryl renshaw"/>
        <s v="marilyn cole"/>
        <s v="debora mcnamara"/>
        <s v="nora wadeschultz"/>
        <s v="a iannotta"/>
        <s v="mary hommel"/>
        <s v="ross harrison"/>
        <s v="richard wilson"/>
        <s v="sue evans"/>
        <s v="suzanne"/>
        <s v="pa jo"/>
        <s v="arizona customer"/>
        <s v="betty gibbs"/>
        <s v="susan ostby"/>
        <s v="kvl"/>
        <s v="jody huth"/>
        <s v="diane campochiaro"/>
        <s v="thomas smith"/>
        <s v="abbeys parents"/>
        <s v="don urbielewicz"/>
        <s v="kimberly jensen"/>
        <s v="rhonda williams"/>
        <s v="mamichellr"/>
        <s v="donna greene"/>
        <s v="txcjg"/>
        <s v="elizabeth carter"/>
        <s v="scott l"/>
        <s v="travis"/>
        <s v="alan peters"/>
        <s v="delores beckettpastirchak"/>
        <s v="mary russell"/>
        <s v="jane breyer"/>
        <s v="sheri gittinger"/>
        <s v="kayan eplett"/>
        <s v="kathy k"/>
        <s v="wanda kling"/>
        <s v="carol greenberg"/>
        <s v="christopher weaver"/>
        <s v="paula godina"/>
        <s v="dee"/>
        <s v="suzanne hilltripp"/>
        <s v="mrj"/>
        <s v="suzann"/>
        <s v="marilyn sharp"/>
        <s v="ziva"/>
        <s v="peter tedone"/>
        <s v="angela"/>
        <s v="kristen mullin"/>
        <s v="donna"/>
        <s v="teds mom"/>
        <s v="monica moore"/>
        <s v="steven kimpton"/>
        <s v="terence shubeck"/>
        <s v="mark kelley"/>
        <s v="eve stangor"/>
        <s v="ana ramos"/>
        <s v="safr"/>
        <s v="andrea paquette"/>
        <s v="kathleen smith"/>
        <s v="mattman"/>
        <s v="sarah"/>
        <s v="owlen scaggs"/>
        <s v="eileen portelli"/>
        <s v="hf"/>
        <s v="donna kenny"/>
        <s v="dustin murdock"/>
        <s v="mp"/>
        <s v="meshelle eicher"/>
        <s v="diane amono"/>
        <s v="arthur buckley"/>
        <s v="mommawinks"/>
        <s v="karen sharkey"/>
        <s v="tom wieck"/>
        <s v="kathleen holmes"/>
        <s v="customernancy ullrich"/>
        <s v="nancy lewis"/>
        <s v="tina spring"/>
        <s v="margaret"/>
        <s v="susan latcham"/>
        <s v="renee breeden"/>
        <s v="ronald stout"/>
        <s v="linda wutz"/>
        <s v="kim"/>
        <s v="guest"/>
        <s v="maureen doran kocka"/>
        <s v="em"/>
        <s v="scouter"/>
        <s v="tom lindemann"/>
        <s v="lois ferguson smith"/>
        <s v="debbie thompson"/>
        <s v="lourdes"/>
        <s v="susan"/>
        <s v="robert nelson"/>
        <s v="tina"/>
        <s v="kim phillips"/>
        <s v="ellenp"/>
        <s v="chuck"/>
        <s v="barry h"/>
        <s v="tyson steigers"/>
        <s v="christina l"/>
        <s v="munroe chapin"/>
        <s v="rebecca smith"/>
        <s v="carolyn w shaffer"/>
        <s v="roix"/>
        <s v="jeanette g"/>
        <s v="al larson"/>
        <s v="april"/>
        <s v="judy smith"/>
        <s v="susan love"/>
        <s v="crystal riley"/>
        <s v="nick"/>
        <s v="hilary burns"/>
        <s v="bko"/>
        <s v="gil g"/>
        <s v="tim freytag"/>
        <s v="gail"/>
        <s v="casey fletcher"/>
        <s v="jonathan luecke"/>
        <s v="ddbrown"/>
        <s v="j hamu"/>
        <s v="alexa"/>
        <s v="david eichorn"/>
        <s v="km"/>
        <s v="miumius mom"/>
        <s v="barbara"/>
        <s v="cheri collins"/>
        <s v="frank lucero"/>
        <s v="debi"/>
        <s v="allen m feldman"/>
        <s v="richard"/>
        <s v="s ip"/>
        <s v="dave dufour"/>
        <s v="julia"/>
        <s v="kenneth tuffern"/>
        <s v="bethann baer"/>
        <s v="shelley lloyd"/>
        <s v="kirt koon"/>
        <s v="geoff"/>
        <s v="felix gan"/>
        <s v="raine tyler"/>
        <s v="rebecca d cintron"/>
        <s v="melvin check"/>
        <s v="ann sabin"/>
        <s v="linda schmidt"/>
        <s v="lori lavine"/>
        <s v="mindy saetern"/>
        <s v="john toner"/>
        <s v="brenda"/>
        <s v="linda sokolowski"/>
        <s v="martha vasi"/>
        <s v="richard riner"/>
        <s v="linda ruffing"/>
        <s v="mary hawks"/>
        <s v="laurie greear"/>
        <s v="jill m"/>
        <s v="mandisa henry"/>
        <s v="lesli kelsey"/>
        <s v="melissa"/>
        <s v="frederick pisani"/>
        <s v="amcc"/>
        <s v="ben lever"/>
        <s v="rmc"/>
        <s v="d p"/>
        <s v="sheila w"/>
        <s v="dave lawson"/>
        <s v="kathy durginleighton"/>
        <s v="christine"/>
        <s v="cindync"/>
        <s v="claire turnbull"/>
        <s v="hopecarolyn quentzel"/>
        <s v="eva"/>
        <s v="glenda laubhan"/>
        <s v="elizabeth dekarske"/>
        <s v="c machleit"/>
        <s v="sandra"/>
        <s v="james lallman"/>
        <s v="joe smith"/>
        <s v="phil thomas"/>
        <s v="mary bates"/>
        <s v="vanessa"/>
        <s v="michael del masto"/>
        <s v="yury k"/>
        <s v="michael morehead"/>
        <s v="t ward"/>
        <s v="albert egan"/>
        <s v="michelle rue"/>
        <s v="bob and anne blaicher"/>
        <s v="helene"/>
        <s v="jennifer k"/>
        <s v="tammy"/>
        <s v="steven nevada"/>
        <s v="john anderson"/>
        <s v="barbara rice"/>
        <s v="wheels"/>
        <s v="jenny obrien"/>
        <s v="peter utrata"/>
        <s v="jenna"/>
        <s v="michael g"/>
        <s v="nlb"/>
        <s v="paul verzosa"/>
        <s v="kathryn johnson"/>
        <s v="lh"/>
        <s v="paul guevara"/>
        <s v="kim m"/>
        <s v="viviana k"/>
        <s v="brad galusha"/>
        <s v="theresa van vels"/>
        <s v="tiffany"/>
        <s v="laura cyphers"/>
        <s v="jana anderson"/>
        <s v="linda b"/>
        <s v="josephine vollkommer"/>
        <s v="john toto"/>
        <s v="stephanie carpenter"/>
        <s v="melinda"/>
        <s v="tracy"/>
        <s v="chris s"/>
        <s v="suzanne campbell"/>
        <s v="mark l"/>
        <s v="tagandlink"/>
        <s v="monica loeffler"/>
        <s v="earl mullett jr"/>
        <s v="gretchen"/>
        <s v="justin"/>
        <s v="judy mitchell"/>
        <s v="kelli s"/>
        <s v="kathryn"/>
        <s v="ximena ramos"/>
        <s v="linda s"/>
        <s v="phyllis yaeger"/>
        <s v="linda clark"/>
        <s v="roger ray"/>
        <s v="dawn"/>
        <s v="lkm"/>
        <s v="carolynn galaviz"/>
        <s v="kelly lafrance"/>
        <s v="bennett"/>
        <s v="jeff warmouth"/>
        <s v="customer robert elgin"/>
        <s v="shaggy phipps"/>
        <s v="terry schnitter"/>
        <s v="glenyce ross"/>
        <s v="denali"/>
        <s v="robin croce"/>
        <s v="fred harrah"/>
        <s v="mary ann"/>
        <s v="dory rodriguez"/>
        <s v="robert danforth"/>
        <s v="kerry ohagen"/>
        <s v="rick cantu"/>
        <s v="loretta vacek"/>
        <s v="wilma mccoy"/>
        <s v="mm nava"/>
        <s v="karen forsee"/>
        <s v="jeff burke"/>
        <s v="joan ginard"/>
        <s v="sandra hernandez"/>
        <s v="rustybritt"/>
        <s v="cristina mednick"/>
        <s v="janice"/>
        <s v="cms"/>
        <s v="nancy gibbs"/>
        <s v="travis sherman"/>
        <s v="mel m"/>
        <s v="kyle pollock"/>
        <s v="holly henry west"/>
        <s v="karen harper"/>
        <s v="kathy harveyjones"/>
        <s v="bruce malicki"/>
        <s v="jeff boak"/>
        <s v="suzanne l fraccaroli"/>
        <s v="spencer"/>
        <s v="chris marmo"/>
        <s v="amber s"/>
        <s v="pb"/>
        <s v="ty strawhecker"/>
        <s v="anna"/>
        <s v="ds"/>
        <s v="thomas"/>
        <s v="doggiemistress"/>
        <s v="lynn kaluhiokalani"/>
        <s v="molly mcmurray"/>
        <s v="alicia savino"/>
        <s v="rebecca o"/>
        <s v="victoria schulze"/>
        <s v="lina colella"/>
        <s v="laurel cole"/>
        <s v="alex martinez"/>
        <s v="sharon ellis"/>
        <s v="karen kuns"/>
        <s v="mary suggs"/>
        <s v="richard w"/>
        <s v="stanley"/>
        <s v="david adams"/>
        <s v="robin"/>
        <s v="sdo"/>
        <s v="larry"/>
        <s v="this company sucks"/>
        <s v="malena porter"/>
        <s v="carole"/>
        <s v="raven"/>
        <s v="cristina conklin"/>
        <s v="thomas williams"/>
        <s v="marky"/>
        <s v="debra h"/>
        <s v="susan bjurstrom"/>
        <s v="danny tang"/>
        <s v="mes"/>
        <s v="shirley"/>
        <s v="luke rose"/>
        <s v="susanna s"/>
        <s v="lisa chappell"/>
        <s v="lacey"/>
        <s v="teresa mads"/>
        <s v="hien"/>
        <s v="glen cassells"/>
        <s v="jobyna"/>
        <s v="sue h"/>
        <s v="brian"/>
        <s v="sandra odell"/>
        <s v="darlene"/>
        <s v="melinda theide"/>
        <s v="jordan"/>
        <s v="tami comette"/>
        <s v="shelley malin"/>
        <s v="denise"/>
        <s v="jack kraut"/>
        <s v="mary forsythe"/>
        <s v="tammy ross"/>
        <s v="henry chandler"/>
        <s v="rescue an animal save your sou"/>
        <s v="casey bradshaw"/>
        <s v="njluvsshop"/>
        <s v="james barnett"/>
        <s v="mike bertrand"/>
        <s v="stevens rosemary"/>
        <s v="christine p"/>
        <s v="cathy in new york"/>
        <s v="stop spamming me"/>
        <s v="pamela kelly"/>
        <s v="jeri powell"/>
        <s v="sasciee"/>
        <s v="elizabeth dahl"/>
        <s v="sally"/>
        <s v="julie alms"/>
        <s v="c junior"/>
        <s v="annoyed"/>
        <s v="kelly vigil"/>
        <s v="teimuraz bandzava"/>
        <s v="kathryn riddle"/>
        <s v="k"/>
        <s v="ann r"/>
        <s v="vicki butler"/>
        <s v="eric fisher"/>
        <s v="peter jurich"/>
        <s v="mary l smith"/>
        <s v="jeri boswell"/>
        <s v="k neely"/>
        <s v="catlover"/>
        <s v="beth miranda"/>
        <s v="sal italiano"/>
        <s v="raymond butts"/>
        <s v="george hackney"/>
        <s v="mark marzino"/>
        <s v="joye thomas"/>
        <s v="kristie"/>
        <s v="erin leigh"/>
        <s v="laura garvin"/>
        <s v="karen waxman"/>
        <s v="susan mcclain"/>
        <s v="paola belli"/>
        <s v="ohiodoglover"/>
        <s v="angela plumley"/>
        <s v="george t"/>
        <s v="cecily"/>
        <s v="penny goodin"/>
        <s v="s stavro"/>
        <s v="sharon"/>
        <s v="jeff hale"/>
        <s v="marilyn roth"/>
        <s v="thomas carran"/>
        <s v="ethel houman"/>
        <s v="pat"/>
        <s v="alla ruchkina"/>
        <s v="christina m"/>
        <s v="michael birchall"/>
        <s v="daniel samardzich"/>
        <s v="felicia sisk"/>
        <s v="jt"/>
        <s v="marian m"/>
        <s v="disappointing"/>
        <s v="bergie"/>
        <s v="ga b"/>
        <s v="judy button"/>
        <s v="makayla brain"/>
        <s v="denise angelo"/>
        <s v="starr herscovitch"/>
        <s v="cassidy craig"/>
        <s v="susan vaz"/>
        <s v="linda crane"/>
        <s v="karen reed"/>
        <s v="aq"/>
        <s v="andrew ramseyer"/>
        <s v="nicole"/>
        <s v="gail pray"/>
        <s v="douglas allan"/>
        <s v="rebecca brogan"/>
        <s v="mml"/>
        <s v="art hiler"/>
        <s v="charlene"/>
        <s v="rebecca alderman"/>
        <s v="cary brenchley"/>
        <s v="lanay samuelson"/>
        <s v="carol bronson"/>
        <s v="ambur m"/>
        <s v="dan march"/>
        <s v="wendy stelmack"/>
        <s v="robin munson"/>
        <s v="lilnlus ma"/>
        <s v="frederick irwin"/>
        <s v="gourmet gal"/>
        <s v="michael principe"/>
        <s v="monica feagan"/>
        <s v="ladonna swaim"/>
        <s v="michael james"/>
        <s v="jordan rogers"/>
        <s v="shelly"/>
        <s v="ashley p"/>
        <s v="bobbi"/>
        <s v="sophie brooks"/>
        <s v="roman bowsser"/>
        <s v="reyvonna white"/>
        <s v="mo"/>
        <s v="rh"/>
        <s v="yvette"/>
        <s v="perla buchsbaum"/>
        <s v="paula brock"/>
        <s v="steven c"/>
        <s v="donna grubbs"/>
        <s v="happycamper"/>
        <s v="naja ayers"/>
        <s v="randi k"/>
        <s v="christine swiszcz"/>
        <s v="anja metz"/>
        <s v="rebecca soto"/>
        <s v="julie hagenchurchman"/>
        <s v="jeanne marie thallmayer"/>
        <s v="robin schmincke"/>
        <s v="candy and brian"/>
        <s v="valerie"/>
        <s v="joyce barber"/>
        <s v="jennifer h"/>
        <s v="ron henderson"/>
        <s v="sal quintero"/>
        <s v="brent mccaig"/>
        <s v="richard beard"/>
        <s v="christopher munns"/>
        <s v="julie r"/>
        <s v="mary leader"/>
        <s v="jasmine williams"/>
        <s v="dobetterbileave"/>
        <s v="khairul alam"/>
        <s v="kathryn marshburn"/>
        <s v="anatoly tokar"/>
        <s v="mias mommy nunez"/>
        <s v="iraida trusova"/>
        <s v="lily"/>
        <s v="phyllis beasley"/>
        <s v="carol clarke"/>
        <s v="m savage"/>
        <s v="angela white"/>
        <s v="p rick"/>
        <s v="william baumgartner"/>
        <s v="tram"/>
        <s v="mike l"/>
        <s v="christine j"/>
        <s v="sandra boyas"/>
        <s v="diane r"/>
        <s v="gina andrews"/>
        <s v="john ambrose"/>
        <s v="mj"/>
        <s v="n lucci"/>
        <s v="melissa richard"/>
        <s v="carrie roberts"/>
        <s v="denise anderson"/>
        <s v="jane"/>
        <s v="heather thacker"/>
        <s v="tom w"/>
        <s v="miss christine"/>
        <s v="jim russo"/>
        <s v="nelson tiburcio"/>
        <s v="linda rankin"/>
        <s v="phil dahlquist"/>
        <s v="russ"/>
        <s v="noel hirsch"/>
        <s v="gene smith"/>
        <s v="ahchicotose"/>
        <s v="maitri libellule"/>
        <s v="pauly"/>
        <s v="hr teel"/>
        <s v="happy camper"/>
        <s v="marcela reilly"/>
        <s v="vickie mullins"/>
        <s v="kimberly mcbride"/>
        <s v="tam"/>
        <s v="mahmoud alnajar"/>
        <s v="rita defranco"/>
        <s v="jaqueline bugallo pascucci"/>
        <s v="janesa calone"/>
        <s v="d c"/>
        <s v="rose h arkansas"/>
        <s v="leroy fhlug"/>
        <s v="charlene gallardo"/>
        <s v="walt hunt"/>
        <s v="daniel glunt"/>
        <s v="sue mogle"/>
        <s v="ada frasca"/>
        <s v="marsha mueller"/>
        <s v="jill"/>
        <s v="ria"/>
        <s v="ronald garlick"/>
        <s v="rick"/>
        <s v="jennifer abbottwalker"/>
        <s v="candee zenklusen"/>
        <s v="timmy bjorkquist"/>
        <s v="william g"/>
        <s v="captain stumpy"/>
        <s v="alexandra parra"/>
        <s v="frederic steinhardt"/>
        <s v="jacqui"/>
        <s v="hofty"/>
        <s v="kimberley lightcap"/>
        <s v="brenda mitchell"/>
        <s v="hma"/>
        <s v="siameez"/>
        <s v="steven ganung"/>
        <s v="jennifer schilling"/>
        <s v="donna m"/>
        <s v="jborine"/>
        <s v="debbie flores"/>
        <s v="patti martinez"/>
        <s v="drew nelson"/>
        <s v="geraldine hagan"/>
        <s v="elizabeth cunningham"/>
        <s v="carlos g"/>
        <s v="lara m"/>
        <s v="elizabeth jackson"/>
        <s v="barbara jones"/>
        <s v="kathy wesolowski"/>
        <s v="dan"/>
        <s v="jaclyn koester"/>
        <s v="phillip lavery"/>
        <s v="z c w"/>
        <s v="david blake"/>
        <s v="kathie potega"/>
        <s v="barb"/>
        <s v="sheliaj"/>
        <s v="eightblueeyes"/>
        <s v="ellen soliscohen"/>
        <s v="katarina"/>
        <s v="mclem"/>
        <s v="michele bowers"/>
        <s v="james b"/>
        <s v="ed"/>
        <s v="marmy"/>
        <s v="kim frazier"/>
        <s v="donna augustine"/>
        <s v="mary chalaire"/>
        <s v="ginny b"/>
        <s v="buddha opalina"/>
        <s v="rhonda"/>
        <s v="stanleychavez"/>
        <s v="honey flavorz"/>
        <s v="stephanie lucas"/>
        <s v="smw"/>
        <s v="annie lavigne"/>
        <s v="audrey eichwald"/>
        <s v="joyce berry"/>
        <s v="brianna schumaker nguyen"/>
        <s v="rebecca lopez"/>
        <s v="lak"/>
        <s v="gera williams"/>
        <s v="frank wessinger"/>
        <s v="mayme wilhem"/>
        <s v="lanier watson"/>
        <s v="rebecca wickstrom"/>
        <s v="susan jay"/>
        <s v="diane escobar"/>
        <s v="debbie roberts"/>
        <s v="margaret s warner"/>
        <s v="maxs mom"/>
        <s v="myron"/>
        <s v="tanjina"/>
        <s v="steve karman"/>
        <s v="linda keller"/>
        <s v="alise saunders"/>
        <s v="anita saint clair"/>
        <s v="andrina dacar"/>
        <s v="ronnie hoffman"/>
        <s v="berkshires"/>
        <s v="christopher"/>
        <s v="verla e ording"/>
        <s v="angela bowen"/>
        <s v="dan w"/>
        <s v="adrienne b"/>
        <s v="wendy morrey"/>
        <s v="stephen held"/>
        <s v="b bradford"/>
        <s v="marilyn badger"/>
        <s v="rodb"/>
        <s v="melissa susinonussbaum"/>
        <s v="william matthews"/>
        <s v="elizabeth cumberbatch"/>
        <s v="jesse clark"/>
        <s v="michelle unger"/>
        <s v="lrivera"/>
        <s v="ebony parker waugh"/>
        <s v="scd"/>
        <s v="dogmom"/>
        <s v="william gallop"/>
        <s v="zars mom"/>
        <s v="frederick brough iii"/>
        <s v="carla trujillo"/>
        <s v="carol k"/>
        <s v="joseph"/>
        <s v="marko"/>
        <s v="pamela yeh"/>
        <s v="jill clarke"/>
        <s v="don walters"/>
        <s v="kathi"/>
        <s v="indiana dilan"/>
        <s v="robert anderson"/>
        <s v="no happy"/>
        <s v="stacey m"/>
        <s v="yolanda griffiths"/>
        <s v="michelle berentz"/>
        <s v="renee bee"/>
        <s v="judith lewis"/>
        <s v="nancy clasen"/>
        <s v="laura"/>
        <s v="wendy mann"/>
        <s v="s tate"/>
        <s v="tammie y"/>
        <s v="beckley van cleave"/>
        <s v="denise archer"/>
        <s v="larry bentley"/>
        <s v="m quick"/>
        <s v="ted"/>
        <s v="vikki flaherty"/>
        <s v="dawn schaffer"/>
        <s v="sheffield larry"/>
        <s v="dennis hoffbuhr"/>
        <s v="elyse d"/>
        <s v="kay"/>
        <s v="bob kobashigawa"/>
        <s v="loui marra"/>
        <s v="chris cassner"/>
        <s v="belinda harlow"/>
        <s v="mia lavergne"/>
        <s v="agnes"/>
        <s v="nancy"/>
        <s v="judy kathleen thompson"/>
        <s v="cynthia gould"/>
        <s v="linda meehan"/>
        <s v="lisa shaffer"/>
        <s v="barrie"/>
        <s v="yas"/>
        <s v="t m buckman"/>
        <s v="duane neuerburg"/>
        <s v="eva fresquez"/>
        <s v="rollin baird"/>
        <s v="tracy westmoreland"/>
        <s v="penny"/>
        <s v="judith taylor"/>
        <s v="joel goldin"/>
        <s v="db"/>
        <s v="paul weiler"/>
        <s v="charlie"/>
        <s v="john heitzman"/>
        <s v="kallie daviscourt"/>
        <s v="eric"/>
        <s v="nancy camacho"/>
        <s v="sandra hersom"/>
        <s v="martha garlick"/>
        <s v="jennifer frain"/>
        <s v="steven poster"/>
        <s v="tom p"/>
        <s v="deberoh gruver"/>
        <s v="cathy k"/>
        <s v="biscuit"/>
        <s v="jose araujo"/>
        <s v="bomarkat"/>
        <s v="carole springer"/>
        <s v="daniel"/>
        <s v="lon carney"/>
        <s v="kady tetzlaff"/>
        <s v="peggy jo gustis"/>
        <s v="maureen watson"/>
        <s v="corinne brown"/>
        <s v="laura bishop"/>
        <s v="feniix"/>
        <s v="beth v"/>
        <s v="syndee f"/>
        <s v="ksj"/>
        <s v="don land"/>
        <s v="dawn mordica"/>
        <s v="linda j larson"/>
        <s v="all seeing isaac"/>
        <s v="caroline halder"/>
        <s v="thad s"/>
        <s v="beverly delaet"/>
        <s v="dale t"/>
        <s v="joseph g"/>
        <s v="dhk"/>
        <s v="joy to the world"/>
        <s v="gail hughes"/>
        <s v="eessam ammouri"/>
        <s v="susan abeel"/>
        <s v="maureen"/>
        <s v="roz dorf"/>
        <s v="jeanette zglobicki"/>
        <s v="paulette tardio"/>
        <s v="michael paglianti"/>
        <s v="robert earhart"/>
        <s v="amy nash"/>
        <s v="marie"/>
        <s v="anya spielberg"/>
        <s v="klaurie"/>
        <s v="megan r"/>
        <s v="sharen"/>
        <s v="ellen childs"/>
        <s v="jennifer hoffman"/>
        <s v="david cohen"/>
        <s v="lois sussman"/>
        <s v="judith endean"/>
        <s v="whitney chirdon"/>
        <s v="samis mom"/>
        <s v="pet lover"/>
        <s v="lck"/>
        <s v="lisa denny"/>
        <s v="vw"/>
        <s v="vicki thornborough"/>
        <s v="craig letrich"/>
        <s v="nilda berrios"/>
        <s v="patricia mulqueen"/>
        <s v="cathy"/>
        <s v="annette"/>
        <s v="kaye owens"/>
        <s v="jose diaz"/>
        <s v="antoinette pelkey"/>
        <s v="jennifer daly"/>
        <s v="tne"/>
        <s v="maureen r"/>
        <s v="marc eisen"/>
        <s v="jackie"/>
        <s v="brenda hach"/>
        <s v="denise moll"/>
        <s v="rk"/>
        <s v="shelia"/>
        <s v="sharon wainwright"/>
        <s v="nura cue"/>
        <s v="john hawthorne"/>
        <s v="marietta pup mom"/>
        <s v="andrew cohen"/>
        <s v="cynthia"/>
        <s v="joanne beiger"/>
        <s v="carol"/>
        <s v="matthew atherley"/>
        <s v="amy senstad"/>
        <s v="sheryl mclean"/>
        <s v="ronda raye"/>
        <s v="leslie zelkowitz"/>
        <s v="wendy ganser"/>
        <s v="al t"/>
        <s v="monica"/>
        <s v="ian"/>
        <s v="kathy kleist"/>
        <s v="suzanne fleischmann"/>
        <s v="andres"/>
        <s v="b sillwell"/>
        <s v="kenneth kantor"/>
        <s v="ms"/>
        <s v="lee barthel"/>
        <s v="philip m"/>
        <s v="disappointed"/>
        <s v="violet ahrenholtz"/>
        <s v="virginia buxton"/>
        <s v="johaen b nunez"/>
        <s v="robert hernandez"/>
        <s v="janet patacca"/>
        <s v="evelyn white"/>
        <s v="deanna meyer"/>
        <s v="jeannie"/>
        <s v="jean winans"/>
        <s v="rhona hammock"/>
        <s v="irina"/>
        <s v="gingers mom"/>
        <s v="linda shinneman"/>
        <s v="rexford nichols"/>
        <s v="joann shepherd"/>
        <s v="katie"/>
        <s v="charlotte cooper"/>
        <s v="jean kandel"/>
        <s v="leta wells"/>
        <s v="shannon molloy"/>
        <s v="leo"/>
        <s v="richard k falke"/>
        <s v="mary boyle"/>
        <s v="angela severe"/>
        <s v="heather parchman"/>
        <s v="patrick"/>
        <s v="robert vanmeter"/>
        <s v="herb"/>
        <s v="nick v"/>
        <s v="monica abeyta"/>
        <s v="mark stevens"/>
        <s v="timothy cooper"/>
        <s v="dennis"/>
        <s v="stephanie walker"/>
        <s v="cam"/>
        <s v="angela rombach"/>
        <s v="desiree zambrana"/>
        <s v="llb"/>
        <s v="joseph gonzales"/>
        <s v="ron"/>
        <s v="brenda keister"/>
        <s v="linda murphy"/>
        <s v="hat"/>
        <s v="margaret finnegan"/>
        <s v="richard davila"/>
        <s v="susan ross"/>
        <s v="terryn"/>
        <s v="patricia sosa"/>
        <s v="lorrie candler"/>
        <s v="linda ryburn"/>
        <s v="klossau"/>
        <s v="feo"/>
        <s v="sable jak"/>
        <s v="naioma emanuel"/>
        <s v="hilary"/>
        <s v="kim b"/>
        <s v="victoria k"/>
        <s v="kimberly reed"/>
        <s v="rose g"/>
        <s v="andrea menzerfeebeck"/>
        <s v="tracie osborne"/>
        <s v="rll"/>
        <s v="bob herbert hsu"/>
        <s v="delphiguy"/>
        <s v="fynn moreland"/>
        <s v="terry wolverton"/>
        <s v="ljudice"/>
        <s v="mary griswold"/>
        <s v="kathy j"/>
        <s v="alexis roeber"/>
        <s v="purrfectly contented pat"/>
        <s v="tara nosich"/>
        <s v="kitty mama"/>
        <s v="glenn donofri"/>
        <s v="jim d"/>
        <s v="nataliya kutyepova"/>
        <s v="christy"/>
        <s v="ruth butler"/>
        <s v="janet alli"/>
        <s v="ken"/>
        <s v="gator"/>
        <s v="ben szilagy"/>
        <s v="deborah h"/>
        <s v="betsy rayle"/>
        <s v="tyrone morgan"/>
        <s v="lbrotkin"/>
        <s v="stacy bovefulgenzi"/>
        <s v="carol anne olsen"/>
        <s v="robert william"/>
        <s v="kaybar"/>
        <s v="lb"/>
        <s v="elissa rogovin"/>
        <s v="kathleen hale"/>
        <s v="patrick wood"/>
        <s v="suzie mcleod"/>
        <s v="megan j"/>
        <s v="karen good"/>
        <s v="kim bartley"/>
        <s v="nancy roberts"/>
        <s v="carl mchenry"/>
        <s v="richard arvonio"/>
        <s v="valued customer"/>
        <s v="martha"/>
        <s v="faye robinson"/>
        <s v="judy sander"/>
        <s v="lisa green"/>
        <s v="francesca"/>
        <s v="john fezio"/>
        <s v="diane tempe az"/>
        <s v="richard bott"/>
        <s v="cornelis boudewijn"/>
        <s v="scott holder"/>
        <s v="howard low"/>
        <s v="scott"/>
        <s v="k rom"/>
        <s v="joyce curtis"/>
        <s v="richard k"/>
        <s v="denise kramer"/>
        <s v="john b"/>
        <s v="courtney fraley"/>
        <s v="megan"/>
        <s v="cap"/>
        <s v="ellen"/>
        <s v="jailall ramlagan"/>
        <s v="lyanne lopez"/>
        <s v="ruth rothman"/>
        <s v="ccole"/>
        <s v="kathy huber"/>
        <s v="barb s"/>
        <s v="zoofmly"/>
        <s v="john down"/>
        <s v="mark eliasoff"/>
        <s v="audrey epstein"/>
        <s v="robert ewing"/>
        <s v="diane aldrete"/>
        <s v="lori digiovanni"/>
        <s v="charles"/>
        <s v="sandra f"/>
        <s v="pet friend"/>
        <s v="lance young"/>
        <s v="patricia lloyd"/>
        <s v="robert stoff"/>
        <s v="wilson"/>
        <s v="patricia walley"/>
        <s v="stepheny tays"/>
        <s v="banteaux"/>
        <s v="angie tracy"/>
        <s v="mrs bill"/>
        <s v="sheila brooks"/>
        <s v="crystal shackleford"/>
        <s v="elizabeth moody"/>
        <s v="doreen barnas"/>
        <s v="jsmom"/>
        <s v="cantwell joanne"/>
        <s v="riley mcintire"/>
        <s v="gloria"/>
        <s v="deborah treadway"/>
        <s v="lisa herndon"/>
        <s v="dl"/>
        <s v="riki orellana"/>
        <s v="linda schulz"/>
        <s v="keith schwartz schwartz"/>
        <s v="erin anselm"/>
        <s v="trinidad magno"/>
        <s v="kam"/>
        <s v="kara miller"/>
        <s v="lydia theys"/>
        <s v="barbara grossi"/>
        <s v="richard baumgartner"/>
        <s v="aaron schott"/>
        <s v="patty jablonowski"/>
        <s v="richard ritchey"/>
        <s v="richard ceccacci jr"/>
        <s v="robin elder"/>
        <s v="laura anne welch"/>
        <s v="dorecia wilde"/>
        <s v="christine bonham"/>
        <s v="douglas vergara"/>
        <s v="bwheeler"/>
        <s v="roy chen"/>
        <s v="susan winter"/>
        <s v="john dustin"/>
        <s v="lazaro perez"/>
        <s v="jen petsu"/>
        <s v="mildred crawford"/>
        <s v="erica a"/>
        <s v="vicki hartsburg"/>
        <s v="stan"/>
        <s v="virginia sundin"/>
        <s v="steven kellerman"/>
        <s v="nelfudge"/>
        <s v="jenn"/>
        <s v="deidra eckerd"/>
        <s v="gems mom"/>
        <s v="alicia p"/>
        <s v="txbear"/>
        <s v="joan"/>
        <s v="cynthia mcmahan"/>
        <s v="carter farmer"/>
        <s v="marilyn thorson"/>
        <s v="jane smiley"/>
        <s v="jc"/>
        <s v="jerry scott"/>
        <s v="dave g"/>
        <s v="breewynd labradors"/>
        <s v="john boster"/>
        <s v="mntx"/>
        <s v="linda miville"/>
        <s v="janet moore"/>
        <s v="sarah mcanally"/>
        <s v="cfrick"/>
        <s v="clementine maureen l paradise"/>
        <s v="customer brenda"/>
        <s v="kika"/>
        <s v="cheryl"/>
        <s v="morgan briggs"/>
        <s v="suzy osum"/>
        <s v="dub crofford"/>
        <s v="randi buslik"/>
        <s v="sandra n"/>
        <s v="maureen whyte"/>
        <s v="ruth monzel"/>
        <s v="kerin anthony"/>
        <s v="lisa kleiner"/>
        <s v="s shay"/>
        <s v="virginia"/>
        <s v="galina moliboga"/>
        <s v="maria plochocki"/>
        <s v="damien horst"/>
        <s v="duwi"/>
        <s v="ado zohorovic"/>
        <s v="dave reik"/>
        <s v="jill greer"/>
        <s v="kitty queen"/>
        <s v="sheri garrison"/>
        <s v="debra loper"/>
        <s v="mary henry"/>
        <s v="tiffany driscoll"/>
        <s v="dave pinner"/>
        <s v="tammy krauss"/>
        <s v="judith jones"/>
        <s v="cat appreciator from se ny"/>
        <s v="go"/>
        <s v="chuck howard"/>
        <s v="mr"/>
        <s v="oscar ringness"/>
        <s v="william hroch"/>
        <s v="ubaldo morales"/>
        <s v="sandi lynn dupuy"/>
        <s v="hayley"/>
        <s v="caitlin r"/>
        <s v="renato fabbro"/>
        <s v="rick doctor"/>
        <s v="james badaczewski"/>
        <s v="jennotjenn"/>
        <s v="lisa thompson"/>
        <s v="anne rainey"/>
        <s v="c thomas"/>
        <s v="norma murphy"/>
        <s v="jason diehl"/>
        <s v="barbara chiapetta"/>
        <s v="jl"/>
        <s v="cr simmons"/>
        <s v="pam schiller"/>
        <s v="eileen"/>
        <s v="cathy alire"/>
        <s v="glenn singer"/>
        <s v="linda schuhmacher"/>
        <s v="carolynf"/>
        <s v="ana"/>
        <s v="shirley alexander"/>
        <s v="cheryl corbean"/>
        <s v="patrick ryan"/>
        <s v="sara ann stocker"/>
        <s v="lan zhao"/>
        <s v="lisa wottrich"/>
        <s v="loren"/>
        <s v="dolores liberti"/>
        <s v="daniel culbert"/>
        <s v="carol staten clark"/>
        <s v="lynn cathey"/>
        <s v="dane"/>
        <s v="carola"/>
        <s v="dusty"/>
        <s v="lee harvie"/>
        <s v="quokka"/>
        <s v="paula g"/>
        <s v="michael neyhart"/>
        <s v="sk source"/>
        <s v="molly"/>
        <s v="joe buffa"/>
        <s v="an"/>
        <s v="lisa ingram"/>
        <s v="judith harris"/>
        <s v="chris"/>
        <s v="vicky brown"/>
        <s v="customerjeannie"/>
        <s v="alyssa jolley"/>
        <s v="lidia antoni ljubic"/>
        <s v="chelsey hutchings"/>
        <s v="r meyer"/>
        <s v="maribel padilla"/>
        <s v="susan gibson"/>
        <s v="aqualiz"/>
        <s v="sam b"/>
        <s v="barbara moose"/>
        <s v="deborah stumm"/>
        <s v="lilly"/>
        <s v="tg"/>
        <s v="morgan bailey"/>
        <s v="diane wendte"/>
        <s v="phyllis snook"/>
        <s v="marilynn estes"/>
        <s v="shirley newmont"/>
        <s v="mary ann salomone"/>
        <s v="timothy eischens"/>
        <s v="joan l"/>
        <s v="mel givison"/>
        <s v="joanne larsen"/>
        <s v="connie boree"/>
        <s v="frenchie mom"/>
        <s v="jeffrey dreisin"/>
        <s v="laketa"/>
        <s v="john hofker"/>
        <s v="montana hayes"/>
        <s v="zahra tappouni"/>
        <s v="sara"/>
        <s v="heidi ripkecurcio"/>
        <s v="sad cat"/>
        <s v="denise a hobson"/>
        <s v="jenny ladd"/>
        <s v="lisa timm"/>
        <s v="annie marie"/>
        <s v="customerdebra"/>
        <s v="rollie bennett"/>
        <s v="devon lewis"/>
        <s v="anna sutocky"/>
        <s v="walter l zych"/>
        <s v="richard in sc"/>
        <s v="randy shelby"/>
        <s v="catherine burns"/>
        <s v="taira naiomy"/>
        <s v="dani"/>
        <s v="helen hegarty"/>
        <s v="rita krause"/>
        <s v="renee gutierrezkinz"/>
        <s v="mrs wicked dragonfly"/>
        <s v="roger martinez"/>
        <s v="kyle l"/>
        <s v="gwen"/>
        <s v="lauren s"/>
        <s v="mary dalton"/>
        <s v="deborah perry"/>
        <s v="jay s"/>
        <s v="alejandro"/>
        <s v="desiree racqer"/>
        <s v="marcus twotime"/>
        <s v="sandra mayes"/>
        <s v="cindy flatt"/>
        <s v="brian aderer"/>
        <s v="jan berti"/>
        <s v="lisa meyers"/>
        <s v="rafe h schindler"/>
        <s v="randy holloway"/>
        <s v="lanette wilke"/>
        <s v="joseph steele"/>
        <s v="wes tanaka"/>
        <s v="rick v"/>
        <s v="joan mcdaniel"/>
        <s v="peter"/>
        <s v="jane pimentel"/>
        <s v="shea"/>
        <s v="brant standridge"/>
        <s v="s dalton"/>
        <s v="peggy r"/>
        <s v="code"/>
        <s v="theresa mossberg"/>
        <s v="lynne wilson"/>
        <s v="lynn surdow"/>
        <s v="elke"/>
        <s v="lucys mom"/>
        <s v="tammie dazey"/>
        <s v="ben"/>
        <s v="duwayne wenger"/>
        <s v="kenneth i hamilton"/>
        <s v="kevin charles"/>
        <s v="amanda hatfield"/>
        <s v="karen riley"/>
        <s v="siskin"/>
        <s v="florida pet owner"/>
        <s v="frank giuliano"/>
        <s v="gloria navarro"/>
        <s v="hr"/>
        <s v="frank marmolejo"/>
        <s v="mmaynard"/>
        <s v="david croyle"/>
        <s v="deborah caudill"/>
        <s v="eric greene"/>
        <s v="sherry bishop"/>
        <s v="paul rocha"/>
        <s v="pat in rochester ny"/>
        <s v="sarah gabbard"/>
        <s v="eirene a"/>
        <s v="terry clark"/>
        <s v="cindy l stanbery"/>
        <s v="robert clark"/>
        <s v="dj"/>
        <s v="shawn"/>
        <s v="noel truty"/>
        <s v="bill loh"/>
        <s v="pdo"/>
        <s v="jo"/>
        <s v="candice boggs"/>
        <s v="stewart smith"/>
        <s v="jodi"/>
        <s v="mary anne bruesewitz"/>
        <s v="christina"/>
        <s v="richard lucas"/>
        <s v="melissa wilhelm"/>
        <s v="patrick st john"/>
        <s v="justanswer customer"/>
        <s v="d w"/>
        <s v="michelle b"/>
        <s v="need food at least within a we"/>
        <s v="bobbi mcrae"/>
        <s v="kk"/>
        <s v="lsw"/>
        <s v="stevendina lewis"/>
        <s v="donald ralph"/>
        <s v="ol"/>
        <s v="sharlene manore"/>
        <s v="sngfever"/>
        <s v="beepaloma"/>
        <s v="mike stone"/>
        <s v="mike warder"/>
        <s v="richard scalzo"/>
        <s v="harumi johnson"/>
        <s v="ashley younger"/>
        <s v="bruce corcoran"/>
        <s v="karen denike"/>
        <s v="adrienne bates"/>
        <s v="carla reed"/>
        <s v="m miller"/>
        <s v="dorothy zeigler"/>
        <s v="debby oyler"/>
        <s v="lisa wiesenauer"/>
        <s v="jam"/>
        <s v="albert franzone"/>
        <s v="ronald verhagen"/>
        <s v="anthony"/>
        <s v="brian ensign"/>
        <s v="sharon coker"/>
        <s v="dave teague"/>
        <s v="barbara hughes sell"/>
        <s v="georgia a"/>
        <s v="dina shackelford"/>
        <s v="amy talbert"/>
        <s v="robert bowser"/>
        <s v="john mikash"/>
        <s v="valeria"/>
        <s v="joseph layne"/>
        <s v="diana decker"/>
        <s v="steve werda"/>
        <s v="thomas beck"/>
        <s v="scott gellman"/>
        <s v="shelley khoury"/>
        <s v="sierra cagle"/>
        <s v="leeann harmening"/>
        <s v="maggie"/>
        <s v="hyun whyte"/>
        <s v="william ludewig cave creek az"/>
        <s v="rosalie"/>
        <s v="patricia hawks"/>
        <s v="tammy brown"/>
        <s v="ivaluem"/>
        <s v="monica snape"/>
        <s v="michelle"/>
        <s v="kim hiland"/>
        <s v="joyce shipman"/>
        <s v="wendy call"/>
        <s v="allison baird"/>
        <s v="thomas popp"/>
        <s v="eilene b"/>
        <s v="greenflyingdragon"/>
        <s v="vivian m"/>
        <s v="meryl dattolico"/>
        <s v="nancy alvey"/>
        <s v="susan b mueller"/>
        <s v="patti"/>
        <s v="reviewer"/>
        <s v="rebecca eimerman"/>
        <s v="sarita miller"/>
        <s v="kelli douglass"/>
        <s v="rg thomas"/>
        <s v="betty shaffer"/>
        <s v="tammy a bayes"/>
        <s v="gm"/>
        <s v="todd twedt"/>
        <s v="lynnea dale"/>
        <s v="sh"/>
        <s v="marianne guran"/>
        <s v="mcintyre linda"/>
        <s v="lorraine castelain"/>
        <s v="amanda b"/>
        <s v="mark brown"/>
        <s v="ronnie"/>
        <s v="shirley moses"/>
        <s v="stacey bauman"/>
        <s v="ann knauer"/>
        <s v="georgann"/>
        <s v="kate kenner"/>
        <s v="samantha pousson"/>
        <s v="jeff thomas"/>
        <s v="michelle daoust"/>
        <s v="colleen wagoner"/>
        <s v="marcelline fredette"/>
        <s v="betsy"/>
        <s v="k carpenter"/>
        <s v="linda nichols"/>
        <s v="linda hensley"/>
        <s v="julie truett"/>
        <s v="michelle day"/>
        <s v="gidget"/>
        <s v="grams"/>
        <s v="gael didloff"/>
        <s v="michael s"/>
        <s v="jhr"/>
        <s v="kevin walsh"/>
        <s v="bonnie sparmblack"/>
        <s v="beth anderson"/>
        <s v="vincie soyars"/>
        <s v="magdala cruz"/>
        <s v="the phone guy"/>
        <s v="jessica childers"/>
        <s v="denise m"/>
        <s v="rhea"/>
        <s v="carol berdar"/>
        <s v="crystelyn guererri"/>
        <s v="skip woodruff"/>
        <s v="not a happy customer"/>
        <s v="sandra sturgeon"/>
        <s v="jennifer nelson"/>
        <s v="ks"/>
        <s v="nancy carrington"/>
        <s v="deborah may dunn"/>
        <s v="tom hynes"/>
        <s v="heather hunt"/>
        <s v="wooly"/>
        <s v="sr"/>
        <s v="veronica"/>
        <s v="elisete amaral"/>
        <s v="estefania cantero"/>
        <s v="suzanne mattiello"/>
        <s v="ashley e"/>
        <s v="eugene orourke"/>
        <s v="susanna bjornsson"/>
        <s v="jack a"/>
        <s v="frani c new jersey"/>
        <s v="sharon hubert"/>
        <s v="amy burris"/>
        <s v="lakelady"/>
        <s v="claire a"/>
        <s v="barron baszto"/>
        <s v="kim surber hacker"/>
        <s v="mellie"/>
        <s v="cindy"/>
        <s v="ep"/>
        <s v="albert buys"/>
        <s v="jake oneill"/>
        <s v="michele heile"/>
        <s v="teri lispi"/>
        <s v="deborah jb"/>
        <s v="pj"/>
        <s v="jeb"/>
        <s v="judy barrick"/>
        <s v="renee neace"/>
        <s v="karrie"/>
        <s v="kate shearer"/>
        <s v="am"/>
        <s v="irene"/>
        <s v="for your order"/>
        <s v="sacajawea"/>
        <s v="rosa"/>
        <s v="cheryl appel"/>
        <s v="diane gaidry"/>
        <s v="qismat sherani"/>
        <s v="tokio kuniyoshi"/>
        <s v="theresa espey"/>
        <s v="aixa briner"/>
        <s v="rp"/>
        <s v="ed bertarelli"/>
        <s v="natalie j"/>
        <s v="brenda fernandez"/>
        <s v="wynn wasinger"/>
        <s v="dan spivey"/>
        <s v="sharon viellenave"/>
        <s v="carol greenfield"/>
        <s v="mark kutschinski"/>
        <s v="cindy aloi"/>
        <s v="natalie green"/>
        <s v="brenda grimmett"/>
        <s v="mimi crevello"/>
        <s v="anita leakey"/>
        <s v="ralph burton"/>
        <s v="dale newby"/>
        <s v="a king"/>
        <s v="judie"/>
        <s v="dana"/>
        <s v="jerry marshall"/>
        <s v="stephen addo jr"/>
        <s v="stow cat mom"/>
        <s v="azkas"/>
        <s v="coop"/>
        <s v="jill eagles"/>
        <s v="cecelia roman"/>
        <s v="bradley smith"/>
        <s v="lp"/>
        <s v="wendy raposa"/>
        <s v="kari gorzny"/>
        <s v="k hechinger"/>
        <s v="maggie c"/>
        <s v="diana tschantre"/>
        <s v="kc dee"/>
        <s v="joanna s"/>
        <s v="paul lalena"/>
        <s v="njdeb"/>
        <s v="anna homer"/>
        <s v="kpabst"/>
        <s v="laurie"/>
        <s v="delilah vohnoutka"/>
        <s v="alvin"/>
        <s v="igor mitrovic"/>
        <s v="fliptide"/>
        <s v="katty"/>
        <s v="a consumer"/>
        <s v="neil rowan"/>
        <s v="ralph pastor"/>
        <s v="tracy splain"/>
        <s v="lish"/>
        <s v="hannah currie"/>
        <s v="raydias box hildreth"/>
        <s v="bob"/>
        <s v="dolores davis"/>
        <s v="arnold gerber"/>
        <s v="lisa gonzalez"/>
        <s v="jbaj"/>
        <s v="jerome loewenstein"/>
        <s v="ginger"/>
        <s v="marcie garn"/>
        <s v="claire goodwin"/>
        <s v="patricia nissenbaumdon childs"/>
        <s v="beans"/>
        <s v="dgi"/>
        <s v="richard buckwalter"/>
        <s v="fran davis"/>
        <s v="ktrekker"/>
        <s v="charlene r glover"/>
        <s v="c b"/>
        <s v="vickie byrne"/>
        <s v="marisa bernal"/>
        <s v="glo williams"/>
        <s v="katherine sampson"/>
        <s v="sb"/>
        <s v="trace w"/>
        <s v="krissy"/>
        <s v="noella"/>
        <s v="frances dolmage"/>
        <s v="john plato"/>
        <s v="johanna jimenez"/>
        <s v="priscilla bashinski"/>
        <s v="mass cat mom"/>
        <s v="sam"/>
        <s v="brian santistefan"/>
        <s v="richard fine"/>
        <s v="l gray"/>
        <s v="ag"/>
        <s v="kerri sivits"/>
        <s v="christopher newman"/>
        <s v="walter baile"/>
        <s v="david brown"/>
        <s v="charles dodge"/>
        <s v="jine gleason"/>
        <s v="timothy john"/>
        <s v="diane mcnamanon"/>
        <s v="mario barros"/>
        <s v="sonja norbergsanchez"/>
        <s v="stacey dorenfeld"/>
        <s v="best buddies dog training llc"/>
        <s v="margaret pierson"/>
        <s v="gerald gilmore"/>
        <s v="joe lozano"/>
        <s v="chipis"/>
        <s v="kellie"/>
        <s v="sharon bione"/>
        <s v="jean mcadams"/>
        <s v="christine g"/>
        <s v="david y"/>
        <s v="katherine huh"/>
        <s v="maxine stanley"/>
        <s v="an owner of an elderly cat"/>
        <s v="barbara holtz"/>
        <s v="roberto fradera"/>
        <s v="joe"/>
        <s v="jessica"/>
        <s v="denica luger"/>
        <s v="barb skaer"/>
        <s v="rudi"/>
        <s v="evan j"/>
        <s v="doris s"/>
        <s v="lotsokats"/>
        <s v="michelle ramdeholl"/>
        <s v="peter oneil"/>
        <s v="laura como"/>
        <s v="hayley s"/>
        <s v="susan d"/>
        <s v="debby"/>
        <s v="jen"/>
        <s v="leola adcock"/>
        <s v="john dean"/>
        <s v="bonnie brock"/>
        <s v="leyla kocaoglu"/>
        <s v="tammi berto"/>
        <s v="laurie douthit"/>
        <e v="#VALUE!"/>
        <s v="denise sierputowski"/>
        <s v="s mcg"/>
        <s v="lori williams"/>
        <s v="shark"/>
        <s v="tom h"/>
        <s v="lynn fletcher"/>
        <s v="carol tschida"/>
        <s v="david schmitz"/>
        <s v="dobermom"/>
        <s v="bob sordyl"/>
        <s v="michael novak"/>
        <s v="charles macdonald"/>
        <s v="karen riveros"/>
        <s v="susan barton"/>
        <s v="a customer"/>
        <s v="yvonne"/>
        <s v="barbara granger"/>
        <s v="tamyie wilson"/>
        <s v="ian sealey"/>
        <s v="nancy mcdonald"/>
        <s v="deborah nutting"/>
        <s v="nuni"/>
        <s v="amy james"/>
        <s v="karen heroy"/>
        <s v="jeanette bartram"/>
        <s v="thomas mauro"/>
        <s v="betty"/>
        <s v="jyen"/>
        <s v="wendy"/>
        <s v="sarah williams"/>
        <s v="stephanie barnard"/>
        <s v="kathleen rapp"/>
        <s v="lnz business company llc"/>
        <s v="elizabeth alvarezchan"/>
        <s v="susan carson"/>
        <s v="wanda caseydicks"/>
        <s v="nancy steinbach"/>
        <s v="mary ann leibowitz"/>
        <s v="brandee"/>
        <s v="lrs"/>
        <s v="donna ostler"/>
        <s v="karen diehl"/>
        <s v="lisamarie bernardo"/>
        <s v="nancy bellia"/>
        <s v="pam whitehead"/>
        <s v="wayne reux"/>
        <s v="nek"/>
        <s v="carol levin"/>
        <s v="john shaw"/>
        <s v="lenore newsom"/>
        <s v="r neil wolford jr"/>
        <s v="bob n"/>
        <s v="alvin boyd"/>
        <s v="connie"/>
        <s v="kimberly senackerib"/>
        <s v="linda willey"/>
        <s v="marcia randazzo"/>
        <s v="christine b"/>
        <s v="laura clark"/>
        <s v="jana dickey"/>
        <s v="patricia bowman"/>
        <s v="david lease"/>
        <s v="eileen k"/>
        <s v="tone thorstenson"/>
        <s v="linda stimson"/>
        <s v="jacqueline hunter"/>
        <s v="becky sparks"/>
        <s v="james d"/>
        <s v="rhina perea"/>
        <s v="ardath albizo"/>
        <s v="cathy thomas"/>
        <s v="hope payan"/>
        <s v="debra patterson"/>
        <s v="denise russell"/>
        <s v="carol stewart"/>
        <s v="jw"/>
        <s v="sarah litchfield"/>
        <s v="dave"/>
        <s v="mary jo moor"/>
        <s v="dolores"/>
        <s v="pamf"/>
        <s v="beth mirsky"/>
        <s v="susan mondie"/>
        <s v="andrew"/>
        <s v="mickey"/>
        <s v="james smith"/>
        <s v="lani nolan"/>
        <s v="tracy west"/>
        <s v="sugar"/>
        <s v="e thomas"/>
        <s v="cinda davis"/>
        <s v="cilia lopez"/>
        <s v="barbara trapasso"/>
        <s v="edmund dibenedetto"/>
        <s v="susanne"/>
        <s v="carolyn"/>
        <s v="mary wachenheim"/>
        <s v="ronald izzo"/>
        <s v="jean hirsch"/>
        <s v="s lucas"/>
        <s v="antony mercer"/>
        <s v="lar"/>
        <s v="otiss mom"/>
        <s v="karenfrongello san diego ca"/>
        <s v="glenda ledford"/>
        <s v="nancygreen"/>
        <s v="nancy baldwin"/>
        <s v="jenn alling"/>
        <s v="peggy"/>
        <s v="dustee copenhaver"/>
        <s v="aw"/>
        <s v="patricia netzer"/>
        <s v="haley metzler"/>
        <s v="rob galanakis"/>
        <s v="lorene perotti"/>
        <s v="meaghan v"/>
        <s v="thomas oswald"/>
        <s v="lynn erickson"/>
        <s v="esther freeman"/>
        <s v="jay hankin"/>
        <s v="pam beltz"/>
        <s v="carrie mclaughlin"/>
        <s v="jennifer smithlum"/>
        <s v="bruce white"/>
        <s v="maria anaya"/>
        <s v="david guldenstern"/>
        <s v="renee"/>
        <s v="william phee"/>
        <s v="katherine decker"/>
        <s v="hc"/>
        <s v="brian drinkwine"/>
        <s v="destiny w"/>
        <s v="doggie"/>
        <s v="angie"/>
        <s v="maryann lewis"/>
        <s v="sharon macdermott"/>
        <s v="oscar"/>
        <s v="keith morgan"/>
        <s v="camille bartczak"/>
        <s v="ahmad abudiab"/>
        <s v="happy shopper"/>
        <s v="szeleziatko"/>
        <s v="nichole"/>
        <s v="molly anderson"/>
        <s v="christine cinaglia"/>
        <s v="madelaine sutphin"/>
        <s v="nishat hossain"/>
        <s v="trudy bauer"/>
        <s v="rene"/>
        <s v="lynn agosti"/>
        <s v="sharman casey"/>
        <s v="ronald b reid"/>
        <s v="heather spruill"/>
        <s v="tamara eisele"/>
        <s v="edgar mckenney"/>
        <s v="janet resseguiesahl"/>
        <s v="preston adams"/>
        <s v="margret c"/>
        <s v="ed cilumbrello"/>
        <s v="wendy b"/>
        <s v="sheila sherok dandurandwilliams"/>
        <s v="cassidy"/>
        <s v="dolores lewiswellman"/>
        <s v="baxter"/>
        <s v="howard warden"/>
        <s v="saffrons catmom"/>
        <s v="lucila cedron"/>
        <s v="colleen martin"/>
        <s v="james aden"/>
        <s v="steve k"/>
        <s v="donna page"/>
        <s v="keith"/>
        <s v="ronald cohen"/>
        <s v="molly gorman"/>
        <s v="jennifer howe"/>
        <s v="p s"/>
        <s v="pixie"/>
        <s v="loyal petflow customer"/>
        <s v="bonnie"/>
        <s v="r baker"/>
        <s v="lisa henderson"/>
        <s v="sherry m"/>
        <s v="k b"/>
        <s v="renzo casafranca"/>
        <s v="vila in frisco tx"/>
        <s v="norman"/>
        <s v="jacqueline diaz"/>
        <s v="lynnjo cantor"/>
        <s v="cara freeman"/>
        <s v="mari eschenbaum"/>
        <s v="susan levinsohn"/>
        <s v="leo vides"/>
        <s v="susan peters"/>
        <s v="hannes mama"/>
        <s v="jory"/>
        <s v="prefer to remain anonymous"/>
        <s v="ceil"/>
        <s v="julie byrnes"/>
        <s v="patricia christenson"/>
        <s v="ingrid stecker"/>
        <s v="jason"/>
        <s v="michelle depietro"/>
        <s v="william alexander"/>
        <s v="jennifer peoples"/>
        <s v="joshua shelton"/>
        <s v="ginny p"/>
        <s v="kimberly a meyers"/>
        <s v="jeaneth rincon"/>
        <s v="heather bishop"/>
        <s v="lel"/>
        <s v="sandy mason"/>
        <s v="rachel sheedy"/>
        <s v="danny wagner"/>
        <s v="jeanie johnson"/>
        <s v="mary ellen graves"/>
        <s v="jean costanzi"/>
        <s v="trini v"/>
        <s v="anthony deluca"/>
        <s v="carl ackermann"/>
        <s v="lynne rudwick"/>
        <s v="william vonderohe"/>
        <s v="barbara wegner"/>
        <s v="lori antz doyle"/>
        <s v="madeline"/>
        <s v="gb"/>
        <s v="annahope"/>
        <s v="muriel saari"/>
        <s v="tjm"/>
        <s v="suzin"/>
        <s v="brittany s"/>
        <s v="felix benitez"/>
        <s v="julie o"/>
        <s v="charlene alexander"/>
        <s v="phatdog"/>
        <s v="jorge sanchez"/>
        <s v="ruth chapman"/>
        <s v="glenn henry"/>
        <s v="darr"/>
        <s v="felipe lopez"/>
        <s v="ruth hamilton"/>
        <s v="ct"/>
        <s v="kelsi pena"/>
        <s v="jody lancaster"/>
        <s v="randy lieberg"/>
        <s v="valerie levulett"/>
        <s v="dawn beatty"/>
        <s v="donna franchimon"/>
        <s v="francine butler"/>
        <s v="patricia johnston"/>
        <s v="jules"/>
        <s v="dale dinardo"/>
        <s v="kelli farmer"/>
        <s v="sherry morris"/>
        <s v="sharon gabrielson"/>
        <s v="patricia hunt"/>
        <s v="chad haverstick"/>
        <s v="brenda ridge"/>
        <s v="l holmberg"/>
        <s v="lara zintsmaster"/>
        <s v="george tinklin"/>
        <s v="margaret birns"/>
        <s v="lakeya"/>
        <s v="laurena gatlin"/>
        <s v="jena harris"/>
        <s v="alison g"/>
        <s v="harvey haun"/>
        <s v="elliot garcia"/>
        <s v="madison k"/>
        <s v="donna c"/>
        <s v="amanda o"/>
        <s v="barb v"/>
        <s v="elaine pascoal"/>
        <s v="peppa"/>
        <s v="milagros"/>
        <s v="cindy hallen"/>
        <s v="victoria blevins"/>
        <s v="cj"/>
        <s v="cheyenne"/>
        <s v="samantha skinner"/>
        <s v="gary dexter"/>
        <s v="megan m"/>
        <s v="alan zeller"/>
        <s v="charles herold"/>
        <s v="susan whitakerhill"/>
        <s v="gail mitchell"/>
        <s v="carmen ruby beck"/>
        <s v="terry frum"/>
        <s v="izzy"/>
        <s v="trisha robinson"/>
        <s v="susan quirk"/>
        <s v="dog owner"/>
        <s v="carol kner"/>
        <s v="lubos andel"/>
        <s v="ernie"/>
        <s v="laura coldren"/>
        <s v="tavmeet"/>
        <s v="ph"/>
        <s v="rachel seale"/>
        <s v="carroll griesedieck"/>
        <s v="cheryl roberts"/>
        <s v="brian brown"/>
        <s v="joey lee"/>
        <s v="julie kunitada"/>
        <s v="karla clippinger"/>
        <s v="melody barrett"/>
        <s v="rita caron"/>
        <s v="snowman"/>
        <s v="denise davis"/>
        <s v="kristy"/>
        <s v="bernadette bruno"/>
        <s v="lindsey and pip"/>
        <s v="elizabeth ali"/>
        <s v="elsa abilez"/>
        <s v="ellen j"/>
        <s v="trina"/>
        <s v="marianne burdick"/>
        <s v="paul noone"/>
        <s v="sandra stephon"/>
        <s v="charles rhodes"/>
        <s v="cheryl zalenski"/>
        <s v="sheller willett"/>
        <s v="anita and diva"/>
        <s v="thomas mcneil"/>
        <s v="zac"/>
        <s v="sonia s"/>
        <s v="priscilla cerdas"/>
        <s v="quincy"/>
        <s v="helen kwok"/>
        <s v="deana m market"/>
        <s v="carl desmond"/>
        <s v="jess olson"/>
        <s v="persefini a redden"/>
        <s v="tamara dacken"/>
        <s v="leeann"/>
        <s v="trish m"/>
        <s v="nicole hale"/>
        <s v="gayle andriani"/>
        <s v="david elfin"/>
        <s v="mary angelia coyle"/>
        <s v="jrsnonna"/>
        <s v="choc dog"/>
        <s v="sherman shart"/>
        <s v="united states"/>
        <s v="lisa hayes"/>
        <s v="carol s"/>
        <s v="gail sheffer"/>
        <s v="jm"/>
        <s v="cecelia duvall"/>
        <s v="patrick willer"/>
        <s v="janet stard"/>
        <s v="cheryl dettmers"/>
        <s v="wynne guglielmo"/>
        <s v="jan williams"/>
        <s v="c kegley"/>
        <s v="susan wickes"/>
        <s v="marylou roberts"/>
        <s v="jeanine edler"/>
        <s v="ellejay"/>
        <s v="vincent dipietro"/>
        <s v="sherrie"/>
        <s v="dzianis sazanchuk"/>
        <s v="jean smith"/>
        <s v="paul brouillette"/>
        <s v="sherry"/>
        <s v="jody hunt"/>
        <s v="lori lamey"/>
        <s v="alice cheren"/>
        <s v="susan mortensen"/>
        <s v="robin abbott"/>
        <s v="brendan"/>
        <s v="mike gehring"/>
        <s v="arturo santaella"/>
        <s v="jan underwood"/>
        <s v="felicia wood"/>
        <s v="c l"/>
        <s v="m"/>
        <s v="lorraine ferguson"/>
        <s v="raymond"/>
        <s v="kc"/>
        <s v="jaclyn f"/>
        <s v="dan manchester"/>
        <s v="ron hauser"/>
        <s v="ea"/>
        <s v="bradley grubbs"/>
        <s v="customer sally"/>
        <s v="lee rundall"/>
        <s v="elizabeth caruso"/>
        <s v="msnora"/>
        <s v="avi"/>
        <s v="sharon eagle"/>
        <s v="anne h san antonio tx"/>
        <s v="susan smith"/>
        <s v="shari costaney"/>
        <s v="lydio demaala"/>
        <s v="mg ny"/>
        <s v="luis de los santos"/>
        <s v="suzette mahneke"/>
        <s v="john wynn"/>
        <s v="fred s"/>
        <s v="sheree turnbull"/>
        <s v="katie johnson"/>
        <s v="rena"/>
        <s v="denise buran"/>
        <s v="susan dolstra"/>
        <s v="april ritchotte"/>
        <s v="mickey mittong"/>
        <s v="linda borders"/>
        <s v="carol sutton"/>
        <s v="patty heineck"/>
        <s v="janice demadona"/>
        <s v="kendel m"/>
        <s v="cheryl brockington"/>
        <s v="jenny perkins"/>
        <s v="elisabeth"/>
        <s v="candice"/>
        <s v="dean kopp"/>
        <s v="lisa peet"/>
        <s v="jason drake"/>
        <s v="mallory"/>
        <s v="erik foubert"/>
        <s v="joan abrahamson"/>
        <s v="faina lekakh"/>
        <s v="ryan stackhouse"/>
        <s v="kourosh massarat"/>
        <s v="dott"/>
        <s v="isabella"/>
        <s v="pam coyne"/>
        <s v="elisabeth ellis"/>
        <s v="carole humenchuk"/>
        <s v="lynne"/>
        <s v="irene hagen"/>
        <s v="sharon dickson"/>
        <s v="dr bodly"/>
        <s v="jeanice"/>
        <s v="sll"/>
        <s v="cindy orin"/>
        <s v="mary taylor"/>
        <s v="meghan parker"/>
        <s v="gerard"/>
        <s v="danielle corning"/>
        <s v="kathy goddard"/>
        <s v="joan paris"/>
        <s v="jackie berman"/>
        <s v="sandra reed"/>
        <s v="sharyl amovitz"/>
        <s v="retail shopper"/>
        <s v="maureen hudson"/>
        <s v="colette"/>
        <s v="danille weaver"/>
        <s v="olivia larsson"/>
        <s v="laura hunt"/>
        <s v="susan l frederickson"/>
        <s v="tom batcheller"/>
        <s v="lucia longenbach"/>
        <s v="jean havens"/>
        <s v="james moore"/>
        <s v="sandra w"/>
        <s v="tucker wilson"/>
        <s v="waiting"/>
        <s v="beth"/>
        <s v="jan kissko"/>
        <s v="marguerite kazalas"/>
        <s v="sagarika devarakonda"/>
        <s v="michelle boles"/>
        <s v="debra williams"/>
        <s v="diane mellott"/>
        <s v="ken williams"/>
        <s v="sande king"/>
        <s v="raechelle freeman"/>
        <s v="susan lue"/>
        <s v="greg hyde"/>
        <s v="andrea amorosi"/>
        <s v="virginia lockner"/>
        <s v="vtlabladi"/>
        <s v="c palkimas"/>
        <s v="dinah stevens"/>
        <s v="tammy frontera"/>
        <s v="jjg florida connecticut"/>
        <s v="pernilleh"/>
        <s v="philip h"/>
        <s v="gordon sloan"/>
        <s v="margie swartz"/>
        <s v="chances grammy"/>
        <s v="gary s"/>
        <s v="vickye mike and cowboy gallowa"/>
        <s v="gail blattler"/>
        <s v="amanda depierro"/>
        <s v="mary perkins"/>
        <s v="frances browne"/>
        <s v="brittney g"/>
        <s v="christy ownbey"/>
        <s v="elaine donohue"/>
        <s v="tara smith"/>
        <s v="molly werner"/>
        <s v="derek"/>
        <s v="m davis"/>
        <s v="stan freed"/>
        <s v="mikabelove"/>
        <s v="bart"/>
        <s v="caroline kinsey"/>
        <s v="kat g"/>
        <s v="heidi w"/>
        <s v="mary evans"/>
        <s v="randy harden"/>
        <s v="david gordon"/>
        <s v="donna largent"/>
        <s v="jackie rubino"/>
        <s v="scott steiner"/>
        <s v="terri elliott"/>
        <s v="chris reagan"/>
        <s v="louis"/>
        <s v="jacque jenkins"/>
        <s v="lulu"/>
        <s v="mike kellers"/>
        <s v="deborah spears"/>
        <s v="myrna sturgill"/>
        <s v="roxanna rodriguezjenkins"/>
        <s v="peggy allen"/>
        <s v="paul monteiro mortensen"/>
        <s v="annette lippman"/>
        <s v="james macari"/>
        <s v="steve"/>
        <s v="me"/>
        <s v="dale paciotti"/>
        <s v="kelly hechinger"/>
        <s v="b taylor"/>
        <s v="dj webber"/>
        <s v="sara gonzales"/>
        <s v="sandra s"/>
        <s v="brack"/>
        <s v="kathleen"/>
        <s v="joseph ruddy"/>
        <s v="eric sommer"/>
        <s v="gwyn guild"/>
        <s v="pamela gotthart"/>
        <s v="paula goldberg"/>
        <s v="ri dog owner"/>
        <s v="mh"/>
        <s v="christine howse"/>
        <s v="rcs nunya"/>
        <s v="brenda fluharty"/>
        <s v="jim curtis"/>
        <s v="jodi friedman"/>
        <s v="phyllis enman"/>
        <s v="ilona gomez"/>
        <s v="robert taylor"/>
        <s v="amar kaur"/>
        <s v="jacqueline cardoza"/>
        <s v="audra chmiel"/>
        <s v="leslie goodman"/>
        <s v="joyceturney"/>
        <s v="roy a"/>
        <s v="ariela"/>
        <s v="renee jones"/>
        <s v="david muroff"/>
        <s v="susan harris"/>
        <s v="jane blackmon"/>
        <s v="hl"/>
        <s v="thomas rogers"/>
        <s v="carolyn kennedy"/>
        <s v="patsy stair"/>
        <s v="sandy hays"/>
        <s v="linda valente"/>
        <s v="patricia smith"/>
        <s v="kim r"/>
        <s v="gregory scott"/>
        <s v="pete rector"/>
        <s v="everett hobbs"/>
        <s v="mary comer"/>
        <s v="kathy dwyer"/>
        <s v="al"/>
        <s v="bryan"/>
        <s v="linda cissel"/>
        <s v="vincent"/>
        <s v="victoria ortiz"/>
        <s v="leanna"/>
        <s v="dwayne b"/>
        <s v="sarah lewis"/>
        <s v="mary drexler"/>
        <s v="david rosenstein"/>
        <s v="marnie"/>
        <s v="casey adams"/>
        <s v="kathryn roberts"/>
        <s v="bmmmm"/>
        <s v="anne medley"/>
        <s v="bo bennett"/>
        <s v="richard koch"/>
        <s v="na"/>
        <s v="seb"/>
        <s v="randy h"/>
        <s v="gsd owner"/>
        <s v="anne killman"/>
        <s v="holly g"/>
        <s v="michele urban"/>
        <s v="heidi kins"/>
        <s v="glenn hazelwood ii"/>
        <s v="rebecca leonguerrero"/>
        <s v="suzanne trapani"/>
        <s v="vickie belt"/>
        <s v="leslie addiego"/>
        <s v="denice french"/>
        <s v="jennifer hughes"/>
        <s v="charles apligian"/>
        <s v="danielle w"/>
        <s v="vicki wilson"/>
        <s v="edward gale"/>
        <s v="jewel armstrong"/>
        <s v="joann k craft"/>
        <s v="craig edney"/>
        <s v="shawn skunca"/>
        <s v="paul in south jersey"/>
        <s v="gail jomaoas"/>
        <s v="vivian baylor"/>
        <s v="tina r"/>
        <s v="stephanie"/>
        <s v="carolann auger"/>
        <s v="shirley march"/>
        <s v="ccools"/>
        <s v="myra cromer"/>
        <s v="rita swinford"/>
        <s v="william wehrle"/>
        <s v="joseph t"/>
        <s v="marcia roth"/>
        <s v="connie kane"/>
        <s v="diane dugger"/>
        <s v="susan murphy"/>
        <s v="kathy hart"/>
        <s v="lisa belajac"/>
        <s v="miles kudo"/>
        <s v="ah"/>
        <s v="deborah pines"/>
        <s v="charlene stewart"/>
        <s v="jazan"/>
        <s v="leila"/>
        <s v="debb"/>
        <s v="gordon"/>
        <s v="buddys mom"/>
        <s v="selena g matelich"/>
        <s v="dan chrisinger"/>
        <s v="laura bartlett"/>
        <s v="westie mom"/>
        <s v="pamela bacon"/>
        <s v="mallory evron"/>
        <s v="leslie"/>
        <s v="sofie dogie"/>
        <s v="br"/>
        <s v="leila a"/>
        <s v="ns"/>
        <s v="monica r harris"/>
        <s v="martha wallace"/>
        <s v="cyndy raeshke"/>
        <s v="eric perkins"/>
        <s v="jane henderson"/>
        <s v="tcrc"/>
        <s v="shane oksanen"/>
        <s v="mary lou"/>
        <s v="doris sheinfeld"/>
        <s v="tenzin yonten"/>
        <s v="debra g"/>
        <s v="john daniels"/>
        <s v="theresa h"/>
        <s v="greg reed"/>
        <s v="vla"/>
        <s v="kirsten"/>
        <s v="gary trevillyan"/>
        <s v="jean anne"/>
        <s v="tomd"/>
        <s v="neita buscher"/>
        <s v="rita miller"/>
        <s v="deborah b"/>
        <s v="sandee"/>
        <s v="mona berrier"/>
        <s v="rj koser"/>
        <s v="alisha r"/>
        <s v="linda m"/>
        <s v="joe bolino"/>
        <s v="skye rabel"/>
        <s v="debra l"/>
        <s v="susan s"/>
        <s v="lisa c"/>
        <s v="paulette hawkins"/>
        <s v="brigitte leeman"/>
        <s v="freneticminde"/>
        <s v="isabel campbell"/>
        <s v="christine demers"/>
        <s v="foster mom"/>
        <s v="helen pero"/>
        <s v="dw"/>
        <s v="s cat"/>
        <s v="candy horn"/>
        <s v="robert devicariis torrey"/>
        <s v="j jarvis"/>
        <s v="sarah k"/>
        <s v="dave fishman"/>
        <s v="lisa g"/>
        <s v="bo smith"/>
        <s v="mike allis"/>
        <s v="vn"/>
        <s v="brandon r"/>
        <s v="ruth petrucci"/>
        <s v="constance"/>
        <s v="juliana galson"/>
        <s v="kona and big ds mom"/>
        <s v="patti ellis"/>
        <s v="catherine rust"/>
        <s v="heather mccarty"/>
        <s v="newt pearson"/>
        <s v="marguerite"/>
        <s v="tanu"/>
        <s v="sandra k"/>
        <s v="joann starks"/>
        <s v="monica danforth"/>
        <s v="glw"/>
        <s v="jay"/>
        <s v="z guzman"/>
        <s v="james hayden"/>
        <s v="holly robinson"/>
        <s v="barbara tumminelli"/>
        <s v="jess rodriguez"/>
        <s v="gaye stach"/>
        <s v="janine m"/>
        <s v="rudolph gonzalez"/>
        <s v="amy nelson"/>
        <s v="amelia delmonico"/>
        <s v="dick cunningham"/>
        <s v="rhonda anderson"/>
        <s v="jacklyn durk"/>
        <s v="mark b"/>
        <s v="george light"/>
        <s v="k d"/>
        <s v="jehangir pirzada"/>
        <s v="carolyn gibbs"/>
        <s v="mercy"/>
        <s v="margaret mcallister"/>
        <s v="sissssy"/>
        <s v="robin hale"/>
        <s v="terry laguna woods"/>
        <s v="nora lorenzo"/>
        <s v="marcel"/>
        <s v="jenna g"/>
        <s v="linda hulsey"/>
        <s v="jennifer s bondegard"/>
        <s v="landerson"/>
        <s v="richard kritsky"/>
        <s v="julie j"/>
        <s v="catherine lyness"/>
        <s v="dora"/>
        <s v="jane wargo"/>
        <s v="jennifer brueser"/>
        <s v="matt hough"/>
        <s v="sarah steber"/>
        <s v="az"/>
        <s v="francoise duffy"/>
        <s v="timothy moyer"/>
        <s v="luz"/>
        <s v="ashly whitworth"/>
        <s v="maria lemmon"/>
        <s v="james obert"/>
        <s v="chris mcgatha"/>
        <s v="jonathan stampley"/>
        <s v="ray cunningham"/>
        <s v="patricia sheppard"/>
        <s v="kristine anderson"/>
        <s v="jillian"/>
        <s v="madelin"/>
        <s v="silvia campillo giner"/>
        <s v="cherie mamula"/>
        <s v="sheila"/>
        <s v="randy leach"/>
        <s v="cassidy k"/>
        <s v="beth c"/>
        <s v="jennifer adams"/>
        <s v="kurt saxsma"/>
        <s v="patricia palenik"/>
        <s v="rick ludlow"/>
        <s v="pete of s t s"/>
        <s v="jeff nicholson"/>
        <s v="amber cole"/>
        <s v="kelly braun"/>
        <s v="susan y"/>
        <s v="tomogotcha"/>
        <s v="lorilei dunston"/>
        <s v="mahzad mohajer"/>
        <s v="todd vandeberg"/>
        <s v="carol blohm"/>
        <s v="gail osborne"/>
        <s v="joan kanowitz"/>
        <s v="ronald"/>
        <s v="maria maropakis"/>
        <s v="diana dane"/>
        <s v="kn"/>
        <s v="patricia ragone"/>
        <s v="michael z"/>
        <s v="sue durante"/>
        <s v="debrasmith"/>
        <s v="james politis"/>
        <s v="todd strickland"/>
        <s v="evelyn dimiceli"/>
        <s v="micahel bennett"/>
        <s v="irene rodriguez"/>
        <s v="penelope mcmillan"/>
        <s v="linda moon"/>
        <s v="sandy b"/>
        <s v="deanna nole"/>
        <s v="jan murphy"/>
        <s v="ximena salomon"/>
        <s v="vicky"/>
        <s v="narc hall"/>
        <s v="kathleen otero"/>
        <s v="donna allen"/>
        <s v="dog and cat depot sizemore"/>
        <s v="cj demello"/>
        <s v="gail e bueler"/>
        <s v="diana"/>
        <s v="denise lanning"/>
        <s v="mark m"/>
        <s v="susan robertson"/>
        <s v="harriett hoffman"/>
        <s v="diesels mom"/>
        <s v="melissa shaffer"/>
        <s v="carol miller"/>
        <s v="dana connolly"/>
        <s v="sandy"/>
        <s v="robert berman"/>
        <s v="paul hanigan"/>
        <s v="peggy mazur"/>
        <s v="sharon zinns"/>
        <s v="david spiegel"/>
        <s v="sue cervantes"/>
        <s v="brittany thompson"/>
        <s v="sanja"/>
        <s v="scott petersen"/>
        <s v="ajs reptarium"/>
        <s v="kenneth henke"/>
        <s v="elizabeth scalzo"/>
        <s v="corrine savage"/>
        <s v="linda antonioli"/>
        <s v="kristen"/>
        <s v="kaia"/>
        <s v="gemma"/>
        <s v="susan g"/>
        <s v="drivers license wizard user"/>
        <s v="von snow"/>
        <s v="antoinette darrow"/>
        <s v="wk"/>
        <s v="tammy counts"/>
        <s v="caroline"/>
        <s v="gwen siddiqu"/>
        <s v="lj"/>
        <s v="wilda white"/>
        <s v="russell holster"/>
        <s v="jim lucas"/>
        <s v="c wellnitz"/>
        <s v="marie vardaman"/>
        <s v="joe kraut"/>
        <s v="darlene redclift"/>
        <s v="dixie eichelberger"/>
        <s v="luis orozco"/>
        <s v="bigoakfarmsocal an animal resc"/>
        <s v="tanya scarantine"/>
        <s v="tracy moore"/>
        <s v="elizabeth ciprich"/>
        <s v="faith freewoman"/>
        <s v="karmen"/>
        <s v="stacey"/>
        <s v="darlene cooper"/>
        <s v="joanna proctor"/>
        <s v="keeron hogan"/>
        <s v="kathy davis"/>
        <s v="shannon"/>
        <s v="diane p"/>
        <s v="jenny martinstadena"/>
        <s v="erika"/>
        <s v="kelly krauss"/>
        <s v="paula nelson digennaro sebring fl"/>
        <s v="webclient laura p"/>
        <s v="karen mcfarlane"/>
        <s v="terry gorman"/>
        <s v="jean o"/>
        <s v="charlotte greenbarg"/>
        <s v="michelle stanek"/>
        <s v="carmelle latour"/>
        <s v="thao b"/>
        <s v="cat lady"/>
        <s v="ken pearson"/>
        <s v="cheryl jasper"/>
        <s v="wil"/>
        <s v="tom allen"/>
        <s v="slick"/>
        <s v="cheryl farrell"/>
        <s v="katie werner"/>
        <s v="tina p"/>
        <s v="nearmiss"/>
        <s v="tami"/>
        <s v="dana drake"/>
        <s v="robin gedge"/>
        <s v="lynne levy"/>
        <s v="thomas hooper"/>
        <s v="irene simmons"/>
        <s v="barbara mcneil"/>
        <s v="james miller"/>
        <s v="shell"/>
        <s v="michele casolco"/>
        <s v="kim d"/>
        <s v="victor albanese"/>
        <s v="customtom arnolder"/>
        <s v="eks"/>
        <s v="jennifer hornung"/>
        <s v="allyson"/>
        <s v="loren osborne"/>
        <s v="sheila hodges"/>
        <s v="curt shake"/>
        <s v="lisa barnes"/>
        <s v="deborah noack"/>
        <s v="janet f"/>
        <s v="kenny kazarosian"/>
        <s v="wanda segars"/>
        <s v="mary beth alder"/>
        <s v="rose brown"/>
        <s v="sue ash"/>
        <s v="philip jow"/>
        <s v="maryanne kramer"/>
        <s v="susan foster"/>
        <s v="julie kassis"/>
        <s v="steven goldstein"/>
        <s v="julie roberts"/>
        <s v="deborah prinz"/>
        <s v="noisyhouse"/>
        <s v="astoria"/>
        <s v="dale"/>
        <s v="tera marsh"/>
        <s v="nv"/>
        <s v="s hardy"/>
        <s v="kristi ehlers"/>
        <s v="michael fazekas"/>
        <s v="rosepetals"/>
        <s v="bill skinner"/>
        <s v="carol smith"/>
        <s v="james neyhouse"/>
        <s v="marlies ruben"/>
        <s v="sandra francois"/>
        <s v="sj"/>
        <s v="jeff kramer"/>
        <s v="jan stern"/>
        <s v="sandra schafer"/>
        <s v="grace carr"/>
        <s v="frank f"/>
        <s v="marion konvalina"/>
        <s v="patricia campbell"/>
        <s v="r lahrman"/>
        <s v="owl lover"/>
        <s v="bigfishgamessucks"/>
        <s v="michelle murray"/>
        <s v="chris porcaro"/>
        <s v="pasquale crudo"/>
        <s v="mary mahaney"/>
        <s v="candy"/>
        <s v="steven brock"/>
        <s v="linda sabuda"/>
        <s v="andrea p"/>
        <s v="ginnette alvarez"/>
        <s v="ida l"/>
        <s v="michelle cilurso"/>
        <s v="mk"/>
        <s v="karen welch"/>
        <s v="gino lanzi"/>
        <s v="gloria moore"/>
        <s v="marc marsceill"/>
        <s v="john wright"/>
        <s v="coffee"/>
        <s v="phyllis"/>
        <s v="valerie d"/>
        <s v="melody fensel"/>
        <s v="joanne hall"/>
        <s v="mary y"/>
        <s v="charles mcdowell"/>
        <s v="graduation"/>
        <s v="jimmy"/>
        <s v="kay johnson"/>
        <s v="gazlene hatfeld"/>
        <s v="love my dog"/>
        <s v="michele decrescenzo"/>
        <s v="joan dam"/>
        <s v="lonnie scutella"/>
        <s v="koren slone"/>
        <s v="sfsanibel"/>
        <s v="michelle hines"/>
        <s v="nikki tucek"/>
        <s v="mary k"/>
        <s v="greg morris"/>
        <s v="paige martin"/>
        <s v="frederick raymond"/>
        <s v="lauri maynard"/>
        <s v="halo"/>
        <s v="jerry farris"/>
        <s v="timothy panichi"/>
        <s v="jennifer jedynak"/>
        <s v="ross"/>
        <s v="paul moore"/>
        <s v="lee hoffman"/>
        <s v="mewithme"/>
        <s v="chris benson"/>
        <s v="dianne mullenhour"/>
        <s v="martin"/>
        <s v="laura beckendorf"/>
        <s v="donna rickford"/>
        <s v="r geibel"/>
        <s v="m j"/>
        <s v="stacie mcclain"/>
        <s v="melanie"/>
        <s v="saya"/>
        <s v="louise"/>
        <s v="sororu karami"/>
        <s v="f w"/>
        <s v="deana madsen"/>
        <s v="mermaid"/>
        <s v="debra neil"/>
        <s v="james s"/>
        <s v="lauren"/>
        <s v="r elliott"/>
        <s v="james gilbert"/>
        <s v="dawn long"/>
        <s v="alan fertel"/>
        <s v="sheri"/>
        <s v="mary anne"/>
        <s v="tammy h"/>
        <s v="christy jones"/>
        <s v="morris"/>
        <s v="ms dehn"/>
        <s v="d prof"/>
      </sharedItems>
    </cacheField>
    <cacheField name="review_count" numFmtId="0">
      <sharedItems containsSemiMixedTypes="0" containsString="0" containsNumber="1" containsInteger="1">
        <n v="1.0"/>
        <n v="54.0"/>
        <n v="2.0"/>
        <n v="3.0"/>
        <n v="5.0"/>
        <n v="10.0"/>
        <n v="8.0"/>
        <n v="4.0"/>
        <n v="9.0"/>
        <n v="7.0"/>
      </sharedItems>
    </cacheField>
    <cacheField name="repeat_reviewer" numFmtId="0">
      <sharedItems>
        <s v="No"/>
        <s v="Ye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top complaint from negative" cacheId="0" dataCaption="" compact="0" compactData="0">
  <location ref="A3:B11" firstHeaderRow="0" firstDataRow="1" firstDataCol="0" rowPageCount="1" colPageCount="1"/>
  <pivotFields>
    <pivotField name="org name" compact="0" outline="0" multipleItemSelectionAllowed="1" showAll="0">
      <items>
        <item x="0"/>
        <item t="default"/>
      </items>
    </pivotField>
    <pivotField name="revie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t="default"/>
      </items>
    </pivotField>
    <pivotField name="experienc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name="review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t="default"/>
      </items>
    </pivotField>
    <pivotField name="head 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t="default"/>
      </items>
    </pivotField>
    <pivotField name="full 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t="default"/>
      </items>
    </pivotField>
    <pivotField name="clean_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t="default"/>
      </items>
    </pivotField>
    <pivotField name="processes_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t="default"/>
      </items>
    </pivotField>
    <pivotField name="word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positive_count" compact="0" outline="0" multipleItemSelectionAllowed="1" showAll="0">
      <items>
        <item x="0"/>
        <item x="1"/>
        <item x="2"/>
        <item x="3"/>
        <item x="4"/>
        <item x="5"/>
        <item x="6"/>
        <item x="7"/>
        <item x="8"/>
        <item t="default"/>
      </items>
    </pivotField>
    <pivotField name="negative_count" compact="0" outline="0" multipleItemSelectionAllowed="1" showAll="0">
      <items>
        <item x="0"/>
        <item x="1"/>
        <item x="2"/>
        <item x="3"/>
        <item x="4"/>
        <item x="5"/>
        <item x="6"/>
        <item t="default"/>
      </items>
    </pivotField>
    <pivotField name="sentiment_theme" axis="axisRow" dataField="1" compact="0" outline="0" multipleItemSelectionAllowed="1" showAll="0" sortType="ascending">
      <items>
        <item x="3"/>
        <item x="8"/>
        <item x="0"/>
        <item x="4"/>
        <item x="2"/>
        <item x="5"/>
        <item x="7"/>
        <item x="6"/>
        <item x="1"/>
        <item t="default"/>
      </items>
    </pivotField>
    <pivotField name="sentiment" axis="axisPage" compact="0" outline="0" multipleItemSelectionAllowed="1" showAll="0">
      <items>
        <item h="1" x="0"/>
        <item x="1"/>
        <item h="1" x="2"/>
        <item t="default"/>
      </items>
    </pivotField>
  </pivotFields>
  <rowFields>
    <field x="11"/>
  </rowFields>
  <pageFields>
    <pageField fld="12"/>
  </pageFields>
  <dataFields>
    <dataField name="COUNTA of sentiment_theme" fld="11" subtotal="count" baseField="0"/>
  </dataFields>
</pivotTableDefinition>
</file>

<file path=xl/pivotTables/pivotTable2.xml><?xml version="1.0" encoding="utf-8"?>
<pivotTableDefinition xmlns="http://schemas.openxmlformats.org/spreadsheetml/2006/main" name="repeat vs one-time" cacheId="1" dataCaption="" compact="0" compactData="0">
  <location ref="A1:E5" firstHeaderRow="0" firstDataRow="1" firstDataCol="1"/>
  <pivotFields>
    <pivotField name="org name" compact="0" outline="0" multipleItemSelectionAllowed="1" showAll="0">
      <items>
        <item x="0"/>
        <item t="default"/>
      </items>
    </pivotField>
    <pivotField name="revie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t="default"/>
      </items>
    </pivotField>
    <pivotField name="experienc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t="default"/>
      </items>
    </pivotField>
    <pivotField name="review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t="default"/>
      </items>
    </pivotField>
    <pivotField name="head 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t="default"/>
      </items>
    </pivotField>
    <pivotField name="full 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t="default"/>
      </items>
    </pivotField>
    <pivotField name="clean_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t="default"/>
      </items>
    </pivotField>
    <pivotField name="processes_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t="default"/>
      </items>
    </pivotField>
    <pivotField name="word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positive_count" compact="0" outline="0" multipleItemSelectionAllowed="1" showAll="0">
      <items>
        <item x="0"/>
        <item x="1"/>
        <item x="2"/>
        <item x="3"/>
        <item x="4"/>
        <item x="5"/>
        <item x="6"/>
        <item x="7"/>
        <item t="default"/>
      </items>
    </pivotField>
    <pivotField name="negative_count" compact="0" outline="0" multipleItemSelectionAllowed="1" showAll="0">
      <items>
        <item x="0"/>
        <item x="1"/>
        <item x="2"/>
        <item x="3"/>
        <item x="4"/>
        <item x="5"/>
        <item t="default"/>
      </items>
    </pivotField>
    <pivotField name="sentiment_theme" compact="0" outline="0" multipleItemSelectionAllowed="1" showAll="0">
      <items>
        <item x="0"/>
        <item x="1"/>
        <item x="2"/>
        <item x="3"/>
        <item x="4"/>
        <item x="5"/>
        <item x="6"/>
        <item x="7"/>
        <item x="8"/>
        <item t="default"/>
      </items>
    </pivotField>
    <pivotField name="sentiment" axis="axisCol" dataField="1" compact="0" outline="0" multipleItemSelectionAllowed="1" showAll="0" sortType="ascending">
      <items>
        <item x="1"/>
        <item x="2"/>
        <item x="0"/>
        <item t="default"/>
      </items>
    </pivotField>
    <pivotField name="reviewer_clean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t="default"/>
      </items>
    </pivotField>
    <pivotField name="review_count" compact="0" outline="0" multipleItemSelectionAllowed="1" showAll="0">
      <items>
        <item x="0"/>
        <item x="1"/>
        <item x="2"/>
        <item x="3"/>
        <item x="4"/>
        <item x="5"/>
        <item x="6"/>
        <item x="7"/>
        <item x="8"/>
        <item x="9"/>
        <item t="default"/>
      </items>
    </pivotField>
    <pivotField name="repeat_reviewer" axis="axisRow" compact="0" outline="0" multipleItemSelectionAllowed="1" showAll="0" sortType="ascending">
      <items>
        <item x="0"/>
        <item x="1"/>
        <item t="default"/>
      </items>
    </pivotField>
  </pivotFields>
  <rowFields>
    <field x="15"/>
  </rowFields>
  <colFields>
    <field x="12"/>
  </colFields>
  <dataFields>
    <dataField name="COUNTA of sentiment" fld="12" subtotal="count" showDataAs="percentOfRow" baseField="0" numFmtId="10"/>
  </dataFields>
</pivotTableDefinition>
</file>

<file path=xl/pivotTables/pivotTable3.xml><?xml version="1.0" encoding="utf-8"?>
<pivotTableDefinition xmlns="http://schemas.openxmlformats.org/spreadsheetml/2006/main" name="repeating users over negative" cacheId="2" dataCaption="" compact="0" compactData="0">
  <location ref="A3:B6" firstHeaderRow="0" firstDataRow="1" firstDataCol="0" rowPageCount="1" colPageCount="1"/>
  <pivotFields>
    <pivotField name="org name" compact="0" outline="0" multipleItemSelectionAllowed="1" showAll="0">
      <items>
        <item x="0"/>
        <item t="default"/>
      </items>
    </pivotField>
    <pivotField name="revie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t="default"/>
      </items>
    </pivotField>
    <pivotField name="experienc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t="default"/>
      </items>
    </pivotField>
    <pivotField name="review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t="default"/>
      </items>
    </pivotField>
    <pivotField name="head 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t="default"/>
      </items>
    </pivotField>
    <pivotField name="full 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t="default"/>
      </items>
    </pivotField>
    <pivotField name="clean_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t="default"/>
      </items>
    </pivotField>
    <pivotField name="processes_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t="default"/>
      </items>
    </pivotField>
    <pivotField name="word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positive_count" compact="0" outline="0" multipleItemSelectionAllowed="1" showAll="0">
      <items>
        <item x="0"/>
        <item x="1"/>
        <item x="2"/>
        <item x="3"/>
        <item x="4"/>
        <item x="5"/>
        <item x="6"/>
        <item x="7"/>
        <item t="default"/>
      </items>
    </pivotField>
    <pivotField name="negative_count" compact="0" outline="0" multipleItemSelectionAllowed="1" showAll="0">
      <items>
        <item x="0"/>
        <item x="1"/>
        <item x="2"/>
        <item x="3"/>
        <item x="4"/>
        <item x="5"/>
        <item t="default"/>
      </items>
    </pivotField>
    <pivotField name="sentiment_theme" compact="0" outline="0" multipleItemSelectionAllowed="1" showAll="0">
      <items>
        <item x="0"/>
        <item x="1"/>
        <item x="2"/>
        <item x="3"/>
        <item x="4"/>
        <item x="5"/>
        <item x="6"/>
        <item x="7"/>
        <item x="8"/>
        <item t="default"/>
      </items>
    </pivotField>
    <pivotField name="sentiment" axis="axisPage" dataField="1" compact="0" outline="0" multipleItemSelectionAllowed="1" showAll="0">
      <items>
        <item x="0"/>
        <item x="1"/>
        <item x="2"/>
        <item t="default"/>
      </items>
    </pivotField>
    <pivotField name="reviewer_clean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t="default"/>
      </items>
    </pivotField>
    <pivotField name="review_count" compact="0" outline="0" multipleItemSelectionAllowed="1" showAll="0">
      <items>
        <item x="0"/>
        <item x="1"/>
        <item x="2"/>
        <item x="3"/>
        <item x="4"/>
        <item x="5"/>
        <item x="6"/>
        <item x="7"/>
        <item x="8"/>
        <item x="9"/>
        <item t="default"/>
      </items>
    </pivotField>
    <pivotField name="repeat_reviewer" axis="axisRow" compact="0" outline="0" multipleItemSelectionAllowed="1" showAll="0" sortType="ascending">
      <items>
        <item x="0"/>
        <item x="1"/>
        <item t="default"/>
      </items>
    </pivotField>
  </pivotFields>
  <rowFields>
    <field x="15"/>
  </rowFields>
  <pageFields>
    <pageField fld="12"/>
  </pageFields>
  <dataFields>
    <dataField name="COUNTA of sentiment" fld="12" subtotal="count" showDataAs="percentOfCol" baseField="0" numFmtId="10"/>
  </dataFields>
</pivotTableDefinition>
</file>

<file path=xl/pivotTables/pivotTable4.xml><?xml version="1.0" encoding="utf-8"?>
<pivotTableDefinition xmlns="http://schemas.openxmlformats.org/spreadsheetml/2006/main" name="repeat + negative" cacheId="2" dataCaption="" compact="0" compactData="0">
  <location ref="A3:C47" firstHeaderRow="0" firstDataRow="2" firstDataCol="0" rowPageCount="1" colPageCount="1"/>
  <pivotFields>
    <pivotField name="org name" compact="0" outline="0" multipleItemSelectionAllowed="1" showAll="0">
      <items>
        <item x="0"/>
        <item t="default"/>
      </items>
    </pivotField>
    <pivotField name="review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t="default"/>
      </items>
    </pivotField>
    <pivotField name="experience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t="default"/>
      </items>
    </pivotField>
    <pivotField name="review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t="default"/>
      </items>
    </pivotField>
    <pivotField name="head l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t="default"/>
      </items>
    </pivotField>
    <pivotField name="full 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t="default"/>
      </items>
    </pivotField>
    <pivotField name="clean_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t="default"/>
      </items>
    </pivotField>
    <pivotField name="processes_review"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t="default"/>
      </items>
    </pivotField>
    <pivotField name="word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positive_count" compact="0" outline="0" multipleItemSelectionAllowed="1" showAll="0">
      <items>
        <item x="0"/>
        <item x="1"/>
        <item x="2"/>
        <item x="3"/>
        <item x="4"/>
        <item x="5"/>
        <item x="6"/>
        <item x="7"/>
        <item t="default"/>
      </items>
    </pivotField>
    <pivotField name="negative_count" compact="0" outline="0" multipleItemSelectionAllowed="1" showAll="0">
      <items>
        <item x="0"/>
        <item x="1"/>
        <item x="2"/>
        <item x="3"/>
        <item x="4"/>
        <item x="5"/>
        <item t="default"/>
      </items>
    </pivotField>
    <pivotField name="sentiment_theme" axis="axisRow" compact="0" outline="0" multipleItemSelectionAllowed="1" showAll="0" sortType="ascending">
      <items>
        <item x="3"/>
        <item x="8"/>
        <item x="0"/>
        <item x="4"/>
        <item x="2"/>
        <item x="5"/>
        <item x="7"/>
        <item x="6"/>
        <item x="1"/>
        <item t="default"/>
      </items>
    </pivotField>
    <pivotField name="sentiment" axis="axisPage" compact="0" outline="0" multipleItemSelectionAllowed="1" showAll="0">
      <items>
        <item h="1" x="0"/>
        <item x="1"/>
        <item h="1" x="2"/>
        <item t="default"/>
      </items>
    </pivotField>
    <pivotField name="reviewer_clea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t="default"/>
      </items>
    </pivotField>
    <pivotField name="review_count" axis="axisRow" compact="0" outline="0" multipleItemSelectionAllowed="1" showAll="0" sortType="ascending">
      <items>
        <item x="0"/>
        <item x="2"/>
        <item x="3"/>
        <item x="7"/>
        <item x="4"/>
        <item x="9"/>
        <item x="6"/>
        <item x="8"/>
        <item x="5"/>
        <item x="1"/>
        <item t="default"/>
      </items>
    </pivotField>
    <pivotField name="repeat_reviewer" compact="0" outline="0" multipleItemSelectionAllowed="1" showAll="0">
      <items>
        <item x="0"/>
        <item x="1"/>
        <item t="default"/>
      </items>
    </pivotField>
  </pivotFields>
  <rowFields>
    <field x="14"/>
    <field x="11"/>
  </rowFields>
  <pageFields>
    <pageField fld="12"/>
  </pageFields>
  <dataFields>
    <dataField name="COUNTA of reviewer_cleaned" fld="1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22.0"/>
    <col customWidth="1" min="3" max="3" width="22.38"/>
    <col customWidth="1" min="4" max="8" width="30.5"/>
    <col customWidth="1" min="9" max="11" width="16.25"/>
    <col customWidth="1" min="12" max="12" width="17.25"/>
    <col customWidth="1" min="14" max="14" width="15.5"/>
    <col customWidth="1" min="15" max="15" width="14.13"/>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3" t="s">
        <v>14</v>
      </c>
      <c r="P1" s="3" t="s">
        <v>15</v>
      </c>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row>
    <row r="2">
      <c r="A2" s="4" t="s">
        <v>16</v>
      </c>
      <c r="B2" s="4" t="s">
        <v>17</v>
      </c>
      <c r="C2" s="5">
        <v>45059.0</v>
      </c>
      <c r="D2" s="4" t="s">
        <v>18</v>
      </c>
      <c r="E2" s="4" t="s">
        <v>19</v>
      </c>
      <c r="F2" s="4" t="s">
        <v>20</v>
      </c>
      <c r="G2" s="6" t="str">
        <f>IFERROR(__xludf.DUMMYFUNCTION("REGEXREPLACE(LOWER(F2),""[^a-z\s]"","""")"),"i shopped the product milk bone pill pouches for several weeks our dog is on holistic herbal supplements and dosing requires about five pouches a day petflow hands down is a best price retailer for my target product great value for consumer customer servi"&amp;"ce is prompt courteous and efficient")</f>
        <v>i shopped the product milk bone pill pouches for several weeks our dog is on holistic herbal supplements and dosing requires about five pouches a day petflow hands down is a best price retailer for my target product great value for consumer customer service is prompt courteous and efficient</v>
      </c>
      <c r="H2" s="4" t="str">
        <f t="shared" ref="H2:H3727" si="1">IFERROR(TRIM(
  SUBSTITUTE(
    SUBSTITUTE(
      SUBSTITUTE(
        SUBSTITUTE(
          SUBSTITUTE(
            " "&amp;G2&amp;" ",
            " the "," "
          ),
          " and "," "
        ),
        " is "," "
      ),
      " to "," "
    ),
    " for "," "
  )
),"")
</f>
        <v>i shopped product milk bone pill pouches several weeks our dog on holistic herbal supplements dosing requires about five pouches a day petflow hands down a best price retailer my target product great value consumer customer service prompt courteous efficient</v>
      </c>
      <c r="I2" s="6">
        <f t="shared" ref="I2:I3728" si="2">LEN(H2)-LEN(SUBSTITUTE(H2," ",""))+1</f>
        <v>40</v>
      </c>
      <c r="J2" s="6">
        <f>IFERROR(__xludf.DUMMYFUNCTION("IF(H2="""","""",
SUM(
ARRAYFORMULA(
IF(
REGEXMATCH(
"" ""&amp;H2&amp;"" "",
"" ""&amp;Sentiment_Words!A$2:A3730&amp;"" ""
),
1,
0
)
)
)
)"),5.0)</f>
        <v>5</v>
      </c>
      <c r="K2" s="4">
        <f>IFERROR(__xludf.DUMMYFUNCTION("IF(H2="""","""",
SUM(
ARRAYFORMULA(
IF(
REGEXMATCH(
"" ""&amp;H2&amp;"" "",
"" ""&amp;Sentiment_Words!B$2:B3730&amp;"" ""
),
1,
0
)
)
)
)"),1.0)</f>
        <v>1</v>
      </c>
      <c r="L2" s="7" t="str">
        <f t="shared" ref="L2:L3728" si="3">IFS(
COUNTIF(H2,"*rancid*")+COUNTIF(H2,"*expired*")+COUNTIF(H2,"*spoiled*")+COUNTIF(H2,"*moldy*")&gt;0,
"Food Safety",
COUNTIF(H2,"*ignored*")+COUNTIF(H2,"*no response*")+COUNTIF(H2,"*did not respond*")+COUNTIF(H2,"*support*")+COUNTIF(H2,"*service*")&gt;0,
"Customer Support",
COUNTIF(H2,"*delay*")+COUNTIF(H2,"*late*")+COUNTIF(H2,"*wrong*")+COUNTIF(H2,"*missing*")&gt;0,
"Fulfillment &amp; Shipping",
COUNTIF(H2,"*out of stock*")+COUNTIF(H2,"*unavailable*")&gt;0,
"Availability",
COUNTIF(H2,"*login*")+COUNTIF(H2,"*account*")+COUNTIF(H2,"*website*")+COUNTIF(H2,"*browser*")+COUNTIF(H2,"*password*")+COUNTIF(H2,"*code*")&gt;0,
"Account &amp; Website",
COUNTIF(H2,"*disappointed*")+COUNTIF(H2,"*misleading*")+COUNTIF(H2,"*trust*")+COUNTIF(H2,"*never again*")+COUNTIF(H2,"*would not recommend*")+COUNTIF(H2,"*poor experience*")&gt;0,
"Trust &amp; Experience",
COUNTIF(H2,"*apology*")+COUNTIF(H2,"*resolved*")+COUNTIF(H2,"*impressed*")+COUNTIF(H2,"*handled*")&gt;0,
"Service Recovery",
COUNTIF(H2,"*convenient*")+COUNTIF(H2,"*cheaper*")+COUNTIF(H2,"*value*")&gt;0,
"Value &amp; Convenience",
TRUE,
"Other"
)
</f>
        <v>Customer Support</v>
      </c>
      <c r="M2" s="7" t="str">
        <f t="shared" ref="M2:M3728" si="4">IF(
J2&gt;K2,"Positive",
IF(
K2&gt;J2,"Negative",
"Neutral"
)
)
</f>
        <v>Positive</v>
      </c>
      <c r="N2" s="7" t="str">
        <f>IFERROR(__xludf.DUMMYFUNCTION("LOWER(
TRIM(
REGEXREPLACE(B2,""[^a-zA-Z\s]"","""")
)
)
"),"george romer")</f>
        <v>george romer</v>
      </c>
      <c r="O2" s="7">
        <f t="shared" ref="O2:O3728" si="5">COUNTIF($N:$N,N2)
</f>
        <v>1</v>
      </c>
      <c r="P2" s="8" t="str">
        <f t="shared" ref="P2:P3728" si="6">IF(O2&gt;1,"Yes","No")
</f>
        <v>No</v>
      </c>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row>
    <row r="3">
      <c r="A3" s="4" t="s">
        <v>16</v>
      </c>
      <c r="B3" s="4" t="s">
        <v>21</v>
      </c>
      <c r="C3" s="5">
        <v>45059.0</v>
      </c>
      <c r="D3" s="4" t="s">
        <v>22</v>
      </c>
      <c r="E3" s="4" t="s">
        <v>23</v>
      </c>
      <c r="F3" s="4" t="s">
        <v>24</v>
      </c>
      <c r="G3" s="6" t="str">
        <f>IFERROR(__xludf.DUMMYFUNCTION("REGEXREPLACE(LOWER(F3),""[^a-z\s]"","""")"),"arm and hammer litter is dust free clumpingseal which is difficult to find i used to wear a mask handling other litter not necessary now and no smell i have it on auto ship which makes it convenient and it is  less expensive than buying in store")</f>
        <v>arm and hammer litter is dust free clumpingseal which is difficult to find i used to wear a mask handling other litter not necessary now and no smell i have it on auto ship which makes it convenient and it is  less expensive than buying in store</v>
      </c>
      <c r="H3" s="4" t="str">
        <f t="shared" si="1"/>
        <v>arm hammer litter dust free clumpingseal which difficult find i used wear a mask handling other litter not necessary now no smell i have it on auto ship which makes it convenient it less expensive than buying in store</v>
      </c>
      <c r="I3" s="6">
        <f t="shared" si="2"/>
        <v>39</v>
      </c>
      <c r="J3" s="6">
        <f>IFERROR(__xludf.DUMMYFUNCTION("IF(H3="""","""",
SUM(
ARRAYFORMULA(
IF(
REGEXMATCH(
"" ""&amp;H3&amp;"" "",
"" ""&amp;Sentiment_Words!A$2:A3730&amp;"" ""
),
1,
0
)
)
)
)"),4.0)</f>
        <v>4</v>
      </c>
      <c r="K3" s="4">
        <f>IFERROR(__xludf.DUMMYFUNCTION("IF(H3="""","""",
SUM(
ARRAYFORMULA(
IF(
REGEXMATCH(
"" ""&amp;H3&amp;"" "",
"" ""&amp;Sentiment_Words!B$2:B3730&amp;"" ""
),
1,
0
)
)
)
)"),0.0)</f>
        <v>0</v>
      </c>
      <c r="L3" s="7" t="str">
        <f t="shared" si="3"/>
        <v>Value &amp; Convenience</v>
      </c>
      <c r="M3" s="7" t="str">
        <f t="shared" si="4"/>
        <v>Positive</v>
      </c>
      <c r="N3" s="7" t="str">
        <f>IFERROR(__xludf.DUMMYFUNCTION("LOWER(
TRIM(
REGEXREPLACE(B3,""[^a-zA-Z\s]"","""")
)
)
"),"deborah helfer")</f>
        <v>deborah helfer</v>
      </c>
      <c r="O3" s="7">
        <f t="shared" si="5"/>
        <v>1</v>
      </c>
      <c r="P3" s="8" t="str">
        <f t="shared" si="6"/>
        <v>No</v>
      </c>
    </row>
    <row r="4">
      <c r="A4" s="4" t="s">
        <v>16</v>
      </c>
      <c r="B4" s="4" t="s">
        <v>25</v>
      </c>
      <c r="C4" s="5">
        <v>45060.0</v>
      </c>
      <c r="D4" s="4" t="s">
        <v>26</v>
      </c>
      <c r="E4" s="4" t="s">
        <v>27</v>
      </c>
      <c r="F4" s="4" t="s">
        <v>28</v>
      </c>
      <c r="G4" s="6" t="str">
        <f>IFERROR(__xludf.DUMMYFUNCTION("REGEXREPLACE(LOWER(F4),""[^a-z\s]"","""")"),"i have been with them since  and my orders are on time when there was a delay during covid they were sending out notices and updates i had an issue with my fed ex people taking my dog food the company immediately send another order out to me they are wond"&amp;"erful and always responds to me")</f>
        <v>i have been with them since  and my orders are on time when there was a delay during covid they were sending out notices and updates i had an issue with my fed ex people taking my dog food the company immediately send another order out to me they are wonderful and always responds to me</v>
      </c>
      <c r="H4" s="4" t="str">
        <f t="shared" si="1"/>
        <v>i have been with them since my orders are on time when there was a delay during covid they were sending out notices updates i had an issue with my fed ex people taking my dog food company immediately send another order out me they are wonderful always responds me</v>
      </c>
      <c r="I4" s="6">
        <f t="shared" si="2"/>
        <v>50</v>
      </c>
      <c r="J4" s="6">
        <f>IFERROR(__xludf.DUMMYFUNCTION("IF(H4="""","""",
SUM(
ARRAYFORMULA(
IF(
REGEXMATCH(
"" ""&amp;H4&amp;"" "",
"" ""&amp;Sentiment_Words!A$2:A3730&amp;"" ""
),
1,
0
)
)
)
)"),3.0)</f>
        <v>3</v>
      </c>
      <c r="K4" s="4">
        <f>IFERROR(__xludf.DUMMYFUNCTION("IF(H4="""","""",
SUM(
ARRAYFORMULA(
IF(
REGEXMATCH(
"" ""&amp;H4&amp;"" "",
"" ""&amp;Sentiment_Words!B$2:B3730&amp;"" ""
),
1,
0
)
)
)
)"),2.0)</f>
        <v>2</v>
      </c>
      <c r="L4" s="7" t="str">
        <f t="shared" si="3"/>
        <v>Fulfillment &amp; Shipping</v>
      </c>
      <c r="M4" s="7" t="str">
        <f t="shared" si="4"/>
        <v>Positive</v>
      </c>
      <c r="N4" s="7" t="str">
        <f>IFERROR(__xludf.DUMMYFUNCTION("LOWER(
TRIM(
REGEXREPLACE(B4,""[^a-zA-Z\s]"","""")
)
)
"),"sam walker")</f>
        <v>sam walker</v>
      </c>
      <c r="O4" s="7">
        <f t="shared" si="5"/>
        <v>1</v>
      </c>
      <c r="P4" s="8" t="str">
        <f t="shared" si="6"/>
        <v>No</v>
      </c>
    </row>
    <row r="5">
      <c r="A5" s="4" t="s">
        <v>16</v>
      </c>
      <c r="B5" s="4" t="s">
        <v>29</v>
      </c>
      <c r="C5" s="5">
        <v>45059.0</v>
      </c>
      <c r="D5" s="4" t="s">
        <v>30</v>
      </c>
      <c r="E5" s="4" t="s">
        <v>31</v>
      </c>
      <c r="F5" s="4" t="s">
        <v>32</v>
      </c>
      <c r="G5" s="6" t="str">
        <f>IFERROR(__xludf.DUMMYFUNCTION("REGEXREPLACE(LOWER(F5),""[^a-z\s]"","""")"),"petflow was able to ship an important dog food product that was not available from other online merchants it was frustrating contacting the usual sources until petflow showed up on a browser search we had not heard of petflow before we will not forget the"&amp;"m ")</f>
        <v>petflow was able to ship an important dog food product that was not available from other online merchants it was frustrating contacting the usual sources until petflow showed up on a browser search we had not heard of petflow before we will not forget them </v>
      </c>
      <c r="H5" s="4" t="str">
        <f t="shared" si="1"/>
        <v>petflow was able ship an important dog food product that was not available from other online merchants it was frustrating contacting usual sources until petflow showed up on a browser search we had not heard of petflow before we will not forget them</v>
      </c>
      <c r="I5" s="6">
        <f t="shared" si="2"/>
        <v>43</v>
      </c>
      <c r="J5" s="6">
        <f>IFERROR(__xludf.DUMMYFUNCTION("IF(H5="""","""",
SUM(
ARRAYFORMULA(
IF(
REGEXMATCH(
"" ""&amp;H5&amp;"" "",
"" ""&amp;Sentiment_Words!A$2:A3730&amp;"" ""
),
1,
0
)
)
)
)"),2.0)</f>
        <v>2</v>
      </c>
      <c r="K5" s="4">
        <f>IFERROR(__xludf.DUMMYFUNCTION("IF(H5="""","""",
SUM(
ARRAYFORMULA(
IF(
REGEXMATCH(
"" ""&amp;H5&amp;"" "",
"" ""&amp;Sentiment_Words!B$2:B3730&amp;"" ""
),
1,
0
)
)
)
)"),1.0)</f>
        <v>1</v>
      </c>
      <c r="L5" s="7" t="str">
        <f t="shared" si="3"/>
        <v>Account &amp; Website</v>
      </c>
      <c r="M5" s="7" t="str">
        <f t="shared" si="4"/>
        <v>Positive</v>
      </c>
      <c r="N5" s="7" t="str">
        <f>IFERROR(__xludf.DUMMYFUNCTION("LOWER(
TRIM(
REGEXREPLACE(B5,""[^a-zA-Z\s]"","""")
)
)
"),"janie")</f>
        <v>janie</v>
      </c>
      <c r="O5" s="7">
        <f t="shared" si="5"/>
        <v>1</v>
      </c>
      <c r="P5" s="8" t="str">
        <f t="shared" si="6"/>
        <v>No</v>
      </c>
    </row>
    <row r="6">
      <c r="A6" s="4" t="s">
        <v>16</v>
      </c>
      <c r="B6" s="4" t="s">
        <v>33</v>
      </c>
      <c r="C6" s="5">
        <v>45060.0</v>
      </c>
      <c r="D6" s="4" t="s">
        <v>34</v>
      </c>
      <c r="E6" s="4" t="s">
        <v>35</v>
      </c>
      <c r="F6" s="4" t="s">
        <v>36</v>
      </c>
      <c r="G6" s="6" t="str">
        <f>IFERROR(__xludf.DUMMYFUNCTION("REGEXREPLACE(LOWER(F6),""[^a-z\s]"","""")"),"i received a damaged pet food bag and the customer service people were so responsive and wonderful i received a replacement bag immediately i always prefer petflow because your shipping is always professional with no loose food or mess i always promote yo"&amp;"u to my pet friends thank you")</f>
        <v>i received a damaged pet food bag and the customer service people were so responsive and wonderful i received a replacement bag immediately i always prefer petflow because your shipping is always professional with no loose food or mess i always promote you to my pet friends thank you</v>
      </c>
      <c r="H6" s="4" t="str">
        <f t="shared" si="1"/>
        <v>i received a damaged pet food bag customer service people were so responsive wonderful i received a replacement bag immediately i always prefer petflow because your shipping always professional with no loose food or mess i always promote you my pet friends thank you</v>
      </c>
      <c r="I6" s="6">
        <f t="shared" si="2"/>
        <v>44</v>
      </c>
      <c r="J6" s="6">
        <f>IFERROR(__xludf.DUMMYFUNCTION("IF(H6="""","""",
SUM(
ARRAYFORMULA(
IF(
REGEXMATCH(
"" ""&amp;H6&amp;"" "",
"" ""&amp;Sentiment_Words!A$2:A3730&amp;"" ""
),
1,
0
)
)
)
)"),3.0)</f>
        <v>3</v>
      </c>
      <c r="K6" s="4">
        <f>IFERROR(__xludf.DUMMYFUNCTION("IF(H6="""","""",
SUM(
ARRAYFORMULA(
IF(
REGEXMATCH(
"" ""&amp;H6&amp;"" "",
"" ""&amp;Sentiment_Words!B$2:B3730&amp;"" ""
),
1,
0
)
)
)
)"),1.0)</f>
        <v>1</v>
      </c>
      <c r="L6" s="7" t="str">
        <f t="shared" si="3"/>
        <v>Customer Support</v>
      </c>
      <c r="M6" s="7" t="str">
        <f t="shared" si="4"/>
        <v>Positive</v>
      </c>
      <c r="N6" s="7" t="str">
        <f>IFERROR(__xludf.DUMMYFUNCTION("LOWER(
TRIM(
REGEXREPLACE(B6,""[^a-zA-Z\s]"","""")
)
)
"),"vanessa howard")</f>
        <v>vanessa howard</v>
      </c>
      <c r="O6" s="7">
        <f t="shared" si="5"/>
        <v>1</v>
      </c>
      <c r="P6" s="8" t="str">
        <f t="shared" si="6"/>
        <v>No</v>
      </c>
    </row>
    <row r="7">
      <c r="A7" s="4" t="s">
        <v>16</v>
      </c>
      <c r="B7" s="4" t="s">
        <v>37</v>
      </c>
      <c r="C7" s="5">
        <v>45056.0</v>
      </c>
      <c r="D7" s="4" t="s">
        <v>38</v>
      </c>
      <c r="E7" s="4" t="s">
        <v>39</v>
      </c>
      <c r="F7" s="4" t="s">
        <v>40</v>
      </c>
      <c r="G7" s="6" t="str">
        <f>IFERROR(__xludf.DUMMYFUNCTION("REGEXREPLACE(LOWER(F7),""[^a-z\s]"","""")"),"this is the second time i have received rancid dog food from this company the first time they finally answered my email and said they would resend the order they resent the order and  item was wrong  they then ignored my email and didnt respond to my phon"&amp;"e call
as of right now they are ignoring my second email about rancid food")</f>
        <v>this is the second time i have received rancid dog food from this company the first time they finally answered my email and said they would resend the order they resent the order and  item was wrong  they then ignored my email and didnt respond to my phone call
as of right now they are ignoring my second email about rancid food</v>
      </c>
      <c r="H7" s="4" t="str">
        <f t="shared" si="1"/>
        <v>this second time i have received rancid dog food from this company first time they finally answered my email said they would resend order they resent order item was wrong they then ignored my email didnt respond my phone call
as of right now they are ignoring my second email about rancid food</v>
      </c>
      <c r="I7" s="6">
        <f t="shared" si="2"/>
        <v>52</v>
      </c>
      <c r="J7" s="6">
        <f>IFERROR(__xludf.DUMMYFUNCTION("IF(H7="""","""",
SUM(
ARRAYFORMULA(
IF(
REGEXMATCH(
"" ""&amp;H7&amp;"" "",
"" ""&amp;Sentiment_Words!A$2:A3730&amp;"" ""
),
1,
0
)
)
)
)"),0.0)</f>
        <v>0</v>
      </c>
      <c r="K7" s="4">
        <f>IFERROR(__xludf.DUMMYFUNCTION("IF(H7="""","""",
SUM(
ARRAYFORMULA(
IF(
REGEXMATCH(
"" ""&amp;H7&amp;"" "",
"" ""&amp;Sentiment_Words!B$2:B3730&amp;"" ""
),
1,
0
)
)
)
)"),5.0)</f>
        <v>5</v>
      </c>
      <c r="L7" s="7" t="str">
        <f t="shared" si="3"/>
        <v>Food Safety</v>
      </c>
      <c r="M7" s="7" t="str">
        <f t="shared" si="4"/>
        <v>Negative</v>
      </c>
      <c r="N7" s="7" t="str">
        <f>IFERROR(__xludf.DUMMYFUNCTION("LOWER(
TRIM(
REGEXREPLACE(B7,""[^a-zA-Z\s]"","""")
)
)
"),"judith l williams")</f>
        <v>judith l williams</v>
      </c>
      <c r="O7" s="7">
        <f t="shared" si="5"/>
        <v>1</v>
      </c>
      <c r="P7" s="8" t="str">
        <f t="shared" si="6"/>
        <v>No</v>
      </c>
    </row>
    <row r="8">
      <c r="A8" s="4" t="s">
        <v>16</v>
      </c>
      <c r="B8" s="4" t="s">
        <v>41</v>
      </c>
      <c r="C8" s="5">
        <v>45057.0</v>
      </c>
      <c r="D8" s="4" t="s">
        <v>42</v>
      </c>
      <c r="E8" s="4" t="s">
        <v>43</v>
      </c>
      <c r="F8" s="4" t="s">
        <v>44</v>
      </c>
      <c r="G8" s="6" t="str">
        <f>IFERROR(__xludf.DUMMYFUNCTION("REGEXREPLACE(LOWER(F8),""[^a-z\s]"","""")"),"the company was very responsive to problems i had manoeuvering their site the shipping was well within reasonable expectations
my only issue has to do with the site not being easy for me actually mazelike in its degree of difficulty i wish it would be mor"&amp;"e customer friendly for people like me who are not accustomed to not being able to just go to the page i need without all the precision points having to be passed to get there
the selection of goods for a smaller company is impressive and prices are very "&amp;"competitive with other larger companies")</f>
        <v>the company was very responsive to problems i had manoeuvering their site the shipping was well within reasonable expectations
my only issue has to do with the site not being easy for me actually mazelike in its degree of difficulty i wish it would be more customer friendly for people like me who are not accustomed to not being able to just go to the page i need without all the precision points having to be passed to get there
the selection of goods for a smaller company is impressive and prices are very competitive with other larger companies</v>
      </c>
      <c r="H8" s="4" t="str">
        <f t="shared" si="1"/>
        <v>company was very responsive problems i had manoeuvering their site shipping was well within reasonable expectations
my only issue has do with site not being easy me actually mazelike in its degree of difficulty i wish it would be more customer friendly people like me who are not accustomed not being able just go page i need without all precision points having be passed get there
the selection of goods a smaller company impressive prices are very competitive with other larger companies</v>
      </c>
      <c r="I8" s="6">
        <f t="shared" si="2"/>
        <v>80</v>
      </c>
      <c r="J8" s="6">
        <f>IFERROR(__xludf.DUMMYFUNCTION("IF(H8="""","""",
SUM(
ARRAYFORMULA(
IF(
REGEXMATCH(
"" ""&amp;H8&amp;"" "",
"" ""&amp;Sentiment_Words!A$2:A3730&amp;"" ""
),
1,
0
)
)
)
)"),2.0)</f>
        <v>2</v>
      </c>
      <c r="K8" s="4">
        <f>IFERROR(__xludf.DUMMYFUNCTION("IF(H8="""","""",
SUM(
ARRAYFORMULA(
IF(
REGEXMATCH(
"" ""&amp;H8&amp;"" "",
"" ""&amp;Sentiment_Words!B$2:B3730&amp;"" ""
),
1,
0
)
)
)
)"),1.0)</f>
        <v>1</v>
      </c>
      <c r="L8" s="7" t="str">
        <f t="shared" si="3"/>
        <v>Other</v>
      </c>
      <c r="M8" s="7" t="str">
        <f t="shared" si="4"/>
        <v>Positive</v>
      </c>
      <c r="N8" s="7" t="str">
        <f>IFERROR(__xludf.DUMMYFUNCTION("LOWER(
TRIM(
REGEXREPLACE(B8,""[^a-zA-Z\s]"","""")
)
)
"),"nan r")</f>
        <v>nan r</v>
      </c>
      <c r="O8" s="7">
        <f t="shared" si="5"/>
        <v>1</v>
      </c>
      <c r="P8" s="8" t="str">
        <f t="shared" si="6"/>
        <v>No</v>
      </c>
    </row>
    <row r="9">
      <c r="A9" s="4" t="s">
        <v>16</v>
      </c>
      <c r="B9" s="4" t="s">
        <v>45</v>
      </c>
      <c r="C9" s="5">
        <v>45059.0</v>
      </c>
      <c r="D9" s="4" t="s">
        <v>46</v>
      </c>
      <c r="E9" s="4" t="s">
        <v>47</v>
      </c>
      <c r="F9" s="4" t="s">
        <v>48</v>
      </c>
      <c r="G9" s="6" t="str">
        <f>IFERROR(__xludf.DUMMYFUNCTION("REGEXREPLACE(LOWER(F9),""[^a-z\s]"","""")"),"ordered dog food and  days later no shipment no contact have to call to cancel order and delete your payment method pretty much a fake joke site")</f>
        <v>ordered dog food and  days later no shipment no contact have to call to cancel order and delete your payment method pretty much a fake joke site</v>
      </c>
      <c r="H9" s="4" t="str">
        <f t="shared" si="1"/>
        <v>ordered dog food days later no shipment no contact have call cancel order delete your payment method pretty much a fake joke site</v>
      </c>
      <c r="I9" s="6">
        <f t="shared" si="2"/>
        <v>23</v>
      </c>
      <c r="J9" s="6">
        <f>IFERROR(__xludf.DUMMYFUNCTION("IF(H9="""","""",
SUM(
ARRAYFORMULA(
IF(
REGEXMATCH(
"" ""&amp;H9&amp;"" "",
"" ""&amp;Sentiment_Words!A$2:A3730&amp;"" ""
),
1,
0
)
)
)
)"),0.0)</f>
        <v>0</v>
      </c>
      <c r="K9" s="4">
        <f>IFERROR(__xludf.DUMMYFUNCTION("IF(H9="""","""",
SUM(
ARRAYFORMULA(
IF(
REGEXMATCH(
"" ""&amp;H9&amp;"" "",
"" ""&amp;Sentiment_Words!B$2:B3730&amp;"" ""
),
1,
0
)
)
)
)"),3.0)</f>
        <v>3</v>
      </c>
      <c r="L9" s="7" t="str">
        <f t="shared" si="3"/>
        <v>Fulfillment &amp; Shipping</v>
      </c>
      <c r="M9" s="7" t="str">
        <f t="shared" si="4"/>
        <v>Negative</v>
      </c>
      <c r="N9" s="7" t="str">
        <f>IFERROR(__xludf.DUMMYFUNCTION("LOWER(
TRIM(
REGEXREPLACE(B9,""[^a-zA-Z\s]"","""")
)
)
"),"dave minnich")</f>
        <v>dave minnich</v>
      </c>
      <c r="O9" s="7">
        <f t="shared" si="5"/>
        <v>1</v>
      </c>
      <c r="P9" s="8" t="str">
        <f t="shared" si="6"/>
        <v>No</v>
      </c>
    </row>
    <row r="10">
      <c r="A10" s="4" t="s">
        <v>16</v>
      </c>
      <c r="B10" s="4" t="s">
        <v>49</v>
      </c>
      <c r="C10" s="5">
        <v>45056.0</v>
      </c>
      <c r="D10" s="4" t="s">
        <v>50</v>
      </c>
      <c r="E10" s="4" t="s">
        <v>51</v>
      </c>
      <c r="F10" s="4" t="s">
        <v>52</v>
      </c>
      <c r="G10" s="6" t="str">
        <f>IFERROR(__xludf.DUMMYFUNCTION("REGEXREPLACE(LOWER(F10),""[^a-z\s]"","""")"),"the people there if contacted go up and beyond to answer questions and help orders are processed in record time and shipped out fast
very happy with the switch over to using them  very satisfied customer")</f>
        <v>the people there if contacted go up and beyond to answer questions and help orders are processed in record time and shipped out fast
very happy with the switch over to using them  very satisfied customer</v>
      </c>
      <c r="H10" s="4" t="str">
        <f t="shared" si="1"/>
        <v>people there if contacted go up beyond answer questions help orders are processed in record time shipped out fast
very happy with switch over using them very satisfied customer</v>
      </c>
      <c r="I10" s="6">
        <f t="shared" si="2"/>
        <v>28</v>
      </c>
      <c r="J10" s="6">
        <f>IFERROR(__xludf.DUMMYFUNCTION("IF(H10="""","""",
SUM(
ARRAYFORMULA(
IF(
REGEXMATCH(
"" ""&amp;H10&amp;"" "",
"" ""&amp;Sentiment_Words!A$2:A3730&amp;"" ""
),
1,
0
)
)
)
)"),3.0)</f>
        <v>3</v>
      </c>
      <c r="K10" s="4">
        <f>IFERROR(__xludf.DUMMYFUNCTION("IF(H10="""","""",
SUM(
ARRAYFORMULA(
IF(
REGEXMATCH(
"" ""&amp;H10&amp;"" "",
"" ""&amp;Sentiment_Words!B$2:B3730&amp;"" ""
),
1,
0
)
)
)
)"),0.0)</f>
        <v>0</v>
      </c>
      <c r="L10" s="7" t="str">
        <f t="shared" si="3"/>
        <v>Other</v>
      </c>
      <c r="M10" s="7" t="str">
        <f t="shared" si="4"/>
        <v>Positive</v>
      </c>
      <c r="N10" s="7" t="str">
        <f>IFERROR(__xludf.DUMMYFUNCTION("LOWER(
TRIM(
REGEXREPLACE(B10,""[^a-zA-Z\s]"","""")
)
)
"),"cynde s r")</f>
        <v>cynde s r</v>
      </c>
      <c r="O10" s="7">
        <f t="shared" si="5"/>
        <v>1</v>
      </c>
      <c r="P10" s="8" t="str">
        <f t="shared" si="6"/>
        <v>No</v>
      </c>
    </row>
    <row r="11">
      <c r="A11" s="4" t="s">
        <v>16</v>
      </c>
      <c r="B11" s="4" t="s">
        <v>53</v>
      </c>
      <c r="C11" s="5">
        <v>45056.0</v>
      </c>
      <c r="D11" s="4" t="s">
        <v>50</v>
      </c>
      <c r="E11" s="4" t="s">
        <v>54</v>
      </c>
      <c r="F11" s="4" t="s">
        <v>55</v>
      </c>
      <c r="G11" s="6" t="str">
        <f>IFERROR(__xludf.DUMMYFUNCTION("REGEXREPLACE(LOWER(F11),""[^a-z\s]"","""")"),"this was my first purchase from petflow and i am impressed first when i set up my my new account i had issues with logging in i received the email with the  digit security code but when i used the link to use it i wasnt sent to the page to enter after mul"&amp;"tiple trys i gave up monday morning petflow contacted me about my problem with an apology and a solution great customer service my order shipped quickly and received on time")</f>
        <v>this was my first purchase from petflow and i am impressed first when i set up my my new account i had issues with logging in i received the email with the  digit security code but when i used the link to use it i wasnt sent to the page to enter after multiple trys i gave up monday morning petflow contacted me about my problem with an apology and a solution great customer service my order shipped quickly and received on time</v>
      </c>
      <c r="H11" s="4" t="str">
        <f t="shared" si="1"/>
        <v>this was my first purchase from petflow i am impressed first when i set up my my new account i had issues with logging in i received email with digit security code but when i used link use it i wasnt sent page enter after multiple trys i gave up monday morning petflow contacted me about my problem with an apology a solution great customer service my order shipped quickly received on time</v>
      </c>
      <c r="I11" s="6">
        <f t="shared" si="2"/>
        <v>73</v>
      </c>
      <c r="J11" s="6">
        <f>IFERROR(__xludf.DUMMYFUNCTION("IF(H11="""","""",
SUM(
ARRAYFORMULA(
IF(
REGEXMATCH(
"" ""&amp;H11&amp;"" "",
"" ""&amp;Sentiment_Words!A$2:A3730&amp;"" ""
),
1,
0
)
)
)
)"),9.0)</f>
        <v>9</v>
      </c>
      <c r="K11" s="4">
        <f>IFERROR(__xludf.DUMMYFUNCTION("IF(H11="""","""",
SUM(
ARRAYFORMULA(
IF(
REGEXMATCH(
"" ""&amp;H11&amp;"" "",
"" ""&amp;Sentiment_Words!B$2:B3730&amp;"" ""
),
1,
0
)
)
)
)"),2.0)</f>
        <v>2</v>
      </c>
      <c r="L11" s="7" t="str">
        <f t="shared" si="3"/>
        <v>Customer Support</v>
      </c>
      <c r="M11" s="7" t="str">
        <f t="shared" si="4"/>
        <v>Positive</v>
      </c>
      <c r="N11" s="7" t="str">
        <f>IFERROR(__xludf.DUMMYFUNCTION("LOWER(
TRIM(
REGEXREPLACE(B11,""[^a-zA-Z\s]"","""")
)
)
"),"catherine nocella")</f>
        <v>catherine nocella</v>
      </c>
      <c r="O11" s="7">
        <f t="shared" si="5"/>
        <v>1</v>
      </c>
      <c r="P11" s="8" t="str">
        <f t="shared" si="6"/>
        <v>No</v>
      </c>
    </row>
    <row r="12">
      <c r="A12" s="4" t="s">
        <v>16</v>
      </c>
      <c r="B12" s="4" t="s">
        <v>56</v>
      </c>
      <c r="C12" s="9">
        <v>45053.0</v>
      </c>
      <c r="D12" s="4" t="s">
        <v>57</v>
      </c>
      <c r="E12" s="4" t="s">
        <v>58</v>
      </c>
      <c r="F12" s="4" t="s">
        <v>59</v>
      </c>
      <c r="G12" s="6" t="str">
        <f>IFERROR(__xludf.DUMMYFUNCTION("REGEXREPLACE(LOWER(F12),""[^a-z\s]"","""")"),"firsttime customer i ordered canned cat food because of the good price free shippinggood timely deliverygood
however the packaging was terrible both boxes split open and from one box  cans had popped open spilling liquid throughout three other cans were s"&amp;"o badly dented that i couldnt trust that the product was not tainted thus onefifth of the  cans were unusable and had to be discarded so much for the good price")</f>
        <v>firsttime customer i ordered canned cat food because of the good price free shippinggood timely deliverygood
however the packaging was terrible both boxes split open and from one box  cans had popped open spilling liquid throughout three other cans were so badly dented that i couldnt trust that the product was not tainted thus onefifth of the  cans were unusable and had to be discarded so much for the good price</v>
      </c>
      <c r="H12" s="4" t="str">
        <f t="shared" si="1"/>
        <v>firsttime customer i ordered canned cat food because of good price free shippinggood timely deliverygood
however packaging was terrible both boxes split open from one box cans had popped open spilling liquid throughout three other cans were so badly dented that i couldnt trust that product was not tainted thus onefifth of cans were unusable had be discarded so much good price</v>
      </c>
      <c r="I12" s="6">
        <f t="shared" si="2"/>
        <v>61</v>
      </c>
      <c r="J12" s="6">
        <f>IFERROR(__xludf.DUMMYFUNCTION("IF(H12="""","""",
SUM(
ARRAYFORMULA(
IF(
REGEXMATCH(
"" ""&amp;H12&amp;"" "",
"" ""&amp;Sentiment_Words!A$2:A3730&amp;"" ""
),
1,
0
)
)
)
)"),1.0)</f>
        <v>1</v>
      </c>
      <c r="K12" s="4">
        <f>IFERROR(__xludf.DUMMYFUNCTION("IF(H12="""","""",
SUM(
ARRAYFORMULA(
IF(
REGEXMATCH(
"" ""&amp;H12&amp;"" "",
"" ""&amp;Sentiment_Words!B$2:B3730&amp;"" ""
),
1,
0
)
)
)
)"),2.0)</f>
        <v>2</v>
      </c>
      <c r="L12" s="7" t="str">
        <f t="shared" si="3"/>
        <v>Trust &amp; Experience</v>
      </c>
      <c r="M12" s="7" t="str">
        <f t="shared" si="4"/>
        <v>Negative</v>
      </c>
      <c r="N12" s="7" t="str">
        <f>IFERROR(__xludf.DUMMYFUNCTION("LOWER(
TRIM(
REGEXREPLACE(B12,""[^a-zA-Z\s]"","""")
)
)
"),"customer")</f>
        <v>customer</v>
      </c>
      <c r="O12" s="7">
        <f t="shared" si="5"/>
        <v>54</v>
      </c>
      <c r="P12" s="8" t="str">
        <f t="shared" si="6"/>
        <v>Yes</v>
      </c>
    </row>
    <row r="13">
      <c r="A13" s="4" t="s">
        <v>16</v>
      </c>
      <c r="B13" s="4" t="s">
        <v>60</v>
      </c>
      <c r="C13" s="5">
        <v>45056.0</v>
      </c>
      <c r="D13" s="4" t="s">
        <v>42</v>
      </c>
      <c r="E13" s="4" t="s">
        <v>61</v>
      </c>
      <c r="F13" s="4" t="s">
        <v>62</v>
      </c>
      <c r="G13" s="6" t="str">
        <f>IFERROR(__xludf.DUMMYFUNCTION("REGEXREPLACE(LOWER(F13),""[^a-z\s]"","""")"),"ive discovered petflow because i searched for the best value i could find for bully sticks for my dogs ive been really happy with my purchases and will look to them for other pet supplies in the future")</f>
        <v>ive discovered petflow because i searched for the best value i could find for bully sticks for my dogs ive been really happy with my purchases and will look to them for other pet supplies in the future</v>
      </c>
      <c r="H13" s="4" t="str">
        <f t="shared" si="1"/>
        <v>ive discovered petflow because i searched best value i could find bully sticks my dogs ive been really happy with my purchases will look them other pet supplies in future</v>
      </c>
      <c r="I13" s="6">
        <f t="shared" si="2"/>
        <v>30</v>
      </c>
      <c r="J13" s="6">
        <f>IFERROR(__xludf.DUMMYFUNCTION("IF(H13="""","""",
SUM(
ARRAYFORMULA(
IF(
REGEXMATCH(
"" ""&amp;H13&amp;"" "",
"" ""&amp;Sentiment_Words!A$2:A3730&amp;"" ""
),
1,
0
)
)
)
)"),2.0)</f>
        <v>2</v>
      </c>
      <c r="K13" s="4">
        <f>IFERROR(__xludf.DUMMYFUNCTION("IF(H13="""","""",
SUM(
ARRAYFORMULA(
IF(
REGEXMATCH(
"" ""&amp;H13&amp;"" "",
"" ""&amp;Sentiment_Words!B$2:B3730&amp;"" ""
),
1,
0
)
)
)
)"),0.0)</f>
        <v>0</v>
      </c>
      <c r="L13" s="7" t="str">
        <f t="shared" si="3"/>
        <v>Value &amp; Convenience</v>
      </c>
      <c r="M13" s="7" t="str">
        <f t="shared" si="4"/>
        <v>Positive</v>
      </c>
      <c r="N13" s="7" t="str">
        <f>IFERROR(__xludf.DUMMYFUNCTION("LOWER(
TRIM(
REGEXREPLACE(B13,""[^a-zA-Z\s]"","""")
)
)
"),"m k mullenbach")</f>
        <v>m k mullenbach</v>
      </c>
      <c r="O13" s="7">
        <f t="shared" si="5"/>
        <v>1</v>
      </c>
      <c r="P13" s="8" t="str">
        <f t="shared" si="6"/>
        <v>No</v>
      </c>
    </row>
    <row r="14">
      <c r="A14" s="4" t="s">
        <v>16</v>
      </c>
      <c r="B14" s="4" t="s">
        <v>63</v>
      </c>
      <c r="C14" s="5">
        <v>45057.0</v>
      </c>
      <c r="D14" s="4" t="s">
        <v>42</v>
      </c>
      <c r="E14" s="4" t="s">
        <v>64</v>
      </c>
      <c r="F14" s="4" t="s">
        <v>65</v>
      </c>
      <c r="G14" s="6" t="str">
        <f>IFERROR(__xludf.DUMMYFUNCTION("REGEXREPLACE(LOWER(F14),""[^a-z\s]"","""")"),"good product but it would have been easier if these  bags were boxed separately being a little old lady its hard to manage both of them together but its all good")</f>
        <v>good product but it would have been easier if these  bags were boxed separately being a little old lady its hard to manage both of them together but its all good</v>
      </c>
      <c r="H14" s="4" t="str">
        <f t="shared" si="1"/>
        <v>good product but it would have been easier if these bags were boxed separately being a little old lady its hard manage both of them together but its all good</v>
      </c>
      <c r="I14" s="6">
        <f t="shared" si="2"/>
        <v>30</v>
      </c>
      <c r="J14" s="6">
        <f>IFERROR(__xludf.DUMMYFUNCTION("IF(H14="""","""",
SUM(
ARRAYFORMULA(
IF(
REGEXMATCH(
"" ""&amp;H14&amp;"" "",
"" ""&amp;Sentiment_Words!A$2:A3730&amp;"" ""
),
1,
0
)
)
)
)"),1.0)</f>
        <v>1</v>
      </c>
      <c r="K14" s="4">
        <f>IFERROR(__xludf.DUMMYFUNCTION("IF(H14="""","""",
SUM(
ARRAYFORMULA(
IF(
REGEXMATCH(
"" ""&amp;H14&amp;"" "",
"" ""&amp;Sentiment_Words!B$2:B3730&amp;"" ""
),
1,
0
)
)
)
)"),0.0)</f>
        <v>0</v>
      </c>
      <c r="L14" s="7" t="str">
        <f t="shared" si="3"/>
        <v>Other</v>
      </c>
      <c r="M14" s="7" t="str">
        <f t="shared" si="4"/>
        <v>Positive</v>
      </c>
      <c r="N14" s="7" t="str">
        <f>IFERROR(__xludf.DUMMYFUNCTION("LOWER(
TRIM(
REGEXREPLACE(B14,""[^a-zA-Z\s]"","""")
)
)
"),"julie b")</f>
        <v>julie b</v>
      </c>
      <c r="O14" s="7">
        <f t="shared" si="5"/>
        <v>1</v>
      </c>
      <c r="P14" s="8" t="str">
        <f t="shared" si="6"/>
        <v>No</v>
      </c>
    </row>
    <row r="15">
      <c r="A15" s="4" t="s">
        <v>16</v>
      </c>
      <c r="B15" s="4" t="s">
        <v>66</v>
      </c>
      <c r="C15" s="5">
        <v>45044.0</v>
      </c>
      <c r="D15" s="4" t="s">
        <v>67</v>
      </c>
      <c r="E15" s="4" t="s">
        <v>68</v>
      </c>
      <c r="F15" s="4" t="s">
        <v>69</v>
      </c>
      <c r="G15" s="6" t="str">
        <f>IFERROR(__xludf.DUMMYFUNCTION("REGEXREPLACE(LOWER(F15),""[^a-z\s]"","""")"),"i have had a great experience with petflow they carry fromm dog food which can be hard to find good prices the website is easy to use and i can adjust the date of my subscription as needed")</f>
        <v>i have had a great experience with petflow they carry fromm dog food which can be hard to find good prices the website is easy to use and i can adjust the date of my subscription as needed</v>
      </c>
      <c r="H15" s="4" t="str">
        <f t="shared" si="1"/>
        <v>i have had a great experience with petflow they carry fromm dog food which can be hard find good prices website easy use i can adjust date of my subscription as needed</v>
      </c>
      <c r="I15" s="6">
        <f t="shared" si="2"/>
        <v>32</v>
      </c>
      <c r="J15" s="6">
        <f>IFERROR(__xludf.DUMMYFUNCTION("IF(H15="""","""",
SUM(
ARRAYFORMULA(
IF(
REGEXMATCH(
"" ""&amp;H15&amp;"" "",
"" ""&amp;Sentiment_Words!A$2:A3730&amp;"" ""
),
1,
0
)
)
)
)"),3.0)</f>
        <v>3</v>
      </c>
      <c r="K15" s="4">
        <f>IFERROR(__xludf.DUMMYFUNCTION("IF(H15="""","""",
SUM(
ARRAYFORMULA(
IF(
REGEXMATCH(
"" ""&amp;H15&amp;"" "",
"" ""&amp;Sentiment_Words!B$2:B3730&amp;"" ""
),
1,
0
)
)
)
)"),0.0)</f>
        <v>0</v>
      </c>
      <c r="L15" s="7" t="str">
        <f t="shared" si="3"/>
        <v>Account &amp; Website</v>
      </c>
      <c r="M15" s="7" t="str">
        <f t="shared" si="4"/>
        <v>Positive</v>
      </c>
      <c r="N15" s="7" t="str">
        <f>IFERROR(__xludf.DUMMYFUNCTION("LOWER(
TRIM(
REGEXREPLACE(B15,""[^a-zA-Z\s]"","""")
)
)
"),"anne")</f>
        <v>anne</v>
      </c>
      <c r="O15" s="7">
        <f t="shared" si="5"/>
        <v>2</v>
      </c>
      <c r="P15" s="8" t="str">
        <f t="shared" si="6"/>
        <v>Yes</v>
      </c>
    </row>
    <row r="16">
      <c r="A16" s="4" t="s">
        <v>16</v>
      </c>
      <c r="B16" s="4" t="s">
        <v>70</v>
      </c>
      <c r="C16" s="9">
        <v>45050.0</v>
      </c>
      <c r="D16" s="5">
        <v>45062.0</v>
      </c>
      <c r="E16" s="4" t="s">
        <v>71</v>
      </c>
      <c r="F16" s="4" t="s">
        <v>72</v>
      </c>
      <c r="G16" s="6" t="str">
        <f>IFERROR(__xludf.DUMMYFUNCTION("REGEXREPLACE(LOWER(F16),""[^a-z\s]"","""")"),"i had to change my password the past three times i attempted to place an order everytime i ended up having to call customer service to place the order when i tried to tell the agent what was happening with the order app i kept getting replies that basical"&amp;"ly called me a liar for what was happening there are so many other options to buy pet supplies it makes this experience not worth the trouble")</f>
        <v>i had to change my password the past three times i attempted to place an order everytime i ended up having to call customer service to place the order when i tried to tell the agent what was happening with the order app i kept getting replies that basically called me a liar for what was happening there are so many other options to buy pet supplies it makes this experience not worth the trouble</v>
      </c>
      <c r="H16" s="4" t="str">
        <f t="shared" si="1"/>
        <v>i had change my password past three times i attempted place an order everytime i ended up having call customer service place order when i tried tell agent what was happening with order app i kept getting replies that basically called me a liar what was happening there are so many other options buy pet supplies it makes this experience not worth trouble</v>
      </c>
      <c r="I16" s="6">
        <f t="shared" si="2"/>
        <v>63</v>
      </c>
      <c r="J16" s="6">
        <f>IFERROR(__xludf.DUMMYFUNCTION("IF(H16="""","""",
SUM(
ARRAYFORMULA(
IF(
REGEXMATCH(
"" ""&amp;H16&amp;"" "",
"" ""&amp;Sentiment_Words!A$2:A3730&amp;"" ""
),
1,
0
)
)
)
)"),1.0)</f>
        <v>1</v>
      </c>
      <c r="K16" s="4">
        <f>IFERROR(__xludf.DUMMYFUNCTION("IF(H16="""","""",
SUM(
ARRAYFORMULA(
IF(
REGEXMATCH(
"" ""&amp;H16&amp;"" "",
"" ""&amp;Sentiment_Words!B$2:B3730&amp;"" ""
),
1,
0
)
)
)
)"),1.0)</f>
        <v>1</v>
      </c>
      <c r="L16" s="7" t="str">
        <f t="shared" si="3"/>
        <v>Customer Support</v>
      </c>
      <c r="M16" s="7" t="str">
        <f t="shared" si="4"/>
        <v>Neutral</v>
      </c>
      <c r="N16" s="7" t="str">
        <f>IFERROR(__xludf.DUMMYFUNCTION("LOWER(
TRIM(
REGEXREPLACE(B16,""[^a-zA-Z\s]"","""")
)
)
"),"joe p chavez")</f>
        <v>joe p chavez</v>
      </c>
      <c r="O16" s="7">
        <f t="shared" si="5"/>
        <v>1</v>
      </c>
      <c r="P16" s="8" t="str">
        <f t="shared" si="6"/>
        <v>No</v>
      </c>
    </row>
    <row r="17">
      <c r="A17" s="4" t="s">
        <v>16</v>
      </c>
      <c r="B17" s="4" t="s">
        <v>73</v>
      </c>
      <c r="C17" s="9">
        <v>45018.0</v>
      </c>
      <c r="D17" s="4" t="s">
        <v>74</v>
      </c>
      <c r="E17" s="4" t="s">
        <v>75</v>
      </c>
      <c r="F17" s="4" t="s">
        <v>76</v>
      </c>
      <c r="G17" s="6" t="str">
        <f>IFERROR(__xludf.DUMMYFUNCTION("REGEXREPLACE(LOWER(F17),""[^a-z\s]"","""")"),"i was surprised to be able to talk to an actual person whenever i called for support one of the few places i can buy the best food for my dog")</f>
        <v>i was surprised to be able to talk to an actual person whenever i called for support one of the few places i can buy the best food for my dog</v>
      </c>
      <c r="H17" s="4" t="str">
        <f t="shared" si="1"/>
        <v>i was surprised be able talk an actual person whenever i called support one of few places i can buy best food my dog</v>
      </c>
      <c r="I17" s="6">
        <f t="shared" si="2"/>
        <v>24</v>
      </c>
      <c r="J17" s="6">
        <f>IFERROR(__xludf.DUMMYFUNCTION("IF(H17="""","""",
SUM(
ARRAYFORMULA(
IF(
REGEXMATCH(
"" ""&amp;H17&amp;"" "",
"" ""&amp;Sentiment_Words!A$2:A3730&amp;"" ""
),
1,
0
)
)
)
)"),1.0)</f>
        <v>1</v>
      </c>
      <c r="K17" s="4">
        <f>IFERROR(__xludf.DUMMYFUNCTION("IF(H17="""","""",
SUM(
ARRAYFORMULA(
IF(
REGEXMATCH(
"" ""&amp;H17&amp;"" "",
"" ""&amp;Sentiment_Words!B$2:B3730&amp;"" ""
),
1,
0
)
)
)
)"),0.0)</f>
        <v>0</v>
      </c>
      <c r="L17" s="7" t="str">
        <f t="shared" si="3"/>
        <v>Customer Support</v>
      </c>
      <c r="M17" s="7" t="str">
        <f t="shared" si="4"/>
        <v>Positive</v>
      </c>
      <c r="N17" s="7" t="str">
        <f>IFERROR(__xludf.DUMMYFUNCTION("LOWER(
TRIM(
REGEXREPLACE(B17,""[^a-zA-Z\s]"","""")
)
)
"),"josh")</f>
        <v>josh</v>
      </c>
      <c r="O17" s="7">
        <f t="shared" si="5"/>
        <v>1</v>
      </c>
      <c r="P17" s="8" t="str">
        <f t="shared" si="6"/>
        <v>No</v>
      </c>
    </row>
    <row r="18">
      <c r="A18" s="4" t="s">
        <v>16</v>
      </c>
      <c r="B18" s="4" t="s">
        <v>77</v>
      </c>
      <c r="C18" s="5">
        <v>45069.0</v>
      </c>
      <c r="D18" s="4" t="s">
        <v>42</v>
      </c>
      <c r="E18" s="4" t="s">
        <v>78</v>
      </c>
      <c r="F18" s="4" t="s">
        <v>79</v>
      </c>
      <c r="G18" s="6" t="str">
        <f>IFERROR(__xludf.DUMMYFUNCTION("REGEXREPLACE(LOWER(F18),""[^a-z\s]"","""")"),"quality fromm dog food and treats that can not be found on other sites exceptional service")</f>
        <v>quality fromm dog food and treats that can not be found on other sites exceptional service</v>
      </c>
      <c r="H18" s="4" t="str">
        <f t="shared" si="1"/>
        <v>quality fromm dog food treats that can not be found on other sites exceptional service</v>
      </c>
      <c r="I18" s="6">
        <f t="shared" si="2"/>
        <v>15</v>
      </c>
      <c r="J18" s="6">
        <f>IFERROR(__xludf.DUMMYFUNCTION("IF(H18="""","""",
SUM(
ARRAYFORMULA(
IF(
REGEXMATCH(
"" ""&amp;H18&amp;"" "",
"" ""&amp;Sentiment_Words!A$2:A3730&amp;"" ""
),
1,
0
)
)
)
)"),1.0)</f>
        <v>1</v>
      </c>
      <c r="K18" s="4">
        <f>IFERROR(__xludf.DUMMYFUNCTION("IF(H18="""","""",
SUM(
ARRAYFORMULA(
IF(
REGEXMATCH(
"" ""&amp;H18&amp;"" "",
"" ""&amp;Sentiment_Words!B$2:B3730&amp;"" ""
),
1,
0
)
)
)
)"),0.0)</f>
        <v>0</v>
      </c>
      <c r="L18" s="7" t="str">
        <f t="shared" si="3"/>
        <v>Customer Support</v>
      </c>
      <c r="M18" s="7" t="str">
        <f t="shared" si="4"/>
        <v>Positive</v>
      </c>
      <c r="N18" s="7" t="str">
        <f>IFERROR(__xludf.DUMMYFUNCTION("LOWER(
TRIM(
REGEXREPLACE(B18,""[^a-zA-Z\s]"","""")
)
)
"),"gary")</f>
        <v>gary</v>
      </c>
      <c r="O18" s="7">
        <f t="shared" si="5"/>
        <v>3</v>
      </c>
      <c r="P18" s="8" t="str">
        <f t="shared" si="6"/>
        <v>Yes</v>
      </c>
    </row>
    <row r="19">
      <c r="A19" s="4" t="s">
        <v>16</v>
      </c>
      <c r="B19" s="4" t="s">
        <v>80</v>
      </c>
      <c r="C19" s="9">
        <v>45050.0</v>
      </c>
      <c r="D19" s="5">
        <v>45062.0</v>
      </c>
      <c r="E19" s="4" t="s">
        <v>81</v>
      </c>
      <c r="F19" s="4" t="s">
        <v>82</v>
      </c>
      <c r="G19" s="6" t="str">
        <f>IFERROR(__xludf.DUMMYFUNCTION("REGEXREPLACE(LOWER(F19),""[^a-z\s]"","""")"),"i placed a large order my nd one petflow was running a good special unfortunately they had some internet issues which delayed my order however it arrived fairly quickly giving the issues one of the dry food bags had a puncture hole in it when i spoke to a"&amp;" representative she did not hesitate in telling me a replacement bag would be sent out i spoke to her on saturday i received an email on monday that the new bag was being sent that was good customer service")</f>
        <v>i placed a large order my nd one petflow was running a good special unfortunately they had some internet issues which delayed my order however it arrived fairly quickly giving the issues one of the dry food bags had a puncture hole in it when i spoke to a representative she did not hesitate in telling me a replacement bag would be sent out i spoke to her on saturday i received an email on monday that the new bag was being sent that was good customer service</v>
      </c>
      <c r="H19" s="4" t="str">
        <f t="shared" si="1"/>
        <v>i placed a large order my nd one petflow was running a good special unfortunately they had some internet issues which delayed my order however it arrived fairly quickly giving issues one of dry food bags had a puncture hole in it when i spoke a representative she did not hesitate in telling me a replacement bag would be sent out i spoke her on saturday i received an email on monday that new bag was being sent that was good customer service</v>
      </c>
      <c r="I19" s="6">
        <f t="shared" si="2"/>
        <v>83</v>
      </c>
      <c r="J19" s="6">
        <f>IFERROR(__xludf.DUMMYFUNCTION("IF(H19="""","""",
SUM(
ARRAYFORMULA(
IF(
REGEXMATCH(
"" ""&amp;H19&amp;"" "",
"" ""&amp;Sentiment_Words!A$2:A3730&amp;"" ""
),
1,
0
)
)
)
)"),1.0)</f>
        <v>1</v>
      </c>
      <c r="K19" s="4">
        <f>IFERROR(__xludf.DUMMYFUNCTION("IF(H19="""","""",
SUM(
ARRAYFORMULA(
IF(
REGEXMATCH(
"" ""&amp;H19&amp;"" "",
"" ""&amp;Sentiment_Words!B$2:B3730&amp;"" ""
),
1,
0
)
)
)
)"),2.0)</f>
        <v>2</v>
      </c>
      <c r="L19" s="7" t="str">
        <f t="shared" si="3"/>
        <v>Customer Support</v>
      </c>
      <c r="M19" s="7" t="str">
        <f t="shared" si="4"/>
        <v>Negative</v>
      </c>
      <c r="N19" s="7" t="str">
        <f>IFERROR(__xludf.DUMMYFUNCTION("LOWER(
TRIM(
REGEXREPLACE(B19,""[^a-zA-Z\s]"","""")
)
)
"),"ann")</f>
        <v>ann</v>
      </c>
      <c r="O19" s="7">
        <f t="shared" si="5"/>
        <v>2</v>
      </c>
      <c r="P19" s="8" t="str">
        <f t="shared" si="6"/>
        <v>Yes</v>
      </c>
    </row>
    <row r="20">
      <c r="A20" s="4" t="s">
        <v>16</v>
      </c>
      <c r="B20" s="4" t="s">
        <v>83</v>
      </c>
      <c r="C20" s="9">
        <v>45052.0</v>
      </c>
      <c r="D20" s="5">
        <v>45065.0</v>
      </c>
      <c r="E20" s="4" t="s">
        <v>84</v>
      </c>
      <c r="F20" s="4" t="s">
        <v>85</v>
      </c>
      <c r="G20" s="6" t="str">
        <f>IFERROR(__xludf.DUMMYFUNCTION("REGEXREPLACE(LOWER(F20),""[^a-z\s]"","""")"),"the shipping is usually pretty fast which is much appreciated there seems to be an issue with using my credit card on the petflow page but now i just use paypal and that seems to work out fine")</f>
        <v>the shipping is usually pretty fast which is much appreciated there seems to be an issue with using my credit card on the petflow page but now i just use paypal and that seems to work out fine</v>
      </c>
      <c r="H20" s="4" t="str">
        <f t="shared" si="1"/>
        <v>shipping usually pretty fast which much appreciated there seems be an issue with using my credit card on petflow page but now i just use paypal that seems work out fine</v>
      </c>
      <c r="I20" s="6">
        <f t="shared" si="2"/>
        <v>31</v>
      </c>
      <c r="J20" s="6">
        <f>IFERROR(__xludf.DUMMYFUNCTION("IF(H20="""","""",
SUM(
ARRAYFORMULA(
IF(
REGEXMATCH(
"" ""&amp;H20&amp;"" "",
"" ""&amp;Sentiment_Words!A$2:A3730&amp;"" ""
),
1,
0
)
)
)
)"),1.0)</f>
        <v>1</v>
      </c>
      <c r="K20" s="4">
        <f>IFERROR(__xludf.DUMMYFUNCTION("IF(H20="""","""",
SUM(
ARRAYFORMULA(
IF(
REGEXMATCH(
"" ""&amp;H20&amp;"" "",
"" ""&amp;Sentiment_Words!B$2:B3730&amp;"" ""
),
1,
0
)
)
)
)"),1.0)</f>
        <v>1</v>
      </c>
      <c r="L20" s="7" t="str">
        <f t="shared" si="3"/>
        <v>Other</v>
      </c>
      <c r="M20" s="7" t="str">
        <f t="shared" si="4"/>
        <v>Neutral</v>
      </c>
      <c r="N20" s="7" t="str">
        <f>IFERROR(__xludf.DUMMYFUNCTION("LOWER(
TRIM(
REGEXREPLACE(B20,""[^a-zA-Z\s]"","""")
)
)
"),"ken l")</f>
        <v>ken l</v>
      </c>
      <c r="O20" s="7">
        <f t="shared" si="5"/>
        <v>1</v>
      </c>
      <c r="P20" s="8" t="str">
        <f t="shared" si="6"/>
        <v>No</v>
      </c>
    </row>
    <row r="21">
      <c r="A21" s="4" t="s">
        <v>16</v>
      </c>
      <c r="B21" s="4" t="s">
        <v>86</v>
      </c>
      <c r="C21" s="5">
        <v>45044.0</v>
      </c>
      <c r="D21" s="5">
        <v>45061.0</v>
      </c>
      <c r="E21" s="4" t="s">
        <v>87</v>
      </c>
      <c r="F21" s="4" t="s">
        <v>88</v>
      </c>
      <c r="G21" s="6" t="str">
        <f>IFERROR(__xludf.DUMMYFUNCTION("REGEXREPLACE(LOWER(F21),""[^a-z\s]"","""")"),"one of the best things i love besides the great pet product selection is how petflow ships orders if something heavy is being shipped with something that can easily be crushed there is a u shaped piece of cardboard inserted in the box to create a protecti"&amp;"ve space for the easily crushed items way to go petflow i highly recommend petflow for the products and care of those products in shipping")</f>
        <v>one of the best things i love besides the great pet product selection is how petflow ships orders if something heavy is being shipped with something that can easily be crushed there is a u shaped piece of cardboard inserted in the box to create a protective space for the easily crushed items way to go petflow i highly recommend petflow for the products and care of those products in shipping</v>
      </c>
      <c r="H21" s="4" t="str">
        <f t="shared" si="1"/>
        <v>one of best things i love besides great pet product selection how petflow ships orders if something heavy being shipped with something that can easily be crushed there a u shaped piece of cardboard inserted in box create a protective space easily crushed items way go petflow i highly recommend petflow products care of those products in shipping</v>
      </c>
      <c r="I21" s="6">
        <f t="shared" si="2"/>
        <v>58</v>
      </c>
      <c r="J21" s="6">
        <f>IFERROR(__xludf.DUMMYFUNCTION("IF(H21="""","""",
SUM(
ARRAYFORMULA(
IF(
REGEXMATCH(
"" ""&amp;H21&amp;"" "",
"" ""&amp;Sentiment_Words!A$2:A3730&amp;"" ""
),
1,
0
)
)
)
)"),2.0)</f>
        <v>2</v>
      </c>
      <c r="K21" s="4">
        <f>IFERROR(__xludf.DUMMYFUNCTION("IF(H21="""","""",
SUM(
ARRAYFORMULA(
IF(
REGEXMATCH(
"" ""&amp;H21&amp;"" "",
"" ""&amp;Sentiment_Words!B$2:B3730&amp;"" ""
),
1,
0
)
)
)
)"),0.0)</f>
        <v>0</v>
      </c>
      <c r="L21" s="7" t="str">
        <f t="shared" si="3"/>
        <v>Other</v>
      </c>
      <c r="M21" s="7" t="str">
        <f t="shared" si="4"/>
        <v>Positive</v>
      </c>
      <c r="N21" s="7" t="str">
        <f>IFERROR(__xludf.DUMMYFUNCTION("LOWER(
TRIM(
REGEXREPLACE(B21,""[^a-zA-Z\s]"","""")
)
)
"),"theresa patzke guiver")</f>
        <v>theresa patzke guiver</v>
      </c>
      <c r="O21" s="7">
        <f t="shared" si="5"/>
        <v>1</v>
      </c>
      <c r="P21" s="8" t="str">
        <f t="shared" si="6"/>
        <v>No</v>
      </c>
    </row>
    <row r="22">
      <c r="A22" s="4" t="s">
        <v>16</v>
      </c>
      <c r="B22" s="4" t="s">
        <v>89</v>
      </c>
      <c r="C22" s="5">
        <v>45057.0</v>
      </c>
      <c r="D22" s="4" t="s">
        <v>42</v>
      </c>
      <c r="E22" s="4" t="s">
        <v>90</v>
      </c>
      <c r="F22" s="4" t="s">
        <v>91</v>
      </c>
      <c r="G22" s="6" t="str">
        <f>IFERROR(__xludf.DUMMYFUNCTION("REGEXREPLACE(LOWER(F22),""[^a-z\s]"","""")"),"had a technical problem with my account and had to call for help your rep was very helpful and got the food ordered and delivered quickly")</f>
        <v>had a technical problem with my account and had to call for help your rep was very helpful and got the food ordered and delivered quickly</v>
      </c>
      <c r="H22" s="4" t="str">
        <f t="shared" si="1"/>
        <v>had a technical problem with my account had call help your rep was very helpful got food ordered delivered quickly</v>
      </c>
      <c r="I22" s="6">
        <f t="shared" si="2"/>
        <v>20</v>
      </c>
      <c r="J22" s="6">
        <f>IFERROR(__xludf.DUMMYFUNCTION("IF(H22="""","""",
SUM(
ARRAYFORMULA(
IF(
REGEXMATCH(
"" ""&amp;H22&amp;"" "",
"" ""&amp;Sentiment_Words!A$2:A3730&amp;"" ""
),
1,
0
)
)
)
)"),2.0)</f>
        <v>2</v>
      </c>
      <c r="K22" s="4">
        <f>IFERROR(__xludf.DUMMYFUNCTION("IF(H22="""","""",
SUM(
ARRAYFORMULA(
IF(
REGEXMATCH(
"" ""&amp;H22&amp;"" "",
"" ""&amp;Sentiment_Words!B$2:B3730&amp;"" ""
),
1,
0
)
)
)
)"),1.0)</f>
        <v>1</v>
      </c>
      <c r="L22" s="7" t="str">
        <f t="shared" si="3"/>
        <v>Account &amp; Website</v>
      </c>
      <c r="M22" s="7" t="str">
        <f t="shared" si="4"/>
        <v>Positive</v>
      </c>
      <c r="N22" s="7" t="str">
        <f>IFERROR(__xludf.DUMMYFUNCTION("LOWER(
TRIM(
REGEXREPLACE(B22,""[^a-zA-Z\s]"","""")
)
)
"),"linda lee")</f>
        <v>linda lee</v>
      </c>
      <c r="O22" s="7">
        <f t="shared" si="5"/>
        <v>1</v>
      </c>
      <c r="P22" s="8" t="str">
        <f t="shared" si="6"/>
        <v>No</v>
      </c>
    </row>
    <row r="23">
      <c r="A23" s="4" t="s">
        <v>16</v>
      </c>
      <c r="B23" s="4" t="s">
        <v>92</v>
      </c>
      <c r="C23" s="5">
        <v>45056.0</v>
      </c>
      <c r="D23" s="4" t="s">
        <v>50</v>
      </c>
      <c r="E23" s="4" t="s">
        <v>93</v>
      </c>
      <c r="F23" s="4" t="s">
        <v>94</v>
      </c>
      <c r="G23" s="6" t="str">
        <f>IFERROR(__xludf.DUMMYFUNCTION("REGEXREPLACE(LOWER(F23),""[^a-z\s]"","""")"),"really pleasant helpful people on the phones lowest price by far of any fast n free shipping great experience")</f>
        <v>really pleasant helpful people on the phones lowest price by far of any fast n free shipping great experience</v>
      </c>
      <c r="H23" s="4" t="str">
        <f t="shared" si="1"/>
        <v>really pleasant helpful people on phones lowest price by far of any fast n free shipping great experience</v>
      </c>
      <c r="I23" s="6">
        <f t="shared" si="2"/>
        <v>18</v>
      </c>
      <c r="J23" s="6">
        <f>IFERROR(__xludf.DUMMYFUNCTION("IF(H23="""","""",
SUM(
ARRAYFORMULA(
IF(
REGEXMATCH(
"" ""&amp;H23&amp;"" "",
"" ""&amp;Sentiment_Words!A$2:A3730&amp;"" ""
),
1,
0
)
)
)
)"),3.0)</f>
        <v>3</v>
      </c>
      <c r="K23" s="4">
        <f>IFERROR(__xludf.DUMMYFUNCTION("IF(H23="""","""",
SUM(
ARRAYFORMULA(
IF(
REGEXMATCH(
"" ""&amp;H23&amp;"" "",
"" ""&amp;Sentiment_Words!B$2:B3730&amp;"" ""
),
1,
0
)
)
)
)"),0.0)</f>
        <v>0</v>
      </c>
      <c r="L23" s="7" t="str">
        <f t="shared" si="3"/>
        <v>Other</v>
      </c>
      <c r="M23" s="7" t="str">
        <f t="shared" si="4"/>
        <v>Positive</v>
      </c>
      <c r="N23" s="7" t="str">
        <f>IFERROR(__xludf.DUMMYFUNCTION("LOWER(
TRIM(
REGEXREPLACE(B23,""[^a-zA-Z\s]"","""")
)
)
"),"barbara tierney")</f>
        <v>barbara tierney</v>
      </c>
      <c r="O23" s="7">
        <f t="shared" si="5"/>
        <v>1</v>
      </c>
      <c r="P23" s="8" t="str">
        <f t="shared" si="6"/>
        <v>No</v>
      </c>
    </row>
    <row r="24">
      <c r="A24" s="4" t="s">
        <v>16</v>
      </c>
      <c r="B24" s="4" t="s">
        <v>95</v>
      </c>
      <c r="C24" s="5">
        <v>45064.0</v>
      </c>
      <c r="D24" s="5">
        <v>45065.0</v>
      </c>
      <c r="E24" s="4" t="s">
        <v>96</v>
      </c>
      <c r="F24" s="4" t="s">
        <v>97</v>
      </c>
      <c r="G24" s="6" t="str">
        <f>IFERROR(__xludf.DUMMYFUNCTION("REGEXREPLACE(LOWER(F24),""[^a-z\s]"","""")"),"i have used pet flow in the past many years ago with success and dont remember having the same issues ive had recently when i started using there company again a dog food called rockster which is produced in europe and only sold via a couple store fronts "&amp;"and petflow where i live forces me to either drive about an hour to the closest store or using petflow
since starting back up using petflow ive run into many at least  issues finalizing orders ive set up my profile entered my payment information and upda"&amp;"ted where needed
i have had numerous orders canceled on me with  notifications being sent to my email on file so by the time  week  weeks go by i realize i didnt receive my order
this then prompts me to go into my petflow account just to realize the ord"&amp;"er was canceled even though the payment method is good and my personal info all correct
i have no idea what the problem is now but years ago i dont remember having a single issue ordering from this company")</f>
        <v>i have used pet flow in the past many years ago with success and dont remember having the same issues ive had recently when i started using there company again a dog food called rockster which is produced in europe and only sold via a couple store fronts and petflow where i live forces me to either drive about an hour to the closest store or using petflow
since starting back up using petflow ive run into many at least  issues finalizing orders ive set up my profile entered my payment information and updated where needed
i have had numerous orders canceled on me with  notifications being sent to my email on file so by the time  week  weeks go by i realize i didnt receive my order
this then prompts me to go into my petflow account just to realize the order was canceled even though the payment method is good and my personal info all correct
i have no idea what the problem is now but years ago i dont remember having a single issue ordering from this company</v>
      </c>
      <c r="H24" s="4" t="str">
        <f t="shared" si="1"/>
        <v>i have used pet flow in past many years ago with success dont remember having same issues ive had recently when i started using there company again a dog food called rockster which produced in europe only sold via a couple store fronts petflow where i live forces me either drive about an hour closest store or using petflow
since starting back up using petflow ive run into many at least issues finalizing orders ive set up my profile entered my payment information updated where needed
i have had numerous orders canceled on me with notifications being sent my email on file so by time week weeks go by i realize i didnt receive my order
this then prompts me go into my petflow account just realize order was canceled even though payment method good my personal info all correct
i have no idea what problem now but years ago i dont remember having a single issue ordering from this company</v>
      </c>
      <c r="I24" s="6">
        <f t="shared" si="2"/>
        <v>157</v>
      </c>
      <c r="J24" s="6">
        <f>IFERROR(__xludf.DUMMYFUNCTION("IF(H24="""","""",
SUM(
ARRAYFORMULA(
IF(
REGEXMATCH(
"" ""&amp;H24&amp;"" "",
"" ""&amp;Sentiment_Words!A$2:A3730&amp;"" ""
),
1,
0
)
)
)
)"),1.0)</f>
        <v>1</v>
      </c>
      <c r="K24" s="4">
        <f>IFERROR(__xludf.DUMMYFUNCTION("IF(H24="""","""",
SUM(
ARRAYFORMULA(
IF(
REGEXMATCH(
"" ""&amp;H24&amp;"" "",
"" ""&amp;Sentiment_Words!B$2:B3730&amp;"" ""
),
1,
0
)
)
)
)"),2.0)</f>
        <v>2</v>
      </c>
      <c r="L24" s="7" t="str">
        <f t="shared" si="3"/>
        <v>Account &amp; Website</v>
      </c>
      <c r="M24" s="7" t="str">
        <f t="shared" si="4"/>
        <v>Negative</v>
      </c>
      <c r="N24" s="7" t="str">
        <f>IFERROR(__xludf.DUMMYFUNCTION("LOWER(
TRIM(
REGEXREPLACE(B24,""[^a-zA-Z\s]"","""")
)
)
"),"daniel faflik")</f>
        <v>daniel faflik</v>
      </c>
      <c r="O24" s="7">
        <f t="shared" si="5"/>
        <v>1</v>
      </c>
      <c r="P24" s="8" t="str">
        <f t="shared" si="6"/>
        <v>No</v>
      </c>
    </row>
    <row r="25">
      <c r="A25" s="4" t="s">
        <v>16</v>
      </c>
      <c r="B25" s="4" t="s">
        <v>98</v>
      </c>
      <c r="C25" s="9">
        <v>45055.0</v>
      </c>
      <c r="D25" s="4" t="s">
        <v>99</v>
      </c>
      <c r="E25" s="4" t="s">
        <v>100</v>
      </c>
      <c r="F25" s="4" t="s">
        <v>101</v>
      </c>
      <c r="G25" s="6" t="str">
        <f>IFERROR(__xludf.DUMMYFUNCTION("REGEXREPLACE(LOWER(F25),""[^a-z\s]"","""")"),"my first experience was terrible i placed an order on may th and on may th it was not even being processed i cancelled it placed an order in chewycom and got it at the same day
i will not use petflow anymore")</f>
        <v>my first experience was terrible i placed an order on may th and on may th it was not even being processed i cancelled it placed an order in chewycom and got it at the same day
i will not use petflow anymore</v>
      </c>
      <c r="H25" s="4" t="str">
        <f t="shared" si="1"/>
        <v>my first experience was terrible i placed an order on may th on may th it was not even being processed i cancelled it placed an order in chewycom got it at same day
i will not use petflow anymore</v>
      </c>
      <c r="I25" s="6">
        <f t="shared" si="2"/>
        <v>39</v>
      </c>
      <c r="J25" s="6">
        <f>IFERROR(__xludf.DUMMYFUNCTION("IF(H25="""","""",
SUM(
ARRAYFORMULA(
IF(
REGEXMATCH(
"" ""&amp;H25&amp;"" "",
"" ""&amp;Sentiment_Words!A$2:A3730&amp;"" ""
),
1,
0
)
)
)
)"),0.0)</f>
        <v>0</v>
      </c>
      <c r="K25" s="4">
        <f>IFERROR(__xludf.DUMMYFUNCTION("IF(H25="""","""",
SUM(
ARRAYFORMULA(
IF(
REGEXMATCH(
"" ""&amp;H25&amp;"" "",
"" ""&amp;Sentiment_Words!B$2:B3730&amp;"" ""
),
1,
0
)
)
)
)"),2.0)</f>
        <v>2</v>
      </c>
      <c r="L25" s="7" t="str">
        <f t="shared" si="3"/>
        <v>Other</v>
      </c>
      <c r="M25" s="7" t="str">
        <f t="shared" si="4"/>
        <v>Negative</v>
      </c>
      <c r="N25" s="7" t="str">
        <f>IFERROR(__xludf.DUMMYFUNCTION("LOWER(
TRIM(
REGEXREPLACE(B25,""[^a-zA-Z\s]"","""")
)
)
"),"eduardo")</f>
        <v>eduardo</v>
      </c>
      <c r="O25" s="7">
        <f t="shared" si="5"/>
        <v>1</v>
      </c>
      <c r="P25" s="8" t="str">
        <f t="shared" si="6"/>
        <v>No</v>
      </c>
    </row>
    <row r="26">
      <c r="A26" s="4" t="s">
        <v>16</v>
      </c>
      <c r="B26" s="4" t="s">
        <v>102</v>
      </c>
      <c r="C26" s="9">
        <v>45049.0</v>
      </c>
      <c r="D26" s="5">
        <v>45061.0</v>
      </c>
      <c r="E26" s="4" t="s">
        <v>103</v>
      </c>
      <c r="F26" s="4" t="s">
        <v>104</v>
      </c>
      <c r="G26" s="6" t="str">
        <f>IFERROR(__xludf.DUMMYFUNCTION("REGEXREPLACE(LOWER(F26),""[^a-z\s]"","""")"),"cannot cancel an auto ship online cannot update expired credit card on auto ship online had to call nobody available until  am eastern finally pause auto ship and place new order do not ever set up any auto ship")</f>
        <v>cannot cancel an auto ship online cannot update expired credit card on auto ship online had to call nobody available until  am eastern finally pause auto ship and place new order do not ever set up any auto ship</v>
      </c>
      <c r="H26" s="4" t="str">
        <f t="shared" si="1"/>
        <v>cannot cancel an auto ship online cannot update expired credit card on auto ship online had call nobody available until am eastern finally pause auto ship place new order do not ever set up any auto ship</v>
      </c>
      <c r="I26" s="6">
        <f t="shared" si="2"/>
        <v>37</v>
      </c>
      <c r="J26" s="6">
        <f>IFERROR(__xludf.DUMMYFUNCTION("IF(H26="""","""",
SUM(
ARRAYFORMULA(
IF(
REGEXMATCH(
"" ""&amp;H26&amp;"" "",
"" ""&amp;Sentiment_Words!A$2:A3730&amp;"" ""
),
1,
0
)
)
)
)"),2.0)</f>
        <v>2</v>
      </c>
      <c r="K26" s="4">
        <f>IFERROR(__xludf.DUMMYFUNCTION("IF(H26="""","""",
SUM(
ARRAYFORMULA(
IF(
REGEXMATCH(
"" ""&amp;H26&amp;"" "",
"" ""&amp;Sentiment_Words!B$2:B3730&amp;"" ""
),
1,
0
)
)
)
)"),1.0)</f>
        <v>1</v>
      </c>
      <c r="L26" s="7" t="str">
        <f t="shared" si="3"/>
        <v>Food Safety</v>
      </c>
      <c r="M26" s="7" t="str">
        <f t="shared" si="4"/>
        <v>Positive</v>
      </c>
      <c r="N26" s="7" t="str">
        <f>IFERROR(__xludf.DUMMYFUNCTION("LOWER(
TRIM(
REGEXREPLACE(B26,""[^a-zA-Z\s]"","""")
)
)
"),"packoffour")</f>
        <v>packoffour</v>
      </c>
      <c r="O26" s="7">
        <f t="shared" si="5"/>
        <v>1</v>
      </c>
      <c r="P26" s="8" t="str">
        <f t="shared" si="6"/>
        <v>No</v>
      </c>
    </row>
    <row r="27">
      <c r="A27" s="4" t="s">
        <v>16</v>
      </c>
      <c r="B27" s="4" t="s">
        <v>105</v>
      </c>
      <c r="C27" s="5">
        <v>45056.0</v>
      </c>
      <c r="D27" s="5">
        <v>45063.0</v>
      </c>
      <c r="E27" s="4" t="s">
        <v>106</v>
      </c>
      <c r="F27" s="4" t="s">
        <v>107</v>
      </c>
      <c r="G27" s="6" t="str">
        <f>IFERROR(__xludf.DUMMYFUNCTION("REGEXREPLACE(LOWER(F27),""[^a-z\s]"","""")"),"first transaction and auto ship went well cheaper than chewy and all downhill after that cant log into account to change or cancel autoship tried password reset never get the email and checked junk email as well contact support ok well send you a password"&amp;" reset email umm could have swore i just told you i dont get them even though i get the help replies shipped the autoship didnt have funds which was why i needed the autoship changed caused havoc with the bank thank goodness i used paypal as i went and ca"&amp;"ncelled the autopay through them still no help getting into account im headed back to chewy where i always get my food they have great customer service and never have a problem accessing my account guess that is what i get for trying to save money")</f>
        <v>first transaction and auto ship went well cheaper than chewy and all downhill after that cant log into account to change or cancel autoship tried password reset never get the email and checked junk email as well contact support ok well send you a password reset email umm could have swore i just told you i dont get them even though i get the help replies shipped the autoship didnt have funds which was why i needed the autoship changed caused havoc with the bank thank goodness i used paypal as i went and cancelled the autopay through them still no help getting into account im headed back to chewy where i always get my food they have great customer service and never have a problem accessing my account guess that is what i get for trying to save money</v>
      </c>
      <c r="H27" s="4" t="str">
        <f t="shared" si="1"/>
        <v>first transaction auto ship went well cheaper than chewy all downhill after that cant log into account change or cancel autoship tried password reset never get email checked junk email as well contact support ok well send you a password reset email umm could have swore i just told you i dont get them even though i get help replies shipped autoship didnt have funds which was why i needed autoship changed caused havoc with bank thank goodness i used paypal as i went cancelled autopay through them still no help getting into account im headed back chewy where i always get my food they have great customer service never have a problem accessing my account guess that what i get trying save money</v>
      </c>
      <c r="I27" s="6">
        <f t="shared" si="2"/>
        <v>124</v>
      </c>
      <c r="J27" s="6">
        <f>IFERROR(__xludf.DUMMYFUNCTION("IF(H27="""","""",
SUM(
ARRAYFORMULA(
IF(
REGEXMATCH(
"" ""&amp;H27&amp;"" "",
"" ""&amp;Sentiment_Words!A$2:A3730&amp;"" ""
),
1,
0
)
)
)
)"),4.0)</f>
        <v>4</v>
      </c>
      <c r="K27" s="4">
        <f>IFERROR(__xludf.DUMMYFUNCTION("IF(H27="""","""",
SUM(
ARRAYFORMULA(
IF(
REGEXMATCH(
"" ""&amp;H27&amp;"" "",
"" ""&amp;Sentiment_Words!B$2:B3730&amp;"" ""
),
1,
0
)
)
)
)"),3.0)</f>
        <v>3</v>
      </c>
      <c r="L27" s="7" t="str">
        <f t="shared" si="3"/>
        <v>Customer Support</v>
      </c>
      <c r="M27" s="7" t="str">
        <f t="shared" si="4"/>
        <v>Positive</v>
      </c>
      <c r="N27" s="7" t="str">
        <f>IFERROR(__xludf.DUMMYFUNCTION("LOWER(
TRIM(
REGEXREPLACE(B27,""[^a-zA-Z\s]"","""")
)
)
"),"mel")</f>
        <v>mel</v>
      </c>
      <c r="O27" s="7">
        <f t="shared" si="5"/>
        <v>2</v>
      </c>
      <c r="P27" s="8" t="str">
        <f t="shared" si="6"/>
        <v>Yes</v>
      </c>
    </row>
    <row r="28">
      <c r="A28" s="4" t="s">
        <v>16</v>
      </c>
      <c r="B28" s="4" t="s">
        <v>108</v>
      </c>
      <c r="C28" s="5">
        <v>45056.0</v>
      </c>
      <c r="D28" s="4" t="s">
        <v>109</v>
      </c>
      <c r="E28" s="4" t="s">
        <v>110</v>
      </c>
      <c r="F28" s="4" t="s">
        <v>111</v>
      </c>
      <c r="G28" s="6" t="str">
        <f>IFERROR(__xludf.DUMMYFUNCTION("REGEXREPLACE(LOWER(F28),""[^a-z\s]"","""")"),"i placed an order on may thupdates and tracking with fedex did not occur past the second day and ultimately an agent ordered a replacement order on may on may th the shipment was on a truck for delivery but did not arrivethe site still said it would be de"&amp;"livered by end of day they never do deliver to sahds after about  pm your customer service agents generally try to be helpful with the amount of authority they have but do not seem to have any way of influencing fedex  they usually give you the customer t"&amp;"he same read fedex is showing on the tracking updatespeaking to a supervisor takes  hours and really is unsatisfactory in view of the fact an order has taken two weeks and two orders and still is not delivered most companies have more readily available ac"&amp;"cess to a supervisor when needed or they change delivery options for a replacement orderthis would certainly improve customer satisfaction ratings one would thinki have been a customer with your company for a number of years and would like to see you succ"&amp;"eedi really think having a tighter rein on fedex or changing carrier options would solve a lot of issues just a notethe lower case fedex is because they arent dependable i know fedex issuesproblems have been before you consistently over time  but are you "&amp;"going to do anything about them  to support the customer  or continue the status quoone fresh food pet company i recently spoke with told me they had a number of issues with fedex and no longer have a primary contract with them although they do offer fede"&amp;"x as a carrier if a customer requests itthese are signs a business is serious about customer satisfaction  and are running with notable standards of operationthis is an example of just one of many delayed shipment orders i have experienced i give this exp"&amp;"erience  stars because the agents are really trying to get my order herethe third replacement has been ordered as the second one is in limbosincerely hoping for change nancy")</f>
        <v>i placed an order on may thupdates and tracking with fedex did not occur past the second day and ultimately an agent ordered a replacement order on may on may th the shipment was on a truck for delivery but did not arrivethe site still said it would be delivered by end of day they never do deliver to sahds after about  pm your customer service agents generally try to be helpful with the amount of authority they have but do not seem to have any way of influencing fedex  they usually give you the customer the same read fedex is showing on the tracking updatespeaking to a supervisor takes  hours and really is unsatisfactory in view of the fact an order has taken two weeks and two orders and still is not delivered most companies have more readily available access to a supervisor when needed or they change delivery options for a replacement orderthis would certainly improve customer satisfaction ratings one would thinki have been a customer with your company for a number of years and would like to see you succeedi really think having a tighter rein on fedex or changing carrier options would solve a lot of issues just a notethe lower case fedex is because they arent dependable i know fedex issuesproblems have been before you consistently over time  but are you going to do anything about them  to support the customer  or continue the status quoone fresh food pet company i recently spoke with told me they had a number of issues with fedex and no longer have a primary contract with them although they do offer fedex as a carrier if a customer requests itthese are signs a business is serious about customer satisfaction  and are running with notable standards of operationthis is an example of just one of many delayed shipment orders i have experienced i give this experience  stars because the agents are really trying to get my order herethe third replacement has been ordered as the second one is in limbosincerely hoping for change nancy</v>
      </c>
      <c r="H28" s="4" t="str">
        <f t="shared" si="1"/>
        <v>i placed an order on may thupdates tracking with fedex did not occur past second day ultimately an agent ordered a replacement order on may on may th shipment was on a truck delivery but did not arrivethe site still said it would be delivered by end of day they never do deliver sahds after about pm your customer service agents generally try be helpful with amount of authority they have but do not seem have any way of influencing fedex they usually give you customer same read fedex showing on tracking updatespeaking a supervisor takes hours really unsatisfactory in view of fact an order has taken two weeks two orders still not delivered most companies have more readily available access a supervisor when needed or they change delivery options a replacement orderthis would certainly improve customer satisfaction ratings one would thinki have been a customer with your company a number of years would like see you succeedi really think having a tighter rein on fedex or changing carrier options would solve a lot of issues just a notethe lower case fedex because they arent dependable i know fedex issuesproblems have been before you consistently over time but are you going do anything about them support customer or continue status quoone fresh food pet company i recently spoke with told me they had a number of issues with fedex no longer have a primary contract with them although they do offer fedex as a carrier if a customer requests itthese are signs a business serious about customer satisfaction are running with notable standards of operationthis an example of just one of many delayed shipment orders i have experienced i give this experience stars because agents are really trying get my order herethe third replacement has been ordered as second one in limbosincerely hoping change nancy</v>
      </c>
      <c r="I28" s="6">
        <f t="shared" si="2"/>
        <v>305</v>
      </c>
      <c r="J28" s="6">
        <f>IFERROR(__xludf.DUMMYFUNCTION("IF(H28="""","""",
SUM(
ARRAYFORMULA(
IF(
REGEXMATCH(
"" ""&amp;H28&amp;"" "",
"" ""&amp;Sentiment_Words!A$2:A3730&amp;"" ""
),
1,
0
)
)
)
)"),3.0)</f>
        <v>3</v>
      </c>
      <c r="K28" s="4">
        <f>IFERROR(__xludf.DUMMYFUNCTION("IF(H28="""","""",
SUM(
ARRAYFORMULA(
IF(
REGEXMATCH(
"" ""&amp;H28&amp;"" "",
"" ""&amp;Sentiment_Words!B$2:B3730&amp;"" ""
),
1,
0
)
)
)
)"),2.0)</f>
        <v>2</v>
      </c>
      <c r="L28" s="7" t="str">
        <f t="shared" si="3"/>
        <v>Customer Support</v>
      </c>
      <c r="M28" s="7" t="str">
        <f t="shared" si="4"/>
        <v>Positive</v>
      </c>
      <c r="N28" s="7" t="str">
        <f>IFERROR(__xludf.DUMMYFUNCTION("LOWER(
TRIM(
REGEXREPLACE(B28,""[^a-zA-Z\s]"","""")
)
)
"),"nancy madigan")</f>
        <v>nancy madigan</v>
      </c>
      <c r="O28" s="7">
        <f t="shared" si="5"/>
        <v>1</v>
      </c>
      <c r="P28" s="8" t="str">
        <f t="shared" si="6"/>
        <v>No</v>
      </c>
    </row>
    <row r="29">
      <c r="A29" s="4" t="s">
        <v>16</v>
      </c>
      <c r="B29" s="4" t="s">
        <v>112</v>
      </c>
      <c r="C29" s="9">
        <v>45049.0</v>
      </c>
      <c r="D29" s="5">
        <v>45061.0</v>
      </c>
      <c r="E29" s="4" t="s">
        <v>113</v>
      </c>
      <c r="F29" s="4" t="s">
        <v>114</v>
      </c>
      <c r="G29" s="6" t="str">
        <f>IFERROR(__xludf.DUMMYFUNCTION("REGEXREPLACE(LOWER(F29),""[^a-z\s]"","""")"),"i just discovered petflow great selection prices just like or better than the online retailer named after a jungle i usually get my order in  days using standard shipping will continue shopping here")</f>
        <v>i just discovered petflow great selection prices just like or better than the online retailer named after a jungle i usually get my order in  days using standard shipping will continue shopping here</v>
      </c>
      <c r="H29" s="4" t="str">
        <f t="shared" si="1"/>
        <v>i just discovered petflow great selection prices just like or better than online retailer named after a jungle i usually get my order in days using standard shipping will continue shopping here</v>
      </c>
      <c r="I29" s="6">
        <f t="shared" si="2"/>
        <v>32</v>
      </c>
      <c r="J29" s="6">
        <f>IFERROR(__xludf.DUMMYFUNCTION("IF(H29="""","""",
SUM(
ARRAYFORMULA(
IF(
REGEXMATCH(
"" ""&amp;H29&amp;"" "",
"" ""&amp;Sentiment_Words!A$2:A3730&amp;"" ""
),
1,
0
)
)
)
)"),1.0)</f>
        <v>1</v>
      </c>
      <c r="K29" s="4">
        <f>IFERROR(__xludf.DUMMYFUNCTION("IF(H29="""","""",
SUM(
ARRAYFORMULA(
IF(
REGEXMATCH(
"" ""&amp;H29&amp;"" "",
"" ""&amp;Sentiment_Words!B$2:B3730&amp;"" ""
),
1,
0
)
)
)
)"),0.0)</f>
        <v>0</v>
      </c>
      <c r="L29" s="7" t="str">
        <f t="shared" si="3"/>
        <v>Other</v>
      </c>
      <c r="M29" s="7" t="str">
        <f t="shared" si="4"/>
        <v>Positive</v>
      </c>
      <c r="N29" s="7" t="str">
        <f>IFERROR(__xludf.DUMMYFUNCTION("LOWER(
TRIM(
REGEXREPLACE(B29,""[^a-zA-Z\s]"","""")
)
)
"),"david j")</f>
        <v>david j</v>
      </c>
      <c r="O29" s="7">
        <f t="shared" si="5"/>
        <v>1</v>
      </c>
      <c r="P29" s="8" t="str">
        <f t="shared" si="6"/>
        <v>No</v>
      </c>
    </row>
    <row r="30">
      <c r="A30" s="4" t="s">
        <v>16</v>
      </c>
      <c r="B30" s="4" t="s">
        <v>115</v>
      </c>
      <c r="C30" s="5">
        <v>45060.0</v>
      </c>
      <c r="D30" s="4" t="s">
        <v>116</v>
      </c>
      <c r="E30" s="4" t="s">
        <v>117</v>
      </c>
      <c r="F30" s="4" t="s">
        <v>118</v>
      </c>
      <c r="G30" s="6" t="str">
        <f>IFERROR(__xludf.DUMMYFUNCTION("REGEXREPLACE(LOWER(F30),""[^a-z\s]"","""")"),"the items i ordered were exactly what i wanted and they were delivered in a timely manner")</f>
        <v>the items i ordered were exactly what i wanted and they were delivered in a timely manner</v>
      </c>
      <c r="H30" s="4" t="str">
        <f t="shared" si="1"/>
        <v>items i ordered were exactly what i wanted they were delivered in a timely manner</v>
      </c>
      <c r="I30" s="6">
        <f t="shared" si="2"/>
        <v>15</v>
      </c>
      <c r="J30" s="6">
        <f>IFERROR(__xludf.DUMMYFUNCTION("IF(H30="""","""",
SUM(
ARRAYFORMULA(
IF(
REGEXMATCH(
"" ""&amp;H30&amp;"" "",
"" ""&amp;Sentiment_Words!A$2:A3730&amp;"" ""
),
1,
0
)
)
)
)"),1.0)</f>
        <v>1</v>
      </c>
      <c r="K30" s="4">
        <f>IFERROR(__xludf.DUMMYFUNCTION("IF(H30="""","""",
SUM(
ARRAYFORMULA(
IF(
REGEXMATCH(
"" ""&amp;H30&amp;"" "",
"" ""&amp;Sentiment_Words!B$2:B3730&amp;"" ""
),
1,
0
)
)
)
)"),0.0)</f>
        <v>0</v>
      </c>
      <c r="L30" s="7" t="str">
        <f t="shared" si="3"/>
        <v>Other</v>
      </c>
      <c r="M30" s="7" t="str">
        <f t="shared" si="4"/>
        <v>Positive</v>
      </c>
      <c r="N30" s="7" t="str">
        <f>IFERROR(__xludf.DUMMYFUNCTION("LOWER(
TRIM(
REGEXREPLACE(B30,""[^a-zA-Z\s]"","""")
)
)
"),"kimberly")</f>
        <v>kimberly</v>
      </c>
      <c r="O30" s="7">
        <f t="shared" si="5"/>
        <v>3</v>
      </c>
      <c r="P30" s="8" t="str">
        <f t="shared" si="6"/>
        <v>Yes</v>
      </c>
    </row>
    <row r="31">
      <c r="A31" s="4" t="s">
        <v>16</v>
      </c>
      <c r="B31" s="4" t="s">
        <v>119</v>
      </c>
      <c r="C31" s="9">
        <v>45050.0</v>
      </c>
      <c r="D31" s="5">
        <v>45062.0</v>
      </c>
      <c r="E31" s="4" t="s">
        <v>120</v>
      </c>
      <c r="F31" s="4" t="s">
        <v>121</v>
      </c>
      <c r="G31" s="6" t="str">
        <f>IFERROR(__xludf.DUMMYFUNCTION("REGEXREPLACE(LOWER(F31),""[^a-z\s]"","""")"),"my delivery was very delayed and then showed up even a day later than it was supposed to very dissatisfied with this past order petflow wouldnt even offer to expedite the shipping even though the delay was on their end didnt even offed a discount for a fu"&amp;"ture order")</f>
        <v>my delivery was very delayed and then showed up even a day later than it was supposed to very dissatisfied with this past order petflow wouldnt even offer to expedite the shipping even though the delay was on their end didnt even offed a discount for a future order</v>
      </c>
      <c r="H31" s="4" t="str">
        <f t="shared" si="1"/>
        <v>my delivery was very delayed then showed up even a day later than it was supposed very dissatisfied with this past order petflow wouldnt even offer expedite shipping even though delay was on their end didnt even offed a discount a future order</v>
      </c>
      <c r="I31" s="6">
        <f t="shared" si="2"/>
        <v>43</v>
      </c>
      <c r="J31" s="6">
        <f>IFERROR(__xludf.DUMMYFUNCTION("IF(H31="""","""",
SUM(
ARRAYFORMULA(
IF(
REGEXMATCH(
"" ""&amp;H31&amp;"" "",
"" ""&amp;Sentiment_Words!A$2:A3730&amp;"" ""
),
1,
0
)
)
)
)"),0.0)</f>
        <v>0</v>
      </c>
      <c r="K31" s="4">
        <f>IFERROR(__xludf.DUMMYFUNCTION("IF(H31="""","""",
SUM(
ARRAYFORMULA(
IF(
REGEXMATCH(
"" ""&amp;H31&amp;"" "",
"" ""&amp;Sentiment_Words!B$2:B3730&amp;"" ""
),
1,
0
)
)
)
)"),2.0)</f>
        <v>2</v>
      </c>
      <c r="L31" s="7" t="str">
        <f t="shared" si="3"/>
        <v>Fulfillment &amp; Shipping</v>
      </c>
      <c r="M31" s="7" t="str">
        <f t="shared" si="4"/>
        <v>Negative</v>
      </c>
      <c r="N31" s="7" t="str">
        <f>IFERROR(__xludf.DUMMYFUNCTION("LOWER(
TRIM(
REGEXREPLACE(B31,""[^a-zA-Z\s]"","""")
)
)
"),"melinda jewart")</f>
        <v>melinda jewart</v>
      </c>
      <c r="O31" s="7">
        <f t="shared" si="5"/>
        <v>1</v>
      </c>
      <c r="P31" s="8" t="str">
        <f t="shared" si="6"/>
        <v>No</v>
      </c>
    </row>
    <row r="32">
      <c r="A32" s="4" t="s">
        <v>16</v>
      </c>
      <c r="B32" s="4" t="s">
        <v>122</v>
      </c>
      <c r="C32" s="5">
        <v>45058.0</v>
      </c>
      <c r="D32" s="4" t="s">
        <v>74</v>
      </c>
      <c r="E32" s="4" t="s">
        <v>123</v>
      </c>
      <c r="F32" s="4" t="s">
        <v>124</v>
      </c>
      <c r="G32" s="6" t="str">
        <f>IFERROR(__xludf.DUMMYFUNCTION("REGEXREPLACE(LOWER(F32),""[^a-z\s]"","""")"),"when i called to order anything the customer service representatives that represent your company they are so so nice and very knowledgeable and just i just love them theyre great")</f>
        <v>when i called to order anything the customer service representatives that represent your company they are so so nice and very knowledgeable and just i just love them theyre great</v>
      </c>
      <c r="H32" s="4" t="str">
        <f t="shared" si="1"/>
        <v>when i called order anything customer service representatives that represent your company they are so so nice very knowledgeable just i just love them theyre great</v>
      </c>
      <c r="I32" s="6">
        <f t="shared" si="2"/>
        <v>26</v>
      </c>
      <c r="J32" s="6">
        <f>IFERROR(__xludf.DUMMYFUNCTION("IF(H32="""","""",
SUM(
ARRAYFORMULA(
IF(
REGEXMATCH(
"" ""&amp;H32&amp;"" "",
"" ""&amp;Sentiment_Words!A$2:A3730&amp;"" ""
),
1,
0
)
)
)
)"),2.0)</f>
        <v>2</v>
      </c>
      <c r="K32" s="4">
        <f>IFERROR(__xludf.DUMMYFUNCTION("IF(H32="""","""",
SUM(
ARRAYFORMULA(
IF(
REGEXMATCH(
"" ""&amp;H32&amp;"" "",
"" ""&amp;Sentiment_Words!B$2:B3730&amp;"" ""
),
1,
0
)
)
)
)"),1.0)</f>
        <v>1</v>
      </c>
      <c r="L32" s="7" t="str">
        <f t="shared" si="3"/>
        <v>Customer Support</v>
      </c>
      <c r="M32" s="7" t="str">
        <f t="shared" si="4"/>
        <v>Positive</v>
      </c>
      <c r="N32" s="7" t="str">
        <f>IFERROR(__xludf.DUMMYFUNCTION("LOWER(
TRIM(
REGEXREPLACE(B32,""[^a-zA-Z\s]"","""")
)
)
"),"gracie wierbinski")</f>
        <v>gracie wierbinski</v>
      </c>
      <c r="O32" s="7">
        <f t="shared" si="5"/>
        <v>1</v>
      </c>
      <c r="P32" s="8" t="str">
        <f t="shared" si="6"/>
        <v>No</v>
      </c>
    </row>
    <row r="33">
      <c r="A33" s="4" t="s">
        <v>16</v>
      </c>
      <c r="B33" s="4" t="s">
        <v>125</v>
      </c>
      <c r="C33" s="5">
        <v>45006.0</v>
      </c>
      <c r="D33" s="5">
        <v>45059.0</v>
      </c>
      <c r="E33" s="4" t="s">
        <v>126</v>
      </c>
      <c r="F33" s="4" t="s">
        <v>127</v>
      </c>
      <c r="G33" s="6" t="str">
        <f>IFERROR(__xludf.DUMMYFUNCTION("REGEXREPLACE(LOWER(F33),""[^a-z\s]"","""")"),"the product ordered needed to be shipped from a further destination fedex gave an arrival date of monday may  then changed their arrival date to sunday  may  it actually arrived on tuesday may  i had to go to the store to buy some dry food to see me throu"&amp;"gh to tuesday")</f>
        <v>the product ordered needed to be shipped from a further destination fedex gave an arrival date of monday may  then changed their arrival date to sunday  may  it actually arrived on tuesday may  i had to go to the store to buy some dry food to see me through to tuesday</v>
      </c>
      <c r="H33" s="4" t="str">
        <f t="shared" si="1"/>
        <v>product ordered needed be shipped from a further destination fedex gave an arrival date of monday may then changed their arrival date sunday may it actually arrived on tuesday may i had go store buy some dry food see me through tuesday</v>
      </c>
      <c r="I33" s="6">
        <f t="shared" si="2"/>
        <v>42</v>
      </c>
      <c r="J33" s="6">
        <f>IFERROR(__xludf.DUMMYFUNCTION("IF(H33="""","""",
SUM(
ARRAYFORMULA(
IF(
REGEXMATCH(
"" ""&amp;H33&amp;"" "",
"" ""&amp;Sentiment_Words!A$2:A3730&amp;"" ""
),
1,
0
)
)
)
)"),0.0)</f>
        <v>0</v>
      </c>
      <c r="K33" s="4">
        <f>IFERROR(__xludf.DUMMYFUNCTION("IF(H33="""","""",
SUM(
ARRAYFORMULA(
IF(
REGEXMATCH(
"" ""&amp;H33&amp;"" "",
"" ""&amp;Sentiment_Words!B$2:B3730&amp;"" ""
),
1,
0
)
)
)
)"),0.0)</f>
        <v>0</v>
      </c>
      <c r="L33" s="7" t="str">
        <f t="shared" si="3"/>
        <v>Other</v>
      </c>
      <c r="M33" s="7" t="str">
        <f t="shared" si="4"/>
        <v>Neutral</v>
      </c>
      <c r="N33" s="7" t="str">
        <f>IFERROR(__xludf.DUMMYFUNCTION("LOWER(
TRIM(
REGEXREPLACE(B33,""[^a-zA-Z\s]"","""")
)
)
"),"vicki")</f>
        <v>vicki</v>
      </c>
      <c r="O33" s="7">
        <f t="shared" si="5"/>
        <v>5</v>
      </c>
      <c r="P33" s="8" t="str">
        <f t="shared" si="6"/>
        <v>Yes</v>
      </c>
    </row>
    <row r="34">
      <c r="A34" s="4" t="s">
        <v>16</v>
      </c>
      <c r="B34" s="4" t="s">
        <v>128</v>
      </c>
      <c r="C34" s="9">
        <v>45047.0</v>
      </c>
      <c r="D34" s="5">
        <v>45060.0</v>
      </c>
      <c r="E34" s="4" t="s">
        <v>129</v>
      </c>
      <c r="F34" s="4" t="s">
        <v>130</v>
      </c>
      <c r="G34" s="6" t="str">
        <f>IFERROR(__xludf.DUMMYFUNCTION("REGEXREPLACE(LOWER(F34),""[^a-z\s]"","""")"),"we purchased canned dog food from petflow their prices were the lowest we were able to find as this brand was hard to find elsewhere ordering was very easy and shipping was quick and flawless we will continue to purchase from petflow")</f>
        <v>we purchased canned dog food from petflow their prices were the lowest we were able to find as this brand was hard to find elsewhere ordering was very easy and shipping was quick and flawless we will continue to purchase from petflow</v>
      </c>
      <c r="H34" s="4" t="str">
        <f t="shared" si="1"/>
        <v>we purchased canned dog food from petflow their prices were lowest we were able find as this brand was hard find elsewhere ordering was very easy shipping was quick flawless we will continue purchase from petflow</v>
      </c>
      <c r="I34" s="6">
        <f t="shared" si="2"/>
        <v>36</v>
      </c>
      <c r="J34" s="6">
        <f>IFERROR(__xludf.DUMMYFUNCTION("IF(H34="""","""",
SUM(
ARRAYFORMULA(
IF(
REGEXMATCH(
"" ""&amp;H34&amp;"" "",
"" ""&amp;Sentiment_Words!A$2:A3730&amp;"" ""
),
1,
0
)
)
)
)"),2.0)</f>
        <v>2</v>
      </c>
      <c r="K34" s="4">
        <f>IFERROR(__xludf.DUMMYFUNCTION("IF(H34="""","""",
SUM(
ARRAYFORMULA(
IF(
REGEXMATCH(
"" ""&amp;H34&amp;"" "",
"" ""&amp;Sentiment_Words!B$2:B3730&amp;"" ""
),
1,
0
)
)
)
)"),0.0)</f>
        <v>0</v>
      </c>
      <c r="L34" s="7" t="str">
        <f t="shared" si="3"/>
        <v>Other</v>
      </c>
      <c r="M34" s="7" t="str">
        <f t="shared" si="4"/>
        <v>Positive</v>
      </c>
      <c r="N34" s="7" t="str">
        <f>IFERROR(__xludf.DUMMYFUNCTION("LOWER(
TRIM(
REGEXREPLACE(B34,""[^a-zA-Z\s]"","""")
)
)
"),"linda w oviedo fl")</f>
        <v>linda w oviedo fl</v>
      </c>
      <c r="O34" s="7">
        <f t="shared" si="5"/>
        <v>1</v>
      </c>
      <c r="P34" s="8" t="str">
        <f t="shared" si="6"/>
        <v>No</v>
      </c>
    </row>
    <row r="35">
      <c r="A35" s="4" t="s">
        <v>16</v>
      </c>
      <c r="B35" s="4" t="s">
        <v>131</v>
      </c>
      <c r="C35" s="5">
        <v>45059.0</v>
      </c>
      <c r="D35" s="4" t="s">
        <v>30</v>
      </c>
      <c r="E35" s="4" t="s">
        <v>132</v>
      </c>
      <c r="F35" s="4" t="s">
        <v>133</v>
      </c>
      <c r="G35" s="6" t="str">
        <f>IFERROR(__xludf.DUMMYFUNCTION("REGEXREPLACE(LOWER(F35),""[^a-z\s]"","""")"),"petflow is the only place i can find fromm dog food their prices are reasonable and they ship quickly")</f>
        <v>petflow is the only place i can find fromm dog food their prices are reasonable and they ship quickly</v>
      </c>
      <c r="H35" s="4" t="str">
        <f t="shared" si="1"/>
        <v>petflow only place i can find fromm dog food their prices are reasonable they ship quickly</v>
      </c>
      <c r="I35" s="6">
        <f t="shared" si="2"/>
        <v>16</v>
      </c>
      <c r="J35" s="6">
        <f>IFERROR(__xludf.DUMMYFUNCTION("IF(H35="""","""",
SUM(
ARRAYFORMULA(
IF(
REGEXMATCH(
"" ""&amp;H35&amp;"" "",
"" ""&amp;Sentiment_Words!A$2:A3730&amp;"" ""
),
1,
0
)
)
)
)"),0.0)</f>
        <v>0</v>
      </c>
      <c r="K35" s="4">
        <f>IFERROR(__xludf.DUMMYFUNCTION("IF(H35="""","""",
SUM(
ARRAYFORMULA(
IF(
REGEXMATCH(
"" ""&amp;H35&amp;"" "",
"" ""&amp;Sentiment_Words!B$2:B3730&amp;"" ""
),
1,
0
)
)
)
)"),0.0)</f>
        <v>0</v>
      </c>
      <c r="L35" s="7" t="str">
        <f t="shared" si="3"/>
        <v>Other</v>
      </c>
      <c r="M35" s="7" t="str">
        <f t="shared" si="4"/>
        <v>Neutral</v>
      </c>
      <c r="N35" s="7" t="str">
        <f>IFERROR(__xludf.DUMMYFUNCTION("LOWER(
TRIM(
REGEXREPLACE(B35,""[^a-zA-Z\s]"","""")
)
)
"),"renee frank")</f>
        <v>renee frank</v>
      </c>
      <c r="O35" s="7">
        <f t="shared" si="5"/>
        <v>1</v>
      </c>
      <c r="P35" s="8" t="str">
        <f t="shared" si="6"/>
        <v>No</v>
      </c>
    </row>
    <row r="36">
      <c r="A36" s="4" t="s">
        <v>16</v>
      </c>
      <c r="B36" s="4" t="s">
        <v>134</v>
      </c>
      <c r="C36" s="5">
        <v>45057.0</v>
      </c>
      <c r="D36" s="4" t="s">
        <v>42</v>
      </c>
      <c r="E36" s="4" t="s">
        <v>135</v>
      </c>
      <c r="F36" s="4" t="s">
        <v>136</v>
      </c>
      <c r="G36" s="6" t="str">
        <f>IFERROR(__xludf.DUMMYFUNCTION("REGEXREPLACE(LOWER(F36),""[^a-z\s]"","""")"),"it was able to order easily delivery was prompt and the products had good variety")</f>
        <v>it was able to order easily delivery was prompt and the products had good variety</v>
      </c>
      <c r="H36" s="4" t="str">
        <f t="shared" si="1"/>
        <v>it was able order easily delivery was prompt products had good variety</v>
      </c>
      <c r="I36" s="6">
        <f t="shared" si="2"/>
        <v>12</v>
      </c>
      <c r="J36" s="6">
        <f>IFERROR(__xludf.DUMMYFUNCTION("IF(H36="""","""",
SUM(
ARRAYFORMULA(
IF(
REGEXMATCH(
"" ""&amp;H36&amp;"" "",
"" ""&amp;Sentiment_Words!A$2:A3730&amp;"" ""
),
1,
0
)
)
)
)"),3.0)</f>
        <v>3</v>
      </c>
      <c r="K36" s="4">
        <f>IFERROR(__xludf.DUMMYFUNCTION("IF(H36="""","""",
SUM(
ARRAYFORMULA(
IF(
REGEXMATCH(
"" ""&amp;H36&amp;"" "",
"" ""&amp;Sentiment_Words!B$2:B3730&amp;"" ""
),
1,
0
)
)
)
)"),0.0)</f>
        <v>0</v>
      </c>
      <c r="L36" s="7" t="str">
        <f t="shared" si="3"/>
        <v>Other</v>
      </c>
      <c r="M36" s="7" t="str">
        <f t="shared" si="4"/>
        <v>Positive</v>
      </c>
      <c r="N36" s="7" t="str">
        <f>IFERROR(__xludf.DUMMYFUNCTION("LOWER(
TRIM(
REGEXREPLACE(B36,""[^a-zA-Z\s]"","""")
)
)
"),"patricia connors")</f>
        <v>patricia connors</v>
      </c>
      <c r="O36" s="7">
        <f t="shared" si="5"/>
        <v>1</v>
      </c>
      <c r="P36" s="8" t="str">
        <f t="shared" si="6"/>
        <v>No</v>
      </c>
    </row>
    <row r="37">
      <c r="A37" s="4" t="s">
        <v>16</v>
      </c>
      <c r="B37" s="4" t="s">
        <v>137</v>
      </c>
      <c r="C37" s="5">
        <v>45044.0</v>
      </c>
      <c r="D37" s="5">
        <v>45056.0</v>
      </c>
      <c r="E37" s="4" t="s">
        <v>138</v>
      </c>
      <c r="F37" s="4" t="s">
        <v>139</v>
      </c>
      <c r="G37" s="6" t="str">
        <f>IFERROR(__xludf.DUMMYFUNCTION("REGEXREPLACE(LOWER(F37),""[^a-z\s]"","""")"),"i find the best price on my preferred cat food at petflow everything is also packaged neatly and arrived in perfect shape petflow has been great the only criticism would be that it took nearly a week to receive the order but now i factor this in when i pl"&amp;"ace an order ill absolutely be ordering from petflow again ")</f>
        <v>i find the best price on my preferred cat food at petflow everything is also packaged neatly and arrived in perfect shape petflow has been great the only criticism would be that it took nearly a week to receive the order but now i factor this in when i place an order ill absolutely be ordering from petflow again </v>
      </c>
      <c r="H37" s="4" t="str">
        <f t="shared" si="1"/>
        <v>i find best price on my preferred cat food at petflow everything also packaged neatly arrived in perfect shape petflow has been great only criticism would be that it took nearly a week receive order but now i factor this in when i place an order ill absolutely be ordering from petflow again</v>
      </c>
      <c r="I37" s="6">
        <f t="shared" si="2"/>
        <v>53</v>
      </c>
      <c r="J37" s="6">
        <f>IFERROR(__xludf.DUMMYFUNCTION("IF(H37="""","""",
SUM(
ARRAYFORMULA(
IF(
REGEXMATCH(
"" ""&amp;H37&amp;"" "",
"" ""&amp;Sentiment_Words!A$2:A3730&amp;"" ""
),
1,
0
)
)
)
)"),1.0)</f>
        <v>1</v>
      </c>
      <c r="K37" s="4">
        <f>IFERROR(__xludf.DUMMYFUNCTION("IF(H37="""","""",
SUM(
ARRAYFORMULA(
IF(
REGEXMATCH(
"" ""&amp;H37&amp;"" "",
"" ""&amp;Sentiment_Words!B$2:B3730&amp;"" ""
),
1,
0
)
)
)
)"),0.0)</f>
        <v>0</v>
      </c>
      <c r="L37" s="7" t="str">
        <f t="shared" si="3"/>
        <v>Other</v>
      </c>
      <c r="M37" s="7" t="str">
        <f t="shared" si="4"/>
        <v>Positive</v>
      </c>
      <c r="N37" s="7" t="str">
        <f>IFERROR(__xludf.DUMMYFUNCTION("LOWER(
TRIM(
REGEXREPLACE(B37,""[^a-zA-Z\s]"","""")
)
)
"),"maria m")</f>
        <v>maria m</v>
      </c>
      <c r="O37" s="7">
        <f t="shared" si="5"/>
        <v>1</v>
      </c>
      <c r="P37" s="8" t="str">
        <f t="shared" si="6"/>
        <v>No</v>
      </c>
    </row>
    <row r="38">
      <c r="A38" s="4" t="s">
        <v>16</v>
      </c>
      <c r="B38" s="4" t="s">
        <v>140</v>
      </c>
      <c r="C38" s="9">
        <v>45047.0</v>
      </c>
      <c r="D38" s="5">
        <v>45059.0</v>
      </c>
      <c r="E38" s="4" t="s">
        <v>141</v>
      </c>
      <c r="F38" s="4" t="s">
        <v>142</v>
      </c>
      <c r="G38" s="6" t="str">
        <f>IFERROR(__xludf.DUMMYFUNCTION("REGEXREPLACE(LOWER(F38),""[^a-z\s]"","""")"),"i have shopped at a couple of different online pet sites only to be disappointed and frustrated when i found petflow to say the least i was skeptical but to my surprise petflow came through as promised not only did they process my order quickly it was shi"&amp;"pped just as fast i have signed up for their email and text offers as well petflow hands down is my new online source for my dog thank you petflow")</f>
        <v>i have shopped at a couple of different online pet sites only to be disappointed and frustrated when i found petflow to say the least i was skeptical but to my surprise petflow came through as promised not only did they process my order quickly it was shipped just as fast i have signed up for their email and text offers as well petflow hands down is my new online source for my dog thank you petflow</v>
      </c>
      <c r="H38" s="4" t="str">
        <f t="shared" si="1"/>
        <v>i have shopped at a couple of different online pet sites only be disappointed frustrated when i found petflow say least i was skeptical but my surprise petflow came through as promised not only did they process my order quickly it was shipped just as fast i have signed up their email text offers as well petflow hands down my new online source my dog thank you petflow</v>
      </c>
      <c r="I38" s="6">
        <f t="shared" si="2"/>
        <v>68</v>
      </c>
      <c r="J38" s="6">
        <f>IFERROR(__xludf.DUMMYFUNCTION("IF(H38="""","""",
SUM(
ARRAYFORMULA(
IF(
REGEXMATCH(
"" ""&amp;H38&amp;"" "",
"" ""&amp;Sentiment_Words!A$2:A3730&amp;"" ""
),
1,
0
)
)
)
)"),2.0)</f>
        <v>2</v>
      </c>
      <c r="K38" s="4">
        <f>IFERROR(__xludf.DUMMYFUNCTION("IF(H38="""","""",
SUM(
ARRAYFORMULA(
IF(
REGEXMATCH(
"" ""&amp;H38&amp;"" "",
"" ""&amp;Sentiment_Words!B$2:B3730&amp;"" ""
),
1,
0
)
)
)
)"),0.0)</f>
        <v>0</v>
      </c>
      <c r="L38" s="7" t="str">
        <f t="shared" si="3"/>
        <v>Trust &amp; Experience</v>
      </c>
      <c r="M38" s="7" t="str">
        <f t="shared" si="4"/>
        <v>Positive</v>
      </c>
      <c r="N38" s="7" t="str">
        <f>IFERROR(__xludf.DUMMYFUNCTION("LOWER(
TRIM(
REGEXREPLACE(B38,""[^a-zA-Z\s]"","""")
)
)
"),"jack hammer the electric radio show")</f>
        <v>jack hammer the electric radio show</v>
      </c>
      <c r="O38" s="7">
        <f t="shared" si="5"/>
        <v>1</v>
      </c>
      <c r="P38" s="8" t="str">
        <f t="shared" si="6"/>
        <v>No</v>
      </c>
    </row>
    <row r="39">
      <c r="A39" s="4" t="s">
        <v>16</v>
      </c>
      <c r="B39" s="4" t="s">
        <v>143</v>
      </c>
      <c r="C39" s="5">
        <v>45046.0</v>
      </c>
      <c r="D39" s="5">
        <v>45063.0</v>
      </c>
      <c r="E39" s="4" t="s">
        <v>144</v>
      </c>
      <c r="F39" s="4" t="s">
        <v>145</v>
      </c>
      <c r="G39" s="6" t="str">
        <f>IFERROR(__xludf.DUMMYFUNCTION("REGEXREPLACE(LOWER(F39),""[^a-z\s]"","""")"),"the items were received in a timely manner and were packaged well the descriptions on your website were accurate and very detailed this was very helpful")</f>
        <v>the items were received in a timely manner and were packaged well the descriptions on your website were accurate and very detailed this was very helpful</v>
      </c>
      <c r="H39" s="4" t="str">
        <f t="shared" si="1"/>
        <v>items were received in a timely manner were packaged well descriptions on your website were accurate very detailed this was very helpful</v>
      </c>
      <c r="I39" s="6">
        <f t="shared" si="2"/>
        <v>22</v>
      </c>
      <c r="J39" s="6">
        <f>IFERROR(__xludf.DUMMYFUNCTION("IF(H39="""","""",
SUM(
ARRAYFORMULA(
IF(
REGEXMATCH(
"" ""&amp;H39&amp;"" "",
"" ""&amp;Sentiment_Words!A$2:A3730&amp;"" ""
),
1,
0
)
)
)
)"),1.0)</f>
        <v>1</v>
      </c>
      <c r="K39" s="4">
        <f>IFERROR(__xludf.DUMMYFUNCTION("IF(H39="""","""",
SUM(
ARRAYFORMULA(
IF(
REGEXMATCH(
"" ""&amp;H39&amp;"" "",
"" ""&amp;Sentiment_Words!B$2:B3730&amp;"" ""
),
1,
0
)
)
)
)"),0.0)</f>
        <v>0</v>
      </c>
      <c r="L39" s="7" t="str">
        <f t="shared" si="3"/>
        <v>Account &amp; Website</v>
      </c>
      <c r="M39" s="7" t="str">
        <f t="shared" si="4"/>
        <v>Positive</v>
      </c>
      <c r="N39" s="7" t="str">
        <f>IFERROR(__xludf.DUMMYFUNCTION("LOWER(
TRIM(
REGEXREPLACE(B39,""[^a-zA-Z\s]"","""")
)
)
"),"carol ganser")</f>
        <v>carol ganser</v>
      </c>
      <c r="O39" s="7">
        <f t="shared" si="5"/>
        <v>1</v>
      </c>
      <c r="P39" s="8" t="str">
        <f t="shared" si="6"/>
        <v>No</v>
      </c>
    </row>
    <row r="40">
      <c r="A40" s="4" t="s">
        <v>16</v>
      </c>
      <c r="B40" s="4" t="s">
        <v>146</v>
      </c>
      <c r="C40" s="9">
        <v>45055.0</v>
      </c>
      <c r="D40" s="4" t="s">
        <v>99</v>
      </c>
      <c r="E40" s="4" t="s">
        <v>147</v>
      </c>
      <c r="F40" s="4" t="s">
        <v>148</v>
      </c>
      <c r="G40" s="6" t="str">
        <f>IFERROR(__xludf.DUMMYFUNCTION("REGEXREPLACE(LOWER(F40),""[^a-z\s]"","""")"),"i love your fast shipping and the fact that you use boxes that are strong enough to hold the contents you carry the bags of dr kelseys kitty litter instead of the new  lb boxes the boxes are too heavy for me but i can handle the  pound bags your prices ar"&amp;"e the best")</f>
        <v>i love your fast shipping and the fact that you use boxes that are strong enough to hold the contents you carry the bags of dr kelseys kitty litter instead of the new  lb boxes the boxes are too heavy for me but i can handle the  pound bags your prices are the best</v>
      </c>
      <c r="H40" s="4" t="str">
        <f t="shared" si="1"/>
        <v>i love your fast shipping fact that you use boxes that are strong enough hold contents you carry bags of dr kelseys kitty litter instead of new lb boxes boxes are too heavy me but i can handle pound bags your prices are best</v>
      </c>
      <c r="I40" s="6">
        <f t="shared" si="2"/>
        <v>44</v>
      </c>
      <c r="J40" s="6">
        <f>IFERROR(__xludf.DUMMYFUNCTION("IF(H40="""","""",
SUM(
ARRAYFORMULA(
IF(
REGEXMATCH(
"" ""&amp;H40&amp;"" "",
"" ""&amp;Sentiment_Words!A$2:A3730&amp;"" ""
),
1,
0
)
)
)
)"),2.0)</f>
        <v>2</v>
      </c>
      <c r="K40" s="4">
        <f>IFERROR(__xludf.DUMMYFUNCTION("IF(H40="""","""",
SUM(
ARRAYFORMULA(
IF(
REGEXMATCH(
"" ""&amp;H40&amp;"" "",
"" ""&amp;Sentiment_Words!B$2:B3730&amp;"" ""
),
1,
0
)
)
)
)"),0.0)</f>
        <v>0</v>
      </c>
      <c r="L40" s="7" t="str">
        <f t="shared" si="3"/>
        <v>Other</v>
      </c>
      <c r="M40" s="7" t="str">
        <f t="shared" si="4"/>
        <v>Positive</v>
      </c>
      <c r="N40" s="7" t="str">
        <f>IFERROR(__xludf.DUMMYFUNCTION("LOWER(
TRIM(
REGEXREPLACE(B40,""[^a-zA-Z\s]"","""")
)
)
"),"k johnson")</f>
        <v>k johnson</v>
      </c>
      <c r="O40" s="7">
        <f t="shared" si="5"/>
        <v>1</v>
      </c>
      <c r="P40" s="8" t="str">
        <f t="shared" si="6"/>
        <v>No</v>
      </c>
    </row>
    <row r="41">
      <c r="A41" s="4" t="s">
        <v>16</v>
      </c>
      <c r="B41" s="4" t="s">
        <v>149</v>
      </c>
      <c r="C41" s="9">
        <v>45054.0</v>
      </c>
      <c r="D41" s="4" t="s">
        <v>150</v>
      </c>
      <c r="E41" s="4" t="s">
        <v>151</v>
      </c>
      <c r="F41" s="4" t="s">
        <v>152</v>
      </c>
      <c r="G41" s="6" t="str">
        <f>IFERROR(__xludf.DUMMYFUNCTION("REGEXREPLACE(LOWER(F41),""[^a-z\s]"","""")"),"i had a very friendly young lady help me order my cat food her name is savannah it was a pleasure having her help me today
today is  at the bottom of this page for some unknown reason someone chose to type in the date as may   not so ")</f>
        <v>i had a very friendly young lady help me order my cat food her name is savannah it was a pleasure having her help me today
today is  at the bottom of this page for some unknown reason someone chose to type in the date as may   not so </v>
      </c>
      <c r="H41" s="4" t="str">
        <f t="shared" si="1"/>
        <v>i had a very friendly young lady help me order my cat food her name savannah it was a pleasure having her help me today
today at bottom of this page some unknown reason someone chose type in date as may not so</v>
      </c>
      <c r="I41" s="6">
        <f t="shared" si="2"/>
        <v>42</v>
      </c>
      <c r="J41" s="6">
        <f>IFERROR(__xludf.DUMMYFUNCTION("IF(H41="""","""",
SUM(
ARRAYFORMULA(
IF(
REGEXMATCH(
"" ""&amp;H41&amp;"" "",
"" ""&amp;Sentiment_Words!A$2:A3730&amp;"" ""
),
1,
0
)
)
)
)"),0.0)</f>
        <v>0</v>
      </c>
      <c r="K41" s="4">
        <f>IFERROR(__xludf.DUMMYFUNCTION("IF(H41="""","""",
SUM(
ARRAYFORMULA(
IF(
REGEXMATCH(
"" ""&amp;H41&amp;"" "",
"" ""&amp;Sentiment_Words!B$2:B3730&amp;"" ""
),
1,
0
)
)
)
)"),0.0)</f>
        <v>0</v>
      </c>
      <c r="L41" s="7" t="str">
        <f t="shared" si="3"/>
        <v>Other</v>
      </c>
      <c r="M41" s="7" t="str">
        <f t="shared" si="4"/>
        <v>Neutral</v>
      </c>
      <c r="N41" s="7" t="str">
        <f>IFERROR(__xludf.DUMMYFUNCTION("LOWER(
TRIM(
REGEXREPLACE(B41,""[^a-zA-Z\s]"","""")
)
)
"),"carol cole")</f>
        <v>carol cole</v>
      </c>
      <c r="O41" s="7">
        <f t="shared" si="5"/>
        <v>1</v>
      </c>
      <c r="P41" s="8" t="str">
        <f t="shared" si="6"/>
        <v>No</v>
      </c>
    </row>
    <row r="42">
      <c r="A42" s="4" t="s">
        <v>16</v>
      </c>
      <c r="B42" s="4" t="s">
        <v>153</v>
      </c>
      <c r="C42" s="9">
        <v>45051.0</v>
      </c>
      <c r="D42" s="5">
        <v>45063.0</v>
      </c>
      <c r="E42" s="4" t="s">
        <v>154</v>
      </c>
      <c r="F42" s="4" t="s">
        <v>155</v>
      </c>
      <c r="G42" s="6" t="str">
        <f>IFERROR(__xludf.DUMMYFUNCTION("REGEXREPLACE(LOWER(F42),""[^a-z\s]"","""")"),"the customer service is outstanding  always kind helpful courteous and professional petflow often has special discounts ive applied to my purchases and can be counted on to have the special brand and flavor of dog food my admittedly spoiled princess dog e"&amp;"ats when i cant find it anywhere else")</f>
        <v>the customer service is outstanding  always kind helpful courteous and professional petflow often has special discounts ive applied to my purchases and can be counted on to have the special brand and flavor of dog food my admittedly spoiled princess dog eats when i cant find it anywhere else</v>
      </c>
      <c r="H42" s="4" t="str">
        <f t="shared" si="1"/>
        <v>customer service outstanding always kind helpful courteous professional petflow often has special discounts ive applied my purchases can be counted on have special brand flavor of dog food my admittedly spoiled princess dog eats when i cant find it anywhere else</v>
      </c>
      <c r="I42" s="6">
        <f t="shared" si="2"/>
        <v>41</v>
      </c>
      <c r="J42" s="6">
        <f>IFERROR(__xludf.DUMMYFUNCTION("IF(H42="""","""",
SUM(
ARRAYFORMULA(
IF(
REGEXMATCH(
"" ""&amp;H42&amp;"" "",
"" ""&amp;Sentiment_Words!A$2:A3730&amp;"" ""
),
1,
0
)
)
)
)"),2.0)</f>
        <v>2</v>
      </c>
      <c r="K42" s="4">
        <f>IFERROR(__xludf.DUMMYFUNCTION("IF(H42="""","""",
SUM(
ARRAYFORMULA(
IF(
REGEXMATCH(
"" ""&amp;H42&amp;"" "",
"" ""&amp;Sentiment_Words!B$2:B3730&amp;"" ""
),
1,
0
)
)
)
)"),2.0)</f>
        <v>2</v>
      </c>
      <c r="L42" s="7" t="str">
        <f t="shared" si="3"/>
        <v>Food Safety</v>
      </c>
      <c r="M42" s="7" t="str">
        <f t="shared" si="4"/>
        <v>Neutral</v>
      </c>
      <c r="N42" s="7" t="str">
        <f>IFERROR(__xludf.DUMMYFUNCTION("LOWER(
TRIM(
REGEXREPLACE(B42,""[^a-zA-Z\s]"","""")
)
)
"),"karen clark")</f>
        <v>karen clark</v>
      </c>
      <c r="O42" s="7">
        <f t="shared" si="5"/>
        <v>1</v>
      </c>
      <c r="P42" s="8" t="str">
        <f t="shared" si="6"/>
        <v>No</v>
      </c>
    </row>
    <row r="43">
      <c r="A43" s="4" t="s">
        <v>16</v>
      </c>
      <c r="B43" s="4" t="s">
        <v>156</v>
      </c>
      <c r="C43" s="9">
        <v>45048.0</v>
      </c>
      <c r="D43" s="5">
        <v>45060.0</v>
      </c>
      <c r="E43" s="4" t="s">
        <v>157</v>
      </c>
      <c r="F43" s="4" t="s">
        <v>158</v>
      </c>
      <c r="G43" s="6" t="str">
        <f>IFERROR(__xludf.DUMMYFUNCTION("REGEXREPLACE(LOWER(F43),""[^a-z\s]"","""")"),"this is the second time that ive been sent two shipments the system said i needed to update my credit card i did and then it was double charged and foible shipped")</f>
        <v>this is the second time that ive been sent two shipments the system said i needed to update my credit card i did and then it was double charged and foible shipped</v>
      </c>
      <c r="H43" s="4" t="str">
        <f t="shared" si="1"/>
        <v>this second time that ive been sent two shipments system said i needed update my credit card i did then it was double charged foible shipped</v>
      </c>
      <c r="I43" s="6">
        <f t="shared" si="2"/>
        <v>26</v>
      </c>
      <c r="J43" s="6">
        <f>IFERROR(__xludf.DUMMYFUNCTION("IF(H43="""","""",
SUM(
ARRAYFORMULA(
IF(
REGEXMATCH(
"" ""&amp;H43&amp;"" "",
"" ""&amp;Sentiment_Words!A$2:A3730&amp;"" ""
),
1,
0
)
)
)
)"),0.0)</f>
        <v>0</v>
      </c>
      <c r="K43" s="4">
        <f>IFERROR(__xludf.DUMMYFUNCTION("IF(H43="""","""",
SUM(
ARRAYFORMULA(
IF(
REGEXMATCH(
"" ""&amp;H43&amp;"" "",
"" ""&amp;Sentiment_Words!B$2:B3730&amp;"" ""
),
1,
0
)
)
)
)"),1.0)</f>
        <v>1</v>
      </c>
      <c r="L43" s="7" t="str">
        <f t="shared" si="3"/>
        <v>Other</v>
      </c>
      <c r="M43" s="7" t="str">
        <f t="shared" si="4"/>
        <v>Negative</v>
      </c>
      <c r="N43" s="7" t="str">
        <f>IFERROR(__xludf.DUMMYFUNCTION("LOWER(
TRIM(
REGEXREPLACE(B43,""[^a-zA-Z\s]"","""")
)
)
"),"tammmy mackai")</f>
        <v>tammmy mackai</v>
      </c>
      <c r="O43" s="7">
        <f t="shared" si="5"/>
        <v>1</v>
      </c>
      <c r="P43" s="8" t="str">
        <f t="shared" si="6"/>
        <v>No</v>
      </c>
    </row>
    <row r="44">
      <c r="A44" s="4" t="s">
        <v>16</v>
      </c>
      <c r="B44" s="4" t="s">
        <v>159</v>
      </c>
      <c r="C44" s="9">
        <v>45047.0</v>
      </c>
      <c r="D44" s="5">
        <v>45059.0</v>
      </c>
      <c r="E44" s="4" t="s">
        <v>160</v>
      </c>
      <c r="F44" s="4" t="s">
        <v>161</v>
      </c>
      <c r="G44" s="6" t="str">
        <f>IFERROR(__xludf.DUMMYFUNCTION("REGEXREPLACE(LOWER(F44),""[^a-z\s]"","""")"),"there was an issue with shipping and the petflow team resolved it within hours ive been a customer of petflow for several years and they always come through for my kiddos and me thank you")</f>
        <v>there was an issue with shipping and the petflow team resolved it within hours ive been a customer of petflow for several years and they always come through for my kiddos and me thank you</v>
      </c>
      <c r="H44" s="4" t="str">
        <f t="shared" si="1"/>
        <v>there was an issue with shipping petflow team resolved it within hours ive been a customer of petflow several years they always come through my kiddos me thank you</v>
      </c>
      <c r="I44" s="6">
        <f t="shared" si="2"/>
        <v>29</v>
      </c>
      <c r="J44" s="6">
        <f>IFERROR(__xludf.DUMMYFUNCTION("IF(H44="""","""",
SUM(
ARRAYFORMULA(
IF(
REGEXMATCH(
"" ""&amp;H44&amp;"" "",
"" ""&amp;Sentiment_Words!A$2:A3730&amp;"" ""
),
1,
0
)
)
)
)"),1.0)</f>
        <v>1</v>
      </c>
      <c r="K44" s="4">
        <f>IFERROR(__xludf.DUMMYFUNCTION("IF(H44="""","""",
SUM(
ARRAYFORMULA(
IF(
REGEXMATCH(
"" ""&amp;H44&amp;"" "",
"" ""&amp;Sentiment_Words!B$2:B3730&amp;"" ""
),
1,
0
)
)
)
)"),1.0)</f>
        <v>1</v>
      </c>
      <c r="L44" s="7" t="str">
        <f t="shared" si="3"/>
        <v>Service Recovery</v>
      </c>
      <c r="M44" s="7" t="str">
        <f t="shared" si="4"/>
        <v>Neutral</v>
      </c>
      <c r="N44" s="7" t="str">
        <f>IFERROR(__xludf.DUMMYFUNCTION("LOWER(
TRIM(
REGEXREPLACE(B44,""[^a-zA-Z\s]"","""")
)
)
"),"patrick litterer")</f>
        <v>patrick litterer</v>
      </c>
      <c r="O44" s="7">
        <f t="shared" si="5"/>
        <v>1</v>
      </c>
      <c r="P44" s="8" t="str">
        <f t="shared" si="6"/>
        <v>No</v>
      </c>
    </row>
    <row r="45">
      <c r="A45" s="4" t="s">
        <v>16</v>
      </c>
      <c r="B45" s="4" t="s">
        <v>162</v>
      </c>
      <c r="C45" s="5">
        <v>45058.0</v>
      </c>
      <c r="D45" s="4" t="s">
        <v>74</v>
      </c>
      <c r="E45" s="4" t="s">
        <v>163</v>
      </c>
      <c r="F45" s="4" t="s">
        <v>164</v>
      </c>
      <c r="G45" s="6" t="str">
        <f>IFERROR(__xludf.DUMMYFUNCTION("REGEXREPLACE(LOWER(F45),""[^a-z\s]"","""")"),"i had an issue with shipping damage they fixed the problem right away a")</f>
        <v>i had an issue with shipping damage they fixed the problem right away a</v>
      </c>
      <c r="H45" s="4" t="str">
        <f t="shared" si="1"/>
        <v>i had an issue with shipping damage they fixed problem right away a</v>
      </c>
      <c r="I45" s="6">
        <f t="shared" si="2"/>
        <v>13</v>
      </c>
      <c r="J45" s="6">
        <f>IFERROR(__xludf.DUMMYFUNCTION("IF(H45="""","""",
SUM(
ARRAYFORMULA(
IF(
REGEXMATCH(
"" ""&amp;H45&amp;"" "",
"" ""&amp;Sentiment_Words!A$2:A3730&amp;"" ""
),
1,
0
)
)
)
)"),0.0)</f>
        <v>0</v>
      </c>
      <c r="K45" s="4">
        <f>IFERROR(__xludf.DUMMYFUNCTION("IF(H45="""","""",
SUM(
ARRAYFORMULA(
IF(
REGEXMATCH(
"" ""&amp;H45&amp;"" "",
"" ""&amp;Sentiment_Words!B$2:B3730&amp;"" ""
),
1,
0
)
)
)
)"),2.0)</f>
        <v>2</v>
      </c>
      <c r="L45" s="7" t="str">
        <f t="shared" si="3"/>
        <v>Other</v>
      </c>
      <c r="M45" s="7" t="str">
        <f t="shared" si="4"/>
        <v>Negative</v>
      </c>
      <c r="N45" s="7" t="str">
        <f>IFERROR(__xludf.DUMMYFUNCTION("LOWER(
TRIM(
REGEXREPLACE(B45,""[^a-zA-Z\s]"","""")
)
)
"),"tactical ant")</f>
        <v>tactical ant</v>
      </c>
      <c r="O45" s="7">
        <f t="shared" si="5"/>
        <v>1</v>
      </c>
      <c r="P45" s="8" t="str">
        <f t="shared" si="6"/>
        <v>No</v>
      </c>
    </row>
    <row r="46">
      <c r="A46" s="4" t="s">
        <v>16</v>
      </c>
      <c r="B46" s="4" t="s">
        <v>165</v>
      </c>
      <c r="C46" s="9">
        <v>45049.0</v>
      </c>
      <c r="D46" s="5">
        <v>45061.0</v>
      </c>
      <c r="E46" s="4" t="s">
        <v>166</v>
      </c>
      <c r="F46" s="4" t="s">
        <v>167</v>
      </c>
      <c r="G46" s="6" t="str">
        <f>IFERROR(__xludf.DUMMYFUNCTION("REGEXREPLACE(LOWER(F46),""[^a-z\s]"","""")"),"i placed my order on the rd of may after a number of phone calls my order hadnt been shipped on the th of may i asked for my money to be refunded i more than understand the business is small my account stated that my order was shipped on the rd when in ac"&amp;"tuality it never shipped at all ill try them another time because i cant wait a week for and order to be shipped very bad first time experience i hope when i order the next time it wont be")</f>
        <v>i placed my order on the rd of may after a number of phone calls my order hadnt been shipped on the th of may i asked for my money to be refunded i more than understand the business is small my account stated that my order was shipped on the rd when in actuality it never shipped at all ill try them another time because i cant wait a week for and order to be shipped very bad first time experience i hope when i order the next time it wont be</v>
      </c>
      <c r="H46" s="4" t="str">
        <f t="shared" si="1"/>
        <v>i placed my order on rd of may after a number of phone calls my order hadnt been shipped on th of may i asked my money be refunded i more than understand business small my account stated that my order was shipped on rd when in actuality it never shipped at all ill try them another time because i cant wait a week order be shipped very bad first time experience i hope when i order next time it wont be</v>
      </c>
      <c r="I46" s="6">
        <f t="shared" si="2"/>
        <v>82</v>
      </c>
      <c r="J46" s="6">
        <f>IFERROR(__xludf.DUMMYFUNCTION("IF(H46="""","""",
SUM(
ARRAYFORMULA(
IF(
REGEXMATCH(
"" ""&amp;H46&amp;"" "",
"" ""&amp;Sentiment_Words!A$2:A3730&amp;"" ""
),
1,
0
)
)
)
)"),0.0)</f>
        <v>0</v>
      </c>
      <c r="K46" s="4">
        <f>IFERROR(__xludf.DUMMYFUNCTION("IF(H46="""","""",
SUM(
ARRAYFORMULA(
IF(
REGEXMATCH(
"" ""&amp;H46&amp;"" "",
"" ""&amp;Sentiment_Words!B$2:B3730&amp;"" ""
),
1,
0
)
)
)
)"),0.0)</f>
        <v>0</v>
      </c>
      <c r="L46" s="7" t="str">
        <f t="shared" si="3"/>
        <v>Account &amp; Website</v>
      </c>
      <c r="M46" s="7" t="str">
        <f t="shared" si="4"/>
        <v>Neutral</v>
      </c>
      <c r="N46" s="7" t="str">
        <f>IFERROR(__xludf.DUMMYFUNCTION("LOWER(
TRIM(
REGEXREPLACE(B46,""[^a-zA-Z\s]"","""")
)
)
"),"cece moore")</f>
        <v>cece moore</v>
      </c>
      <c r="O46" s="7">
        <f t="shared" si="5"/>
        <v>1</v>
      </c>
      <c r="P46" s="8" t="str">
        <f t="shared" si="6"/>
        <v>No</v>
      </c>
    </row>
    <row r="47">
      <c r="A47" s="4" t="s">
        <v>16</v>
      </c>
      <c r="B47" s="4" t="s">
        <v>168</v>
      </c>
      <c r="C47" s="9">
        <v>45050.0</v>
      </c>
      <c r="D47" s="5">
        <v>45062.0</v>
      </c>
      <c r="E47" s="4" t="s">
        <v>169</v>
      </c>
      <c r="F47" s="4" t="s">
        <v>170</v>
      </c>
      <c r="G47" s="6" t="str">
        <f>IFERROR(__xludf.DUMMYFUNCTION("REGEXREPLACE(LOWER(F47),""[^a-z\s]"","""")"),"just discovered this company great price super fast shipping will definitely be back highly recommend")</f>
        <v>just discovered this company great price super fast shipping will definitely be back highly recommend</v>
      </c>
      <c r="H47" s="4" t="str">
        <f t="shared" si="1"/>
        <v>just discovered this company great price super fast shipping will definitely be back highly recommend</v>
      </c>
      <c r="I47" s="6">
        <f t="shared" si="2"/>
        <v>15</v>
      </c>
      <c r="J47" s="6">
        <f>IFERROR(__xludf.DUMMYFUNCTION("IF(H47="""","""",
SUM(
ARRAYFORMULA(
IF(
REGEXMATCH(
"" ""&amp;H47&amp;"" "",
"" ""&amp;Sentiment_Words!A$2:A3730&amp;"" ""
),
1,
0
)
)
)
)"),2.0)</f>
        <v>2</v>
      </c>
      <c r="K47" s="4">
        <f>IFERROR(__xludf.DUMMYFUNCTION("IF(H47="""","""",
SUM(
ARRAYFORMULA(
IF(
REGEXMATCH(
"" ""&amp;H47&amp;"" "",
"" ""&amp;Sentiment_Words!B$2:B3730&amp;"" ""
),
1,
0
)
)
)
)"),0.0)</f>
        <v>0</v>
      </c>
      <c r="L47" s="7" t="str">
        <f t="shared" si="3"/>
        <v>Other</v>
      </c>
      <c r="M47" s="7" t="str">
        <f t="shared" si="4"/>
        <v>Positive</v>
      </c>
      <c r="N47" s="7" t="str">
        <f>IFERROR(__xludf.DUMMYFUNCTION("LOWER(
TRIM(
REGEXREPLACE(B47,""[^a-zA-Z\s]"","""")
)
)
"),"diane l")</f>
        <v>diane l</v>
      </c>
      <c r="O47" s="7">
        <f t="shared" si="5"/>
        <v>1</v>
      </c>
      <c r="P47" s="8" t="str">
        <f t="shared" si="6"/>
        <v>No</v>
      </c>
    </row>
    <row r="48">
      <c r="A48" s="4" t="s">
        <v>16</v>
      </c>
      <c r="B48" s="4" t="s">
        <v>171</v>
      </c>
      <c r="C48" s="5">
        <v>45037.0</v>
      </c>
      <c r="D48" s="5">
        <v>45050.0</v>
      </c>
      <c r="E48" s="4" t="s">
        <v>172</v>
      </c>
      <c r="F48" s="4" t="s">
        <v>173</v>
      </c>
      <c r="G48" s="6" t="str">
        <f>IFERROR(__xludf.DUMMYFUNCTION("REGEXREPLACE(LOWER(F48),""[^a-z\s]"","""")"),"petflow has always been great with wonderful customer service support my only issue is that they dont protect their canned food deliveries very well and i always end up with a few dented cans they do offer to make it right i just wish it wasnt every time")</f>
        <v>petflow has always been great with wonderful customer service support my only issue is that they dont protect their canned food deliveries very well and i always end up with a few dented cans they do offer to make it right i just wish it wasnt every time</v>
      </c>
      <c r="H48" s="4" t="str">
        <f t="shared" si="1"/>
        <v>petflow has always been great with wonderful customer service support my only issue that they dont protect their canned food deliveries very well i always end up with a few dented cans they do offer make it right i just wish it wasnt every time</v>
      </c>
      <c r="I48" s="6">
        <f t="shared" si="2"/>
        <v>45</v>
      </c>
      <c r="J48" s="6">
        <f>IFERROR(__xludf.DUMMYFUNCTION("IF(H48="""","""",
SUM(
ARRAYFORMULA(
IF(
REGEXMATCH(
"" ""&amp;H48&amp;"" "",
"" ""&amp;Sentiment_Words!A$2:A3730&amp;"" ""
),
1,
0
)
)
)
)"),2.0)</f>
        <v>2</v>
      </c>
      <c r="K48" s="4">
        <f>IFERROR(__xludf.DUMMYFUNCTION("IF(H48="""","""",
SUM(
ARRAYFORMULA(
IF(
REGEXMATCH(
"" ""&amp;H48&amp;"" "",
"" ""&amp;Sentiment_Words!B$2:B3730&amp;"" ""
),
1,
0
)
)
)
)"),2.0)</f>
        <v>2</v>
      </c>
      <c r="L48" s="7" t="str">
        <f t="shared" si="3"/>
        <v>Customer Support</v>
      </c>
      <c r="M48" s="7" t="str">
        <f t="shared" si="4"/>
        <v>Neutral</v>
      </c>
      <c r="N48" s="7" t="str">
        <f>IFERROR(__xludf.DUMMYFUNCTION("LOWER(
TRIM(
REGEXREPLACE(B48,""[^a-zA-Z\s]"","""")
)
)
"),"debra zborowski")</f>
        <v>debra zborowski</v>
      </c>
      <c r="O48" s="7">
        <f t="shared" si="5"/>
        <v>1</v>
      </c>
      <c r="P48" s="8" t="str">
        <f t="shared" si="6"/>
        <v>No</v>
      </c>
    </row>
    <row r="49">
      <c r="A49" s="4" t="s">
        <v>16</v>
      </c>
      <c r="B49" s="4" t="s">
        <v>174</v>
      </c>
      <c r="C49" s="5">
        <v>45060.0</v>
      </c>
      <c r="D49" s="5">
        <v>45060.0</v>
      </c>
      <c r="E49" s="4" t="s">
        <v>175</v>
      </c>
      <c r="F49" s="4" t="s">
        <v>176</v>
      </c>
      <c r="G49" s="6" t="str">
        <f>IFERROR(__xludf.DUMMYFUNCTION("REGEXREPLACE(LOWER(F49),""[^a-z\s]"","""")"),"my order arrived later than expected and some of the items were damaged leading to a frustrating return process petflow has its pros and cons and i would advise potential customers to weigh them carefully before making a purchase")</f>
        <v>my order arrived later than expected and some of the items were damaged leading to a frustrating return process petflow has its pros and cons and i would advise potential customers to weigh them carefully before making a purchase</v>
      </c>
      <c r="H49" s="4" t="str">
        <f t="shared" si="1"/>
        <v>my order arrived later than expected some of items were damaged leading a frustrating return process petflow has its pros cons i would advise potential customers weigh them carefully before making a purchase</v>
      </c>
      <c r="I49" s="6">
        <f t="shared" si="2"/>
        <v>33</v>
      </c>
      <c r="J49" s="6">
        <f>IFERROR(__xludf.DUMMYFUNCTION("IF(H49="""","""",
SUM(
ARRAYFORMULA(
IF(
REGEXMATCH(
"" ""&amp;H49&amp;"" "",
"" ""&amp;Sentiment_Words!A$2:A3730&amp;"" ""
),
1,
0
)
)
)
)"),0.0)</f>
        <v>0</v>
      </c>
      <c r="K49" s="4">
        <f>IFERROR(__xludf.DUMMYFUNCTION("IF(H49="""","""",
SUM(
ARRAYFORMULA(
IF(
REGEXMATCH(
"" ""&amp;H49&amp;"" "",
"" ""&amp;Sentiment_Words!B$2:B3730&amp;"" ""
),
1,
0
)
)
)
)"),1.0)</f>
        <v>1</v>
      </c>
      <c r="L49" s="7" t="str">
        <f t="shared" si="3"/>
        <v>Fulfillment &amp; Shipping</v>
      </c>
      <c r="M49" s="7" t="str">
        <f t="shared" si="4"/>
        <v>Negative</v>
      </c>
      <c r="N49" s="7" t="str">
        <f>IFERROR(__xludf.DUMMYFUNCTION("LOWER(
TRIM(
REGEXREPLACE(B49,""[^a-zA-Z\s]"","""")
)
)
"),"ana arellano")</f>
        <v>ana arellano</v>
      </c>
      <c r="O49" s="7">
        <f t="shared" si="5"/>
        <v>1</v>
      </c>
      <c r="P49" s="8" t="str">
        <f t="shared" si="6"/>
        <v>No</v>
      </c>
    </row>
    <row r="50">
      <c r="A50" s="4" t="s">
        <v>16</v>
      </c>
      <c r="B50" s="4" t="s">
        <v>177</v>
      </c>
      <c r="C50" s="5">
        <v>45061.0</v>
      </c>
      <c r="D50" s="5">
        <v>45062.0</v>
      </c>
      <c r="E50" s="4" t="s">
        <v>178</v>
      </c>
      <c r="F50" s="4" t="s">
        <v>179</v>
      </c>
      <c r="G50" s="6" t="str">
        <f>IFERROR(__xludf.DUMMYFUNCTION("REGEXREPLACE(LOWER(F50),""[^a-z\s]"","""")"),"the person was very kind but as soon as i hung up the phone my order was delivered it seems to me she should have been able to tell it was shipped i never received an email stating my order was shipped")</f>
        <v>the person was very kind but as soon as i hung up the phone my order was delivered it seems to me she should have been able to tell it was shipped i never received an email stating my order was shipped</v>
      </c>
      <c r="H50" s="4" t="str">
        <f t="shared" si="1"/>
        <v>person was very kind but as soon as i hung up phone my order was delivered it seems me she should have been able tell it was shipped i never received an email stating my order was shipped</v>
      </c>
      <c r="I50" s="6">
        <f t="shared" si="2"/>
        <v>38</v>
      </c>
      <c r="J50" s="6">
        <f>IFERROR(__xludf.DUMMYFUNCTION("IF(H50="""","""",
SUM(
ARRAYFORMULA(
IF(
REGEXMATCH(
"" ""&amp;H50&amp;"" "",
"" ""&amp;Sentiment_Words!A$2:A3730&amp;"" ""
),
1,
0
)
)
)
)"),2.0)</f>
        <v>2</v>
      </c>
      <c r="K50" s="4">
        <f>IFERROR(__xludf.DUMMYFUNCTION("IF(H50="""","""",
SUM(
ARRAYFORMULA(
IF(
REGEXMATCH(
"" ""&amp;H50&amp;"" "",
"" ""&amp;Sentiment_Words!B$2:B3730&amp;"" ""
),
1,
0
)
)
)
)"),0.0)</f>
        <v>0</v>
      </c>
      <c r="L50" s="7" t="str">
        <f t="shared" si="3"/>
        <v>Other</v>
      </c>
      <c r="M50" s="7" t="str">
        <f t="shared" si="4"/>
        <v>Positive</v>
      </c>
      <c r="N50" s="7" t="str">
        <f>IFERROR(__xludf.DUMMYFUNCTION("LOWER(
TRIM(
REGEXREPLACE(B50,""[^a-zA-Z\s]"","""")
)
)
"),"nancy valett")</f>
        <v>nancy valett</v>
      </c>
      <c r="O50" s="7">
        <f t="shared" si="5"/>
        <v>1</v>
      </c>
      <c r="P50" s="8" t="str">
        <f t="shared" si="6"/>
        <v>No</v>
      </c>
    </row>
    <row r="51">
      <c r="A51" s="4" t="s">
        <v>16</v>
      </c>
      <c r="B51" s="4" t="s">
        <v>180</v>
      </c>
      <c r="C51" s="5">
        <v>45059.0</v>
      </c>
      <c r="D51" s="4" t="s">
        <v>30</v>
      </c>
      <c r="E51" s="4" t="s">
        <v>181</v>
      </c>
      <c r="F51" s="4" t="s">
        <v>182</v>
      </c>
      <c r="G51" s="6" t="str">
        <f>IFERROR(__xludf.DUMMYFUNCTION("REGEXREPLACE(LOWER(F51),""[^a-z\s]"","""")"),"great prices great customer service and really fast delivery")</f>
        <v>great prices great customer service and really fast delivery</v>
      </c>
      <c r="H51" s="4" t="str">
        <f t="shared" si="1"/>
        <v>great prices great customer service really fast delivery</v>
      </c>
      <c r="I51" s="6">
        <f t="shared" si="2"/>
        <v>8</v>
      </c>
      <c r="J51" s="6">
        <f>IFERROR(__xludf.DUMMYFUNCTION("IF(H51="""","""",
SUM(
ARRAYFORMULA(
IF(
REGEXMATCH(
"" ""&amp;H51&amp;"" "",
"" ""&amp;Sentiment_Words!A$2:A3730&amp;"" ""
),
1,
0
)
)
)
)"),4.0)</f>
        <v>4</v>
      </c>
      <c r="K51" s="4">
        <f>IFERROR(__xludf.DUMMYFUNCTION("IF(H51="""","""",
SUM(
ARRAYFORMULA(
IF(
REGEXMATCH(
"" ""&amp;H51&amp;"" "",
"" ""&amp;Sentiment_Words!B$2:B3730&amp;"" ""
),
1,
0
)
)
)
)"),1.0)</f>
        <v>1</v>
      </c>
      <c r="L51" s="7" t="str">
        <f t="shared" si="3"/>
        <v>Customer Support</v>
      </c>
      <c r="M51" s="7" t="str">
        <f t="shared" si="4"/>
        <v>Positive</v>
      </c>
      <c r="N51" s="7" t="str">
        <f>IFERROR(__xludf.DUMMYFUNCTION("LOWER(
TRIM(
REGEXREPLACE(B51,""[^a-zA-Z\s]"","""")
)
)
"),"b stroup")</f>
        <v>b stroup</v>
      </c>
      <c r="O51" s="7">
        <f t="shared" si="5"/>
        <v>1</v>
      </c>
      <c r="P51" s="8" t="str">
        <f t="shared" si="6"/>
        <v>No</v>
      </c>
    </row>
    <row r="52">
      <c r="A52" s="4" t="s">
        <v>16</v>
      </c>
      <c r="B52" s="4" t="s">
        <v>183</v>
      </c>
      <c r="C52" s="9">
        <v>45048.0</v>
      </c>
      <c r="D52" s="5">
        <v>45061.0</v>
      </c>
      <c r="E52" s="4" t="s">
        <v>184</v>
      </c>
      <c r="F52" s="4" t="s">
        <v>185</v>
      </c>
      <c r="G52" s="6" t="str">
        <f>IFERROR(__xludf.DUMMYFUNCTION("REGEXREPLACE(LOWER(F52),""[^a-z\s]"","""")"),"we can count on petflow delivery ontime with autoship like this easy way ordering my dogs food")</f>
        <v>we can count on petflow delivery ontime with autoship like this easy way ordering my dogs food</v>
      </c>
      <c r="H52" s="4" t="str">
        <f t="shared" si="1"/>
        <v>we can count on petflow delivery ontime with autoship like this easy way ordering my dogs food</v>
      </c>
      <c r="I52" s="6">
        <f t="shared" si="2"/>
        <v>17</v>
      </c>
      <c r="J52" s="6">
        <f>IFERROR(__xludf.DUMMYFUNCTION("IF(H52="""","""",
SUM(
ARRAYFORMULA(
IF(
REGEXMATCH(
"" ""&amp;H52&amp;"" "",
"" ""&amp;Sentiment_Words!A$2:A3730&amp;"" ""
),
1,
0
)
)
)
)"),1.0)</f>
        <v>1</v>
      </c>
      <c r="K52" s="4">
        <f>IFERROR(__xludf.DUMMYFUNCTION("IF(H52="""","""",
SUM(
ARRAYFORMULA(
IF(
REGEXMATCH(
"" ""&amp;H52&amp;"" "",
"" ""&amp;Sentiment_Words!B$2:B3730&amp;"" ""
),
1,
0
)
)
)
)"),0.0)</f>
        <v>0</v>
      </c>
      <c r="L52" s="7" t="str">
        <f t="shared" si="3"/>
        <v>Other</v>
      </c>
      <c r="M52" s="7" t="str">
        <f t="shared" si="4"/>
        <v>Positive</v>
      </c>
      <c r="N52" s="7" t="str">
        <f>IFERROR(__xludf.DUMMYFUNCTION("LOWER(
TRIM(
REGEXREPLACE(B52,""[^a-zA-Z\s]"","""")
)
)
"),"virginia dunk")</f>
        <v>virginia dunk</v>
      </c>
      <c r="O52" s="7">
        <f t="shared" si="5"/>
        <v>1</v>
      </c>
      <c r="P52" s="8" t="str">
        <f t="shared" si="6"/>
        <v>No</v>
      </c>
    </row>
    <row r="53">
      <c r="A53" s="4" t="s">
        <v>16</v>
      </c>
      <c r="B53" s="4" t="s">
        <v>186</v>
      </c>
      <c r="C53" s="5">
        <v>45043.0</v>
      </c>
      <c r="D53" s="5">
        <v>45055.0</v>
      </c>
      <c r="E53" s="4" t="s">
        <v>187</v>
      </c>
      <c r="F53" s="4" t="s">
        <v>188</v>
      </c>
      <c r="G53" s="6" t="str">
        <f>IFERROR(__xludf.DUMMYFUNCTION("REGEXREPLACE(LOWER(F53),""[^a-z\s]"","""")"),"very good prices and the product arrived in about a week we are perhaps spoiled by next day  two day delivery but thankfully i had anticipated running out of dog food")</f>
        <v>very good prices and the product arrived in about a week we are perhaps spoiled by next day  two day delivery but thankfully i had anticipated running out of dog food</v>
      </c>
      <c r="H53" s="4" t="str">
        <f t="shared" si="1"/>
        <v>very good prices product arrived in about a week we are perhaps spoiled by next day two day delivery but thankfully i had anticipated running out of dog food</v>
      </c>
      <c r="I53" s="6">
        <f t="shared" si="2"/>
        <v>29</v>
      </c>
      <c r="J53" s="6">
        <f>IFERROR(__xludf.DUMMYFUNCTION("IF(H53="""","""",
SUM(
ARRAYFORMULA(
IF(
REGEXMATCH(
"" ""&amp;H53&amp;"" "",
"" ""&amp;Sentiment_Words!A$2:A3730&amp;"" ""
),
1,
0
)
)
)
)"),2.0)</f>
        <v>2</v>
      </c>
      <c r="K53" s="4">
        <f>IFERROR(__xludf.DUMMYFUNCTION("IF(H53="""","""",
SUM(
ARRAYFORMULA(
IF(
REGEXMATCH(
"" ""&amp;H53&amp;"" "",
"" ""&amp;Sentiment_Words!B$2:B3730&amp;"" ""
),
1,
0
)
)
)
)"),1.0)</f>
        <v>1</v>
      </c>
      <c r="L53" s="7" t="str">
        <f t="shared" si="3"/>
        <v>Food Safety</v>
      </c>
      <c r="M53" s="7" t="str">
        <f t="shared" si="4"/>
        <v>Positive</v>
      </c>
      <c r="N53" s="7" t="str">
        <f>IFERROR(__xludf.DUMMYFUNCTION("LOWER(
TRIM(
REGEXREPLACE(B53,""[^a-zA-Z\s]"","""")
)
)
"),"steven seltzer")</f>
        <v>steven seltzer</v>
      </c>
      <c r="O53" s="7">
        <f t="shared" si="5"/>
        <v>1</v>
      </c>
      <c r="P53" s="8" t="str">
        <f t="shared" si="6"/>
        <v>No</v>
      </c>
    </row>
    <row r="54">
      <c r="A54" s="4" t="s">
        <v>16</v>
      </c>
      <c r="B54" s="4" t="s">
        <v>189</v>
      </c>
      <c r="C54" s="9">
        <v>45054.0</v>
      </c>
      <c r="D54" s="4" t="s">
        <v>150</v>
      </c>
      <c r="E54" s="4" t="s">
        <v>190</v>
      </c>
      <c r="F54" s="4" t="s">
        <v>191</v>
      </c>
      <c r="G54" s="6" t="str">
        <f>IFERROR(__xludf.DUMMYFUNCTION("REGEXREPLACE(LOWER(F54),""[^a-z\s]"","""")"),"great customer service whoever i speak with always helps me with my issue")</f>
        <v>great customer service whoever i speak with always helps me with my issue</v>
      </c>
      <c r="H54" s="4" t="str">
        <f t="shared" si="1"/>
        <v>great customer service whoever i speak with always helps me with my issue</v>
      </c>
      <c r="I54" s="6">
        <f t="shared" si="2"/>
        <v>13</v>
      </c>
      <c r="J54" s="6">
        <f>IFERROR(__xludf.DUMMYFUNCTION("IF(H54="""","""",
SUM(
ARRAYFORMULA(
IF(
REGEXMATCH(
"" ""&amp;H54&amp;"" "",
"" ""&amp;Sentiment_Words!A$2:A3730&amp;"" ""
),
1,
0
)
)
)
)"),2.0)</f>
        <v>2</v>
      </c>
      <c r="K54" s="4">
        <f>IFERROR(__xludf.DUMMYFUNCTION("IF(H54="""","""",
SUM(
ARRAYFORMULA(
IF(
REGEXMATCH(
"" ""&amp;H54&amp;"" "",
"" ""&amp;Sentiment_Words!B$2:B3730&amp;"" ""
),
1,
0
)
)
)
)"),2.0)</f>
        <v>2</v>
      </c>
      <c r="L54" s="7" t="str">
        <f t="shared" si="3"/>
        <v>Customer Support</v>
      </c>
      <c r="M54" s="7" t="str">
        <f t="shared" si="4"/>
        <v>Neutral</v>
      </c>
      <c r="N54" s="7" t="str">
        <f>IFERROR(__xludf.DUMMYFUNCTION("LOWER(
TRIM(
REGEXREPLACE(B54,""[^a-zA-Z\s]"","""")
)
)
"),"natalie")</f>
        <v>natalie</v>
      </c>
      <c r="O54" s="7">
        <f t="shared" si="5"/>
        <v>1</v>
      </c>
      <c r="P54" s="8" t="str">
        <f t="shared" si="6"/>
        <v>No</v>
      </c>
    </row>
    <row r="55">
      <c r="A55" s="4" t="s">
        <v>16</v>
      </c>
      <c r="B55" s="4" t="s">
        <v>192</v>
      </c>
      <c r="C55" s="5">
        <v>45046.0</v>
      </c>
      <c r="D55" s="5">
        <v>45060.0</v>
      </c>
      <c r="E55" s="4" t="s">
        <v>193</v>
      </c>
      <c r="F55" s="4" t="s">
        <v>194</v>
      </c>
      <c r="G55" s="6" t="str">
        <f>IFERROR(__xludf.DUMMYFUNCTION("REGEXREPLACE(LOWER(F55),""[^a-z\s]"","""")"),"nice quality collar with a quick release snap i love this beautiful blue collar and matching leash petflow is the best")</f>
        <v>nice quality collar with a quick release snap i love this beautiful blue collar and matching leash petflow is the best</v>
      </c>
      <c r="H55" s="4" t="str">
        <f t="shared" si="1"/>
        <v>nice quality collar with a quick release snap i love this beautiful blue collar matching leash petflow best</v>
      </c>
      <c r="I55" s="6">
        <f t="shared" si="2"/>
        <v>18</v>
      </c>
      <c r="J55" s="6">
        <f>IFERROR(__xludf.DUMMYFUNCTION("IF(H55="""","""",
SUM(
ARRAYFORMULA(
IF(
REGEXMATCH(
"" ""&amp;H55&amp;"" "",
"" ""&amp;Sentiment_Words!A$2:A3730&amp;"" ""
),
1,
0
)
)
)
)"),1.0)</f>
        <v>1</v>
      </c>
      <c r="K55" s="4">
        <f>IFERROR(__xludf.DUMMYFUNCTION("IF(H55="""","""",
SUM(
ARRAYFORMULA(
IF(
REGEXMATCH(
"" ""&amp;H55&amp;"" "",
"" ""&amp;Sentiment_Words!B$2:B3730&amp;"" ""
),
1,
0
)
)
)
)"),0.0)</f>
        <v>0</v>
      </c>
      <c r="L55" s="7" t="str">
        <f t="shared" si="3"/>
        <v>Other</v>
      </c>
      <c r="M55" s="7" t="str">
        <f t="shared" si="4"/>
        <v>Positive</v>
      </c>
      <c r="N55" s="7" t="str">
        <f>IFERROR(__xludf.DUMMYFUNCTION("LOWER(
TRIM(
REGEXREPLACE(B55,""[^a-zA-Z\s]"","""")
)
)
"),"joyce")</f>
        <v>joyce</v>
      </c>
      <c r="O55" s="7">
        <f t="shared" si="5"/>
        <v>1</v>
      </c>
      <c r="P55" s="8" t="str">
        <f t="shared" si="6"/>
        <v>No</v>
      </c>
    </row>
    <row r="56">
      <c r="A56" s="4" t="s">
        <v>16</v>
      </c>
      <c r="B56" s="4" t="s">
        <v>195</v>
      </c>
      <c r="C56" s="5">
        <v>45042.0</v>
      </c>
      <c r="D56" s="5">
        <v>45054.0</v>
      </c>
      <c r="E56" s="4" t="s">
        <v>196</v>
      </c>
      <c r="F56" s="4" t="s">
        <v>197</v>
      </c>
      <c r="G56" s="6" t="str">
        <f>IFERROR(__xludf.DUMMYFUNCTION("REGEXREPLACE(LOWER(F56),""[^a-z\s]"","""")"),"i arrived at site via a link that promised a discount discount appeared on checkout page and i checked out with the discount applied however discount was not included in final billing so i feel i was cheated")</f>
        <v>i arrived at site via a link that promised a discount discount appeared on checkout page and i checked out with the discount applied however discount was not included in final billing so i feel i was cheated</v>
      </c>
      <c r="H56" s="4" t="str">
        <f t="shared" si="1"/>
        <v>i arrived at site via a link that promised a discount discount appeared on checkout page i checked out with discount applied however discount was not included in final billing so i feel i was cheated</v>
      </c>
      <c r="I56" s="6">
        <f t="shared" si="2"/>
        <v>36</v>
      </c>
      <c r="J56" s="6">
        <f>IFERROR(__xludf.DUMMYFUNCTION("IF(H56="""","""",
SUM(
ARRAYFORMULA(
IF(
REGEXMATCH(
"" ""&amp;H56&amp;"" "",
"" ""&amp;Sentiment_Words!A$2:A3730&amp;"" ""
),
1,
0
)
)
)
)"),0.0)</f>
        <v>0</v>
      </c>
      <c r="K56" s="4">
        <f>IFERROR(__xludf.DUMMYFUNCTION("IF(H56="""","""",
SUM(
ARRAYFORMULA(
IF(
REGEXMATCH(
"" ""&amp;H56&amp;"" "",
"" ""&amp;Sentiment_Words!B$2:B3730&amp;"" ""
),
1,
0
)
)
)
)"),0.0)</f>
        <v>0</v>
      </c>
      <c r="L56" s="7" t="str">
        <f t="shared" si="3"/>
        <v>Other</v>
      </c>
      <c r="M56" s="7" t="str">
        <f t="shared" si="4"/>
        <v>Neutral</v>
      </c>
      <c r="N56" s="7" t="str">
        <f>IFERROR(__xludf.DUMMYFUNCTION("LOWER(
TRIM(
REGEXREPLACE(B56,""[^a-zA-Z\s]"","""")
)
)
"),"jk")</f>
        <v>jk</v>
      </c>
      <c r="O56" s="7">
        <f t="shared" si="5"/>
        <v>2</v>
      </c>
      <c r="P56" s="8" t="str">
        <f t="shared" si="6"/>
        <v>Yes</v>
      </c>
    </row>
    <row r="57">
      <c r="A57" s="4" t="s">
        <v>16</v>
      </c>
      <c r="B57" s="4" t="s">
        <v>198</v>
      </c>
      <c r="C57" s="9">
        <v>45052.0</v>
      </c>
      <c r="D57" s="5">
        <v>45064.0</v>
      </c>
      <c r="E57" s="4" t="s">
        <v>199</v>
      </c>
      <c r="F57" s="4" t="s">
        <v>200</v>
      </c>
      <c r="G57" s="6" t="str">
        <f>IFERROR(__xludf.DUMMYFUNCTION("REGEXREPLACE(LOWER(F57),""[^a-z\s]"","""")"),"you bet everyone elses prices your delivery was great and the order was correct")</f>
        <v>you bet everyone elses prices your delivery was great and the order was correct</v>
      </c>
      <c r="H57" s="4" t="str">
        <f t="shared" si="1"/>
        <v>you bet everyone elses prices your delivery was great order was correct</v>
      </c>
      <c r="I57" s="6">
        <f t="shared" si="2"/>
        <v>12</v>
      </c>
      <c r="J57" s="6">
        <f>IFERROR(__xludf.DUMMYFUNCTION("IF(H57="""","""",
SUM(
ARRAYFORMULA(
IF(
REGEXMATCH(
"" ""&amp;H57&amp;"" "",
"" ""&amp;Sentiment_Words!A$2:A3730&amp;"" ""
),
1,
0
)
)
)
)"),1.0)</f>
        <v>1</v>
      </c>
      <c r="K57" s="4">
        <f>IFERROR(__xludf.DUMMYFUNCTION("IF(H57="""","""",
SUM(
ARRAYFORMULA(
IF(
REGEXMATCH(
"" ""&amp;H57&amp;"" "",
"" ""&amp;Sentiment_Words!B$2:B3730&amp;"" ""
),
1,
0
)
)
)
)"),0.0)</f>
        <v>0</v>
      </c>
      <c r="L57" s="7" t="str">
        <f t="shared" si="3"/>
        <v>Other</v>
      </c>
      <c r="M57" s="7" t="str">
        <f t="shared" si="4"/>
        <v>Positive</v>
      </c>
      <c r="N57" s="7" t="str">
        <f>IFERROR(__xludf.DUMMYFUNCTION("LOWER(
TRIM(
REGEXREPLACE(B57,""[^a-zA-Z\s]"","""")
)
)
"),"donna beckner")</f>
        <v>donna beckner</v>
      </c>
      <c r="O57" s="7">
        <f t="shared" si="5"/>
        <v>1</v>
      </c>
      <c r="P57" s="8" t="str">
        <f t="shared" si="6"/>
        <v>No</v>
      </c>
    </row>
    <row r="58">
      <c r="A58" s="4" t="s">
        <v>16</v>
      </c>
      <c r="B58" s="4" t="s">
        <v>201</v>
      </c>
      <c r="C58" s="9">
        <v>45050.0</v>
      </c>
      <c r="D58" s="5">
        <v>45062.0</v>
      </c>
      <c r="E58" s="4" t="s">
        <v>202</v>
      </c>
      <c r="F58" s="4" t="s">
        <v>203</v>
      </c>
      <c r="G58" s="6" t="str">
        <f>IFERROR(__xludf.DUMMYFUNCTION("REGEXREPLACE(LOWER(F58),""[^a-z\s]"","""")"),"the web site is difficult to navigate it takes several attempts to order a bag of dog food")</f>
        <v>the web site is difficult to navigate it takes several attempts to order a bag of dog food</v>
      </c>
      <c r="H58" s="4" t="str">
        <f t="shared" si="1"/>
        <v>web site difficult navigate it takes several attempts order a bag of dog food</v>
      </c>
      <c r="I58" s="6">
        <f t="shared" si="2"/>
        <v>14</v>
      </c>
      <c r="J58" s="6">
        <f>IFERROR(__xludf.DUMMYFUNCTION("IF(H58="""","""",
SUM(
ARRAYFORMULA(
IF(
REGEXMATCH(
"" ""&amp;H58&amp;"" "",
"" ""&amp;Sentiment_Words!A$2:A3730&amp;"" ""
),
1,
0
)
)
)
)"),0.0)</f>
        <v>0</v>
      </c>
      <c r="K58" s="4">
        <f>IFERROR(__xludf.DUMMYFUNCTION("IF(H58="""","""",
SUM(
ARRAYFORMULA(
IF(
REGEXMATCH(
"" ""&amp;H58&amp;"" "",
"" ""&amp;Sentiment_Words!B$2:B3730&amp;"" ""
),
1,
0
)
)
)
)"),0.0)</f>
        <v>0</v>
      </c>
      <c r="L58" s="7" t="str">
        <f t="shared" si="3"/>
        <v>Other</v>
      </c>
      <c r="M58" s="7" t="str">
        <f t="shared" si="4"/>
        <v>Neutral</v>
      </c>
      <c r="N58" s="7" t="str">
        <f>IFERROR(__xludf.DUMMYFUNCTION("LOWER(
TRIM(
REGEXREPLACE(B58,""[^a-zA-Z\s]"","""")
)
)
"),"dawn dowling")</f>
        <v>dawn dowling</v>
      </c>
      <c r="O58" s="7">
        <f t="shared" si="5"/>
        <v>1</v>
      </c>
      <c r="P58" s="8" t="str">
        <f t="shared" si="6"/>
        <v>No</v>
      </c>
    </row>
    <row r="59">
      <c r="A59" s="4" t="s">
        <v>16</v>
      </c>
      <c r="B59" s="4" t="s">
        <v>204</v>
      </c>
      <c r="C59" s="5">
        <v>45038.0</v>
      </c>
      <c r="D59" s="5">
        <v>45050.0</v>
      </c>
      <c r="E59" s="4" t="s">
        <v>205</v>
      </c>
      <c r="F59" s="4" t="s">
        <v>206</v>
      </c>
      <c r="G59" s="6" t="str">
        <f>IFERROR(__xludf.DUMMYFUNCTION("REGEXREPLACE(LOWER(F59),""[^a-z\s]"","""")"),"petflow had the dog food product i was looking for i had spent a long time searching other various web sites and not having any luck petflow was very good with communications and the shippingdelivery of my order very excited to find them")</f>
        <v>petflow had the dog food product i was looking for i had spent a long time searching other various web sites and not having any luck petflow was very good with communications and the shippingdelivery of my order very excited to find them</v>
      </c>
      <c r="H59" s="4" t="str">
        <f t="shared" si="1"/>
        <v>petflow had dog food product i was looking i had spent a long time searching other various web sites not having any luck petflow was very good with communications shippingdelivery of my order very excited find them</v>
      </c>
      <c r="I59" s="6">
        <f t="shared" si="2"/>
        <v>37</v>
      </c>
      <c r="J59" s="6">
        <f>IFERROR(__xludf.DUMMYFUNCTION("IF(H59="""","""",
SUM(
ARRAYFORMULA(
IF(
REGEXMATCH(
"" ""&amp;H59&amp;"" "",
"" ""&amp;Sentiment_Words!A$2:A3730&amp;"" ""
),
1,
0
)
)
)
)"),1.0)</f>
        <v>1</v>
      </c>
      <c r="K59" s="4">
        <f>IFERROR(__xludf.DUMMYFUNCTION("IF(H59="""","""",
SUM(
ARRAYFORMULA(
IF(
REGEXMATCH(
"" ""&amp;H59&amp;"" "",
"" ""&amp;Sentiment_Words!B$2:B3730&amp;"" ""
),
1,
0
)
)
)
)"),0.0)</f>
        <v>0</v>
      </c>
      <c r="L59" s="7" t="str">
        <f t="shared" si="3"/>
        <v>Other</v>
      </c>
      <c r="M59" s="7" t="str">
        <f t="shared" si="4"/>
        <v>Positive</v>
      </c>
      <c r="N59" s="7" t="str">
        <f>IFERROR(__xludf.DUMMYFUNCTION("LOWER(
TRIM(
REGEXREPLACE(B59,""[^a-zA-Z\s]"","""")
)
)
"),"wb")</f>
        <v>wb</v>
      </c>
      <c r="O59" s="7">
        <f t="shared" si="5"/>
        <v>1</v>
      </c>
      <c r="P59" s="8" t="str">
        <f t="shared" si="6"/>
        <v>No</v>
      </c>
    </row>
    <row r="60">
      <c r="A60" s="4" t="s">
        <v>16</v>
      </c>
      <c r="B60" s="4" t="s">
        <v>207</v>
      </c>
      <c r="C60" s="5">
        <v>45036.0</v>
      </c>
      <c r="D60" s="5">
        <v>45048.0</v>
      </c>
      <c r="E60" s="4" t="s">
        <v>208</v>
      </c>
      <c r="F60" s="4" t="s">
        <v>209</v>
      </c>
      <c r="G60" s="6" t="str">
        <f>IFERROR(__xludf.DUMMYFUNCTION("REGEXREPLACE(LOWER(F60),""[^a-z\s]"","""")"),"to start the order did not go through after  attempts using my debit card to the point of me being highly suspicious about a scam it was not until i called the phone number because the rep in the chat and the text were dismissal that i was notified there "&amp;"was a problem with the companys system not processing cards i did order through paypal just to receive one case of food and not two as ordered i was not notified until i made another query that the warehouse ran out of what i ordered and they have to get "&amp;"it from another so if customers dont ask we are not informed but be left into limbo customers like me do no need apologies what we need is for companies to act proactive and aware of what real marketing is")</f>
        <v>to start the order did not go through after  attempts using my debit card to the point of me being highly suspicious about a scam it was not until i called the phone number because the rep in the chat and the text were dismissal that i was notified there was a problem with the companys system not processing cards i did order through paypal just to receive one case of food and not two as ordered i was not notified until i made another query that the warehouse ran out of what i ordered and they have to get it from another so if customers dont ask we are not informed but be left into limbo customers like me do no need apologies what we need is for companies to act proactive and aware of what real marketing is</v>
      </c>
      <c r="H60" s="4" t="str">
        <f t="shared" si="1"/>
        <v>start order did not go through after attempts using my debit card point of me being highly suspicious about a scam it was not until i called phone number because rep in chat text were dismissal that i was notified there was a problem with companys system not processing cards i did order through paypal just receive one case of food not two as ordered i was not notified until i made another query that warehouse ran out of what i ordered they have get it from another so if customers dont ask we are not informed but be left into limbo customers like me do no need apologies what we need companies act proactive aware of what real marketing</v>
      </c>
      <c r="I60" s="6">
        <f t="shared" si="2"/>
        <v>120</v>
      </c>
      <c r="J60" s="6">
        <f>IFERROR(__xludf.DUMMYFUNCTION("IF(H60="""","""",
SUM(
ARRAYFORMULA(
IF(
REGEXMATCH(
"" ""&amp;H60&amp;"" "",
"" ""&amp;Sentiment_Words!A$2:A3730&amp;"" ""
),
1,
0
)
)
)
)"),0.0)</f>
        <v>0</v>
      </c>
      <c r="K60" s="4">
        <f>IFERROR(__xludf.DUMMYFUNCTION("IF(H60="""","""",
SUM(
ARRAYFORMULA(
IF(
REGEXMATCH(
"" ""&amp;H60&amp;"" "",
"" ""&amp;Sentiment_Words!B$2:B3730&amp;"" ""
),
1,
0
)
)
)
)"),1.0)</f>
        <v>1</v>
      </c>
      <c r="L60" s="7" t="str">
        <f t="shared" si="3"/>
        <v>Other</v>
      </c>
      <c r="M60" s="7" t="str">
        <f t="shared" si="4"/>
        <v>Negative</v>
      </c>
      <c r="N60" s="7" t="str">
        <f>IFERROR(__xludf.DUMMYFUNCTION("LOWER(
TRIM(
REGEXREPLACE(B60,""[^a-zA-Z\s]"","""")
)
)
"),"william cardona")</f>
        <v>william cardona</v>
      </c>
      <c r="O60" s="7">
        <f t="shared" si="5"/>
        <v>1</v>
      </c>
      <c r="P60" s="8" t="str">
        <f t="shared" si="6"/>
        <v>No</v>
      </c>
    </row>
    <row r="61">
      <c r="A61" s="4" t="s">
        <v>16</v>
      </c>
      <c r="B61" s="4" t="s">
        <v>210</v>
      </c>
      <c r="C61" s="9">
        <v>45050.0</v>
      </c>
      <c r="D61" s="5">
        <v>45054.0</v>
      </c>
      <c r="E61" s="4" t="s">
        <v>211</v>
      </c>
      <c r="F61" s="4" t="s">
        <v>212</v>
      </c>
      <c r="G61" s="6" t="str">
        <f>IFERROR(__xludf.DUMMYFUNCTION("REGEXREPLACE(LOWER(F61),""[^a-z\s]"","""")")," days since i placed my order online called to verify that my order was coming from the nj warehouse im in nj about an hr away from the warehouse i still dont even have a comfirmation that my order has even shipped")</f>
        <v> days since i placed my order online called to verify that my order was coming from the nj warehouse im in nj about an hr away from the warehouse i still dont even have a comfirmation that my order has even shipped</v>
      </c>
      <c r="H61" s="4" t="str">
        <f t="shared" si="1"/>
        <v>days since i placed my order online called verify that my order was coming from nj warehouse im in nj about an hr away from warehouse i still dont even have a comfirmation that my order has even shipped</v>
      </c>
      <c r="I61" s="6">
        <f t="shared" si="2"/>
        <v>39</v>
      </c>
      <c r="J61" s="6">
        <f>IFERROR(__xludf.DUMMYFUNCTION("IF(H61="""","""",
SUM(
ARRAYFORMULA(
IF(
REGEXMATCH(
"" ""&amp;H61&amp;"" "",
"" ""&amp;Sentiment_Words!A$2:A3730&amp;"" ""
),
1,
0
)
)
)
)"),0.0)</f>
        <v>0</v>
      </c>
      <c r="K61" s="4">
        <f>IFERROR(__xludf.DUMMYFUNCTION("IF(H61="""","""",
SUM(
ARRAYFORMULA(
IF(
REGEXMATCH(
"" ""&amp;H61&amp;"" "",
"" ""&amp;Sentiment_Words!B$2:B3730&amp;"" ""
),
1,
0
)
)
)
)"),0.0)</f>
        <v>0</v>
      </c>
      <c r="L61" s="7" t="str">
        <f t="shared" si="3"/>
        <v>Other</v>
      </c>
      <c r="M61" s="7" t="str">
        <f t="shared" si="4"/>
        <v>Neutral</v>
      </c>
      <c r="N61" s="7" t="str">
        <f>IFERROR(__xludf.DUMMYFUNCTION("LOWER(
TRIM(
REGEXREPLACE(B61,""[^a-zA-Z\s]"","""")
)
)
"),"dianne wiley")</f>
        <v>dianne wiley</v>
      </c>
      <c r="O61" s="7">
        <f t="shared" si="5"/>
        <v>1</v>
      </c>
      <c r="P61" s="8" t="str">
        <f t="shared" si="6"/>
        <v>No</v>
      </c>
    </row>
    <row r="62">
      <c r="A62" s="4" t="s">
        <v>16</v>
      </c>
      <c r="B62" s="4" t="s">
        <v>213</v>
      </c>
      <c r="C62" s="5">
        <v>45036.0</v>
      </c>
      <c r="D62" s="5">
        <v>45048.0</v>
      </c>
      <c r="E62" s="4" t="s">
        <v>214</v>
      </c>
      <c r="F62" s="4" t="s">
        <v>215</v>
      </c>
      <c r="G62" s="6" t="str">
        <f>IFERROR(__xludf.DUMMYFUNCTION("REGEXREPLACE(LOWER(F62),""[^a-z\s]"","""")"),"they canceled an order without telling me and when i sent an email asking what happened the response was a little on the snarky side i asked a follow up question and never received a reply i thought id try this out but its not worththe headache and rudene"&amp;"ss ill never stray from chewy again")</f>
        <v>they canceled an order without telling me and when i sent an email asking what happened the response was a little on the snarky side i asked a follow up question and never received a reply i thought id try this out but its not worththe headache and rudeness ill never stray from chewy again</v>
      </c>
      <c r="H62" s="4" t="str">
        <f t="shared" si="1"/>
        <v>they canceled an order without telling me when i sent an email asking what happened response was a little on snarky side i asked a follow up question never received a reply i thought id try this out but its not worththe headache rudeness ill never stray from chewy again</v>
      </c>
      <c r="I62" s="6">
        <f t="shared" si="2"/>
        <v>50</v>
      </c>
      <c r="J62" s="6">
        <f>IFERROR(__xludf.DUMMYFUNCTION("IF(H62="""","""",
SUM(
ARRAYFORMULA(
IF(
REGEXMATCH(
"" ""&amp;H62&amp;"" "",
"" ""&amp;Sentiment_Words!A$2:A3730&amp;"" ""
),
1,
0
)
)
)
)"),0.0)</f>
        <v>0</v>
      </c>
      <c r="K62" s="4">
        <f>IFERROR(__xludf.DUMMYFUNCTION("IF(H62="""","""",
SUM(
ARRAYFORMULA(
IF(
REGEXMATCH(
"" ""&amp;H62&amp;"" "",
"" ""&amp;Sentiment_Words!B$2:B3730&amp;"" ""
),
1,
0
)
)
)
)"),0.0)</f>
        <v>0</v>
      </c>
      <c r="L62" s="7" t="str">
        <f t="shared" si="3"/>
        <v>Other</v>
      </c>
      <c r="M62" s="7" t="str">
        <f t="shared" si="4"/>
        <v>Neutral</v>
      </c>
      <c r="N62" s="7" t="str">
        <f>IFERROR(__xludf.DUMMYFUNCTION("LOWER(
TRIM(
REGEXREPLACE(B62,""[^a-zA-Z\s]"","""")
)
)
"),"laura shigemitsu")</f>
        <v>laura shigemitsu</v>
      </c>
      <c r="O62" s="7">
        <f t="shared" si="5"/>
        <v>1</v>
      </c>
      <c r="P62" s="8" t="str">
        <f t="shared" si="6"/>
        <v>No</v>
      </c>
    </row>
    <row r="63">
      <c r="A63" s="4" t="s">
        <v>16</v>
      </c>
      <c r="B63" s="4" t="s">
        <v>216</v>
      </c>
      <c r="C63" s="5">
        <v>45046.0</v>
      </c>
      <c r="D63" s="5">
        <v>45059.0</v>
      </c>
      <c r="E63" s="4" t="s">
        <v>217</v>
      </c>
      <c r="F63" s="4" t="s">
        <v>218</v>
      </c>
      <c r="G63" s="6" t="str">
        <f>IFERROR(__xludf.DUMMYFUNCTION("REGEXREPLACE(LOWER(F63),""[^a-z\s]"","""")"),"shipping took way longer than chewys and the box that fedex eventually delivered was in horrible shape")</f>
        <v>shipping took way longer than chewys and the box that fedex eventually delivered was in horrible shape</v>
      </c>
      <c r="H63" s="4" t="str">
        <f t="shared" si="1"/>
        <v>shipping took way longer than chewys box that fedex eventually delivered was in horrible shape</v>
      </c>
      <c r="I63" s="6">
        <f t="shared" si="2"/>
        <v>15</v>
      </c>
      <c r="J63" s="6">
        <f>IFERROR(__xludf.DUMMYFUNCTION("IF(H63="""","""",
SUM(
ARRAYFORMULA(
IF(
REGEXMATCH(
"" ""&amp;H63&amp;"" "",
"" ""&amp;Sentiment_Words!A$2:A3730&amp;"" ""
),
1,
0
)
)
)
)"),1.0)</f>
        <v>1</v>
      </c>
      <c r="K63" s="4">
        <f>IFERROR(__xludf.DUMMYFUNCTION("IF(H63="""","""",
SUM(
ARRAYFORMULA(
IF(
REGEXMATCH(
"" ""&amp;H63&amp;"" "",
"" ""&amp;Sentiment_Words!B$2:B3730&amp;"" ""
),
1,
0
)
)
)
)"),0.0)</f>
        <v>0</v>
      </c>
      <c r="L63" s="7" t="str">
        <f t="shared" si="3"/>
        <v>Other</v>
      </c>
      <c r="M63" s="7" t="str">
        <f t="shared" si="4"/>
        <v>Positive</v>
      </c>
      <c r="N63" s="7" t="str">
        <f>IFERROR(__xludf.DUMMYFUNCTION("LOWER(
TRIM(
REGEXREPLACE(B63,""[^a-zA-Z\s]"","""")
)
)
"),"cara moore")</f>
        <v>cara moore</v>
      </c>
      <c r="O63" s="7">
        <f t="shared" si="5"/>
        <v>1</v>
      </c>
      <c r="P63" s="8" t="str">
        <f t="shared" si="6"/>
        <v>No</v>
      </c>
    </row>
    <row r="64">
      <c r="A64" s="4" t="s">
        <v>16</v>
      </c>
      <c r="B64" s="4" t="s">
        <v>219</v>
      </c>
      <c r="C64" s="5">
        <v>45035.0</v>
      </c>
      <c r="D64" s="5">
        <v>45048.0</v>
      </c>
      <c r="E64" s="4" t="s">
        <v>220</v>
      </c>
      <c r="F64" s="4" t="s">
        <v>221</v>
      </c>
      <c r="G64" s="6" t="str">
        <f>IFERROR(__xludf.DUMMYFUNCTION("REGEXREPLACE(LOWER(F64),""[^a-z\s]"","""")"),"my credit card is always getting flagged for fraud with this site site itself has good selection with great prices but if i want to continue using it i have to make a paypal acct")</f>
        <v>my credit card is always getting flagged for fraud with this site site itself has good selection with great prices but if i want to continue using it i have to make a paypal acct</v>
      </c>
      <c r="H64" s="4" t="str">
        <f t="shared" si="1"/>
        <v>my credit card always getting flagged fraud with this site site itself has good selection with great prices but if i want continue using it i have make a paypal acct</v>
      </c>
      <c r="I64" s="6">
        <f t="shared" si="2"/>
        <v>31</v>
      </c>
      <c r="J64" s="6">
        <f>IFERROR(__xludf.DUMMYFUNCTION("IF(H64="""","""",
SUM(
ARRAYFORMULA(
IF(
REGEXMATCH(
"" ""&amp;H64&amp;"" "",
"" ""&amp;Sentiment_Words!A$2:A3730&amp;"" ""
),
1,
0
)
)
)
)"),2.0)</f>
        <v>2</v>
      </c>
      <c r="K64" s="4">
        <f>IFERROR(__xludf.DUMMYFUNCTION("IF(H64="""","""",
SUM(
ARRAYFORMULA(
IF(
REGEXMATCH(
"" ""&amp;H64&amp;"" "",
"" ""&amp;Sentiment_Words!B$2:B3730&amp;"" ""
),
1,
0
)
)
)
)"),0.0)</f>
        <v>0</v>
      </c>
      <c r="L64" s="7" t="str">
        <f t="shared" si="3"/>
        <v>Other</v>
      </c>
      <c r="M64" s="7" t="str">
        <f t="shared" si="4"/>
        <v>Positive</v>
      </c>
      <c r="N64" s="7" t="str">
        <f>IFERROR(__xludf.DUMMYFUNCTION("LOWER(
TRIM(
REGEXREPLACE(B64,""[^a-zA-Z\s]"","""")
)
)
"),"linda")</f>
        <v>linda</v>
      </c>
      <c r="O64" s="7">
        <f t="shared" si="5"/>
        <v>10</v>
      </c>
      <c r="P64" s="8" t="str">
        <f t="shared" si="6"/>
        <v>Yes</v>
      </c>
    </row>
    <row r="65">
      <c r="A65" s="4" t="s">
        <v>16</v>
      </c>
      <c r="B65" s="4" t="s">
        <v>222</v>
      </c>
      <c r="C65" s="5">
        <v>45038.0</v>
      </c>
      <c r="D65" s="5">
        <v>45050.0</v>
      </c>
      <c r="E65" s="4" t="s">
        <v>223</v>
      </c>
      <c r="F65" s="4" t="s">
        <v>224</v>
      </c>
      <c r="G65" s="6" t="str">
        <f>IFERROR(__xludf.DUMMYFUNCTION("REGEXREPLACE(LOWER(F65),""[^a-z\s]"","""")"),"the price was right time to receive the product was fast only issue was the packaging lbs of cat food and  lbs littler in a box that could not handle the weight the cat littler box broke open and we had little everywhere")</f>
        <v>the price was right time to receive the product was fast only issue was the packaging lbs of cat food and  lbs littler in a box that could not handle the weight the cat littler box broke open and we had little everywhere</v>
      </c>
      <c r="H65" s="4" t="str">
        <f t="shared" si="1"/>
        <v>price was right time receive product was fast only issue was packaging lbs of cat food lbs littler in a box that could not handle weight cat littler box broke open we had little everywhere</v>
      </c>
      <c r="I65" s="6">
        <f t="shared" si="2"/>
        <v>35</v>
      </c>
      <c r="J65" s="6">
        <f>IFERROR(__xludf.DUMMYFUNCTION("IF(H65="""","""",
SUM(
ARRAYFORMULA(
IF(
REGEXMATCH(
"" ""&amp;H65&amp;"" "",
"" ""&amp;Sentiment_Words!A$2:A3730&amp;"" ""
),
1,
0
)
)
)
)"),1.0)</f>
        <v>1</v>
      </c>
      <c r="K65" s="4">
        <f>IFERROR(__xludf.DUMMYFUNCTION("IF(H65="""","""",
SUM(
ARRAYFORMULA(
IF(
REGEXMATCH(
"" ""&amp;H65&amp;"" "",
"" ""&amp;Sentiment_Words!B$2:B3730&amp;"" ""
),
1,
0
)
)
)
)"),1.0)</f>
        <v>1</v>
      </c>
      <c r="L65" s="7" t="str">
        <f t="shared" si="3"/>
        <v>Other</v>
      </c>
      <c r="M65" s="7" t="str">
        <f t="shared" si="4"/>
        <v>Neutral</v>
      </c>
      <c r="N65" s="7" t="str">
        <f>IFERROR(__xludf.DUMMYFUNCTION("LOWER(
TRIM(
REGEXREPLACE(B65,""[^a-zA-Z\s]"","""")
)
)
"),"monti")</f>
        <v>monti</v>
      </c>
      <c r="O65" s="7">
        <f t="shared" si="5"/>
        <v>1</v>
      </c>
      <c r="P65" s="8" t="str">
        <f t="shared" si="6"/>
        <v>No</v>
      </c>
    </row>
    <row r="66">
      <c r="A66" s="4" t="s">
        <v>16</v>
      </c>
      <c r="B66" s="4" t="s">
        <v>225</v>
      </c>
      <c r="C66" s="5">
        <v>45035.0</v>
      </c>
      <c r="D66" s="5">
        <v>45047.0</v>
      </c>
      <c r="E66" s="4" t="s">
        <v>226</v>
      </c>
      <c r="F66" s="4" t="s">
        <v>227</v>
      </c>
      <c r="G66" s="6" t="str">
        <f>IFERROR(__xludf.DUMMYFUNCTION("REGEXREPLACE(LOWER(F66),""[^a-z\s]"","""")"),"all items arrived within a few days well packed
ordered dog food and was a bit worried about possibly getting a short expiration date
the food had an expiration date of over a year
very pleased")</f>
        <v>all items arrived within a few days well packed
ordered dog food and was a bit worried about possibly getting a short expiration date
the food had an expiration date of over a year
very pleased</v>
      </c>
      <c r="H66" s="4" t="str">
        <f t="shared" si="1"/>
        <v>all items arrived within a few days well packed
ordered dog food was a bit worried about possibly getting a short expiration date
the food had an expiration date of over a year
very pleased</v>
      </c>
      <c r="I66" s="6">
        <f t="shared" si="2"/>
        <v>32</v>
      </c>
      <c r="J66" s="6">
        <f>IFERROR(__xludf.DUMMYFUNCTION("IF(H66="""","""",
SUM(
ARRAYFORMULA(
IF(
REGEXMATCH(
"" ""&amp;H66&amp;"" "",
"" ""&amp;Sentiment_Words!A$2:A3730&amp;"" ""
),
1,
0
)
)
)
)"),0.0)</f>
        <v>0</v>
      </c>
      <c r="K66" s="4">
        <f>IFERROR(__xludf.DUMMYFUNCTION("IF(H66="""","""",
SUM(
ARRAYFORMULA(
IF(
REGEXMATCH(
"" ""&amp;H66&amp;"" "",
"" ""&amp;Sentiment_Words!B$2:B3730&amp;"" ""
),
1,
0
)
)
)
)"),0.0)</f>
        <v>0</v>
      </c>
      <c r="L66" s="7" t="str">
        <f t="shared" si="3"/>
        <v>Other</v>
      </c>
      <c r="M66" s="7" t="str">
        <f t="shared" si="4"/>
        <v>Neutral</v>
      </c>
      <c r="N66" s="7" t="str">
        <f>IFERROR(__xludf.DUMMYFUNCTION("LOWER(
TRIM(
REGEXREPLACE(B66,""[^a-zA-Z\s]"","""")
)
)
"),"charlene gioradno")</f>
        <v>charlene gioradno</v>
      </c>
      <c r="O66" s="7">
        <f t="shared" si="5"/>
        <v>1</v>
      </c>
      <c r="P66" s="8" t="str">
        <f t="shared" si="6"/>
        <v>No</v>
      </c>
    </row>
    <row r="67">
      <c r="A67" s="4" t="s">
        <v>16</v>
      </c>
      <c r="B67" s="4" t="s">
        <v>228</v>
      </c>
      <c r="C67" s="5">
        <v>45043.0</v>
      </c>
      <c r="D67" s="5">
        <v>45055.0</v>
      </c>
      <c r="E67" s="4" t="s">
        <v>229</v>
      </c>
      <c r="F67" s="4" t="s">
        <v>230</v>
      </c>
      <c r="G67" s="6" t="str">
        <f>IFERROR(__xludf.DUMMYFUNCTION("REGEXREPLACE(LOWER(F67),""[^a-z\s]"","""")"),"did not like how mostly everything i looked for was out of stock
did not like how i was charged an extra  and not told prior my order came from a different warehouse and so i was charged differently this should not have been my fault i shouldve only paid "&amp;"what i originally was charged and agreed to")</f>
        <v>did not like how mostly everything i looked for was out of stock
did not like how i was charged an extra  and not told prior my order came from a different warehouse and so i was charged differently this should not have been my fault i shouldve only paid what i originally was charged and agreed to</v>
      </c>
      <c r="H67" s="4" t="str">
        <f t="shared" si="1"/>
        <v>did not like how mostly everything i looked was out of stock
did not like how i was charged an extra not told prior my order came from a different warehouse so i was charged differently this should not have been my fault i shouldve only paid what i originally was charged agreed</v>
      </c>
      <c r="I67" s="6">
        <f t="shared" si="2"/>
        <v>52</v>
      </c>
      <c r="J67" s="6">
        <f>IFERROR(__xludf.DUMMYFUNCTION("IF(H67="""","""",
SUM(
ARRAYFORMULA(
IF(
REGEXMATCH(
"" ""&amp;H67&amp;"" "",
"" ""&amp;Sentiment_Words!A$2:A3730&amp;"" ""
),
1,
0
)
)
)
)"),0.0)</f>
        <v>0</v>
      </c>
      <c r="K67" s="4">
        <f>IFERROR(__xludf.DUMMYFUNCTION("IF(H67="""","""",
SUM(
ARRAYFORMULA(
IF(
REGEXMATCH(
"" ""&amp;H67&amp;"" "",
"" ""&amp;Sentiment_Words!B$2:B3730&amp;"" ""
),
1,
0
)
)
)
)"),0.0)</f>
        <v>0</v>
      </c>
      <c r="L67" s="7" t="str">
        <f t="shared" si="3"/>
        <v>Availability</v>
      </c>
      <c r="M67" s="7" t="str">
        <f t="shared" si="4"/>
        <v>Neutral</v>
      </c>
      <c r="N67" s="7" t="str">
        <f>IFERROR(__xludf.DUMMYFUNCTION("LOWER(
TRIM(
REGEXREPLACE(B67,""[^a-zA-Z\s]"","""")
)
)
"),"maria perrone")</f>
        <v>maria perrone</v>
      </c>
      <c r="O67" s="7">
        <f t="shared" si="5"/>
        <v>1</v>
      </c>
      <c r="P67" s="8" t="str">
        <f t="shared" si="6"/>
        <v>No</v>
      </c>
    </row>
    <row r="68">
      <c r="A68" s="4" t="s">
        <v>16</v>
      </c>
      <c r="B68" s="4" t="s">
        <v>231</v>
      </c>
      <c r="C68" s="5">
        <v>45040.0</v>
      </c>
      <c r="D68" s="5">
        <v>45052.0</v>
      </c>
      <c r="E68" s="4" t="s">
        <v>232</v>
      </c>
      <c r="F68" s="4" t="s">
        <v>233</v>
      </c>
      <c r="G68" s="6" t="str">
        <f>IFERROR(__xludf.DUMMYFUNCTION("REGEXREPLACE(LOWER(F68),""[^a-z\s]"","""")"),"i called to ask a few questions and the rep could not answer anything luckily i called back and got a rep who could basic questions also once when i was a prior customer and then with my last order i called for assistance and was assured my issues would b"&amp;"e handled they werent i would rather be told it cant be done than be told it will be handled and it is not")</f>
        <v>i called to ask a few questions and the rep could not answer anything luckily i called back and got a rep who could basic questions also once when i was a prior customer and then with my last order i called for assistance and was assured my issues would be handled they werent i would rather be told it cant be done than be told it will be handled and it is not</v>
      </c>
      <c r="H68" s="4" t="str">
        <f t="shared" si="1"/>
        <v>i called ask a few questions rep could not answer anything luckily i called back got a rep who could basic questions also once when i was a prior customer then with my last order i called assistance was assured my issues would be handled they werent i would rather be told it cant be done than be told it will be handled it not</v>
      </c>
      <c r="I68" s="6">
        <f t="shared" si="2"/>
        <v>65</v>
      </c>
      <c r="J68" s="6">
        <f>IFERROR(__xludf.DUMMYFUNCTION("IF(H68="""","""",
SUM(
ARRAYFORMULA(
IF(
REGEXMATCH(
"" ""&amp;H68&amp;"" "",
"" ""&amp;Sentiment_Words!A$2:A3730&amp;"" ""
),
1,
0
)
)
)
)"),0.0)</f>
        <v>0</v>
      </c>
      <c r="K68" s="4">
        <f>IFERROR(__xludf.DUMMYFUNCTION("IF(H68="""","""",
SUM(
ARRAYFORMULA(
IF(
REGEXMATCH(
"" ""&amp;H68&amp;"" "",
"" ""&amp;Sentiment_Words!B$2:B3730&amp;"" ""
),
1,
0
)
)
)
)"),0.0)</f>
        <v>0</v>
      </c>
      <c r="L68" s="7" t="str">
        <f t="shared" si="3"/>
        <v>Service Recovery</v>
      </c>
      <c r="M68" s="7" t="str">
        <f t="shared" si="4"/>
        <v>Neutral</v>
      </c>
      <c r="N68" s="7" t="str">
        <f>IFERROR(__xludf.DUMMYFUNCTION("LOWER(
TRIM(
REGEXREPLACE(B68,""[^a-zA-Z\s]"","""")
)
)
"),"sue")</f>
        <v>sue</v>
      </c>
      <c r="O68" s="7">
        <f t="shared" si="5"/>
        <v>3</v>
      </c>
      <c r="P68" s="8" t="str">
        <f t="shared" si="6"/>
        <v>Yes</v>
      </c>
    </row>
    <row r="69">
      <c r="A69" s="4" t="s">
        <v>16</v>
      </c>
      <c r="B69" s="4" t="s">
        <v>234</v>
      </c>
      <c r="C69" s="5">
        <v>45038.0</v>
      </c>
      <c r="D69" s="5">
        <v>45050.0</v>
      </c>
      <c r="E69" s="4" t="s">
        <v>235</v>
      </c>
      <c r="F69" s="4" t="s">
        <v>236</v>
      </c>
      <c r="G69" s="6" t="str">
        <f>IFERROR(__xludf.DUMMYFUNCTION("REGEXREPLACE(LOWER(F69),""[^a-z\s]"","""")"),"i have had two auto shipments of dog food messed up in less than  months  first of all i do auto ship with you  i order  bags of victor nutrapro every   weeks  my first problem was an order of two bags sent to me  one was not in a box and was taped shut w"&amp;"here it had been ripped open  half the bag of food was gone  the other box was crushed and resulted in crushed granular dog food  you did replace it and for that i was grateful as i understood  hopefully this happened during shipping and not during shipme"&amp;"nt  second i had an auto ship that was supposed to go out april   i had time food to be available as i was running out  the shipment status said shipped  however the tracking number continued to show waiting for carrier  if i had not followed up with a ca"&amp;"ll i wouldnt have received my food  the shipment was resent may   i had to go to petco and buy dog food to cover gap  my suggestion is tighten up on your shipping process and accountability and internal tracking  you should have notified me of a shipping "&amp;"issue not vice versa  i still use your company and will unless this begins a trend 
regards
larry")</f>
        <v>i have had two auto shipments of dog food messed up in less than  months  first of all i do auto ship with you  i order  bags of victor nutrapro every   weeks  my first problem was an order of two bags sent to me  one was not in a box and was taped shut where it had been ripped open  half the bag of food was gone  the other box was crushed and resulted in crushed granular dog food  you did replace it and for that i was grateful as i understood  hopefully this happened during shipping and not during shipment  second i had an auto ship that was supposed to go out april   i had time food to be available as i was running out  the shipment status said shipped  however the tracking number continued to show waiting for carrier  if i had not followed up with a call i wouldnt have received my food  the shipment was resent may   i had to go to petco and buy dog food to cover gap  my suggestion is tighten up on your shipping process and accountability and internal tracking  you should have notified me of a shipping issue not vice versa  i still use your company and will unless this begins a trend 
regards
larry</v>
      </c>
      <c r="H69" s="4" t="str">
        <f t="shared" si="1"/>
        <v>i have had two auto shipments of dog food messed up in less than months first of all i do auto ship with you i order bags of victor nutrapro every weeks my first problem was an order of two bags sent me one was not in a box was taped shut where it had been ripped open half bag of food was gone other box was crushed resulted in crushed granular dog food you did replace it that i was grateful as i understood hopefully this happened during shipping not during shipment second i had an auto ship that was supposed go out april i had time food be available as i was running out shipment status said shipped however tracking number continued show waiting carrier if i had not followed up with a call i wouldnt have received my food shipment was resent may i had go petco buy dog food cover gap my suggestion tighten up on your shipping process accountability internal tracking you should have notified me of a shipping issue not vice versa i still use your company will unless this begins a trend 
regards
larry</v>
      </c>
      <c r="I69" s="6">
        <f t="shared" si="2"/>
        <v>190</v>
      </c>
      <c r="J69" s="6">
        <f>IFERROR(__xludf.DUMMYFUNCTION("IF(H69="""","""",
SUM(
ARRAYFORMULA(
IF(
REGEXMATCH(
"" ""&amp;H69&amp;"" "",
"" ""&amp;Sentiment_Words!A$2:A3730&amp;"" ""
),
1,
0
)
)
)
)"),3.0)</f>
        <v>3</v>
      </c>
      <c r="K69" s="4">
        <f>IFERROR(__xludf.DUMMYFUNCTION("IF(H69="""","""",
SUM(
ARRAYFORMULA(
IF(
REGEXMATCH(
"" ""&amp;H69&amp;"" "",
"" ""&amp;Sentiment_Words!B$2:B3730&amp;"" ""
),
1,
0
)
)
)
)"),2.0)</f>
        <v>2</v>
      </c>
      <c r="L69" s="7" t="str">
        <f t="shared" si="3"/>
        <v>Account &amp; Website</v>
      </c>
      <c r="M69" s="7" t="str">
        <f t="shared" si="4"/>
        <v>Positive</v>
      </c>
      <c r="N69" s="7" t="str">
        <f>IFERROR(__xludf.DUMMYFUNCTION("LOWER(
TRIM(
REGEXREPLACE(B69,""[^a-zA-Z\s]"","""")
)
)
"),"larry hogue")</f>
        <v>larry hogue</v>
      </c>
      <c r="O69" s="7">
        <f t="shared" si="5"/>
        <v>1</v>
      </c>
      <c r="P69" s="8" t="str">
        <f t="shared" si="6"/>
        <v>No</v>
      </c>
    </row>
    <row r="70">
      <c r="A70" s="4" t="s">
        <v>16</v>
      </c>
      <c r="B70" s="4" t="s">
        <v>237</v>
      </c>
      <c r="C70" s="9">
        <v>45054.0</v>
      </c>
      <c r="D70" s="4" t="s">
        <v>150</v>
      </c>
      <c r="E70" s="4" t="s">
        <v>238</v>
      </c>
      <c r="F70" s="4" t="s">
        <v>239</v>
      </c>
      <c r="G70" s="6" t="str">
        <f>IFERROR(__xludf.DUMMYFUNCTION("REGEXREPLACE(LOWER(F70),""[^a-z\s]"","""")"),"the shipping was by slow boat very disappointed in that")</f>
        <v>the shipping was by slow boat very disappointed in that</v>
      </c>
      <c r="H70" s="4" t="str">
        <f t="shared" si="1"/>
        <v>shipping was by slow boat very disappointed in that</v>
      </c>
      <c r="I70" s="6">
        <f t="shared" si="2"/>
        <v>9</v>
      </c>
      <c r="J70" s="6">
        <f>IFERROR(__xludf.DUMMYFUNCTION("IF(H70="""","""",
SUM(
ARRAYFORMULA(
IF(
REGEXMATCH(
"" ""&amp;H70&amp;"" "",
"" ""&amp;Sentiment_Words!A$2:A3730&amp;"" ""
),
1,
0
)
)
)
)"),0.0)</f>
        <v>0</v>
      </c>
      <c r="K70" s="4">
        <f>IFERROR(__xludf.DUMMYFUNCTION("IF(H70="""","""",
SUM(
ARRAYFORMULA(
IF(
REGEXMATCH(
"" ""&amp;H70&amp;"" "",
"" ""&amp;Sentiment_Words!B$2:B3730&amp;"" ""
),
1,
0
)
)
)
)"),0.0)</f>
        <v>0</v>
      </c>
      <c r="L70" s="7" t="str">
        <f t="shared" si="3"/>
        <v>Trust &amp; Experience</v>
      </c>
      <c r="M70" s="7" t="str">
        <f t="shared" si="4"/>
        <v>Neutral</v>
      </c>
      <c r="N70" s="7" t="str">
        <f>IFERROR(__xludf.DUMMYFUNCTION("LOWER(
TRIM(
REGEXREPLACE(B70,""[^a-zA-Z\s]"","""")
)
)
"),"rired")</f>
        <v>rired</v>
      </c>
      <c r="O70" s="7">
        <f t="shared" si="5"/>
        <v>1</v>
      </c>
      <c r="P70" s="8" t="str">
        <f t="shared" si="6"/>
        <v>No</v>
      </c>
    </row>
    <row r="71">
      <c r="A71" s="4" t="s">
        <v>16</v>
      </c>
      <c r="B71" s="4" t="s">
        <v>240</v>
      </c>
      <c r="C71" s="9">
        <v>45047.0</v>
      </c>
      <c r="D71" s="4" t="s">
        <v>42</v>
      </c>
      <c r="E71" s="4" t="s">
        <v>241</v>
      </c>
      <c r="F71" s="4" t="s">
        <v>242</v>
      </c>
      <c r="G71" s="6" t="str">
        <f>IFERROR(__xludf.DUMMYFUNCTION("REGEXREPLACE(LOWER(F71),""[^a-z\s]"","""")"),"always fair price and prompt shipping and great products choices")</f>
        <v>always fair price and prompt shipping and great products choices</v>
      </c>
      <c r="H71" s="4" t="str">
        <f t="shared" si="1"/>
        <v>always fair price prompt shipping great products choices</v>
      </c>
      <c r="I71" s="6">
        <f t="shared" si="2"/>
        <v>8</v>
      </c>
      <c r="J71" s="6">
        <f>IFERROR(__xludf.DUMMYFUNCTION("IF(H71="""","""",
SUM(
ARRAYFORMULA(
IF(
REGEXMATCH(
"" ""&amp;H71&amp;"" "",
"" ""&amp;Sentiment_Words!A$2:A3730&amp;"" ""
),
1,
0
)
)
)
)"),2.0)</f>
        <v>2</v>
      </c>
      <c r="K71" s="4">
        <f>IFERROR(__xludf.DUMMYFUNCTION("IF(H71="""","""",
SUM(
ARRAYFORMULA(
IF(
REGEXMATCH(
"" ""&amp;H71&amp;"" "",
"" ""&amp;Sentiment_Words!B$2:B3730&amp;"" ""
),
1,
0
)
)
)
)"),0.0)</f>
        <v>0</v>
      </c>
      <c r="L71" s="7" t="str">
        <f t="shared" si="3"/>
        <v>Other</v>
      </c>
      <c r="M71" s="7" t="str">
        <f t="shared" si="4"/>
        <v>Positive</v>
      </c>
      <c r="N71" s="7" t="str">
        <f>IFERROR(__xludf.DUMMYFUNCTION("LOWER(
TRIM(
REGEXREPLACE(B71,""[^a-zA-Z\s]"","""")
)
)
"),"kc jenkins")</f>
        <v>kc jenkins</v>
      </c>
      <c r="O71" s="7">
        <f t="shared" si="5"/>
        <v>1</v>
      </c>
      <c r="P71" s="8" t="str">
        <f t="shared" si="6"/>
        <v>No</v>
      </c>
    </row>
    <row r="72">
      <c r="A72" s="4" t="s">
        <v>16</v>
      </c>
      <c r="B72" s="4" t="s">
        <v>243</v>
      </c>
      <c r="C72" s="9">
        <v>45049.0</v>
      </c>
      <c r="D72" s="5">
        <v>45061.0</v>
      </c>
      <c r="E72" s="4" t="s">
        <v>244</v>
      </c>
      <c r="F72" s="4" t="s">
        <v>245</v>
      </c>
      <c r="G72" s="6" t="str">
        <f>IFERROR(__xludf.DUMMYFUNCTION("REGEXREPLACE(LOWER(F72),""[^a-z\s]"","""")"),"it was very helpful to have that special with  off of  purchase its hard for me as a senior on a fixed income")</f>
        <v>it was very helpful to have that special with  off of  purchase its hard for me as a senior on a fixed income</v>
      </c>
      <c r="H72" s="4" t="str">
        <f t="shared" si="1"/>
        <v>it was very helpful have that special with off of purchase its hard me as a senior on a fixed income</v>
      </c>
      <c r="I72" s="6">
        <f t="shared" si="2"/>
        <v>21</v>
      </c>
      <c r="J72" s="6">
        <f>IFERROR(__xludf.DUMMYFUNCTION("IF(H72="""","""",
SUM(
ARRAYFORMULA(
IF(
REGEXMATCH(
"" ""&amp;H72&amp;"" "",
"" ""&amp;Sentiment_Words!A$2:A3730&amp;"" ""
),
1,
0
)
)
)
)"),1.0)</f>
        <v>1</v>
      </c>
      <c r="K72" s="4">
        <f>IFERROR(__xludf.DUMMYFUNCTION("IF(H72="""","""",
SUM(
ARRAYFORMULA(
IF(
REGEXMATCH(
"" ""&amp;H72&amp;"" "",
"" ""&amp;Sentiment_Words!B$2:B3730&amp;"" ""
),
1,
0
)
)
)
)"),0.0)</f>
        <v>0</v>
      </c>
      <c r="L72" s="7" t="str">
        <f t="shared" si="3"/>
        <v>Other</v>
      </c>
      <c r="M72" s="7" t="str">
        <f t="shared" si="4"/>
        <v>Positive</v>
      </c>
      <c r="N72" s="7" t="str">
        <f>IFERROR(__xludf.DUMMYFUNCTION("LOWER(
TRIM(
REGEXREPLACE(B72,""[^a-zA-Z\s]"","""")
)
)
"),"susan anderson")</f>
        <v>susan anderson</v>
      </c>
      <c r="O72" s="7">
        <f t="shared" si="5"/>
        <v>1</v>
      </c>
      <c r="P72" s="8" t="str">
        <f t="shared" si="6"/>
        <v>No</v>
      </c>
    </row>
    <row r="73">
      <c r="A73" s="4" t="s">
        <v>16</v>
      </c>
      <c r="B73" s="4" t="s">
        <v>246</v>
      </c>
      <c r="C73" s="5">
        <v>45057.0</v>
      </c>
      <c r="D73" s="4" t="s">
        <v>42</v>
      </c>
      <c r="E73" s="4" t="s">
        <v>247</v>
      </c>
      <c r="F73" s="4" t="s">
        <v>248</v>
      </c>
      <c r="G73" s="6" t="str">
        <f>IFERROR(__xludf.DUMMYFUNCTION("REGEXREPLACE(LOWER(F73),""[^a-z\s]"","""")"),"easy transaction good selection good prices quick shipment")</f>
        <v>easy transaction good selection good prices quick shipment</v>
      </c>
      <c r="H73" s="4" t="str">
        <f t="shared" si="1"/>
        <v>easy transaction good selection good prices quick shipment</v>
      </c>
      <c r="I73" s="6">
        <f t="shared" si="2"/>
        <v>8</v>
      </c>
      <c r="J73" s="6">
        <f>IFERROR(__xludf.DUMMYFUNCTION("IF(H73="""","""",
SUM(
ARRAYFORMULA(
IF(
REGEXMATCH(
"" ""&amp;H73&amp;"" "",
"" ""&amp;Sentiment_Words!A$2:A3730&amp;"" ""
),
1,
0
)
)
)
)"),2.0)</f>
        <v>2</v>
      </c>
      <c r="K73" s="4">
        <f>IFERROR(__xludf.DUMMYFUNCTION("IF(H73="""","""",
SUM(
ARRAYFORMULA(
IF(
REGEXMATCH(
"" ""&amp;H73&amp;"" "",
"" ""&amp;Sentiment_Words!B$2:B3730&amp;"" ""
),
1,
0
)
)
)
)"),0.0)</f>
        <v>0</v>
      </c>
      <c r="L73" s="7" t="str">
        <f t="shared" si="3"/>
        <v>Other</v>
      </c>
      <c r="M73" s="7" t="str">
        <f t="shared" si="4"/>
        <v>Positive</v>
      </c>
      <c r="N73" s="7" t="str">
        <f>IFERROR(__xludf.DUMMYFUNCTION("LOWER(
TRIM(
REGEXREPLACE(B73,""[^a-zA-Z\s]"","""")
)
)
"),"deanna f")</f>
        <v>deanna f</v>
      </c>
      <c r="O73" s="7">
        <f t="shared" si="5"/>
        <v>1</v>
      </c>
      <c r="P73" s="8" t="str">
        <f t="shared" si="6"/>
        <v>No</v>
      </c>
    </row>
    <row r="74">
      <c r="A74" s="4" t="s">
        <v>16</v>
      </c>
      <c r="B74" s="4" t="s">
        <v>249</v>
      </c>
      <c r="C74" s="5">
        <v>45036.0</v>
      </c>
      <c r="D74" s="5">
        <v>45048.0</v>
      </c>
      <c r="E74" s="4" t="s">
        <v>250</v>
      </c>
      <c r="F74" s="4" t="s">
        <v>251</v>
      </c>
      <c r="G74" s="6" t="str">
        <f>IFERROR(__xludf.DUMMYFUNCTION("REGEXREPLACE(LOWER(F74),""[^a-z\s]"","""")"),"the shipping is literally always late i know that is out of your control but it would be worth talking to fed ex about it im sure you are losing return business")</f>
        <v>the shipping is literally always late i know that is out of your control but it would be worth talking to fed ex about it im sure you are losing return business</v>
      </c>
      <c r="H74" s="4" t="str">
        <f t="shared" si="1"/>
        <v>shipping literally always late i know that out of your control but it would be worth talking fed ex about it im sure you are losing return business</v>
      </c>
      <c r="I74" s="6">
        <f t="shared" si="2"/>
        <v>28</v>
      </c>
      <c r="J74" s="6">
        <f>IFERROR(__xludf.DUMMYFUNCTION("IF(H74="""","""",
SUM(
ARRAYFORMULA(
IF(
REGEXMATCH(
"" ""&amp;H74&amp;"" "",
"" ""&amp;Sentiment_Words!A$2:A3730&amp;"" ""
),
1,
0
)
)
)
)"),1.0)</f>
        <v>1</v>
      </c>
      <c r="K74" s="4">
        <f>IFERROR(__xludf.DUMMYFUNCTION("IF(H74="""","""",
SUM(
ARRAYFORMULA(
IF(
REGEXMATCH(
"" ""&amp;H74&amp;"" "",
"" ""&amp;Sentiment_Words!B$2:B3730&amp;"" ""
),
1,
0
)
)
)
)"),0.0)</f>
        <v>0</v>
      </c>
      <c r="L74" s="7" t="str">
        <f t="shared" si="3"/>
        <v>Fulfillment &amp; Shipping</v>
      </c>
      <c r="M74" s="7" t="str">
        <f t="shared" si="4"/>
        <v>Positive</v>
      </c>
      <c r="N74" s="7" t="str">
        <f>IFERROR(__xludf.DUMMYFUNCTION("LOWER(
TRIM(
REGEXREPLACE(B74,""[^a-zA-Z\s]"","""")
)
)
"),"allison cryer")</f>
        <v>allison cryer</v>
      </c>
      <c r="O74" s="7">
        <f t="shared" si="5"/>
        <v>1</v>
      </c>
      <c r="P74" s="8" t="str">
        <f t="shared" si="6"/>
        <v>No</v>
      </c>
    </row>
    <row r="75">
      <c r="A75" s="4" t="s">
        <v>16</v>
      </c>
      <c r="B75" s="4" t="s">
        <v>252</v>
      </c>
      <c r="C75" s="5">
        <v>45057.0</v>
      </c>
      <c r="D75" s="4" t="s">
        <v>42</v>
      </c>
      <c r="E75" s="4" t="s">
        <v>253</v>
      </c>
      <c r="F75" s="4" t="s">
        <v>254</v>
      </c>
      <c r="G75" s="6" t="str">
        <f>IFERROR(__xludf.DUMMYFUNCTION("REGEXREPLACE(LOWER(F75),""[^a-z\s]"","""")"),"quick delivery of a hardtofind product my dog loves")</f>
        <v>quick delivery of a hardtofind product my dog loves</v>
      </c>
      <c r="H75" s="4" t="str">
        <f t="shared" si="1"/>
        <v>quick delivery of a hardtofind product my dog loves</v>
      </c>
      <c r="I75" s="6">
        <f t="shared" si="2"/>
        <v>9</v>
      </c>
      <c r="J75" s="6">
        <f>IFERROR(__xludf.DUMMYFUNCTION("IF(H75="""","""",
SUM(
ARRAYFORMULA(
IF(
REGEXMATCH(
"" ""&amp;H75&amp;"" "",
"" ""&amp;Sentiment_Words!A$2:A3730&amp;"" ""
),
1,
0
)
)
)
)"),1.0)</f>
        <v>1</v>
      </c>
      <c r="K75" s="4">
        <f>IFERROR(__xludf.DUMMYFUNCTION("IF(H75="""","""",
SUM(
ARRAYFORMULA(
IF(
REGEXMATCH(
"" ""&amp;H75&amp;"" "",
"" ""&amp;Sentiment_Words!B$2:B3730&amp;"" ""
),
1,
0
)
)
)
)"),0.0)</f>
        <v>0</v>
      </c>
      <c r="L75" s="7" t="str">
        <f t="shared" si="3"/>
        <v>Other</v>
      </c>
      <c r="M75" s="7" t="str">
        <f t="shared" si="4"/>
        <v>Positive</v>
      </c>
      <c r="N75" s="7" t="str">
        <f>IFERROR(__xludf.DUMMYFUNCTION("LOWER(
TRIM(
REGEXREPLACE(B75,""[^a-zA-Z\s]"","""")
)
)
"),"lisa")</f>
        <v>lisa</v>
      </c>
      <c r="O75" s="7">
        <f t="shared" si="5"/>
        <v>8</v>
      </c>
      <c r="P75" s="8" t="str">
        <f t="shared" si="6"/>
        <v>Yes</v>
      </c>
    </row>
    <row r="76">
      <c r="A76" s="4" t="s">
        <v>16</v>
      </c>
      <c r="B76" s="4" t="s">
        <v>255</v>
      </c>
      <c r="C76" s="9">
        <v>45054.0</v>
      </c>
      <c r="D76" s="4" t="s">
        <v>150</v>
      </c>
      <c r="E76" s="4" t="s">
        <v>256</v>
      </c>
      <c r="F76" s="4" t="s">
        <v>257</v>
      </c>
      <c r="G76" s="6" t="str">
        <f>IFERROR(__xludf.DUMMYFUNCTION("REGEXREPLACE(LOWER(F76),""[^a-z\s]"","""")"),"petflow has good prices if you have
coupon codes and use google incognito")</f>
        <v>petflow has good prices if you have
coupon codes and use google incognito</v>
      </c>
      <c r="H76" s="4" t="str">
        <f t="shared" si="1"/>
        <v>petflow has good prices if you have
coupon codes use google incognito</v>
      </c>
      <c r="I76" s="6">
        <f t="shared" si="2"/>
        <v>11</v>
      </c>
      <c r="J76" s="6">
        <f>IFERROR(__xludf.DUMMYFUNCTION("IF(H76="""","""",
SUM(
ARRAYFORMULA(
IF(
REGEXMATCH(
"" ""&amp;H76&amp;"" "",
"" ""&amp;Sentiment_Words!A$2:A3730&amp;"" ""
),
1,
0
)
)
)
)"),1.0)</f>
        <v>1</v>
      </c>
      <c r="K76" s="4">
        <f>IFERROR(__xludf.DUMMYFUNCTION("IF(H76="""","""",
SUM(
ARRAYFORMULA(
IF(
REGEXMATCH(
"" ""&amp;H76&amp;"" "",
"" ""&amp;Sentiment_Words!B$2:B3730&amp;"" ""
),
1,
0
)
)
)
)"),0.0)</f>
        <v>0</v>
      </c>
      <c r="L76" s="7" t="str">
        <f t="shared" si="3"/>
        <v>Account &amp; Website</v>
      </c>
      <c r="M76" s="7" t="str">
        <f t="shared" si="4"/>
        <v>Positive</v>
      </c>
      <c r="N76" s="7" t="str">
        <f>IFERROR(__xludf.DUMMYFUNCTION("LOWER(
TRIM(
REGEXREPLACE(B76,""[^a-zA-Z\s]"","""")
)
)
"),"barb bichons")</f>
        <v>barb bichons</v>
      </c>
      <c r="O76" s="7">
        <f t="shared" si="5"/>
        <v>1</v>
      </c>
      <c r="P76" s="8" t="str">
        <f t="shared" si="6"/>
        <v>No</v>
      </c>
    </row>
    <row r="77">
      <c r="A77" s="4" t="s">
        <v>16</v>
      </c>
      <c r="B77" s="4" t="s">
        <v>258</v>
      </c>
      <c r="C77" s="5">
        <v>45036.0</v>
      </c>
      <c r="D77" s="5">
        <v>45048.0</v>
      </c>
      <c r="E77" s="4" t="s">
        <v>259</v>
      </c>
      <c r="F77" s="4" t="s">
        <v>260</v>
      </c>
      <c r="G77" s="6" t="str">
        <f>IFERROR(__xludf.DUMMYFUNCTION("REGEXREPLACE(LOWER(F77),""[^a-z\s]"","""")"),"i ordered a case of  cans of dog food when it came  cans were severely dented i called the company and they did send out a new case very quickly when the new set of  came  were damaged and unusable this isnt cheap dog food the packagingshrink wrapping was"&amp;"nt messed up so im not sure how these cans are getting so messed up
company has great customer service but the product keeps coming damaged so thats frustrating")</f>
        <v>i ordered a case of  cans of dog food when it came  cans were severely dented i called the company and they did send out a new case very quickly when the new set of  came  were damaged and unusable this isnt cheap dog food the packagingshrink wrapping wasnt messed up so im not sure how these cans are getting so messed up
company has great customer service but the product keeps coming damaged so thats frustrating</v>
      </c>
      <c r="H77" s="4" t="str">
        <f t="shared" si="1"/>
        <v>i ordered a case of cans of dog food when it came cans were severely dented i called company they did send out a new case very quickly when new set of came were damaged unusable this isnt cheap dog food packagingshrink wrapping wasnt messed up so im not sure how these cans are getting so messed up
company has great customer service but product keeps coming damaged so thats frustrating</v>
      </c>
      <c r="I77" s="6">
        <f t="shared" si="2"/>
        <v>70</v>
      </c>
      <c r="J77" s="6">
        <f>IFERROR(__xludf.DUMMYFUNCTION("IF(H77="""","""",
SUM(
ARRAYFORMULA(
IF(
REGEXMATCH(
"" ""&amp;H77&amp;"" "",
"" ""&amp;Sentiment_Words!A$2:A3730&amp;"" ""
),
1,
0
)
)
)
)"),2.0)</f>
        <v>2</v>
      </c>
      <c r="K77" s="4">
        <f>IFERROR(__xludf.DUMMYFUNCTION("IF(H77="""","""",
SUM(
ARRAYFORMULA(
IF(
REGEXMATCH(
"" ""&amp;H77&amp;"" "",
"" ""&amp;Sentiment_Words!B$2:B3730&amp;"" ""
),
1,
0
)
)
)
)"),2.0)</f>
        <v>2</v>
      </c>
      <c r="L77" s="7" t="str">
        <f t="shared" si="3"/>
        <v>Customer Support</v>
      </c>
      <c r="M77" s="7" t="str">
        <f t="shared" si="4"/>
        <v>Neutral</v>
      </c>
      <c r="N77" s="7" t="str">
        <f>IFERROR(__xludf.DUMMYFUNCTION("LOWER(
TRIM(
REGEXREPLACE(B77,""[^a-zA-Z\s]"","""")
)
)
"),"nikki parson")</f>
        <v>nikki parson</v>
      </c>
      <c r="O77" s="7">
        <f t="shared" si="5"/>
        <v>1</v>
      </c>
      <c r="P77" s="8" t="str">
        <f t="shared" si="6"/>
        <v>No</v>
      </c>
    </row>
    <row r="78">
      <c r="A78" s="4" t="s">
        <v>16</v>
      </c>
      <c r="B78" s="4" t="s">
        <v>261</v>
      </c>
      <c r="C78" s="9">
        <v>45054.0</v>
      </c>
      <c r="D78" s="4" t="s">
        <v>150</v>
      </c>
      <c r="E78" s="4" t="s">
        <v>262</v>
      </c>
      <c r="F78" s="4" t="s">
        <v>263</v>
      </c>
      <c r="G78" s="6" t="str">
        <f>IFERROR(__xludf.DUMMYFUNCTION("REGEXREPLACE(LOWER(F78),""[^a-z\s]"","""")"),"online ordering is easy product selection is great delivery is fast good customer service to boot")</f>
        <v>online ordering is easy product selection is great delivery is fast good customer service to boot</v>
      </c>
      <c r="H78" s="4" t="str">
        <f t="shared" si="1"/>
        <v>online ordering easy product selection great delivery fast good customer service boot</v>
      </c>
      <c r="I78" s="6">
        <f t="shared" si="2"/>
        <v>12</v>
      </c>
      <c r="J78" s="6">
        <f>IFERROR(__xludf.DUMMYFUNCTION("IF(H78="""","""",
SUM(
ARRAYFORMULA(
IF(
REGEXMATCH(
"" ""&amp;H78&amp;"" "",
"" ""&amp;Sentiment_Words!A$2:A3730&amp;"" ""
),
1,
0
)
)
)
)"),4.0)</f>
        <v>4</v>
      </c>
      <c r="K78" s="4">
        <f>IFERROR(__xludf.DUMMYFUNCTION("IF(H78="""","""",
SUM(
ARRAYFORMULA(
IF(
REGEXMATCH(
"" ""&amp;H78&amp;"" "",
"" ""&amp;Sentiment_Words!B$2:B3730&amp;"" ""
),
1,
0
)
)
)
)"),1.0)</f>
        <v>1</v>
      </c>
      <c r="L78" s="7" t="str">
        <f t="shared" si="3"/>
        <v>Customer Support</v>
      </c>
      <c r="M78" s="7" t="str">
        <f t="shared" si="4"/>
        <v>Positive</v>
      </c>
      <c r="N78" s="7" t="str">
        <f>IFERROR(__xludf.DUMMYFUNCTION("LOWER(
TRIM(
REGEXREPLACE(B78,""[^a-zA-Z\s]"","""")
)
)
"),"alex g")</f>
        <v>alex g</v>
      </c>
      <c r="O78" s="7">
        <f t="shared" si="5"/>
        <v>2</v>
      </c>
      <c r="P78" s="8" t="str">
        <f t="shared" si="6"/>
        <v>Yes</v>
      </c>
    </row>
    <row r="79">
      <c r="A79" s="4" t="s">
        <v>16</v>
      </c>
      <c r="B79" s="4" t="s">
        <v>264</v>
      </c>
      <c r="C79" s="5">
        <v>45040.0</v>
      </c>
      <c r="D79" s="5">
        <v>45053.0</v>
      </c>
      <c r="E79" s="4" t="s">
        <v>265</v>
      </c>
      <c r="F79" s="4" t="s">
        <v>266</v>
      </c>
      <c r="G79" s="6" t="str">
        <f>IFERROR(__xludf.DUMMYFUNCTION("REGEXREPLACE(LOWER(F79),""[^a-z\s]"","""")"),"we needed dog food asap so petflow to the rescue plus their subscription program gets food to us on time without having to wait to order we love it")</f>
        <v>we needed dog food asap so petflow to the rescue plus their subscription program gets food to us on time without having to wait to order we love it</v>
      </c>
      <c r="H79" s="4" t="str">
        <f t="shared" si="1"/>
        <v>we needed dog food asap so petflow rescue plus their subscription program gets food us on time without having wait order we love it</v>
      </c>
      <c r="I79" s="6">
        <f t="shared" si="2"/>
        <v>24</v>
      </c>
      <c r="J79" s="6">
        <f>IFERROR(__xludf.DUMMYFUNCTION("IF(H79="""","""",
SUM(
ARRAYFORMULA(
IF(
REGEXMATCH(
"" ""&amp;H79&amp;"" "",
"" ""&amp;Sentiment_Words!A$2:A3730&amp;"" ""
),
1,
0
)
)
)
)"),2.0)</f>
        <v>2</v>
      </c>
      <c r="K79" s="4">
        <f>IFERROR(__xludf.DUMMYFUNCTION("IF(H79="""","""",
SUM(
ARRAYFORMULA(
IF(
REGEXMATCH(
"" ""&amp;H79&amp;"" "",
"" ""&amp;Sentiment_Words!B$2:B3730&amp;"" ""
),
1,
0
)
)
)
)"),0.0)</f>
        <v>0</v>
      </c>
      <c r="L79" s="7" t="str">
        <f t="shared" si="3"/>
        <v>Other</v>
      </c>
      <c r="M79" s="7" t="str">
        <f t="shared" si="4"/>
        <v>Positive</v>
      </c>
      <c r="N79" s="7" t="str">
        <f>IFERROR(__xludf.DUMMYFUNCTION("LOWER(
TRIM(
REGEXREPLACE(B79,""[^a-zA-Z\s]"","""")
)
)
"),"linda crostic")</f>
        <v>linda crostic</v>
      </c>
      <c r="O79" s="7">
        <f t="shared" si="5"/>
        <v>1</v>
      </c>
      <c r="P79" s="8" t="str">
        <f t="shared" si="6"/>
        <v>No</v>
      </c>
    </row>
    <row r="80">
      <c r="A80" s="4" t="s">
        <v>16</v>
      </c>
      <c r="B80" s="4" t="s">
        <v>267</v>
      </c>
      <c r="C80" s="5">
        <v>45041.0</v>
      </c>
      <c r="D80" s="5">
        <v>45053.0</v>
      </c>
      <c r="E80" s="4" t="s">
        <v>268</v>
      </c>
      <c r="F80" s="4" t="s">
        <v>269</v>
      </c>
      <c r="G80" s="6" t="str">
        <f>IFERROR(__xludf.DUMMYFUNCTION("REGEXREPLACE(LOWER(F80),""[^a-z\s]"","""")"),"easy to order and delivered in a timely matter and when i had a problem with a delivery as crushed cans or a torn bag of dry dog food it was taken care of")</f>
        <v>easy to order and delivered in a timely matter and when i had a problem with a delivery as crushed cans or a torn bag of dry dog food it was taken care of</v>
      </c>
      <c r="H80" s="4" t="str">
        <f t="shared" si="1"/>
        <v>easy order delivered in a timely matter when i had a problem with a delivery as crushed cans or a torn bag of dry dog food it was taken care of</v>
      </c>
      <c r="I80" s="6">
        <f t="shared" si="2"/>
        <v>31</v>
      </c>
      <c r="J80" s="6">
        <f>IFERROR(__xludf.DUMMYFUNCTION("IF(H80="""","""",
SUM(
ARRAYFORMULA(
IF(
REGEXMATCH(
"" ""&amp;H80&amp;"" "",
"" ""&amp;Sentiment_Words!A$2:A3730&amp;"" ""
),
1,
0
)
)
)
)"),2.0)</f>
        <v>2</v>
      </c>
      <c r="K80" s="4">
        <f>IFERROR(__xludf.DUMMYFUNCTION("IF(H80="""","""",
SUM(
ARRAYFORMULA(
IF(
REGEXMATCH(
"" ""&amp;H80&amp;"" "",
"" ""&amp;Sentiment_Words!B$2:B3730&amp;"" ""
),
1,
0
)
)
)
)"),1.0)</f>
        <v>1</v>
      </c>
      <c r="L80" s="7" t="str">
        <f t="shared" si="3"/>
        <v>Other</v>
      </c>
      <c r="M80" s="7" t="str">
        <f t="shared" si="4"/>
        <v>Positive</v>
      </c>
      <c r="N80" s="7" t="str">
        <f>IFERROR(__xludf.DUMMYFUNCTION("LOWER(
TRIM(
REGEXREPLACE(B80,""[^a-zA-Z\s]"","""")
)
)
"),"christine flowers")</f>
        <v>christine flowers</v>
      </c>
      <c r="O80" s="7">
        <f t="shared" si="5"/>
        <v>1</v>
      </c>
      <c r="P80" s="8" t="str">
        <f t="shared" si="6"/>
        <v>No</v>
      </c>
    </row>
    <row r="81">
      <c r="A81" s="4" t="s">
        <v>16</v>
      </c>
      <c r="B81" s="4" t="s">
        <v>270</v>
      </c>
      <c r="C81" s="5">
        <v>45042.0</v>
      </c>
      <c r="D81" s="5">
        <v>45054.0</v>
      </c>
      <c r="E81" s="4" t="s">
        <v>271</v>
      </c>
      <c r="F81" s="4" t="s">
        <v>272</v>
      </c>
      <c r="G81" s="6" t="str">
        <f>IFERROR(__xludf.DUMMYFUNCTION("REGEXREPLACE(LOWER(F81),""[^a-z\s]"","""")"),"sure is easy to navigate and the experience was quick they have good deals ill definitely be back  recommend to others")</f>
        <v>sure is easy to navigate and the experience was quick they have good deals ill definitely be back  recommend to others</v>
      </c>
      <c r="H81" s="4" t="str">
        <f t="shared" si="1"/>
        <v>sure easy navigate experience was quick they have good deals ill definitely be back recommend others</v>
      </c>
      <c r="I81" s="6">
        <f t="shared" si="2"/>
        <v>16</v>
      </c>
      <c r="J81" s="6">
        <f>IFERROR(__xludf.DUMMYFUNCTION("IF(H81="""","""",
SUM(
ARRAYFORMULA(
IF(
REGEXMATCH(
"" ""&amp;H81&amp;"" "",
"" ""&amp;Sentiment_Words!A$2:A3730&amp;"" ""
),
1,
0
)
)
)
)"),2.0)</f>
        <v>2</v>
      </c>
      <c r="K81" s="4">
        <f>IFERROR(__xludf.DUMMYFUNCTION("IF(H81="""","""",
SUM(
ARRAYFORMULA(
IF(
REGEXMATCH(
"" ""&amp;H81&amp;"" "",
"" ""&amp;Sentiment_Words!B$2:B3730&amp;"" ""
),
1,
0
)
)
)
)"),0.0)</f>
        <v>0</v>
      </c>
      <c r="L81" s="7" t="str">
        <f t="shared" si="3"/>
        <v>Other</v>
      </c>
      <c r="M81" s="7" t="str">
        <f t="shared" si="4"/>
        <v>Positive</v>
      </c>
      <c r="N81" s="7" t="str">
        <f>IFERROR(__xludf.DUMMYFUNCTION("LOWER(
TRIM(
REGEXREPLACE(B81,""[^a-zA-Z\s]"","""")
)
)
"),"baillee")</f>
        <v>baillee</v>
      </c>
      <c r="O81" s="7">
        <f t="shared" si="5"/>
        <v>1</v>
      </c>
      <c r="P81" s="8" t="str">
        <f t="shared" si="6"/>
        <v>No</v>
      </c>
    </row>
    <row r="82">
      <c r="A82" s="4" t="s">
        <v>16</v>
      </c>
      <c r="B82" s="4" t="s">
        <v>273</v>
      </c>
      <c r="C82" s="5">
        <v>45056.0</v>
      </c>
      <c r="D82" s="4" t="s">
        <v>50</v>
      </c>
      <c r="E82" s="4" t="s">
        <v>274</v>
      </c>
      <c r="F82" s="4" t="s">
        <v>275</v>
      </c>
      <c r="G82" s="6" t="str">
        <f>IFERROR(__xludf.DUMMYFUNCTION("REGEXREPLACE(LOWER(F82),""[^a-z\s]"","""")"),"good prices and selections and fast delivery")</f>
        <v>good prices and selections and fast delivery</v>
      </c>
      <c r="H82" s="4" t="str">
        <f t="shared" si="1"/>
        <v>good prices selections fast delivery</v>
      </c>
      <c r="I82" s="6">
        <f t="shared" si="2"/>
        <v>5</v>
      </c>
      <c r="J82" s="6">
        <f>IFERROR(__xludf.DUMMYFUNCTION("IF(H82="""","""",
SUM(
ARRAYFORMULA(
IF(
REGEXMATCH(
"" ""&amp;H82&amp;"" "",
"" ""&amp;Sentiment_Words!A$2:A3730&amp;"" ""
),
1,
0
)
)
)
)"),3.0)</f>
        <v>3</v>
      </c>
      <c r="K82" s="4">
        <f>IFERROR(__xludf.DUMMYFUNCTION("IF(H82="""","""",
SUM(
ARRAYFORMULA(
IF(
REGEXMATCH(
"" ""&amp;H82&amp;"" "",
"" ""&amp;Sentiment_Words!B$2:B3730&amp;"" ""
),
1,
0
)
)
)
)"),0.0)</f>
        <v>0</v>
      </c>
      <c r="L82" s="7" t="str">
        <f t="shared" si="3"/>
        <v>Other</v>
      </c>
      <c r="M82" s="7" t="str">
        <f t="shared" si="4"/>
        <v>Positive</v>
      </c>
      <c r="N82" s="7" t="str">
        <f>IFERROR(__xludf.DUMMYFUNCTION("LOWER(
TRIM(
REGEXREPLACE(B82,""[^a-zA-Z\s]"","""")
)
)
"),"paul")</f>
        <v>paul</v>
      </c>
      <c r="O82" s="7">
        <f t="shared" si="5"/>
        <v>1</v>
      </c>
      <c r="P82" s="8" t="str">
        <f t="shared" si="6"/>
        <v>No</v>
      </c>
    </row>
    <row r="83">
      <c r="A83" s="4" t="s">
        <v>16</v>
      </c>
      <c r="B83" s="4" t="s">
        <v>276</v>
      </c>
      <c r="C83" s="5">
        <v>45056.0</v>
      </c>
      <c r="D83" s="4" t="s">
        <v>50</v>
      </c>
      <c r="E83" s="4" t="s">
        <v>277</v>
      </c>
      <c r="F83" s="4" t="s">
        <v>278</v>
      </c>
      <c r="G83" s="6" t="str">
        <f>IFERROR(__xludf.DUMMYFUNCTION("REGEXREPLACE(LOWER(F83),""[^a-z\s]"","""")"),"i made a mistake on my order and customer service immediately corrected it for me")</f>
        <v>i made a mistake on my order and customer service immediately corrected it for me</v>
      </c>
      <c r="H83" s="4" t="str">
        <f t="shared" si="1"/>
        <v>i made a mistake on my order customer service immediately corrected it me</v>
      </c>
      <c r="I83" s="6">
        <f t="shared" si="2"/>
        <v>13</v>
      </c>
      <c r="J83" s="6">
        <f>IFERROR(__xludf.DUMMYFUNCTION("IF(H83="""","""",
SUM(
ARRAYFORMULA(
IF(
REGEXMATCH(
"" ""&amp;H83&amp;"" "",
"" ""&amp;Sentiment_Words!A$2:A3730&amp;"" ""
),
1,
0
)
)
)
)"),1.0)</f>
        <v>1</v>
      </c>
      <c r="K83" s="4">
        <f>IFERROR(__xludf.DUMMYFUNCTION("IF(H83="""","""",
SUM(
ARRAYFORMULA(
IF(
REGEXMATCH(
"" ""&amp;H83&amp;"" "",
"" ""&amp;Sentiment_Words!B$2:B3730&amp;"" ""
),
1,
0
)
)
)
)"),1.0)</f>
        <v>1</v>
      </c>
      <c r="L83" s="7" t="str">
        <f t="shared" si="3"/>
        <v>Customer Support</v>
      </c>
      <c r="M83" s="7" t="str">
        <f t="shared" si="4"/>
        <v>Neutral</v>
      </c>
      <c r="N83" s="7" t="str">
        <f>IFERROR(__xludf.DUMMYFUNCTION("LOWER(
TRIM(
REGEXREPLACE(B83,""[^a-zA-Z\s]"","""")
)
)
"),"linda conversa")</f>
        <v>linda conversa</v>
      </c>
      <c r="O83" s="7">
        <f t="shared" si="5"/>
        <v>1</v>
      </c>
      <c r="P83" s="8" t="str">
        <f t="shared" si="6"/>
        <v>No</v>
      </c>
    </row>
    <row r="84">
      <c r="A84" s="4" t="s">
        <v>16</v>
      </c>
      <c r="B84" s="4" t="s">
        <v>279</v>
      </c>
      <c r="C84" s="9">
        <v>45053.0</v>
      </c>
      <c r="D84" s="5">
        <v>45065.0</v>
      </c>
      <c r="E84" s="4" t="s">
        <v>280</v>
      </c>
      <c r="F84" s="4" t="s">
        <v>281</v>
      </c>
      <c r="G84" s="6" t="str">
        <f>IFERROR(__xludf.DUMMYFUNCTION("REGEXREPLACE(LOWER(F84),""[^a-z\s]"","""")"),"always willing to put up with my constant changes")</f>
        <v>always willing to put up with my constant changes</v>
      </c>
      <c r="H84" s="4" t="str">
        <f t="shared" si="1"/>
        <v>always willing put up with my constant changes</v>
      </c>
      <c r="I84" s="6">
        <f t="shared" si="2"/>
        <v>8</v>
      </c>
      <c r="J84" s="6">
        <f>IFERROR(__xludf.DUMMYFUNCTION("IF(H84="""","""",
SUM(
ARRAYFORMULA(
IF(
REGEXMATCH(
"" ""&amp;H84&amp;"" "",
"" ""&amp;Sentiment_Words!A$2:A3730&amp;"" ""
),
1,
0
)
)
)
)"),0.0)</f>
        <v>0</v>
      </c>
      <c r="K84" s="4">
        <f>IFERROR(__xludf.DUMMYFUNCTION("IF(H84="""","""",
SUM(
ARRAYFORMULA(
IF(
REGEXMATCH(
"" ""&amp;H84&amp;"" "",
"" ""&amp;Sentiment_Words!B$2:B3730&amp;"" ""
),
1,
0
)
)
)
)"),0.0)</f>
        <v>0</v>
      </c>
      <c r="L84" s="7" t="str">
        <f t="shared" si="3"/>
        <v>Other</v>
      </c>
      <c r="M84" s="7" t="str">
        <f t="shared" si="4"/>
        <v>Neutral</v>
      </c>
      <c r="N84" s="7" t="str">
        <f>IFERROR(__xludf.DUMMYFUNCTION("LOWER(
TRIM(
REGEXREPLACE(B84,""[^a-zA-Z\s]"","""")
)
)
"),"donna quante")</f>
        <v>donna quante</v>
      </c>
      <c r="O84" s="7">
        <f t="shared" si="5"/>
        <v>1</v>
      </c>
      <c r="P84" s="8" t="str">
        <f t="shared" si="6"/>
        <v>No</v>
      </c>
    </row>
    <row r="85">
      <c r="A85" s="4" t="s">
        <v>16</v>
      </c>
      <c r="B85" s="4" t="s">
        <v>282</v>
      </c>
      <c r="C85" s="9">
        <v>45053.0</v>
      </c>
      <c r="D85" s="4" t="s">
        <v>57</v>
      </c>
      <c r="E85" s="4" t="s">
        <v>283</v>
      </c>
      <c r="F85" s="4" t="s">
        <v>284</v>
      </c>
      <c r="G85" s="6" t="str">
        <f>IFERROR(__xludf.DUMMYFUNCTION("REGEXREPLACE(LOWER(F85),""[^a-z\s]"","""")"),"accurate  timely i depend on them every month")</f>
        <v>accurate  timely i depend on them every month</v>
      </c>
      <c r="H85" s="4" t="str">
        <f t="shared" si="1"/>
        <v>accurate timely i depend on them every month</v>
      </c>
      <c r="I85" s="6">
        <f t="shared" si="2"/>
        <v>8</v>
      </c>
      <c r="J85" s="6">
        <f>IFERROR(__xludf.DUMMYFUNCTION("IF(H85="""","""",
SUM(
ARRAYFORMULA(
IF(
REGEXMATCH(
"" ""&amp;H85&amp;"" "",
"" ""&amp;Sentiment_Words!A$2:A3730&amp;"" ""
),
1,
0
)
)
)
)"),0.0)</f>
        <v>0</v>
      </c>
      <c r="K85" s="4">
        <f>IFERROR(__xludf.DUMMYFUNCTION("IF(H85="""","""",
SUM(
ARRAYFORMULA(
IF(
REGEXMATCH(
"" ""&amp;H85&amp;"" "",
"" ""&amp;Sentiment_Words!B$2:B3730&amp;"" ""
),
1,
0
)
)
)
)"),0.0)</f>
        <v>0</v>
      </c>
      <c r="L85" s="7" t="str">
        <f t="shared" si="3"/>
        <v>Other</v>
      </c>
      <c r="M85" s="7" t="str">
        <f t="shared" si="4"/>
        <v>Neutral</v>
      </c>
      <c r="N85" s="7" t="str">
        <f>IFERROR(__xludf.DUMMYFUNCTION("LOWER(
TRIM(
REGEXREPLACE(B85,""[^a-zA-Z\s]"","""")
)
)
"),"deb")</f>
        <v>deb</v>
      </c>
      <c r="O85" s="7">
        <f t="shared" si="5"/>
        <v>4</v>
      </c>
      <c r="P85" s="8" t="str">
        <f t="shared" si="6"/>
        <v>Yes</v>
      </c>
    </row>
    <row r="86">
      <c r="A86" s="4" t="s">
        <v>16</v>
      </c>
      <c r="B86" s="4" t="s">
        <v>285</v>
      </c>
      <c r="C86" s="9">
        <v>45054.0</v>
      </c>
      <c r="D86" s="4" t="s">
        <v>99</v>
      </c>
      <c r="E86" s="4" t="s">
        <v>286</v>
      </c>
      <c r="F86" s="4" t="s">
        <v>287</v>
      </c>
      <c r="G86" s="6" t="str">
        <f>IFERROR(__xludf.DUMMYFUNCTION("REGEXREPLACE(LOWER(F86),""[^a-z\s]"","""")"),"shipped from nevada to ohio then back to california it took  days to get the food")</f>
        <v>shipped from nevada to ohio then back to california it took  days to get the food</v>
      </c>
      <c r="H86" s="4" t="str">
        <f t="shared" si="1"/>
        <v>shipped from nevada ohio then back california it took days get food</v>
      </c>
      <c r="I86" s="6">
        <f t="shared" si="2"/>
        <v>12</v>
      </c>
      <c r="J86" s="6">
        <f>IFERROR(__xludf.DUMMYFUNCTION("IF(H86="""","""",
SUM(
ARRAYFORMULA(
IF(
REGEXMATCH(
"" ""&amp;H86&amp;"" "",
"" ""&amp;Sentiment_Words!A$2:A3730&amp;"" ""
),
1,
0
)
)
)
)"),0.0)</f>
        <v>0</v>
      </c>
      <c r="K86" s="4">
        <f>IFERROR(__xludf.DUMMYFUNCTION("IF(H86="""","""",
SUM(
ARRAYFORMULA(
IF(
REGEXMATCH(
"" ""&amp;H86&amp;"" "",
"" ""&amp;Sentiment_Words!B$2:B3730&amp;"" ""
),
1,
0
)
)
)
)"),0.0)</f>
        <v>0</v>
      </c>
      <c r="L86" s="7" t="str">
        <f t="shared" si="3"/>
        <v>Other</v>
      </c>
      <c r="M86" s="7" t="str">
        <f t="shared" si="4"/>
        <v>Neutral</v>
      </c>
      <c r="N86" s="7" t="str">
        <f>IFERROR(__xludf.DUMMYFUNCTION("LOWER(
TRIM(
REGEXREPLACE(B86,""[^a-zA-Z\s]"","""")
)
)
"),"amanda garner")</f>
        <v>amanda garner</v>
      </c>
      <c r="O86" s="7">
        <f t="shared" si="5"/>
        <v>1</v>
      </c>
      <c r="P86" s="8" t="str">
        <f t="shared" si="6"/>
        <v>No</v>
      </c>
    </row>
    <row r="87">
      <c r="A87" s="4" t="s">
        <v>16</v>
      </c>
      <c r="B87" s="4" t="s">
        <v>288</v>
      </c>
      <c r="C87" s="5">
        <v>45038.0</v>
      </c>
      <c r="D87" s="5">
        <v>45050.0</v>
      </c>
      <c r="E87" s="4" t="s">
        <v>289</v>
      </c>
      <c r="F87" s="4" t="s">
        <v>290</v>
      </c>
      <c r="G87" s="6" t="str">
        <f>IFERROR(__xludf.DUMMYFUNCTION("REGEXREPLACE(LOWER(F87),""[^a-z\s]"","""")"),"i love the connivence of having my dogs food delivered directly to my home it is so easy to have auto ship if i want to choose additional products i just go on line")</f>
        <v>i love the connivence of having my dogs food delivered directly to my home it is so easy to have auto ship if i want to choose additional products i just go on line</v>
      </c>
      <c r="H87" s="4" t="str">
        <f t="shared" si="1"/>
        <v>i love connivence of having my dogs food delivered directly my home it so easy have auto ship if i want choose additional products i just go on line</v>
      </c>
      <c r="I87" s="6">
        <f t="shared" si="2"/>
        <v>29</v>
      </c>
      <c r="J87" s="6">
        <f>IFERROR(__xludf.DUMMYFUNCTION("IF(H87="""","""",
SUM(
ARRAYFORMULA(
IF(
REGEXMATCH(
"" ""&amp;H87&amp;"" "",
"" ""&amp;Sentiment_Words!A$2:A3730&amp;"" ""
),
1,
0
)
)
)
)"),4.0)</f>
        <v>4</v>
      </c>
      <c r="K87" s="4">
        <f>IFERROR(__xludf.DUMMYFUNCTION("IF(H87="""","""",
SUM(
ARRAYFORMULA(
IF(
REGEXMATCH(
"" ""&amp;H87&amp;"" "",
"" ""&amp;Sentiment_Words!B$2:B3730&amp;"" ""
),
1,
0
)
)
)
)"),0.0)</f>
        <v>0</v>
      </c>
      <c r="L87" s="7" t="str">
        <f t="shared" si="3"/>
        <v>Other</v>
      </c>
      <c r="M87" s="7" t="str">
        <f t="shared" si="4"/>
        <v>Positive</v>
      </c>
      <c r="N87" s="7" t="str">
        <f>IFERROR(__xludf.DUMMYFUNCTION("LOWER(
TRIM(
REGEXREPLACE(B87,""[^a-zA-Z\s]"","""")
)
)
"),"ruth")</f>
        <v>ruth</v>
      </c>
      <c r="O87" s="7">
        <f t="shared" si="5"/>
        <v>1</v>
      </c>
      <c r="P87" s="8" t="str">
        <f t="shared" si="6"/>
        <v>No</v>
      </c>
    </row>
    <row r="88">
      <c r="A88" s="4" t="s">
        <v>16</v>
      </c>
      <c r="B88" s="4" t="s">
        <v>291</v>
      </c>
      <c r="C88" s="5">
        <v>45046.0</v>
      </c>
      <c r="D88" s="5">
        <v>45058.0</v>
      </c>
      <c r="E88" s="4" t="s">
        <v>190</v>
      </c>
      <c r="F88" s="4" t="s">
        <v>292</v>
      </c>
      <c r="G88" s="6" t="str">
        <f>IFERROR(__xludf.DUMMYFUNCTION("REGEXREPLACE(LOWER(F88),""[^a-z\s]"","""")"),"great customer service love your sales i order the litter and use the pharmacy great products")</f>
        <v>great customer service love your sales i order the litter and use the pharmacy great products</v>
      </c>
      <c r="H88" s="4" t="str">
        <f t="shared" si="1"/>
        <v>great customer service love your sales i order litter use pharmacy great products</v>
      </c>
      <c r="I88" s="6">
        <f t="shared" si="2"/>
        <v>13</v>
      </c>
      <c r="J88" s="6">
        <f>IFERROR(__xludf.DUMMYFUNCTION("IF(H88="""","""",
SUM(
ARRAYFORMULA(
IF(
REGEXMATCH(
"" ""&amp;H88&amp;"" "",
"" ""&amp;Sentiment_Words!A$2:A3730&amp;"" ""
),
1,
0
)
)
)
)"),3.0)</f>
        <v>3</v>
      </c>
      <c r="K88" s="4">
        <f>IFERROR(__xludf.DUMMYFUNCTION("IF(H88="""","""",
SUM(
ARRAYFORMULA(
IF(
REGEXMATCH(
"" ""&amp;H88&amp;"" "",
"" ""&amp;Sentiment_Words!B$2:B3730&amp;"" ""
),
1,
0
)
)
)
)"),1.0)</f>
        <v>1</v>
      </c>
      <c r="L88" s="7" t="str">
        <f t="shared" si="3"/>
        <v>Customer Support</v>
      </c>
      <c r="M88" s="7" t="str">
        <f t="shared" si="4"/>
        <v>Positive</v>
      </c>
      <c r="N88" s="7" t="str">
        <f>IFERROR(__xludf.DUMMYFUNCTION("LOWER(
TRIM(
REGEXREPLACE(B88,""[^a-zA-Z\s]"","""")
)
)
"),"debbie trigg")</f>
        <v>debbie trigg</v>
      </c>
      <c r="O88" s="7">
        <f t="shared" si="5"/>
        <v>1</v>
      </c>
      <c r="P88" s="8" t="str">
        <f t="shared" si="6"/>
        <v>No</v>
      </c>
    </row>
    <row r="89">
      <c r="A89" s="4" t="s">
        <v>16</v>
      </c>
      <c r="B89" s="4" t="s">
        <v>293</v>
      </c>
      <c r="C89" s="9">
        <v>45053.0</v>
      </c>
      <c r="D89" s="5">
        <v>45065.0</v>
      </c>
      <c r="E89" s="4" t="s">
        <v>294</v>
      </c>
      <c r="F89" s="4" t="s">
        <v>295</v>
      </c>
      <c r="G89" s="6" t="str">
        <f>IFERROR(__xludf.DUMMYFUNCTION("REGEXREPLACE(LOWER(F89),""[^a-z\s]"","""")"),"very helpful and friendly support staff and reliable shipping")</f>
        <v>very helpful and friendly support staff and reliable shipping</v>
      </c>
      <c r="H89" s="4" t="str">
        <f t="shared" si="1"/>
        <v>very helpful friendly support staff reliable shipping</v>
      </c>
      <c r="I89" s="6">
        <f t="shared" si="2"/>
        <v>7</v>
      </c>
      <c r="J89" s="6">
        <f>IFERROR(__xludf.DUMMYFUNCTION("IF(H89="""","""",
SUM(
ARRAYFORMULA(
IF(
REGEXMATCH(
"" ""&amp;H89&amp;"" "",
"" ""&amp;Sentiment_Words!A$2:A3730&amp;"" ""
),
1,
0
)
)
)
)"),2.0)</f>
        <v>2</v>
      </c>
      <c r="K89" s="4">
        <f>IFERROR(__xludf.DUMMYFUNCTION("IF(H89="""","""",
SUM(
ARRAYFORMULA(
IF(
REGEXMATCH(
"" ""&amp;H89&amp;"" "",
"" ""&amp;Sentiment_Words!B$2:B3730&amp;"" ""
),
1,
0
)
)
)
)"),0.0)</f>
        <v>0</v>
      </c>
      <c r="L89" s="7" t="str">
        <f t="shared" si="3"/>
        <v>Customer Support</v>
      </c>
      <c r="M89" s="7" t="str">
        <f t="shared" si="4"/>
        <v>Positive</v>
      </c>
      <c r="N89" s="7" t="str">
        <f>IFERROR(__xludf.DUMMYFUNCTION("LOWER(
TRIM(
REGEXREPLACE(B89,""[^a-zA-Z\s]"","""")
)
)
"),"olshopper")</f>
        <v>olshopper</v>
      </c>
      <c r="O89" s="7">
        <f t="shared" si="5"/>
        <v>1</v>
      </c>
      <c r="P89" s="8" t="str">
        <f t="shared" si="6"/>
        <v>No</v>
      </c>
    </row>
    <row r="90">
      <c r="A90" s="4" t="s">
        <v>16</v>
      </c>
      <c r="B90" s="4" t="s">
        <v>296</v>
      </c>
      <c r="C90" s="9">
        <v>45052.0</v>
      </c>
      <c r="D90" s="5">
        <v>45064.0</v>
      </c>
      <c r="E90" s="4" t="s">
        <v>297</v>
      </c>
      <c r="F90" s="4" t="s">
        <v>298</v>
      </c>
      <c r="G90" s="6" t="str">
        <f>IFERROR(__xludf.DUMMYFUNCTION("REGEXREPLACE(LOWER(F90),""[^a-z\s]"","""")"),"prices are awesome and super fast shipping")</f>
        <v>prices are awesome and super fast shipping</v>
      </c>
      <c r="H90" s="4" t="str">
        <f t="shared" si="1"/>
        <v>prices are awesome super fast shipping</v>
      </c>
      <c r="I90" s="6">
        <f t="shared" si="2"/>
        <v>6</v>
      </c>
      <c r="J90" s="6">
        <f>IFERROR(__xludf.DUMMYFUNCTION("IF(H90="""","""",
SUM(
ARRAYFORMULA(
IF(
REGEXMATCH(
"" ""&amp;H90&amp;"" "",
"" ""&amp;Sentiment_Words!A$2:A3730&amp;"" ""
),
1,
0
)
)
)
)"),1.0)</f>
        <v>1</v>
      </c>
      <c r="K90" s="4">
        <f>IFERROR(__xludf.DUMMYFUNCTION("IF(H90="""","""",
SUM(
ARRAYFORMULA(
IF(
REGEXMATCH(
"" ""&amp;H90&amp;"" "",
"" ""&amp;Sentiment_Words!B$2:B3730&amp;"" ""
),
1,
0
)
)
)
)"),0.0)</f>
        <v>0</v>
      </c>
      <c r="L90" s="7" t="str">
        <f t="shared" si="3"/>
        <v>Other</v>
      </c>
      <c r="M90" s="7" t="str">
        <f t="shared" si="4"/>
        <v>Positive</v>
      </c>
      <c r="N90" s="7" t="str">
        <f>IFERROR(__xludf.DUMMYFUNCTION("LOWER(
TRIM(
REGEXREPLACE(B90,""[^a-zA-Z\s]"","""")
)
)
"),"nicole tabbert")</f>
        <v>nicole tabbert</v>
      </c>
      <c r="O90" s="7">
        <f t="shared" si="5"/>
        <v>1</v>
      </c>
      <c r="P90" s="8" t="str">
        <f t="shared" si="6"/>
        <v>No</v>
      </c>
    </row>
    <row r="91">
      <c r="A91" s="4" t="s">
        <v>16</v>
      </c>
      <c r="B91" s="4" t="s">
        <v>299</v>
      </c>
      <c r="C91" s="5">
        <v>45043.0</v>
      </c>
      <c r="D91" s="5">
        <v>45062.0</v>
      </c>
      <c r="E91" s="4" t="s">
        <v>300</v>
      </c>
      <c r="F91" s="4" t="s">
        <v>301</v>
      </c>
      <c r="G91" s="6" t="str">
        <f>IFERROR(__xludf.DUMMYFUNCTION("REGEXREPLACE(LOWER(F91),""[^a-z\s]"","""")"),"i love the selection of products offered my dogs loved the treats they received the prices are amazing")</f>
        <v>i love the selection of products offered my dogs loved the treats they received the prices are amazing</v>
      </c>
      <c r="H91" s="4" t="str">
        <f t="shared" si="1"/>
        <v>i love selection of products offered my dogs loved treats they received prices are amazing</v>
      </c>
      <c r="I91" s="6">
        <f t="shared" si="2"/>
        <v>15</v>
      </c>
      <c r="J91" s="6">
        <f>IFERROR(__xludf.DUMMYFUNCTION("IF(H91="""","""",
SUM(
ARRAYFORMULA(
IF(
REGEXMATCH(
"" ""&amp;H91&amp;"" "",
"" ""&amp;Sentiment_Words!A$2:A3730&amp;"" ""
),
1,
0
)
)
)
)"),1.0)</f>
        <v>1</v>
      </c>
      <c r="K91" s="4">
        <f>IFERROR(__xludf.DUMMYFUNCTION("IF(H91="""","""",
SUM(
ARRAYFORMULA(
IF(
REGEXMATCH(
"" ""&amp;H91&amp;"" "",
"" ""&amp;Sentiment_Words!B$2:B3730&amp;"" ""
),
1,
0
)
)
)
)"),0.0)</f>
        <v>0</v>
      </c>
      <c r="L91" s="7" t="str">
        <f t="shared" si="3"/>
        <v>Other</v>
      </c>
      <c r="M91" s="7" t="str">
        <f t="shared" si="4"/>
        <v>Positive</v>
      </c>
      <c r="N91" s="7" t="str">
        <f>IFERROR(__xludf.DUMMYFUNCTION("LOWER(
TRIM(
REGEXREPLACE(B91,""[^a-zA-Z\s]"","""")
)
)
"),"ania loveless")</f>
        <v>ania loveless</v>
      </c>
      <c r="O91" s="7">
        <f t="shared" si="5"/>
        <v>1</v>
      </c>
      <c r="P91" s="8" t="str">
        <f t="shared" si="6"/>
        <v>No</v>
      </c>
    </row>
    <row r="92">
      <c r="A92" s="4" t="s">
        <v>16</v>
      </c>
      <c r="B92" s="4" t="s">
        <v>302</v>
      </c>
      <c r="C92" s="9">
        <v>45051.0</v>
      </c>
      <c r="D92" s="5">
        <v>45063.0</v>
      </c>
      <c r="E92" s="4" t="s">
        <v>303</v>
      </c>
      <c r="F92" s="4" t="s">
        <v>304</v>
      </c>
      <c r="G92" s="6" t="str">
        <f>IFERROR(__xludf.DUMMYFUNCTION("REGEXREPLACE(LOWER(F92),""[^a-z\s]"","""")"),"everything was great as alwaysvery courteous and helpful")</f>
        <v>everything was great as alwaysvery courteous and helpful</v>
      </c>
      <c r="H92" s="4" t="str">
        <f t="shared" si="1"/>
        <v>everything was great as alwaysvery courteous helpful</v>
      </c>
      <c r="I92" s="6">
        <f t="shared" si="2"/>
        <v>7</v>
      </c>
      <c r="J92" s="6">
        <f>IFERROR(__xludf.DUMMYFUNCTION("IF(H92="""","""",
SUM(
ARRAYFORMULA(
IF(
REGEXMATCH(
"" ""&amp;H92&amp;"" "",
"" ""&amp;Sentiment_Words!A$2:A3730&amp;"" ""
),
1,
0
)
)
)
)"),3.0)</f>
        <v>3</v>
      </c>
      <c r="K92" s="4">
        <f>IFERROR(__xludf.DUMMYFUNCTION("IF(H92="""","""",
SUM(
ARRAYFORMULA(
IF(
REGEXMATCH(
"" ""&amp;H92&amp;"" "",
"" ""&amp;Sentiment_Words!B$2:B3730&amp;"" ""
),
1,
0
)
)
)
)"),0.0)</f>
        <v>0</v>
      </c>
      <c r="L92" s="7" t="str">
        <f t="shared" si="3"/>
        <v>Other</v>
      </c>
      <c r="M92" s="7" t="str">
        <f t="shared" si="4"/>
        <v>Positive</v>
      </c>
      <c r="N92" s="7" t="str">
        <f>IFERROR(__xludf.DUMMYFUNCTION("LOWER(
TRIM(
REGEXREPLACE(B92,""[^a-zA-Z\s]"","""")
)
)
"),"larry thompson")</f>
        <v>larry thompson</v>
      </c>
      <c r="O92" s="7">
        <f t="shared" si="5"/>
        <v>1</v>
      </c>
      <c r="P92" s="8" t="str">
        <f t="shared" si="6"/>
        <v>No</v>
      </c>
    </row>
    <row r="93">
      <c r="A93" s="4" t="s">
        <v>16</v>
      </c>
      <c r="B93" s="4" t="s">
        <v>305</v>
      </c>
      <c r="C93" s="5">
        <v>45034.0</v>
      </c>
      <c r="D93" s="5">
        <v>45047.0</v>
      </c>
      <c r="E93" s="4" t="s">
        <v>306</v>
      </c>
      <c r="F93" s="4" t="s">
        <v>307</v>
      </c>
      <c r="G93" s="6" t="str">
        <f>IFERROR(__xludf.DUMMYFUNCTION("REGEXREPLACE(LOWER(F93),""[^a-z\s]"","""")"),"extremely fast processing and delivery i placed my order night time april  food for my dog left at my door april   pm truly greyhound speed thank you perflow")</f>
        <v>extremely fast processing and delivery i placed my order night time april  food for my dog left at my door april   pm truly greyhound speed thank you perflow</v>
      </c>
      <c r="H93" s="4" t="str">
        <f t="shared" si="1"/>
        <v>extremely fast processing delivery i placed my order night time april food my dog left at my door april pm truly greyhound speed thank you perflow</v>
      </c>
      <c r="I93" s="6">
        <f t="shared" si="2"/>
        <v>26</v>
      </c>
      <c r="J93" s="6">
        <f>IFERROR(__xludf.DUMMYFUNCTION("IF(H93="""","""",
SUM(
ARRAYFORMULA(
IF(
REGEXMATCH(
"" ""&amp;H93&amp;"" "",
"" ""&amp;Sentiment_Words!A$2:A3730&amp;"" ""
),
1,
0
)
)
)
)"),1.0)</f>
        <v>1</v>
      </c>
      <c r="K93" s="4">
        <f>IFERROR(__xludf.DUMMYFUNCTION("IF(H93="""","""",
SUM(
ARRAYFORMULA(
IF(
REGEXMATCH(
"" ""&amp;H93&amp;"" "",
"" ""&amp;Sentiment_Words!B$2:B3730&amp;"" ""
),
1,
0
)
)
)
)"),0.0)</f>
        <v>0</v>
      </c>
      <c r="L93" s="7" t="str">
        <f t="shared" si="3"/>
        <v>Other</v>
      </c>
      <c r="M93" s="7" t="str">
        <f t="shared" si="4"/>
        <v>Positive</v>
      </c>
      <c r="N93" s="7" t="str">
        <f>IFERROR(__xludf.DUMMYFUNCTION("LOWER(
TRIM(
REGEXREPLACE(B93,""[^a-zA-Z\s]"","""")
)
)
"),"tom kulpinski")</f>
        <v>tom kulpinski</v>
      </c>
      <c r="O93" s="7">
        <f t="shared" si="5"/>
        <v>1</v>
      </c>
      <c r="P93" s="8" t="str">
        <f t="shared" si="6"/>
        <v>No</v>
      </c>
    </row>
    <row r="94">
      <c r="A94" s="4" t="s">
        <v>16</v>
      </c>
      <c r="B94" s="4" t="s">
        <v>308</v>
      </c>
      <c r="C94" s="9">
        <v>45052.0</v>
      </c>
      <c r="D94" s="5">
        <v>45065.0</v>
      </c>
      <c r="E94" s="4" t="s">
        <v>309</v>
      </c>
      <c r="F94" s="4" t="s">
        <v>310</v>
      </c>
      <c r="G94" s="6" t="str">
        <f>IFERROR(__xludf.DUMMYFUNCTION("REGEXREPLACE(LOWER(F94),""[^a-z\s]"","""")"),"i did not get my dog food i asked fed ex about it and it is lost i got the cat food and the litter but not the dog food
can you resend it")</f>
        <v>i did not get my dog food i asked fed ex about it and it is lost i got the cat food and the litter but not the dog food
can you resend it</v>
      </c>
      <c r="H94" s="4" t="str">
        <f t="shared" si="1"/>
        <v>i did not get my dog food i asked fed ex about it it lost i got cat food litter but not dog food
can you resend it</v>
      </c>
      <c r="I94" s="6">
        <f t="shared" si="2"/>
        <v>27</v>
      </c>
      <c r="J94" s="6">
        <f>IFERROR(__xludf.DUMMYFUNCTION("IF(H94="""","""",
SUM(
ARRAYFORMULA(
IF(
REGEXMATCH(
"" ""&amp;H94&amp;"" "",
"" ""&amp;Sentiment_Words!A$2:A3730&amp;"" ""
),
1,
0
)
)
)
)"),0.0)</f>
        <v>0</v>
      </c>
      <c r="K94" s="4">
        <f>IFERROR(__xludf.DUMMYFUNCTION("IF(H94="""","""",
SUM(
ARRAYFORMULA(
IF(
REGEXMATCH(
"" ""&amp;H94&amp;"" "",
"" ""&amp;Sentiment_Words!B$2:B3730&amp;"" ""
),
1,
0
)
)
)
)"),0.0)</f>
        <v>0</v>
      </c>
      <c r="L94" s="7" t="str">
        <f t="shared" si="3"/>
        <v>Other</v>
      </c>
      <c r="M94" s="7" t="str">
        <f t="shared" si="4"/>
        <v>Neutral</v>
      </c>
      <c r="N94" s="7" t="str">
        <f>IFERROR(__xludf.DUMMYFUNCTION("LOWER(
TRIM(
REGEXREPLACE(B94,""[^a-zA-Z\s]"","""")
)
)
"),"karen salay")</f>
        <v>karen salay</v>
      </c>
      <c r="O94" s="7">
        <f t="shared" si="5"/>
        <v>1</v>
      </c>
      <c r="P94" s="8" t="str">
        <f t="shared" si="6"/>
        <v>No</v>
      </c>
    </row>
    <row r="95">
      <c r="A95" s="4" t="s">
        <v>16</v>
      </c>
      <c r="B95" s="4" t="s">
        <v>311</v>
      </c>
      <c r="C95" s="9">
        <v>45048.0</v>
      </c>
      <c r="D95" s="5">
        <v>45060.0</v>
      </c>
      <c r="E95" s="4" t="s">
        <v>312</v>
      </c>
      <c r="F95" s="4" t="s">
        <v>313</v>
      </c>
      <c r="G95" s="6" t="str">
        <f>IFERROR(__xludf.DUMMYFUNCTION("REGEXREPLACE(LOWER(F95),""[^a-z\s]"","""")"),"i love pet flow the toys are always the best quality and have a lot of options great service")</f>
        <v>i love pet flow the toys are always the best quality and have a lot of options great service</v>
      </c>
      <c r="H95" s="4" t="str">
        <f t="shared" si="1"/>
        <v>i love pet flow toys are always best quality have a lot of options great service</v>
      </c>
      <c r="I95" s="6">
        <f t="shared" si="2"/>
        <v>16</v>
      </c>
      <c r="J95" s="6">
        <f>IFERROR(__xludf.DUMMYFUNCTION("IF(H95="""","""",
SUM(
ARRAYFORMULA(
IF(
REGEXMATCH(
"" ""&amp;H95&amp;"" "",
"" ""&amp;Sentiment_Words!A$2:A3730&amp;"" ""
),
1,
0
)
)
)
)"),2.0)</f>
        <v>2</v>
      </c>
      <c r="K95" s="4">
        <f>IFERROR(__xludf.DUMMYFUNCTION("IF(H95="""","""",
SUM(
ARRAYFORMULA(
IF(
REGEXMATCH(
"" ""&amp;H95&amp;"" "",
"" ""&amp;Sentiment_Words!B$2:B3730&amp;"" ""
),
1,
0
)
)
)
)"),0.0)</f>
        <v>0</v>
      </c>
      <c r="L95" s="7" t="str">
        <f t="shared" si="3"/>
        <v>Customer Support</v>
      </c>
      <c r="M95" s="7" t="str">
        <f t="shared" si="4"/>
        <v>Positive</v>
      </c>
      <c r="N95" s="7" t="str">
        <f>IFERROR(__xludf.DUMMYFUNCTION("LOWER(
TRIM(
REGEXREPLACE(B95,""[^a-zA-Z\s]"","""")
)
)
"),"yadi govea")</f>
        <v>yadi govea</v>
      </c>
      <c r="O95" s="7">
        <f t="shared" si="5"/>
        <v>1</v>
      </c>
      <c r="P95" s="8" t="str">
        <f t="shared" si="6"/>
        <v>No</v>
      </c>
    </row>
    <row r="96">
      <c r="A96" s="4" t="s">
        <v>16</v>
      </c>
      <c r="B96" s="4" t="s">
        <v>314</v>
      </c>
      <c r="C96" s="9">
        <v>45051.0</v>
      </c>
      <c r="D96" s="4" t="s">
        <v>150</v>
      </c>
      <c r="E96" s="4" t="s">
        <v>315</v>
      </c>
      <c r="F96" s="4" t="s">
        <v>316</v>
      </c>
      <c r="G96" s="6" t="str">
        <f>IFERROR(__xludf.DUMMYFUNCTION("REGEXREPLACE(LOWER(F96),""[^a-z\s]"","""")"),"i bought large bags of open farm food from you but now you only sell the small bags")</f>
        <v>i bought large bags of open farm food from you but now you only sell the small bags</v>
      </c>
      <c r="H96" s="4" t="str">
        <f t="shared" si="1"/>
        <v>i bought large bags of open farm food from you but now you only sell small bags</v>
      </c>
      <c r="I96" s="6">
        <f t="shared" si="2"/>
        <v>17</v>
      </c>
      <c r="J96" s="6">
        <f>IFERROR(__xludf.DUMMYFUNCTION("IF(H96="""","""",
SUM(
ARRAYFORMULA(
IF(
REGEXMATCH(
"" ""&amp;H96&amp;"" "",
"" ""&amp;Sentiment_Words!A$2:A3730&amp;"" ""
),
1,
0
)
)
)
)"),0.0)</f>
        <v>0</v>
      </c>
      <c r="K96" s="4">
        <f>IFERROR(__xludf.DUMMYFUNCTION("IF(H96="""","""",
SUM(
ARRAYFORMULA(
IF(
REGEXMATCH(
"" ""&amp;H96&amp;"" "",
"" ""&amp;Sentiment_Words!B$2:B3730&amp;"" ""
),
1,
0
)
)
)
)"),0.0)</f>
        <v>0</v>
      </c>
      <c r="L96" s="7" t="str">
        <f t="shared" si="3"/>
        <v>Other</v>
      </c>
      <c r="M96" s="7" t="str">
        <f t="shared" si="4"/>
        <v>Neutral</v>
      </c>
      <c r="N96" s="7" t="str">
        <f>IFERROR(__xludf.DUMMYFUNCTION("LOWER(
TRIM(
REGEXREPLACE(B96,""[^a-zA-Z\s]"","""")
)
)
"),"audrey scruggs")</f>
        <v>audrey scruggs</v>
      </c>
      <c r="O96" s="7">
        <f t="shared" si="5"/>
        <v>1</v>
      </c>
      <c r="P96" s="8" t="str">
        <f t="shared" si="6"/>
        <v>No</v>
      </c>
    </row>
    <row r="97">
      <c r="A97" s="4" t="s">
        <v>16</v>
      </c>
      <c r="B97" s="4" t="s">
        <v>317</v>
      </c>
      <c r="C97" s="5">
        <v>45039.0</v>
      </c>
      <c r="D97" s="5">
        <v>45051.0</v>
      </c>
      <c r="E97" s="4" t="s">
        <v>318</v>
      </c>
      <c r="F97" s="4" t="s">
        <v>319</v>
      </c>
      <c r="G97" s="6" t="str">
        <f>IFERROR(__xludf.DUMMYFUNCTION("REGEXREPLACE(LOWER(F97),""[^a-z\s]"","""")"),"i love this food for my schipperke it has great ingredients and delivery is very fast i would and have recommend fromms to friends")</f>
        <v>i love this food for my schipperke it has great ingredients and delivery is very fast i would and have recommend fromms to friends</v>
      </c>
      <c r="H97" s="4" t="str">
        <f t="shared" si="1"/>
        <v>i love this food my schipperke it has great ingredients delivery very fast i would have recommend fromms friends</v>
      </c>
      <c r="I97" s="6">
        <f t="shared" si="2"/>
        <v>19</v>
      </c>
      <c r="J97" s="6">
        <f>IFERROR(__xludf.DUMMYFUNCTION("IF(H97="""","""",
SUM(
ARRAYFORMULA(
IF(
REGEXMATCH(
"" ""&amp;H97&amp;"" "",
"" ""&amp;Sentiment_Words!A$2:A3730&amp;"" ""
),
1,
0
)
)
)
)"),3.0)</f>
        <v>3</v>
      </c>
      <c r="K97" s="4">
        <f>IFERROR(__xludf.DUMMYFUNCTION("IF(H97="""","""",
SUM(
ARRAYFORMULA(
IF(
REGEXMATCH(
"" ""&amp;H97&amp;"" "",
"" ""&amp;Sentiment_Words!B$2:B3730&amp;"" ""
),
1,
0
)
)
)
)"),0.0)</f>
        <v>0</v>
      </c>
      <c r="L97" s="7" t="str">
        <f t="shared" si="3"/>
        <v>Other</v>
      </c>
      <c r="M97" s="7" t="str">
        <f t="shared" si="4"/>
        <v>Positive</v>
      </c>
      <c r="N97" s="7" t="str">
        <f>IFERROR(__xludf.DUMMYFUNCTION("LOWER(
TRIM(
REGEXREPLACE(B97,""[^a-zA-Z\s]"","""")
)
)
"),"colleen thompson")</f>
        <v>colleen thompson</v>
      </c>
      <c r="O97" s="7">
        <f t="shared" si="5"/>
        <v>1</v>
      </c>
      <c r="P97" s="8" t="str">
        <f t="shared" si="6"/>
        <v>No</v>
      </c>
    </row>
    <row r="98">
      <c r="A98" s="4" t="s">
        <v>16</v>
      </c>
      <c r="B98" s="4" t="s">
        <v>320</v>
      </c>
      <c r="C98" s="9">
        <v>45049.0</v>
      </c>
      <c r="D98" s="4" t="s">
        <v>50</v>
      </c>
      <c r="E98" s="4" t="s">
        <v>321</v>
      </c>
      <c r="F98" s="4" t="s">
        <v>322</v>
      </c>
      <c r="G98" s="6" t="str">
        <f>IFERROR(__xludf.DUMMYFUNCTION("REGEXREPLACE(LOWER(F98),""[^a-z\s]"","""")"),"websites very easy to use product arrived promptly product arrived in great shape and product that arrived was exactly what was ordered no complaints")</f>
        <v>websites very easy to use product arrived promptly product arrived in great shape and product that arrived was exactly what was ordered no complaints</v>
      </c>
      <c r="H98" s="4" t="str">
        <f t="shared" si="1"/>
        <v>websites very easy use product arrived promptly product arrived in great shape product that arrived was exactly what was ordered no complaints</v>
      </c>
      <c r="I98" s="6">
        <f t="shared" si="2"/>
        <v>22</v>
      </c>
      <c r="J98" s="6">
        <f>IFERROR(__xludf.DUMMYFUNCTION("IF(H98="""","""",
SUM(
ARRAYFORMULA(
IF(
REGEXMATCH(
"" ""&amp;H98&amp;"" "",
"" ""&amp;Sentiment_Words!A$2:A3730&amp;"" ""
),
1,
0
)
)
)
)"),2.0)</f>
        <v>2</v>
      </c>
      <c r="K98" s="4">
        <f>IFERROR(__xludf.DUMMYFUNCTION("IF(H98="""","""",
SUM(
ARRAYFORMULA(
IF(
REGEXMATCH(
"" ""&amp;H98&amp;"" "",
"" ""&amp;Sentiment_Words!B$2:B3730&amp;"" ""
),
1,
0
)
)
)
)"),0.0)</f>
        <v>0</v>
      </c>
      <c r="L98" s="7" t="str">
        <f t="shared" si="3"/>
        <v>Account &amp; Website</v>
      </c>
      <c r="M98" s="7" t="str">
        <f t="shared" si="4"/>
        <v>Positive</v>
      </c>
      <c r="N98" s="7" t="str">
        <f>IFERROR(__xludf.DUMMYFUNCTION("LOWER(
TRIM(
REGEXREPLACE(B98,""[^a-zA-Z\s]"","""")
)
)
"),"donna la rocco")</f>
        <v>donna la rocco</v>
      </c>
      <c r="O98" s="7">
        <f t="shared" si="5"/>
        <v>1</v>
      </c>
      <c r="P98" s="8" t="str">
        <f t="shared" si="6"/>
        <v>No</v>
      </c>
    </row>
    <row r="99">
      <c r="A99" s="4" t="s">
        <v>16</v>
      </c>
      <c r="B99" s="4" t="s">
        <v>323</v>
      </c>
      <c r="C99" s="5">
        <v>45034.0</v>
      </c>
      <c r="D99" s="5">
        <v>45047.0</v>
      </c>
      <c r="E99" s="4" t="s">
        <v>324</v>
      </c>
      <c r="F99" s="4" t="s">
        <v>325</v>
      </c>
      <c r="G99" s="6" t="str">
        <f>IFERROR(__xludf.DUMMYFUNCTION("REGEXREPLACE(LOWER(F99),""[^a-z\s]"","""")"),"reasonably priced fromm dry dog food
easy website to browse and place an order and shipping was on time
will order from this site again")</f>
        <v>reasonably priced fromm dry dog food
easy website to browse and place an order and shipping was on time
will order from this site again</v>
      </c>
      <c r="H99" s="4" t="str">
        <f t="shared" si="1"/>
        <v>reasonably priced fromm dry dog food
easy website browse place an order shipping was on time
will order from this site again</v>
      </c>
      <c r="I99" s="6">
        <f t="shared" si="2"/>
        <v>20</v>
      </c>
      <c r="J99" s="6">
        <f>IFERROR(__xludf.DUMMYFUNCTION("IF(H99="""","""",
SUM(
ARRAYFORMULA(
IF(
REGEXMATCH(
"" ""&amp;H99&amp;"" "",
"" ""&amp;Sentiment_Words!A$2:A3730&amp;"" ""
),
1,
0
)
)
)
)"),0.0)</f>
        <v>0</v>
      </c>
      <c r="K99" s="4">
        <f>IFERROR(__xludf.DUMMYFUNCTION("IF(H99="""","""",
SUM(
ARRAYFORMULA(
IF(
REGEXMATCH(
"" ""&amp;H99&amp;"" "",
"" ""&amp;Sentiment_Words!B$2:B3730&amp;"" ""
),
1,
0
)
)
)
)"),0.0)</f>
        <v>0</v>
      </c>
      <c r="L99" s="7" t="str">
        <f t="shared" si="3"/>
        <v>Account &amp; Website</v>
      </c>
      <c r="M99" s="7" t="str">
        <f t="shared" si="4"/>
        <v>Neutral</v>
      </c>
      <c r="N99" s="7" t="str">
        <f>IFERROR(__xludf.DUMMYFUNCTION("LOWER(
TRIM(
REGEXREPLACE(B99,""[^a-zA-Z\s]"","""")
)
)
"),"aussie lover")</f>
        <v>aussie lover</v>
      </c>
      <c r="O99" s="7">
        <f t="shared" si="5"/>
        <v>1</v>
      </c>
      <c r="P99" s="8" t="str">
        <f t="shared" si="6"/>
        <v>No</v>
      </c>
    </row>
    <row r="100">
      <c r="A100" s="4" t="s">
        <v>16</v>
      </c>
      <c r="B100" s="4" t="s">
        <v>326</v>
      </c>
      <c r="C100" s="5">
        <v>45032.0</v>
      </c>
      <c r="D100" s="5">
        <v>45047.0</v>
      </c>
      <c r="E100" s="4" t="s">
        <v>327</v>
      </c>
      <c r="F100" s="4" t="s">
        <v>328</v>
      </c>
      <c r="G100" s="6" t="str">
        <f>IFERROR(__xludf.DUMMYFUNCTION("REGEXREPLACE(LOWER(F100),""[^a-z\s]"","""")"),"petflow had the product i needed would rate a  star but the product took an excessive time to ship and recieve")</f>
        <v>petflow had the product i needed would rate a  star but the product took an excessive time to ship and recieve</v>
      </c>
      <c r="H100" s="4" t="str">
        <f t="shared" si="1"/>
        <v>petflow had product i needed would rate a star but product took an excessive time ship recieve</v>
      </c>
      <c r="I100" s="6">
        <f t="shared" si="2"/>
        <v>17</v>
      </c>
      <c r="J100" s="6">
        <f>IFERROR(__xludf.DUMMYFUNCTION("IF(H100="""","""",
SUM(
ARRAYFORMULA(
IF(
REGEXMATCH(
"" ""&amp;H100&amp;"" "",
"" ""&amp;Sentiment_Words!A$2:A3730&amp;"" ""
),
1,
0
)
)
)
)"),0.0)</f>
        <v>0</v>
      </c>
      <c r="K100" s="4">
        <f>IFERROR(__xludf.DUMMYFUNCTION("IF(H100="""","""",
SUM(
ARRAYFORMULA(
IF(
REGEXMATCH(
"" ""&amp;H100&amp;"" "",
"" ""&amp;Sentiment_Words!B$2:B3730&amp;"" ""
),
1,
0
)
)
)
)"),0.0)</f>
        <v>0</v>
      </c>
      <c r="L100" s="7" t="str">
        <f t="shared" si="3"/>
        <v>Other</v>
      </c>
      <c r="M100" s="7" t="str">
        <f t="shared" si="4"/>
        <v>Neutral</v>
      </c>
      <c r="N100" s="7" t="str">
        <f>IFERROR(__xludf.DUMMYFUNCTION("LOWER(
TRIM(
REGEXREPLACE(B100,""[^a-zA-Z\s]"","""")
)
)
"),"elyse")</f>
        <v>elyse</v>
      </c>
      <c r="O100" s="7">
        <f t="shared" si="5"/>
        <v>1</v>
      </c>
      <c r="P100" s="8" t="str">
        <f t="shared" si="6"/>
        <v>No</v>
      </c>
    </row>
    <row r="101">
      <c r="A101" s="4" t="s">
        <v>16</v>
      </c>
      <c r="B101" s="4" t="s">
        <v>329</v>
      </c>
      <c r="C101" s="5">
        <v>45037.0</v>
      </c>
      <c r="D101" s="5">
        <v>45049.0</v>
      </c>
      <c r="E101" s="4" t="s">
        <v>330</v>
      </c>
      <c r="F101" s="4" t="s">
        <v>331</v>
      </c>
      <c r="G101" s="6" t="str">
        <f>IFERROR(__xludf.DUMMYFUNCTION("REGEXREPLACE(LOWER(F101),""[^a-z\s]"","""")"),"none")</f>
        <v>none</v>
      </c>
      <c r="H101" s="4" t="str">
        <f t="shared" si="1"/>
        <v>none</v>
      </c>
      <c r="I101" s="6">
        <f t="shared" si="2"/>
        <v>1</v>
      </c>
      <c r="J101" s="6">
        <f>IFERROR(__xludf.DUMMYFUNCTION("IF(H101="""","""",
SUM(
ARRAYFORMULA(
IF(
REGEXMATCH(
"" ""&amp;H101&amp;"" "",
"" ""&amp;Sentiment_Words!A$2:A3730&amp;"" ""
),
1,
0
)
)
)
)"),0.0)</f>
        <v>0</v>
      </c>
      <c r="K101" s="4">
        <f>IFERROR(__xludf.DUMMYFUNCTION("IF(H101="""","""",
SUM(
ARRAYFORMULA(
IF(
REGEXMATCH(
"" ""&amp;H101&amp;"" "",
"" ""&amp;Sentiment_Words!B$2:B3730&amp;"" ""
),
1,
0
)
)
)
)"),0.0)</f>
        <v>0</v>
      </c>
      <c r="L101" s="7" t="str">
        <f t="shared" si="3"/>
        <v>Other</v>
      </c>
      <c r="M101" s="7" t="str">
        <f t="shared" si="4"/>
        <v>Neutral</v>
      </c>
      <c r="N101" s="7" t="str">
        <f>IFERROR(__xludf.DUMMYFUNCTION("LOWER(
TRIM(
REGEXREPLACE(B101,""[^a-zA-Z\s]"","""")
)
)
"),"armando lopez")</f>
        <v>armando lopez</v>
      </c>
      <c r="O101" s="7">
        <f t="shared" si="5"/>
        <v>1</v>
      </c>
      <c r="P101" s="8" t="str">
        <f t="shared" si="6"/>
        <v>No</v>
      </c>
    </row>
    <row r="102">
      <c r="A102" s="4" t="s">
        <v>16</v>
      </c>
      <c r="B102" s="4" t="s">
        <v>56</v>
      </c>
      <c r="C102" s="9">
        <v>45047.0</v>
      </c>
      <c r="D102" s="4" t="s">
        <v>99</v>
      </c>
      <c r="E102" s="4" t="s">
        <v>332</v>
      </c>
      <c r="F102" s="4" t="s">
        <v>333</v>
      </c>
      <c r="G102" s="6" t="str">
        <f>IFERROR(__xludf.DUMMYFUNCTION("REGEXREPLACE(LOWER(F102),""[^a-z\s]"","""")"),"quick
easy
kept you informed
open communication")</f>
        <v>quick
easy
kept you informed
open communication</v>
      </c>
      <c r="H102" s="4" t="str">
        <f t="shared" si="1"/>
        <v>quick
easy
kept you informed
open communication</v>
      </c>
      <c r="I102" s="6">
        <f t="shared" si="2"/>
        <v>4</v>
      </c>
      <c r="J102" s="6">
        <f>IFERROR(__xludf.DUMMYFUNCTION("IF(H102="""","""",
SUM(
ARRAYFORMULA(
IF(
REGEXMATCH(
"" ""&amp;H102&amp;"" "",
"" ""&amp;Sentiment_Words!A$2:A3730&amp;"" ""
),
1,
0
)
)
)
)"),0.0)</f>
        <v>0</v>
      </c>
      <c r="K102" s="4">
        <f>IFERROR(__xludf.DUMMYFUNCTION("IF(H102="""","""",
SUM(
ARRAYFORMULA(
IF(
REGEXMATCH(
"" ""&amp;H102&amp;"" "",
"" ""&amp;Sentiment_Words!B$2:B3730&amp;"" ""
),
1,
0
)
)
)
)"),0.0)</f>
        <v>0</v>
      </c>
      <c r="L102" s="7" t="str">
        <f t="shared" si="3"/>
        <v>Other</v>
      </c>
      <c r="M102" s="7" t="str">
        <f t="shared" si="4"/>
        <v>Neutral</v>
      </c>
      <c r="N102" s="7" t="str">
        <f>IFERROR(__xludf.DUMMYFUNCTION("LOWER(
TRIM(
REGEXREPLACE(B102,""[^a-zA-Z\s]"","""")
)
)
"),"customer")</f>
        <v>customer</v>
      </c>
      <c r="O102" s="7">
        <f t="shared" si="5"/>
        <v>54</v>
      </c>
      <c r="P102" s="8" t="str">
        <f t="shared" si="6"/>
        <v>Yes</v>
      </c>
    </row>
    <row r="103">
      <c r="A103" s="4" t="s">
        <v>16</v>
      </c>
      <c r="B103" s="4" t="s">
        <v>334</v>
      </c>
      <c r="C103" s="5">
        <v>45041.0</v>
      </c>
      <c r="D103" s="5">
        <v>45055.0</v>
      </c>
      <c r="E103" s="4" t="s">
        <v>335</v>
      </c>
      <c r="F103" s="4" t="s">
        <v>336</v>
      </c>
      <c r="G103" s="6" t="str">
        <f>IFERROR(__xludf.DUMMYFUNCTION("REGEXREPLACE(LOWER(F103),""[^a-z\s]"","""")"),"a very smooth and seamless process to secure my spot in the breeders upcoming litter")</f>
        <v>a very smooth and seamless process to secure my spot in the breeders upcoming litter</v>
      </c>
      <c r="H103" s="4" t="str">
        <f t="shared" si="1"/>
        <v>a very smooth seamless process secure my spot in breeders upcoming litter</v>
      </c>
      <c r="I103" s="6">
        <f t="shared" si="2"/>
        <v>12</v>
      </c>
      <c r="J103" s="6">
        <f>IFERROR(__xludf.DUMMYFUNCTION("IF(H103="""","""",
SUM(
ARRAYFORMULA(
IF(
REGEXMATCH(
"" ""&amp;H103&amp;"" "",
"" ""&amp;Sentiment_Words!A$2:A3730&amp;"" ""
),
1,
0
)
)
)
)"),0.0)</f>
        <v>0</v>
      </c>
      <c r="K103" s="4">
        <f>IFERROR(__xludf.DUMMYFUNCTION("IF(H103="""","""",
SUM(
ARRAYFORMULA(
IF(
REGEXMATCH(
"" ""&amp;H103&amp;"" "",
"" ""&amp;Sentiment_Words!B$2:B3730&amp;"" ""
),
1,
0
)
)
)
)"),0.0)</f>
        <v>0</v>
      </c>
      <c r="L103" s="7" t="str">
        <f t="shared" si="3"/>
        <v>Other</v>
      </c>
      <c r="M103" s="7" t="str">
        <f t="shared" si="4"/>
        <v>Neutral</v>
      </c>
      <c r="N103" s="7" t="str">
        <f>IFERROR(__xludf.DUMMYFUNCTION("LOWER(
TRIM(
REGEXREPLACE(B103,""[^a-zA-Z\s]"","""")
)
)
"),"julio rodriguez")</f>
        <v>julio rodriguez</v>
      </c>
      <c r="O103" s="7">
        <f t="shared" si="5"/>
        <v>1</v>
      </c>
      <c r="P103" s="8" t="str">
        <f t="shared" si="6"/>
        <v>No</v>
      </c>
    </row>
    <row r="104">
      <c r="A104" s="4" t="s">
        <v>16</v>
      </c>
      <c r="B104" s="4" t="s">
        <v>337</v>
      </c>
      <c r="C104" s="9">
        <v>45049.0</v>
      </c>
      <c r="D104" s="5">
        <v>45063.0</v>
      </c>
      <c r="E104" s="4" t="s">
        <v>338</v>
      </c>
      <c r="F104" s="4" t="s">
        <v>339</v>
      </c>
      <c r="G104" s="6" t="str">
        <f>IFERROR(__xludf.DUMMYFUNCTION("REGEXREPLACE(LOWER(F104),""[^a-z\s]"","""")"),"easy to order and i received the correct shipment")</f>
        <v>easy to order and i received the correct shipment</v>
      </c>
      <c r="H104" s="4" t="str">
        <f t="shared" si="1"/>
        <v>easy order i received correct shipment</v>
      </c>
      <c r="I104" s="6">
        <f t="shared" si="2"/>
        <v>6</v>
      </c>
      <c r="J104" s="6">
        <f>IFERROR(__xludf.DUMMYFUNCTION("IF(H104="""","""",
SUM(
ARRAYFORMULA(
IF(
REGEXMATCH(
"" ""&amp;H104&amp;"" "",
"" ""&amp;Sentiment_Words!A$2:A3730&amp;"" ""
),
1,
0
)
)
)
)"),1.0)</f>
        <v>1</v>
      </c>
      <c r="K104" s="4">
        <f>IFERROR(__xludf.DUMMYFUNCTION("IF(H104="""","""",
SUM(
ARRAYFORMULA(
IF(
REGEXMATCH(
"" ""&amp;H104&amp;"" "",
"" ""&amp;Sentiment_Words!B$2:B3730&amp;"" ""
),
1,
0
)
)
)
)"),0.0)</f>
        <v>0</v>
      </c>
      <c r="L104" s="7" t="str">
        <f t="shared" si="3"/>
        <v>Other</v>
      </c>
      <c r="M104" s="7" t="str">
        <f t="shared" si="4"/>
        <v>Positive</v>
      </c>
      <c r="N104" s="7" t="str">
        <f>IFERROR(__xludf.DUMMYFUNCTION("LOWER(
TRIM(
REGEXREPLACE(B104,""[^a-zA-Z\s]"","""")
)
)
"),"helaine dietz")</f>
        <v>helaine dietz</v>
      </c>
      <c r="O104" s="7">
        <f t="shared" si="5"/>
        <v>1</v>
      </c>
      <c r="P104" s="8" t="str">
        <f t="shared" si="6"/>
        <v>No</v>
      </c>
    </row>
    <row r="105">
      <c r="A105" s="4" t="s">
        <v>16</v>
      </c>
      <c r="B105" s="4" t="s">
        <v>340</v>
      </c>
      <c r="C105" s="5">
        <v>45031.0</v>
      </c>
      <c r="D105" s="4" t="s">
        <v>57</v>
      </c>
      <c r="E105" s="4" t="s">
        <v>341</v>
      </c>
      <c r="F105" s="4" t="s">
        <v>342</v>
      </c>
      <c r="G105" s="6" t="str">
        <f>IFERROR(__xludf.DUMMYFUNCTION("REGEXREPLACE(LOWER(F105),""[^a-z\s]"","""")"),"hard to find dog food at a good price e quick free shipping")</f>
        <v>hard to find dog food at a good price e quick free shipping</v>
      </c>
      <c r="H105" s="4" t="str">
        <f t="shared" si="1"/>
        <v>hard find dog food at a good price e quick free shipping</v>
      </c>
      <c r="I105" s="6">
        <f t="shared" si="2"/>
        <v>12</v>
      </c>
      <c r="J105" s="6">
        <f>IFERROR(__xludf.DUMMYFUNCTION("IF(H105="""","""",
SUM(
ARRAYFORMULA(
IF(
REGEXMATCH(
"" ""&amp;H105&amp;"" "",
"" ""&amp;Sentiment_Words!A$2:A3730&amp;"" ""
),
1,
0
)
)
)
)"),1.0)</f>
        <v>1</v>
      </c>
      <c r="K105" s="4">
        <f>IFERROR(__xludf.DUMMYFUNCTION("IF(H105="""","""",
SUM(
ARRAYFORMULA(
IF(
REGEXMATCH(
"" ""&amp;H105&amp;"" "",
"" ""&amp;Sentiment_Words!B$2:B3730&amp;"" ""
),
1,
0
)
)
)
)"),0.0)</f>
        <v>0</v>
      </c>
      <c r="L105" s="7" t="str">
        <f t="shared" si="3"/>
        <v>Other</v>
      </c>
      <c r="M105" s="7" t="str">
        <f t="shared" si="4"/>
        <v>Positive</v>
      </c>
      <c r="N105" s="7" t="str">
        <f>IFERROR(__xludf.DUMMYFUNCTION("LOWER(
TRIM(
REGEXREPLACE(B105,""[^a-zA-Z\s]"","""")
)
)
"),"lex")</f>
        <v>lex</v>
      </c>
      <c r="O105" s="7">
        <f t="shared" si="5"/>
        <v>1</v>
      </c>
      <c r="P105" s="8" t="str">
        <f t="shared" si="6"/>
        <v>No</v>
      </c>
    </row>
    <row r="106">
      <c r="A106" s="4" t="s">
        <v>16</v>
      </c>
      <c r="B106" s="4" t="s">
        <v>343</v>
      </c>
      <c r="C106" s="9">
        <v>45051.0</v>
      </c>
      <c r="D106" s="5">
        <v>45063.0</v>
      </c>
      <c r="E106" s="4" t="s">
        <v>344</v>
      </c>
      <c r="F106" s="4" t="s">
        <v>345</v>
      </c>
      <c r="G106" s="6" t="str">
        <f>IFERROR(__xludf.DUMMYFUNCTION("REGEXREPLACE(LOWER(F106),""[^a-z\s]"","""")"),"easy to order wide variety of product choices and great prices")</f>
        <v>easy to order wide variety of product choices and great prices</v>
      </c>
      <c r="H106" s="4" t="str">
        <f t="shared" si="1"/>
        <v>easy order wide variety of product choices great prices</v>
      </c>
      <c r="I106" s="6">
        <f t="shared" si="2"/>
        <v>9</v>
      </c>
      <c r="J106" s="6">
        <f>IFERROR(__xludf.DUMMYFUNCTION("IF(H106="""","""",
SUM(
ARRAYFORMULA(
IF(
REGEXMATCH(
"" ""&amp;H106&amp;"" "",
"" ""&amp;Sentiment_Words!A$2:A3730&amp;"" ""
),
1,
0
)
)
)
)"),2.0)</f>
        <v>2</v>
      </c>
      <c r="K106" s="4">
        <f>IFERROR(__xludf.DUMMYFUNCTION("IF(H106="""","""",
SUM(
ARRAYFORMULA(
IF(
REGEXMATCH(
"" ""&amp;H106&amp;"" "",
"" ""&amp;Sentiment_Words!B$2:B3730&amp;"" ""
),
1,
0
)
)
)
)"),0.0)</f>
        <v>0</v>
      </c>
      <c r="L106" s="7" t="str">
        <f t="shared" si="3"/>
        <v>Other</v>
      </c>
      <c r="M106" s="7" t="str">
        <f t="shared" si="4"/>
        <v>Positive</v>
      </c>
      <c r="N106" s="7" t="str">
        <f>IFERROR(__xludf.DUMMYFUNCTION("LOWER(
TRIM(
REGEXREPLACE(B106,""[^a-zA-Z\s]"","""")
)
)
"),"bessie")</f>
        <v>bessie</v>
      </c>
      <c r="O106" s="7">
        <f t="shared" si="5"/>
        <v>1</v>
      </c>
      <c r="P106" s="8" t="str">
        <f t="shared" si="6"/>
        <v>No</v>
      </c>
    </row>
    <row r="107">
      <c r="A107" s="4" t="s">
        <v>16</v>
      </c>
      <c r="B107" s="4" t="s">
        <v>346</v>
      </c>
      <c r="C107" s="5">
        <v>45046.0</v>
      </c>
      <c r="D107" s="5">
        <v>45058.0</v>
      </c>
      <c r="E107" s="4" t="s">
        <v>347</v>
      </c>
      <c r="F107" s="4" t="s">
        <v>348</v>
      </c>
      <c r="G107" s="6" t="str">
        <f>IFERROR(__xludf.DUMMYFUNCTION("REGEXREPLACE(LOWER(F107),""[^a-z\s]"","""")"),"the ordering was easy the delivery was fast and i found what i wanted")</f>
        <v>the ordering was easy the delivery was fast and i found what i wanted</v>
      </c>
      <c r="H107" s="4" t="str">
        <f t="shared" si="1"/>
        <v>ordering was easy delivery was fast i found what i wanted</v>
      </c>
      <c r="I107" s="6">
        <f t="shared" si="2"/>
        <v>11</v>
      </c>
      <c r="J107" s="6">
        <f>IFERROR(__xludf.DUMMYFUNCTION("IF(H107="""","""",
SUM(
ARRAYFORMULA(
IF(
REGEXMATCH(
"" ""&amp;H107&amp;"" "",
"" ""&amp;Sentiment_Words!A$2:A3730&amp;"" ""
),
1,
0
)
)
)
)"),3.0)</f>
        <v>3</v>
      </c>
      <c r="K107" s="4">
        <f>IFERROR(__xludf.DUMMYFUNCTION("IF(H107="""","""",
SUM(
ARRAYFORMULA(
IF(
REGEXMATCH(
"" ""&amp;H107&amp;"" "",
"" ""&amp;Sentiment_Words!B$2:B3730&amp;"" ""
),
1,
0
)
)
)
)"),0.0)</f>
        <v>0</v>
      </c>
      <c r="L107" s="7" t="str">
        <f t="shared" si="3"/>
        <v>Other</v>
      </c>
      <c r="M107" s="7" t="str">
        <f t="shared" si="4"/>
        <v>Positive</v>
      </c>
      <c r="N107" s="7" t="str">
        <f>IFERROR(__xludf.DUMMYFUNCTION("LOWER(
TRIM(
REGEXREPLACE(B107,""[^a-zA-Z\s]"","""")
)
)
"),"vickie")</f>
        <v>vickie</v>
      </c>
      <c r="O107" s="7">
        <f t="shared" si="5"/>
        <v>2</v>
      </c>
      <c r="P107" s="8" t="str">
        <f t="shared" si="6"/>
        <v>Yes</v>
      </c>
    </row>
    <row r="108">
      <c r="A108" s="4" t="s">
        <v>16</v>
      </c>
      <c r="B108" s="4" t="s">
        <v>349</v>
      </c>
      <c r="C108" s="9">
        <v>45049.0</v>
      </c>
      <c r="D108" s="5">
        <v>45061.0</v>
      </c>
      <c r="E108" s="4" t="s">
        <v>350</v>
      </c>
      <c r="F108" s="4" t="s">
        <v>351</v>
      </c>
      <c r="G108" s="6" t="str">
        <f>IFERROR(__xludf.DUMMYFUNCTION("REGEXREPLACE(LOWER(F108),""[^a-z\s]"","""")"),"cant beat the prices  very convenient service")</f>
        <v>cant beat the prices  very convenient service</v>
      </c>
      <c r="H108" s="4" t="str">
        <f t="shared" si="1"/>
        <v>cant beat prices very convenient service</v>
      </c>
      <c r="I108" s="6">
        <f t="shared" si="2"/>
        <v>6</v>
      </c>
      <c r="J108" s="6">
        <f>IFERROR(__xludf.DUMMYFUNCTION("IF(H108="""","""",
SUM(
ARRAYFORMULA(
IF(
REGEXMATCH(
"" ""&amp;H108&amp;"" "",
"" ""&amp;Sentiment_Words!A$2:A3730&amp;"" ""
),
1,
0
)
)
)
)"),1.0)</f>
        <v>1</v>
      </c>
      <c r="K108" s="4">
        <f>IFERROR(__xludf.DUMMYFUNCTION("IF(H108="""","""",
SUM(
ARRAYFORMULA(
IF(
REGEXMATCH(
"" ""&amp;H108&amp;"" "",
"" ""&amp;Sentiment_Words!B$2:B3730&amp;"" ""
),
1,
0
)
)
)
)"),0.0)</f>
        <v>0</v>
      </c>
      <c r="L108" s="7" t="str">
        <f t="shared" si="3"/>
        <v>Customer Support</v>
      </c>
      <c r="M108" s="7" t="str">
        <f t="shared" si="4"/>
        <v>Positive</v>
      </c>
      <c r="N108" s="7" t="str">
        <f>IFERROR(__xludf.DUMMYFUNCTION("LOWER(
TRIM(
REGEXREPLACE(B108,""[^a-zA-Z\s]"","""")
)
)
"),"kelly")</f>
        <v>kelly</v>
      </c>
      <c r="O108" s="7">
        <f t="shared" si="5"/>
        <v>3</v>
      </c>
      <c r="P108" s="8" t="str">
        <f t="shared" si="6"/>
        <v>Yes</v>
      </c>
    </row>
    <row r="109">
      <c r="A109" s="4" t="s">
        <v>16</v>
      </c>
      <c r="B109" s="4" t="s">
        <v>352</v>
      </c>
      <c r="C109" s="5">
        <v>45059.0</v>
      </c>
      <c r="D109" s="4" t="s">
        <v>30</v>
      </c>
      <c r="E109" s="4" t="s">
        <v>353</v>
      </c>
      <c r="F109" s="4" t="s">
        <v>354</v>
      </c>
      <c r="G109" s="6" t="str">
        <f>IFERROR(__xludf.DUMMYFUNCTION("REGEXREPLACE(LOWER(F109),""[^a-z\s]"","""")"),"great prices and loved the free shipping")</f>
        <v>great prices and loved the free shipping</v>
      </c>
      <c r="H109" s="4" t="str">
        <f t="shared" si="1"/>
        <v>great prices loved free shipping</v>
      </c>
      <c r="I109" s="6">
        <f t="shared" si="2"/>
        <v>5</v>
      </c>
      <c r="J109" s="6">
        <f>IFERROR(__xludf.DUMMYFUNCTION("IF(H109="""","""",
SUM(
ARRAYFORMULA(
IF(
REGEXMATCH(
"" ""&amp;H109&amp;"" "",
"" ""&amp;Sentiment_Words!A$2:A3730&amp;"" ""
),
1,
0
)
)
)
)"),1.0)</f>
        <v>1</v>
      </c>
      <c r="K109" s="4">
        <f>IFERROR(__xludf.DUMMYFUNCTION("IF(H109="""","""",
SUM(
ARRAYFORMULA(
IF(
REGEXMATCH(
"" ""&amp;H109&amp;"" "",
"" ""&amp;Sentiment_Words!B$2:B3730&amp;"" ""
),
1,
0
)
)
)
)"),0.0)</f>
        <v>0</v>
      </c>
      <c r="L109" s="7" t="str">
        <f t="shared" si="3"/>
        <v>Other</v>
      </c>
      <c r="M109" s="7" t="str">
        <f t="shared" si="4"/>
        <v>Positive</v>
      </c>
      <c r="N109" s="7" t="str">
        <f>IFERROR(__xludf.DUMMYFUNCTION("LOWER(
TRIM(
REGEXREPLACE(B109,""[^a-zA-Z\s]"","""")
)
)
"),"mel")</f>
        <v>mel</v>
      </c>
      <c r="O109" s="7">
        <f t="shared" si="5"/>
        <v>2</v>
      </c>
      <c r="P109" s="8" t="str">
        <f t="shared" si="6"/>
        <v>Yes</v>
      </c>
    </row>
    <row r="110">
      <c r="A110" s="4" t="s">
        <v>16</v>
      </c>
      <c r="B110" s="4" t="s">
        <v>355</v>
      </c>
      <c r="C110" s="5">
        <v>45070.0</v>
      </c>
      <c r="D110" s="4" t="s">
        <v>30</v>
      </c>
      <c r="E110" s="4" t="s">
        <v>356</v>
      </c>
      <c r="F110" s="4" t="s">
        <v>357</v>
      </c>
      <c r="G110" s="6" t="str">
        <f>IFERROR(__xludf.DUMMYFUNCTION("REGEXREPLACE(LOWER(F110),""[^a-z\s]"","""")"),"highly recommended thank you guys for providing absolutely phenomenal service")</f>
        <v>highly recommended thank you guys for providing absolutely phenomenal service</v>
      </c>
      <c r="H110" s="4" t="str">
        <f t="shared" si="1"/>
        <v>highly recommended thank you guys providing absolutely phenomenal service</v>
      </c>
      <c r="I110" s="6">
        <f t="shared" si="2"/>
        <v>9</v>
      </c>
      <c r="J110" s="6">
        <f>IFERROR(__xludf.DUMMYFUNCTION("IF(H110="""","""",
SUM(
ARRAYFORMULA(
IF(
REGEXMATCH(
"" ""&amp;H110&amp;"" "",
"" ""&amp;Sentiment_Words!A$2:A3730&amp;"" ""
),
1,
0
)
)
)
)"),0.0)</f>
        <v>0</v>
      </c>
      <c r="K110" s="4">
        <f>IFERROR(__xludf.DUMMYFUNCTION("IF(H110="""","""",
SUM(
ARRAYFORMULA(
IF(
REGEXMATCH(
"" ""&amp;H110&amp;"" "",
"" ""&amp;Sentiment_Words!B$2:B3730&amp;"" ""
),
1,
0
)
)
)
)"),0.0)</f>
        <v>0</v>
      </c>
      <c r="L110" s="7" t="str">
        <f t="shared" si="3"/>
        <v>Customer Support</v>
      </c>
      <c r="M110" s="7" t="str">
        <f t="shared" si="4"/>
        <v>Neutral</v>
      </c>
      <c r="N110" s="7" t="str">
        <f>IFERROR(__xludf.DUMMYFUNCTION("LOWER(
TRIM(
REGEXREPLACE(B110,""[^a-zA-Z\s]"","""")
)
)
"),"dave b")</f>
        <v>dave b</v>
      </c>
      <c r="O110" s="7">
        <f t="shared" si="5"/>
        <v>1</v>
      </c>
      <c r="P110" s="8" t="str">
        <f t="shared" si="6"/>
        <v>No</v>
      </c>
    </row>
    <row r="111">
      <c r="A111" s="4" t="s">
        <v>16</v>
      </c>
      <c r="B111" s="4" t="s">
        <v>358</v>
      </c>
      <c r="C111" s="5">
        <v>45034.0</v>
      </c>
      <c r="D111" s="5">
        <v>45047.0</v>
      </c>
      <c r="E111" s="4" t="s">
        <v>359</v>
      </c>
      <c r="F111" s="4" t="s">
        <v>360</v>
      </c>
      <c r="G111" s="6" t="str">
        <f>IFERROR(__xludf.DUMMYFUNCTION("REGEXREPLACE(LOWER(F111),""[^a-z\s]"","""")"),"my shipment reached grand junction co which is close to where i live then it was shipped back to nevada then back to grand junction this is the second time this has happened all of the cans were damaged when i received my shipment")</f>
        <v>my shipment reached grand junction co which is close to where i live then it was shipped back to nevada then back to grand junction this is the second time this has happened all of the cans were damaged when i received my shipment</v>
      </c>
      <c r="H111" s="4" t="str">
        <f t="shared" si="1"/>
        <v>my shipment reached grand junction co which close where i live then it was shipped back nevada then back grand junction this second time this has happened all of cans were damaged when i received my shipment</v>
      </c>
      <c r="I111" s="6">
        <f t="shared" si="2"/>
        <v>37</v>
      </c>
      <c r="J111" s="6">
        <f>IFERROR(__xludf.DUMMYFUNCTION("IF(H111="""","""",
SUM(
ARRAYFORMULA(
IF(
REGEXMATCH(
"" ""&amp;H111&amp;"" "",
"" ""&amp;Sentiment_Words!A$2:A3730&amp;"" ""
),
1,
0
)
)
)
)"),0.0)</f>
        <v>0</v>
      </c>
      <c r="K111" s="4">
        <f>IFERROR(__xludf.DUMMYFUNCTION("IF(H111="""","""",
SUM(
ARRAYFORMULA(
IF(
REGEXMATCH(
"" ""&amp;H111&amp;"" "",
"" ""&amp;Sentiment_Words!B$2:B3730&amp;"" ""
),
1,
0
)
)
)
)"),1.0)</f>
        <v>1</v>
      </c>
      <c r="L111" s="7" t="str">
        <f t="shared" si="3"/>
        <v>Other</v>
      </c>
      <c r="M111" s="7" t="str">
        <f t="shared" si="4"/>
        <v>Negative</v>
      </c>
      <c r="N111" s="7" t="str">
        <f>IFERROR(__xludf.DUMMYFUNCTION("LOWER(
TRIM(
REGEXREPLACE(B111,""[^a-zA-Z\s]"","""")
)
)
"),"lana")</f>
        <v>lana</v>
      </c>
      <c r="O111" s="7">
        <f t="shared" si="5"/>
        <v>1</v>
      </c>
      <c r="P111" s="8" t="str">
        <f t="shared" si="6"/>
        <v>No</v>
      </c>
    </row>
    <row r="112">
      <c r="A112" s="4" t="s">
        <v>16</v>
      </c>
      <c r="B112" s="4" t="s">
        <v>361</v>
      </c>
      <c r="C112" s="9">
        <v>45054.0</v>
      </c>
      <c r="D112" s="4" t="s">
        <v>150</v>
      </c>
      <c r="E112" s="4" t="s">
        <v>362</v>
      </c>
      <c r="F112" s="4" t="s">
        <v>363</v>
      </c>
      <c r="G112" s="6" t="str">
        <f>IFERROR(__xludf.DUMMYFUNCTION("REGEXREPLACE(LOWER(F112),""[^a-z\s]"","""")"),"love how tall it isand the lookjust what i was looking forwas shipped very fast")</f>
        <v>love how tall it isand the lookjust what i was looking forwas shipped very fast</v>
      </c>
      <c r="H112" s="4" t="str">
        <f t="shared" si="1"/>
        <v>love how tall it isand lookjust what i was looking forwas shipped very fast</v>
      </c>
      <c r="I112" s="6">
        <f t="shared" si="2"/>
        <v>14</v>
      </c>
      <c r="J112" s="6">
        <f>IFERROR(__xludf.DUMMYFUNCTION("IF(H112="""","""",
SUM(
ARRAYFORMULA(
IF(
REGEXMATCH(
"" ""&amp;H112&amp;"" "",
"" ""&amp;Sentiment_Words!A$2:A3730&amp;"" ""
),
1,
0
)
)
)
)"),2.0)</f>
        <v>2</v>
      </c>
      <c r="K112" s="4">
        <f>IFERROR(__xludf.DUMMYFUNCTION("IF(H112="""","""",
SUM(
ARRAYFORMULA(
IF(
REGEXMATCH(
"" ""&amp;H112&amp;"" "",
"" ""&amp;Sentiment_Words!B$2:B3730&amp;"" ""
),
1,
0
)
)
)
)"),0.0)</f>
        <v>0</v>
      </c>
      <c r="L112" s="7" t="str">
        <f t="shared" si="3"/>
        <v>Other</v>
      </c>
      <c r="M112" s="7" t="str">
        <f t="shared" si="4"/>
        <v>Positive</v>
      </c>
      <c r="N112" s="7" t="str">
        <f>IFERROR(__xludf.DUMMYFUNCTION("LOWER(
TRIM(
REGEXREPLACE(B112,""[^a-zA-Z\s]"","""")
)
)
"),"theodore frank")</f>
        <v>theodore frank</v>
      </c>
      <c r="O112" s="7">
        <f t="shared" si="5"/>
        <v>1</v>
      </c>
      <c r="P112" s="8" t="str">
        <f t="shared" si="6"/>
        <v>No</v>
      </c>
    </row>
    <row r="113">
      <c r="A113" s="4" t="s">
        <v>16</v>
      </c>
      <c r="B113" s="4" t="s">
        <v>364</v>
      </c>
      <c r="C113" s="5">
        <v>45044.0</v>
      </c>
      <c r="D113" s="5">
        <v>45056.0</v>
      </c>
      <c r="E113" s="4" t="s">
        <v>365</v>
      </c>
      <c r="F113" s="4" t="s">
        <v>366</v>
      </c>
      <c r="G113" s="6" t="str">
        <f>IFERROR(__xludf.DUMMYFUNCTION("REGEXREPLACE(LOWER(F113),""[^a-z\s]"","""")"),"pet flow was very good about my special order they had to reach out to my vet to get the script for the dog food and did so i received my order right after that thank you")</f>
        <v>pet flow was very good about my special order they had to reach out to my vet to get the script for the dog food and did so i received my order right after that thank you</v>
      </c>
      <c r="H113" s="4" t="str">
        <f t="shared" si="1"/>
        <v>pet flow was very good about my special order they had reach out my vet get script dog food did so i received my order right after that thank you</v>
      </c>
      <c r="I113" s="6">
        <f t="shared" si="2"/>
        <v>30</v>
      </c>
      <c r="J113" s="6">
        <f>IFERROR(__xludf.DUMMYFUNCTION("IF(H113="""","""",
SUM(
ARRAYFORMULA(
IF(
REGEXMATCH(
"" ""&amp;H113&amp;"" "",
"" ""&amp;Sentiment_Words!A$2:A3730&amp;"" ""
),
1,
0
)
)
)
)"),1.0)</f>
        <v>1</v>
      </c>
      <c r="K113" s="4">
        <f>IFERROR(__xludf.DUMMYFUNCTION("IF(H113="""","""",
SUM(
ARRAYFORMULA(
IF(
REGEXMATCH(
"" ""&amp;H113&amp;"" "",
"" ""&amp;Sentiment_Words!B$2:B3730&amp;"" ""
),
1,
0
)
)
)
)"),0.0)</f>
        <v>0</v>
      </c>
      <c r="L113" s="7" t="str">
        <f t="shared" si="3"/>
        <v>Other</v>
      </c>
      <c r="M113" s="7" t="str">
        <f t="shared" si="4"/>
        <v>Positive</v>
      </c>
      <c r="N113" s="7" t="str">
        <f>IFERROR(__xludf.DUMMYFUNCTION("LOWER(
TRIM(
REGEXREPLACE(B113,""[^a-zA-Z\s]"","""")
)
)
"),"mom of fur babies")</f>
        <v>mom of fur babies</v>
      </c>
      <c r="O113" s="7">
        <f t="shared" si="5"/>
        <v>1</v>
      </c>
      <c r="P113" s="8" t="str">
        <f t="shared" si="6"/>
        <v>No</v>
      </c>
    </row>
    <row r="114">
      <c r="A114" s="4" t="s">
        <v>16</v>
      </c>
      <c r="B114" s="4" t="s">
        <v>367</v>
      </c>
      <c r="C114" s="5">
        <v>45058.0</v>
      </c>
      <c r="D114" s="4" t="s">
        <v>74</v>
      </c>
      <c r="E114" s="4" t="s">
        <v>368</v>
      </c>
      <c r="F114" s="4" t="s">
        <v>369</v>
      </c>
      <c r="G114" s="6" t="str">
        <f>IFERROR(__xludf.DUMMYFUNCTION("REGEXREPLACE(LOWER(F114),""[^a-z\s]"","""")"),"had a problem with my order duplicate customer service fixed right away and answered the phone with a person i could understand super plus for that")</f>
        <v>had a problem with my order duplicate customer service fixed right away and answered the phone with a person i could understand super plus for that</v>
      </c>
      <c r="H114" s="4" t="str">
        <f t="shared" si="1"/>
        <v>had a problem with my order duplicate customer service fixed right away answered phone with a person i could understand super plus that</v>
      </c>
      <c r="I114" s="6">
        <f t="shared" si="2"/>
        <v>23</v>
      </c>
      <c r="J114" s="6">
        <f>IFERROR(__xludf.DUMMYFUNCTION("IF(H114="""","""",
SUM(
ARRAYFORMULA(
IF(
REGEXMATCH(
"" ""&amp;H114&amp;"" "",
"" ""&amp;Sentiment_Words!A$2:A3730&amp;"" ""
),
1,
0
)
)
)
)"),0.0)</f>
        <v>0</v>
      </c>
      <c r="K114" s="4">
        <f>IFERROR(__xludf.DUMMYFUNCTION("IF(H114="""","""",
SUM(
ARRAYFORMULA(
IF(
REGEXMATCH(
"" ""&amp;H114&amp;"" "",
"" ""&amp;Sentiment_Words!B$2:B3730&amp;"" ""
),
1,
0
)
)
)
)"),2.0)</f>
        <v>2</v>
      </c>
      <c r="L114" s="7" t="str">
        <f t="shared" si="3"/>
        <v>Customer Support</v>
      </c>
      <c r="M114" s="7" t="str">
        <f t="shared" si="4"/>
        <v>Negative</v>
      </c>
      <c r="N114" s="7" t="str">
        <f>IFERROR(__xludf.DUMMYFUNCTION("LOWER(
TRIM(
REGEXREPLACE(B114,""[^a-zA-Z\s]"","""")
)
)
"),"vivian parker")</f>
        <v>vivian parker</v>
      </c>
      <c r="O114" s="7">
        <f t="shared" si="5"/>
        <v>1</v>
      </c>
      <c r="P114" s="8" t="str">
        <f t="shared" si="6"/>
        <v>No</v>
      </c>
    </row>
    <row r="115">
      <c r="A115" s="4" t="s">
        <v>16</v>
      </c>
      <c r="B115" s="4" t="s">
        <v>370</v>
      </c>
      <c r="C115" s="5">
        <v>45035.0</v>
      </c>
      <c r="D115" s="5">
        <v>45047.0</v>
      </c>
      <c r="E115" s="4" t="s">
        <v>371</v>
      </c>
      <c r="F115" s="4" t="s">
        <v>372</v>
      </c>
      <c r="G115" s="6" t="str">
        <f>IFERROR(__xludf.DUMMYFUNCTION("REGEXREPLACE(LOWER(F115),""[^a-z\s]"","""")"),"my order came with  cans dented out of  and this is not the first time")</f>
        <v>my order came with  cans dented out of  and this is not the first time</v>
      </c>
      <c r="H115" s="4" t="str">
        <f t="shared" si="1"/>
        <v>my order came with cans dented out of this not first time</v>
      </c>
      <c r="I115" s="6">
        <f t="shared" si="2"/>
        <v>12</v>
      </c>
      <c r="J115" s="6">
        <f>IFERROR(__xludf.DUMMYFUNCTION("IF(H115="""","""",
SUM(
ARRAYFORMULA(
IF(
REGEXMATCH(
"" ""&amp;H115&amp;"" "",
"" ""&amp;Sentiment_Words!A$2:A3730&amp;"" ""
),
1,
0
)
)
)
)"),0.0)</f>
        <v>0</v>
      </c>
      <c r="K115" s="4">
        <f>IFERROR(__xludf.DUMMYFUNCTION("IF(H115="""","""",
SUM(
ARRAYFORMULA(
IF(
REGEXMATCH(
"" ""&amp;H115&amp;"" "",
"" ""&amp;Sentiment_Words!B$2:B3730&amp;"" ""
),
1,
0
)
)
)
)"),0.0)</f>
        <v>0</v>
      </c>
      <c r="L115" s="7" t="str">
        <f t="shared" si="3"/>
        <v>Other</v>
      </c>
      <c r="M115" s="7" t="str">
        <f t="shared" si="4"/>
        <v>Neutral</v>
      </c>
      <c r="N115" s="7" t="str">
        <f>IFERROR(__xludf.DUMMYFUNCTION("LOWER(
TRIM(
REGEXREPLACE(B115,""[^a-zA-Z\s]"","""")
)
)
"),"jeannine theakos")</f>
        <v>jeannine theakos</v>
      </c>
      <c r="O115" s="7">
        <f t="shared" si="5"/>
        <v>1</v>
      </c>
      <c r="P115" s="8" t="str">
        <f t="shared" si="6"/>
        <v>No</v>
      </c>
    </row>
    <row r="116">
      <c r="A116" s="4" t="s">
        <v>16</v>
      </c>
      <c r="B116" s="4" t="s">
        <v>373</v>
      </c>
      <c r="C116" s="9">
        <v>45047.0</v>
      </c>
      <c r="D116" s="5">
        <v>45059.0</v>
      </c>
      <c r="E116" s="4" t="s">
        <v>374</v>
      </c>
      <c r="F116" s="4" t="s">
        <v>375</v>
      </c>
      <c r="G116" s="6" t="str">
        <f>IFERROR(__xludf.DUMMYFUNCTION("REGEXREPLACE(LOWER(F116),""[^a-z\s]"","""")"),"good company to order better prices")</f>
        <v>good company to order better prices</v>
      </c>
      <c r="H116" s="4" t="str">
        <f t="shared" si="1"/>
        <v>good company order better prices</v>
      </c>
      <c r="I116" s="6">
        <f t="shared" si="2"/>
        <v>5</v>
      </c>
      <c r="J116" s="6">
        <f>IFERROR(__xludf.DUMMYFUNCTION("IF(H116="""","""",
SUM(
ARRAYFORMULA(
IF(
REGEXMATCH(
"" ""&amp;H116&amp;"" "",
"" ""&amp;Sentiment_Words!A$2:A3730&amp;"" ""
),
1,
0
)
)
)
)"),1.0)</f>
        <v>1</v>
      </c>
      <c r="K116" s="4">
        <f>IFERROR(__xludf.DUMMYFUNCTION("IF(H116="""","""",
SUM(
ARRAYFORMULA(
IF(
REGEXMATCH(
"" ""&amp;H116&amp;"" "",
"" ""&amp;Sentiment_Words!B$2:B3730&amp;"" ""
),
1,
0
)
)
)
)"),0.0)</f>
        <v>0</v>
      </c>
      <c r="L116" s="7" t="str">
        <f t="shared" si="3"/>
        <v>Other</v>
      </c>
      <c r="M116" s="7" t="str">
        <f t="shared" si="4"/>
        <v>Positive</v>
      </c>
      <c r="N116" s="7" t="str">
        <f>IFERROR(__xludf.DUMMYFUNCTION("LOWER(
TRIM(
REGEXREPLACE(B116,""[^a-zA-Z\s]"","""")
)
)
"),"gail macgillivray")</f>
        <v>gail macgillivray</v>
      </c>
      <c r="O116" s="7">
        <f t="shared" si="5"/>
        <v>1</v>
      </c>
      <c r="P116" s="8" t="str">
        <f t="shared" si="6"/>
        <v>No</v>
      </c>
    </row>
    <row r="117">
      <c r="A117" s="4" t="s">
        <v>16</v>
      </c>
      <c r="B117" s="4" t="s">
        <v>376</v>
      </c>
      <c r="C117" s="9">
        <v>45050.0</v>
      </c>
      <c r="D117" s="5">
        <v>45062.0</v>
      </c>
      <c r="E117" s="4" t="s">
        <v>377</v>
      </c>
      <c r="F117" s="4" t="s">
        <v>378</v>
      </c>
      <c r="G117" s="6" t="str">
        <f>IFERROR(__xludf.DUMMYFUNCTION("REGEXREPLACE(LOWER(F117),""[^a-z\s]"","""")"),"you had the items i wanted at a good price my order was filled and shipped as advertised ill use your service again thank you")</f>
        <v>you had the items i wanted at a good price my order was filled and shipped as advertised ill use your service again thank you</v>
      </c>
      <c r="H117" s="4" t="str">
        <f t="shared" si="1"/>
        <v>you had items i wanted at a good price my order was filled shipped as advertised ill use your service again thank you</v>
      </c>
      <c r="I117" s="6">
        <f t="shared" si="2"/>
        <v>23</v>
      </c>
      <c r="J117" s="6">
        <f>IFERROR(__xludf.DUMMYFUNCTION("IF(H117="""","""",
SUM(
ARRAYFORMULA(
IF(
REGEXMATCH(
"" ""&amp;H117&amp;"" "",
"" ""&amp;Sentiment_Words!A$2:A3730&amp;"" ""
),
1,
0
)
)
)
)"),1.0)</f>
        <v>1</v>
      </c>
      <c r="K117" s="4">
        <f>IFERROR(__xludf.DUMMYFUNCTION("IF(H117="""","""",
SUM(
ARRAYFORMULA(
IF(
REGEXMATCH(
"" ""&amp;H117&amp;"" "",
"" ""&amp;Sentiment_Words!B$2:B3730&amp;"" ""
),
1,
0
)
)
)
)"),0.0)</f>
        <v>0</v>
      </c>
      <c r="L117" s="7" t="str">
        <f t="shared" si="3"/>
        <v>Customer Support</v>
      </c>
      <c r="M117" s="7" t="str">
        <f t="shared" si="4"/>
        <v>Positive</v>
      </c>
      <c r="N117" s="7" t="str">
        <f>IFERROR(__xludf.DUMMYFUNCTION("LOWER(
TRIM(
REGEXREPLACE(B117,""[^a-zA-Z\s]"","""")
)
)
"),"eulises r anton")</f>
        <v>eulises r anton</v>
      </c>
      <c r="O117" s="7">
        <f t="shared" si="5"/>
        <v>1</v>
      </c>
      <c r="P117" s="8" t="str">
        <f t="shared" si="6"/>
        <v>No</v>
      </c>
    </row>
    <row r="118">
      <c r="A118" s="4" t="s">
        <v>16</v>
      </c>
      <c r="B118" s="4" t="s">
        <v>379</v>
      </c>
      <c r="C118" s="5">
        <v>45043.0</v>
      </c>
      <c r="D118" s="5">
        <v>45055.0</v>
      </c>
      <c r="E118" s="4" t="s">
        <v>380</v>
      </c>
      <c r="F118" s="4" t="s">
        <v>381</v>
      </c>
      <c r="G118" s="6" t="str">
        <f>IFERROR(__xludf.DUMMYFUNCTION("REGEXREPLACE(LOWER(F118),""[^a-z\s]"","""")"),"ive always had good reliable service from petflow im very happy with the experience")</f>
        <v>ive always had good reliable service from petflow im very happy with the experience</v>
      </c>
      <c r="H118" s="4" t="str">
        <f t="shared" si="1"/>
        <v>ive always had good reliable service from petflow im very happy with experience</v>
      </c>
      <c r="I118" s="6">
        <f t="shared" si="2"/>
        <v>13</v>
      </c>
      <c r="J118" s="6">
        <f>IFERROR(__xludf.DUMMYFUNCTION("IF(H118="""","""",
SUM(
ARRAYFORMULA(
IF(
REGEXMATCH(
"" ""&amp;H118&amp;"" "",
"" ""&amp;Sentiment_Words!A$2:A3730&amp;"" ""
),
1,
0
)
)
)
)"),3.0)</f>
        <v>3</v>
      </c>
      <c r="K118" s="4">
        <f>IFERROR(__xludf.DUMMYFUNCTION("IF(H118="""","""",
SUM(
ARRAYFORMULA(
IF(
REGEXMATCH(
"" ""&amp;H118&amp;"" "",
"" ""&amp;Sentiment_Words!B$2:B3730&amp;"" ""
),
1,
0
)
)
)
)"),0.0)</f>
        <v>0</v>
      </c>
      <c r="L118" s="7" t="str">
        <f t="shared" si="3"/>
        <v>Customer Support</v>
      </c>
      <c r="M118" s="7" t="str">
        <f t="shared" si="4"/>
        <v>Positive</v>
      </c>
      <c r="N118" s="7" t="str">
        <f>IFERROR(__xludf.DUMMYFUNCTION("LOWER(
TRIM(
REGEXREPLACE(B118,""[^a-zA-Z\s]"","""")
)
)
"),"catherine clark")</f>
        <v>catherine clark</v>
      </c>
      <c r="O118" s="7">
        <f t="shared" si="5"/>
        <v>1</v>
      </c>
      <c r="P118" s="8" t="str">
        <f t="shared" si="6"/>
        <v>No</v>
      </c>
    </row>
    <row r="119">
      <c r="A119" s="4" t="s">
        <v>16</v>
      </c>
      <c r="B119" s="4" t="s">
        <v>382</v>
      </c>
      <c r="C119" s="5">
        <v>45057.0</v>
      </c>
      <c r="D119" s="4" t="s">
        <v>74</v>
      </c>
      <c r="E119" s="4" t="s">
        <v>383</v>
      </c>
      <c r="F119" s="4" t="s">
        <v>384</v>
      </c>
      <c r="G119" s="6" t="str">
        <f>IFERROR(__xludf.DUMMYFUNCTION("REGEXREPLACE(LOWER(F119),""[^a-z\s]"","""")"),"my card number failed to go through properly and i didnt know it so i finally called the company when i didnt get my product they explained to me what had happened and i said oh lets go ahead and use the number again and when i went ahead they give me  di"&amp;"scount for my trouble you cant beat this kind of service")</f>
        <v>my card number failed to go through properly and i didnt know it so i finally called the company when i didnt get my product they explained to me what had happened and i said oh lets go ahead and use the number again and when i went ahead they give me  discount for my trouble you cant beat this kind of service</v>
      </c>
      <c r="H119" s="4" t="str">
        <f t="shared" si="1"/>
        <v>my card number failed go through properly i didnt know it so i finally called company when i didnt get my product they explained me what had happened i said oh lets go ahead use number again when i went ahead they give me discount my trouble you cant beat this kind of service</v>
      </c>
      <c r="I119" s="6">
        <f t="shared" si="2"/>
        <v>54</v>
      </c>
      <c r="J119" s="6">
        <f>IFERROR(__xludf.DUMMYFUNCTION("IF(H119="""","""",
SUM(
ARRAYFORMULA(
IF(
REGEXMATCH(
"" ""&amp;H119&amp;"" "",
"" ""&amp;Sentiment_Words!A$2:A3730&amp;"" ""
),
1,
0
)
)
)
)"),0.0)</f>
        <v>0</v>
      </c>
      <c r="K119" s="4">
        <f>IFERROR(__xludf.DUMMYFUNCTION("IF(H119="""","""",
SUM(
ARRAYFORMULA(
IF(
REGEXMATCH(
"" ""&amp;H119&amp;"" "",
"" ""&amp;Sentiment_Words!B$2:B3730&amp;"" ""
),
1,
0
)
)
)
)"),0.0)</f>
        <v>0</v>
      </c>
      <c r="L119" s="7" t="str">
        <f t="shared" si="3"/>
        <v>Customer Support</v>
      </c>
      <c r="M119" s="7" t="str">
        <f t="shared" si="4"/>
        <v>Neutral</v>
      </c>
      <c r="N119" s="7" t="str">
        <f>IFERROR(__xludf.DUMMYFUNCTION("LOWER(
TRIM(
REGEXREPLACE(B119,""[^a-zA-Z\s]"","""")
)
)
"),"ken b")</f>
        <v>ken b</v>
      </c>
      <c r="O119" s="7">
        <f t="shared" si="5"/>
        <v>1</v>
      </c>
      <c r="P119" s="8" t="str">
        <f t="shared" si="6"/>
        <v>No</v>
      </c>
    </row>
    <row r="120">
      <c r="A120" s="4" t="s">
        <v>16</v>
      </c>
      <c r="B120" s="4" t="s">
        <v>385</v>
      </c>
      <c r="C120" s="5">
        <v>45035.0</v>
      </c>
      <c r="D120" s="5">
        <v>45047.0</v>
      </c>
      <c r="E120" s="4" t="s">
        <v>386</v>
      </c>
      <c r="F120" s="4" t="s">
        <v>331</v>
      </c>
      <c r="G120" s="6" t="str">
        <f>IFERROR(__xludf.DUMMYFUNCTION("REGEXREPLACE(LOWER(F120),""[^a-z\s]"","""")"),"none")</f>
        <v>none</v>
      </c>
      <c r="H120" s="4" t="str">
        <f t="shared" si="1"/>
        <v>none</v>
      </c>
      <c r="I120" s="6">
        <f t="shared" si="2"/>
        <v>1</v>
      </c>
      <c r="J120" s="6">
        <f>IFERROR(__xludf.DUMMYFUNCTION("IF(H120="""","""",
SUM(
ARRAYFORMULA(
IF(
REGEXMATCH(
"" ""&amp;H120&amp;"" "",
"" ""&amp;Sentiment_Words!A$2:A3730&amp;"" ""
),
1,
0
)
)
)
)"),0.0)</f>
        <v>0</v>
      </c>
      <c r="K120" s="4">
        <f>IFERROR(__xludf.DUMMYFUNCTION("IF(H120="""","""",
SUM(
ARRAYFORMULA(
IF(
REGEXMATCH(
"" ""&amp;H120&amp;"" "",
"" ""&amp;Sentiment_Words!B$2:B3730&amp;"" ""
),
1,
0
)
)
)
)"),0.0)</f>
        <v>0</v>
      </c>
      <c r="L120" s="7" t="str">
        <f t="shared" si="3"/>
        <v>Other</v>
      </c>
      <c r="M120" s="7" t="str">
        <f t="shared" si="4"/>
        <v>Neutral</v>
      </c>
      <c r="N120" s="7" t="str">
        <f>IFERROR(__xludf.DUMMYFUNCTION("LOWER(
TRIM(
REGEXREPLACE(B120,""[^a-zA-Z\s]"","""")
)
)
"),"jeffrey brewster")</f>
        <v>jeffrey brewster</v>
      </c>
      <c r="O120" s="7">
        <f t="shared" si="5"/>
        <v>1</v>
      </c>
      <c r="P120" s="8" t="str">
        <f t="shared" si="6"/>
        <v>No</v>
      </c>
    </row>
    <row r="121">
      <c r="A121" s="4" t="s">
        <v>16</v>
      </c>
      <c r="B121" s="4" t="s">
        <v>387</v>
      </c>
      <c r="C121" s="5">
        <v>45036.0</v>
      </c>
      <c r="D121" s="5">
        <v>45048.0</v>
      </c>
      <c r="E121" s="4" t="s">
        <v>388</v>
      </c>
      <c r="F121" s="4" t="s">
        <v>331</v>
      </c>
      <c r="G121" s="6" t="str">
        <f>IFERROR(__xludf.DUMMYFUNCTION("REGEXREPLACE(LOWER(F121),""[^a-z\s]"","""")"),"none")</f>
        <v>none</v>
      </c>
      <c r="H121" s="4" t="str">
        <f t="shared" si="1"/>
        <v>none</v>
      </c>
      <c r="I121" s="6">
        <f t="shared" si="2"/>
        <v>1</v>
      </c>
      <c r="J121" s="6">
        <f>IFERROR(__xludf.DUMMYFUNCTION("IF(H121="""","""",
SUM(
ARRAYFORMULA(
IF(
REGEXMATCH(
"" ""&amp;H121&amp;"" "",
"" ""&amp;Sentiment_Words!A$2:A3730&amp;"" ""
),
1,
0
)
)
)
)"),0.0)</f>
        <v>0</v>
      </c>
      <c r="K121" s="4">
        <f>IFERROR(__xludf.DUMMYFUNCTION("IF(H121="""","""",
SUM(
ARRAYFORMULA(
IF(
REGEXMATCH(
"" ""&amp;H121&amp;"" "",
"" ""&amp;Sentiment_Words!B$2:B3730&amp;"" ""
),
1,
0
)
)
)
)"),0.0)</f>
        <v>0</v>
      </c>
      <c r="L121" s="7" t="str">
        <f t="shared" si="3"/>
        <v>Other</v>
      </c>
      <c r="M121" s="7" t="str">
        <f t="shared" si="4"/>
        <v>Neutral</v>
      </c>
      <c r="N121" s="7" t="str">
        <f>IFERROR(__xludf.DUMMYFUNCTION("LOWER(
TRIM(
REGEXREPLACE(B121,""[^a-zA-Z\s]"","""")
)
)
"),"donald brumfield")</f>
        <v>donald brumfield</v>
      </c>
      <c r="O121" s="7">
        <f t="shared" si="5"/>
        <v>1</v>
      </c>
      <c r="P121" s="8" t="str">
        <f t="shared" si="6"/>
        <v>No</v>
      </c>
    </row>
    <row r="122">
      <c r="A122" s="4" t="s">
        <v>16</v>
      </c>
      <c r="B122" s="4" t="s">
        <v>389</v>
      </c>
      <c r="C122" s="5">
        <v>45045.0</v>
      </c>
      <c r="D122" s="5">
        <v>45057.0</v>
      </c>
      <c r="E122" s="4" t="s">
        <v>390</v>
      </c>
      <c r="F122" s="4" t="s">
        <v>391</v>
      </c>
      <c r="G122" s="6" t="str">
        <f>IFERROR(__xludf.DUMMYFUNCTION("REGEXREPLACE(LOWER(F122),""[^a-z\s]"","""")"),"always get anything i order on a timely basis")</f>
        <v>always get anything i order on a timely basis</v>
      </c>
      <c r="H122" s="4" t="str">
        <f t="shared" si="1"/>
        <v>always get anything i order on a timely basis</v>
      </c>
      <c r="I122" s="6">
        <f t="shared" si="2"/>
        <v>9</v>
      </c>
      <c r="J122" s="6">
        <f>IFERROR(__xludf.DUMMYFUNCTION("IF(H122="""","""",
SUM(
ARRAYFORMULA(
IF(
REGEXMATCH(
"" ""&amp;H122&amp;"" "",
"" ""&amp;Sentiment_Words!A$2:A3730&amp;"" ""
),
1,
0
)
)
)
)"),0.0)</f>
        <v>0</v>
      </c>
      <c r="K122" s="4">
        <f>IFERROR(__xludf.DUMMYFUNCTION("IF(H122="""","""",
SUM(
ARRAYFORMULA(
IF(
REGEXMATCH(
"" ""&amp;H122&amp;"" "",
"" ""&amp;Sentiment_Words!B$2:B3730&amp;"" ""
),
1,
0
)
)
)
)"),0.0)</f>
        <v>0</v>
      </c>
      <c r="L122" s="7" t="str">
        <f t="shared" si="3"/>
        <v>Other</v>
      </c>
      <c r="M122" s="7" t="str">
        <f t="shared" si="4"/>
        <v>Neutral</v>
      </c>
      <c r="N122" s="7" t="str">
        <f>IFERROR(__xludf.DUMMYFUNCTION("LOWER(
TRIM(
REGEXREPLACE(B122,""[^a-zA-Z\s]"","""")
)
)
"),"penelope smith")</f>
        <v>penelope smith</v>
      </c>
      <c r="O122" s="7">
        <f t="shared" si="5"/>
        <v>1</v>
      </c>
      <c r="P122" s="8" t="str">
        <f t="shared" si="6"/>
        <v>No</v>
      </c>
    </row>
    <row r="123">
      <c r="A123" s="4" t="s">
        <v>16</v>
      </c>
      <c r="B123" s="4" t="s">
        <v>392</v>
      </c>
      <c r="C123" s="5">
        <v>45035.0</v>
      </c>
      <c r="D123" s="5">
        <v>45047.0</v>
      </c>
      <c r="E123" s="4" t="s">
        <v>393</v>
      </c>
      <c r="F123" s="4" t="s">
        <v>394</v>
      </c>
      <c r="G123" s="6" t="str">
        <f>IFERROR(__xludf.DUMMYFUNCTION("REGEXREPLACE(LOWER(F123),""[^a-z\s]"","""")"),"the prices were extremely competitive everything arrived without a problem delivery was fast")</f>
        <v>the prices were extremely competitive everything arrived without a problem delivery was fast</v>
      </c>
      <c r="H123" s="4" t="str">
        <f t="shared" si="1"/>
        <v>prices were extremely competitive everything arrived without a problem delivery was fast</v>
      </c>
      <c r="I123" s="6">
        <f t="shared" si="2"/>
        <v>12</v>
      </c>
      <c r="J123" s="6">
        <f>IFERROR(__xludf.DUMMYFUNCTION("IF(H123="""","""",
SUM(
ARRAYFORMULA(
IF(
REGEXMATCH(
"" ""&amp;H123&amp;"" "",
"" ""&amp;Sentiment_Words!A$2:A3730&amp;"" ""
),
1,
0
)
)
)
)"),1.0)</f>
        <v>1</v>
      </c>
      <c r="K123" s="4">
        <f>IFERROR(__xludf.DUMMYFUNCTION("IF(H123="""","""",
SUM(
ARRAYFORMULA(
IF(
REGEXMATCH(
"" ""&amp;H123&amp;"" "",
"" ""&amp;Sentiment_Words!B$2:B3730&amp;"" ""
),
1,
0
)
)
)
)"),1.0)</f>
        <v>1</v>
      </c>
      <c r="L123" s="7" t="str">
        <f t="shared" si="3"/>
        <v>Other</v>
      </c>
      <c r="M123" s="7" t="str">
        <f t="shared" si="4"/>
        <v>Neutral</v>
      </c>
      <c r="N123" s="7" t="str">
        <f>IFERROR(__xludf.DUMMYFUNCTION("LOWER(
TRIM(
REGEXREPLACE(B123,""[^a-zA-Z\s]"","""")
)
)
"),"ellen hurwitch")</f>
        <v>ellen hurwitch</v>
      </c>
      <c r="O123" s="7">
        <f t="shared" si="5"/>
        <v>1</v>
      </c>
      <c r="P123" s="8" t="str">
        <f t="shared" si="6"/>
        <v>No</v>
      </c>
    </row>
    <row r="124">
      <c r="A124" s="4" t="s">
        <v>16</v>
      </c>
      <c r="B124" s="4" t="s">
        <v>395</v>
      </c>
      <c r="C124" s="9">
        <v>45049.0</v>
      </c>
      <c r="D124" s="5">
        <v>45061.0</v>
      </c>
      <c r="E124" s="4" t="s">
        <v>396</v>
      </c>
      <c r="F124" s="4" t="s">
        <v>397</v>
      </c>
      <c r="G124" s="6" t="str">
        <f>IFERROR(__xludf.DUMMYFUNCTION("REGEXREPLACE(LOWER(F124),""[^a-z\s]"","""")"),"i have yet to get my order it was easy ordering")</f>
        <v>i have yet to get my order it was easy ordering</v>
      </c>
      <c r="H124" s="4" t="str">
        <f t="shared" si="1"/>
        <v>i have yet get my order it was easy ordering</v>
      </c>
      <c r="I124" s="6">
        <f t="shared" si="2"/>
        <v>10</v>
      </c>
      <c r="J124" s="6">
        <f>IFERROR(__xludf.DUMMYFUNCTION("IF(H124="""","""",
SUM(
ARRAYFORMULA(
IF(
REGEXMATCH(
"" ""&amp;H124&amp;"" "",
"" ""&amp;Sentiment_Words!A$2:A3730&amp;"" ""
),
1,
0
)
)
)
)"),1.0)</f>
        <v>1</v>
      </c>
      <c r="K124" s="4">
        <f>IFERROR(__xludf.DUMMYFUNCTION("IF(H124="""","""",
SUM(
ARRAYFORMULA(
IF(
REGEXMATCH(
"" ""&amp;H124&amp;"" "",
"" ""&amp;Sentiment_Words!B$2:B3730&amp;"" ""
),
1,
0
)
)
)
)"),0.0)</f>
        <v>0</v>
      </c>
      <c r="L124" s="7" t="str">
        <f t="shared" si="3"/>
        <v>Other</v>
      </c>
      <c r="M124" s="7" t="str">
        <f t="shared" si="4"/>
        <v>Positive</v>
      </c>
      <c r="N124" s="7" t="str">
        <f>IFERROR(__xludf.DUMMYFUNCTION("LOWER(
TRIM(
REGEXREPLACE(B124,""[^a-zA-Z\s]"","""")
)
)
"),"karen lanz")</f>
        <v>karen lanz</v>
      </c>
      <c r="O124" s="7">
        <f t="shared" si="5"/>
        <v>1</v>
      </c>
      <c r="P124" s="8" t="str">
        <f t="shared" si="6"/>
        <v>No</v>
      </c>
    </row>
    <row r="125">
      <c r="A125" s="4" t="s">
        <v>16</v>
      </c>
      <c r="B125" s="4" t="s">
        <v>398</v>
      </c>
      <c r="C125" s="9">
        <v>45048.0</v>
      </c>
      <c r="D125" s="5">
        <v>45060.0</v>
      </c>
      <c r="E125" s="4" t="s">
        <v>399</v>
      </c>
      <c r="F125" s="4" t="s">
        <v>400</v>
      </c>
      <c r="G125" s="6" t="str">
        <f>IFERROR(__xludf.DUMMYFUNCTION("REGEXREPLACE(LOWER(F125),""[^a-z\s]"","""")"),"best value for bully sticks nobody comes close every place is way more expensive")</f>
        <v>best value for bully sticks nobody comes close every place is way more expensive</v>
      </c>
      <c r="H125" s="4" t="str">
        <f t="shared" si="1"/>
        <v>best value bully sticks nobody comes close every place way more expensive</v>
      </c>
      <c r="I125" s="6">
        <f t="shared" si="2"/>
        <v>12</v>
      </c>
      <c r="J125" s="6">
        <f>IFERROR(__xludf.DUMMYFUNCTION("IF(H125="""","""",
SUM(
ARRAYFORMULA(
IF(
REGEXMATCH(
"" ""&amp;H125&amp;"" "",
"" ""&amp;Sentiment_Words!A$2:A3730&amp;"" ""
),
1,
0
)
)
)
)"),1.0)</f>
        <v>1</v>
      </c>
      <c r="K125" s="4">
        <f>IFERROR(__xludf.DUMMYFUNCTION("IF(H125="""","""",
SUM(
ARRAYFORMULA(
IF(
REGEXMATCH(
"" ""&amp;H125&amp;"" "",
"" ""&amp;Sentiment_Words!B$2:B3730&amp;"" ""
),
1,
0
)
)
)
)"),0.0)</f>
        <v>0</v>
      </c>
      <c r="L125" s="7" t="str">
        <f t="shared" si="3"/>
        <v>Value &amp; Convenience</v>
      </c>
      <c r="M125" s="7" t="str">
        <f t="shared" si="4"/>
        <v>Positive</v>
      </c>
      <c r="N125" s="7" t="str">
        <f>IFERROR(__xludf.DUMMYFUNCTION("LOWER(
TRIM(
REGEXREPLACE(B125,""[^a-zA-Z\s]"","""")
)
)
"),"llemmon")</f>
        <v>llemmon</v>
      </c>
      <c r="O125" s="7">
        <f t="shared" si="5"/>
        <v>1</v>
      </c>
      <c r="P125" s="8" t="str">
        <f t="shared" si="6"/>
        <v>No</v>
      </c>
    </row>
    <row r="126">
      <c r="A126" s="4" t="s">
        <v>16</v>
      </c>
      <c r="B126" s="4" t="s">
        <v>401</v>
      </c>
      <c r="C126" s="9">
        <v>45049.0</v>
      </c>
      <c r="D126" s="5">
        <v>45061.0</v>
      </c>
      <c r="E126" s="4" t="s">
        <v>402</v>
      </c>
      <c r="F126" s="4" t="s">
        <v>403</v>
      </c>
      <c r="G126" s="6" t="str">
        <f>IFERROR(__xludf.DUMMYFUNCTION("REGEXREPLACE(LOWER(F126),""[^a-z\s]"","""")"),"i received what i ordered pronto great prices compared to petco i saved  compared to petco")</f>
        <v>i received what i ordered pronto great prices compared to petco i saved  compared to petco</v>
      </c>
      <c r="H126" s="4" t="str">
        <f t="shared" si="1"/>
        <v>i received what i ordered pronto great prices compared petco i saved compared petco</v>
      </c>
      <c r="I126" s="6">
        <f t="shared" si="2"/>
        <v>14</v>
      </c>
      <c r="J126" s="6">
        <f>IFERROR(__xludf.DUMMYFUNCTION("IF(H126="""","""",
SUM(
ARRAYFORMULA(
IF(
REGEXMATCH(
"" ""&amp;H126&amp;"" "",
"" ""&amp;Sentiment_Words!A$2:A3730&amp;"" ""
),
1,
0
)
)
)
)"),1.0)</f>
        <v>1</v>
      </c>
      <c r="K126" s="4">
        <f>IFERROR(__xludf.DUMMYFUNCTION("IF(H126="""","""",
SUM(
ARRAYFORMULA(
IF(
REGEXMATCH(
"" ""&amp;H126&amp;"" "",
"" ""&amp;Sentiment_Words!B$2:B3730&amp;"" ""
),
1,
0
)
)
)
)"),0.0)</f>
        <v>0</v>
      </c>
      <c r="L126" s="7" t="str">
        <f t="shared" si="3"/>
        <v>Other</v>
      </c>
      <c r="M126" s="7" t="str">
        <f t="shared" si="4"/>
        <v>Positive</v>
      </c>
      <c r="N126" s="7" t="str">
        <f>IFERROR(__xludf.DUMMYFUNCTION("LOWER(
TRIM(
REGEXREPLACE(B126,""[^a-zA-Z\s]"","""")
)
)
"),"richard vernon")</f>
        <v>richard vernon</v>
      </c>
      <c r="O126" s="7">
        <f t="shared" si="5"/>
        <v>1</v>
      </c>
      <c r="P126" s="8" t="str">
        <f t="shared" si="6"/>
        <v>No</v>
      </c>
    </row>
    <row r="127">
      <c r="A127" s="4" t="s">
        <v>16</v>
      </c>
      <c r="B127" s="4" t="s">
        <v>404</v>
      </c>
      <c r="C127" s="5">
        <v>45037.0</v>
      </c>
      <c r="D127" s="5">
        <v>45050.0</v>
      </c>
      <c r="E127" s="4" t="s">
        <v>405</v>
      </c>
      <c r="F127" s="4" t="s">
        <v>406</v>
      </c>
      <c r="G127" s="6" t="str">
        <f>IFERROR(__xludf.DUMMYFUNCTION("REGEXREPLACE(LOWER(F127),""[^a-z\s]"","""")"),"had everything i needed ordering was quick and easy speedy delivery")</f>
        <v>had everything i needed ordering was quick and easy speedy delivery</v>
      </c>
      <c r="H127" s="4" t="str">
        <f t="shared" si="1"/>
        <v>had everything i needed ordering was quick easy speedy delivery</v>
      </c>
      <c r="I127" s="6">
        <f t="shared" si="2"/>
        <v>10</v>
      </c>
      <c r="J127" s="6">
        <f>IFERROR(__xludf.DUMMYFUNCTION("IF(H127="""","""",
SUM(
ARRAYFORMULA(
IF(
REGEXMATCH(
"" ""&amp;H127&amp;"" "",
"" ""&amp;Sentiment_Words!A$2:A3730&amp;"" ""
),
1,
0
)
)
)
)"),1.0)</f>
        <v>1</v>
      </c>
      <c r="K127" s="4">
        <f>IFERROR(__xludf.DUMMYFUNCTION("IF(H127="""","""",
SUM(
ARRAYFORMULA(
IF(
REGEXMATCH(
"" ""&amp;H127&amp;"" "",
"" ""&amp;Sentiment_Words!B$2:B3730&amp;"" ""
),
1,
0
)
)
)
)"),0.0)</f>
        <v>0</v>
      </c>
      <c r="L127" s="7" t="str">
        <f t="shared" si="3"/>
        <v>Other</v>
      </c>
      <c r="M127" s="7" t="str">
        <f t="shared" si="4"/>
        <v>Positive</v>
      </c>
      <c r="N127" s="7" t="str">
        <f>IFERROR(__xludf.DUMMYFUNCTION("LOWER(
TRIM(
REGEXREPLACE(B127,""[^a-zA-Z\s]"","""")
)
)
"),"terria bryant")</f>
        <v>terria bryant</v>
      </c>
      <c r="O127" s="7">
        <f t="shared" si="5"/>
        <v>1</v>
      </c>
      <c r="P127" s="8" t="str">
        <f t="shared" si="6"/>
        <v>No</v>
      </c>
    </row>
    <row r="128">
      <c r="A128" s="4" t="s">
        <v>16</v>
      </c>
      <c r="B128" s="4" t="s">
        <v>407</v>
      </c>
      <c r="C128" s="5">
        <v>45042.0</v>
      </c>
      <c r="D128" s="5">
        <v>45054.0</v>
      </c>
      <c r="E128" s="4" t="s">
        <v>408</v>
      </c>
      <c r="F128" s="4" t="s">
        <v>409</v>
      </c>
      <c r="G128" s="6" t="str">
        <f>IFERROR(__xludf.DUMMYFUNCTION("REGEXREPLACE(LOWER(F128),""[^a-z\s]"","""")"),"the furkids love the treats and customer service was top notch great communication")</f>
        <v>the furkids love the treats and customer service was top notch great communication</v>
      </c>
      <c r="H128" s="4" t="str">
        <f t="shared" si="1"/>
        <v>furkids love treats customer service was top notch great communication</v>
      </c>
      <c r="I128" s="6">
        <f t="shared" si="2"/>
        <v>10</v>
      </c>
      <c r="J128" s="6">
        <f>IFERROR(__xludf.DUMMYFUNCTION("IF(H128="""","""",
SUM(
ARRAYFORMULA(
IF(
REGEXMATCH(
"" ""&amp;H128&amp;"" "",
"" ""&amp;Sentiment_Words!A$2:A3730&amp;"" ""
),
1,
0
)
)
)
)"),2.0)</f>
        <v>2</v>
      </c>
      <c r="K128" s="4">
        <f>IFERROR(__xludf.DUMMYFUNCTION("IF(H128="""","""",
SUM(
ARRAYFORMULA(
IF(
REGEXMATCH(
"" ""&amp;H128&amp;"" "",
"" ""&amp;Sentiment_Words!B$2:B3730&amp;"" ""
),
1,
0
)
)
)
)"),1.0)</f>
        <v>1</v>
      </c>
      <c r="L128" s="7" t="str">
        <f t="shared" si="3"/>
        <v>Customer Support</v>
      </c>
      <c r="M128" s="7" t="str">
        <f t="shared" si="4"/>
        <v>Positive</v>
      </c>
      <c r="N128" s="7" t="str">
        <f>IFERROR(__xludf.DUMMYFUNCTION("LOWER(
TRIM(
REGEXREPLACE(B128,""[^a-zA-Z\s]"","""")
)
)
"),"kidsarek")</f>
        <v>kidsarek</v>
      </c>
      <c r="O128" s="7">
        <f t="shared" si="5"/>
        <v>1</v>
      </c>
      <c r="P128" s="8" t="str">
        <f t="shared" si="6"/>
        <v>No</v>
      </c>
    </row>
    <row r="129">
      <c r="A129" s="4" t="s">
        <v>16</v>
      </c>
      <c r="B129" s="4" t="s">
        <v>410</v>
      </c>
      <c r="C129" s="5">
        <v>45039.0</v>
      </c>
      <c r="D129" s="5">
        <v>45051.0</v>
      </c>
      <c r="E129" s="4" t="s">
        <v>411</v>
      </c>
      <c r="F129" s="4" t="s">
        <v>412</v>
      </c>
      <c r="G129" s="6" t="str">
        <f>IFERROR(__xludf.DUMMYFUNCTION("REGEXREPLACE(LOWER(F129),""[^a-z\s]"","""")"),"quick shipping and a great price i will be a returning customer")</f>
        <v>quick shipping and a great price i will be a returning customer</v>
      </c>
      <c r="H129" s="4" t="str">
        <f t="shared" si="1"/>
        <v>quick shipping a great price i will be a returning customer</v>
      </c>
      <c r="I129" s="6">
        <f t="shared" si="2"/>
        <v>11</v>
      </c>
      <c r="J129" s="6">
        <f>IFERROR(__xludf.DUMMYFUNCTION("IF(H129="""","""",
SUM(
ARRAYFORMULA(
IF(
REGEXMATCH(
"" ""&amp;H129&amp;"" "",
"" ""&amp;Sentiment_Words!A$2:A3730&amp;"" ""
),
1,
0
)
)
)
)"),1.0)</f>
        <v>1</v>
      </c>
      <c r="K129" s="4">
        <f>IFERROR(__xludf.DUMMYFUNCTION("IF(H129="""","""",
SUM(
ARRAYFORMULA(
IF(
REGEXMATCH(
"" ""&amp;H129&amp;"" "",
"" ""&amp;Sentiment_Words!B$2:B3730&amp;"" ""
),
1,
0
)
)
)
)"),0.0)</f>
        <v>0</v>
      </c>
      <c r="L129" s="7" t="str">
        <f t="shared" si="3"/>
        <v>Other</v>
      </c>
      <c r="M129" s="7" t="str">
        <f t="shared" si="4"/>
        <v>Positive</v>
      </c>
      <c r="N129" s="7" t="str">
        <f>IFERROR(__xludf.DUMMYFUNCTION("LOWER(
TRIM(
REGEXREPLACE(B129,""[^a-zA-Z\s]"","""")
)
)
"),"cheryl mccoy")</f>
        <v>cheryl mccoy</v>
      </c>
      <c r="O129" s="7">
        <f t="shared" si="5"/>
        <v>1</v>
      </c>
      <c r="P129" s="8" t="str">
        <f t="shared" si="6"/>
        <v>No</v>
      </c>
    </row>
    <row r="130">
      <c r="A130" s="4" t="s">
        <v>16</v>
      </c>
      <c r="B130" s="4" t="s">
        <v>413</v>
      </c>
      <c r="C130" s="9">
        <v>45052.0</v>
      </c>
      <c r="D130" s="5">
        <v>45065.0</v>
      </c>
      <c r="E130" s="4" t="s">
        <v>414</v>
      </c>
      <c r="F130" s="4" t="s">
        <v>415</v>
      </c>
      <c r="G130" s="6" t="str">
        <f>IFERROR(__xludf.DUMMYFUNCTION("REGEXREPLACE(LOWER(F130),""[^a-z\s]"","""")"),"super fast shipping awesome and fantastic prices")</f>
        <v>super fast shipping awesome and fantastic prices</v>
      </c>
      <c r="H130" s="4" t="str">
        <f t="shared" si="1"/>
        <v>super fast shipping awesome fantastic prices</v>
      </c>
      <c r="I130" s="6">
        <f t="shared" si="2"/>
        <v>6</v>
      </c>
      <c r="J130" s="6">
        <f>IFERROR(__xludf.DUMMYFUNCTION("IF(H130="""","""",
SUM(
ARRAYFORMULA(
IF(
REGEXMATCH(
"" ""&amp;H130&amp;"" "",
"" ""&amp;Sentiment_Words!A$2:A3730&amp;"" ""
),
1,
0
)
)
)
)"),1.0)</f>
        <v>1</v>
      </c>
      <c r="K130" s="4">
        <f>IFERROR(__xludf.DUMMYFUNCTION("IF(H130="""","""",
SUM(
ARRAYFORMULA(
IF(
REGEXMATCH(
"" ""&amp;H130&amp;"" "",
"" ""&amp;Sentiment_Words!B$2:B3730&amp;"" ""
),
1,
0
)
)
)
)"),0.0)</f>
        <v>0</v>
      </c>
      <c r="L130" s="7" t="str">
        <f t="shared" si="3"/>
        <v>Other</v>
      </c>
      <c r="M130" s="7" t="str">
        <f t="shared" si="4"/>
        <v>Positive</v>
      </c>
      <c r="N130" s="7" t="str">
        <f>IFERROR(__xludf.DUMMYFUNCTION("LOWER(
TRIM(
REGEXREPLACE(B130,""[^a-zA-Z\s]"","""")
)
)
"),"maria klein")</f>
        <v>maria klein</v>
      </c>
      <c r="O130" s="7">
        <f t="shared" si="5"/>
        <v>1</v>
      </c>
      <c r="P130" s="8" t="str">
        <f t="shared" si="6"/>
        <v>No</v>
      </c>
    </row>
    <row r="131">
      <c r="A131" s="4" t="s">
        <v>16</v>
      </c>
      <c r="B131" s="4" t="s">
        <v>416</v>
      </c>
      <c r="C131" s="9">
        <v>45050.0</v>
      </c>
      <c r="D131" s="4" t="s">
        <v>42</v>
      </c>
      <c r="E131" s="4" t="s">
        <v>417</v>
      </c>
      <c r="F131" s="4" t="s">
        <v>418</v>
      </c>
      <c r="G131" s="6" t="str">
        <f>IFERROR(__xludf.DUMMYFUNCTION("REGEXREPLACE(LOWER(F131),""[^a-z\s]"","""")"),"great communication with frequent updates on my order tracking")</f>
        <v>great communication with frequent updates on my order tracking</v>
      </c>
      <c r="H131" s="4" t="str">
        <f t="shared" si="1"/>
        <v>great communication with frequent updates on my order tracking</v>
      </c>
      <c r="I131" s="6">
        <f t="shared" si="2"/>
        <v>9</v>
      </c>
      <c r="J131" s="6">
        <f>IFERROR(__xludf.DUMMYFUNCTION("IF(H131="""","""",
SUM(
ARRAYFORMULA(
IF(
REGEXMATCH(
"" ""&amp;H131&amp;"" "",
"" ""&amp;Sentiment_Words!A$2:A3730&amp;"" ""
),
1,
0
)
)
)
)"),1.0)</f>
        <v>1</v>
      </c>
      <c r="K131" s="4">
        <f>IFERROR(__xludf.DUMMYFUNCTION("IF(H131="""","""",
SUM(
ARRAYFORMULA(
IF(
REGEXMATCH(
"" ""&amp;H131&amp;"" "",
"" ""&amp;Sentiment_Words!B$2:B3730&amp;"" ""
),
1,
0
)
)
)
)"),0.0)</f>
        <v>0</v>
      </c>
      <c r="L131" s="7" t="str">
        <f t="shared" si="3"/>
        <v>Other</v>
      </c>
      <c r="M131" s="7" t="str">
        <f t="shared" si="4"/>
        <v>Positive</v>
      </c>
      <c r="N131" s="7" t="str">
        <f>IFERROR(__xludf.DUMMYFUNCTION("LOWER(
TRIM(
REGEXREPLACE(B131,""[^a-zA-Z\s]"","""")
)
)
"),"mm")</f>
        <v>mm</v>
      </c>
      <c r="O131" s="7">
        <f t="shared" si="5"/>
        <v>3</v>
      </c>
      <c r="P131" s="8" t="str">
        <f t="shared" si="6"/>
        <v>Yes</v>
      </c>
    </row>
    <row r="132">
      <c r="A132" s="4" t="s">
        <v>16</v>
      </c>
      <c r="B132" s="4" t="s">
        <v>419</v>
      </c>
      <c r="C132" s="5">
        <v>45038.0</v>
      </c>
      <c r="D132" s="5">
        <v>45050.0</v>
      </c>
      <c r="E132" s="4" t="s">
        <v>420</v>
      </c>
      <c r="F132" s="4" t="s">
        <v>421</v>
      </c>
      <c r="G132" s="6" t="str">
        <f>IFERROR(__xludf.DUMMYFUNCTION("REGEXREPLACE(LOWER(F132),""[^a-z\s]"","""")"),"wish there were more options for the length of time for dog food ordering")</f>
        <v>wish there were more options for the length of time for dog food ordering</v>
      </c>
      <c r="H132" s="4" t="str">
        <f t="shared" si="1"/>
        <v>wish there were more options length of time dog food ordering</v>
      </c>
      <c r="I132" s="6">
        <f t="shared" si="2"/>
        <v>11</v>
      </c>
      <c r="J132" s="6">
        <f>IFERROR(__xludf.DUMMYFUNCTION("IF(H132="""","""",
SUM(
ARRAYFORMULA(
IF(
REGEXMATCH(
"" ""&amp;H132&amp;"" "",
"" ""&amp;Sentiment_Words!A$2:A3730&amp;"" ""
),
1,
0
)
)
)
)"),0.0)</f>
        <v>0</v>
      </c>
      <c r="K132" s="4">
        <f>IFERROR(__xludf.DUMMYFUNCTION("IF(H132="""","""",
SUM(
ARRAYFORMULA(
IF(
REGEXMATCH(
"" ""&amp;H132&amp;"" "",
"" ""&amp;Sentiment_Words!B$2:B3730&amp;"" ""
),
1,
0
)
)
)
)"),0.0)</f>
        <v>0</v>
      </c>
      <c r="L132" s="7" t="str">
        <f t="shared" si="3"/>
        <v>Other</v>
      </c>
      <c r="M132" s="7" t="str">
        <f t="shared" si="4"/>
        <v>Neutral</v>
      </c>
      <c r="N132" s="7" t="str">
        <f>IFERROR(__xludf.DUMMYFUNCTION("LOWER(
TRIM(
REGEXREPLACE(B132,""[^a-zA-Z\s]"","""")
)
)
"),"michael gibson")</f>
        <v>michael gibson</v>
      </c>
      <c r="O132" s="7">
        <f t="shared" si="5"/>
        <v>1</v>
      </c>
      <c r="P132" s="8" t="str">
        <f t="shared" si="6"/>
        <v>No</v>
      </c>
    </row>
    <row r="133">
      <c r="A133" s="4" t="s">
        <v>16</v>
      </c>
      <c r="B133" s="4" t="s">
        <v>422</v>
      </c>
      <c r="C133" s="5">
        <v>45036.0</v>
      </c>
      <c r="D133" s="5">
        <v>45049.0</v>
      </c>
      <c r="E133" s="4" t="s">
        <v>423</v>
      </c>
      <c r="F133" s="4" t="s">
        <v>424</v>
      </c>
      <c r="G133" s="6" t="str">
        <f>IFERROR(__xludf.DUMMYFUNCTION("REGEXREPLACE(LOWER(F133),""[^a-z\s]"","""")"),"experience was great shipping was fast very happy with my purchase")</f>
        <v>experience was great shipping was fast very happy with my purchase</v>
      </c>
      <c r="H133" s="4" t="str">
        <f t="shared" si="1"/>
        <v>experience was great shipping was fast very happy with my purchase</v>
      </c>
      <c r="I133" s="6">
        <f t="shared" si="2"/>
        <v>11</v>
      </c>
      <c r="J133" s="6">
        <f>IFERROR(__xludf.DUMMYFUNCTION("IF(H133="""","""",
SUM(
ARRAYFORMULA(
IF(
REGEXMATCH(
"" ""&amp;H133&amp;"" "",
"" ""&amp;Sentiment_Words!A$2:A3730&amp;"" ""
),
1,
0
)
)
)
)"),3.0)</f>
        <v>3</v>
      </c>
      <c r="K133" s="4">
        <f>IFERROR(__xludf.DUMMYFUNCTION("IF(H133="""","""",
SUM(
ARRAYFORMULA(
IF(
REGEXMATCH(
"" ""&amp;H133&amp;"" "",
"" ""&amp;Sentiment_Words!B$2:B3730&amp;"" ""
),
1,
0
)
)
)
)"),0.0)</f>
        <v>0</v>
      </c>
      <c r="L133" s="7" t="str">
        <f t="shared" si="3"/>
        <v>Other</v>
      </c>
      <c r="M133" s="7" t="str">
        <f t="shared" si="4"/>
        <v>Positive</v>
      </c>
      <c r="N133" s="7" t="str">
        <f>IFERROR(__xludf.DUMMYFUNCTION("LOWER(
TRIM(
REGEXREPLACE(B133,""[^a-zA-Z\s]"","""")
)
)
"),"andrea ullon")</f>
        <v>andrea ullon</v>
      </c>
      <c r="O133" s="7">
        <f t="shared" si="5"/>
        <v>1</v>
      </c>
      <c r="P133" s="8" t="str">
        <f t="shared" si="6"/>
        <v>No</v>
      </c>
    </row>
    <row r="134">
      <c r="A134" s="4" t="s">
        <v>16</v>
      </c>
      <c r="B134" s="4" t="s">
        <v>425</v>
      </c>
      <c r="C134" s="9">
        <v>45054.0</v>
      </c>
      <c r="D134" s="4" t="s">
        <v>150</v>
      </c>
      <c r="E134" s="4" t="s">
        <v>426</v>
      </c>
      <c r="F134" s="4" t="s">
        <v>427</v>
      </c>
      <c r="G134" s="6" t="str">
        <f>IFERROR(__xludf.DUMMYFUNCTION("REGEXREPLACE(LOWER(F134),""[^a-z\s]"","""")"),"its a great product and the family dog loves it")</f>
        <v>its a great product and the family dog loves it</v>
      </c>
      <c r="H134" s="4" t="str">
        <f t="shared" si="1"/>
        <v>its a great product family dog loves it</v>
      </c>
      <c r="I134" s="6">
        <f t="shared" si="2"/>
        <v>8</v>
      </c>
      <c r="J134" s="6">
        <f>IFERROR(__xludf.DUMMYFUNCTION("IF(H134="""","""",
SUM(
ARRAYFORMULA(
IF(
REGEXMATCH(
"" ""&amp;H134&amp;"" "",
"" ""&amp;Sentiment_Words!A$2:A3730&amp;"" ""
),
1,
0
)
)
)
)"),1.0)</f>
        <v>1</v>
      </c>
      <c r="K134" s="4">
        <f>IFERROR(__xludf.DUMMYFUNCTION("IF(H134="""","""",
SUM(
ARRAYFORMULA(
IF(
REGEXMATCH(
"" ""&amp;H134&amp;"" "",
"" ""&amp;Sentiment_Words!B$2:B3730&amp;"" ""
),
1,
0
)
)
)
)"),0.0)</f>
        <v>0</v>
      </c>
      <c r="L134" s="7" t="str">
        <f t="shared" si="3"/>
        <v>Other</v>
      </c>
      <c r="M134" s="7" t="str">
        <f t="shared" si="4"/>
        <v>Positive</v>
      </c>
      <c r="N134" s="7" t="str">
        <f>IFERROR(__xludf.DUMMYFUNCTION("LOWER(
TRIM(
REGEXREPLACE(B134,""[^a-zA-Z\s]"","""")
)
)
"),"jennifer carver")</f>
        <v>jennifer carver</v>
      </c>
      <c r="O134" s="7">
        <f t="shared" si="5"/>
        <v>1</v>
      </c>
      <c r="P134" s="8" t="str">
        <f t="shared" si="6"/>
        <v>No</v>
      </c>
    </row>
    <row r="135">
      <c r="A135" s="4" t="s">
        <v>16</v>
      </c>
      <c r="B135" s="4" t="s">
        <v>428</v>
      </c>
      <c r="C135" s="9">
        <v>45049.0</v>
      </c>
      <c r="D135" s="5">
        <v>45061.0</v>
      </c>
      <c r="E135" s="4" t="s">
        <v>429</v>
      </c>
      <c r="F135" s="4" t="s">
        <v>430</v>
      </c>
      <c r="G135" s="6" t="str">
        <f>IFERROR(__xludf.DUMMYFUNCTION("REGEXREPLACE(LOWER(F135),""[^a-z\s]"","""")"),"lured in by low pricing i ordered a case of a new dog food canned to try it out i ended up converting my dog over about  days onto this new food i then ordered  more cases with petflow of the same food i had auditioned and transitioned my dog onto
what a"&amp;" nightmare they put all  cases ie  cans in one box there was a little bubble cushion on one side of the box but the other  sides had no cushion guess what all  cans were dented  many of them crushed accordian style and unsafe to use the majority were deem"&amp;"ed unsafe according to a government can dent guideline i consulted
working with petflow was an exercise in frustration i called on a friday and was told that somebody would get back to me tomorrow   which was saturday nobody ever called me so late saturd"&amp;"ay i called and i was told oh no it takes  to  hours for somebody to get back to you so i waited another  hours ie  hours later still no call so i call them back on sunday and say where is my return call the petlow representative essentially said oh no wh"&amp;"at made you think somebody would call you back on the weekend i was then told i had to wait until monday three days later meanwhile i had run out of food the food i had just transitioned my dog onto my dog has a sensitive stomach and i cant just switch fo"&amp;"ods on him or he will get severe diarrhea now because of their false promises over the weekend that someone would call me back i was totally out
finally on monday a supervisor did call me back she agreed that there shouldve been more cushioning in the bo"&amp;"x and she assured me that they would resend the entire order but instead of sending seven cases in one box they would split it into two boxes and they would include cushioning between the boxes and on the edges of the box
well the replacement shipment ar"&amp;"rived today indeed the seven cases were in two boxes split between them but to my incredible surprise there was zero   zero cushioning in either box in fact one of the boxes had a very large space of about  to  inches for the cases to slide backandforth i"&amp;"nside the box
what was the condition of these new cans the  replacement cans for the  cans that got crushed and dented the first time can you guess these too were crushed and dented omg  i was upset beyond belief going through them such a waste of good f"&amp;"ood all having to be thrown away  again
meanwhile i have spent already about  to  hours of my life on the phone with petflow documenting the damage in videos inventorying which cans are severe and which cans are dented but perhaps ok and creating  piles "&amp;"based on severity of the dents i had already thrown out about  cans and donated the rest to neighbors who have a higher tolerance for risk than i do but now i am facing the same dilemma again because of their incompetence
for a second time in a week i am"&amp;" finding myself inventorying  cans of damagedcrushed dog food cans that are shamelessly dented and ruined so that they cant be enjoyed and put to good use
as the saying goes fool me once shame on you fool me twice shame on me shame on me for trusting any"&amp;"one at petflow that they would actually keep their word or that they could actually deliver the  plus quantity of dog food in a way that it was not ruined and actually safe and edible
honestly the customer service people are completely siloed away from t"&amp;"heir warehouse and you are taking your chances if you order any canned food from them if they tell you they are going to do better next time or theyre going to include cushioning next time do not believe them
run its not worth the extra  per can you save"&amp;" its absolutely devastating to have to throw out over a hundred cans of dog food that wouldve been edible if their warehouse staff had half a brain or would take more care")</f>
        <v>lured in by low pricing i ordered a case of a new dog food canned to try it out i ended up converting my dog over about  days onto this new food i then ordered  more cases with petflow of the same food i had auditioned and transitioned my dog onto
what a nightmare they put all  cases ie  cans in one box there was a little bubble cushion on one side of the box but the other  sides had no cushion guess what all  cans were dented  many of them crushed accordian style and unsafe to use the majority were deemed unsafe according to a government can dent guideline i consulted
working with petflow was an exercise in frustration i called on a friday and was told that somebody would get back to me tomorrow   which was saturday nobody ever called me so late saturday i called and i was told oh no it takes  to  hours for somebody to get back to you so i waited another  hours ie  hours later still no call so i call them back on sunday and say where is my return call the petlow representative essentially said oh no what made you think somebody would call you back on the weekend i was then told i had to wait until monday three days later meanwhile i had run out of food the food i had just transitioned my dog onto my dog has a sensitive stomach and i cant just switch foods on him or he will get severe diarrhea now because of their false promises over the weekend that someone would call me back i was totally out
finally on monday a supervisor did call me back she agreed that there shouldve been more cushioning in the box and she assured me that they would resend the entire order but instead of sending seven cases in one box they would split it into two boxes and they would include cushioning between the boxes and on the edges of the box
well the replacement shipment arrived today indeed the seven cases were in two boxes split between them but to my incredible surprise there was zero   zero cushioning in either box in fact one of the boxes had a very large space of about  to  inches for the cases to slide backandforth inside the box
what was the condition of these new cans the  replacement cans for the  cans that got crushed and dented the first time can you guess these too were crushed and dented omg  i was upset beyond belief going through them such a waste of good food all having to be thrown away  again
meanwhile i have spent already about  to  hours of my life on the phone with petflow documenting the damage in videos inventorying which cans are severe and which cans are dented but perhaps ok and creating  piles based on severity of the dents i had already thrown out about  cans and donated the rest to neighbors who have a higher tolerance for risk than i do but now i am facing the same dilemma again because of their incompetence
for a second time in a week i am finding myself inventorying  cans of damagedcrushed dog food cans that are shamelessly dented and ruined so that they cant be enjoyed and put to good use
as the saying goes fool me once shame on you fool me twice shame on me shame on me for trusting anyone at petflow that they would actually keep their word or that they could actually deliver the  plus quantity of dog food in a way that it was not ruined and actually safe and edible
honestly the customer service people are completely siloed away from their warehouse and you are taking your chances if you order any canned food from them if they tell you they are going to do better next time or theyre going to include cushioning next time do not believe them
run its not worth the extra  per can you save its absolutely devastating to have to throw out over a hundred cans of dog food that wouldve been edible if their warehouse staff had half a brain or would take more care</v>
      </c>
      <c r="H135" s="4" t="str">
        <f t="shared" si="1"/>
        <v>lured in by low pricing i ordered a case of a new dog food canned try it out i ended up converting my dog over about days onto this new food i then ordered more cases with petflow of same food i had auditioned transitioned my dog onto
what a nightmare they put all cases ie cans in one box there was a little bubble cushion on one side of box but other sides had no cushion guess what all cans were dented many of them crushed accordian style unsafe use majority were deemed unsafe according a government can dent guideline i consulted
working with petflow was an exercise in frustration i called on a friday was told that somebody would get back me tomorrow which was saturday nobody ever called me so late saturday i called i was told oh no it takes hours somebody get back you so i waited another hours ie hours later still no call so i call them back on sunday say where my return call petlow representative essentially said oh no what made you think somebody would call you back on weekend i was then told i had wait until monday three days later meanwhile i had run out of food food i had just transitioned my dog onto my dog has a sensitive stomach i cant just switch foods on him or he will get severe diarrhea now because of their false promises over weekend that someone would call me back i was totally out
finally on monday a supervisor did call me back she agreed that there shouldve been more cushioning in box she assured me that they would resend entire order but instead of sending seven cases in one box they would split it into two boxes they would include cushioning between boxes on edges of box
well replacement shipment arrived today indeed seven cases were in two boxes split between them but my incredible surprise there was zero zero cushioning in either box in fact one of boxes had a very large space of about inches cases slide backandforth inside box
what was condition of these new cans replacement cans cans that got crushed dented first time can you guess these too were crushed dented omg i was upset beyond belief going through them such a waste of good food all having be thrown away again
meanwhile i have spent already about hours of my life on phone with petflow documenting damage in videos inventorying which cans are severe which cans are dented but perhaps ok creating piles based on severity of dents i had already thrown out about cans donated rest neighbors who have a higher tolerance risk than i do but now i am facing same dilemma again because of their incompetence
for a second time in a week i am finding myself inventorying cans of damagedcrushed dog food cans that are shamelessly dented ruined so that they cant be enjoyed put good use
as saying goes fool me once shame on you fool me twice shame on me shame on me trusting anyone at petflow that they would actually keep their word or that they could actually deliver plus quantity of dog food in a way that it was not ruined actually safe edible
honestly customer service people are completely siloed away from their warehouse you are taking your chances if you order any canned food from them if they tell you they are going do better next time or theyre going include cushioning next time do not believe them
run its not worth extra per can you save its absolutely devastating have throw out over a hundred cans of dog food that wouldve been edible if their warehouse staff had half a brain or would take more care</v>
      </c>
      <c r="I135" s="6">
        <f t="shared" si="2"/>
        <v>623</v>
      </c>
      <c r="J135" s="6">
        <f>IFERROR(__xludf.DUMMYFUNCTION("IF(H135="""","""",
SUM(
ARRAYFORMULA(
IF(
REGEXMATCH(
"" ""&amp;H135&amp;"" "",
"" ""&amp;Sentiment_Words!A$2:A3730&amp;"" ""
),
1,
0
)
)
)
)"),3.0)</f>
        <v>3</v>
      </c>
      <c r="K135" s="4">
        <f>IFERROR(__xludf.DUMMYFUNCTION("IF(H135="""","""",
SUM(
ARRAYFORMULA(
IF(
REGEXMATCH(
"" ""&amp;H135&amp;"" "",
"" ""&amp;Sentiment_Words!B$2:B3730&amp;"" ""
),
1,
0
)
)
)
)"),3.0)</f>
        <v>3</v>
      </c>
      <c r="L135" s="7" t="str">
        <f t="shared" si="3"/>
        <v>Customer Support</v>
      </c>
      <c r="M135" s="7" t="str">
        <f t="shared" si="4"/>
        <v>Neutral</v>
      </c>
      <c r="N135" s="7" t="str">
        <f>IFERROR(__xludf.DUMMYFUNCTION("LOWER(
TRIM(
REGEXREPLACE(B135,""[^a-zA-Z\s]"","""")
)
)
"),"janet grey")</f>
        <v>janet grey</v>
      </c>
      <c r="O135" s="7">
        <f t="shared" si="5"/>
        <v>1</v>
      </c>
      <c r="P135" s="8" t="str">
        <f t="shared" si="6"/>
        <v>No</v>
      </c>
    </row>
    <row r="136">
      <c r="A136" s="4" t="s">
        <v>16</v>
      </c>
      <c r="B136" s="4" t="s">
        <v>431</v>
      </c>
      <c r="C136" s="9">
        <v>45054.0</v>
      </c>
      <c r="D136" s="5">
        <v>45058.0</v>
      </c>
      <c r="E136" s="4" t="s">
        <v>432</v>
      </c>
      <c r="F136" s="4" t="s">
        <v>433</v>
      </c>
      <c r="G136" s="6" t="str">
        <f>IFERROR(__xludf.DUMMYFUNCTION("REGEXREPLACE(LOWER(F136),""[^a-z\s]"","""")"),"order came just as promised very quick shipping")</f>
        <v>order came just as promised very quick shipping</v>
      </c>
      <c r="H136" s="4" t="str">
        <f t="shared" si="1"/>
        <v>order came just as promised very quick shipping</v>
      </c>
      <c r="I136" s="6">
        <f t="shared" si="2"/>
        <v>8</v>
      </c>
      <c r="J136" s="6">
        <f>IFERROR(__xludf.DUMMYFUNCTION("IF(H136="""","""",
SUM(
ARRAYFORMULA(
IF(
REGEXMATCH(
"" ""&amp;H136&amp;"" "",
"" ""&amp;Sentiment_Words!A$2:A3730&amp;"" ""
),
1,
0
)
)
)
)"),0.0)</f>
        <v>0</v>
      </c>
      <c r="K136" s="4">
        <f>IFERROR(__xludf.DUMMYFUNCTION("IF(H136="""","""",
SUM(
ARRAYFORMULA(
IF(
REGEXMATCH(
"" ""&amp;H136&amp;"" "",
"" ""&amp;Sentiment_Words!B$2:B3730&amp;"" ""
),
1,
0
)
)
)
)"),0.0)</f>
        <v>0</v>
      </c>
      <c r="L136" s="7" t="str">
        <f t="shared" si="3"/>
        <v>Other</v>
      </c>
      <c r="M136" s="7" t="str">
        <f t="shared" si="4"/>
        <v>Neutral</v>
      </c>
      <c r="N136" s="7" t="str">
        <f>IFERROR(__xludf.DUMMYFUNCTION("LOWER(
TRIM(
REGEXREPLACE(B136,""[^a-zA-Z\s]"","""")
)
)
"),"happy customer")</f>
        <v>happy customer</v>
      </c>
      <c r="O136" s="7">
        <f t="shared" si="5"/>
        <v>2</v>
      </c>
      <c r="P136" s="8" t="str">
        <f t="shared" si="6"/>
        <v>Yes</v>
      </c>
    </row>
    <row r="137">
      <c r="A137" s="4" t="s">
        <v>16</v>
      </c>
      <c r="B137" s="4" t="s">
        <v>434</v>
      </c>
      <c r="C137" s="5">
        <v>45042.0</v>
      </c>
      <c r="D137" s="5">
        <v>45054.0</v>
      </c>
      <c r="E137" s="4" t="s">
        <v>435</v>
      </c>
      <c r="F137" s="4" t="s">
        <v>436</v>
      </c>
      <c r="G137" s="6" t="str">
        <f>IFERROR(__xludf.DUMMYFUNCTION("REGEXREPLACE(LOWER(F137),""[^a-z\s]"","""")"),"best price fast delivery")</f>
        <v>best price fast delivery</v>
      </c>
      <c r="H137" s="4" t="str">
        <f t="shared" si="1"/>
        <v>best price fast delivery</v>
      </c>
      <c r="I137" s="6">
        <f t="shared" si="2"/>
        <v>4</v>
      </c>
      <c r="J137" s="6">
        <f>IFERROR(__xludf.DUMMYFUNCTION("IF(H137="""","""",
SUM(
ARRAYFORMULA(
IF(
REGEXMATCH(
"" ""&amp;H137&amp;"" "",
"" ""&amp;Sentiment_Words!A$2:A3730&amp;"" ""
),
1,
0
)
)
)
)"),2.0)</f>
        <v>2</v>
      </c>
      <c r="K137" s="4">
        <f>IFERROR(__xludf.DUMMYFUNCTION("IF(H137="""","""",
SUM(
ARRAYFORMULA(
IF(
REGEXMATCH(
"" ""&amp;H137&amp;"" "",
"" ""&amp;Sentiment_Words!B$2:B3730&amp;"" ""
),
1,
0
)
)
)
)"),0.0)</f>
        <v>0</v>
      </c>
      <c r="L137" s="7" t="str">
        <f t="shared" si="3"/>
        <v>Other</v>
      </c>
      <c r="M137" s="7" t="str">
        <f t="shared" si="4"/>
        <v>Positive</v>
      </c>
      <c r="N137" s="7" t="str">
        <f>IFERROR(__xludf.DUMMYFUNCTION("LOWER(
TRIM(
REGEXREPLACE(B137,""[^a-zA-Z\s]"","""")
)
)
"),"alyson mcdonald")</f>
        <v>alyson mcdonald</v>
      </c>
      <c r="O137" s="7">
        <f t="shared" si="5"/>
        <v>1</v>
      </c>
      <c r="P137" s="8" t="str">
        <f t="shared" si="6"/>
        <v>No</v>
      </c>
    </row>
    <row r="138">
      <c r="A138" s="4" t="s">
        <v>16</v>
      </c>
      <c r="B138" s="4" t="s">
        <v>437</v>
      </c>
      <c r="C138" s="9">
        <v>45050.0</v>
      </c>
      <c r="D138" s="5">
        <v>45062.0</v>
      </c>
      <c r="E138" s="4" t="s">
        <v>438</v>
      </c>
      <c r="F138" s="4" t="s">
        <v>439</v>
      </c>
      <c r="G138" s="6" t="str">
        <f>IFERROR(__xludf.DUMMYFUNCTION("REGEXREPLACE(LOWER(F138),""[^a-z\s]"","""")"),"i think you provide good service and deliver your products on a timely basis")</f>
        <v>i think you provide good service and deliver your products on a timely basis</v>
      </c>
      <c r="H138" s="4" t="str">
        <f t="shared" si="1"/>
        <v>i think you provide good service deliver your products on a timely basis</v>
      </c>
      <c r="I138" s="6">
        <f t="shared" si="2"/>
        <v>13</v>
      </c>
      <c r="J138" s="6">
        <f>IFERROR(__xludf.DUMMYFUNCTION("IF(H138="""","""",
SUM(
ARRAYFORMULA(
IF(
REGEXMATCH(
"" ""&amp;H138&amp;"" "",
"" ""&amp;Sentiment_Words!A$2:A3730&amp;"" ""
),
1,
0
)
)
)
)"),1.0)</f>
        <v>1</v>
      </c>
      <c r="K138" s="4">
        <f>IFERROR(__xludf.DUMMYFUNCTION("IF(H138="""","""",
SUM(
ARRAYFORMULA(
IF(
REGEXMATCH(
"" ""&amp;H138&amp;"" "",
"" ""&amp;Sentiment_Words!B$2:B3730&amp;"" ""
),
1,
0
)
)
)
)"),0.0)</f>
        <v>0</v>
      </c>
      <c r="L138" s="7" t="str">
        <f t="shared" si="3"/>
        <v>Customer Support</v>
      </c>
      <c r="M138" s="7" t="str">
        <f t="shared" si="4"/>
        <v>Positive</v>
      </c>
      <c r="N138" s="7" t="str">
        <f>IFERROR(__xludf.DUMMYFUNCTION("LOWER(
TRIM(
REGEXREPLACE(B138,""[^a-zA-Z\s]"","""")
)
)
"),"benjamin kiing")</f>
        <v>benjamin kiing</v>
      </c>
      <c r="O138" s="7">
        <f t="shared" si="5"/>
        <v>1</v>
      </c>
      <c r="P138" s="8" t="str">
        <f t="shared" si="6"/>
        <v>No</v>
      </c>
    </row>
    <row r="139">
      <c r="A139" s="4" t="s">
        <v>16</v>
      </c>
      <c r="B139" s="4" t="s">
        <v>440</v>
      </c>
      <c r="C139" s="5">
        <v>45035.0</v>
      </c>
      <c r="D139" s="5">
        <v>45048.0</v>
      </c>
      <c r="E139" s="4" t="s">
        <v>81</v>
      </c>
      <c r="F139" s="4" t="s">
        <v>441</v>
      </c>
      <c r="G139" s="6" t="str">
        <f>IFERROR(__xludf.DUMMYFUNCTION("REGEXREPLACE(LOWER(F139),""[^a-z\s]"","""")"),"good prices large selection fast delivery good response to questions")</f>
        <v>good prices large selection fast delivery good response to questions</v>
      </c>
      <c r="H139" s="4" t="str">
        <f t="shared" si="1"/>
        <v>good prices large selection fast delivery good response questions</v>
      </c>
      <c r="I139" s="6">
        <f t="shared" si="2"/>
        <v>9</v>
      </c>
      <c r="J139" s="6">
        <f>IFERROR(__xludf.DUMMYFUNCTION("IF(H139="""","""",
SUM(
ARRAYFORMULA(
IF(
REGEXMATCH(
"" ""&amp;H139&amp;"" "",
"" ""&amp;Sentiment_Words!A$2:A3730&amp;"" ""
),
1,
0
)
)
)
)"),3.0)</f>
        <v>3</v>
      </c>
      <c r="K139" s="4">
        <f>IFERROR(__xludf.DUMMYFUNCTION("IF(H139="""","""",
SUM(
ARRAYFORMULA(
IF(
REGEXMATCH(
"" ""&amp;H139&amp;"" "",
"" ""&amp;Sentiment_Words!B$2:B3730&amp;"" ""
),
1,
0
)
)
)
)"),0.0)</f>
        <v>0</v>
      </c>
      <c r="L139" s="7" t="str">
        <f t="shared" si="3"/>
        <v>Other</v>
      </c>
      <c r="M139" s="7" t="str">
        <f t="shared" si="4"/>
        <v>Positive</v>
      </c>
      <c r="N139" s="7" t="str">
        <f>IFERROR(__xludf.DUMMYFUNCTION("LOWER(
TRIM(
REGEXREPLACE(B139,""[^a-zA-Z\s]"","""")
)
)
"),"jean")</f>
        <v>jean</v>
      </c>
      <c r="O139" s="7">
        <f t="shared" si="5"/>
        <v>5</v>
      </c>
      <c r="P139" s="8" t="str">
        <f t="shared" si="6"/>
        <v>Yes</v>
      </c>
    </row>
    <row r="140">
      <c r="A140" s="4" t="s">
        <v>16</v>
      </c>
      <c r="B140" s="4" t="s">
        <v>442</v>
      </c>
      <c r="C140" s="5">
        <v>45043.0</v>
      </c>
      <c r="D140" s="5">
        <v>45055.0</v>
      </c>
      <c r="E140" s="4" t="s">
        <v>443</v>
      </c>
      <c r="F140" s="4" t="s">
        <v>444</v>
      </c>
      <c r="G140" s="6" t="str">
        <f>IFERROR(__xludf.DUMMYFUNCTION("REGEXREPLACE(LOWER(F140),""[^a-z\s]"","""")"),"super fast shipping competitive pricing accurate order delivered")</f>
        <v>super fast shipping competitive pricing accurate order delivered</v>
      </c>
      <c r="H140" s="4" t="str">
        <f t="shared" si="1"/>
        <v>super fast shipping competitive pricing accurate order delivered</v>
      </c>
      <c r="I140" s="6">
        <f t="shared" si="2"/>
        <v>8</v>
      </c>
      <c r="J140" s="6">
        <f>IFERROR(__xludf.DUMMYFUNCTION("IF(H140="""","""",
SUM(
ARRAYFORMULA(
IF(
REGEXMATCH(
"" ""&amp;H140&amp;"" "",
"" ""&amp;Sentiment_Words!A$2:A3730&amp;"" ""
),
1,
0
)
)
)
)"),2.0)</f>
        <v>2</v>
      </c>
      <c r="K140" s="4">
        <f>IFERROR(__xludf.DUMMYFUNCTION("IF(H140="""","""",
SUM(
ARRAYFORMULA(
IF(
REGEXMATCH(
"" ""&amp;H140&amp;"" "",
"" ""&amp;Sentiment_Words!B$2:B3730&amp;"" ""
),
1,
0
)
)
)
)"),0.0)</f>
        <v>0</v>
      </c>
      <c r="L140" s="7" t="str">
        <f t="shared" si="3"/>
        <v>Other</v>
      </c>
      <c r="M140" s="7" t="str">
        <f t="shared" si="4"/>
        <v>Positive</v>
      </c>
      <c r="N140" s="7" t="str">
        <f>IFERROR(__xludf.DUMMYFUNCTION("LOWER(
TRIM(
REGEXREPLACE(B140,""[^a-zA-Z\s]"","""")
)
)
"),"nextadvisor reader")</f>
        <v>nextadvisor reader</v>
      </c>
      <c r="O140" s="7">
        <f t="shared" si="5"/>
        <v>1</v>
      </c>
      <c r="P140" s="8" t="str">
        <f t="shared" si="6"/>
        <v>No</v>
      </c>
    </row>
    <row r="141">
      <c r="A141" s="4" t="s">
        <v>16</v>
      </c>
      <c r="B141" s="4" t="s">
        <v>445</v>
      </c>
      <c r="C141" s="5">
        <v>45057.0</v>
      </c>
      <c r="D141" s="4" t="s">
        <v>42</v>
      </c>
      <c r="E141" s="4" t="s">
        <v>446</v>
      </c>
      <c r="F141" s="4" t="s">
        <v>331</v>
      </c>
      <c r="G141" s="6" t="str">
        <f>IFERROR(__xludf.DUMMYFUNCTION("REGEXREPLACE(LOWER(F141),""[^a-z\s]"","""")"),"none")</f>
        <v>none</v>
      </c>
      <c r="H141" s="4" t="str">
        <f t="shared" si="1"/>
        <v>none</v>
      </c>
      <c r="I141" s="6">
        <f t="shared" si="2"/>
        <v>1</v>
      </c>
      <c r="J141" s="6">
        <f>IFERROR(__xludf.DUMMYFUNCTION("IF(H141="""","""",
SUM(
ARRAYFORMULA(
IF(
REGEXMATCH(
"" ""&amp;H141&amp;"" "",
"" ""&amp;Sentiment_Words!A$2:A3730&amp;"" ""
),
1,
0
)
)
)
)"),0.0)</f>
        <v>0</v>
      </c>
      <c r="K141" s="4">
        <f>IFERROR(__xludf.DUMMYFUNCTION("IF(H141="""","""",
SUM(
ARRAYFORMULA(
IF(
REGEXMATCH(
"" ""&amp;H141&amp;"" "",
"" ""&amp;Sentiment_Words!B$2:B3730&amp;"" ""
),
1,
0
)
)
)
)"),0.0)</f>
        <v>0</v>
      </c>
      <c r="L141" s="7" t="str">
        <f t="shared" si="3"/>
        <v>Other</v>
      </c>
      <c r="M141" s="7" t="str">
        <f t="shared" si="4"/>
        <v>Neutral</v>
      </c>
      <c r="N141" s="7" t="str">
        <f>IFERROR(__xludf.DUMMYFUNCTION("LOWER(
TRIM(
REGEXREPLACE(B141,""[^a-zA-Z\s]"","""")
)
)
"),"julie l")</f>
        <v>julie l</v>
      </c>
      <c r="O141" s="7">
        <f t="shared" si="5"/>
        <v>2</v>
      </c>
      <c r="P141" s="8" t="str">
        <f t="shared" si="6"/>
        <v>Yes</v>
      </c>
    </row>
    <row r="142">
      <c r="A142" s="4" t="s">
        <v>16</v>
      </c>
      <c r="B142" s="4" t="s">
        <v>56</v>
      </c>
      <c r="C142" s="5">
        <v>45036.0</v>
      </c>
      <c r="D142" s="5">
        <v>45049.0</v>
      </c>
      <c r="E142" s="4" t="s">
        <v>447</v>
      </c>
      <c r="F142" s="4" t="s">
        <v>448</v>
      </c>
      <c r="G142" s="6" t="str">
        <f>IFERROR(__xludf.DUMMYFUNCTION("REGEXREPLACE(LOWER(F142),""[^a-z\s]"","""")"),"as i said before a mistake was made with my order and customer service immediately fixed it")</f>
        <v>as i said before a mistake was made with my order and customer service immediately fixed it</v>
      </c>
      <c r="H142" s="4" t="str">
        <f t="shared" si="1"/>
        <v>as i said before a mistake was made with my order customer service immediately fixed it</v>
      </c>
      <c r="I142" s="6">
        <f t="shared" si="2"/>
        <v>16</v>
      </c>
      <c r="J142" s="6">
        <f>IFERROR(__xludf.DUMMYFUNCTION("IF(H142="""","""",
SUM(
ARRAYFORMULA(
IF(
REGEXMATCH(
"" ""&amp;H142&amp;"" "",
"" ""&amp;Sentiment_Words!A$2:A3730&amp;"" ""
),
1,
0
)
)
)
)"),1.0)</f>
        <v>1</v>
      </c>
      <c r="K142" s="4">
        <f>IFERROR(__xludf.DUMMYFUNCTION("IF(H142="""","""",
SUM(
ARRAYFORMULA(
IF(
REGEXMATCH(
"" ""&amp;H142&amp;"" "",
"" ""&amp;Sentiment_Words!B$2:B3730&amp;"" ""
),
1,
0
)
)
)
)"),1.0)</f>
        <v>1</v>
      </c>
      <c r="L142" s="7" t="str">
        <f t="shared" si="3"/>
        <v>Customer Support</v>
      </c>
      <c r="M142" s="7" t="str">
        <f t="shared" si="4"/>
        <v>Neutral</v>
      </c>
      <c r="N142" s="7" t="str">
        <f>IFERROR(__xludf.DUMMYFUNCTION("LOWER(
TRIM(
REGEXREPLACE(B142,""[^a-zA-Z\s]"","""")
)
)
"),"customer")</f>
        <v>customer</v>
      </c>
      <c r="O142" s="7">
        <f t="shared" si="5"/>
        <v>54</v>
      </c>
      <c r="P142" s="8" t="str">
        <f t="shared" si="6"/>
        <v>Yes</v>
      </c>
    </row>
    <row r="143">
      <c r="A143" s="4" t="s">
        <v>16</v>
      </c>
      <c r="B143" s="4" t="s">
        <v>449</v>
      </c>
      <c r="C143" s="5">
        <v>45038.0</v>
      </c>
      <c r="D143" s="5">
        <v>45050.0</v>
      </c>
      <c r="E143" s="4" t="s">
        <v>450</v>
      </c>
      <c r="F143" s="4" t="s">
        <v>451</v>
      </c>
      <c r="G143" s="6" t="str">
        <f>IFERROR(__xludf.DUMMYFUNCTION("REGEXREPLACE(LOWER(F143),""[^a-z\s]"","""")"),"wonderful to find natural balance venison canned food in stock delivereddelivered")</f>
        <v>wonderful to find natural balance venison canned food in stock delivereddelivered</v>
      </c>
      <c r="H143" s="4" t="str">
        <f t="shared" si="1"/>
        <v>wonderful find natural balance venison canned food in stock delivereddelivered</v>
      </c>
      <c r="I143" s="6">
        <f t="shared" si="2"/>
        <v>10</v>
      </c>
      <c r="J143" s="6">
        <f>IFERROR(__xludf.DUMMYFUNCTION("IF(H143="""","""",
SUM(
ARRAYFORMULA(
IF(
REGEXMATCH(
"" ""&amp;H143&amp;"" "",
"" ""&amp;Sentiment_Words!A$2:A3730&amp;"" ""
),
1,
0
)
)
)
)"),1.0)</f>
        <v>1</v>
      </c>
      <c r="K143" s="4">
        <f>IFERROR(__xludf.DUMMYFUNCTION("IF(H143="""","""",
SUM(
ARRAYFORMULA(
IF(
REGEXMATCH(
"" ""&amp;H143&amp;"" "",
"" ""&amp;Sentiment_Words!B$2:B3730&amp;"" ""
),
1,
0
)
)
)
)"),0.0)</f>
        <v>0</v>
      </c>
      <c r="L143" s="7" t="str">
        <f t="shared" si="3"/>
        <v>Other</v>
      </c>
      <c r="M143" s="7" t="str">
        <f t="shared" si="4"/>
        <v>Positive</v>
      </c>
      <c r="N143" s="7" t="str">
        <f>IFERROR(__xludf.DUMMYFUNCTION("LOWER(
TRIM(
REGEXREPLACE(B143,""[^a-zA-Z\s]"","""")
)
)
"),"ann mccoy")</f>
        <v>ann mccoy</v>
      </c>
      <c r="O143" s="7">
        <f t="shared" si="5"/>
        <v>1</v>
      </c>
      <c r="P143" s="8" t="str">
        <f t="shared" si="6"/>
        <v>No</v>
      </c>
    </row>
    <row r="144">
      <c r="A144" s="4" t="s">
        <v>16</v>
      </c>
      <c r="B144" s="4" t="s">
        <v>452</v>
      </c>
      <c r="C144" s="5">
        <v>45043.0</v>
      </c>
      <c r="D144" s="5">
        <v>45055.0</v>
      </c>
      <c r="E144" s="4" t="s">
        <v>453</v>
      </c>
      <c r="F144" s="4" t="s">
        <v>454</v>
      </c>
      <c r="G144" s="6" t="str">
        <f>IFERROR(__xludf.DUMMYFUNCTION("REGEXREPLACE(LOWER(F144),""[^a-z\s]"","""")"),"package was never delivered  days after order")</f>
        <v>package was never delivered  days after order</v>
      </c>
      <c r="H144" s="4" t="str">
        <f t="shared" si="1"/>
        <v>package was never delivered days after order</v>
      </c>
      <c r="I144" s="6">
        <f t="shared" si="2"/>
        <v>7</v>
      </c>
      <c r="J144" s="6">
        <f>IFERROR(__xludf.DUMMYFUNCTION("IF(H144="""","""",
SUM(
ARRAYFORMULA(
IF(
REGEXMATCH(
"" ""&amp;H144&amp;"" "",
"" ""&amp;Sentiment_Words!A$2:A3730&amp;"" ""
),
1,
0
)
)
)
)"),1.0)</f>
        <v>1</v>
      </c>
      <c r="K144" s="4">
        <f>IFERROR(__xludf.DUMMYFUNCTION("IF(H144="""","""",
SUM(
ARRAYFORMULA(
IF(
REGEXMATCH(
"" ""&amp;H144&amp;"" "",
"" ""&amp;Sentiment_Words!B$2:B3730&amp;"" ""
),
1,
0
)
)
)
)"),0.0)</f>
        <v>0</v>
      </c>
      <c r="L144" s="7" t="str">
        <f t="shared" si="3"/>
        <v>Other</v>
      </c>
      <c r="M144" s="7" t="str">
        <f t="shared" si="4"/>
        <v>Positive</v>
      </c>
      <c r="N144" s="7" t="str">
        <f>IFERROR(__xludf.DUMMYFUNCTION("LOWER(
TRIM(
REGEXREPLACE(B144,""[^a-zA-Z\s]"","""")
)
)
"),"david")</f>
        <v>david</v>
      </c>
      <c r="O144" s="7">
        <f t="shared" si="5"/>
        <v>3</v>
      </c>
      <c r="P144" s="8" t="str">
        <f t="shared" si="6"/>
        <v>Yes</v>
      </c>
    </row>
    <row r="145">
      <c r="A145" s="4" t="s">
        <v>16</v>
      </c>
      <c r="B145" s="4" t="s">
        <v>455</v>
      </c>
      <c r="C145" s="9">
        <v>45051.0</v>
      </c>
      <c r="D145" s="5">
        <v>45063.0</v>
      </c>
      <c r="E145" s="4" t="s">
        <v>456</v>
      </c>
      <c r="F145" s="4" t="s">
        <v>457</v>
      </c>
      <c r="G145" s="6" t="str">
        <f>IFERROR(__xludf.DUMMYFUNCTION("REGEXREPLACE(LOWER(F145),""[^a-z\s]"","""")"),"they had what i needed hardtofind item in stock and shipped quickly")</f>
        <v>they had what i needed hardtofind item in stock and shipped quickly</v>
      </c>
      <c r="H145" s="4" t="str">
        <f t="shared" si="1"/>
        <v>they had what i needed hardtofind item in stock shipped quickly</v>
      </c>
      <c r="I145" s="6">
        <f t="shared" si="2"/>
        <v>11</v>
      </c>
      <c r="J145" s="6">
        <f>IFERROR(__xludf.DUMMYFUNCTION("IF(H145="""","""",
SUM(
ARRAYFORMULA(
IF(
REGEXMATCH(
"" ""&amp;H145&amp;"" "",
"" ""&amp;Sentiment_Words!A$2:A3730&amp;"" ""
),
1,
0
)
)
)
)"),1.0)</f>
        <v>1</v>
      </c>
      <c r="K145" s="4">
        <f>IFERROR(__xludf.DUMMYFUNCTION("IF(H145="""","""",
SUM(
ARRAYFORMULA(
IF(
REGEXMATCH(
"" ""&amp;H145&amp;"" "",
"" ""&amp;Sentiment_Words!B$2:B3730&amp;"" ""
),
1,
0
)
)
)
)"),0.0)</f>
        <v>0</v>
      </c>
      <c r="L145" s="7" t="str">
        <f t="shared" si="3"/>
        <v>Other</v>
      </c>
      <c r="M145" s="7" t="str">
        <f t="shared" si="4"/>
        <v>Positive</v>
      </c>
      <c r="N145" s="7" t="str">
        <f>IFERROR(__xludf.DUMMYFUNCTION("LOWER(
TRIM(
REGEXREPLACE(B145,""[^a-zA-Z\s]"","""")
)
)
"),"anonymous")</f>
        <v>anonymous</v>
      </c>
      <c r="O145" s="7">
        <f t="shared" si="5"/>
        <v>9</v>
      </c>
      <c r="P145" s="8" t="str">
        <f t="shared" si="6"/>
        <v>Yes</v>
      </c>
    </row>
    <row r="146">
      <c r="A146" s="4" t="s">
        <v>16</v>
      </c>
      <c r="B146" s="4" t="s">
        <v>458</v>
      </c>
      <c r="C146" s="5">
        <v>45046.0</v>
      </c>
      <c r="D146" s="5">
        <v>45047.0</v>
      </c>
      <c r="E146" s="4" t="s">
        <v>459</v>
      </c>
      <c r="F146" s="4" t="s">
        <v>460</v>
      </c>
      <c r="G146" s="6" t="str">
        <f>IFERROR(__xludf.DUMMYFUNCTION("REGEXREPLACE(LOWER(F146),""[^a-z\s]"","""")"),"very easy to navigate website excellent prices great selection and just an overall best experience second to none")</f>
        <v>very easy to navigate website excellent prices great selection and just an overall best experience second to none</v>
      </c>
      <c r="H146" s="4" t="str">
        <f t="shared" si="1"/>
        <v>very easy navigate website excellent prices great selection just an overall best experience second none</v>
      </c>
      <c r="I146" s="6">
        <f t="shared" si="2"/>
        <v>15</v>
      </c>
      <c r="J146" s="6">
        <f>IFERROR(__xludf.DUMMYFUNCTION("IF(H146="""","""",
SUM(
ARRAYFORMULA(
IF(
REGEXMATCH(
"" ""&amp;H146&amp;"" "",
"" ""&amp;Sentiment_Words!A$2:A3730&amp;"" ""
),
1,
0
)
)
)
)"),2.0)</f>
        <v>2</v>
      </c>
      <c r="K146" s="4">
        <f>IFERROR(__xludf.DUMMYFUNCTION("IF(H146="""","""",
SUM(
ARRAYFORMULA(
IF(
REGEXMATCH(
"" ""&amp;H146&amp;"" "",
"" ""&amp;Sentiment_Words!B$2:B3730&amp;"" ""
),
1,
0
)
)
)
)"),0.0)</f>
        <v>0</v>
      </c>
      <c r="L146" s="7" t="str">
        <f t="shared" si="3"/>
        <v>Account &amp; Website</v>
      </c>
      <c r="M146" s="7" t="str">
        <f t="shared" si="4"/>
        <v>Positive</v>
      </c>
      <c r="N146" s="7" t="str">
        <f>IFERROR(__xludf.DUMMYFUNCTION("LOWER(
TRIM(
REGEXREPLACE(B146,""[^a-zA-Z\s]"","""")
)
)
"),"walter wininger")</f>
        <v>walter wininger</v>
      </c>
      <c r="O146" s="7">
        <f t="shared" si="5"/>
        <v>1</v>
      </c>
      <c r="P146" s="8" t="str">
        <f t="shared" si="6"/>
        <v>No</v>
      </c>
    </row>
    <row r="147">
      <c r="A147" s="4" t="s">
        <v>16</v>
      </c>
      <c r="B147" s="4" t="s">
        <v>461</v>
      </c>
      <c r="C147" s="9">
        <v>45049.0</v>
      </c>
      <c r="D147" s="5">
        <v>45061.0</v>
      </c>
      <c r="E147" s="4" t="s">
        <v>462</v>
      </c>
      <c r="F147" s="4" t="s">
        <v>463</v>
      </c>
      <c r="G147" s="6" t="str">
        <f>IFERROR(__xludf.DUMMYFUNCTION("REGEXREPLACE(LOWER(F147),""[^a-z\s]"","""")"),"i received my order promptly these people are on their game for sure")</f>
        <v>i received my order promptly these people are on their game for sure</v>
      </c>
      <c r="H147" s="4" t="str">
        <f t="shared" si="1"/>
        <v>i received my order promptly these people are on their game sure</v>
      </c>
      <c r="I147" s="6">
        <f t="shared" si="2"/>
        <v>12</v>
      </c>
      <c r="J147" s="6">
        <f>IFERROR(__xludf.DUMMYFUNCTION("IF(H147="""","""",
SUM(
ARRAYFORMULA(
IF(
REGEXMATCH(
"" ""&amp;H147&amp;"" "",
"" ""&amp;Sentiment_Words!A$2:A3730&amp;"" ""
),
1,
0
)
)
)
)"),0.0)</f>
        <v>0</v>
      </c>
      <c r="K147" s="4">
        <f>IFERROR(__xludf.DUMMYFUNCTION("IF(H147="""","""",
SUM(
ARRAYFORMULA(
IF(
REGEXMATCH(
"" ""&amp;H147&amp;"" "",
"" ""&amp;Sentiment_Words!B$2:B3730&amp;"" ""
),
1,
0
)
)
)
)"),0.0)</f>
        <v>0</v>
      </c>
      <c r="L147" s="7" t="str">
        <f t="shared" si="3"/>
        <v>Other</v>
      </c>
      <c r="M147" s="7" t="str">
        <f t="shared" si="4"/>
        <v>Neutral</v>
      </c>
      <c r="N147" s="7" t="str">
        <f>IFERROR(__xludf.DUMMYFUNCTION("LOWER(
TRIM(
REGEXREPLACE(B147,""[^a-zA-Z\s]"","""")
)
)
"),"siham ayoub")</f>
        <v>siham ayoub</v>
      </c>
      <c r="O147" s="7">
        <f t="shared" si="5"/>
        <v>1</v>
      </c>
      <c r="P147" s="8" t="str">
        <f t="shared" si="6"/>
        <v>No</v>
      </c>
    </row>
    <row r="148">
      <c r="A148" s="4" t="s">
        <v>16</v>
      </c>
      <c r="B148" s="4" t="s">
        <v>464</v>
      </c>
      <c r="C148" s="5">
        <v>45045.0</v>
      </c>
      <c r="D148" s="5">
        <v>45057.0</v>
      </c>
      <c r="E148" s="4" t="s">
        <v>465</v>
      </c>
      <c r="F148" s="4" t="s">
        <v>466</v>
      </c>
      <c r="G148" s="6" t="str">
        <f>IFERROR(__xludf.DUMMYFUNCTION("REGEXREPLACE(LOWER(F148),""[^a-z\s]"","""")"),"user friendly online shopping experience and very good prices")</f>
        <v>user friendly online shopping experience and very good prices</v>
      </c>
      <c r="H148" s="4" t="str">
        <f t="shared" si="1"/>
        <v>user friendly online shopping experience very good prices</v>
      </c>
      <c r="I148" s="6">
        <f t="shared" si="2"/>
        <v>8</v>
      </c>
      <c r="J148" s="6">
        <f>IFERROR(__xludf.DUMMYFUNCTION("IF(H148="""","""",
SUM(
ARRAYFORMULA(
IF(
REGEXMATCH(
"" ""&amp;H148&amp;"" "",
"" ""&amp;Sentiment_Words!A$2:A3730&amp;"" ""
),
1,
0
)
)
)
)"),1.0)</f>
        <v>1</v>
      </c>
      <c r="K148" s="4">
        <f>IFERROR(__xludf.DUMMYFUNCTION("IF(H148="""","""",
SUM(
ARRAYFORMULA(
IF(
REGEXMATCH(
"" ""&amp;H148&amp;"" "",
"" ""&amp;Sentiment_Words!B$2:B3730&amp;"" ""
),
1,
0
)
)
)
)"),0.0)</f>
        <v>0</v>
      </c>
      <c r="L148" s="7" t="str">
        <f t="shared" si="3"/>
        <v>Other</v>
      </c>
      <c r="M148" s="7" t="str">
        <f t="shared" si="4"/>
        <v>Positive</v>
      </c>
      <c r="N148" s="7" t="str">
        <f>IFERROR(__xludf.DUMMYFUNCTION("LOWER(
TRIM(
REGEXREPLACE(B148,""[^a-zA-Z\s]"","""")
)
)
"),"joe pick")</f>
        <v>joe pick</v>
      </c>
      <c r="O148" s="7">
        <f t="shared" si="5"/>
        <v>1</v>
      </c>
      <c r="P148" s="8" t="str">
        <f t="shared" si="6"/>
        <v>No</v>
      </c>
    </row>
    <row r="149">
      <c r="A149" s="4" t="s">
        <v>16</v>
      </c>
      <c r="B149" s="4" t="s">
        <v>56</v>
      </c>
      <c r="C149" s="9">
        <v>45052.0</v>
      </c>
      <c r="D149" s="5">
        <v>45064.0</v>
      </c>
      <c r="E149" s="4" t="s">
        <v>467</v>
      </c>
      <c r="F149" s="4" t="s">
        <v>468</v>
      </c>
      <c r="G149" s="6" t="str">
        <f>IFERROR(__xludf.DUMMYFUNCTION("REGEXREPLACE(LOWER(F149),""[^a-z\s]"","""")"),"i was pleased with the prices and the products at petflow")</f>
        <v>i was pleased with the prices and the products at petflow</v>
      </c>
      <c r="H149" s="4" t="str">
        <f t="shared" si="1"/>
        <v>i was pleased with prices products at petflow</v>
      </c>
      <c r="I149" s="6">
        <f t="shared" si="2"/>
        <v>8</v>
      </c>
      <c r="J149" s="6">
        <f>IFERROR(__xludf.DUMMYFUNCTION("IF(H149="""","""",
SUM(
ARRAYFORMULA(
IF(
REGEXMATCH(
"" ""&amp;H149&amp;"" "",
"" ""&amp;Sentiment_Words!A$2:A3730&amp;"" ""
),
1,
0
)
)
)
)"),0.0)</f>
        <v>0</v>
      </c>
      <c r="K149" s="4">
        <f>IFERROR(__xludf.DUMMYFUNCTION("IF(H149="""","""",
SUM(
ARRAYFORMULA(
IF(
REGEXMATCH(
"" ""&amp;H149&amp;"" "",
"" ""&amp;Sentiment_Words!B$2:B3730&amp;"" ""
),
1,
0
)
)
)
)"),0.0)</f>
        <v>0</v>
      </c>
      <c r="L149" s="7" t="str">
        <f t="shared" si="3"/>
        <v>Other</v>
      </c>
      <c r="M149" s="7" t="str">
        <f t="shared" si="4"/>
        <v>Neutral</v>
      </c>
      <c r="N149" s="7" t="str">
        <f>IFERROR(__xludf.DUMMYFUNCTION("LOWER(
TRIM(
REGEXREPLACE(B149,""[^a-zA-Z\s]"","""")
)
)
"),"customer")</f>
        <v>customer</v>
      </c>
      <c r="O149" s="7">
        <f t="shared" si="5"/>
        <v>54</v>
      </c>
      <c r="P149" s="8" t="str">
        <f t="shared" si="6"/>
        <v>Yes</v>
      </c>
    </row>
    <row r="150">
      <c r="A150" s="4" t="s">
        <v>16</v>
      </c>
      <c r="B150" s="4" t="s">
        <v>469</v>
      </c>
      <c r="C150" s="5">
        <v>45035.0</v>
      </c>
      <c r="D150" s="5">
        <v>45047.0</v>
      </c>
      <c r="E150" s="4" t="s">
        <v>470</v>
      </c>
      <c r="F150" s="4" t="s">
        <v>471</v>
      </c>
      <c r="G150" s="6" t="str">
        <f>IFERROR(__xludf.DUMMYFUNCTION("REGEXREPLACE(LOWER(F150),""[^a-z\s]"","""")"),"quick delivery on great product at a great price")</f>
        <v>quick delivery on great product at a great price</v>
      </c>
      <c r="H150" s="4" t="str">
        <f t="shared" si="1"/>
        <v>quick delivery on great product at a great price</v>
      </c>
      <c r="I150" s="6">
        <f t="shared" si="2"/>
        <v>9</v>
      </c>
      <c r="J150" s="6">
        <f>IFERROR(__xludf.DUMMYFUNCTION("IF(H150="""","""",
SUM(
ARRAYFORMULA(
IF(
REGEXMATCH(
"" ""&amp;H150&amp;"" "",
"" ""&amp;Sentiment_Words!A$2:A3730&amp;"" ""
),
1,
0
)
)
)
)"),2.0)</f>
        <v>2</v>
      </c>
      <c r="K150" s="4">
        <f>IFERROR(__xludf.DUMMYFUNCTION("IF(H150="""","""",
SUM(
ARRAYFORMULA(
IF(
REGEXMATCH(
"" ""&amp;H150&amp;"" "",
"" ""&amp;Sentiment_Words!B$2:B3730&amp;"" ""
),
1,
0
)
)
)
)"),0.0)</f>
        <v>0</v>
      </c>
      <c r="L150" s="7" t="str">
        <f t="shared" si="3"/>
        <v>Other</v>
      </c>
      <c r="M150" s="7" t="str">
        <f t="shared" si="4"/>
        <v>Positive</v>
      </c>
      <c r="N150" s="7" t="str">
        <f>IFERROR(__xludf.DUMMYFUNCTION("LOWER(
TRIM(
REGEXREPLACE(B150,""[^a-zA-Z\s]"","""")
)
)
"),"tom s")</f>
        <v>tom s</v>
      </c>
      <c r="O150" s="7">
        <f t="shared" si="5"/>
        <v>1</v>
      </c>
      <c r="P150" s="8" t="str">
        <f t="shared" si="6"/>
        <v>No</v>
      </c>
    </row>
    <row r="151">
      <c r="A151" s="4" t="s">
        <v>16</v>
      </c>
      <c r="B151" s="4" t="s">
        <v>472</v>
      </c>
      <c r="C151" s="9">
        <v>45050.0</v>
      </c>
      <c r="D151" s="5">
        <v>45062.0</v>
      </c>
      <c r="E151" s="4" t="s">
        <v>473</v>
      </c>
      <c r="F151" s="4" t="s">
        <v>474</v>
      </c>
      <c r="G151" s="6" t="str">
        <f>IFERROR(__xludf.DUMMYFUNCTION("REGEXREPLACE(LOWER(F151),""[^a-z\s]"","""")"),"great prices good service")</f>
        <v>great prices good service</v>
      </c>
      <c r="H151" s="4" t="str">
        <f t="shared" si="1"/>
        <v>great prices good service</v>
      </c>
      <c r="I151" s="6">
        <f t="shared" si="2"/>
        <v>4</v>
      </c>
      <c r="J151" s="6">
        <f>IFERROR(__xludf.DUMMYFUNCTION("IF(H151="""","""",
SUM(
ARRAYFORMULA(
IF(
REGEXMATCH(
"" ""&amp;H151&amp;"" "",
"" ""&amp;Sentiment_Words!A$2:A3730&amp;"" ""
),
1,
0
)
)
)
)"),2.0)</f>
        <v>2</v>
      </c>
      <c r="K151" s="4">
        <f>IFERROR(__xludf.DUMMYFUNCTION("IF(H151="""","""",
SUM(
ARRAYFORMULA(
IF(
REGEXMATCH(
"" ""&amp;H151&amp;"" "",
"" ""&amp;Sentiment_Words!B$2:B3730&amp;"" ""
),
1,
0
)
)
)
)"),0.0)</f>
        <v>0</v>
      </c>
      <c r="L151" s="7" t="str">
        <f t="shared" si="3"/>
        <v>Customer Support</v>
      </c>
      <c r="M151" s="7" t="str">
        <f t="shared" si="4"/>
        <v>Positive</v>
      </c>
      <c r="N151" s="7" t="str">
        <f>IFERROR(__xludf.DUMMYFUNCTION("LOWER(
TRIM(
REGEXREPLACE(B151,""[^a-zA-Z\s]"","""")
)
)
"),"laura m")</f>
        <v>laura m</v>
      </c>
      <c r="O151" s="7">
        <f t="shared" si="5"/>
        <v>1</v>
      </c>
      <c r="P151" s="8" t="str">
        <f t="shared" si="6"/>
        <v>No</v>
      </c>
    </row>
    <row r="152">
      <c r="A152" s="4" t="s">
        <v>16</v>
      </c>
      <c r="B152" s="4" t="s">
        <v>475</v>
      </c>
      <c r="C152" s="5">
        <v>45041.0</v>
      </c>
      <c r="D152" s="5">
        <v>45057.0</v>
      </c>
      <c r="E152" s="4" t="s">
        <v>476</v>
      </c>
      <c r="F152" s="4" t="s">
        <v>477</v>
      </c>
      <c r="G152" s="6" t="str">
        <f>IFERROR(__xludf.DUMMYFUNCTION("REGEXREPLACE(LOWER(F152),""[^a-z\s]"","""")"),"got what i ordered  it was delivered on time")</f>
        <v>got what i ordered  it was delivered on time</v>
      </c>
      <c r="H152" s="4" t="str">
        <f t="shared" si="1"/>
        <v>got what i ordered it was delivered on time</v>
      </c>
      <c r="I152" s="6">
        <f t="shared" si="2"/>
        <v>9</v>
      </c>
      <c r="J152" s="6">
        <f>IFERROR(__xludf.DUMMYFUNCTION("IF(H152="""","""",
SUM(
ARRAYFORMULA(
IF(
REGEXMATCH(
"" ""&amp;H152&amp;"" "",
"" ""&amp;Sentiment_Words!A$2:A3730&amp;"" ""
),
1,
0
)
)
)
)"),2.0)</f>
        <v>2</v>
      </c>
      <c r="K152" s="4">
        <f>IFERROR(__xludf.DUMMYFUNCTION("IF(H152="""","""",
SUM(
ARRAYFORMULA(
IF(
REGEXMATCH(
"" ""&amp;H152&amp;"" "",
"" ""&amp;Sentiment_Words!B$2:B3730&amp;"" ""
),
1,
0
)
)
)
)"),0.0)</f>
        <v>0</v>
      </c>
      <c r="L152" s="7" t="str">
        <f t="shared" si="3"/>
        <v>Other</v>
      </c>
      <c r="M152" s="7" t="str">
        <f t="shared" si="4"/>
        <v>Positive</v>
      </c>
      <c r="N152" s="7" t="str">
        <f>IFERROR(__xludf.DUMMYFUNCTION("LOWER(
TRIM(
REGEXREPLACE(B152,""[^a-zA-Z\s]"","""")
)
)
"),"barbara anderson")</f>
        <v>barbara anderson</v>
      </c>
      <c r="O152" s="7">
        <f t="shared" si="5"/>
        <v>1</v>
      </c>
      <c r="P152" s="8" t="str">
        <f t="shared" si="6"/>
        <v>No</v>
      </c>
    </row>
    <row r="153">
      <c r="A153" s="4" t="s">
        <v>16</v>
      </c>
      <c r="B153" s="4" t="s">
        <v>478</v>
      </c>
      <c r="C153" s="9">
        <v>45054.0</v>
      </c>
      <c r="D153" s="4" t="s">
        <v>150</v>
      </c>
      <c r="E153" s="4" t="s">
        <v>181</v>
      </c>
      <c r="F153" s="4" t="s">
        <v>479</v>
      </c>
      <c r="G153" s="6" t="str">
        <f>IFERROR(__xludf.DUMMYFUNCTION("REGEXREPLACE(LOWER(F153),""[^a-z\s]"","""")"),"pet flow had an out of stock item we have been looking for over  months my dogs are so happy")</f>
        <v>pet flow had an out of stock item we have been looking for over  months my dogs are so happy</v>
      </c>
      <c r="H153" s="4" t="str">
        <f t="shared" si="1"/>
        <v>pet flow had an out of stock item we have been looking over months my dogs are so happy</v>
      </c>
      <c r="I153" s="6">
        <f t="shared" si="2"/>
        <v>19</v>
      </c>
      <c r="J153" s="6">
        <f>IFERROR(__xludf.DUMMYFUNCTION("IF(H153="""","""",
SUM(
ARRAYFORMULA(
IF(
REGEXMATCH(
"" ""&amp;H153&amp;"" "",
"" ""&amp;Sentiment_Words!A$2:A3730&amp;"" ""
),
1,
0
)
)
)
)"),1.0)</f>
        <v>1</v>
      </c>
      <c r="K153" s="4">
        <f>IFERROR(__xludf.DUMMYFUNCTION("IF(H153="""","""",
SUM(
ARRAYFORMULA(
IF(
REGEXMATCH(
"" ""&amp;H153&amp;"" "",
"" ""&amp;Sentiment_Words!B$2:B3730&amp;"" ""
),
1,
0
)
)
)
)"),1.0)</f>
        <v>1</v>
      </c>
      <c r="L153" s="7" t="str">
        <f t="shared" si="3"/>
        <v>Availability</v>
      </c>
      <c r="M153" s="7" t="str">
        <f t="shared" si="4"/>
        <v>Neutral</v>
      </c>
      <c r="N153" s="7" t="str">
        <f>IFERROR(__xludf.DUMMYFUNCTION("LOWER(
TRIM(
REGEXREPLACE(B153,""[^a-zA-Z\s]"","""")
)
)
"),"rick east")</f>
        <v>rick east</v>
      </c>
      <c r="O153" s="7">
        <f t="shared" si="5"/>
        <v>1</v>
      </c>
      <c r="P153" s="8" t="str">
        <f t="shared" si="6"/>
        <v>No</v>
      </c>
    </row>
    <row r="154">
      <c r="A154" s="4" t="s">
        <v>16</v>
      </c>
      <c r="B154" s="4" t="s">
        <v>480</v>
      </c>
      <c r="C154" s="9">
        <v>45049.0</v>
      </c>
      <c r="D154" s="5">
        <v>45061.0</v>
      </c>
      <c r="E154" s="4" t="s">
        <v>481</v>
      </c>
      <c r="F154" s="4" t="s">
        <v>482</v>
      </c>
      <c r="G154" s="6" t="str">
        <f>IFERROR(__xludf.DUMMYFUNCTION("REGEXREPLACE(LOWER(F154),""[^a-z\s]"","""")"),"great prices and free fast shipping awesome")</f>
        <v>great prices and free fast shipping awesome</v>
      </c>
      <c r="H154" s="4" t="str">
        <f t="shared" si="1"/>
        <v>great prices free fast shipping awesome</v>
      </c>
      <c r="I154" s="6">
        <f t="shared" si="2"/>
        <v>6</v>
      </c>
      <c r="J154" s="6">
        <f>IFERROR(__xludf.DUMMYFUNCTION("IF(H154="""","""",
SUM(
ARRAYFORMULA(
IF(
REGEXMATCH(
"" ""&amp;H154&amp;"" "",
"" ""&amp;Sentiment_Words!A$2:A3730&amp;"" ""
),
1,
0
)
)
)
)"),2.0)</f>
        <v>2</v>
      </c>
      <c r="K154" s="4">
        <f>IFERROR(__xludf.DUMMYFUNCTION("IF(H154="""","""",
SUM(
ARRAYFORMULA(
IF(
REGEXMATCH(
"" ""&amp;H154&amp;"" "",
"" ""&amp;Sentiment_Words!B$2:B3730&amp;"" ""
),
1,
0
)
)
)
)"),0.0)</f>
        <v>0</v>
      </c>
      <c r="L154" s="7" t="str">
        <f t="shared" si="3"/>
        <v>Other</v>
      </c>
      <c r="M154" s="7" t="str">
        <f t="shared" si="4"/>
        <v>Positive</v>
      </c>
      <c r="N154" s="7" t="str">
        <f>IFERROR(__xludf.DUMMYFUNCTION("LOWER(
TRIM(
REGEXREPLACE(B154,""[^a-zA-Z\s]"","""")
)
)
"),"jennifer taylor")</f>
        <v>jennifer taylor</v>
      </c>
      <c r="O154" s="7">
        <f t="shared" si="5"/>
        <v>1</v>
      </c>
      <c r="P154" s="8" t="str">
        <f t="shared" si="6"/>
        <v>No</v>
      </c>
    </row>
    <row r="155">
      <c r="A155" s="4" t="s">
        <v>16</v>
      </c>
      <c r="B155" s="4" t="s">
        <v>483</v>
      </c>
      <c r="C155" s="9">
        <v>45051.0</v>
      </c>
      <c r="D155" s="5">
        <v>45063.0</v>
      </c>
      <c r="E155" s="4" t="s">
        <v>484</v>
      </c>
      <c r="F155" s="4" t="s">
        <v>485</v>
      </c>
      <c r="G155" s="6" t="str">
        <f>IFERROR(__xludf.DUMMYFUNCTION("REGEXREPLACE(LOWER(F155),""[^a-z\s]"","""")"),"higgins parrots feed")</f>
        <v>higgins parrots feed</v>
      </c>
      <c r="H155" s="4" t="str">
        <f t="shared" si="1"/>
        <v>higgins parrots feed</v>
      </c>
      <c r="I155" s="6">
        <f t="shared" si="2"/>
        <v>3</v>
      </c>
      <c r="J155" s="6">
        <f>IFERROR(__xludf.DUMMYFUNCTION("IF(H155="""","""",
SUM(
ARRAYFORMULA(
IF(
REGEXMATCH(
"" ""&amp;H155&amp;"" "",
"" ""&amp;Sentiment_Words!A$2:A3730&amp;"" ""
),
1,
0
)
)
)
)"),0.0)</f>
        <v>0</v>
      </c>
      <c r="K155" s="4">
        <f>IFERROR(__xludf.DUMMYFUNCTION("IF(H155="""","""",
SUM(
ARRAYFORMULA(
IF(
REGEXMATCH(
"" ""&amp;H155&amp;"" "",
"" ""&amp;Sentiment_Words!B$2:B3730&amp;"" ""
),
1,
0
)
)
)
)"),0.0)</f>
        <v>0</v>
      </c>
      <c r="L155" s="7" t="str">
        <f t="shared" si="3"/>
        <v>Other</v>
      </c>
      <c r="M155" s="7" t="str">
        <f t="shared" si="4"/>
        <v>Neutral</v>
      </c>
      <c r="N155" s="7" t="str">
        <f>IFERROR(__xludf.DUMMYFUNCTION("LOWER(
TRIM(
REGEXREPLACE(B155,""[^a-zA-Z\s]"","""")
)
)
"),"daniel grace")</f>
        <v>daniel grace</v>
      </c>
      <c r="O155" s="7">
        <f t="shared" si="5"/>
        <v>1</v>
      </c>
      <c r="P155" s="8" t="str">
        <f t="shared" si="6"/>
        <v>No</v>
      </c>
    </row>
    <row r="156">
      <c r="A156" s="4" t="s">
        <v>16</v>
      </c>
      <c r="B156" s="4" t="s">
        <v>486</v>
      </c>
      <c r="C156" s="5">
        <v>45045.0</v>
      </c>
      <c r="D156" s="5">
        <v>45057.0</v>
      </c>
      <c r="E156" s="4" t="s">
        <v>487</v>
      </c>
      <c r="F156" s="4" t="s">
        <v>331</v>
      </c>
      <c r="G156" s="6" t="str">
        <f>IFERROR(__xludf.DUMMYFUNCTION("REGEXREPLACE(LOWER(F156),""[^a-z\s]"","""")"),"none")</f>
        <v>none</v>
      </c>
      <c r="H156" s="4" t="str">
        <f t="shared" si="1"/>
        <v>none</v>
      </c>
      <c r="I156" s="6">
        <f t="shared" si="2"/>
        <v>1</v>
      </c>
      <c r="J156" s="6">
        <f>IFERROR(__xludf.DUMMYFUNCTION("IF(H156="""","""",
SUM(
ARRAYFORMULA(
IF(
REGEXMATCH(
"" ""&amp;H156&amp;"" "",
"" ""&amp;Sentiment_Words!A$2:A3730&amp;"" ""
),
1,
0
)
)
)
)"),0.0)</f>
        <v>0</v>
      </c>
      <c r="K156" s="4">
        <f>IFERROR(__xludf.DUMMYFUNCTION("IF(H156="""","""",
SUM(
ARRAYFORMULA(
IF(
REGEXMATCH(
"" ""&amp;H156&amp;"" "",
"" ""&amp;Sentiment_Words!B$2:B3730&amp;"" ""
),
1,
0
)
)
)
)"),0.0)</f>
        <v>0</v>
      </c>
      <c r="L156" s="7" t="str">
        <f t="shared" si="3"/>
        <v>Other</v>
      </c>
      <c r="M156" s="7" t="str">
        <f t="shared" si="4"/>
        <v>Neutral</v>
      </c>
      <c r="N156" s="7" t="str">
        <f>IFERROR(__xludf.DUMMYFUNCTION("LOWER(
TRIM(
REGEXREPLACE(B156,""[^a-zA-Z\s]"","""")
)
)
"),"dennis felicio")</f>
        <v>dennis felicio</v>
      </c>
      <c r="O156" s="7">
        <f t="shared" si="5"/>
        <v>1</v>
      </c>
      <c r="P156" s="8" t="str">
        <f t="shared" si="6"/>
        <v>No</v>
      </c>
    </row>
    <row r="157">
      <c r="A157" s="4" t="s">
        <v>16</v>
      </c>
      <c r="B157" s="4" t="s">
        <v>488</v>
      </c>
      <c r="C157" s="5">
        <v>45037.0</v>
      </c>
      <c r="D157" s="5">
        <v>45049.0</v>
      </c>
      <c r="E157" s="4" t="s">
        <v>489</v>
      </c>
      <c r="F157" s="4" t="s">
        <v>331</v>
      </c>
      <c r="G157" s="6" t="str">
        <f>IFERROR(__xludf.DUMMYFUNCTION("REGEXREPLACE(LOWER(F157),""[^a-z\s]"","""")"),"none")</f>
        <v>none</v>
      </c>
      <c r="H157" s="4" t="str">
        <f t="shared" si="1"/>
        <v>none</v>
      </c>
      <c r="I157" s="6">
        <f t="shared" si="2"/>
        <v>1</v>
      </c>
      <c r="J157" s="6">
        <f>IFERROR(__xludf.DUMMYFUNCTION("IF(H157="""","""",
SUM(
ARRAYFORMULA(
IF(
REGEXMATCH(
"" ""&amp;H157&amp;"" "",
"" ""&amp;Sentiment_Words!A$2:A3730&amp;"" ""
),
1,
0
)
)
)
)"),0.0)</f>
        <v>0</v>
      </c>
      <c r="K157" s="4">
        <f>IFERROR(__xludf.DUMMYFUNCTION("IF(H157="""","""",
SUM(
ARRAYFORMULA(
IF(
REGEXMATCH(
"" ""&amp;H157&amp;"" "",
"" ""&amp;Sentiment_Words!B$2:B3730&amp;"" ""
),
1,
0
)
)
)
)"),0.0)</f>
        <v>0</v>
      </c>
      <c r="L157" s="7" t="str">
        <f t="shared" si="3"/>
        <v>Other</v>
      </c>
      <c r="M157" s="7" t="str">
        <f t="shared" si="4"/>
        <v>Neutral</v>
      </c>
      <c r="N157" s="7" t="str">
        <f>IFERROR(__xludf.DUMMYFUNCTION("LOWER(
TRIM(
REGEXREPLACE(B157,""[^a-zA-Z\s]"","""")
)
)
"),"mark jackson")</f>
        <v>mark jackson</v>
      </c>
      <c r="O157" s="7">
        <f t="shared" si="5"/>
        <v>1</v>
      </c>
      <c r="P157" s="8" t="str">
        <f t="shared" si="6"/>
        <v>No</v>
      </c>
    </row>
    <row r="158">
      <c r="A158" s="4" t="s">
        <v>16</v>
      </c>
      <c r="B158" s="4" t="s">
        <v>490</v>
      </c>
      <c r="C158" s="9">
        <v>45049.0</v>
      </c>
      <c r="D158" s="5">
        <v>45065.0</v>
      </c>
      <c r="E158" s="4" t="s">
        <v>491</v>
      </c>
      <c r="F158" s="4" t="s">
        <v>331</v>
      </c>
      <c r="G158" s="6" t="str">
        <f>IFERROR(__xludf.DUMMYFUNCTION("REGEXREPLACE(LOWER(F158),""[^a-z\s]"","""")"),"none")</f>
        <v>none</v>
      </c>
      <c r="H158" s="4" t="str">
        <f t="shared" si="1"/>
        <v>none</v>
      </c>
      <c r="I158" s="6">
        <f t="shared" si="2"/>
        <v>1</v>
      </c>
      <c r="J158" s="6">
        <f>IFERROR(__xludf.DUMMYFUNCTION("IF(H158="""","""",
SUM(
ARRAYFORMULA(
IF(
REGEXMATCH(
"" ""&amp;H158&amp;"" "",
"" ""&amp;Sentiment_Words!A$2:A3730&amp;"" ""
),
1,
0
)
)
)
)"),0.0)</f>
        <v>0</v>
      </c>
      <c r="K158" s="4">
        <f>IFERROR(__xludf.DUMMYFUNCTION("IF(H158="""","""",
SUM(
ARRAYFORMULA(
IF(
REGEXMATCH(
"" ""&amp;H158&amp;"" "",
"" ""&amp;Sentiment_Words!B$2:B3730&amp;"" ""
),
1,
0
)
)
)
)"),0.0)</f>
        <v>0</v>
      </c>
      <c r="L158" s="7" t="str">
        <f t="shared" si="3"/>
        <v>Other</v>
      </c>
      <c r="M158" s="7" t="str">
        <f t="shared" si="4"/>
        <v>Neutral</v>
      </c>
      <c r="N158" s="7" t="str">
        <f>IFERROR(__xludf.DUMMYFUNCTION("LOWER(
TRIM(
REGEXREPLACE(B158,""[^a-zA-Z\s]"","""")
)
)
"),"margaret palmer")</f>
        <v>margaret palmer</v>
      </c>
      <c r="O158" s="7">
        <f t="shared" si="5"/>
        <v>1</v>
      </c>
      <c r="P158" s="8" t="str">
        <f t="shared" si="6"/>
        <v>No</v>
      </c>
    </row>
    <row r="159">
      <c r="A159" s="4" t="s">
        <v>16</v>
      </c>
      <c r="B159" s="4" t="s">
        <v>492</v>
      </c>
      <c r="C159" s="5">
        <v>45039.0</v>
      </c>
      <c r="D159" s="5">
        <v>45051.0</v>
      </c>
      <c r="E159" s="4" t="s">
        <v>493</v>
      </c>
      <c r="F159" s="4" t="s">
        <v>331</v>
      </c>
      <c r="G159" s="6" t="str">
        <f>IFERROR(__xludf.DUMMYFUNCTION("REGEXREPLACE(LOWER(F159),""[^a-z\s]"","""")"),"none")</f>
        <v>none</v>
      </c>
      <c r="H159" s="4" t="str">
        <f t="shared" si="1"/>
        <v>none</v>
      </c>
      <c r="I159" s="6">
        <f t="shared" si="2"/>
        <v>1</v>
      </c>
      <c r="J159" s="6">
        <f>IFERROR(__xludf.DUMMYFUNCTION("IF(H159="""","""",
SUM(
ARRAYFORMULA(
IF(
REGEXMATCH(
"" ""&amp;H159&amp;"" "",
"" ""&amp;Sentiment_Words!A$2:A3730&amp;"" ""
),
1,
0
)
)
)
)"),0.0)</f>
        <v>0</v>
      </c>
      <c r="K159" s="4">
        <f>IFERROR(__xludf.DUMMYFUNCTION("IF(H159="""","""",
SUM(
ARRAYFORMULA(
IF(
REGEXMATCH(
"" ""&amp;H159&amp;"" "",
"" ""&amp;Sentiment_Words!B$2:B3730&amp;"" ""
),
1,
0
)
)
)
)"),0.0)</f>
        <v>0</v>
      </c>
      <c r="L159" s="7" t="str">
        <f t="shared" si="3"/>
        <v>Other</v>
      </c>
      <c r="M159" s="7" t="str">
        <f t="shared" si="4"/>
        <v>Neutral</v>
      </c>
      <c r="N159" s="7" t="str">
        <f>IFERROR(__xludf.DUMMYFUNCTION("LOWER(
TRIM(
REGEXREPLACE(B159,""[^a-zA-Z\s]"","""")
)
)
"),"susan borland")</f>
        <v>susan borland</v>
      </c>
      <c r="O159" s="7">
        <f t="shared" si="5"/>
        <v>1</v>
      </c>
      <c r="P159" s="8" t="str">
        <f t="shared" si="6"/>
        <v>No</v>
      </c>
    </row>
    <row r="160">
      <c r="A160" s="4" t="s">
        <v>16</v>
      </c>
      <c r="B160" s="4" t="s">
        <v>494</v>
      </c>
      <c r="C160" s="5">
        <v>45042.0</v>
      </c>
      <c r="D160" s="5">
        <v>45055.0</v>
      </c>
      <c r="E160" s="4" t="s">
        <v>495</v>
      </c>
      <c r="F160" s="4" t="s">
        <v>331</v>
      </c>
      <c r="G160" s="6" t="str">
        <f>IFERROR(__xludf.DUMMYFUNCTION("REGEXREPLACE(LOWER(F160),""[^a-z\s]"","""")"),"none")</f>
        <v>none</v>
      </c>
      <c r="H160" s="4" t="str">
        <f t="shared" si="1"/>
        <v>none</v>
      </c>
      <c r="I160" s="6">
        <f t="shared" si="2"/>
        <v>1</v>
      </c>
      <c r="J160" s="6">
        <f>IFERROR(__xludf.DUMMYFUNCTION("IF(H160="""","""",
SUM(
ARRAYFORMULA(
IF(
REGEXMATCH(
"" ""&amp;H160&amp;"" "",
"" ""&amp;Sentiment_Words!A$2:A3730&amp;"" ""
),
1,
0
)
)
)
)"),0.0)</f>
        <v>0</v>
      </c>
      <c r="K160" s="4">
        <f>IFERROR(__xludf.DUMMYFUNCTION("IF(H160="""","""",
SUM(
ARRAYFORMULA(
IF(
REGEXMATCH(
"" ""&amp;H160&amp;"" "",
"" ""&amp;Sentiment_Words!B$2:B3730&amp;"" ""
),
1,
0
)
)
)
)"),0.0)</f>
        <v>0</v>
      </c>
      <c r="L160" s="7" t="str">
        <f t="shared" si="3"/>
        <v>Other</v>
      </c>
      <c r="M160" s="7" t="str">
        <f t="shared" si="4"/>
        <v>Neutral</v>
      </c>
      <c r="N160" s="7" t="str">
        <f>IFERROR(__xludf.DUMMYFUNCTION("LOWER(
TRIM(
REGEXREPLACE(B160,""[^a-zA-Z\s]"","""")
)
)
"),"tmot")</f>
        <v>tmot</v>
      </c>
      <c r="O160" s="7">
        <f t="shared" si="5"/>
        <v>1</v>
      </c>
      <c r="P160" s="8" t="str">
        <f t="shared" si="6"/>
        <v>No</v>
      </c>
    </row>
    <row r="161">
      <c r="A161" s="4" t="s">
        <v>16</v>
      </c>
      <c r="B161" s="4" t="s">
        <v>496</v>
      </c>
      <c r="C161" s="9">
        <v>45050.0</v>
      </c>
      <c r="D161" s="5">
        <v>45062.0</v>
      </c>
      <c r="E161" s="4" t="s">
        <v>497</v>
      </c>
      <c r="F161" s="4" t="s">
        <v>331</v>
      </c>
      <c r="G161" s="6" t="str">
        <f>IFERROR(__xludf.DUMMYFUNCTION("REGEXREPLACE(LOWER(F161),""[^a-z\s]"","""")"),"none")</f>
        <v>none</v>
      </c>
      <c r="H161" s="4" t="str">
        <f t="shared" si="1"/>
        <v>none</v>
      </c>
      <c r="I161" s="6">
        <f t="shared" si="2"/>
        <v>1</v>
      </c>
      <c r="J161" s="6">
        <f>IFERROR(__xludf.DUMMYFUNCTION("IF(H161="""","""",
SUM(
ARRAYFORMULA(
IF(
REGEXMATCH(
"" ""&amp;H161&amp;"" "",
"" ""&amp;Sentiment_Words!A$2:A3730&amp;"" ""
),
1,
0
)
)
)
)"),0.0)</f>
        <v>0</v>
      </c>
      <c r="K161" s="4">
        <f>IFERROR(__xludf.DUMMYFUNCTION("IF(H161="""","""",
SUM(
ARRAYFORMULA(
IF(
REGEXMATCH(
"" ""&amp;H161&amp;"" "",
"" ""&amp;Sentiment_Words!B$2:B3730&amp;"" ""
),
1,
0
)
)
)
)"),0.0)</f>
        <v>0</v>
      </c>
      <c r="L161" s="7" t="str">
        <f t="shared" si="3"/>
        <v>Other</v>
      </c>
      <c r="M161" s="7" t="str">
        <f t="shared" si="4"/>
        <v>Neutral</v>
      </c>
      <c r="N161" s="7" t="str">
        <f>IFERROR(__xludf.DUMMYFUNCTION("LOWER(
TRIM(
REGEXREPLACE(B161,""[^a-zA-Z\s]"","""")
)
)
"),"robert")</f>
        <v>robert</v>
      </c>
      <c r="O161" s="7">
        <f t="shared" si="5"/>
        <v>5</v>
      </c>
      <c r="P161" s="8" t="str">
        <f t="shared" si="6"/>
        <v>Yes</v>
      </c>
    </row>
    <row r="162">
      <c r="A162" s="4" t="s">
        <v>16</v>
      </c>
      <c r="B162" s="4" t="s">
        <v>498</v>
      </c>
      <c r="C162" s="5">
        <v>45034.0</v>
      </c>
      <c r="D162" s="5">
        <v>45047.0</v>
      </c>
      <c r="E162" s="4" t="s">
        <v>423</v>
      </c>
      <c r="F162" s="4" t="s">
        <v>499</v>
      </c>
      <c r="G162" s="6" t="str">
        <f>IFERROR(__xludf.DUMMYFUNCTION("REGEXREPLACE(LOWER(F162),""[^a-z\s]"","""")"),"fast shipping great fresh seed and the brands i use higgins")</f>
        <v>fast shipping great fresh seed and the brands i use higgins</v>
      </c>
      <c r="H162" s="4" t="str">
        <f t="shared" si="1"/>
        <v>fast shipping great fresh seed brands i use higgins</v>
      </c>
      <c r="I162" s="6">
        <f t="shared" si="2"/>
        <v>9</v>
      </c>
      <c r="J162" s="6">
        <f>IFERROR(__xludf.DUMMYFUNCTION("IF(H162="""","""",
SUM(
ARRAYFORMULA(
IF(
REGEXMATCH(
"" ""&amp;H162&amp;"" "",
"" ""&amp;Sentiment_Words!A$2:A3730&amp;"" ""
),
1,
0
)
)
)
)"),2.0)</f>
        <v>2</v>
      </c>
      <c r="K162" s="4">
        <f>IFERROR(__xludf.DUMMYFUNCTION("IF(H162="""","""",
SUM(
ARRAYFORMULA(
IF(
REGEXMATCH(
"" ""&amp;H162&amp;"" "",
"" ""&amp;Sentiment_Words!B$2:B3730&amp;"" ""
),
1,
0
)
)
)
)"),0.0)</f>
        <v>0</v>
      </c>
      <c r="L162" s="7" t="str">
        <f t="shared" si="3"/>
        <v>Other</v>
      </c>
      <c r="M162" s="7" t="str">
        <f t="shared" si="4"/>
        <v>Positive</v>
      </c>
      <c r="N162" s="7" t="str">
        <f>IFERROR(__xludf.DUMMYFUNCTION("LOWER(
TRIM(
REGEXREPLACE(B162,""[^a-zA-Z\s]"","""")
)
)
"),"andrea schultheis")</f>
        <v>andrea schultheis</v>
      </c>
      <c r="O162" s="7">
        <f t="shared" si="5"/>
        <v>1</v>
      </c>
      <c r="P162" s="8" t="str">
        <f t="shared" si="6"/>
        <v>No</v>
      </c>
    </row>
    <row r="163">
      <c r="A163" s="4" t="s">
        <v>16</v>
      </c>
      <c r="B163" s="4" t="s">
        <v>500</v>
      </c>
      <c r="C163" s="5">
        <v>45037.0</v>
      </c>
      <c r="D163" s="5">
        <v>45049.0</v>
      </c>
      <c r="E163" s="4" t="s">
        <v>501</v>
      </c>
      <c r="F163" s="4" t="s">
        <v>502</v>
      </c>
      <c r="G163" s="6" t="str">
        <f>IFERROR(__xludf.DUMMYFUNCTION("REGEXREPLACE(LOWER(F163),""[^a-z\s]"","""")"),"easy to place an order great prices and fast shipping")</f>
        <v>easy to place an order great prices and fast shipping</v>
      </c>
      <c r="H163" s="4" t="str">
        <f t="shared" si="1"/>
        <v>easy place an order great prices fast shipping</v>
      </c>
      <c r="I163" s="6">
        <f t="shared" si="2"/>
        <v>8</v>
      </c>
      <c r="J163" s="6">
        <f>IFERROR(__xludf.DUMMYFUNCTION("IF(H163="""","""",
SUM(
ARRAYFORMULA(
IF(
REGEXMATCH(
"" ""&amp;H163&amp;"" "",
"" ""&amp;Sentiment_Words!A$2:A3730&amp;"" ""
),
1,
0
)
)
)
)"),3.0)</f>
        <v>3</v>
      </c>
      <c r="K163" s="4">
        <f>IFERROR(__xludf.DUMMYFUNCTION("IF(H163="""","""",
SUM(
ARRAYFORMULA(
IF(
REGEXMATCH(
"" ""&amp;H163&amp;"" "",
"" ""&amp;Sentiment_Words!B$2:B3730&amp;"" ""
),
1,
0
)
)
)
)"),0.0)</f>
        <v>0</v>
      </c>
      <c r="L163" s="7" t="str">
        <f t="shared" si="3"/>
        <v>Other</v>
      </c>
      <c r="M163" s="7" t="str">
        <f t="shared" si="4"/>
        <v>Positive</v>
      </c>
      <c r="N163" s="7" t="str">
        <f>IFERROR(__xludf.DUMMYFUNCTION("LOWER(
TRIM(
REGEXREPLACE(B163,""[^a-zA-Z\s]"","""")
)
)
"),"janet")</f>
        <v>janet</v>
      </c>
      <c r="O163" s="7">
        <f t="shared" si="5"/>
        <v>2</v>
      </c>
      <c r="P163" s="8" t="str">
        <f t="shared" si="6"/>
        <v>Yes</v>
      </c>
    </row>
    <row r="164">
      <c r="A164" s="4" t="s">
        <v>16</v>
      </c>
      <c r="B164" s="4" t="s">
        <v>503</v>
      </c>
      <c r="C164" s="5">
        <v>45045.0</v>
      </c>
      <c r="D164" s="5">
        <v>45057.0</v>
      </c>
      <c r="E164" s="4" t="s">
        <v>504</v>
      </c>
      <c r="F164" s="4" t="s">
        <v>505</v>
      </c>
      <c r="G164" s="6" t="str">
        <f>IFERROR(__xludf.DUMMYFUNCTION("REGEXREPLACE(LOWER(F164),""[^a-z\s]"","""")"),"good customer service great prices")</f>
        <v>good customer service great prices</v>
      </c>
      <c r="H164" s="4" t="str">
        <f t="shared" si="1"/>
        <v>good customer service great prices</v>
      </c>
      <c r="I164" s="6">
        <f t="shared" si="2"/>
        <v>5</v>
      </c>
      <c r="J164" s="6">
        <f>IFERROR(__xludf.DUMMYFUNCTION("IF(H164="""","""",
SUM(
ARRAYFORMULA(
IF(
REGEXMATCH(
"" ""&amp;H164&amp;"" "",
"" ""&amp;Sentiment_Words!A$2:A3730&amp;"" ""
),
1,
0
)
)
)
)"),2.0)</f>
        <v>2</v>
      </c>
      <c r="K164" s="4">
        <f>IFERROR(__xludf.DUMMYFUNCTION("IF(H164="""","""",
SUM(
ARRAYFORMULA(
IF(
REGEXMATCH(
"" ""&amp;H164&amp;"" "",
"" ""&amp;Sentiment_Words!B$2:B3730&amp;"" ""
),
1,
0
)
)
)
)"),1.0)</f>
        <v>1</v>
      </c>
      <c r="L164" s="7" t="str">
        <f t="shared" si="3"/>
        <v>Customer Support</v>
      </c>
      <c r="M164" s="7" t="str">
        <f t="shared" si="4"/>
        <v>Positive</v>
      </c>
      <c r="N164" s="7" t="str">
        <f>IFERROR(__xludf.DUMMYFUNCTION("LOWER(
TRIM(
REGEXREPLACE(B164,""[^a-zA-Z\s]"","""")
)
)
"),"n luffey")</f>
        <v>n luffey</v>
      </c>
      <c r="O164" s="7">
        <f t="shared" si="5"/>
        <v>1</v>
      </c>
      <c r="P164" s="8" t="str">
        <f t="shared" si="6"/>
        <v>No</v>
      </c>
    </row>
    <row r="165">
      <c r="A165" s="4" t="s">
        <v>16</v>
      </c>
      <c r="B165" s="4" t="s">
        <v>56</v>
      </c>
      <c r="C165" s="5">
        <v>45045.0</v>
      </c>
      <c r="D165" s="5">
        <v>45064.0</v>
      </c>
      <c r="E165" s="4" t="s">
        <v>506</v>
      </c>
      <c r="F165" s="4" t="s">
        <v>507</v>
      </c>
      <c r="G165" s="6" t="str">
        <f>IFERROR(__xludf.DUMMYFUNCTION("REGEXREPLACE(LOWER(F165),""[^a-z\s]"","""")"),"i always get good service at a good price in a very good time")</f>
        <v>i always get good service at a good price in a very good time</v>
      </c>
      <c r="H165" s="4" t="str">
        <f t="shared" si="1"/>
        <v>i always get good service at a good price in a very good time</v>
      </c>
      <c r="I165" s="6">
        <f t="shared" si="2"/>
        <v>14</v>
      </c>
      <c r="J165" s="6">
        <f>IFERROR(__xludf.DUMMYFUNCTION("IF(H165="""","""",
SUM(
ARRAYFORMULA(
IF(
REGEXMATCH(
"" ""&amp;H165&amp;"" "",
"" ""&amp;Sentiment_Words!A$2:A3730&amp;"" ""
),
1,
0
)
)
)
)"),1.0)</f>
        <v>1</v>
      </c>
      <c r="K165" s="4">
        <f>IFERROR(__xludf.DUMMYFUNCTION("IF(H165="""","""",
SUM(
ARRAYFORMULA(
IF(
REGEXMATCH(
"" ""&amp;H165&amp;"" "",
"" ""&amp;Sentiment_Words!B$2:B3730&amp;"" ""
),
1,
0
)
)
)
)"),0.0)</f>
        <v>0</v>
      </c>
      <c r="L165" s="7" t="str">
        <f t="shared" si="3"/>
        <v>Customer Support</v>
      </c>
      <c r="M165" s="7" t="str">
        <f t="shared" si="4"/>
        <v>Positive</v>
      </c>
      <c r="N165" s="7" t="str">
        <f>IFERROR(__xludf.DUMMYFUNCTION("LOWER(
TRIM(
REGEXREPLACE(B165,""[^a-zA-Z\s]"","""")
)
)
"),"customer")</f>
        <v>customer</v>
      </c>
      <c r="O165" s="7">
        <f t="shared" si="5"/>
        <v>54</v>
      </c>
      <c r="P165" s="8" t="str">
        <f t="shared" si="6"/>
        <v>Yes</v>
      </c>
    </row>
    <row r="166">
      <c r="A166" s="4" t="s">
        <v>16</v>
      </c>
      <c r="B166" s="4" t="s">
        <v>508</v>
      </c>
      <c r="C166" s="5">
        <v>45040.0</v>
      </c>
      <c r="D166" s="5">
        <v>45052.0</v>
      </c>
      <c r="E166" s="4" t="s">
        <v>509</v>
      </c>
      <c r="F166" s="4" t="s">
        <v>510</v>
      </c>
      <c r="G166" s="6" t="str">
        <f>IFERROR(__xludf.DUMMYFUNCTION("REGEXREPLACE(LOWER(F166),""[^a-z\s]"","""")"),"good price on pigeon feed shipped with no damage")</f>
        <v>good price on pigeon feed shipped with no damage</v>
      </c>
      <c r="H166" s="4" t="str">
        <f t="shared" si="1"/>
        <v>good price on pigeon feed shipped with no damage</v>
      </c>
      <c r="I166" s="6">
        <f t="shared" si="2"/>
        <v>9</v>
      </c>
      <c r="J166" s="6">
        <f>IFERROR(__xludf.DUMMYFUNCTION("IF(H166="""","""",
SUM(
ARRAYFORMULA(
IF(
REGEXMATCH(
"" ""&amp;H166&amp;"" "",
"" ""&amp;Sentiment_Words!A$2:A3730&amp;"" ""
),
1,
0
)
)
)
)"),1.0)</f>
        <v>1</v>
      </c>
      <c r="K166" s="4">
        <f>IFERROR(__xludf.DUMMYFUNCTION("IF(H166="""","""",
SUM(
ARRAYFORMULA(
IF(
REGEXMATCH(
"" ""&amp;H166&amp;"" "",
"" ""&amp;Sentiment_Words!B$2:B3730&amp;"" ""
),
1,
0
)
)
)
)"),0.0)</f>
        <v>0</v>
      </c>
      <c r="L166" s="7" t="str">
        <f t="shared" si="3"/>
        <v>Other</v>
      </c>
      <c r="M166" s="7" t="str">
        <f t="shared" si="4"/>
        <v>Positive</v>
      </c>
      <c r="N166" s="7" t="str">
        <f>IFERROR(__xludf.DUMMYFUNCTION("LOWER(
TRIM(
REGEXREPLACE(B166,""[^a-zA-Z\s]"","""")
)
)
"),"otmane hattani")</f>
        <v>otmane hattani</v>
      </c>
      <c r="O166" s="7">
        <f t="shared" si="5"/>
        <v>1</v>
      </c>
      <c r="P166" s="8" t="str">
        <f t="shared" si="6"/>
        <v>No</v>
      </c>
    </row>
    <row r="167">
      <c r="A167" s="4" t="s">
        <v>16</v>
      </c>
      <c r="B167" s="4" t="s">
        <v>511</v>
      </c>
      <c r="C167" s="5">
        <v>45037.0</v>
      </c>
      <c r="D167" s="5">
        <v>45049.0</v>
      </c>
      <c r="E167" s="4" t="s">
        <v>512</v>
      </c>
      <c r="F167" s="4" t="s">
        <v>513</v>
      </c>
      <c r="G167" s="6" t="str">
        <f>IFERROR(__xludf.DUMMYFUNCTION("REGEXREPLACE(LOWER(F167),""[^a-z\s]"","""")"),"company is affordable and customer service is exceptional")</f>
        <v>company is affordable and customer service is exceptional</v>
      </c>
      <c r="H167" s="4" t="str">
        <f t="shared" si="1"/>
        <v>company affordable customer service exceptional</v>
      </c>
      <c r="I167" s="6">
        <f t="shared" si="2"/>
        <v>5</v>
      </c>
      <c r="J167" s="6">
        <f>IFERROR(__xludf.DUMMYFUNCTION("IF(H167="""","""",
SUM(
ARRAYFORMULA(
IF(
REGEXMATCH(
"" ""&amp;H167&amp;"" "",
"" ""&amp;Sentiment_Words!A$2:A3730&amp;"" ""
),
1,
0
)
)
)
)"),1.0)</f>
        <v>1</v>
      </c>
      <c r="K167" s="4">
        <f>IFERROR(__xludf.DUMMYFUNCTION("IF(H167="""","""",
SUM(
ARRAYFORMULA(
IF(
REGEXMATCH(
"" ""&amp;H167&amp;"" "",
"" ""&amp;Sentiment_Words!B$2:B3730&amp;"" ""
),
1,
0
)
)
)
)"),1.0)</f>
        <v>1</v>
      </c>
      <c r="L167" s="7" t="str">
        <f t="shared" si="3"/>
        <v>Customer Support</v>
      </c>
      <c r="M167" s="7" t="str">
        <f t="shared" si="4"/>
        <v>Neutral</v>
      </c>
      <c r="N167" s="7" t="str">
        <f>IFERROR(__xludf.DUMMYFUNCTION("LOWER(
TRIM(
REGEXREPLACE(B167,""[^a-zA-Z\s]"","""")
)
)
"),"kenneth")</f>
        <v>kenneth</v>
      </c>
      <c r="O167" s="7">
        <f t="shared" si="5"/>
        <v>1</v>
      </c>
      <c r="P167" s="8" t="str">
        <f t="shared" si="6"/>
        <v>No</v>
      </c>
    </row>
    <row r="168">
      <c r="A168" s="4" t="s">
        <v>16</v>
      </c>
      <c r="B168" s="4" t="s">
        <v>514</v>
      </c>
      <c r="C168" s="5">
        <v>45034.0</v>
      </c>
      <c r="D168" s="10">
        <v>45046.0</v>
      </c>
      <c r="E168" s="4" t="s">
        <v>515</v>
      </c>
      <c r="F168" s="4" t="s">
        <v>516</v>
      </c>
      <c r="G168" s="6" t="str">
        <f>IFERROR(__xludf.DUMMYFUNCTION("REGEXREPLACE(LOWER(F168),""[^a-z\s]"","""")"),"everything was perfect thank you")</f>
        <v>everything was perfect thank you</v>
      </c>
      <c r="H168" s="4" t="str">
        <f t="shared" si="1"/>
        <v>everything was perfect thank you</v>
      </c>
      <c r="I168" s="6">
        <f t="shared" si="2"/>
        <v>5</v>
      </c>
      <c r="J168" s="6">
        <f>IFERROR(__xludf.DUMMYFUNCTION("IF(H168="""","""",
SUM(
ARRAYFORMULA(
IF(
REGEXMATCH(
"" ""&amp;H168&amp;"" "",
"" ""&amp;Sentiment_Words!A$2:A3730&amp;"" ""
),
1,
0
)
)
)
)"),0.0)</f>
        <v>0</v>
      </c>
      <c r="K168" s="4">
        <f>IFERROR(__xludf.DUMMYFUNCTION("IF(H168="""","""",
SUM(
ARRAYFORMULA(
IF(
REGEXMATCH(
"" ""&amp;H168&amp;"" "",
"" ""&amp;Sentiment_Words!B$2:B3730&amp;"" ""
),
1,
0
)
)
)
)"),0.0)</f>
        <v>0</v>
      </c>
      <c r="L168" s="7" t="str">
        <f t="shared" si="3"/>
        <v>Other</v>
      </c>
      <c r="M168" s="7" t="str">
        <f t="shared" si="4"/>
        <v>Neutral</v>
      </c>
      <c r="N168" s="7" t="str">
        <f>IFERROR(__xludf.DUMMYFUNCTION("LOWER(
TRIM(
REGEXREPLACE(B168,""[^a-zA-Z\s]"","""")
)
)
"),"john kimber")</f>
        <v>john kimber</v>
      </c>
      <c r="O168" s="7">
        <f t="shared" si="5"/>
        <v>1</v>
      </c>
      <c r="P168" s="8" t="str">
        <f t="shared" si="6"/>
        <v>No</v>
      </c>
    </row>
    <row r="169">
      <c r="A169" s="4" t="s">
        <v>16</v>
      </c>
      <c r="B169" s="4" t="s">
        <v>517</v>
      </c>
      <c r="C169" s="9">
        <v>45052.0</v>
      </c>
      <c r="D169" s="4" t="s">
        <v>50</v>
      </c>
      <c r="E169" s="4" t="s">
        <v>518</v>
      </c>
      <c r="F169" s="4" t="s">
        <v>519</v>
      </c>
      <c r="G169" s="6" t="str">
        <f>IFERROR(__xludf.DUMMYFUNCTION("REGEXREPLACE(LOWER(F169),""[^a-z\s]"","""")"),"great prices prompt delivery")</f>
        <v>great prices prompt delivery</v>
      </c>
      <c r="H169" s="4" t="str">
        <f t="shared" si="1"/>
        <v>great prices prompt delivery</v>
      </c>
      <c r="I169" s="6">
        <f t="shared" si="2"/>
        <v>4</v>
      </c>
      <c r="J169" s="6">
        <f>IFERROR(__xludf.DUMMYFUNCTION("IF(H169="""","""",
SUM(
ARRAYFORMULA(
IF(
REGEXMATCH(
"" ""&amp;H169&amp;"" "",
"" ""&amp;Sentiment_Words!A$2:A3730&amp;"" ""
),
1,
0
)
)
)
)"),2.0)</f>
        <v>2</v>
      </c>
      <c r="K169" s="4">
        <f>IFERROR(__xludf.DUMMYFUNCTION("IF(H169="""","""",
SUM(
ARRAYFORMULA(
IF(
REGEXMATCH(
"" ""&amp;H169&amp;"" "",
"" ""&amp;Sentiment_Words!B$2:B3730&amp;"" ""
),
1,
0
)
)
)
)"),0.0)</f>
        <v>0</v>
      </c>
      <c r="L169" s="7" t="str">
        <f t="shared" si="3"/>
        <v>Other</v>
      </c>
      <c r="M169" s="7" t="str">
        <f t="shared" si="4"/>
        <v>Positive</v>
      </c>
      <c r="N169" s="7" t="str">
        <f>IFERROR(__xludf.DUMMYFUNCTION("LOWER(
TRIM(
REGEXREPLACE(B169,""[^a-zA-Z\s]"","""")
)
)
"),"jackie frascatore")</f>
        <v>jackie frascatore</v>
      </c>
      <c r="O169" s="7">
        <f t="shared" si="5"/>
        <v>1</v>
      </c>
      <c r="P169" s="8" t="str">
        <f t="shared" si="6"/>
        <v>No</v>
      </c>
    </row>
    <row r="170">
      <c r="A170" s="4" t="s">
        <v>16</v>
      </c>
      <c r="B170" s="4" t="s">
        <v>520</v>
      </c>
      <c r="C170" s="9">
        <v>45049.0</v>
      </c>
      <c r="D170" s="5">
        <v>45061.0</v>
      </c>
      <c r="E170" s="4" t="s">
        <v>521</v>
      </c>
      <c r="F170" s="4" t="s">
        <v>522</v>
      </c>
      <c r="G170" s="6" t="str">
        <f>IFERROR(__xludf.DUMMYFUNCTION("REGEXREPLACE(LOWER(F170),""[^a-z\s]"","""")"),"ordered and you didnt have in stock still waiting")</f>
        <v>ordered and you didnt have in stock still waiting</v>
      </c>
      <c r="H170" s="4" t="str">
        <f t="shared" si="1"/>
        <v>ordered you didnt have in stock still waiting</v>
      </c>
      <c r="I170" s="6">
        <f t="shared" si="2"/>
        <v>8</v>
      </c>
      <c r="J170" s="6">
        <f>IFERROR(__xludf.DUMMYFUNCTION("IF(H170="""","""",
SUM(
ARRAYFORMULA(
IF(
REGEXMATCH(
"" ""&amp;H170&amp;"" "",
"" ""&amp;Sentiment_Words!A$2:A3730&amp;"" ""
),
1,
0
)
)
)
)"),0.0)</f>
        <v>0</v>
      </c>
      <c r="K170" s="4">
        <f>IFERROR(__xludf.DUMMYFUNCTION("IF(H170="""","""",
SUM(
ARRAYFORMULA(
IF(
REGEXMATCH(
"" ""&amp;H170&amp;"" "",
"" ""&amp;Sentiment_Words!B$2:B3730&amp;"" ""
),
1,
0
)
)
)
)"),0.0)</f>
        <v>0</v>
      </c>
      <c r="L170" s="7" t="str">
        <f t="shared" si="3"/>
        <v>Other</v>
      </c>
      <c r="M170" s="7" t="str">
        <f t="shared" si="4"/>
        <v>Neutral</v>
      </c>
      <c r="N170" s="7" t="str">
        <f>IFERROR(__xludf.DUMMYFUNCTION("LOWER(
TRIM(
REGEXREPLACE(B170,""[^a-zA-Z\s]"","""")
)
)
"),"john wu")</f>
        <v>john wu</v>
      </c>
      <c r="O170" s="7">
        <f t="shared" si="5"/>
        <v>1</v>
      </c>
      <c r="P170" s="8" t="str">
        <f t="shared" si="6"/>
        <v>No</v>
      </c>
    </row>
    <row r="171">
      <c r="A171" s="4" t="s">
        <v>16</v>
      </c>
      <c r="B171" s="4" t="s">
        <v>523</v>
      </c>
      <c r="C171" s="5">
        <v>45039.0</v>
      </c>
      <c r="D171" s="5">
        <v>45051.0</v>
      </c>
      <c r="E171" s="4" t="s">
        <v>524</v>
      </c>
      <c r="F171" s="4" t="s">
        <v>525</v>
      </c>
      <c r="G171" s="6" t="str">
        <f>IFERROR(__xludf.DUMMYFUNCTION("REGEXREPLACE(LOWER(F171),""[^a-z\s]"","""")"),"easy to order at a fair price for this day and age")</f>
        <v>easy to order at a fair price for this day and age</v>
      </c>
      <c r="H171" s="4" t="str">
        <f t="shared" si="1"/>
        <v>easy order at a fair price this day age</v>
      </c>
      <c r="I171" s="6">
        <f t="shared" si="2"/>
        <v>9</v>
      </c>
      <c r="J171" s="6">
        <f>IFERROR(__xludf.DUMMYFUNCTION("IF(H171="""","""",
SUM(
ARRAYFORMULA(
IF(
REGEXMATCH(
"" ""&amp;H171&amp;"" "",
"" ""&amp;Sentiment_Words!A$2:A3730&amp;"" ""
),
1,
0
)
)
)
)"),1.0)</f>
        <v>1</v>
      </c>
      <c r="K171" s="4">
        <f>IFERROR(__xludf.DUMMYFUNCTION("IF(H171="""","""",
SUM(
ARRAYFORMULA(
IF(
REGEXMATCH(
"" ""&amp;H171&amp;"" "",
"" ""&amp;Sentiment_Words!B$2:B3730&amp;"" ""
),
1,
0
)
)
)
)"),0.0)</f>
        <v>0</v>
      </c>
      <c r="L171" s="7" t="str">
        <f t="shared" si="3"/>
        <v>Other</v>
      </c>
      <c r="M171" s="7" t="str">
        <f t="shared" si="4"/>
        <v>Positive</v>
      </c>
      <c r="N171" s="7" t="str">
        <f>IFERROR(__xludf.DUMMYFUNCTION("LOWER(
TRIM(
REGEXREPLACE(B171,""[^a-zA-Z\s]"","""")
)
)
"),"richard nuzman")</f>
        <v>richard nuzman</v>
      </c>
      <c r="O171" s="7">
        <f t="shared" si="5"/>
        <v>1</v>
      </c>
      <c r="P171" s="8" t="str">
        <f t="shared" si="6"/>
        <v>No</v>
      </c>
    </row>
    <row r="172">
      <c r="A172" s="4" t="s">
        <v>16</v>
      </c>
      <c r="B172" s="4" t="s">
        <v>526</v>
      </c>
      <c r="C172" s="9">
        <v>45048.0</v>
      </c>
      <c r="D172" s="5">
        <v>45060.0</v>
      </c>
      <c r="E172" s="4" t="s">
        <v>527</v>
      </c>
      <c r="F172" s="4" t="s">
        <v>528</v>
      </c>
      <c r="G172" s="6" t="str">
        <f>IFERROR(__xludf.DUMMYFUNCTION("REGEXREPLACE(LOWER(F172),""[^a-z\s]"","""")"),"easy to place order delivered on time")</f>
        <v>easy to place order delivered on time</v>
      </c>
      <c r="H172" s="4" t="str">
        <f t="shared" si="1"/>
        <v>easy place order delivered on time</v>
      </c>
      <c r="I172" s="6">
        <f t="shared" si="2"/>
        <v>6</v>
      </c>
      <c r="J172" s="6">
        <f>IFERROR(__xludf.DUMMYFUNCTION("IF(H172="""","""",
SUM(
ARRAYFORMULA(
IF(
REGEXMATCH(
"" ""&amp;H172&amp;"" "",
"" ""&amp;Sentiment_Words!A$2:A3730&amp;"" ""
),
1,
0
)
)
)
)"),3.0)</f>
        <v>3</v>
      </c>
      <c r="K172" s="4">
        <f>IFERROR(__xludf.DUMMYFUNCTION("IF(H172="""","""",
SUM(
ARRAYFORMULA(
IF(
REGEXMATCH(
"" ""&amp;H172&amp;"" "",
"" ""&amp;Sentiment_Words!B$2:B3730&amp;"" ""
),
1,
0
)
)
)
)"),0.0)</f>
        <v>0</v>
      </c>
      <c r="L172" s="7" t="str">
        <f t="shared" si="3"/>
        <v>Other</v>
      </c>
      <c r="M172" s="7" t="str">
        <f t="shared" si="4"/>
        <v>Positive</v>
      </c>
      <c r="N172" s="7" t="str">
        <f>IFERROR(__xludf.DUMMYFUNCTION("LOWER(
TRIM(
REGEXREPLACE(B172,""[^a-zA-Z\s]"","""")
)
)
"),"wanda harris")</f>
        <v>wanda harris</v>
      </c>
      <c r="O172" s="7">
        <f t="shared" si="5"/>
        <v>1</v>
      </c>
      <c r="P172" s="8" t="str">
        <f t="shared" si="6"/>
        <v>No</v>
      </c>
    </row>
    <row r="173">
      <c r="A173" s="4" t="s">
        <v>16</v>
      </c>
      <c r="B173" s="4" t="s">
        <v>529</v>
      </c>
      <c r="C173" s="5">
        <v>45043.0</v>
      </c>
      <c r="D173" s="5">
        <v>45055.0</v>
      </c>
      <c r="E173" s="4" t="s">
        <v>530</v>
      </c>
      <c r="F173" s="4" t="s">
        <v>531</v>
      </c>
      <c r="G173" s="6" t="str">
        <f>IFERROR(__xludf.DUMMYFUNCTION("REGEXREPLACE(LOWER(F173),""[^a-z\s]"","""")"),"good price timely delivery")</f>
        <v>good price timely delivery</v>
      </c>
      <c r="H173" s="4" t="str">
        <f t="shared" si="1"/>
        <v>good price timely delivery</v>
      </c>
      <c r="I173" s="6">
        <f t="shared" si="2"/>
        <v>4</v>
      </c>
      <c r="J173" s="6">
        <f>IFERROR(__xludf.DUMMYFUNCTION("IF(H173="""","""",
SUM(
ARRAYFORMULA(
IF(
REGEXMATCH(
"" ""&amp;H173&amp;"" "",
"" ""&amp;Sentiment_Words!A$2:A3730&amp;"" ""
),
1,
0
)
)
)
)"),1.0)</f>
        <v>1</v>
      </c>
      <c r="K173" s="4">
        <f>IFERROR(__xludf.DUMMYFUNCTION("IF(H173="""","""",
SUM(
ARRAYFORMULA(
IF(
REGEXMATCH(
"" ""&amp;H173&amp;"" "",
"" ""&amp;Sentiment_Words!B$2:B3730&amp;"" ""
),
1,
0
)
)
)
)"),0.0)</f>
        <v>0</v>
      </c>
      <c r="L173" s="7" t="str">
        <f t="shared" si="3"/>
        <v>Other</v>
      </c>
      <c r="M173" s="7" t="str">
        <f t="shared" si="4"/>
        <v>Positive</v>
      </c>
      <c r="N173" s="7" t="str">
        <f>IFERROR(__xludf.DUMMYFUNCTION("LOWER(
TRIM(
REGEXREPLACE(B173,""[^a-zA-Z\s]"","""")
)
)
"),"harold talbot")</f>
        <v>harold talbot</v>
      </c>
      <c r="O173" s="7">
        <f t="shared" si="5"/>
        <v>1</v>
      </c>
      <c r="P173" s="8" t="str">
        <f t="shared" si="6"/>
        <v>No</v>
      </c>
    </row>
    <row r="174">
      <c r="A174" s="4" t="s">
        <v>16</v>
      </c>
      <c r="B174" s="4" t="s">
        <v>532</v>
      </c>
      <c r="C174" s="5">
        <v>45039.0</v>
      </c>
      <c r="D174" s="5">
        <v>45052.0</v>
      </c>
      <c r="E174" s="4" t="s">
        <v>533</v>
      </c>
      <c r="F174" s="4" t="s">
        <v>534</v>
      </c>
      <c r="G174" s="6" t="str">
        <f>IFERROR(__xludf.DUMMYFUNCTION("REGEXREPLACE(LOWER(F174),""[^a-z\s]"","""")"),"they get my stuff i ordered to me within a few days")</f>
        <v>they get my stuff i ordered to me within a few days</v>
      </c>
      <c r="H174" s="4" t="str">
        <f t="shared" si="1"/>
        <v>they get my stuff i ordered me within a few days</v>
      </c>
      <c r="I174" s="6">
        <f t="shared" si="2"/>
        <v>11</v>
      </c>
      <c r="J174" s="6">
        <f>IFERROR(__xludf.DUMMYFUNCTION("IF(H174="""","""",
SUM(
ARRAYFORMULA(
IF(
REGEXMATCH(
"" ""&amp;H174&amp;"" "",
"" ""&amp;Sentiment_Words!A$2:A3730&amp;"" ""
),
1,
0
)
)
)
)"),0.0)</f>
        <v>0</v>
      </c>
      <c r="K174" s="4">
        <f>IFERROR(__xludf.DUMMYFUNCTION("IF(H174="""","""",
SUM(
ARRAYFORMULA(
IF(
REGEXMATCH(
"" ""&amp;H174&amp;"" "",
"" ""&amp;Sentiment_Words!B$2:B3730&amp;"" ""
),
1,
0
)
)
)
)"),0.0)</f>
        <v>0</v>
      </c>
      <c r="L174" s="7" t="str">
        <f t="shared" si="3"/>
        <v>Other</v>
      </c>
      <c r="M174" s="7" t="str">
        <f t="shared" si="4"/>
        <v>Neutral</v>
      </c>
      <c r="N174" s="7" t="str">
        <f>IFERROR(__xludf.DUMMYFUNCTION("LOWER(
TRIM(
REGEXREPLACE(B174,""[^a-zA-Z\s]"","""")
)
)
"),"dianne")</f>
        <v>dianne</v>
      </c>
      <c r="O174" s="7">
        <f t="shared" si="5"/>
        <v>1</v>
      </c>
      <c r="P174" s="8" t="str">
        <f t="shared" si="6"/>
        <v>No</v>
      </c>
    </row>
    <row r="175">
      <c r="A175" s="4" t="s">
        <v>16</v>
      </c>
      <c r="B175" s="4" t="s">
        <v>535</v>
      </c>
      <c r="C175" s="5">
        <v>45033.0</v>
      </c>
      <c r="D175" s="5">
        <v>45048.0</v>
      </c>
      <c r="E175" s="4" t="s">
        <v>536</v>
      </c>
      <c r="F175" s="4" t="s">
        <v>537</v>
      </c>
      <c r="G175" s="6" t="str">
        <f>IFERROR(__xludf.DUMMYFUNCTION("REGEXREPLACE(LOWER(F175),""[^a-z\s]"","""")"),"love the product very fast serviceshipping")</f>
        <v>love the product very fast serviceshipping</v>
      </c>
      <c r="H175" s="4" t="str">
        <f t="shared" si="1"/>
        <v>love product very fast serviceshipping</v>
      </c>
      <c r="I175" s="6">
        <f t="shared" si="2"/>
        <v>5</v>
      </c>
      <c r="J175" s="6">
        <f>IFERROR(__xludf.DUMMYFUNCTION("IF(H175="""","""",
SUM(
ARRAYFORMULA(
IF(
REGEXMATCH(
"" ""&amp;H175&amp;"" "",
"" ""&amp;Sentiment_Words!A$2:A3730&amp;"" ""
),
1,
0
)
)
)
)"),2.0)</f>
        <v>2</v>
      </c>
      <c r="K175" s="4">
        <f>IFERROR(__xludf.DUMMYFUNCTION("IF(H175="""","""",
SUM(
ARRAYFORMULA(
IF(
REGEXMATCH(
"" ""&amp;H175&amp;"" "",
"" ""&amp;Sentiment_Words!B$2:B3730&amp;"" ""
),
1,
0
)
)
)
)"),0.0)</f>
        <v>0</v>
      </c>
      <c r="L175" s="7" t="str">
        <f t="shared" si="3"/>
        <v>Customer Support</v>
      </c>
      <c r="M175" s="7" t="str">
        <f t="shared" si="4"/>
        <v>Positive</v>
      </c>
      <c r="N175" s="7" t="str">
        <f>IFERROR(__xludf.DUMMYFUNCTION("LOWER(
TRIM(
REGEXREPLACE(B175,""[^a-zA-Z\s]"","""")
)
)
"),"donna peterson")</f>
        <v>donna peterson</v>
      </c>
      <c r="O175" s="7">
        <f t="shared" si="5"/>
        <v>1</v>
      </c>
      <c r="P175" s="8" t="str">
        <f t="shared" si="6"/>
        <v>No</v>
      </c>
    </row>
    <row r="176">
      <c r="A176" s="4" t="s">
        <v>16</v>
      </c>
      <c r="B176" s="4" t="s">
        <v>538</v>
      </c>
      <c r="C176" s="5">
        <v>45036.0</v>
      </c>
      <c r="D176" s="5">
        <v>45048.0</v>
      </c>
      <c r="E176" s="4" t="s">
        <v>539</v>
      </c>
      <c r="F176" s="4" t="s">
        <v>540</v>
      </c>
      <c r="G176" s="6" t="str">
        <f>IFERROR(__xludf.DUMMYFUNCTION("REGEXREPLACE(LOWER(F176),""[^a-z\s]"","""")"),"like always quick and reliable")</f>
        <v>like always quick and reliable</v>
      </c>
      <c r="H176" s="4" t="str">
        <f t="shared" si="1"/>
        <v>like always quick reliable</v>
      </c>
      <c r="I176" s="6">
        <f t="shared" si="2"/>
        <v>4</v>
      </c>
      <c r="J176" s="6">
        <f>IFERROR(__xludf.DUMMYFUNCTION("IF(H176="""","""",
SUM(
ARRAYFORMULA(
IF(
REGEXMATCH(
"" ""&amp;H176&amp;"" "",
"" ""&amp;Sentiment_Words!A$2:A3730&amp;"" ""
),
1,
0
)
)
)
)"),1.0)</f>
        <v>1</v>
      </c>
      <c r="K176" s="4">
        <f>IFERROR(__xludf.DUMMYFUNCTION("IF(H176="""","""",
SUM(
ARRAYFORMULA(
IF(
REGEXMATCH(
"" ""&amp;H176&amp;"" "",
"" ""&amp;Sentiment_Words!B$2:B3730&amp;"" ""
),
1,
0
)
)
)
)"),0.0)</f>
        <v>0</v>
      </c>
      <c r="L176" s="7" t="str">
        <f t="shared" si="3"/>
        <v>Other</v>
      </c>
      <c r="M176" s="7" t="str">
        <f t="shared" si="4"/>
        <v>Positive</v>
      </c>
      <c r="N176" s="7" t="str">
        <f>IFERROR(__xludf.DUMMYFUNCTION("LOWER(
TRIM(
REGEXREPLACE(B176,""[^a-zA-Z\s]"","""")
)
)
"),"drgsd")</f>
        <v>drgsd</v>
      </c>
      <c r="O176" s="7">
        <f t="shared" si="5"/>
        <v>1</v>
      </c>
      <c r="P176" s="8" t="str">
        <f t="shared" si="6"/>
        <v>No</v>
      </c>
    </row>
    <row r="177">
      <c r="A177" s="4" t="s">
        <v>16</v>
      </c>
      <c r="B177" s="4" t="s">
        <v>541</v>
      </c>
      <c r="C177" s="5">
        <v>45058.0</v>
      </c>
      <c r="D177" s="4" t="s">
        <v>74</v>
      </c>
      <c r="E177" s="4" t="s">
        <v>542</v>
      </c>
      <c r="F177" s="4" t="s">
        <v>331</v>
      </c>
      <c r="G177" s="6" t="str">
        <f>IFERROR(__xludf.DUMMYFUNCTION("REGEXREPLACE(LOWER(F177),""[^a-z\s]"","""")"),"none")</f>
        <v>none</v>
      </c>
      <c r="H177" s="4" t="str">
        <f t="shared" si="1"/>
        <v>none</v>
      </c>
      <c r="I177" s="6">
        <f t="shared" si="2"/>
        <v>1</v>
      </c>
      <c r="J177" s="6">
        <f>IFERROR(__xludf.DUMMYFUNCTION("IF(H177="""","""",
SUM(
ARRAYFORMULA(
IF(
REGEXMATCH(
"" ""&amp;H177&amp;"" "",
"" ""&amp;Sentiment_Words!A$2:A3730&amp;"" ""
),
1,
0
)
)
)
)"),0.0)</f>
        <v>0</v>
      </c>
      <c r="K177" s="4">
        <f>IFERROR(__xludf.DUMMYFUNCTION("IF(H177="""","""",
SUM(
ARRAYFORMULA(
IF(
REGEXMATCH(
"" ""&amp;H177&amp;"" "",
"" ""&amp;Sentiment_Words!B$2:B3730&amp;"" ""
),
1,
0
)
)
)
)"),0.0)</f>
        <v>0</v>
      </c>
      <c r="L177" s="7" t="str">
        <f t="shared" si="3"/>
        <v>Other</v>
      </c>
      <c r="M177" s="7" t="str">
        <f t="shared" si="4"/>
        <v>Neutral</v>
      </c>
      <c r="N177" s="7" t="str">
        <f>IFERROR(__xludf.DUMMYFUNCTION("LOWER(
TRIM(
REGEXREPLACE(B177,""[^a-zA-Z\s]"","""")
)
)
"),"mina seymour")</f>
        <v>mina seymour</v>
      </c>
      <c r="O177" s="7">
        <f t="shared" si="5"/>
        <v>1</v>
      </c>
      <c r="P177" s="8" t="str">
        <f t="shared" si="6"/>
        <v>No</v>
      </c>
    </row>
    <row r="178">
      <c r="A178" s="4" t="s">
        <v>16</v>
      </c>
      <c r="B178" s="4" t="s">
        <v>543</v>
      </c>
      <c r="C178" s="5">
        <v>45039.0</v>
      </c>
      <c r="D178" s="5">
        <v>45052.0</v>
      </c>
      <c r="E178" s="4" t="s">
        <v>544</v>
      </c>
      <c r="F178" s="4" t="s">
        <v>331</v>
      </c>
      <c r="G178" s="6" t="str">
        <f>IFERROR(__xludf.DUMMYFUNCTION("REGEXREPLACE(LOWER(F178),""[^a-z\s]"","""")"),"none")</f>
        <v>none</v>
      </c>
      <c r="H178" s="4" t="str">
        <f t="shared" si="1"/>
        <v>none</v>
      </c>
      <c r="I178" s="6">
        <f t="shared" si="2"/>
        <v>1</v>
      </c>
      <c r="J178" s="6">
        <f>IFERROR(__xludf.DUMMYFUNCTION("IF(H178="""","""",
SUM(
ARRAYFORMULA(
IF(
REGEXMATCH(
"" ""&amp;H178&amp;"" "",
"" ""&amp;Sentiment_Words!A$2:A3730&amp;"" ""
),
1,
0
)
)
)
)"),0.0)</f>
        <v>0</v>
      </c>
      <c r="K178" s="4">
        <f>IFERROR(__xludf.DUMMYFUNCTION("IF(H178="""","""",
SUM(
ARRAYFORMULA(
IF(
REGEXMATCH(
"" ""&amp;H178&amp;"" "",
"" ""&amp;Sentiment_Words!B$2:B3730&amp;"" ""
),
1,
0
)
)
)
)"),0.0)</f>
        <v>0</v>
      </c>
      <c r="L178" s="7" t="str">
        <f t="shared" si="3"/>
        <v>Other</v>
      </c>
      <c r="M178" s="7" t="str">
        <f t="shared" si="4"/>
        <v>Neutral</v>
      </c>
      <c r="N178" s="7" t="str">
        <f>IFERROR(__xludf.DUMMYFUNCTION("LOWER(
TRIM(
REGEXREPLACE(B178,""[^a-zA-Z\s]"","""")
)
)
"),"ellen ennis")</f>
        <v>ellen ennis</v>
      </c>
      <c r="O178" s="7">
        <f t="shared" si="5"/>
        <v>1</v>
      </c>
      <c r="P178" s="8" t="str">
        <f t="shared" si="6"/>
        <v>No</v>
      </c>
    </row>
    <row r="179">
      <c r="A179" s="4" t="s">
        <v>16</v>
      </c>
      <c r="B179" s="4" t="s">
        <v>545</v>
      </c>
      <c r="C179" s="5">
        <v>45034.0</v>
      </c>
      <c r="D179" s="10">
        <v>45046.0</v>
      </c>
      <c r="E179" s="4" t="s">
        <v>546</v>
      </c>
      <c r="F179" s="4" t="s">
        <v>331</v>
      </c>
      <c r="G179" s="6" t="str">
        <f>IFERROR(__xludf.DUMMYFUNCTION("REGEXREPLACE(LOWER(F179),""[^a-z\s]"","""")"),"none")</f>
        <v>none</v>
      </c>
      <c r="H179" s="4" t="str">
        <f t="shared" si="1"/>
        <v>none</v>
      </c>
      <c r="I179" s="6">
        <f t="shared" si="2"/>
        <v>1</v>
      </c>
      <c r="J179" s="6">
        <f>IFERROR(__xludf.DUMMYFUNCTION("IF(H179="""","""",
SUM(
ARRAYFORMULA(
IF(
REGEXMATCH(
"" ""&amp;H179&amp;"" "",
"" ""&amp;Sentiment_Words!A$2:A3730&amp;"" ""
),
1,
0
)
)
)
)"),0.0)</f>
        <v>0</v>
      </c>
      <c r="K179" s="4">
        <f>IFERROR(__xludf.DUMMYFUNCTION("IF(H179="""","""",
SUM(
ARRAYFORMULA(
IF(
REGEXMATCH(
"" ""&amp;H179&amp;"" "",
"" ""&amp;Sentiment_Words!B$2:B3730&amp;"" ""
),
1,
0
)
)
)
)"),0.0)</f>
        <v>0</v>
      </c>
      <c r="L179" s="7" t="str">
        <f t="shared" si="3"/>
        <v>Other</v>
      </c>
      <c r="M179" s="7" t="str">
        <f t="shared" si="4"/>
        <v>Neutral</v>
      </c>
      <c r="N179" s="7" t="str">
        <f>IFERROR(__xludf.DUMMYFUNCTION("LOWER(
TRIM(
REGEXREPLACE(B179,""[^a-zA-Z\s]"","""")
)
)
"),"ronda daus")</f>
        <v>ronda daus</v>
      </c>
      <c r="O179" s="7">
        <f t="shared" si="5"/>
        <v>1</v>
      </c>
      <c r="P179" s="8" t="str">
        <f t="shared" si="6"/>
        <v>No</v>
      </c>
    </row>
    <row r="180">
      <c r="A180" s="4" t="s">
        <v>16</v>
      </c>
      <c r="B180" s="4" t="s">
        <v>547</v>
      </c>
      <c r="C180" s="5">
        <v>45035.0</v>
      </c>
      <c r="D180" s="5">
        <v>45047.0</v>
      </c>
      <c r="E180" s="4" t="s">
        <v>548</v>
      </c>
      <c r="F180" s="4" t="s">
        <v>331</v>
      </c>
      <c r="G180" s="6" t="str">
        <f>IFERROR(__xludf.DUMMYFUNCTION("REGEXREPLACE(LOWER(F180),""[^a-z\s]"","""")"),"none")</f>
        <v>none</v>
      </c>
      <c r="H180" s="4" t="str">
        <f t="shared" si="1"/>
        <v>none</v>
      </c>
      <c r="I180" s="6">
        <f t="shared" si="2"/>
        <v>1</v>
      </c>
      <c r="J180" s="6">
        <f>IFERROR(__xludf.DUMMYFUNCTION("IF(H180="""","""",
SUM(
ARRAYFORMULA(
IF(
REGEXMATCH(
"" ""&amp;H180&amp;"" "",
"" ""&amp;Sentiment_Words!A$2:A3730&amp;"" ""
),
1,
0
)
)
)
)"),0.0)</f>
        <v>0</v>
      </c>
      <c r="K180" s="4">
        <f>IFERROR(__xludf.DUMMYFUNCTION("IF(H180="""","""",
SUM(
ARRAYFORMULA(
IF(
REGEXMATCH(
"" ""&amp;H180&amp;"" "",
"" ""&amp;Sentiment_Words!B$2:B3730&amp;"" ""
),
1,
0
)
)
)
)"),0.0)</f>
        <v>0</v>
      </c>
      <c r="L180" s="7" t="str">
        <f t="shared" si="3"/>
        <v>Other</v>
      </c>
      <c r="M180" s="7" t="str">
        <f t="shared" si="4"/>
        <v>Neutral</v>
      </c>
      <c r="N180" s="7" t="str">
        <f>IFERROR(__xludf.DUMMYFUNCTION("LOWER(
TRIM(
REGEXREPLACE(B180,""[^a-zA-Z\s]"","""")
)
)
"),"baron eike von lincoln")</f>
        <v>baron eike von lincoln</v>
      </c>
      <c r="O180" s="7">
        <f t="shared" si="5"/>
        <v>1</v>
      </c>
      <c r="P180" s="8" t="str">
        <f t="shared" si="6"/>
        <v>No</v>
      </c>
    </row>
    <row r="181">
      <c r="A181" s="4" t="s">
        <v>16</v>
      </c>
      <c r="B181" s="4" t="s">
        <v>549</v>
      </c>
      <c r="C181" s="5">
        <v>45026.0</v>
      </c>
      <c r="D181" s="5">
        <v>45047.0</v>
      </c>
      <c r="E181" s="4" t="s">
        <v>550</v>
      </c>
      <c r="F181" s="4" t="s">
        <v>331</v>
      </c>
      <c r="G181" s="6" t="str">
        <f>IFERROR(__xludf.DUMMYFUNCTION("REGEXREPLACE(LOWER(F181),""[^a-z\s]"","""")"),"none")</f>
        <v>none</v>
      </c>
      <c r="H181" s="4" t="str">
        <f t="shared" si="1"/>
        <v>none</v>
      </c>
      <c r="I181" s="6">
        <f t="shared" si="2"/>
        <v>1</v>
      </c>
      <c r="J181" s="6">
        <f>IFERROR(__xludf.DUMMYFUNCTION("IF(H181="""","""",
SUM(
ARRAYFORMULA(
IF(
REGEXMATCH(
"" ""&amp;H181&amp;"" "",
"" ""&amp;Sentiment_Words!A$2:A3730&amp;"" ""
),
1,
0
)
)
)
)"),0.0)</f>
        <v>0</v>
      </c>
      <c r="K181" s="4">
        <f>IFERROR(__xludf.DUMMYFUNCTION("IF(H181="""","""",
SUM(
ARRAYFORMULA(
IF(
REGEXMATCH(
"" ""&amp;H181&amp;"" "",
"" ""&amp;Sentiment_Words!B$2:B3730&amp;"" ""
),
1,
0
)
)
)
)"),0.0)</f>
        <v>0</v>
      </c>
      <c r="L181" s="7" t="str">
        <f t="shared" si="3"/>
        <v>Other</v>
      </c>
      <c r="M181" s="7" t="str">
        <f t="shared" si="4"/>
        <v>Neutral</v>
      </c>
      <c r="N181" s="7" t="str">
        <f>IFERROR(__xludf.DUMMYFUNCTION("LOWER(
TRIM(
REGEXREPLACE(B181,""[^a-zA-Z\s]"","""")
)
)
"),"betty jo lesonsky")</f>
        <v>betty jo lesonsky</v>
      </c>
      <c r="O181" s="7">
        <f t="shared" si="5"/>
        <v>1</v>
      </c>
      <c r="P181" s="8" t="str">
        <f t="shared" si="6"/>
        <v>No</v>
      </c>
    </row>
    <row r="182">
      <c r="A182" s="4" t="s">
        <v>16</v>
      </c>
      <c r="B182" s="4" t="s">
        <v>551</v>
      </c>
      <c r="C182" s="5">
        <v>45046.0</v>
      </c>
      <c r="D182" s="5">
        <v>45058.0</v>
      </c>
      <c r="E182" s="4" t="s">
        <v>552</v>
      </c>
      <c r="F182" s="4" t="s">
        <v>553</v>
      </c>
      <c r="G182" s="6" t="str">
        <f>IFERROR(__xludf.DUMMYFUNCTION("REGEXREPLACE(LOWER(F182),""[^a-z\s]"","""")"),"good  i will purchase again")</f>
        <v>good  i will purchase again</v>
      </c>
      <c r="H182" s="4" t="str">
        <f t="shared" si="1"/>
        <v>good i will purchase again</v>
      </c>
      <c r="I182" s="6">
        <f t="shared" si="2"/>
        <v>5</v>
      </c>
      <c r="J182" s="6">
        <f>IFERROR(__xludf.DUMMYFUNCTION("IF(H182="""","""",
SUM(
ARRAYFORMULA(
IF(
REGEXMATCH(
"" ""&amp;H182&amp;"" "",
"" ""&amp;Sentiment_Words!A$2:A3730&amp;"" ""
),
1,
0
)
)
)
)"),1.0)</f>
        <v>1</v>
      </c>
      <c r="K182" s="4">
        <f>IFERROR(__xludf.DUMMYFUNCTION("IF(H182="""","""",
SUM(
ARRAYFORMULA(
IF(
REGEXMATCH(
"" ""&amp;H182&amp;"" "",
"" ""&amp;Sentiment_Words!B$2:B3730&amp;"" ""
),
1,
0
)
)
)
)"),0.0)</f>
        <v>0</v>
      </c>
      <c r="L182" s="7" t="str">
        <f t="shared" si="3"/>
        <v>Other</v>
      </c>
      <c r="M182" s="7" t="str">
        <f t="shared" si="4"/>
        <v>Positive</v>
      </c>
      <c r="N182" s="7" t="str">
        <f>IFERROR(__xludf.DUMMYFUNCTION("LOWER(
TRIM(
REGEXREPLACE(B182,""[^a-zA-Z\s]"","""")
)
)
"),"donna biondi")</f>
        <v>donna biondi</v>
      </c>
      <c r="O182" s="7">
        <f t="shared" si="5"/>
        <v>1</v>
      </c>
      <c r="P182" s="8" t="str">
        <f t="shared" si="6"/>
        <v>No</v>
      </c>
    </row>
    <row r="183">
      <c r="A183" s="4" t="s">
        <v>16</v>
      </c>
      <c r="B183" s="4" t="s">
        <v>554</v>
      </c>
      <c r="C183" s="9">
        <v>45049.0</v>
      </c>
      <c r="D183" s="5">
        <v>45061.0</v>
      </c>
      <c r="E183" s="4" t="s">
        <v>555</v>
      </c>
      <c r="F183" s="4" t="s">
        <v>556</v>
      </c>
      <c r="G183" s="6" t="str">
        <f>IFERROR(__xludf.DUMMYFUNCTION("REGEXREPLACE(LOWER(F183),""[^a-z\s]"","""")"),"you had what i wanted and you got it to me quickly")</f>
        <v>you had what i wanted and you got it to me quickly</v>
      </c>
      <c r="H183" s="4" t="str">
        <f t="shared" si="1"/>
        <v>you had what i wanted you got it me quickly</v>
      </c>
      <c r="I183" s="6">
        <f t="shared" si="2"/>
        <v>10</v>
      </c>
      <c r="J183" s="6">
        <f>IFERROR(__xludf.DUMMYFUNCTION("IF(H183="""","""",
SUM(
ARRAYFORMULA(
IF(
REGEXMATCH(
"" ""&amp;H183&amp;"" "",
"" ""&amp;Sentiment_Words!A$2:A3730&amp;"" ""
),
1,
0
)
)
)
)"),0.0)</f>
        <v>0</v>
      </c>
      <c r="K183" s="4">
        <f>IFERROR(__xludf.DUMMYFUNCTION("IF(H183="""","""",
SUM(
ARRAYFORMULA(
IF(
REGEXMATCH(
"" ""&amp;H183&amp;"" "",
"" ""&amp;Sentiment_Words!B$2:B3730&amp;"" ""
),
1,
0
)
)
)
)"),0.0)</f>
        <v>0</v>
      </c>
      <c r="L183" s="7" t="str">
        <f t="shared" si="3"/>
        <v>Other</v>
      </c>
      <c r="M183" s="7" t="str">
        <f t="shared" si="4"/>
        <v>Neutral</v>
      </c>
      <c r="N183" s="7" t="str">
        <f>IFERROR(__xludf.DUMMYFUNCTION("LOWER(
TRIM(
REGEXREPLACE(B183,""[^a-zA-Z\s]"","""")
)
)
"),"tuyen nguyen")</f>
        <v>tuyen nguyen</v>
      </c>
      <c r="O183" s="7">
        <f t="shared" si="5"/>
        <v>1</v>
      </c>
      <c r="P183" s="8" t="str">
        <f t="shared" si="6"/>
        <v>No</v>
      </c>
    </row>
    <row r="184">
      <c r="A184" s="4" t="s">
        <v>16</v>
      </c>
      <c r="B184" s="4" t="s">
        <v>557</v>
      </c>
      <c r="C184" s="5">
        <v>45058.0</v>
      </c>
      <c r="D184" s="4" t="s">
        <v>74</v>
      </c>
      <c r="E184" s="4" t="s">
        <v>558</v>
      </c>
      <c r="F184" s="4" t="s">
        <v>559</v>
      </c>
      <c r="G184" s="6" t="str">
        <f>IFERROR(__xludf.DUMMYFUNCTION("REGEXREPLACE(LOWER(F184),""[^a-z\s]"","""")"),"you had the product that i needed and it was shipped quickly ")</f>
        <v>you had the product that i needed and it was shipped quickly </v>
      </c>
      <c r="H184" s="4" t="str">
        <f t="shared" si="1"/>
        <v>you had product that i needed it was shipped quickly</v>
      </c>
      <c r="I184" s="6">
        <f t="shared" si="2"/>
        <v>10</v>
      </c>
      <c r="J184" s="6">
        <f>IFERROR(__xludf.DUMMYFUNCTION("IF(H184="""","""",
SUM(
ARRAYFORMULA(
IF(
REGEXMATCH(
"" ""&amp;H184&amp;"" "",
"" ""&amp;Sentiment_Words!A$2:A3730&amp;"" ""
),
1,
0
)
)
)
)"),1.0)</f>
        <v>1</v>
      </c>
      <c r="K184" s="4">
        <f>IFERROR(__xludf.DUMMYFUNCTION("IF(H184="""","""",
SUM(
ARRAYFORMULA(
IF(
REGEXMATCH(
"" ""&amp;H184&amp;"" "",
"" ""&amp;Sentiment_Words!B$2:B3730&amp;"" ""
),
1,
0
)
)
)
)"),0.0)</f>
        <v>0</v>
      </c>
      <c r="L184" s="7" t="str">
        <f t="shared" si="3"/>
        <v>Other</v>
      </c>
      <c r="M184" s="7" t="str">
        <f t="shared" si="4"/>
        <v>Positive</v>
      </c>
      <c r="N184" s="7" t="str">
        <f>IFERROR(__xludf.DUMMYFUNCTION("LOWER(
TRIM(
REGEXREPLACE(B184,""[^a-zA-Z\s]"","""")
)
)
"),"andranea alexander")</f>
        <v>andranea alexander</v>
      </c>
      <c r="O184" s="7">
        <f t="shared" si="5"/>
        <v>1</v>
      </c>
      <c r="P184" s="8" t="str">
        <f t="shared" si="6"/>
        <v>No</v>
      </c>
    </row>
    <row r="185">
      <c r="A185" s="4" t="s">
        <v>16</v>
      </c>
      <c r="B185" s="4" t="s">
        <v>560</v>
      </c>
      <c r="C185" s="5">
        <v>45044.0</v>
      </c>
      <c r="D185" s="5">
        <v>45056.0</v>
      </c>
      <c r="E185" s="4" t="s">
        <v>561</v>
      </c>
      <c r="F185" s="4" t="s">
        <v>562</v>
      </c>
      <c r="G185" s="6" t="str">
        <f>IFERROR(__xludf.DUMMYFUNCTION("REGEXREPLACE(LOWER(F185),""[^a-z\s]"","""")"),"great shipping speed bones i ordered are great")</f>
        <v>great shipping speed bones i ordered are great</v>
      </c>
      <c r="H185" s="4" t="str">
        <f t="shared" si="1"/>
        <v>great shipping speed bones i ordered are great</v>
      </c>
      <c r="I185" s="6">
        <f t="shared" si="2"/>
        <v>8</v>
      </c>
      <c r="J185" s="6">
        <f>IFERROR(__xludf.DUMMYFUNCTION("IF(H185="""","""",
SUM(
ARRAYFORMULA(
IF(
REGEXMATCH(
"" ""&amp;H185&amp;"" "",
"" ""&amp;Sentiment_Words!A$2:A3730&amp;"" ""
),
1,
0
)
)
)
)"),1.0)</f>
        <v>1</v>
      </c>
      <c r="K185" s="4">
        <f>IFERROR(__xludf.DUMMYFUNCTION("IF(H185="""","""",
SUM(
ARRAYFORMULA(
IF(
REGEXMATCH(
"" ""&amp;H185&amp;"" "",
"" ""&amp;Sentiment_Words!B$2:B3730&amp;"" ""
),
1,
0
)
)
)
)"),0.0)</f>
        <v>0</v>
      </c>
      <c r="L185" s="7" t="str">
        <f t="shared" si="3"/>
        <v>Other</v>
      </c>
      <c r="M185" s="7" t="str">
        <f t="shared" si="4"/>
        <v>Positive</v>
      </c>
      <c r="N185" s="7" t="str">
        <f>IFERROR(__xludf.DUMMYFUNCTION("LOWER(
TRIM(
REGEXREPLACE(B185,""[^a-zA-Z\s]"","""")
)
)
"),"eric ridgeway")</f>
        <v>eric ridgeway</v>
      </c>
      <c r="O185" s="7">
        <f t="shared" si="5"/>
        <v>1</v>
      </c>
      <c r="P185" s="8" t="str">
        <f t="shared" si="6"/>
        <v>No</v>
      </c>
    </row>
    <row r="186">
      <c r="A186" s="4" t="s">
        <v>16</v>
      </c>
      <c r="B186" s="4" t="s">
        <v>563</v>
      </c>
      <c r="C186" s="5">
        <v>45043.0</v>
      </c>
      <c r="D186" s="5">
        <v>45055.0</v>
      </c>
      <c r="E186" s="4" t="s">
        <v>564</v>
      </c>
      <c r="F186" s="4" t="s">
        <v>565</v>
      </c>
      <c r="G186" s="6" t="str">
        <f>IFERROR(__xludf.DUMMYFUNCTION("REGEXREPLACE(LOWER(F186),""[^a-z\s]"","""")"),"good price fast shipping")</f>
        <v>good price fast shipping</v>
      </c>
      <c r="H186" s="4" t="str">
        <f t="shared" si="1"/>
        <v>good price fast shipping</v>
      </c>
      <c r="I186" s="6">
        <f t="shared" si="2"/>
        <v>4</v>
      </c>
      <c r="J186" s="6">
        <f>IFERROR(__xludf.DUMMYFUNCTION("IF(H186="""","""",
SUM(
ARRAYFORMULA(
IF(
REGEXMATCH(
"" ""&amp;H186&amp;"" "",
"" ""&amp;Sentiment_Words!A$2:A3730&amp;"" ""
),
1,
0
)
)
)
)"),2.0)</f>
        <v>2</v>
      </c>
      <c r="K186" s="4">
        <f>IFERROR(__xludf.DUMMYFUNCTION("IF(H186="""","""",
SUM(
ARRAYFORMULA(
IF(
REGEXMATCH(
"" ""&amp;H186&amp;"" "",
"" ""&amp;Sentiment_Words!B$2:B3730&amp;"" ""
),
1,
0
)
)
)
)"),0.0)</f>
        <v>0</v>
      </c>
      <c r="L186" s="7" t="str">
        <f t="shared" si="3"/>
        <v>Other</v>
      </c>
      <c r="M186" s="7" t="str">
        <f t="shared" si="4"/>
        <v>Positive</v>
      </c>
      <c r="N186" s="7" t="str">
        <f>IFERROR(__xludf.DUMMYFUNCTION("LOWER(
TRIM(
REGEXREPLACE(B186,""[^a-zA-Z\s]"","""")
)
)
"),"julia b")</f>
        <v>julia b</v>
      </c>
      <c r="O186" s="7">
        <f t="shared" si="5"/>
        <v>1</v>
      </c>
      <c r="P186" s="8" t="str">
        <f t="shared" si="6"/>
        <v>No</v>
      </c>
    </row>
    <row r="187">
      <c r="A187" s="4" t="s">
        <v>16</v>
      </c>
      <c r="B187" s="4" t="s">
        <v>566</v>
      </c>
      <c r="C187" s="5">
        <v>45038.0</v>
      </c>
      <c r="D187" s="5">
        <v>45050.0</v>
      </c>
      <c r="E187" s="4" t="s">
        <v>567</v>
      </c>
      <c r="F187" s="4" t="s">
        <v>568</v>
      </c>
      <c r="G187" s="6" t="str">
        <f>IFERROR(__xludf.DUMMYFUNCTION("REGEXREPLACE(LOWER(F187),""[^a-z\s]"","""")"),"fast and efficient service")</f>
        <v>fast and efficient service</v>
      </c>
      <c r="H187" s="4" t="str">
        <f t="shared" si="1"/>
        <v>fast efficient service</v>
      </c>
      <c r="I187" s="6">
        <f t="shared" si="2"/>
        <v>3</v>
      </c>
      <c r="J187" s="6">
        <f>IFERROR(__xludf.DUMMYFUNCTION("IF(H187="""","""",
SUM(
ARRAYFORMULA(
IF(
REGEXMATCH(
"" ""&amp;H187&amp;"" "",
"" ""&amp;Sentiment_Words!A$2:A3730&amp;"" ""
),
1,
0
)
)
)
)"),2.0)</f>
        <v>2</v>
      </c>
      <c r="K187" s="4">
        <f>IFERROR(__xludf.DUMMYFUNCTION("IF(H187="""","""",
SUM(
ARRAYFORMULA(
IF(
REGEXMATCH(
"" ""&amp;H187&amp;"" "",
"" ""&amp;Sentiment_Words!B$2:B3730&amp;"" ""
),
1,
0
)
)
)
)"),0.0)</f>
        <v>0</v>
      </c>
      <c r="L187" s="7" t="str">
        <f t="shared" si="3"/>
        <v>Customer Support</v>
      </c>
      <c r="M187" s="7" t="str">
        <f t="shared" si="4"/>
        <v>Positive</v>
      </c>
      <c r="N187" s="7" t="str">
        <f>IFERROR(__xludf.DUMMYFUNCTION("LOWER(
TRIM(
REGEXREPLACE(B187,""[^a-zA-Z\s]"","""")
)
)
"),"katherine sidon")</f>
        <v>katherine sidon</v>
      </c>
      <c r="O187" s="7">
        <f t="shared" si="5"/>
        <v>1</v>
      </c>
      <c r="P187" s="8" t="str">
        <f t="shared" si="6"/>
        <v>No</v>
      </c>
    </row>
    <row r="188">
      <c r="A188" s="4" t="s">
        <v>16</v>
      </c>
      <c r="B188" s="4" t="s">
        <v>569</v>
      </c>
      <c r="C188" s="5">
        <v>45034.0</v>
      </c>
      <c r="D188" s="10">
        <v>45046.0</v>
      </c>
      <c r="E188" s="4" t="s">
        <v>423</v>
      </c>
      <c r="F188" s="4" t="s">
        <v>570</v>
      </c>
      <c r="G188" s="6" t="str">
        <f>IFERROR(__xludf.DUMMYFUNCTION("REGEXREPLACE(LOWER(F188),""[^a-z\s]"","""")"),"easy ordering experience good products")</f>
        <v>easy ordering experience good products</v>
      </c>
      <c r="H188" s="4" t="str">
        <f t="shared" si="1"/>
        <v>easy ordering experience good products</v>
      </c>
      <c r="I188" s="6">
        <f t="shared" si="2"/>
        <v>5</v>
      </c>
      <c r="J188" s="6">
        <f>IFERROR(__xludf.DUMMYFUNCTION("IF(H188="""","""",
SUM(
ARRAYFORMULA(
IF(
REGEXMATCH(
"" ""&amp;H188&amp;"" "",
"" ""&amp;Sentiment_Words!A$2:A3730&amp;"" ""
),
1,
0
)
)
)
)"),2.0)</f>
        <v>2</v>
      </c>
      <c r="K188" s="4">
        <f>IFERROR(__xludf.DUMMYFUNCTION("IF(H188="""","""",
SUM(
ARRAYFORMULA(
IF(
REGEXMATCH(
"" ""&amp;H188&amp;"" "",
"" ""&amp;Sentiment_Words!B$2:B3730&amp;"" ""
),
1,
0
)
)
)
)"),0.0)</f>
        <v>0</v>
      </c>
      <c r="L188" s="7" t="str">
        <f t="shared" si="3"/>
        <v>Other</v>
      </c>
      <c r="M188" s="7" t="str">
        <f t="shared" si="4"/>
        <v>Positive</v>
      </c>
      <c r="N188" s="7" t="str">
        <f>IFERROR(__xludf.DUMMYFUNCTION("LOWER(
TRIM(
REGEXREPLACE(B188,""[^a-zA-Z\s]"","""")
)
)
"),"nordvpn customer")</f>
        <v>nordvpn customer</v>
      </c>
      <c r="O188" s="7">
        <f t="shared" si="5"/>
        <v>1</v>
      </c>
      <c r="P188" s="8" t="str">
        <f t="shared" si="6"/>
        <v>No</v>
      </c>
    </row>
    <row r="189">
      <c r="A189" s="4" t="s">
        <v>16</v>
      </c>
      <c r="B189" s="4" t="s">
        <v>571</v>
      </c>
      <c r="C189" s="5">
        <v>45046.0</v>
      </c>
      <c r="D189" s="5">
        <v>45058.0</v>
      </c>
      <c r="E189" s="4" t="s">
        <v>572</v>
      </c>
      <c r="F189" s="4" t="s">
        <v>573</v>
      </c>
      <c r="G189" s="6" t="str">
        <f>IFERROR(__xludf.DUMMYFUNCTION("REGEXREPLACE(LOWER(F189),""[^a-z\s]"","""")"),"my dog loves it")</f>
        <v>my dog loves it</v>
      </c>
      <c r="H189" s="4" t="str">
        <f t="shared" si="1"/>
        <v>my dog loves it</v>
      </c>
      <c r="I189" s="6">
        <f t="shared" si="2"/>
        <v>4</v>
      </c>
      <c r="J189" s="6">
        <f>IFERROR(__xludf.DUMMYFUNCTION("IF(H189="""","""",
SUM(
ARRAYFORMULA(
IF(
REGEXMATCH(
"" ""&amp;H189&amp;"" "",
"" ""&amp;Sentiment_Words!A$2:A3730&amp;"" ""
),
1,
0
)
)
)
)"),0.0)</f>
        <v>0</v>
      </c>
      <c r="K189" s="4">
        <f>IFERROR(__xludf.DUMMYFUNCTION("IF(H189="""","""",
SUM(
ARRAYFORMULA(
IF(
REGEXMATCH(
"" ""&amp;H189&amp;"" "",
"" ""&amp;Sentiment_Words!B$2:B3730&amp;"" ""
),
1,
0
)
)
)
)"),0.0)</f>
        <v>0</v>
      </c>
      <c r="L189" s="7" t="str">
        <f t="shared" si="3"/>
        <v>Other</v>
      </c>
      <c r="M189" s="7" t="str">
        <f t="shared" si="4"/>
        <v>Neutral</v>
      </c>
      <c r="N189" s="7" t="str">
        <f>IFERROR(__xludf.DUMMYFUNCTION("LOWER(
TRIM(
REGEXREPLACE(B189,""[^a-zA-Z\s]"","""")
)
)
"),"dona joerger")</f>
        <v>dona joerger</v>
      </c>
      <c r="O189" s="7">
        <f t="shared" si="5"/>
        <v>1</v>
      </c>
      <c r="P189" s="8" t="str">
        <f t="shared" si="6"/>
        <v>No</v>
      </c>
    </row>
    <row r="190">
      <c r="A190" s="4" t="s">
        <v>16</v>
      </c>
      <c r="B190" s="4" t="s">
        <v>574</v>
      </c>
      <c r="C190" s="5">
        <v>45038.0</v>
      </c>
      <c r="D190" s="5">
        <v>45050.0</v>
      </c>
      <c r="E190" s="4" t="s">
        <v>575</v>
      </c>
      <c r="F190" s="4" t="s">
        <v>576</v>
      </c>
      <c r="G190" s="6" t="str">
        <f>IFERROR(__xludf.DUMMYFUNCTION("REGEXREPLACE(LOWER(F190),""[^a-z\s]"","""")"),"fast and easy
good price")</f>
        <v>fast and easy
good price</v>
      </c>
      <c r="H190" s="4" t="str">
        <f t="shared" si="1"/>
        <v>fast easy
good price</v>
      </c>
      <c r="I190" s="6">
        <f t="shared" si="2"/>
        <v>3</v>
      </c>
      <c r="J190" s="6">
        <f>IFERROR(__xludf.DUMMYFUNCTION("IF(H190="""","""",
SUM(
ARRAYFORMULA(
IF(
REGEXMATCH(
"" ""&amp;H190&amp;"" "",
"" ""&amp;Sentiment_Words!A$2:A3730&amp;"" ""
),
1,
0
)
)
)
)"),1.0)</f>
        <v>1</v>
      </c>
      <c r="K190" s="4">
        <f>IFERROR(__xludf.DUMMYFUNCTION("IF(H190="""","""",
SUM(
ARRAYFORMULA(
IF(
REGEXMATCH(
"" ""&amp;H190&amp;"" "",
"" ""&amp;Sentiment_Words!B$2:B3730&amp;"" ""
),
1,
0
)
)
)
)"),0.0)</f>
        <v>0</v>
      </c>
      <c r="L190" s="7" t="str">
        <f t="shared" si="3"/>
        <v>Other</v>
      </c>
      <c r="M190" s="7" t="str">
        <f t="shared" si="4"/>
        <v>Positive</v>
      </c>
      <c r="N190" s="7" t="str">
        <f>IFERROR(__xludf.DUMMYFUNCTION("LOWER(
TRIM(
REGEXREPLACE(B190,""[^a-zA-Z\s]"","""")
)
)
"),"shirley harris")</f>
        <v>shirley harris</v>
      </c>
      <c r="O190" s="7">
        <f t="shared" si="5"/>
        <v>1</v>
      </c>
      <c r="P190" s="8" t="str">
        <f t="shared" si="6"/>
        <v>No</v>
      </c>
    </row>
    <row r="191">
      <c r="A191" s="4" t="s">
        <v>16</v>
      </c>
      <c r="B191" s="4" t="s">
        <v>577</v>
      </c>
      <c r="C191" s="5">
        <v>45040.0</v>
      </c>
      <c r="D191" s="5">
        <v>45052.0</v>
      </c>
      <c r="E191" s="4" t="s">
        <v>578</v>
      </c>
      <c r="F191" s="4" t="s">
        <v>331</v>
      </c>
      <c r="G191" s="6" t="str">
        <f>IFERROR(__xludf.DUMMYFUNCTION("REGEXREPLACE(LOWER(F191),""[^a-z\s]"","""")"),"none")</f>
        <v>none</v>
      </c>
      <c r="H191" s="4" t="str">
        <f t="shared" si="1"/>
        <v>none</v>
      </c>
      <c r="I191" s="6">
        <f t="shared" si="2"/>
        <v>1</v>
      </c>
      <c r="J191" s="6">
        <f>IFERROR(__xludf.DUMMYFUNCTION("IF(H191="""","""",
SUM(
ARRAYFORMULA(
IF(
REGEXMATCH(
"" ""&amp;H191&amp;"" "",
"" ""&amp;Sentiment_Words!A$2:A3730&amp;"" ""
),
1,
0
)
)
)
)"),0.0)</f>
        <v>0</v>
      </c>
      <c r="K191" s="4">
        <f>IFERROR(__xludf.DUMMYFUNCTION("IF(H191="""","""",
SUM(
ARRAYFORMULA(
IF(
REGEXMATCH(
"" ""&amp;H191&amp;"" "",
"" ""&amp;Sentiment_Words!B$2:B3730&amp;"" ""
),
1,
0
)
)
)
)"),0.0)</f>
        <v>0</v>
      </c>
      <c r="L191" s="7" t="str">
        <f t="shared" si="3"/>
        <v>Other</v>
      </c>
      <c r="M191" s="7" t="str">
        <f t="shared" si="4"/>
        <v>Neutral</v>
      </c>
      <c r="N191" s="7" t="str">
        <f>IFERROR(__xludf.DUMMYFUNCTION("LOWER(
TRIM(
REGEXREPLACE(B191,""[^a-zA-Z\s]"","""")
)
)
"),"al disante")</f>
        <v>al disante</v>
      </c>
      <c r="O191" s="7">
        <f t="shared" si="5"/>
        <v>1</v>
      </c>
      <c r="P191" s="8" t="str">
        <f t="shared" si="6"/>
        <v>No</v>
      </c>
    </row>
    <row r="192">
      <c r="A192" s="4" t="s">
        <v>16</v>
      </c>
      <c r="B192" s="4" t="s">
        <v>579</v>
      </c>
      <c r="C192" s="5">
        <v>45038.0</v>
      </c>
      <c r="D192" s="5">
        <v>45051.0</v>
      </c>
      <c r="E192" s="4" t="s">
        <v>515</v>
      </c>
      <c r="F192" s="4" t="s">
        <v>331</v>
      </c>
      <c r="G192" s="6" t="str">
        <f>IFERROR(__xludf.DUMMYFUNCTION("REGEXREPLACE(LOWER(F192),""[^a-z\s]"","""")"),"none")</f>
        <v>none</v>
      </c>
      <c r="H192" s="4" t="str">
        <f t="shared" si="1"/>
        <v>none</v>
      </c>
      <c r="I192" s="6">
        <f t="shared" si="2"/>
        <v>1</v>
      </c>
      <c r="J192" s="6">
        <f>IFERROR(__xludf.DUMMYFUNCTION("IF(H192="""","""",
SUM(
ARRAYFORMULA(
IF(
REGEXMATCH(
"" ""&amp;H192&amp;"" "",
"" ""&amp;Sentiment_Words!A$2:A3730&amp;"" ""
),
1,
0
)
)
)
)"),0.0)</f>
        <v>0</v>
      </c>
      <c r="K192" s="4">
        <f>IFERROR(__xludf.DUMMYFUNCTION("IF(H192="""","""",
SUM(
ARRAYFORMULA(
IF(
REGEXMATCH(
"" ""&amp;H192&amp;"" "",
"" ""&amp;Sentiment_Words!B$2:B3730&amp;"" ""
),
1,
0
)
)
)
)"),0.0)</f>
        <v>0</v>
      </c>
      <c r="L192" s="7" t="str">
        <f t="shared" si="3"/>
        <v>Other</v>
      </c>
      <c r="M192" s="7" t="str">
        <f t="shared" si="4"/>
        <v>Neutral</v>
      </c>
      <c r="N192" s="7" t="str">
        <f>IFERROR(__xludf.DUMMYFUNCTION("LOWER(
TRIM(
REGEXREPLACE(B192,""[^a-zA-Z\s]"","""")
)
)
"),"elwood smith")</f>
        <v>elwood smith</v>
      </c>
      <c r="O192" s="7">
        <f t="shared" si="5"/>
        <v>1</v>
      </c>
      <c r="P192" s="8" t="str">
        <f t="shared" si="6"/>
        <v>No</v>
      </c>
    </row>
    <row r="193">
      <c r="A193" s="4" t="s">
        <v>16</v>
      </c>
      <c r="B193" s="4" t="s">
        <v>580</v>
      </c>
      <c r="C193" s="9">
        <v>45050.0</v>
      </c>
      <c r="D193" s="5">
        <v>45062.0</v>
      </c>
      <c r="E193" s="4" t="s">
        <v>581</v>
      </c>
      <c r="F193" s="4" t="s">
        <v>331</v>
      </c>
      <c r="G193" s="6" t="str">
        <f>IFERROR(__xludf.DUMMYFUNCTION("REGEXREPLACE(LOWER(F193),""[^a-z\s]"","""")"),"none")</f>
        <v>none</v>
      </c>
      <c r="H193" s="4" t="str">
        <f t="shared" si="1"/>
        <v>none</v>
      </c>
      <c r="I193" s="6">
        <f t="shared" si="2"/>
        <v>1</v>
      </c>
      <c r="J193" s="6">
        <f>IFERROR(__xludf.DUMMYFUNCTION("IF(H193="""","""",
SUM(
ARRAYFORMULA(
IF(
REGEXMATCH(
"" ""&amp;H193&amp;"" "",
"" ""&amp;Sentiment_Words!A$2:A3730&amp;"" ""
),
1,
0
)
)
)
)"),0.0)</f>
        <v>0</v>
      </c>
      <c r="K193" s="4">
        <f>IFERROR(__xludf.DUMMYFUNCTION("IF(H193="""","""",
SUM(
ARRAYFORMULA(
IF(
REGEXMATCH(
"" ""&amp;H193&amp;"" "",
"" ""&amp;Sentiment_Words!B$2:B3730&amp;"" ""
),
1,
0
)
)
)
)"),0.0)</f>
        <v>0</v>
      </c>
      <c r="L193" s="7" t="str">
        <f t="shared" si="3"/>
        <v>Other</v>
      </c>
      <c r="M193" s="7" t="str">
        <f t="shared" si="4"/>
        <v>Neutral</v>
      </c>
      <c r="N193" s="7" t="str">
        <f>IFERROR(__xludf.DUMMYFUNCTION("LOWER(
TRIM(
REGEXREPLACE(B193,""[^a-zA-Z\s]"","""")
)
)
"),"linda klemkawalden")</f>
        <v>linda klemkawalden</v>
      </c>
      <c r="O193" s="7">
        <f t="shared" si="5"/>
        <v>1</v>
      </c>
      <c r="P193" s="8" t="str">
        <f t="shared" si="6"/>
        <v>No</v>
      </c>
    </row>
    <row r="194">
      <c r="A194" s="4" t="s">
        <v>16</v>
      </c>
      <c r="B194" s="4" t="s">
        <v>582</v>
      </c>
      <c r="C194" s="5">
        <v>45035.0</v>
      </c>
      <c r="D194" s="5">
        <v>45047.0</v>
      </c>
      <c r="E194" s="4" t="s">
        <v>583</v>
      </c>
      <c r="F194" s="4" t="s">
        <v>331</v>
      </c>
      <c r="G194" s="6" t="str">
        <f>IFERROR(__xludf.DUMMYFUNCTION("REGEXREPLACE(LOWER(F194),""[^a-z\s]"","""")"),"none")</f>
        <v>none</v>
      </c>
      <c r="H194" s="4" t="str">
        <f t="shared" si="1"/>
        <v>none</v>
      </c>
      <c r="I194" s="6">
        <f t="shared" si="2"/>
        <v>1</v>
      </c>
      <c r="J194" s="6">
        <f>IFERROR(__xludf.DUMMYFUNCTION("IF(H194="""","""",
SUM(
ARRAYFORMULA(
IF(
REGEXMATCH(
"" ""&amp;H194&amp;"" "",
"" ""&amp;Sentiment_Words!A$2:A3730&amp;"" ""
),
1,
0
)
)
)
)"),0.0)</f>
        <v>0</v>
      </c>
      <c r="K194" s="4">
        <f>IFERROR(__xludf.DUMMYFUNCTION("IF(H194="""","""",
SUM(
ARRAYFORMULA(
IF(
REGEXMATCH(
"" ""&amp;H194&amp;"" "",
"" ""&amp;Sentiment_Words!B$2:B3730&amp;"" ""
),
1,
0
)
)
)
)"),0.0)</f>
        <v>0</v>
      </c>
      <c r="L194" s="7" t="str">
        <f t="shared" si="3"/>
        <v>Other</v>
      </c>
      <c r="M194" s="7" t="str">
        <f t="shared" si="4"/>
        <v>Neutral</v>
      </c>
      <c r="N194" s="7" t="str">
        <f>IFERROR(__xludf.DUMMYFUNCTION("LOWER(
TRIM(
REGEXREPLACE(B194,""[^a-zA-Z\s]"","""")
)
)
"),"anthony cuccaro")</f>
        <v>anthony cuccaro</v>
      </c>
      <c r="O194" s="7">
        <f t="shared" si="5"/>
        <v>1</v>
      </c>
      <c r="P194" s="8" t="str">
        <f t="shared" si="6"/>
        <v>No</v>
      </c>
    </row>
    <row r="195">
      <c r="A195" s="4" t="s">
        <v>16</v>
      </c>
      <c r="B195" s="4" t="s">
        <v>584</v>
      </c>
      <c r="C195" s="5">
        <v>45043.0</v>
      </c>
      <c r="D195" s="5">
        <v>45055.0</v>
      </c>
      <c r="E195" s="4" t="s">
        <v>585</v>
      </c>
      <c r="F195" s="4" t="s">
        <v>331</v>
      </c>
      <c r="G195" s="6" t="str">
        <f>IFERROR(__xludf.DUMMYFUNCTION("REGEXREPLACE(LOWER(F195),""[^a-z\s]"","""")"),"none")</f>
        <v>none</v>
      </c>
      <c r="H195" s="4" t="str">
        <f t="shared" si="1"/>
        <v>none</v>
      </c>
      <c r="I195" s="6">
        <f t="shared" si="2"/>
        <v>1</v>
      </c>
      <c r="J195" s="6">
        <f>IFERROR(__xludf.DUMMYFUNCTION("IF(H195="""","""",
SUM(
ARRAYFORMULA(
IF(
REGEXMATCH(
"" ""&amp;H195&amp;"" "",
"" ""&amp;Sentiment_Words!A$2:A3730&amp;"" ""
),
1,
0
)
)
)
)"),0.0)</f>
        <v>0</v>
      </c>
      <c r="K195" s="4">
        <f>IFERROR(__xludf.DUMMYFUNCTION("IF(H195="""","""",
SUM(
ARRAYFORMULA(
IF(
REGEXMATCH(
"" ""&amp;H195&amp;"" "",
"" ""&amp;Sentiment_Words!B$2:B3730&amp;"" ""
),
1,
0
)
)
)
)"),0.0)</f>
        <v>0</v>
      </c>
      <c r="L195" s="7" t="str">
        <f t="shared" si="3"/>
        <v>Other</v>
      </c>
      <c r="M195" s="7" t="str">
        <f t="shared" si="4"/>
        <v>Neutral</v>
      </c>
      <c r="N195" s="7" t="str">
        <f>IFERROR(__xludf.DUMMYFUNCTION("LOWER(
TRIM(
REGEXREPLACE(B195,""[^a-zA-Z\s]"","""")
)
)
"),"carrie")</f>
        <v>carrie</v>
      </c>
      <c r="O195" s="7">
        <f t="shared" si="5"/>
        <v>2</v>
      </c>
      <c r="P195" s="8" t="str">
        <f t="shared" si="6"/>
        <v>Yes</v>
      </c>
    </row>
    <row r="196">
      <c r="A196" s="4" t="s">
        <v>16</v>
      </c>
      <c r="B196" s="4" t="s">
        <v>586</v>
      </c>
      <c r="C196" s="5">
        <v>45046.0</v>
      </c>
      <c r="D196" s="5">
        <v>45059.0</v>
      </c>
      <c r="E196" s="4" t="s">
        <v>587</v>
      </c>
      <c r="F196" s="4" t="s">
        <v>331</v>
      </c>
      <c r="G196" s="6" t="str">
        <f>IFERROR(__xludf.DUMMYFUNCTION("REGEXREPLACE(LOWER(F196),""[^a-z\s]"","""")"),"none")</f>
        <v>none</v>
      </c>
      <c r="H196" s="4" t="str">
        <f t="shared" si="1"/>
        <v>none</v>
      </c>
      <c r="I196" s="6">
        <f t="shared" si="2"/>
        <v>1</v>
      </c>
      <c r="J196" s="6">
        <f>IFERROR(__xludf.DUMMYFUNCTION("IF(H196="""","""",
SUM(
ARRAYFORMULA(
IF(
REGEXMATCH(
"" ""&amp;H196&amp;"" "",
"" ""&amp;Sentiment_Words!A$2:A3730&amp;"" ""
),
1,
0
)
)
)
)"),0.0)</f>
        <v>0</v>
      </c>
      <c r="K196" s="4">
        <f>IFERROR(__xludf.DUMMYFUNCTION("IF(H196="""","""",
SUM(
ARRAYFORMULA(
IF(
REGEXMATCH(
"" ""&amp;H196&amp;"" "",
"" ""&amp;Sentiment_Words!B$2:B3730&amp;"" ""
),
1,
0
)
)
)
)"),0.0)</f>
        <v>0</v>
      </c>
      <c r="L196" s="7" t="str">
        <f t="shared" si="3"/>
        <v>Other</v>
      </c>
      <c r="M196" s="7" t="str">
        <f t="shared" si="4"/>
        <v>Neutral</v>
      </c>
      <c r="N196" s="7" t="str">
        <f>IFERROR(__xludf.DUMMYFUNCTION("LOWER(
TRIM(
REGEXREPLACE(B196,""[^a-zA-Z\s]"","""")
)
)
"),"rosi walsh")</f>
        <v>rosi walsh</v>
      </c>
      <c r="O196" s="7">
        <f t="shared" si="5"/>
        <v>1</v>
      </c>
      <c r="P196" s="8" t="str">
        <f t="shared" si="6"/>
        <v>No</v>
      </c>
    </row>
    <row r="197">
      <c r="A197" s="4" t="s">
        <v>16</v>
      </c>
      <c r="B197" s="4" t="s">
        <v>588</v>
      </c>
      <c r="C197" s="5">
        <v>45044.0</v>
      </c>
      <c r="D197" s="5">
        <v>45056.0</v>
      </c>
      <c r="E197" s="4" t="s">
        <v>589</v>
      </c>
      <c r="F197" s="4" t="s">
        <v>331</v>
      </c>
      <c r="G197" s="6" t="str">
        <f>IFERROR(__xludf.DUMMYFUNCTION("REGEXREPLACE(LOWER(F197),""[^a-z\s]"","""")"),"none")</f>
        <v>none</v>
      </c>
      <c r="H197" s="4" t="str">
        <f t="shared" si="1"/>
        <v>none</v>
      </c>
      <c r="I197" s="6">
        <f t="shared" si="2"/>
        <v>1</v>
      </c>
      <c r="J197" s="6">
        <f>IFERROR(__xludf.DUMMYFUNCTION("IF(H197="""","""",
SUM(
ARRAYFORMULA(
IF(
REGEXMATCH(
"" ""&amp;H197&amp;"" "",
"" ""&amp;Sentiment_Words!A$2:A3730&amp;"" ""
),
1,
0
)
)
)
)"),0.0)</f>
        <v>0</v>
      </c>
      <c r="K197" s="4">
        <f>IFERROR(__xludf.DUMMYFUNCTION("IF(H197="""","""",
SUM(
ARRAYFORMULA(
IF(
REGEXMATCH(
"" ""&amp;H197&amp;"" "",
"" ""&amp;Sentiment_Words!B$2:B3730&amp;"" ""
),
1,
0
)
)
)
)"),0.0)</f>
        <v>0</v>
      </c>
      <c r="L197" s="7" t="str">
        <f t="shared" si="3"/>
        <v>Other</v>
      </c>
      <c r="M197" s="7" t="str">
        <f t="shared" si="4"/>
        <v>Neutral</v>
      </c>
      <c r="N197" s="7" t="str">
        <f>IFERROR(__xludf.DUMMYFUNCTION("LOWER(
TRIM(
REGEXREPLACE(B197,""[^a-zA-Z\s]"","""")
)
)
"),"anthony williams")</f>
        <v>anthony williams</v>
      </c>
      <c r="O197" s="7">
        <f t="shared" si="5"/>
        <v>1</v>
      </c>
      <c r="P197" s="8" t="str">
        <f t="shared" si="6"/>
        <v>No</v>
      </c>
    </row>
    <row r="198">
      <c r="A198" s="4" t="s">
        <v>16</v>
      </c>
      <c r="B198" s="4" t="s">
        <v>590</v>
      </c>
      <c r="C198" s="5">
        <v>45039.0</v>
      </c>
      <c r="D198" s="5">
        <v>45051.0</v>
      </c>
      <c r="E198" s="4" t="s">
        <v>591</v>
      </c>
      <c r="F198" s="4" t="s">
        <v>331</v>
      </c>
      <c r="G198" s="6" t="str">
        <f>IFERROR(__xludf.DUMMYFUNCTION("REGEXREPLACE(LOWER(F198),""[^a-z\s]"","""")"),"none")</f>
        <v>none</v>
      </c>
      <c r="H198" s="4" t="str">
        <f t="shared" si="1"/>
        <v>none</v>
      </c>
      <c r="I198" s="6">
        <f t="shared" si="2"/>
        <v>1</v>
      </c>
      <c r="J198" s="6">
        <f>IFERROR(__xludf.DUMMYFUNCTION("IF(H198="""","""",
SUM(
ARRAYFORMULA(
IF(
REGEXMATCH(
"" ""&amp;H198&amp;"" "",
"" ""&amp;Sentiment_Words!A$2:A3730&amp;"" ""
),
1,
0
)
)
)
)"),0.0)</f>
        <v>0</v>
      </c>
      <c r="K198" s="4">
        <f>IFERROR(__xludf.DUMMYFUNCTION("IF(H198="""","""",
SUM(
ARRAYFORMULA(
IF(
REGEXMATCH(
"" ""&amp;H198&amp;"" "",
"" ""&amp;Sentiment_Words!B$2:B3730&amp;"" ""
),
1,
0
)
)
)
)"),0.0)</f>
        <v>0</v>
      </c>
      <c r="L198" s="7" t="str">
        <f t="shared" si="3"/>
        <v>Other</v>
      </c>
      <c r="M198" s="7" t="str">
        <f t="shared" si="4"/>
        <v>Neutral</v>
      </c>
      <c r="N198" s="7" t="str">
        <f>IFERROR(__xludf.DUMMYFUNCTION("LOWER(
TRIM(
REGEXREPLACE(B198,""[^a-zA-Z\s]"","""")
)
)
"),"dewayne lovell")</f>
        <v>dewayne lovell</v>
      </c>
      <c r="O198" s="7">
        <f t="shared" si="5"/>
        <v>1</v>
      </c>
      <c r="P198" s="8" t="str">
        <f t="shared" si="6"/>
        <v>No</v>
      </c>
    </row>
    <row r="199">
      <c r="A199" s="4" t="s">
        <v>16</v>
      </c>
      <c r="B199" s="4" t="s">
        <v>592</v>
      </c>
      <c r="C199" s="5">
        <v>45034.0</v>
      </c>
      <c r="D199" s="5">
        <v>45047.0</v>
      </c>
      <c r="E199" s="4" t="s">
        <v>593</v>
      </c>
      <c r="F199" s="4" t="s">
        <v>331</v>
      </c>
      <c r="G199" s="6" t="str">
        <f>IFERROR(__xludf.DUMMYFUNCTION("REGEXREPLACE(LOWER(F199),""[^a-z\s]"","""")"),"none")</f>
        <v>none</v>
      </c>
      <c r="H199" s="4" t="str">
        <f t="shared" si="1"/>
        <v>none</v>
      </c>
      <c r="I199" s="6">
        <f t="shared" si="2"/>
        <v>1</v>
      </c>
      <c r="J199" s="6">
        <f>IFERROR(__xludf.DUMMYFUNCTION("IF(H199="""","""",
SUM(
ARRAYFORMULA(
IF(
REGEXMATCH(
"" ""&amp;H199&amp;"" "",
"" ""&amp;Sentiment_Words!A$2:A3730&amp;"" ""
),
1,
0
)
)
)
)"),0.0)</f>
        <v>0</v>
      </c>
      <c r="K199" s="4">
        <f>IFERROR(__xludf.DUMMYFUNCTION("IF(H199="""","""",
SUM(
ARRAYFORMULA(
IF(
REGEXMATCH(
"" ""&amp;H199&amp;"" "",
"" ""&amp;Sentiment_Words!B$2:B3730&amp;"" ""
),
1,
0
)
)
)
)"),0.0)</f>
        <v>0</v>
      </c>
      <c r="L199" s="7" t="str">
        <f t="shared" si="3"/>
        <v>Other</v>
      </c>
      <c r="M199" s="7" t="str">
        <f t="shared" si="4"/>
        <v>Neutral</v>
      </c>
      <c r="N199" s="7" t="str">
        <f>IFERROR(__xludf.DUMMYFUNCTION("LOWER(
TRIM(
REGEXREPLACE(B199,""[^a-zA-Z\s]"","""")
)
)
"),"ahmmed patwary")</f>
        <v>ahmmed patwary</v>
      </c>
      <c r="O199" s="7">
        <f t="shared" si="5"/>
        <v>1</v>
      </c>
      <c r="P199" s="8" t="str">
        <f t="shared" si="6"/>
        <v>No</v>
      </c>
    </row>
    <row r="200">
      <c r="A200" s="4" t="s">
        <v>16</v>
      </c>
      <c r="B200" s="4" t="s">
        <v>594</v>
      </c>
      <c r="C200" s="5">
        <v>45039.0</v>
      </c>
      <c r="D200" s="5">
        <v>45051.0</v>
      </c>
      <c r="E200" s="4" t="s">
        <v>595</v>
      </c>
      <c r="F200" s="4" t="s">
        <v>331</v>
      </c>
      <c r="G200" s="6" t="str">
        <f>IFERROR(__xludf.DUMMYFUNCTION("REGEXREPLACE(LOWER(F200),""[^a-z\s]"","""")"),"none")</f>
        <v>none</v>
      </c>
      <c r="H200" s="4" t="str">
        <f t="shared" si="1"/>
        <v>none</v>
      </c>
      <c r="I200" s="6">
        <f t="shared" si="2"/>
        <v>1</v>
      </c>
      <c r="J200" s="6">
        <f>IFERROR(__xludf.DUMMYFUNCTION("IF(H200="""","""",
SUM(
ARRAYFORMULA(
IF(
REGEXMATCH(
"" ""&amp;H200&amp;"" "",
"" ""&amp;Sentiment_Words!A$2:A3730&amp;"" ""
),
1,
0
)
)
)
)"),0.0)</f>
        <v>0</v>
      </c>
      <c r="K200" s="4">
        <f>IFERROR(__xludf.DUMMYFUNCTION("IF(H200="""","""",
SUM(
ARRAYFORMULA(
IF(
REGEXMATCH(
"" ""&amp;H200&amp;"" "",
"" ""&amp;Sentiment_Words!B$2:B3730&amp;"" ""
),
1,
0
)
)
)
)"),0.0)</f>
        <v>0</v>
      </c>
      <c r="L200" s="7" t="str">
        <f t="shared" si="3"/>
        <v>Other</v>
      </c>
      <c r="M200" s="7" t="str">
        <f t="shared" si="4"/>
        <v>Neutral</v>
      </c>
      <c r="N200" s="7" t="str">
        <f>IFERROR(__xludf.DUMMYFUNCTION("LOWER(
TRIM(
REGEXREPLACE(B200,""[^a-zA-Z\s]"","""")
)
)
"),"andrea")</f>
        <v>andrea</v>
      </c>
      <c r="O200" s="7">
        <f t="shared" si="5"/>
        <v>2</v>
      </c>
      <c r="P200" s="8" t="str">
        <f t="shared" si="6"/>
        <v>Yes</v>
      </c>
    </row>
    <row r="201">
      <c r="A201" s="4" t="s">
        <v>16</v>
      </c>
      <c r="B201" s="4" t="s">
        <v>596</v>
      </c>
      <c r="C201" s="9">
        <v>45047.0</v>
      </c>
      <c r="D201" s="5">
        <v>45059.0</v>
      </c>
      <c r="E201" s="4" t="s">
        <v>597</v>
      </c>
      <c r="F201" s="4" t="s">
        <v>331</v>
      </c>
      <c r="G201" s="6" t="str">
        <f>IFERROR(__xludf.DUMMYFUNCTION("REGEXREPLACE(LOWER(F201),""[^a-z\s]"","""")"),"none")</f>
        <v>none</v>
      </c>
      <c r="H201" s="4" t="str">
        <f t="shared" si="1"/>
        <v>none</v>
      </c>
      <c r="I201" s="6">
        <f t="shared" si="2"/>
        <v>1</v>
      </c>
      <c r="J201" s="6">
        <f>IFERROR(__xludf.DUMMYFUNCTION("IF(H201="""","""",
SUM(
ARRAYFORMULA(
IF(
REGEXMATCH(
"" ""&amp;H201&amp;"" "",
"" ""&amp;Sentiment_Words!A$2:A3730&amp;"" ""
),
1,
0
)
)
)
)"),0.0)</f>
        <v>0</v>
      </c>
      <c r="K201" s="4">
        <f>IFERROR(__xludf.DUMMYFUNCTION("IF(H201="""","""",
SUM(
ARRAYFORMULA(
IF(
REGEXMATCH(
"" ""&amp;H201&amp;"" "",
"" ""&amp;Sentiment_Words!B$2:B3730&amp;"" ""
),
1,
0
)
)
)
)"),0.0)</f>
        <v>0</v>
      </c>
      <c r="L201" s="7" t="str">
        <f t="shared" si="3"/>
        <v>Other</v>
      </c>
      <c r="M201" s="7" t="str">
        <f t="shared" si="4"/>
        <v>Neutral</v>
      </c>
      <c r="N201" s="7" t="str">
        <f>IFERROR(__xludf.DUMMYFUNCTION("LOWER(
TRIM(
REGEXREPLACE(B201,""[^a-zA-Z\s]"","""")
)
)
"),"terry anderson")</f>
        <v>terry anderson</v>
      </c>
      <c r="O201" s="7">
        <f t="shared" si="5"/>
        <v>1</v>
      </c>
      <c r="P201" s="8" t="str">
        <f t="shared" si="6"/>
        <v>No</v>
      </c>
    </row>
    <row r="202">
      <c r="A202" s="4" t="s">
        <v>16</v>
      </c>
      <c r="B202" s="4" t="s">
        <v>598</v>
      </c>
      <c r="C202" s="5">
        <v>45032.0</v>
      </c>
      <c r="D202" s="10">
        <v>45046.0</v>
      </c>
      <c r="E202" s="4" t="s">
        <v>599</v>
      </c>
      <c r="F202" s="4" t="s">
        <v>600</v>
      </c>
      <c r="G202" s="6" t="str">
        <f>IFERROR(__xludf.DUMMYFUNCTION("REGEXREPLACE(LOWER(F202),""[^a-z\s]"","""")"),"i order and in no time my order is delivered staff also quite helpful with advice and customer service")</f>
        <v>i order and in no time my order is delivered staff also quite helpful with advice and customer service</v>
      </c>
      <c r="H202" s="4" t="str">
        <f t="shared" si="1"/>
        <v>i order in no time my order delivered staff also quite helpful with advice customer service</v>
      </c>
      <c r="I202" s="6">
        <f t="shared" si="2"/>
        <v>16</v>
      </c>
      <c r="J202" s="6">
        <f>IFERROR(__xludf.DUMMYFUNCTION("IF(H202="""","""",
SUM(
ARRAYFORMULA(
IF(
REGEXMATCH(
"" ""&amp;H202&amp;"" "",
"" ""&amp;Sentiment_Words!A$2:A3730&amp;"" ""
),
1,
0
)
)
)
)"),2.0)</f>
        <v>2</v>
      </c>
      <c r="K202" s="4">
        <f>IFERROR(__xludf.DUMMYFUNCTION("IF(H202="""","""",
SUM(
ARRAYFORMULA(
IF(
REGEXMATCH(
"" ""&amp;H202&amp;"" "",
"" ""&amp;Sentiment_Words!B$2:B3730&amp;"" ""
),
1,
0
)
)
)
)"),1.0)</f>
        <v>1</v>
      </c>
      <c r="L202" s="7" t="str">
        <f t="shared" si="3"/>
        <v>Customer Support</v>
      </c>
      <c r="M202" s="7" t="str">
        <f t="shared" si="4"/>
        <v>Positive</v>
      </c>
      <c r="N202" s="7" t="str">
        <f>IFERROR(__xludf.DUMMYFUNCTION("LOWER(
TRIM(
REGEXREPLACE(B202,""[^a-zA-Z\s]"","""")
)
)
"),"sylvia bl")</f>
        <v>sylvia bl</v>
      </c>
      <c r="O202" s="7">
        <f t="shared" si="5"/>
        <v>1</v>
      </c>
      <c r="P202" s="8" t="str">
        <f t="shared" si="6"/>
        <v>No</v>
      </c>
    </row>
    <row r="203">
      <c r="A203" s="4" t="s">
        <v>16</v>
      </c>
      <c r="B203" s="4" t="s">
        <v>601</v>
      </c>
      <c r="C203" s="5">
        <v>45033.0</v>
      </c>
      <c r="D203" s="10">
        <v>45045.0</v>
      </c>
      <c r="E203" s="4" t="s">
        <v>602</v>
      </c>
      <c r="F203" s="4" t="s">
        <v>603</v>
      </c>
      <c r="G203" s="6" t="str">
        <f>IFERROR(__xludf.DUMMYFUNCTION("REGEXREPLACE(LOWER(F203),""[^a-z\s]"","""")"),"i am committed to feeding my cat the required ingredients suggested by my vet to give tammy quality of life as she grows older because of the cost of prescription diet food i have to shop around for the best affordable prices which petflow has provided an"&amp;"d is my number one choice for price quality and prompt service in that regards i look forward to continuing with petflow to provide tammys needs in the future")</f>
        <v>i am committed to feeding my cat the required ingredients suggested by my vet to give tammy quality of life as she grows older because of the cost of prescription diet food i have to shop around for the best affordable prices which petflow has provided and is my number one choice for price quality and prompt service in that regards i look forward to continuing with petflow to provide tammys needs in the future</v>
      </c>
      <c r="H203" s="4" t="str">
        <f t="shared" si="1"/>
        <v>i am committed feeding my cat required ingredients suggested by my vet give tammy quality of life as she grows older because of cost of prescription diet food i have shop around best affordable prices which petflow has provided my number one choice price quality prompt service in that regards i look forward continuing with petflow provide tammys needs in future</v>
      </c>
      <c r="I203" s="6">
        <f t="shared" si="2"/>
        <v>61</v>
      </c>
      <c r="J203" s="6">
        <f>IFERROR(__xludf.DUMMYFUNCTION("IF(H203="""","""",
SUM(
ARRAYFORMULA(
IF(
REGEXMATCH(
"" ""&amp;H203&amp;"" "",
"" ""&amp;Sentiment_Words!A$2:A3730&amp;"" ""
),
1,
0
)
)
)
)"),2.0)</f>
        <v>2</v>
      </c>
      <c r="K203" s="4">
        <f>IFERROR(__xludf.DUMMYFUNCTION("IF(H203="""","""",
SUM(
ARRAYFORMULA(
IF(
REGEXMATCH(
"" ""&amp;H203&amp;"" "",
"" ""&amp;Sentiment_Words!B$2:B3730&amp;"" ""
),
1,
0
)
)
)
)"),0.0)</f>
        <v>0</v>
      </c>
      <c r="L203" s="7" t="str">
        <f t="shared" si="3"/>
        <v>Customer Support</v>
      </c>
      <c r="M203" s="7" t="str">
        <f t="shared" si="4"/>
        <v>Positive</v>
      </c>
      <c r="N203" s="7" t="str">
        <f>IFERROR(__xludf.DUMMYFUNCTION("LOWER(
TRIM(
REGEXREPLACE(B203,""[^a-zA-Z\s]"","""")
)
)
"),"valerie fox")</f>
        <v>valerie fox</v>
      </c>
      <c r="O203" s="7">
        <f t="shared" si="5"/>
        <v>1</v>
      </c>
      <c r="P203" s="8" t="str">
        <f t="shared" si="6"/>
        <v>No</v>
      </c>
    </row>
    <row r="204">
      <c r="A204" s="4" t="s">
        <v>16</v>
      </c>
      <c r="B204" s="4" t="s">
        <v>604</v>
      </c>
      <c r="C204" s="5">
        <v>45033.0</v>
      </c>
      <c r="D204" s="10">
        <v>45045.0</v>
      </c>
      <c r="E204" s="4" t="s">
        <v>605</v>
      </c>
      <c r="F204" s="4" t="s">
        <v>606</v>
      </c>
      <c r="G204" s="6" t="str">
        <f>IFERROR(__xludf.DUMMYFUNCTION("REGEXREPLACE(LOWER(F204),""[^a-z\s]"","""")"),"i needed a prescription food you say you stock your instructions were to mail the prescription in this seems bazaar in the online world after a few days you emailed me saying that i could email a scanned in image of the prescirption
why didnt you provide"&amp;" this right up front
i went back to my old online provider who accepts scanned in images  as part of the process")</f>
        <v>i needed a prescription food you say you stock your instructions were to mail the prescription in this seems bazaar in the online world after a few days you emailed me saying that i could email a scanned in image of the prescirption
why didnt you provide this right up front
i went back to my old online provider who accepts scanned in images  as part of the process</v>
      </c>
      <c r="H204" s="4" t="str">
        <f t="shared" si="1"/>
        <v>i needed a prescription food you say you stock your instructions were mail prescription in this seems bazaar in online world after a few days you emailed me saying that i could email a scanned in image of prescirption
why didnt you provide this right up front
i went back my old online provider who accepts scanned in images as part of process</v>
      </c>
      <c r="I204" s="6">
        <f t="shared" si="2"/>
        <v>61</v>
      </c>
      <c r="J204" s="6">
        <f>IFERROR(__xludf.DUMMYFUNCTION("IF(H204="""","""",
SUM(
ARRAYFORMULA(
IF(
REGEXMATCH(
"" ""&amp;H204&amp;"" "",
"" ""&amp;Sentiment_Words!A$2:A3730&amp;"" ""
),
1,
0
)
)
)
)"),0.0)</f>
        <v>0</v>
      </c>
      <c r="K204" s="4">
        <f>IFERROR(__xludf.DUMMYFUNCTION("IF(H204="""","""",
SUM(
ARRAYFORMULA(
IF(
REGEXMATCH(
"" ""&amp;H204&amp;"" "",
"" ""&amp;Sentiment_Words!B$2:B3730&amp;"" ""
),
1,
0
)
)
)
)"),0.0)</f>
        <v>0</v>
      </c>
      <c r="L204" s="7" t="str">
        <f t="shared" si="3"/>
        <v>Other</v>
      </c>
      <c r="M204" s="7" t="str">
        <f t="shared" si="4"/>
        <v>Neutral</v>
      </c>
      <c r="N204" s="7" t="str">
        <f>IFERROR(__xludf.DUMMYFUNCTION("LOWER(
TRIM(
REGEXREPLACE(B204,""[^a-zA-Z\s]"","""")
)
)
"),"roch malzac")</f>
        <v>roch malzac</v>
      </c>
      <c r="O204" s="7">
        <f t="shared" si="5"/>
        <v>1</v>
      </c>
      <c r="P204" s="8" t="str">
        <f t="shared" si="6"/>
        <v>No</v>
      </c>
    </row>
    <row r="205">
      <c r="A205" s="4" t="s">
        <v>16</v>
      </c>
      <c r="B205" s="4" t="s">
        <v>607</v>
      </c>
      <c r="C205" s="5">
        <v>45033.0</v>
      </c>
      <c r="D205" s="10">
        <v>45045.0</v>
      </c>
      <c r="E205" s="4" t="s">
        <v>608</v>
      </c>
      <c r="F205" s="4" t="s">
        <v>609</v>
      </c>
      <c r="G205" s="6" t="str">
        <f>IFERROR(__xludf.DUMMYFUNCTION("REGEXREPLACE(LOWER(F205),""[^a-z\s]"","""")"),"always fast service good prices")</f>
        <v>always fast service good prices</v>
      </c>
      <c r="H205" s="4" t="str">
        <f t="shared" si="1"/>
        <v>always fast service good prices</v>
      </c>
      <c r="I205" s="6">
        <f t="shared" si="2"/>
        <v>5</v>
      </c>
      <c r="J205" s="6">
        <f>IFERROR(__xludf.DUMMYFUNCTION("IF(H205="""","""",
SUM(
ARRAYFORMULA(
IF(
REGEXMATCH(
"" ""&amp;H205&amp;"" "",
"" ""&amp;Sentiment_Words!A$2:A3730&amp;"" ""
),
1,
0
)
)
)
)"),2.0)</f>
        <v>2</v>
      </c>
      <c r="K205" s="4">
        <f>IFERROR(__xludf.DUMMYFUNCTION("IF(H205="""","""",
SUM(
ARRAYFORMULA(
IF(
REGEXMATCH(
"" ""&amp;H205&amp;"" "",
"" ""&amp;Sentiment_Words!B$2:B3730&amp;"" ""
),
1,
0
)
)
)
)"),0.0)</f>
        <v>0</v>
      </c>
      <c r="L205" s="7" t="str">
        <f t="shared" si="3"/>
        <v>Customer Support</v>
      </c>
      <c r="M205" s="7" t="str">
        <f t="shared" si="4"/>
        <v>Positive</v>
      </c>
      <c r="N205" s="7" t="str">
        <f>IFERROR(__xludf.DUMMYFUNCTION("LOWER(
TRIM(
REGEXREPLACE(B205,""[^a-zA-Z\s]"","""")
)
)
"),"eric bell")</f>
        <v>eric bell</v>
      </c>
      <c r="O205" s="7">
        <f t="shared" si="5"/>
        <v>1</v>
      </c>
      <c r="P205" s="8" t="str">
        <f t="shared" si="6"/>
        <v>No</v>
      </c>
    </row>
    <row r="206">
      <c r="A206" s="4" t="s">
        <v>16</v>
      </c>
      <c r="B206" s="4" t="s">
        <v>610</v>
      </c>
      <c r="C206" s="5">
        <v>45033.0</v>
      </c>
      <c r="D206" s="10">
        <v>45045.0</v>
      </c>
      <c r="E206" s="4" t="s">
        <v>611</v>
      </c>
      <c r="F206" s="4" t="s">
        <v>612</v>
      </c>
      <c r="G206" s="6" t="str">
        <f>IFERROR(__xludf.DUMMYFUNCTION("REGEXREPLACE(LOWER(F206),""[^a-z\s]"","""")"),"best price on kmr liquid and powder")</f>
        <v>best price on kmr liquid and powder</v>
      </c>
      <c r="H206" s="4" t="str">
        <f t="shared" si="1"/>
        <v>best price on kmr liquid powder</v>
      </c>
      <c r="I206" s="6">
        <f t="shared" si="2"/>
        <v>6</v>
      </c>
      <c r="J206" s="6">
        <f>IFERROR(__xludf.DUMMYFUNCTION("IF(H206="""","""",
SUM(
ARRAYFORMULA(
IF(
REGEXMATCH(
"" ""&amp;H206&amp;"" "",
"" ""&amp;Sentiment_Words!A$2:A3730&amp;"" ""
),
1,
0
)
)
)
)"),0.0)</f>
        <v>0</v>
      </c>
      <c r="K206" s="4">
        <f>IFERROR(__xludf.DUMMYFUNCTION("IF(H206="""","""",
SUM(
ARRAYFORMULA(
IF(
REGEXMATCH(
"" ""&amp;H206&amp;"" "",
"" ""&amp;Sentiment_Words!B$2:B3730&amp;"" ""
),
1,
0
)
)
)
)"),0.0)</f>
        <v>0</v>
      </c>
      <c r="L206" s="7" t="str">
        <f t="shared" si="3"/>
        <v>Other</v>
      </c>
      <c r="M206" s="7" t="str">
        <f t="shared" si="4"/>
        <v>Neutral</v>
      </c>
      <c r="N206" s="7" t="str">
        <f>IFERROR(__xludf.DUMMYFUNCTION("LOWER(
TRIM(
REGEXREPLACE(B206,""[^a-zA-Z\s]"","""")
)
)
"),"phillip manley")</f>
        <v>phillip manley</v>
      </c>
      <c r="O206" s="7">
        <f t="shared" si="5"/>
        <v>1</v>
      </c>
      <c r="P206" s="8" t="str">
        <f t="shared" si="6"/>
        <v>No</v>
      </c>
    </row>
    <row r="207">
      <c r="A207" s="4" t="s">
        <v>16</v>
      </c>
      <c r="B207" s="4" t="s">
        <v>613</v>
      </c>
      <c r="C207" s="5">
        <v>45033.0</v>
      </c>
      <c r="D207" s="10">
        <v>45045.0</v>
      </c>
      <c r="E207" s="4" t="s">
        <v>614</v>
      </c>
      <c r="F207" s="4" t="s">
        <v>615</v>
      </c>
      <c r="G207" s="6" t="str">
        <f>IFERROR(__xludf.DUMMYFUNCTION("REGEXREPLACE(LOWER(F207),""[^a-z\s]"","""")"),"great service  pricing
thank you")</f>
        <v>great service  pricing
thank you</v>
      </c>
      <c r="H207" s="4" t="str">
        <f t="shared" si="1"/>
        <v>great service pricing
thank you</v>
      </c>
      <c r="I207" s="6">
        <f t="shared" si="2"/>
        <v>4</v>
      </c>
      <c r="J207" s="6">
        <f>IFERROR(__xludf.DUMMYFUNCTION("IF(H207="""","""",
SUM(
ARRAYFORMULA(
IF(
REGEXMATCH(
"" ""&amp;H207&amp;"" "",
"" ""&amp;Sentiment_Words!A$2:A3730&amp;"" ""
),
1,
0
)
)
)
)"),1.0)</f>
        <v>1</v>
      </c>
      <c r="K207" s="4">
        <f>IFERROR(__xludf.DUMMYFUNCTION("IF(H207="""","""",
SUM(
ARRAYFORMULA(
IF(
REGEXMATCH(
"" ""&amp;H207&amp;"" "",
"" ""&amp;Sentiment_Words!B$2:B3730&amp;"" ""
),
1,
0
)
)
)
)"),0.0)</f>
        <v>0</v>
      </c>
      <c r="L207" s="7" t="str">
        <f t="shared" si="3"/>
        <v>Customer Support</v>
      </c>
      <c r="M207" s="7" t="str">
        <f t="shared" si="4"/>
        <v>Positive</v>
      </c>
      <c r="N207" s="7" t="str">
        <f>IFERROR(__xludf.DUMMYFUNCTION("LOWER(
TRIM(
REGEXREPLACE(B207,""[^a-zA-Z\s]"","""")
)
)
"),"linda sforza")</f>
        <v>linda sforza</v>
      </c>
      <c r="O207" s="7">
        <f t="shared" si="5"/>
        <v>1</v>
      </c>
      <c r="P207" s="8" t="str">
        <f t="shared" si="6"/>
        <v>No</v>
      </c>
    </row>
    <row r="208">
      <c r="A208" s="4" t="s">
        <v>16</v>
      </c>
      <c r="B208" s="4" t="s">
        <v>616</v>
      </c>
      <c r="C208" s="5">
        <v>45031.0</v>
      </c>
      <c r="D208" s="10">
        <v>45045.0</v>
      </c>
      <c r="E208" s="4" t="s">
        <v>617</v>
      </c>
      <c r="F208" s="4" t="s">
        <v>618</v>
      </c>
      <c r="G208" s="6" t="str">
        <f>IFERROR(__xludf.DUMMYFUNCTION("REGEXREPLACE(LOWER(F208),""[^a-z\s]"","""")"),"first petflow shipped my product to the wrong address even though they confirmed via email and text that the address would be updated to the correct address for the shipment secondly do not rely on their autoship  they have constant delays so it is not de"&amp;"pendable like everything else about their company their workers demonstrate incompetence and their access to products is unreliable some items may be cheaper on petflow but you pay a worse price in other ways")</f>
        <v>first petflow shipped my product to the wrong address even though they confirmed via email and text that the address would be updated to the correct address for the shipment secondly do not rely on their autoship  they have constant delays so it is not dependable like everything else about their company their workers demonstrate incompetence and their access to products is unreliable some items may be cheaper on petflow but you pay a worse price in other ways</v>
      </c>
      <c r="H208" s="4" t="str">
        <f t="shared" si="1"/>
        <v>first petflow shipped my product wrong address even though they confirmed via email text that address would be updated correct address shipment secondly do not rely on their autoship they have constant delays so it not dependable like everything else about their company their workers demonstrate incompetence their access products unreliable some items may be cheaper on petflow but you pay a worse price in other ways</v>
      </c>
      <c r="I208" s="6">
        <f t="shared" si="2"/>
        <v>67</v>
      </c>
      <c r="J208" s="6">
        <f>IFERROR(__xludf.DUMMYFUNCTION("IF(H208="""","""",
SUM(
ARRAYFORMULA(
IF(
REGEXMATCH(
"" ""&amp;H208&amp;"" "",
"" ""&amp;Sentiment_Words!A$2:A3730&amp;"" ""
),
1,
0
)
)
)
)"),1.0)</f>
        <v>1</v>
      </c>
      <c r="K208" s="4">
        <f>IFERROR(__xludf.DUMMYFUNCTION("IF(H208="""","""",
SUM(
ARRAYFORMULA(
IF(
REGEXMATCH(
"" ""&amp;H208&amp;"" "",
"" ""&amp;Sentiment_Words!B$2:B3730&amp;"" ""
),
1,
0
)
)
)
)"),1.0)</f>
        <v>1</v>
      </c>
      <c r="L208" s="7" t="str">
        <f t="shared" si="3"/>
        <v>Fulfillment &amp; Shipping</v>
      </c>
      <c r="M208" s="7" t="str">
        <f t="shared" si="4"/>
        <v>Neutral</v>
      </c>
      <c r="N208" s="7" t="str">
        <f>IFERROR(__xludf.DUMMYFUNCTION("LOWER(
TRIM(
REGEXREPLACE(B208,""[^a-zA-Z\s]"","""")
)
)
"),"lisa rosselli")</f>
        <v>lisa rosselli</v>
      </c>
      <c r="O208" s="7">
        <f t="shared" si="5"/>
        <v>1</v>
      </c>
      <c r="P208" s="8" t="str">
        <f t="shared" si="6"/>
        <v>No</v>
      </c>
    </row>
    <row r="209">
      <c r="A209" s="4" t="s">
        <v>16</v>
      </c>
      <c r="B209" s="4" t="s">
        <v>619</v>
      </c>
      <c r="C209" s="5">
        <v>45044.0</v>
      </c>
      <c r="D209" s="10">
        <v>45045.0</v>
      </c>
      <c r="E209" s="4" t="s">
        <v>620</v>
      </c>
      <c r="F209" s="4" t="s">
        <v>621</v>
      </c>
      <c r="G209" s="6" t="str">
        <f>IFERROR(__xludf.DUMMYFUNCTION("REGEXREPLACE(LOWER(F209),""[^a-z\s]"","""")"),"great service
easy to order
shipped quickly
thanks")</f>
        <v>great service
easy to order
shipped quickly
thanks</v>
      </c>
      <c r="H209" s="4" t="str">
        <f t="shared" si="1"/>
        <v>great service
easy order
shipped quickly
thanks</v>
      </c>
      <c r="I209" s="6">
        <f t="shared" si="2"/>
        <v>4</v>
      </c>
      <c r="J209" s="6">
        <f>IFERROR(__xludf.DUMMYFUNCTION("IF(H209="""","""",
SUM(
ARRAYFORMULA(
IF(
REGEXMATCH(
"" ""&amp;H209&amp;"" "",
"" ""&amp;Sentiment_Words!A$2:A3730&amp;"" ""
),
1,
0
)
)
)
)"),1.0)</f>
        <v>1</v>
      </c>
      <c r="K209" s="4">
        <f>IFERROR(__xludf.DUMMYFUNCTION("IF(H209="""","""",
SUM(
ARRAYFORMULA(
IF(
REGEXMATCH(
"" ""&amp;H209&amp;"" "",
"" ""&amp;Sentiment_Words!B$2:B3730&amp;"" ""
),
1,
0
)
)
)
)"),0.0)</f>
        <v>0</v>
      </c>
      <c r="L209" s="7" t="str">
        <f t="shared" si="3"/>
        <v>Customer Support</v>
      </c>
      <c r="M209" s="7" t="str">
        <f t="shared" si="4"/>
        <v>Positive</v>
      </c>
      <c r="N209" s="7" t="str">
        <f>IFERROR(__xludf.DUMMYFUNCTION("LOWER(
TRIM(
REGEXREPLACE(B209,""[^a-zA-Z\s]"","""")
)
)
"),"karen ivers")</f>
        <v>karen ivers</v>
      </c>
      <c r="O209" s="7">
        <f t="shared" si="5"/>
        <v>1</v>
      </c>
      <c r="P209" s="8" t="str">
        <f t="shared" si="6"/>
        <v>No</v>
      </c>
    </row>
    <row r="210">
      <c r="A210" s="4" t="s">
        <v>16</v>
      </c>
      <c r="B210" s="4" t="s">
        <v>622</v>
      </c>
      <c r="C210" s="5">
        <v>45032.0</v>
      </c>
      <c r="D210" s="10">
        <v>45044.0</v>
      </c>
      <c r="E210" s="4" t="s">
        <v>623</v>
      </c>
      <c r="F210" s="4" t="s">
        <v>624</v>
      </c>
      <c r="G210" s="6" t="str">
        <f>IFERROR(__xludf.DUMMYFUNCTION("REGEXREPLACE(LOWER(F210),""[^a-z\s]"","""")"),"excellent customer service thank you")</f>
        <v>excellent customer service thank you</v>
      </c>
      <c r="H210" s="4" t="str">
        <f t="shared" si="1"/>
        <v>excellent customer service thank you</v>
      </c>
      <c r="I210" s="6">
        <f t="shared" si="2"/>
        <v>5</v>
      </c>
      <c r="J210" s="6">
        <f>IFERROR(__xludf.DUMMYFUNCTION("IF(H210="""","""",
SUM(
ARRAYFORMULA(
IF(
REGEXMATCH(
"" ""&amp;H210&amp;"" "",
"" ""&amp;Sentiment_Words!A$2:A3730&amp;"" ""
),
1,
0
)
)
)
)"),0.0)</f>
        <v>0</v>
      </c>
      <c r="K210" s="4">
        <f>IFERROR(__xludf.DUMMYFUNCTION("IF(H210="""","""",
SUM(
ARRAYFORMULA(
IF(
REGEXMATCH(
"" ""&amp;H210&amp;"" "",
"" ""&amp;Sentiment_Words!B$2:B3730&amp;"" ""
),
1,
0
)
)
)
)"),1.0)</f>
        <v>1</v>
      </c>
      <c r="L210" s="7" t="str">
        <f t="shared" si="3"/>
        <v>Customer Support</v>
      </c>
      <c r="M210" s="7" t="str">
        <f t="shared" si="4"/>
        <v>Negative</v>
      </c>
      <c r="N210" s="7" t="str">
        <f>IFERROR(__xludf.DUMMYFUNCTION("LOWER(
TRIM(
REGEXREPLACE(B210,""[^a-zA-Z\s]"","""")
)
)
"),"crystal brown")</f>
        <v>crystal brown</v>
      </c>
      <c r="O210" s="7">
        <f t="shared" si="5"/>
        <v>1</v>
      </c>
      <c r="P210" s="8" t="str">
        <f t="shared" si="6"/>
        <v>No</v>
      </c>
    </row>
    <row r="211">
      <c r="A211" s="4" t="s">
        <v>16</v>
      </c>
      <c r="B211" s="4" t="s">
        <v>625</v>
      </c>
      <c r="C211" s="5">
        <v>45032.0</v>
      </c>
      <c r="D211" s="10">
        <v>45044.0</v>
      </c>
      <c r="E211" s="4" t="s">
        <v>626</v>
      </c>
      <c r="F211" s="4" t="s">
        <v>627</v>
      </c>
      <c r="G211" s="6" t="str">
        <f>IFERROR(__xludf.DUMMYFUNCTION("REGEXREPLACE(LOWER(F211),""[^a-z\s]"","""")"),"i found what i needed quickly not many shippers carry nutrisource i also got a significant discount through my capital one addon so i bought  bags to get the free delivery they were delivered very quickly as well i am disappointed that they dont participa"&amp;"te in the frequent buyer freebies that nutrisource offers though the  autoship is more than most other companies offer some of the prices such as the nutrisource dog food are still too high though")</f>
        <v>i found what i needed quickly not many shippers carry nutrisource i also got a significant discount through my capital one addon so i bought  bags to get the free delivery they were delivered very quickly as well i am disappointed that they dont participate in the frequent buyer freebies that nutrisource offers though the  autoship is more than most other companies offer some of the prices such as the nutrisource dog food are still too high though</v>
      </c>
      <c r="H211" s="4" t="str">
        <f t="shared" si="1"/>
        <v>i found what i needed quickly not many shippers carry nutrisource i also got a significant discount through my capital one addon so i bought bags get free delivery they were delivered very quickly as well i am disappointed that they dont participate in frequent buyer freebies that nutrisource offers though autoship more than most other companies offer some of prices such as nutrisource dog food are still too high though</v>
      </c>
      <c r="I211" s="6">
        <f t="shared" si="2"/>
        <v>71</v>
      </c>
      <c r="J211" s="6">
        <f>IFERROR(__xludf.DUMMYFUNCTION("IF(H211="""","""",
SUM(
ARRAYFORMULA(
IF(
REGEXMATCH(
"" ""&amp;H211&amp;"" "",
"" ""&amp;Sentiment_Words!A$2:A3730&amp;"" ""
),
1,
0
)
)
)
)"),2.0)</f>
        <v>2</v>
      </c>
      <c r="K211" s="4">
        <f>IFERROR(__xludf.DUMMYFUNCTION("IF(H211="""","""",
SUM(
ARRAYFORMULA(
IF(
REGEXMATCH(
"" ""&amp;H211&amp;"" "",
"" ""&amp;Sentiment_Words!B$2:B3730&amp;"" ""
),
1,
0
)
)
)
)"),0.0)</f>
        <v>0</v>
      </c>
      <c r="L211" s="7" t="str">
        <f t="shared" si="3"/>
        <v>Trust &amp; Experience</v>
      </c>
      <c r="M211" s="7" t="str">
        <f t="shared" si="4"/>
        <v>Positive</v>
      </c>
      <c r="N211" s="7" t="str">
        <f>IFERROR(__xludf.DUMMYFUNCTION("LOWER(
TRIM(
REGEXREPLACE(B211,""[^a-zA-Z\s]"","""")
)
)
"),"greg")</f>
        <v>greg</v>
      </c>
      <c r="O211" s="7">
        <f t="shared" si="5"/>
        <v>1</v>
      </c>
      <c r="P211" s="8" t="str">
        <f t="shared" si="6"/>
        <v>No</v>
      </c>
    </row>
    <row r="212">
      <c r="A212" s="4" t="s">
        <v>16</v>
      </c>
      <c r="B212" s="4" t="s">
        <v>628</v>
      </c>
      <c r="C212" s="5">
        <v>45003.0</v>
      </c>
      <c r="D212" s="10">
        <v>45044.0</v>
      </c>
      <c r="E212" s="4" t="s">
        <v>629</v>
      </c>
      <c r="F212" s="4" t="s">
        <v>630</v>
      </c>
      <c r="G212" s="6" t="str">
        <f>IFERROR(__xludf.DUMMYFUNCTION("REGEXREPLACE(LOWER(F212),""[^a-z\s]"","""")"),"easy to navigate website lots of name brand foods at reasonable prices")</f>
        <v>easy to navigate website lots of name brand foods at reasonable prices</v>
      </c>
      <c r="H212" s="4" t="str">
        <f t="shared" si="1"/>
        <v>easy navigate website lots of name brand foods at reasonable prices</v>
      </c>
      <c r="I212" s="6">
        <f t="shared" si="2"/>
        <v>11</v>
      </c>
      <c r="J212" s="6">
        <f>IFERROR(__xludf.DUMMYFUNCTION("IF(H212="""","""",
SUM(
ARRAYFORMULA(
IF(
REGEXMATCH(
"" ""&amp;H212&amp;"" "",
"" ""&amp;Sentiment_Words!A$2:A3730&amp;"" ""
),
1,
0
)
)
)
)"),1.0)</f>
        <v>1</v>
      </c>
      <c r="K212" s="4">
        <f>IFERROR(__xludf.DUMMYFUNCTION("IF(H212="""","""",
SUM(
ARRAYFORMULA(
IF(
REGEXMATCH(
"" ""&amp;H212&amp;"" "",
"" ""&amp;Sentiment_Words!B$2:B3730&amp;"" ""
),
1,
0
)
)
)
)"),0.0)</f>
        <v>0</v>
      </c>
      <c r="L212" s="7" t="str">
        <f t="shared" si="3"/>
        <v>Account &amp; Website</v>
      </c>
      <c r="M212" s="7" t="str">
        <f t="shared" si="4"/>
        <v>Positive</v>
      </c>
      <c r="N212" s="7" t="str">
        <f>IFERROR(__xludf.DUMMYFUNCTION("LOWER(
TRIM(
REGEXREPLACE(B212,""[^a-zA-Z\s]"","""")
)
)
"),"renee p")</f>
        <v>renee p</v>
      </c>
      <c r="O212" s="7">
        <f t="shared" si="5"/>
        <v>1</v>
      </c>
      <c r="P212" s="8" t="str">
        <f t="shared" si="6"/>
        <v>No</v>
      </c>
    </row>
    <row r="213">
      <c r="A213" s="4" t="s">
        <v>16</v>
      </c>
      <c r="B213" s="4" t="s">
        <v>631</v>
      </c>
      <c r="C213" s="5">
        <v>45032.0</v>
      </c>
      <c r="D213" s="10">
        <v>45044.0</v>
      </c>
      <c r="E213" s="4" t="s">
        <v>632</v>
      </c>
      <c r="F213" s="4" t="s">
        <v>633</v>
      </c>
      <c r="G213" s="6" t="str">
        <f>IFERROR(__xludf.DUMMYFUNCTION("REGEXREPLACE(LOWER(F213),""[^a-z\s]"","""")"),"best prices anywhere and great communication from petflow received food four days after ordered and pet flow notified me on day  the order was delayed one day in the st paul location but was quicker delivery time than other companies i have used so was ve"&amp;"ry happy to find petflow")</f>
        <v>best prices anywhere and great communication from petflow received food four days after ordered and pet flow notified me on day  the order was delayed one day in the st paul location but was quicker delivery time than other companies i have used so was very happy to find petflow</v>
      </c>
      <c r="H213" s="4" t="str">
        <f t="shared" si="1"/>
        <v>best prices anywhere great communication from petflow received food four days after ordered pet flow notified me on day order was delayed one day in st paul location but was quicker delivery time than other companies i have used so was very happy find petflow</v>
      </c>
      <c r="I213" s="6">
        <f t="shared" si="2"/>
        <v>45</v>
      </c>
      <c r="J213" s="6">
        <f>IFERROR(__xludf.DUMMYFUNCTION("IF(H213="""","""",
SUM(
ARRAYFORMULA(
IF(
REGEXMATCH(
"" ""&amp;H213&amp;"" "",
"" ""&amp;Sentiment_Words!A$2:A3730&amp;"" ""
),
1,
0
)
)
)
)"),2.0)</f>
        <v>2</v>
      </c>
      <c r="K213" s="4">
        <f>IFERROR(__xludf.DUMMYFUNCTION("IF(H213="""","""",
SUM(
ARRAYFORMULA(
IF(
REGEXMATCH(
"" ""&amp;H213&amp;"" "",
"" ""&amp;Sentiment_Words!B$2:B3730&amp;"" ""
),
1,
0
)
)
)
)"),1.0)</f>
        <v>1</v>
      </c>
      <c r="L213" s="7" t="str">
        <f t="shared" si="3"/>
        <v>Fulfillment &amp; Shipping</v>
      </c>
      <c r="M213" s="7" t="str">
        <f t="shared" si="4"/>
        <v>Positive</v>
      </c>
      <c r="N213" s="7" t="str">
        <f>IFERROR(__xludf.DUMMYFUNCTION("LOWER(
TRIM(
REGEXREPLACE(B213,""[^a-zA-Z\s]"","""")
)
)
"),"mary")</f>
        <v>mary</v>
      </c>
      <c r="O213" s="7">
        <f t="shared" si="5"/>
        <v>8</v>
      </c>
      <c r="P213" s="8" t="str">
        <f t="shared" si="6"/>
        <v>Yes</v>
      </c>
    </row>
    <row r="214">
      <c r="A214" s="4" t="s">
        <v>16</v>
      </c>
      <c r="B214" s="4" t="s">
        <v>634</v>
      </c>
      <c r="C214" s="5">
        <v>45032.0</v>
      </c>
      <c r="D214" s="10">
        <v>45044.0</v>
      </c>
      <c r="E214" s="4" t="s">
        <v>635</v>
      </c>
      <c r="F214" s="4" t="s">
        <v>636</v>
      </c>
      <c r="G214" s="6" t="str">
        <f>IFERROR(__xludf.DUMMYFUNCTION("REGEXREPLACE(LOWER(F214),""[^a-z\s]"","""")"),"the shipment was received in a timely manner however for the cost of the canned food i purchased almost can i would have expected a little bit of packaging material in the box almost all of the cans have big dents in them from being shipped i am glad that"&amp;" though that they carry the product")</f>
        <v>the shipment was received in a timely manner however for the cost of the canned food i purchased almost can i would have expected a little bit of packaging material in the box almost all of the cans have big dents in them from being shipped i am glad that though that they carry the product</v>
      </c>
      <c r="H214" s="4" t="str">
        <f t="shared" si="1"/>
        <v>shipment was received in a timely manner however cost of canned food i purchased almost can i would have expected a little bit of packaging material in box almost all of cans have big dents in them from being shipped i am glad that though that they carry product</v>
      </c>
      <c r="I214" s="6">
        <f t="shared" si="2"/>
        <v>49</v>
      </c>
      <c r="J214" s="6">
        <f>IFERROR(__xludf.DUMMYFUNCTION("IF(H214="""","""",
SUM(
ARRAYFORMULA(
IF(
REGEXMATCH(
"" ""&amp;H214&amp;"" "",
"" ""&amp;Sentiment_Words!A$2:A3730&amp;"" ""
),
1,
0
)
)
)
)"),0.0)</f>
        <v>0</v>
      </c>
      <c r="K214" s="4">
        <f>IFERROR(__xludf.DUMMYFUNCTION("IF(H214="""","""",
SUM(
ARRAYFORMULA(
IF(
REGEXMATCH(
"" ""&amp;H214&amp;"" "",
"" ""&amp;Sentiment_Words!B$2:B3730&amp;"" ""
),
1,
0
)
)
)
)"),0.0)</f>
        <v>0</v>
      </c>
      <c r="L214" s="7" t="str">
        <f t="shared" si="3"/>
        <v>Other</v>
      </c>
      <c r="M214" s="7" t="str">
        <f t="shared" si="4"/>
        <v>Neutral</v>
      </c>
      <c r="N214" s="7" t="str">
        <f>IFERROR(__xludf.DUMMYFUNCTION("LOWER(
TRIM(
REGEXREPLACE(B214,""[^a-zA-Z\s]"","""")
)
)
"),"dacatsparky")</f>
        <v>dacatsparky</v>
      </c>
      <c r="O214" s="7">
        <f t="shared" si="5"/>
        <v>1</v>
      </c>
      <c r="P214" s="8" t="str">
        <f t="shared" si="6"/>
        <v>No</v>
      </c>
    </row>
    <row r="215">
      <c r="A215" s="4" t="s">
        <v>16</v>
      </c>
      <c r="B215" s="4" t="s">
        <v>637</v>
      </c>
      <c r="C215" s="5">
        <v>45032.0</v>
      </c>
      <c r="D215" s="10">
        <v>45044.0</v>
      </c>
      <c r="E215" s="4" t="s">
        <v>638</v>
      </c>
      <c r="F215" s="4" t="s">
        <v>639</v>
      </c>
      <c r="G215" s="6" t="str">
        <f>IFERROR(__xludf.DUMMYFUNCTION("REGEXREPLACE(LOWER(F215),""[^a-z\s]"","""")"),"due to shipping restrictions i was unable to reroute the delivery via my fedex delivery manager this is a big issue for me because i live in an apartment complex with a lot of theft and having my cats expensive food stolen is too much of a risk to take wh"&amp;"en ordering from petflow")</f>
        <v>due to shipping restrictions i was unable to reroute the delivery via my fedex delivery manager this is a big issue for me because i live in an apartment complex with a lot of theft and having my cats expensive food stolen is too much of a risk to take when ordering from petflow</v>
      </c>
      <c r="H215" s="4" t="str">
        <f t="shared" si="1"/>
        <v>due shipping restrictions i was unable reroute delivery via my fedex delivery manager this a big issue me because i live in an apartment complex with a lot of theft having my cats expensive food stolen too much of a risk take when ordering from petflow</v>
      </c>
      <c r="I215" s="6">
        <f t="shared" si="2"/>
        <v>46</v>
      </c>
      <c r="J215" s="6">
        <f>IFERROR(__xludf.DUMMYFUNCTION("IF(H215="""","""",
SUM(
ARRAYFORMULA(
IF(
REGEXMATCH(
"" ""&amp;H215&amp;"" "",
"" ""&amp;Sentiment_Words!A$2:A3730&amp;"" ""
),
1,
0
)
)
)
)"),0.0)</f>
        <v>0</v>
      </c>
      <c r="K215" s="4">
        <f>IFERROR(__xludf.DUMMYFUNCTION("IF(H215="""","""",
SUM(
ARRAYFORMULA(
IF(
REGEXMATCH(
"" ""&amp;H215&amp;"" "",
"" ""&amp;Sentiment_Words!B$2:B3730&amp;"" ""
),
1,
0
)
)
)
)"),1.0)</f>
        <v>1</v>
      </c>
      <c r="L215" s="7" t="str">
        <f t="shared" si="3"/>
        <v>Other</v>
      </c>
      <c r="M215" s="7" t="str">
        <f t="shared" si="4"/>
        <v>Negative</v>
      </c>
      <c r="N215" s="7" t="str">
        <f>IFERROR(__xludf.DUMMYFUNCTION("LOWER(
TRIM(
REGEXREPLACE(B215,""[^a-zA-Z\s]"","""")
)
)
"),"troy arenz")</f>
        <v>troy arenz</v>
      </c>
      <c r="O215" s="7">
        <f t="shared" si="5"/>
        <v>1</v>
      </c>
      <c r="P215" s="8" t="str">
        <f t="shared" si="6"/>
        <v>No</v>
      </c>
    </row>
    <row r="216">
      <c r="A216" s="4" t="s">
        <v>16</v>
      </c>
      <c r="B216" s="4" t="s">
        <v>640</v>
      </c>
      <c r="C216" s="5">
        <v>45013.0</v>
      </c>
      <c r="D216" s="10">
        <v>45044.0</v>
      </c>
      <c r="E216" s="4" t="s">
        <v>641</v>
      </c>
      <c r="F216" s="4" t="s">
        <v>642</v>
      </c>
      <c r="G216" s="6" t="str">
        <f>IFERROR(__xludf.DUMMYFUNCTION("REGEXREPLACE(LOWER(F216),""[^a-z\s]"","""")"),"the website is very easy to navigate our purchases were shipped and arrived quickly to our home the prices are the best ive found all these things have added up for me to be a repeat customer")</f>
        <v>the website is very easy to navigate our purchases were shipped and arrived quickly to our home the prices are the best ive found all these things have added up for me to be a repeat customer</v>
      </c>
      <c r="H216" s="4" t="str">
        <f t="shared" si="1"/>
        <v>website very easy navigate our purchases were shipped arrived quickly our home prices are best ive found all these things have added up me be a repeat customer</v>
      </c>
      <c r="I216" s="6">
        <f t="shared" si="2"/>
        <v>28</v>
      </c>
      <c r="J216" s="6">
        <f>IFERROR(__xludf.DUMMYFUNCTION("IF(H216="""","""",
SUM(
ARRAYFORMULA(
IF(
REGEXMATCH(
"" ""&amp;H216&amp;"" "",
"" ""&amp;Sentiment_Words!A$2:A3730&amp;"" ""
),
1,
0
)
)
)
)"),2.0)</f>
        <v>2</v>
      </c>
      <c r="K216" s="4">
        <f>IFERROR(__xludf.DUMMYFUNCTION("IF(H216="""","""",
SUM(
ARRAYFORMULA(
IF(
REGEXMATCH(
"" ""&amp;H216&amp;"" "",
"" ""&amp;Sentiment_Words!B$2:B3730&amp;"" ""
),
1,
0
)
)
)
)"),0.0)</f>
        <v>0</v>
      </c>
      <c r="L216" s="7" t="str">
        <f t="shared" si="3"/>
        <v>Account &amp; Website</v>
      </c>
      <c r="M216" s="7" t="str">
        <f t="shared" si="4"/>
        <v>Positive</v>
      </c>
      <c r="N216" s="7" t="str">
        <f>IFERROR(__xludf.DUMMYFUNCTION("LOWER(
TRIM(
REGEXREPLACE(B216,""[^a-zA-Z\s]"","""")
)
)
"),"amy c")</f>
        <v>amy c</v>
      </c>
      <c r="O216" s="7">
        <f t="shared" si="5"/>
        <v>1</v>
      </c>
      <c r="P216" s="8" t="str">
        <f t="shared" si="6"/>
        <v>No</v>
      </c>
    </row>
    <row r="217">
      <c r="A217" s="4" t="s">
        <v>16</v>
      </c>
      <c r="B217" s="4" t="s">
        <v>643</v>
      </c>
      <c r="C217" s="5">
        <v>45031.0</v>
      </c>
      <c r="D217" s="10">
        <v>45043.0</v>
      </c>
      <c r="E217" s="4" t="s">
        <v>644</v>
      </c>
      <c r="F217" s="4" t="s">
        <v>645</v>
      </c>
      <c r="G217" s="6" t="str">
        <f>IFERROR(__xludf.DUMMYFUNCTION("REGEXREPLACE(LOWER(F217),""[^a-z\s]"","""")"),"easy to order and quick shipping makes petflow a winner in my book")</f>
        <v>easy to order and quick shipping makes petflow a winner in my book</v>
      </c>
      <c r="H217" s="4" t="str">
        <f t="shared" si="1"/>
        <v>easy order quick shipping makes petflow a winner in my book</v>
      </c>
      <c r="I217" s="6">
        <f t="shared" si="2"/>
        <v>11</v>
      </c>
      <c r="J217" s="6">
        <f>IFERROR(__xludf.DUMMYFUNCTION("IF(H217="""","""",
SUM(
ARRAYFORMULA(
IF(
REGEXMATCH(
"" ""&amp;H217&amp;"" "",
"" ""&amp;Sentiment_Words!A$2:A3730&amp;"" ""
),
1,
0
)
)
)
)"),1.0)</f>
        <v>1</v>
      </c>
      <c r="K217" s="4">
        <f>IFERROR(__xludf.DUMMYFUNCTION("IF(H217="""","""",
SUM(
ARRAYFORMULA(
IF(
REGEXMATCH(
"" ""&amp;H217&amp;"" "",
"" ""&amp;Sentiment_Words!B$2:B3730&amp;"" ""
),
1,
0
)
)
)
)"),0.0)</f>
        <v>0</v>
      </c>
      <c r="L217" s="7" t="str">
        <f t="shared" si="3"/>
        <v>Other</v>
      </c>
      <c r="M217" s="7" t="str">
        <f t="shared" si="4"/>
        <v>Positive</v>
      </c>
      <c r="N217" s="7" t="str">
        <f>IFERROR(__xludf.DUMMYFUNCTION("LOWER(
TRIM(
REGEXREPLACE(B217,""[^a-zA-Z\s]"","""")
)
)
"),"ariana")</f>
        <v>ariana</v>
      </c>
      <c r="O217" s="7">
        <f t="shared" si="5"/>
        <v>1</v>
      </c>
      <c r="P217" s="8" t="str">
        <f t="shared" si="6"/>
        <v>No</v>
      </c>
    </row>
    <row r="218">
      <c r="A218" s="4" t="s">
        <v>16</v>
      </c>
      <c r="B218" s="4" t="s">
        <v>646</v>
      </c>
      <c r="C218" s="5">
        <v>45031.0</v>
      </c>
      <c r="D218" s="10">
        <v>45043.0</v>
      </c>
      <c r="E218" s="4" t="s">
        <v>647</v>
      </c>
      <c r="F218" s="4" t="s">
        <v>648</v>
      </c>
      <c r="G218" s="6" t="str">
        <f>IFERROR(__xludf.DUMMYFUNCTION("REGEXREPLACE(LOWER(F218),""[^a-z\s]"","""")"),"good selection of cat foods good quality and fast shipping with fair prices")</f>
        <v>good selection of cat foods good quality and fast shipping with fair prices</v>
      </c>
      <c r="H218" s="4" t="str">
        <f t="shared" si="1"/>
        <v>good selection of cat foods good quality fast shipping with fair prices</v>
      </c>
      <c r="I218" s="6">
        <f t="shared" si="2"/>
        <v>12</v>
      </c>
      <c r="J218" s="6">
        <f>IFERROR(__xludf.DUMMYFUNCTION("IF(H218="""","""",
SUM(
ARRAYFORMULA(
IF(
REGEXMATCH(
"" ""&amp;H218&amp;"" "",
"" ""&amp;Sentiment_Words!A$2:A3730&amp;"" ""
),
1,
0
)
)
)
)"),2.0)</f>
        <v>2</v>
      </c>
      <c r="K218" s="4">
        <f>IFERROR(__xludf.DUMMYFUNCTION("IF(H218="""","""",
SUM(
ARRAYFORMULA(
IF(
REGEXMATCH(
"" ""&amp;H218&amp;"" "",
"" ""&amp;Sentiment_Words!B$2:B3730&amp;"" ""
),
1,
0
)
)
)
)"),0.0)</f>
        <v>0</v>
      </c>
      <c r="L218" s="7" t="str">
        <f t="shared" si="3"/>
        <v>Other</v>
      </c>
      <c r="M218" s="7" t="str">
        <f t="shared" si="4"/>
        <v>Positive</v>
      </c>
      <c r="N218" s="7" t="str">
        <f>IFERROR(__xludf.DUMMYFUNCTION("LOWER(
TRIM(
REGEXREPLACE(B218,""[^a-zA-Z\s]"","""")
)
)
"),"gail b")</f>
        <v>gail b</v>
      </c>
      <c r="O218" s="7">
        <f t="shared" si="5"/>
        <v>1</v>
      </c>
      <c r="P218" s="8" t="str">
        <f t="shared" si="6"/>
        <v>No</v>
      </c>
    </row>
    <row r="219">
      <c r="A219" s="4" t="s">
        <v>16</v>
      </c>
      <c r="B219" s="4" t="s">
        <v>649</v>
      </c>
      <c r="C219" s="5">
        <v>45027.0</v>
      </c>
      <c r="D219" s="10">
        <v>45043.0</v>
      </c>
      <c r="E219" s="4" t="s">
        <v>650</v>
      </c>
      <c r="F219" s="4" t="s">
        <v>651</v>
      </c>
      <c r="G219" s="6" t="str">
        <f>IFERROR(__xludf.DUMMYFUNCTION("REGEXREPLACE(LOWER(F219),""[^a-z\s]"","""")"),"the product is    a case less than competitors
shipping time is relatively timely they product came in manageable size boxes not one oversized heavy box")</f>
        <v>the product is    a case less than competitors
shipping time is relatively timely they product came in manageable size boxes not one oversized heavy box</v>
      </c>
      <c r="H219" s="4" t="str">
        <f t="shared" si="1"/>
        <v>product a case less than competitors
shipping time relatively timely they product came in manageable size boxes not one oversized heavy box</v>
      </c>
      <c r="I219" s="6">
        <f t="shared" si="2"/>
        <v>21</v>
      </c>
      <c r="J219" s="6">
        <f>IFERROR(__xludf.DUMMYFUNCTION("IF(H219="""","""",
SUM(
ARRAYFORMULA(
IF(
REGEXMATCH(
"" ""&amp;H219&amp;"" "",
"" ""&amp;Sentiment_Words!A$2:A3730&amp;"" ""
),
1,
0
)
)
)
)"),0.0)</f>
        <v>0</v>
      </c>
      <c r="K219" s="4">
        <f>IFERROR(__xludf.DUMMYFUNCTION("IF(H219="""","""",
SUM(
ARRAYFORMULA(
IF(
REGEXMATCH(
"" ""&amp;H219&amp;"" "",
"" ""&amp;Sentiment_Words!B$2:B3730&amp;"" ""
),
1,
0
)
)
)
)"),0.0)</f>
        <v>0</v>
      </c>
      <c r="L219" s="7" t="str">
        <f t="shared" si="3"/>
        <v>Other</v>
      </c>
      <c r="M219" s="7" t="str">
        <f t="shared" si="4"/>
        <v>Neutral</v>
      </c>
      <c r="N219" s="7" t="str">
        <f>IFERROR(__xludf.DUMMYFUNCTION("LOWER(
TRIM(
REGEXREPLACE(B219,""[^a-zA-Z\s]"","""")
)
)
"),"laura romano")</f>
        <v>laura romano</v>
      </c>
      <c r="O219" s="7">
        <f t="shared" si="5"/>
        <v>1</v>
      </c>
      <c r="P219" s="8" t="str">
        <f t="shared" si="6"/>
        <v>No</v>
      </c>
    </row>
    <row r="220">
      <c r="A220" s="4" t="s">
        <v>16</v>
      </c>
      <c r="B220" s="4" t="s">
        <v>652</v>
      </c>
      <c r="C220" s="5">
        <v>45031.0</v>
      </c>
      <c r="D220" s="10">
        <v>45043.0</v>
      </c>
      <c r="E220" s="4" t="s">
        <v>653</v>
      </c>
      <c r="F220" s="4" t="s">
        <v>331</v>
      </c>
      <c r="G220" s="6" t="str">
        <f>IFERROR(__xludf.DUMMYFUNCTION("REGEXREPLACE(LOWER(F220),""[^a-z\s]"","""")"),"none")</f>
        <v>none</v>
      </c>
      <c r="H220" s="4" t="str">
        <f t="shared" si="1"/>
        <v>none</v>
      </c>
      <c r="I220" s="6">
        <f t="shared" si="2"/>
        <v>1</v>
      </c>
      <c r="J220" s="6">
        <f>IFERROR(__xludf.DUMMYFUNCTION("IF(H220="""","""",
SUM(
ARRAYFORMULA(
IF(
REGEXMATCH(
"" ""&amp;H220&amp;"" "",
"" ""&amp;Sentiment_Words!A$2:A3730&amp;"" ""
),
1,
0
)
)
)
)"),0.0)</f>
        <v>0</v>
      </c>
      <c r="K220" s="4">
        <f>IFERROR(__xludf.DUMMYFUNCTION("IF(H220="""","""",
SUM(
ARRAYFORMULA(
IF(
REGEXMATCH(
"" ""&amp;H220&amp;"" "",
"" ""&amp;Sentiment_Words!B$2:B3730&amp;"" ""
),
1,
0
)
)
)
)"),0.0)</f>
        <v>0</v>
      </c>
      <c r="L220" s="7" t="str">
        <f t="shared" si="3"/>
        <v>Other</v>
      </c>
      <c r="M220" s="7" t="str">
        <f t="shared" si="4"/>
        <v>Neutral</v>
      </c>
      <c r="N220" s="7" t="str">
        <f>IFERROR(__xludf.DUMMYFUNCTION("LOWER(
TRIM(
REGEXREPLACE(B220,""[^a-zA-Z\s]"","""")
)
)
"),"jack")</f>
        <v>jack</v>
      </c>
      <c r="O220" s="7">
        <f t="shared" si="5"/>
        <v>1</v>
      </c>
      <c r="P220" s="8" t="str">
        <f t="shared" si="6"/>
        <v>No</v>
      </c>
    </row>
    <row r="221">
      <c r="A221" s="4" t="s">
        <v>16</v>
      </c>
      <c r="B221" s="4" t="s">
        <v>654</v>
      </c>
      <c r="C221" s="5">
        <v>45030.0</v>
      </c>
      <c r="D221" s="10">
        <v>45042.0</v>
      </c>
      <c r="E221" s="4" t="s">
        <v>655</v>
      </c>
      <c r="F221" s="4" t="s">
        <v>331</v>
      </c>
      <c r="G221" s="6" t="str">
        <f>IFERROR(__xludf.DUMMYFUNCTION("REGEXREPLACE(LOWER(F221),""[^a-z\s]"","""")"),"none")</f>
        <v>none</v>
      </c>
      <c r="H221" s="4" t="str">
        <f t="shared" si="1"/>
        <v>none</v>
      </c>
      <c r="I221" s="6">
        <f t="shared" si="2"/>
        <v>1</v>
      </c>
      <c r="J221" s="6">
        <f>IFERROR(__xludf.DUMMYFUNCTION("IF(H221="""","""",
SUM(
ARRAYFORMULA(
IF(
REGEXMATCH(
"" ""&amp;H221&amp;"" "",
"" ""&amp;Sentiment_Words!A$2:A3730&amp;"" ""
),
1,
0
)
)
)
)"),0.0)</f>
        <v>0</v>
      </c>
      <c r="K221" s="4">
        <f>IFERROR(__xludf.DUMMYFUNCTION("IF(H221="""","""",
SUM(
ARRAYFORMULA(
IF(
REGEXMATCH(
"" ""&amp;H221&amp;"" "",
"" ""&amp;Sentiment_Words!B$2:B3730&amp;"" ""
),
1,
0
)
)
)
)"),0.0)</f>
        <v>0</v>
      </c>
      <c r="L221" s="7" t="str">
        <f t="shared" si="3"/>
        <v>Other</v>
      </c>
      <c r="M221" s="7" t="str">
        <f t="shared" si="4"/>
        <v>Neutral</v>
      </c>
      <c r="N221" s="7" t="str">
        <f>IFERROR(__xludf.DUMMYFUNCTION("LOWER(
TRIM(
REGEXREPLACE(B221,""[^a-zA-Z\s]"","""")
)
)
"),"furrykid mom")</f>
        <v>furrykid mom</v>
      </c>
      <c r="O221" s="7">
        <f t="shared" si="5"/>
        <v>1</v>
      </c>
      <c r="P221" s="8" t="str">
        <f t="shared" si="6"/>
        <v>No</v>
      </c>
    </row>
    <row r="222">
      <c r="A222" s="4" t="s">
        <v>16</v>
      </c>
      <c r="B222" s="4" t="s">
        <v>656</v>
      </c>
      <c r="C222" s="5">
        <v>45026.0</v>
      </c>
      <c r="D222" s="10">
        <v>45042.0</v>
      </c>
      <c r="E222" s="4" t="s">
        <v>190</v>
      </c>
      <c r="F222" s="4" t="s">
        <v>657</v>
      </c>
      <c r="G222" s="6" t="str">
        <f>IFERROR(__xludf.DUMMYFUNCTION("REGEXREPLACE(LOWER(F222),""[^a-z\s]"","""")"),"they are very responsive an item was missing from my shipment it was reshipped within a day or two")</f>
        <v>they are very responsive an item was missing from my shipment it was reshipped within a day or two</v>
      </c>
      <c r="H222" s="4" t="str">
        <f t="shared" si="1"/>
        <v>they are very responsive an item was missing from my shipment it was reshipped within a day or two</v>
      </c>
      <c r="I222" s="6">
        <f t="shared" si="2"/>
        <v>19</v>
      </c>
      <c r="J222" s="6">
        <f>IFERROR(__xludf.DUMMYFUNCTION("IF(H222="""","""",
SUM(
ARRAYFORMULA(
IF(
REGEXMATCH(
"" ""&amp;H222&amp;"" "",
"" ""&amp;Sentiment_Words!A$2:A3730&amp;"" ""
),
1,
0
)
)
)
)"),0.0)</f>
        <v>0</v>
      </c>
      <c r="K222" s="4">
        <f>IFERROR(__xludf.DUMMYFUNCTION("IF(H222="""","""",
SUM(
ARRAYFORMULA(
IF(
REGEXMATCH(
"" ""&amp;H222&amp;"" "",
"" ""&amp;Sentiment_Words!B$2:B3730&amp;"" ""
),
1,
0
)
)
)
)"),1.0)</f>
        <v>1</v>
      </c>
      <c r="L222" s="7" t="str">
        <f t="shared" si="3"/>
        <v>Fulfillment &amp; Shipping</v>
      </c>
      <c r="M222" s="7" t="str">
        <f t="shared" si="4"/>
        <v>Negative</v>
      </c>
      <c r="N222" s="7" t="str">
        <f>IFERROR(__xludf.DUMMYFUNCTION("LOWER(
TRIM(
REGEXREPLACE(B222,""[^a-zA-Z\s]"","""")
)
)
"),"john defeo")</f>
        <v>john defeo</v>
      </c>
      <c r="O222" s="7">
        <f t="shared" si="5"/>
        <v>1</v>
      </c>
      <c r="P222" s="8" t="str">
        <f t="shared" si="6"/>
        <v>No</v>
      </c>
    </row>
    <row r="223">
      <c r="A223" s="4" t="s">
        <v>16</v>
      </c>
      <c r="B223" s="4" t="s">
        <v>658</v>
      </c>
      <c r="C223" s="5">
        <v>45030.0</v>
      </c>
      <c r="D223" s="10">
        <v>45042.0</v>
      </c>
      <c r="E223" s="4" t="s">
        <v>659</v>
      </c>
      <c r="F223" s="4" t="s">
        <v>660</v>
      </c>
      <c r="G223" s="6" t="str">
        <f>IFERROR(__xludf.DUMMYFUNCTION("REGEXREPLACE(LOWER(F223),""[^a-z\s]"","""")"),"fedex failed to deliver package even though it was shown as delivered  boxes of milk bones one call and petflow sent a replacement one week later the fedex package showed up  most likely dropped off by a neighbor called petflow and they said keep the trea"&amp;"ts and donate to a pet shelter will do thank you petflow for prompt and courteous service")</f>
        <v>fedex failed to deliver package even though it was shown as delivered  boxes of milk bones one call and petflow sent a replacement one week later the fedex package showed up  most likely dropped off by a neighbor called petflow and they said keep the treats and donate to a pet shelter will do thank you petflow for prompt and courteous service</v>
      </c>
      <c r="H223" s="4" t="str">
        <f t="shared" si="1"/>
        <v>fedex failed deliver package even though it was shown as delivered boxes of milk bones one call petflow sent a replacement one week later fedex package showed up most likely dropped off by a neighbor called petflow they said keep treats donate a pet shelter will do thank you petflow prompt courteous service</v>
      </c>
      <c r="I223" s="6">
        <f t="shared" si="2"/>
        <v>53</v>
      </c>
      <c r="J223" s="6">
        <f>IFERROR(__xludf.DUMMYFUNCTION("IF(H223="""","""",
SUM(
ARRAYFORMULA(
IF(
REGEXMATCH(
"" ""&amp;H223&amp;"" "",
"" ""&amp;Sentiment_Words!A$2:A3730&amp;"" ""
),
1,
0
)
)
)
)"),3.0)</f>
        <v>3</v>
      </c>
      <c r="K223" s="4">
        <f>IFERROR(__xludf.DUMMYFUNCTION("IF(H223="""","""",
SUM(
ARRAYFORMULA(
IF(
REGEXMATCH(
"" ""&amp;H223&amp;"" "",
"" ""&amp;Sentiment_Words!B$2:B3730&amp;"" ""
),
1,
0
)
)
)
)"),0.0)</f>
        <v>0</v>
      </c>
      <c r="L223" s="7" t="str">
        <f t="shared" si="3"/>
        <v>Customer Support</v>
      </c>
      <c r="M223" s="7" t="str">
        <f t="shared" si="4"/>
        <v>Positive</v>
      </c>
      <c r="N223" s="7" t="str">
        <f>IFERROR(__xludf.DUMMYFUNCTION("LOWER(
TRIM(
REGEXREPLACE(B223,""[^a-zA-Z\s]"","""")
)
)
"),"bobbi helms")</f>
        <v>bobbi helms</v>
      </c>
      <c r="O223" s="7">
        <f t="shared" si="5"/>
        <v>1</v>
      </c>
      <c r="P223" s="8" t="str">
        <f t="shared" si="6"/>
        <v>No</v>
      </c>
    </row>
    <row r="224">
      <c r="A224" s="4" t="s">
        <v>16</v>
      </c>
      <c r="B224" s="4" t="s">
        <v>661</v>
      </c>
      <c r="C224" s="5">
        <v>45030.0</v>
      </c>
      <c r="D224" s="10">
        <v>45042.0</v>
      </c>
      <c r="E224" s="4" t="s">
        <v>662</v>
      </c>
      <c r="F224" s="4" t="s">
        <v>663</v>
      </c>
      <c r="G224" s="6" t="str">
        <f>IFERROR(__xludf.DUMMYFUNCTION("REGEXREPLACE(LOWER(F224),""[^a-z\s]"","""")"),"timely orders great communication and wonderful products")</f>
        <v>timely orders great communication and wonderful products</v>
      </c>
      <c r="H224" s="4" t="str">
        <f t="shared" si="1"/>
        <v>timely orders great communication wonderful products</v>
      </c>
      <c r="I224" s="6">
        <f t="shared" si="2"/>
        <v>6</v>
      </c>
      <c r="J224" s="6">
        <f>IFERROR(__xludf.DUMMYFUNCTION("IF(H224="""","""",
SUM(
ARRAYFORMULA(
IF(
REGEXMATCH(
"" ""&amp;H224&amp;"" "",
"" ""&amp;Sentiment_Words!A$2:A3730&amp;"" ""
),
1,
0
)
)
)
)"),2.0)</f>
        <v>2</v>
      </c>
      <c r="K224" s="4">
        <f>IFERROR(__xludf.DUMMYFUNCTION("IF(H224="""","""",
SUM(
ARRAYFORMULA(
IF(
REGEXMATCH(
"" ""&amp;H224&amp;"" "",
"" ""&amp;Sentiment_Words!B$2:B3730&amp;"" ""
),
1,
0
)
)
)
)"),0.0)</f>
        <v>0</v>
      </c>
      <c r="L224" s="7" t="str">
        <f t="shared" si="3"/>
        <v>Other</v>
      </c>
      <c r="M224" s="7" t="str">
        <f t="shared" si="4"/>
        <v>Positive</v>
      </c>
      <c r="N224" s="7" t="str">
        <f>IFERROR(__xludf.DUMMYFUNCTION("LOWER(
TRIM(
REGEXREPLACE(B224,""[^a-zA-Z\s]"","""")
)
)
"),"kb")</f>
        <v>kb</v>
      </c>
      <c r="O224" s="7">
        <f t="shared" si="5"/>
        <v>2</v>
      </c>
      <c r="P224" s="8" t="str">
        <f t="shared" si="6"/>
        <v>Yes</v>
      </c>
    </row>
    <row r="225">
      <c r="A225" s="4" t="s">
        <v>16</v>
      </c>
      <c r="B225" s="4" t="s">
        <v>664</v>
      </c>
      <c r="C225" s="5">
        <v>45030.0</v>
      </c>
      <c r="D225" s="10">
        <v>45042.0</v>
      </c>
      <c r="E225" s="4" t="s">
        <v>665</v>
      </c>
      <c r="F225" s="4" t="s">
        <v>666</v>
      </c>
      <c r="G225" s="6" t="str">
        <f>IFERROR(__xludf.DUMMYFUNCTION("REGEXREPLACE(LOWER(F225),""[^a-z\s]"","""")"),"they gave me a credit because something i ordered was no longer in stock new items came very fast")</f>
        <v>they gave me a credit because something i ordered was no longer in stock new items came very fast</v>
      </c>
      <c r="H225" s="4" t="str">
        <f t="shared" si="1"/>
        <v>they gave me a credit because something i ordered was no longer in stock new items came very fast</v>
      </c>
      <c r="I225" s="6">
        <f t="shared" si="2"/>
        <v>19</v>
      </c>
      <c r="J225" s="6">
        <f>IFERROR(__xludf.DUMMYFUNCTION("IF(H225="""","""",
SUM(
ARRAYFORMULA(
IF(
REGEXMATCH(
"" ""&amp;H225&amp;"" "",
"" ""&amp;Sentiment_Words!A$2:A3730&amp;"" ""
),
1,
0
)
)
)
)"),1.0)</f>
        <v>1</v>
      </c>
      <c r="K225" s="4">
        <f>IFERROR(__xludf.DUMMYFUNCTION("IF(H225="""","""",
SUM(
ARRAYFORMULA(
IF(
REGEXMATCH(
"" ""&amp;H225&amp;"" "",
"" ""&amp;Sentiment_Words!B$2:B3730&amp;"" ""
),
1,
0
)
)
)
)"),0.0)</f>
        <v>0</v>
      </c>
      <c r="L225" s="7" t="str">
        <f t="shared" si="3"/>
        <v>Other</v>
      </c>
      <c r="M225" s="7" t="str">
        <f t="shared" si="4"/>
        <v>Positive</v>
      </c>
      <c r="N225" s="7" t="str">
        <f>IFERROR(__xludf.DUMMYFUNCTION("LOWER(
TRIM(
REGEXREPLACE(B225,""[^a-zA-Z\s]"","""")
)
)
"),"maria")</f>
        <v>maria</v>
      </c>
      <c r="O225" s="7">
        <f t="shared" si="5"/>
        <v>4</v>
      </c>
      <c r="P225" s="8" t="str">
        <f t="shared" si="6"/>
        <v>Yes</v>
      </c>
    </row>
    <row r="226">
      <c r="A226" s="4" t="s">
        <v>16</v>
      </c>
      <c r="B226" s="4" t="s">
        <v>56</v>
      </c>
      <c r="C226" s="5">
        <v>45030.0</v>
      </c>
      <c r="D226" s="10">
        <v>45042.0</v>
      </c>
      <c r="E226" s="4" t="s">
        <v>667</v>
      </c>
      <c r="F226" s="4" t="s">
        <v>668</v>
      </c>
      <c r="G226" s="6" t="str">
        <f>IFERROR(__xludf.DUMMYFUNCTION("REGEXREPLACE(LOWER(F226),""[^a-z\s]"","""")"),"it was my second order and second time it was easy and with high expectations
thank you for nice service")</f>
        <v>it was my second order and second time it was easy and with high expectations
thank you for nice service</v>
      </c>
      <c r="H226" s="4" t="str">
        <f t="shared" si="1"/>
        <v>it was my second order second time it was easy with high expectations
thank you nice service</v>
      </c>
      <c r="I226" s="6">
        <f t="shared" si="2"/>
        <v>16</v>
      </c>
      <c r="J226" s="6">
        <f>IFERROR(__xludf.DUMMYFUNCTION("IF(H226="""","""",
SUM(
ARRAYFORMULA(
IF(
REGEXMATCH(
"" ""&amp;H226&amp;"" "",
"" ""&amp;Sentiment_Words!A$2:A3730&amp;"" ""
),
1,
0
)
)
)
)"),1.0)</f>
        <v>1</v>
      </c>
      <c r="K226" s="4">
        <f>IFERROR(__xludf.DUMMYFUNCTION("IF(H226="""","""",
SUM(
ARRAYFORMULA(
IF(
REGEXMATCH(
"" ""&amp;H226&amp;"" "",
"" ""&amp;Sentiment_Words!B$2:B3730&amp;"" ""
),
1,
0
)
)
)
)"),1.0)</f>
        <v>1</v>
      </c>
      <c r="L226" s="7" t="str">
        <f t="shared" si="3"/>
        <v>Customer Support</v>
      </c>
      <c r="M226" s="7" t="str">
        <f t="shared" si="4"/>
        <v>Neutral</v>
      </c>
      <c r="N226" s="7" t="str">
        <f>IFERROR(__xludf.DUMMYFUNCTION("LOWER(
TRIM(
REGEXREPLACE(B226,""[^a-zA-Z\s]"","""")
)
)
"),"customer")</f>
        <v>customer</v>
      </c>
      <c r="O226" s="7">
        <f t="shared" si="5"/>
        <v>54</v>
      </c>
      <c r="P226" s="8" t="str">
        <f t="shared" si="6"/>
        <v>Yes</v>
      </c>
    </row>
    <row r="227">
      <c r="A227" s="4" t="s">
        <v>16</v>
      </c>
      <c r="B227" s="4" t="s">
        <v>669</v>
      </c>
      <c r="C227" s="5">
        <v>45030.0</v>
      </c>
      <c r="D227" s="10">
        <v>45042.0</v>
      </c>
      <c r="E227" s="4" t="s">
        <v>670</v>
      </c>
      <c r="F227" s="4" t="s">
        <v>671</v>
      </c>
      <c r="G227" s="6" t="str">
        <f>IFERROR(__xludf.DUMMYFUNCTION("REGEXREPLACE(LOWER(F227),""[^a-z\s]"","""")"),"tried chewy but there is no comparison to pet flow your service is far above them my order is always delivered quickly customer service department is great and helpful i am a returning customer and pet flow is the best")</f>
        <v>tried chewy but there is no comparison to pet flow your service is far above them my order is always delivered quickly customer service department is great and helpful i am a returning customer and pet flow is the best</v>
      </c>
      <c r="H227" s="4" t="str">
        <f t="shared" si="1"/>
        <v>tried chewy but there no comparison pet flow your service far above them my order always delivered quickly customer service department great helpful i am a returning customer pet flow best</v>
      </c>
      <c r="I227" s="6">
        <f t="shared" si="2"/>
        <v>31</v>
      </c>
      <c r="J227" s="6">
        <f>IFERROR(__xludf.DUMMYFUNCTION("IF(H227="""","""",
SUM(
ARRAYFORMULA(
IF(
REGEXMATCH(
"" ""&amp;H227&amp;"" "",
"" ""&amp;Sentiment_Words!A$2:A3730&amp;"" ""
),
1,
0
)
)
)
)"),3.0)</f>
        <v>3</v>
      </c>
      <c r="K227" s="4">
        <f>IFERROR(__xludf.DUMMYFUNCTION("IF(H227="""","""",
SUM(
ARRAYFORMULA(
IF(
REGEXMATCH(
"" ""&amp;H227&amp;"" "",
"" ""&amp;Sentiment_Words!B$2:B3730&amp;"" ""
),
1,
0
)
)
)
)"),1.0)</f>
        <v>1</v>
      </c>
      <c r="L227" s="7" t="str">
        <f t="shared" si="3"/>
        <v>Customer Support</v>
      </c>
      <c r="M227" s="7" t="str">
        <f t="shared" si="4"/>
        <v>Positive</v>
      </c>
      <c r="N227" s="7" t="str">
        <f>IFERROR(__xludf.DUMMYFUNCTION("LOWER(
TRIM(
REGEXREPLACE(B227,""[^a-zA-Z\s]"","""")
)
)
"),"nancy pope")</f>
        <v>nancy pope</v>
      </c>
      <c r="O227" s="7">
        <f t="shared" si="5"/>
        <v>1</v>
      </c>
      <c r="P227" s="8" t="str">
        <f t="shared" si="6"/>
        <v>No</v>
      </c>
    </row>
    <row r="228">
      <c r="A228" s="4" t="s">
        <v>16</v>
      </c>
      <c r="B228" s="4" t="s">
        <v>672</v>
      </c>
      <c r="C228" s="5">
        <v>45030.0</v>
      </c>
      <c r="D228" s="10">
        <v>45042.0</v>
      </c>
      <c r="E228" s="4" t="s">
        <v>673</v>
      </c>
      <c r="F228" s="4" t="s">
        <v>674</v>
      </c>
      <c r="G228" s="6" t="str">
        <f>IFERROR(__xludf.DUMMYFUNCTION("REGEXREPLACE(LOWER(F228),""[^a-z\s]"","""")"),"prompt services and delivery competitive pricing")</f>
        <v>prompt services and delivery competitive pricing</v>
      </c>
      <c r="H228" s="4" t="str">
        <f t="shared" si="1"/>
        <v>prompt services delivery competitive pricing</v>
      </c>
      <c r="I228" s="6">
        <f t="shared" si="2"/>
        <v>5</v>
      </c>
      <c r="J228" s="6">
        <f>IFERROR(__xludf.DUMMYFUNCTION("IF(H228="""","""",
SUM(
ARRAYFORMULA(
IF(
REGEXMATCH(
"" ""&amp;H228&amp;"" "",
"" ""&amp;Sentiment_Words!A$2:A3730&amp;"" ""
),
1,
0
)
)
)
)"),1.0)</f>
        <v>1</v>
      </c>
      <c r="K228" s="4">
        <f>IFERROR(__xludf.DUMMYFUNCTION("IF(H228="""","""",
SUM(
ARRAYFORMULA(
IF(
REGEXMATCH(
"" ""&amp;H228&amp;"" "",
"" ""&amp;Sentiment_Words!B$2:B3730&amp;"" ""
),
1,
0
)
)
)
)"),0.0)</f>
        <v>0</v>
      </c>
      <c r="L228" s="7" t="str">
        <f t="shared" si="3"/>
        <v>Customer Support</v>
      </c>
      <c r="M228" s="7" t="str">
        <f t="shared" si="4"/>
        <v>Positive</v>
      </c>
      <c r="N228" s="7" t="str">
        <f>IFERROR(__xludf.DUMMYFUNCTION("LOWER(
TRIM(
REGEXREPLACE(B228,""[^a-zA-Z\s]"","""")
)
)
"),"larysa muzhanova")</f>
        <v>larysa muzhanova</v>
      </c>
      <c r="O228" s="7">
        <f t="shared" si="5"/>
        <v>1</v>
      </c>
      <c r="P228" s="8" t="str">
        <f t="shared" si="6"/>
        <v>No</v>
      </c>
    </row>
    <row r="229">
      <c r="A229" s="4" t="s">
        <v>16</v>
      </c>
      <c r="B229" s="4" t="s">
        <v>675</v>
      </c>
      <c r="C229" s="5">
        <v>45027.0</v>
      </c>
      <c r="D229" s="10">
        <v>45042.0</v>
      </c>
      <c r="E229" s="4" t="s">
        <v>676</v>
      </c>
      <c r="F229" s="4" t="s">
        <v>677</v>
      </c>
      <c r="G229" s="6" t="str">
        <f>IFERROR(__xludf.DUMMYFUNCTION("REGEXREPLACE(LOWER(F229),""[^a-z\s]"","""")"),"lowest price i could find fast shipping knowledgeable polite customer serviceone small flaw wasnt able to use paypal no biggie")</f>
        <v>lowest price i could find fast shipping knowledgeable polite customer serviceone small flaw wasnt able to use paypal no biggie</v>
      </c>
      <c r="H229" s="4" t="str">
        <f t="shared" si="1"/>
        <v>lowest price i could find fast shipping knowledgeable polite customer serviceone small flaw wasnt able use paypal no biggie</v>
      </c>
      <c r="I229" s="6">
        <f t="shared" si="2"/>
        <v>19</v>
      </c>
      <c r="J229" s="6">
        <f>IFERROR(__xludf.DUMMYFUNCTION("IF(H229="""","""",
SUM(
ARRAYFORMULA(
IF(
REGEXMATCH(
"" ""&amp;H229&amp;"" "",
"" ""&amp;Sentiment_Words!A$2:A3730&amp;"" ""
),
1,
0
)
)
)
)"),2.0)</f>
        <v>2</v>
      </c>
      <c r="K229" s="4">
        <f>IFERROR(__xludf.DUMMYFUNCTION("IF(H229="""","""",
SUM(
ARRAYFORMULA(
IF(
REGEXMATCH(
"" ""&amp;H229&amp;"" "",
"" ""&amp;Sentiment_Words!B$2:B3730&amp;"" ""
),
1,
0
)
)
)
)"),0.0)</f>
        <v>0</v>
      </c>
      <c r="L229" s="7" t="str">
        <f t="shared" si="3"/>
        <v>Customer Support</v>
      </c>
      <c r="M229" s="7" t="str">
        <f t="shared" si="4"/>
        <v>Positive</v>
      </c>
      <c r="N229" s="7" t="str">
        <f>IFERROR(__xludf.DUMMYFUNCTION("LOWER(
TRIM(
REGEXREPLACE(B229,""[^a-zA-Z\s]"","""")
)
)
"),"marian")</f>
        <v>marian</v>
      </c>
      <c r="O229" s="7">
        <f t="shared" si="5"/>
        <v>2</v>
      </c>
      <c r="P229" s="8" t="str">
        <f t="shared" si="6"/>
        <v>Yes</v>
      </c>
    </row>
    <row r="230">
      <c r="A230" s="4" t="s">
        <v>16</v>
      </c>
      <c r="B230" s="4" t="s">
        <v>678</v>
      </c>
      <c r="C230" s="5">
        <v>45027.0</v>
      </c>
      <c r="D230" s="10">
        <v>45042.0</v>
      </c>
      <c r="E230" s="4" t="s">
        <v>679</v>
      </c>
      <c r="F230" s="4" t="s">
        <v>680</v>
      </c>
      <c r="G230" s="6" t="str">
        <f>IFERROR(__xludf.DUMMYFUNCTION("REGEXREPLACE(LOWER(F230),""[^a-z\s]"","""")"),"always good products always good prices repeat customer many times over")</f>
        <v>always good products always good prices repeat customer many times over</v>
      </c>
      <c r="H230" s="4" t="str">
        <f t="shared" si="1"/>
        <v>always good products always good prices repeat customer many times over</v>
      </c>
      <c r="I230" s="6">
        <f t="shared" si="2"/>
        <v>11</v>
      </c>
      <c r="J230" s="6">
        <f>IFERROR(__xludf.DUMMYFUNCTION("IF(H230="""","""",
SUM(
ARRAYFORMULA(
IF(
REGEXMATCH(
"" ""&amp;H230&amp;"" "",
"" ""&amp;Sentiment_Words!A$2:A3730&amp;"" ""
),
1,
0
)
)
)
)"),1.0)</f>
        <v>1</v>
      </c>
      <c r="K230" s="4">
        <f>IFERROR(__xludf.DUMMYFUNCTION("IF(H230="""","""",
SUM(
ARRAYFORMULA(
IF(
REGEXMATCH(
"" ""&amp;H230&amp;"" "",
"" ""&amp;Sentiment_Words!B$2:B3730&amp;"" ""
),
1,
0
)
)
)
)"),0.0)</f>
        <v>0</v>
      </c>
      <c r="L230" s="7" t="str">
        <f t="shared" si="3"/>
        <v>Other</v>
      </c>
      <c r="M230" s="7" t="str">
        <f t="shared" si="4"/>
        <v>Positive</v>
      </c>
      <c r="N230" s="7" t="str">
        <f>IFERROR(__xludf.DUMMYFUNCTION("LOWER(
TRIM(
REGEXREPLACE(B230,""[^a-zA-Z\s]"","""")
)
)
"),"marie hutchings")</f>
        <v>marie hutchings</v>
      </c>
      <c r="O230" s="7">
        <f t="shared" si="5"/>
        <v>1</v>
      </c>
      <c r="P230" s="8" t="str">
        <f t="shared" si="6"/>
        <v>No</v>
      </c>
    </row>
    <row r="231">
      <c r="A231" s="4" t="s">
        <v>16</v>
      </c>
      <c r="B231" s="4" t="s">
        <v>681</v>
      </c>
      <c r="C231" s="5">
        <v>45029.0</v>
      </c>
      <c r="D231" s="10">
        <v>45042.0</v>
      </c>
      <c r="E231" s="4" t="s">
        <v>682</v>
      </c>
      <c r="F231" s="4" t="s">
        <v>683</v>
      </c>
      <c r="G231" s="6" t="str">
        <f>IFERROR(__xludf.DUMMYFUNCTION("REGEXREPLACE(LOWER(F231),""[^a-z\s]"","""")"),"i received the packages in good shape and as promised with little delay products were as described and much appreciated thank you petflow")</f>
        <v>i received the packages in good shape and as promised with little delay products were as described and much appreciated thank you petflow</v>
      </c>
      <c r="H231" s="4" t="str">
        <f t="shared" si="1"/>
        <v>i received packages in good shape as promised with little delay products were as described much appreciated thank you petflow</v>
      </c>
      <c r="I231" s="6">
        <f t="shared" si="2"/>
        <v>20</v>
      </c>
      <c r="J231" s="6">
        <f>IFERROR(__xludf.DUMMYFUNCTION("IF(H231="""","""",
SUM(
ARRAYFORMULA(
IF(
REGEXMATCH(
"" ""&amp;H231&amp;"" "",
"" ""&amp;Sentiment_Words!A$2:A3730&amp;"" ""
),
1,
0
)
)
)
)"),1.0)</f>
        <v>1</v>
      </c>
      <c r="K231" s="4">
        <f>IFERROR(__xludf.DUMMYFUNCTION("IF(H231="""","""",
SUM(
ARRAYFORMULA(
IF(
REGEXMATCH(
"" ""&amp;H231&amp;"" "",
"" ""&amp;Sentiment_Words!B$2:B3730&amp;"" ""
),
1,
0
)
)
)
)"),1.0)</f>
        <v>1</v>
      </c>
      <c r="L231" s="7" t="str">
        <f t="shared" si="3"/>
        <v>Fulfillment &amp; Shipping</v>
      </c>
      <c r="M231" s="7" t="str">
        <f t="shared" si="4"/>
        <v>Neutral</v>
      </c>
      <c r="N231" s="7" t="str">
        <f>IFERROR(__xludf.DUMMYFUNCTION("LOWER(
TRIM(
REGEXREPLACE(B231,""[^a-zA-Z\s]"","""")
)
)
"),"sheryl bilus")</f>
        <v>sheryl bilus</v>
      </c>
      <c r="O231" s="7">
        <f t="shared" si="5"/>
        <v>1</v>
      </c>
      <c r="P231" s="8" t="str">
        <f t="shared" si="6"/>
        <v>No</v>
      </c>
    </row>
    <row r="232">
      <c r="A232" s="4" t="s">
        <v>16</v>
      </c>
      <c r="B232" s="4" t="s">
        <v>684</v>
      </c>
      <c r="C232" s="5">
        <v>45029.0</v>
      </c>
      <c r="D232" s="10">
        <v>45041.0</v>
      </c>
      <c r="E232" s="4" t="s">
        <v>685</v>
      </c>
      <c r="F232" s="4" t="s">
        <v>686</v>
      </c>
      <c r="G232" s="6" t="str">
        <f>IFERROR(__xludf.DUMMYFUNCTION("REGEXREPLACE(LOWER(F232),""[^a-z\s]"","""")"),"had to call in because of recent c card change efficient quick delivery thank you")</f>
        <v>had to call in because of recent c card change efficient quick delivery thank you</v>
      </c>
      <c r="H232" s="4" t="str">
        <f t="shared" si="1"/>
        <v>had call in because of recent c card change efficient quick delivery thank you</v>
      </c>
      <c r="I232" s="6">
        <f t="shared" si="2"/>
        <v>14</v>
      </c>
      <c r="J232" s="6">
        <f>IFERROR(__xludf.DUMMYFUNCTION("IF(H232="""","""",
SUM(
ARRAYFORMULA(
IF(
REGEXMATCH(
"" ""&amp;H232&amp;"" "",
"" ""&amp;Sentiment_Words!A$2:A3730&amp;"" ""
),
1,
0
)
)
)
)"),2.0)</f>
        <v>2</v>
      </c>
      <c r="K232" s="4">
        <f>IFERROR(__xludf.DUMMYFUNCTION("IF(H232="""","""",
SUM(
ARRAYFORMULA(
IF(
REGEXMATCH(
"" ""&amp;H232&amp;"" "",
"" ""&amp;Sentiment_Words!B$2:B3730&amp;"" ""
),
1,
0
)
)
)
)"),0.0)</f>
        <v>0</v>
      </c>
      <c r="L232" s="7" t="str">
        <f t="shared" si="3"/>
        <v>Other</v>
      </c>
      <c r="M232" s="7" t="str">
        <f t="shared" si="4"/>
        <v>Positive</v>
      </c>
      <c r="N232" s="7" t="str">
        <f>IFERROR(__xludf.DUMMYFUNCTION("LOWER(
TRIM(
REGEXREPLACE(B232,""[^a-zA-Z\s]"","""")
)
)
"),"philip")</f>
        <v>philip</v>
      </c>
      <c r="O232" s="7">
        <f t="shared" si="5"/>
        <v>1</v>
      </c>
      <c r="P232" s="8" t="str">
        <f t="shared" si="6"/>
        <v>No</v>
      </c>
    </row>
    <row r="233">
      <c r="A233" s="4" t="s">
        <v>16</v>
      </c>
      <c r="B233" s="4" t="s">
        <v>687</v>
      </c>
      <c r="C233" s="5">
        <v>45029.0</v>
      </c>
      <c r="D233" s="10">
        <v>45041.0</v>
      </c>
      <c r="E233" s="4" t="s">
        <v>688</v>
      </c>
      <c r="F233" s="4" t="s">
        <v>689</v>
      </c>
      <c r="G233" s="6" t="str">
        <f>IFERROR(__xludf.DUMMYFUNCTION("REGEXREPLACE(LOWER(F233),""[^a-z\s]"","""")"),"petflow offers items for my dog at lower prices than other pet supply websites there arent as many choices as the bigger websites but i look at petflow first when i need something because of their good prices my order shipped quickly and accurately")</f>
        <v>petflow offers items for my dog at lower prices than other pet supply websites there arent as many choices as the bigger websites but i look at petflow first when i need something because of their good prices my order shipped quickly and accurately</v>
      </c>
      <c r="H233" s="4" t="str">
        <f t="shared" si="1"/>
        <v>petflow offers items my dog at lower prices than other pet supply websites there arent as many choices as bigger websites but i look at petflow first when i need something because of their good prices my order shipped quickly accurately</v>
      </c>
      <c r="I233" s="6">
        <f t="shared" si="2"/>
        <v>41</v>
      </c>
      <c r="J233" s="6">
        <f>IFERROR(__xludf.DUMMYFUNCTION("IF(H233="""","""",
SUM(
ARRAYFORMULA(
IF(
REGEXMATCH(
"" ""&amp;H233&amp;"" "",
"" ""&amp;Sentiment_Words!A$2:A3730&amp;"" ""
),
1,
0
)
)
)
)"),2.0)</f>
        <v>2</v>
      </c>
      <c r="K233" s="4">
        <f>IFERROR(__xludf.DUMMYFUNCTION("IF(H233="""","""",
SUM(
ARRAYFORMULA(
IF(
REGEXMATCH(
"" ""&amp;H233&amp;"" "",
"" ""&amp;Sentiment_Words!B$2:B3730&amp;"" ""
),
1,
0
)
)
)
)"),0.0)</f>
        <v>0</v>
      </c>
      <c r="L233" s="7" t="str">
        <f t="shared" si="3"/>
        <v>Account &amp; Website</v>
      </c>
      <c r="M233" s="7" t="str">
        <f t="shared" si="4"/>
        <v>Positive</v>
      </c>
      <c r="N233" s="7" t="str">
        <f>IFERROR(__xludf.DUMMYFUNCTION("LOWER(
TRIM(
REGEXREPLACE(B233,""[^a-zA-Z\s]"","""")
)
)
"),"svetlana litvinski")</f>
        <v>svetlana litvinski</v>
      </c>
      <c r="O233" s="7">
        <f t="shared" si="5"/>
        <v>1</v>
      </c>
      <c r="P233" s="8" t="str">
        <f t="shared" si="6"/>
        <v>No</v>
      </c>
    </row>
    <row r="234">
      <c r="A234" s="4" t="s">
        <v>16</v>
      </c>
      <c r="B234" s="4" t="s">
        <v>690</v>
      </c>
      <c r="C234" s="5">
        <v>45029.0</v>
      </c>
      <c r="D234" s="10">
        <v>45041.0</v>
      </c>
      <c r="E234" s="4" t="s">
        <v>691</v>
      </c>
      <c r="F234" s="4" t="s">
        <v>692</v>
      </c>
      <c r="G234" s="6" t="str">
        <f>IFERROR(__xludf.DUMMYFUNCTION("REGEXREPLACE(LOWER(F234),""[^a-z\s]"","""")"),"i can change the order and they always catch up with the changes")</f>
        <v>i can change the order and they always catch up with the changes</v>
      </c>
      <c r="H234" s="4" t="str">
        <f t="shared" si="1"/>
        <v>i can change order they always catch up with changes</v>
      </c>
      <c r="I234" s="6">
        <f t="shared" si="2"/>
        <v>10</v>
      </c>
      <c r="J234" s="6">
        <f>IFERROR(__xludf.DUMMYFUNCTION("IF(H234="""","""",
SUM(
ARRAYFORMULA(
IF(
REGEXMATCH(
"" ""&amp;H234&amp;"" "",
"" ""&amp;Sentiment_Words!A$2:A3730&amp;"" ""
),
1,
0
)
)
)
)"),0.0)</f>
        <v>0</v>
      </c>
      <c r="K234" s="4">
        <f>IFERROR(__xludf.DUMMYFUNCTION("IF(H234="""","""",
SUM(
ARRAYFORMULA(
IF(
REGEXMATCH(
"" ""&amp;H234&amp;"" "",
"" ""&amp;Sentiment_Words!B$2:B3730&amp;"" ""
),
1,
0
)
)
)
)"),0.0)</f>
        <v>0</v>
      </c>
      <c r="L234" s="7" t="str">
        <f t="shared" si="3"/>
        <v>Other</v>
      </c>
      <c r="M234" s="7" t="str">
        <f t="shared" si="4"/>
        <v>Neutral</v>
      </c>
      <c r="N234" s="7" t="str">
        <f>IFERROR(__xludf.DUMMYFUNCTION("LOWER(
TRIM(
REGEXREPLACE(B234,""[^a-zA-Z\s]"","""")
)
)
"),"grace")</f>
        <v>grace</v>
      </c>
      <c r="O234" s="7">
        <f t="shared" si="5"/>
        <v>2</v>
      </c>
      <c r="P234" s="8" t="str">
        <f t="shared" si="6"/>
        <v>Yes</v>
      </c>
    </row>
    <row r="235">
      <c r="A235" s="4" t="s">
        <v>16</v>
      </c>
      <c r="B235" s="4" t="s">
        <v>693</v>
      </c>
      <c r="C235" s="5">
        <v>45029.0</v>
      </c>
      <c r="D235" s="10">
        <v>45041.0</v>
      </c>
      <c r="E235" s="4" t="s">
        <v>694</v>
      </c>
      <c r="F235" s="4" t="s">
        <v>331</v>
      </c>
      <c r="G235" s="6" t="str">
        <f>IFERROR(__xludf.DUMMYFUNCTION("REGEXREPLACE(LOWER(F235),""[^a-z\s]"","""")"),"none")</f>
        <v>none</v>
      </c>
      <c r="H235" s="4" t="str">
        <f t="shared" si="1"/>
        <v>none</v>
      </c>
      <c r="I235" s="6">
        <f t="shared" si="2"/>
        <v>1</v>
      </c>
      <c r="J235" s="6">
        <f>IFERROR(__xludf.DUMMYFUNCTION("IF(H235="""","""",
SUM(
ARRAYFORMULA(
IF(
REGEXMATCH(
"" ""&amp;H235&amp;"" "",
"" ""&amp;Sentiment_Words!A$2:A3730&amp;"" ""
),
1,
0
)
)
)
)"),0.0)</f>
        <v>0</v>
      </c>
      <c r="K235" s="4">
        <f>IFERROR(__xludf.DUMMYFUNCTION("IF(H235="""","""",
SUM(
ARRAYFORMULA(
IF(
REGEXMATCH(
"" ""&amp;H235&amp;"" "",
"" ""&amp;Sentiment_Words!B$2:B3730&amp;"" ""
),
1,
0
)
)
)
)"),0.0)</f>
        <v>0</v>
      </c>
      <c r="L235" s="7" t="str">
        <f t="shared" si="3"/>
        <v>Other</v>
      </c>
      <c r="M235" s="7" t="str">
        <f t="shared" si="4"/>
        <v>Neutral</v>
      </c>
      <c r="N235" s="7" t="str">
        <f>IFERROR(__xludf.DUMMYFUNCTION("LOWER(
TRIM(
REGEXREPLACE(B235,""[^a-zA-Z\s]"","""")
)
)
"),"nora")</f>
        <v>nora</v>
      </c>
      <c r="O235" s="7">
        <f t="shared" si="5"/>
        <v>2</v>
      </c>
      <c r="P235" s="8" t="str">
        <f t="shared" si="6"/>
        <v>Yes</v>
      </c>
    </row>
    <row r="236">
      <c r="A236" s="4" t="s">
        <v>16</v>
      </c>
      <c r="B236" s="4" t="s">
        <v>695</v>
      </c>
      <c r="C236" s="5">
        <v>45029.0</v>
      </c>
      <c r="D236" s="10">
        <v>45041.0</v>
      </c>
      <c r="E236" s="4" t="s">
        <v>696</v>
      </c>
      <c r="F236" s="4" t="s">
        <v>331</v>
      </c>
      <c r="G236" s="6" t="str">
        <f>IFERROR(__xludf.DUMMYFUNCTION("REGEXREPLACE(LOWER(F236),""[^a-z\s]"","""")"),"none")</f>
        <v>none</v>
      </c>
      <c r="H236" s="4" t="str">
        <f t="shared" si="1"/>
        <v>none</v>
      </c>
      <c r="I236" s="6">
        <f t="shared" si="2"/>
        <v>1</v>
      </c>
      <c r="J236" s="6">
        <f>IFERROR(__xludf.DUMMYFUNCTION("IF(H236="""","""",
SUM(
ARRAYFORMULA(
IF(
REGEXMATCH(
"" ""&amp;H236&amp;"" "",
"" ""&amp;Sentiment_Words!A$2:A3730&amp;"" ""
),
1,
0
)
)
)
)"),0.0)</f>
        <v>0</v>
      </c>
      <c r="K236" s="4">
        <f>IFERROR(__xludf.DUMMYFUNCTION("IF(H236="""","""",
SUM(
ARRAYFORMULA(
IF(
REGEXMATCH(
"" ""&amp;H236&amp;"" "",
"" ""&amp;Sentiment_Words!B$2:B3730&amp;"" ""
),
1,
0
)
)
)
)"),0.0)</f>
        <v>0</v>
      </c>
      <c r="L236" s="7" t="str">
        <f t="shared" si="3"/>
        <v>Other</v>
      </c>
      <c r="M236" s="7" t="str">
        <f t="shared" si="4"/>
        <v>Neutral</v>
      </c>
      <c r="N236" s="7" t="str">
        <f>IFERROR(__xludf.DUMMYFUNCTION("LOWER(
TRIM(
REGEXREPLACE(B236,""[^a-zA-Z\s]"","""")
)
)
"),"mew")</f>
        <v>mew</v>
      </c>
      <c r="O236" s="7">
        <f t="shared" si="5"/>
        <v>1</v>
      </c>
      <c r="P236" s="8" t="str">
        <f t="shared" si="6"/>
        <v>No</v>
      </c>
    </row>
    <row r="237">
      <c r="A237" s="4" t="s">
        <v>16</v>
      </c>
      <c r="B237" s="4" t="s">
        <v>697</v>
      </c>
      <c r="C237" s="5">
        <v>45029.0</v>
      </c>
      <c r="D237" s="10">
        <v>45041.0</v>
      </c>
      <c r="E237" s="4" t="s">
        <v>698</v>
      </c>
      <c r="F237" s="4" t="s">
        <v>331</v>
      </c>
      <c r="G237" s="6" t="str">
        <f>IFERROR(__xludf.DUMMYFUNCTION("REGEXREPLACE(LOWER(F237),""[^a-z\s]"","""")"),"none")</f>
        <v>none</v>
      </c>
      <c r="H237" s="4" t="str">
        <f t="shared" si="1"/>
        <v>none</v>
      </c>
      <c r="I237" s="6">
        <f t="shared" si="2"/>
        <v>1</v>
      </c>
      <c r="J237" s="6">
        <f>IFERROR(__xludf.DUMMYFUNCTION("IF(H237="""","""",
SUM(
ARRAYFORMULA(
IF(
REGEXMATCH(
"" ""&amp;H237&amp;"" "",
"" ""&amp;Sentiment_Words!A$2:A3730&amp;"" ""
),
1,
0
)
)
)
)"),0.0)</f>
        <v>0</v>
      </c>
      <c r="K237" s="4">
        <f>IFERROR(__xludf.DUMMYFUNCTION("IF(H237="""","""",
SUM(
ARRAYFORMULA(
IF(
REGEXMATCH(
"" ""&amp;H237&amp;"" "",
"" ""&amp;Sentiment_Words!B$2:B3730&amp;"" ""
),
1,
0
)
)
)
)"),0.0)</f>
        <v>0</v>
      </c>
      <c r="L237" s="7" t="str">
        <f t="shared" si="3"/>
        <v>Other</v>
      </c>
      <c r="M237" s="7" t="str">
        <f t="shared" si="4"/>
        <v>Neutral</v>
      </c>
      <c r="N237" s="7" t="str">
        <f>IFERROR(__xludf.DUMMYFUNCTION("LOWER(
TRIM(
REGEXREPLACE(B237,""[^a-zA-Z\s]"","""")
)
)
"),"barbara bowen baer")</f>
        <v>barbara bowen baer</v>
      </c>
      <c r="O237" s="7">
        <f t="shared" si="5"/>
        <v>1</v>
      </c>
      <c r="P237" s="8" t="str">
        <f t="shared" si="6"/>
        <v>No</v>
      </c>
    </row>
    <row r="238">
      <c r="A238" s="4" t="s">
        <v>16</v>
      </c>
      <c r="B238" s="4" t="s">
        <v>699</v>
      </c>
      <c r="C238" s="5">
        <v>45028.0</v>
      </c>
      <c r="D238" s="10">
        <v>45041.0</v>
      </c>
      <c r="E238" s="4" t="s">
        <v>700</v>
      </c>
      <c r="F238" s="4" t="s">
        <v>331</v>
      </c>
      <c r="G238" s="6" t="str">
        <f>IFERROR(__xludf.DUMMYFUNCTION("REGEXREPLACE(LOWER(F238),""[^a-z\s]"","""")"),"none")</f>
        <v>none</v>
      </c>
      <c r="H238" s="4" t="str">
        <f t="shared" si="1"/>
        <v>none</v>
      </c>
      <c r="I238" s="6">
        <f t="shared" si="2"/>
        <v>1</v>
      </c>
      <c r="J238" s="6">
        <f>IFERROR(__xludf.DUMMYFUNCTION("IF(H238="""","""",
SUM(
ARRAYFORMULA(
IF(
REGEXMATCH(
"" ""&amp;H238&amp;"" "",
"" ""&amp;Sentiment_Words!A$2:A3730&amp;"" ""
),
1,
0
)
)
)
)"),0.0)</f>
        <v>0</v>
      </c>
      <c r="K238" s="4">
        <f>IFERROR(__xludf.DUMMYFUNCTION("IF(H238="""","""",
SUM(
ARRAYFORMULA(
IF(
REGEXMATCH(
"" ""&amp;H238&amp;"" "",
"" ""&amp;Sentiment_Words!B$2:B3730&amp;"" ""
),
1,
0
)
)
)
)"),0.0)</f>
        <v>0</v>
      </c>
      <c r="L238" s="7" t="str">
        <f t="shared" si="3"/>
        <v>Other</v>
      </c>
      <c r="M238" s="7" t="str">
        <f t="shared" si="4"/>
        <v>Neutral</v>
      </c>
      <c r="N238" s="7" t="str">
        <f>IFERROR(__xludf.DUMMYFUNCTION("LOWER(
TRIM(
REGEXREPLACE(B238,""[^a-zA-Z\s]"","""")
)
)
"),"dr c")</f>
        <v>dr c</v>
      </c>
      <c r="O238" s="7">
        <f t="shared" si="5"/>
        <v>1</v>
      </c>
      <c r="P238" s="8" t="str">
        <f t="shared" si="6"/>
        <v>No</v>
      </c>
    </row>
    <row r="239">
      <c r="A239" s="4" t="s">
        <v>16</v>
      </c>
      <c r="B239" s="4" t="s">
        <v>701</v>
      </c>
      <c r="C239" s="9">
        <v>45022.0</v>
      </c>
      <c r="D239" s="10">
        <v>45040.0</v>
      </c>
      <c r="E239" s="4" t="s">
        <v>702</v>
      </c>
      <c r="F239" s="4" t="s">
        <v>331</v>
      </c>
      <c r="G239" s="6" t="str">
        <f>IFERROR(__xludf.DUMMYFUNCTION("REGEXREPLACE(LOWER(F239),""[^a-z\s]"","""")"),"none")</f>
        <v>none</v>
      </c>
      <c r="H239" s="4" t="str">
        <f t="shared" si="1"/>
        <v>none</v>
      </c>
      <c r="I239" s="6">
        <f t="shared" si="2"/>
        <v>1</v>
      </c>
      <c r="J239" s="6">
        <f>IFERROR(__xludf.DUMMYFUNCTION("IF(H239="""","""",
SUM(
ARRAYFORMULA(
IF(
REGEXMATCH(
"" ""&amp;H239&amp;"" "",
"" ""&amp;Sentiment_Words!A$2:A3730&amp;"" ""
),
1,
0
)
)
)
)"),0.0)</f>
        <v>0</v>
      </c>
      <c r="K239" s="4">
        <f>IFERROR(__xludf.DUMMYFUNCTION("IF(H239="""","""",
SUM(
ARRAYFORMULA(
IF(
REGEXMATCH(
"" ""&amp;H239&amp;"" "",
"" ""&amp;Sentiment_Words!B$2:B3730&amp;"" ""
),
1,
0
)
)
)
)"),0.0)</f>
        <v>0</v>
      </c>
      <c r="L239" s="7" t="str">
        <f t="shared" si="3"/>
        <v>Other</v>
      </c>
      <c r="M239" s="7" t="str">
        <f t="shared" si="4"/>
        <v>Neutral</v>
      </c>
      <c r="N239" s="7" t="str">
        <f>IFERROR(__xludf.DUMMYFUNCTION("LOWER(
TRIM(
REGEXREPLACE(B239,""[^a-zA-Z\s]"","""")
)
)
"),"debbie good")</f>
        <v>debbie good</v>
      </c>
      <c r="O239" s="7">
        <f t="shared" si="5"/>
        <v>1</v>
      </c>
      <c r="P239" s="8" t="str">
        <f t="shared" si="6"/>
        <v>No</v>
      </c>
    </row>
    <row r="240">
      <c r="A240" s="4" t="s">
        <v>16</v>
      </c>
      <c r="B240" s="4" t="s">
        <v>703</v>
      </c>
      <c r="C240" s="5">
        <v>45028.0</v>
      </c>
      <c r="D240" s="10">
        <v>45040.0</v>
      </c>
      <c r="E240" s="4" t="s">
        <v>704</v>
      </c>
      <c r="F240" s="4" t="s">
        <v>331</v>
      </c>
      <c r="G240" s="6" t="str">
        <f>IFERROR(__xludf.DUMMYFUNCTION("REGEXREPLACE(LOWER(F240),""[^a-z\s]"","""")"),"none")</f>
        <v>none</v>
      </c>
      <c r="H240" s="4" t="str">
        <f t="shared" si="1"/>
        <v>none</v>
      </c>
      <c r="I240" s="6">
        <f t="shared" si="2"/>
        <v>1</v>
      </c>
      <c r="J240" s="6">
        <f>IFERROR(__xludf.DUMMYFUNCTION("IF(H240="""","""",
SUM(
ARRAYFORMULA(
IF(
REGEXMATCH(
"" ""&amp;H240&amp;"" "",
"" ""&amp;Sentiment_Words!A$2:A3730&amp;"" ""
),
1,
0
)
)
)
)"),0.0)</f>
        <v>0</v>
      </c>
      <c r="K240" s="4">
        <f>IFERROR(__xludf.DUMMYFUNCTION("IF(H240="""","""",
SUM(
ARRAYFORMULA(
IF(
REGEXMATCH(
"" ""&amp;H240&amp;"" "",
"" ""&amp;Sentiment_Words!B$2:B3730&amp;"" ""
),
1,
0
)
)
)
)"),0.0)</f>
        <v>0</v>
      </c>
      <c r="L240" s="7" t="str">
        <f t="shared" si="3"/>
        <v>Other</v>
      </c>
      <c r="M240" s="7" t="str">
        <f t="shared" si="4"/>
        <v>Neutral</v>
      </c>
      <c r="N240" s="7" t="str">
        <f>IFERROR(__xludf.DUMMYFUNCTION("LOWER(
TRIM(
REGEXREPLACE(B240,""[^a-zA-Z\s]"","""")
)
)
"),"moe")</f>
        <v>moe</v>
      </c>
      <c r="O240" s="7">
        <f t="shared" si="5"/>
        <v>1</v>
      </c>
      <c r="P240" s="8" t="str">
        <f t="shared" si="6"/>
        <v>No</v>
      </c>
    </row>
    <row r="241">
      <c r="A241" s="4" t="s">
        <v>16</v>
      </c>
      <c r="B241" s="4" t="s">
        <v>705</v>
      </c>
      <c r="C241" s="5">
        <v>45027.0</v>
      </c>
      <c r="D241" s="10">
        <v>45040.0</v>
      </c>
      <c r="E241" s="4" t="s">
        <v>706</v>
      </c>
      <c r="F241" s="4" t="s">
        <v>331</v>
      </c>
      <c r="G241" s="6" t="str">
        <f>IFERROR(__xludf.DUMMYFUNCTION("REGEXREPLACE(LOWER(F241),""[^a-z\s]"","""")"),"none")</f>
        <v>none</v>
      </c>
      <c r="H241" s="4" t="str">
        <f t="shared" si="1"/>
        <v>none</v>
      </c>
      <c r="I241" s="6">
        <f t="shared" si="2"/>
        <v>1</v>
      </c>
      <c r="J241" s="6">
        <f>IFERROR(__xludf.DUMMYFUNCTION("IF(H241="""","""",
SUM(
ARRAYFORMULA(
IF(
REGEXMATCH(
"" ""&amp;H241&amp;"" "",
"" ""&amp;Sentiment_Words!A$2:A3730&amp;"" ""
),
1,
0
)
)
)
)"),0.0)</f>
        <v>0</v>
      </c>
      <c r="K241" s="4">
        <f>IFERROR(__xludf.DUMMYFUNCTION("IF(H241="""","""",
SUM(
ARRAYFORMULA(
IF(
REGEXMATCH(
"" ""&amp;H241&amp;"" "",
"" ""&amp;Sentiment_Words!B$2:B3730&amp;"" ""
),
1,
0
)
)
)
)"),0.0)</f>
        <v>0</v>
      </c>
      <c r="L241" s="7" t="str">
        <f t="shared" si="3"/>
        <v>Other</v>
      </c>
      <c r="M241" s="7" t="str">
        <f t="shared" si="4"/>
        <v>Neutral</v>
      </c>
      <c r="N241" s="7" t="str">
        <f>IFERROR(__xludf.DUMMYFUNCTION("LOWER(
TRIM(
REGEXREPLACE(B241,""[^a-zA-Z\s]"","""")
)
)
"),"nancy font")</f>
        <v>nancy font</v>
      </c>
      <c r="O241" s="7">
        <f t="shared" si="5"/>
        <v>1</v>
      </c>
      <c r="P241" s="8" t="str">
        <f t="shared" si="6"/>
        <v>No</v>
      </c>
    </row>
    <row r="242">
      <c r="A242" s="4" t="s">
        <v>16</v>
      </c>
      <c r="B242" s="4" t="s">
        <v>707</v>
      </c>
      <c r="C242" s="5">
        <v>45028.0</v>
      </c>
      <c r="D242" s="10">
        <v>45040.0</v>
      </c>
      <c r="E242" s="4" t="s">
        <v>708</v>
      </c>
      <c r="F242" s="4" t="s">
        <v>709</v>
      </c>
      <c r="G242" s="6" t="str">
        <f>IFERROR(__xludf.DUMMYFUNCTION("REGEXREPLACE(LOWER(F242),""[^a-z\s]"","""")"),"that it got delivered in time and your price is fare")</f>
        <v>that it got delivered in time and your price is fare</v>
      </c>
      <c r="H242" s="4" t="str">
        <f t="shared" si="1"/>
        <v>that it got delivered in time your price fare</v>
      </c>
      <c r="I242" s="6">
        <f t="shared" si="2"/>
        <v>9</v>
      </c>
      <c r="J242" s="6">
        <f>IFERROR(__xludf.DUMMYFUNCTION("IF(H242="""","""",
SUM(
ARRAYFORMULA(
IF(
REGEXMATCH(
"" ""&amp;H242&amp;"" "",
"" ""&amp;Sentiment_Words!A$2:A3730&amp;"" ""
),
1,
0
)
)
)
)"),1.0)</f>
        <v>1</v>
      </c>
      <c r="K242" s="4">
        <f>IFERROR(__xludf.DUMMYFUNCTION("IF(H242="""","""",
SUM(
ARRAYFORMULA(
IF(
REGEXMATCH(
"" ""&amp;H242&amp;"" "",
"" ""&amp;Sentiment_Words!B$2:B3730&amp;"" ""
),
1,
0
)
)
)
)"),0.0)</f>
        <v>0</v>
      </c>
      <c r="L242" s="7" t="str">
        <f t="shared" si="3"/>
        <v>Other</v>
      </c>
      <c r="M242" s="7" t="str">
        <f t="shared" si="4"/>
        <v>Positive</v>
      </c>
      <c r="N242" s="7" t="str">
        <f>IFERROR(__xludf.DUMMYFUNCTION("LOWER(
TRIM(
REGEXREPLACE(B242,""[^a-zA-Z\s]"","""")
)
)
"),"edgardo gonzalez")</f>
        <v>edgardo gonzalez</v>
      </c>
      <c r="O242" s="7">
        <f t="shared" si="5"/>
        <v>1</v>
      </c>
      <c r="P242" s="8" t="str">
        <f t="shared" si="6"/>
        <v>No</v>
      </c>
    </row>
    <row r="243">
      <c r="A243" s="4" t="s">
        <v>16</v>
      </c>
      <c r="B243" s="4" t="s">
        <v>710</v>
      </c>
      <c r="C243" s="5">
        <v>45028.0</v>
      </c>
      <c r="D243" s="10">
        <v>45040.0</v>
      </c>
      <c r="E243" s="4" t="s">
        <v>711</v>
      </c>
      <c r="F243" s="4" t="s">
        <v>712</v>
      </c>
      <c r="G243" s="6" t="str">
        <f>IFERROR(__xludf.DUMMYFUNCTION("REGEXREPLACE(LOWER(F243),""[^a-z\s]"","""")"),"they got my order out to me in a timely matter and a good price")</f>
        <v>they got my order out to me in a timely matter and a good price</v>
      </c>
      <c r="H243" s="4" t="str">
        <f t="shared" si="1"/>
        <v>they got my order out me in a timely matter a good price</v>
      </c>
      <c r="I243" s="6">
        <f t="shared" si="2"/>
        <v>13</v>
      </c>
      <c r="J243" s="6">
        <f>IFERROR(__xludf.DUMMYFUNCTION("IF(H243="""","""",
SUM(
ARRAYFORMULA(
IF(
REGEXMATCH(
"" ""&amp;H243&amp;"" "",
"" ""&amp;Sentiment_Words!A$2:A3730&amp;"" ""
),
1,
0
)
)
)
)"),1.0)</f>
        <v>1</v>
      </c>
      <c r="K243" s="4">
        <f>IFERROR(__xludf.DUMMYFUNCTION("IF(H243="""","""",
SUM(
ARRAYFORMULA(
IF(
REGEXMATCH(
"" ""&amp;H243&amp;"" "",
"" ""&amp;Sentiment_Words!B$2:B3730&amp;"" ""
),
1,
0
)
)
)
)"),0.0)</f>
        <v>0</v>
      </c>
      <c r="L243" s="7" t="str">
        <f t="shared" si="3"/>
        <v>Other</v>
      </c>
      <c r="M243" s="7" t="str">
        <f t="shared" si="4"/>
        <v>Positive</v>
      </c>
      <c r="N243" s="7" t="str">
        <f>IFERROR(__xludf.DUMMYFUNCTION("LOWER(
TRIM(
REGEXREPLACE(B243,""[^a-zA-Z\s]"","""")
)
)
"),"eugene woodard")</f>
        <v>eugene woodard</v>
      </c>
      <c r="O243" s="7">
        <f t="shared" si="5"/>
        <v>1</v>
      </c>
      <c r="P243" s="8" t="str">
        <f t="shared" si="6"/>
        <v>No</v>
      </c>
    </row>
    <row r="244">
      <c r="A244" s="4" t="s">
        <v>16</v>
      </c>
      <c r="B244" s="4" t="s">
        <v>713</v>
      </c>
      <c r="C244" s="5">
        <v>45027.0</v>
      </c>
      <c r="D244" s="10">
        <v>45039.0</v>
      </c>
      <c r="E244" s="4" t="s">
        <v>714</v>
      </c>
      <c r="F244" s="4" t="s">
        <v>715</v>
      </c>
      <c r="G244" s="6" t="str">
        <f>IFERROR(__xludf.DUMMYFUNCTION("REGEXREPLACE(LOWER(F244),""[^a-z\s]"","""")"),"we needed small litter pans and were able to find them at petflow not only were we able to buy the quantity we required but these were also the lowest price available online thank you petflow")</f>
        <v>we needed small litter pans and were able to find them at petflow not only were we able to buy the quantity we required but these were also the lowest price available online thank you petflow</v>
      </c>
      <c r="H244" s="4" t="str">
        <f t="shared" si="1"/>
        <v>we needed small litter pans were able find them at petflow not only were we able buy quantity we required but these were also lowest price available online thank you petflow</v>
      </c>
      <c r="I244" s="6">
        <f t="shared" si="2"/>
        <v>31</v>
      </c>
      <c r="J244" s="6">
        <f>IFERROR(__xludf.DUMMYFUNCTION("IF(H244="""","""",
SUM(
ARRAYFORMULA(
IF(
REGEXMATCH(
"" ""&amp;H244&amp;"" "",
"" ""&amp;Sentiment_Words!A$2:A3730&amp;"" ""
),
1,
0
)
)
)
)"),2.0)</f>
        <v>2</v>
      </c>
      <c r="K244" s="4">
        <f>IFERROR(__xludf.DUMMYFUNCTION("IF(H244="""","""",
SUM(
ARRAYFORMULA(
IF(
REGEXMATCH(
"" ""&amp;H244&amp;"" "",
"" ""&amp;Sentiment_Words!B$2:B3730&amp;"" ""
),
1,
0
)
)
)
)"),0.0)</f>
        <v>0</v>
      </c>
      <c r="L244" s="7" t="str">
        <f t="shared" si="3"/>
        <v>Other</v>
      </c>
      <c r="M244" s="7" t="str">
        <f t="shared" si="4"/>
        <v>Positive</v>
      </c>
      <c r="N244" s="7" t="str">
        <f>IFERROR(__xludf.DUMMYFUNCTION("LOWER(
TRIM(
REGEXREPLACE(B244,""[^a-zA-Z\s]"","""")
)
)
"),"wrestling mama")</f>
        <v>wrestling mama</v>
      </c>
      <c r="O244" s="7">
        <f t="shared" si="5"/>
        <v>1</v>
      </c>
      <c r="P244" s="8" t="str">
        <f t="shared" si="6"/>
        <v>No</v>
      </c>
    </row>
    <row r="245">
      <c r="A245" s="4" t="s">
        <v>16</v>
      </c>
      <c r="B245" s="4" t="s">
        <v>716</v>
      </c>
      <c r="C245" s="5">
        <v>45027.0</v>
      </c>
      <c r="D245" s="10">
        <v>45039.0</v>
      </c>
      <c r="E245" s="4" t="s">
        <v>717</v>
      </c>
      <c r="F245" s="4" t="s">
        <v>718</v>
      </c>
      <c r="G245" s="6" t="str">
        <f>IFERROR(__xludf.DUMMYFUNCTION("REGEXREPLACE(LOWER(F245),""[^a-z\s]"","""")"),"easy to use website i found the product i wanted notifications sent through the whole process after purchase was made product arrived when specified in whole undamaged form well packed")</f>
        <v>easy to use website i found the product i wanted notifications sent through the whole process after purchase was made product arrived when specified in whole undamaged form well packed</v>
      </c>
      <c r="H245" s="4" t="str">
        <f t="shared" si="1"/>
        <v>easy use website i found product i wanted notifications sent through whole process after purchase was made product arrived when specified in whole undamaged form well packed</v>
      </c>
      <c r="I245" s="6">
        <f t="shared" si="2"/>
        <v>27</v>
      </c>
      <c r="J245" s="6">
        <f>IFERROR(__xludf.DUMMYFUNCTION("IF(H245="""","""",
SUM(
ARRAYFORMULA(
IF(
REGEXMATCH(
"" ""&amp;H245&amp;"" "",
"" ""&amp;Sentiment_Words!A$2:A3730&amp;"" ""
),
1,
0
)
)
)
)"),2.0)</f>
        <v>2</v>
      </c>
      <c r="K245" s="4">
        <f>IFERROR(__xludf.DUMMYFUNCTION("IF(H245="""","""",
SUM(
ARRAYFORMULA(
IF(
REGEXMATCH(
"" ""&amp;H245&amp;"" "",
"" ""&amp;Sentiment_Words!B$2:B3730&amp;"" ""
),
1,
0
)
)
)
)"),0.0)</f>
        <v>0</v>
      </c>
      <c r="L245" s="7" t="str">
        <f t="shared" si="3"/>
        <v>Account &amp; Website</v>
      </c>
      <c r="M245" s="7" t="str">
        <f t="shared" si="4"/>
        <v>Positive</v>
      </c>
      <c r="N245" s="7" t="str">
        <f>IFERROR(__xludf.DUMMYFUNCTION("LOWER(
TRIM(
REGEXREPLACE(B245,""[^a-zA-Z\s]"","""")
)
)
"),"lf")</f>
        <v>lf</v>
      </c>
      <c r="O245" s="7">
        <f t="shared" si="5"/>
        <v>1</v>
      </c>
      <c r="P245" s="8" t="str">
        <f t="shared" si="6"/>
        <v>No</v>
      </c>
    </row>
    <row r="246">
      <c r="A246" s="4" t="s">
        <v>16</v>
      </c>
      <c r="B246" s="4" t="s">
        <v>719</v>
      </c>
      <c r="C246" s="5">
        <v>45027.0</v>
      </c>
      <c r="D246" s="10">
        <v>45039.0</v>
      </c>
      <c r="E246" s="4" t="s">
        <v>720</v>
      </c>
      <c r="F246" s="4" t="s">
        <v>721</v>
      </c>
      <c r="G246" s="6" t="str">
        <f>IFERROR(__xludf.DUMMYFUNCTION("REGEXREPLACE(LOWER(F246),""[^a-z\s]"","""")"),"i am very happy with the fast delivery and also knowing that my ordered items are available im still learning how to navigate the auto shipment with petflows system there are too many shipment options on the page and i have accidentally double ordered bec"&amp;"ause of how the auto shipment is set up i use several other pet supply sites and find that chewy has the simplist auto shipment system so i hope i can figure out the petflow system much better as i very happy with petflow")</f>
        <v>i am very happy with the fast delivery and also knowing that my ordered items are available im still learning how to navigate the auto shipment with petflows system there are too many shipment options on the page and i have accidentally double ordered because of how the auto shipment is set up i use several other pet supply sites and find that chewy has the simplist auto shipment system so i hope i can figure out the petflow system much better as i very happy with petflow</v>
      </c>
      <c r="H246" s="4" t="str">
        <f t="shared" si="1"/>
        <v>i am very happy with fast delivery also knowing that my ordered items are available im still learning how navigate auto shipment with petflows system there are too many shipment options on page i have accidentally double ordered because of how auto shipment set up i use several other pet supply sites find that chewy has simplist auto shipment system so i hope i can figure out petflow system much better as i very happy with petflow</v>
      </c>
      <c r="I246" s="6">
        <f t="shared" si="2"/>
        <v>77</v>
      </c>
      <c r="J246" s="6">
        <f>IFERROR(__xludf.DUMMYFUNCTION("IF(H246="""","""",
SUM(
ARRAYFORMULA(
IF(
REGEXMATCH(
"" ""&amp;H246&amp;"" "",
"" ""&amp;Sentiment_Words!A$2:A3730&amp;"" ""
),
1,
0
)
)
)
)"),4.0)</f>
        <v>4</v>
      </c>
      <c r="K246" s="4">
        <f>IFERROR(__xludf.DUMMYFUNCTION("IF(H246="""","""",
SUM(
ARRAYFORMULA(
IF(
REGEXMATCH(
"" ""&amp;H246&amp;"" "",
"" ""&amp;Sentiment_Words!B$2:B3730&amp;"" ""
),
1,
0
)
)
)
)"),0.0)</f>
        <v>0</v>
      </c>
      <c r="L246" s="7" t="str">
        <f t="shared" si="3"/>
        <v>Other</v>
      </c>
      <c r="M246" s="7" t="str">
        <f t="shared" si="4"/>
        <v>Positive</v>
      </c>
      <c r="N246" s="7" t="str">
        <f>IFERROR(__xludf.DUMMYFUNCTION("LOWER(
TRIM(
REGEXREPLACE(B246,""[^a-zA-Z\s]"","""")
)
)
"),"dr brenda luther")</f>
        <v>dr brenda luther</v>
      </c>
      <c r="O246" s="7">
        <f t="shared" si="5"/>
        <v>1</v>
      </c>
      <c r="P246" s="8" t="str">
        <f t="shared" si="6"/>
        <v>No</v>
      </c>
    </row>
    <row r="247">
      <c r="A247" s="4" t="s">
        <v>16</v>
      </c>
      <c r="B247" s="4" t="s">
        <v>722</v>
      </c>
      <c r="C247" s="5">
        <v>45027.0</v>
      </c>
      <c r="D247" s="10">
        <v>45039.0</v>
      </c>
      <c r="E247" s="4" t="s">
        <v>723</v>
      </c>
      <c r="F247" s="4" t="s">
        <v>724</v>
      </c>
      <c r="G247" s="6" t="str">
        <f>IFERROR(__xludf.DUMMYFUNCTION("REGEXREPLACE(LOWER(F247),""[^a-z\s]"","""")"),"we appreciate your efforts to keep orijen products in stock for the past five years our puppy has been alive and you get them to us fast thanks")</f>
        <v>we appreciate your efforts to keep orijen products in stock for the past five years our puppy has been alive and you get them to us fast thanks</v>
      </c>
      <c r="H247" s="4" t="str">
        <f t="shared" si="1"/>
        <v>we appreciate your efforts keep orijen products in stock past five years our puppy has been alive you get them us fast thanks</v>
      </c>
      <c r="I247" s="6">
        <f t="shared" si="2"/>
        <v>23</v>
      </c>
      <c r="J247" s="6">
        <f>IFERROR(__xludf.DUMMYFUNCTION("IF(H247="""","""",
SUM(
ARRAYFORMULA(
IF(
REGEXMATCH(
"" ""&amp;H247&amp;"" "",
"" ""&amp;Sentiment_Words!A$2:A3730&amp;"" ""
),
1,
0
)
)
)
)"),1.0)</f>
        <v>1</v>
      </c>
      <c r="K247" s="4">
        <f>IFERROR(__xludf.DUMMYFUNCTION("IF(H247="""","""",
SUM(
ARRAYFORMULA(
IF(
REGEXMATCH(
"" ""&amp;H247&amp;"" "",
"" ""&amp;Sentiment_Words!B$2:B3730&amp;"" ""
),
1,
0
)
)
)
)"),0.0)</f>
        <v>0</v>
      </c>
      <c r="L247" s="7" t="str">
        <f t="shared" si="3"/>
        <v>Other</v>
      </c>
      <c r="M247" s="7" t="str">
        <f t="shared" si="4"/>
        <v>Positive</v>
      </c>
      <c r="N247" s="7" t="str">
        <f>IFERROR(__xludf.DUMMYFUNCTION("LOWER(
TRIM(
REGEXREPLACE(B247,""[^a-zA-Z\s]"","""")
)
)
"),"ann weinrich")</f>
        <v>ann weinrich</v>
      </c>
      <c r="O247" s="7">
        <f t="shared" si="5"/>
        <v>1</v>
      </c>
      <c r="P247" s="8" t="str">
        <f t="shared" si="6"/>
        <v>No</v>
      </c>
    </row>
    <row r="248">
      <c r="A248" s="4" t="s">
        <v>16</v>
      </c>
      <c r="B248" s="4" t="s">
        <v>56</v>
      </c>
      <c r="C248" s="5">
        <v>45027.0</v>
      </c>
      <c r="D248" s="10">
        <v>45039.0</v>
      </c>
      <c r="E248" s="4" t="s">
        <v>725</v>
      </c>
      <c r="F248" s="4" t="s">
        <v>726</v>
      </c>
      <c r="G248" s="6" t="str">
        <f>IFERROR(__xludf.DUMMYFUNCTION("REGEXREPLACE(LOWER(F248),""[^a-z\s]"","""")"),"great customer service the chews need to be long lasting")</f>
        <v>great customer service the chews need to be long lasting</v>
      </c>
      <c r="H248" s="4" t="str">
        <f t="shared" si="1"/>
        <v>great customer service chews need be long lasting</v>
      </c>
      <c r="I248" s="6">
        <f t="shared" si="2"/>
        <v>8</v>
      </c>
      <c r="J248" s="6">
        <f>IFERROR(__xludf.DUMMYFUNCTION("IF(H248="""","""",
SUM(
ARRAYFORMULA(
IF(
REGEXMATCH(
"" ""&amp;H248&amp;"" "",
"" ""&amp;Sentiment_Words!A$2:A3730&amp;"" ""
),
1,
0
)
)
)
)"),2.0)</f>
        <v>2</v>
      </c>
      <c r="K248" s="4">
        <f>IFERROR(__xludf.DUMMYFUNCTION("IF(H248="""","""",
SUM(
ARRAYFORMULA(
IF(
REGEXMATCH(
"" ""&amp;H248&amp;"" "",
"" ""&amp;Sentiment_Words!B$2:B3730&amp;"" ""
),
1,
0
)
)
)
)"),1.0)</f>
        <v>1</v>
      </c>
      <c r="L248" s="7" t="str">
        <f t="shared" si="3"/>
        <v>Customer Support</v>
      </c>
      <c r="M248" s="7" t="str">
        <f t="shared" si="4"/>
        <v>Positive</v>
      </c>
      <c r="N248" s="7" t="str">
        <f>IFERROR(__xludf.DUMMYFUNCTION("LOWER(
TRIM(
REGEXREPLACE(B248,""[^a-zA-Z\s]"","""")
)
)
"),"customer")</f>
        <v>customer</v>
      </c>
      <c r="O248" s="7">
        <f t="shared" si="5"/>
        <v>54</v>
      </c>
      <c r="P248" s="8" t="str">
        <f t="shared" si="6"/>
        <v>Yes</v>
      </c>
    </row>
    <row r="249">
      <c r="A249" s="4" t="s">
        <v>16</v>
      </c>
      <c r="B249" s="4" t="s">
        <v>727</v>
      </c>
      <c r="C249" s="5">
        <v>45027.0</v>
      </c>
      <c r="D249" s="10">
        <v>45039.0</v>
      </c>
      <c r="E249" s="4" t="s">
        <v>728</v>
      </c>
      <c r="F249" s="4" t="s">
        <v>729</v>
      </c>
      <c r="G249" s="6" t="str">
        <f>IFERROR(__xludf.DUMMYFUNCTION("REGEXREPLACE(LOWER(F249),""[^a-z\s]"","""")"),"this was the first time i had to use a prescription for food the staff was on the ball got taken care right of way and shipped to me in  days")</f>
        <v>this was the first time i had to use a prescription for food the staff was on the ball got taken care right of way and shipped to me in  days</v>
      </c>
      <c r="H249" s="4" t="str">
        <f t="shared" si="1"/>
        <v>this was first time i had use a prescription food staff was on ball got taken care right of way shipped me in days</v>
      </c>
      <c r="I249" s="6">
        <f t="shared" si="2"/>
        <v>24</v>
      </c>
      <c r="J249" s="6">
        <f>IFERROR(__xludf.DUMMYFUNCTION("IF(H249="""","""",
SUM(
ARRAYFORMULA(
IF(
REGEXMATCH(
"" ""&amp;H249&amp;"" "",
"" ""&amp;Sentiment_Words!A$2:A3730&amp;"" ""
),
1,
0
)
)
)
)"),0.0)</f>
        <v>0</v>
      </c>
      <c r="K249" s="4">
        <f>IFERROR(__xludf.DUMMYFUNCTION("IF(H249="""","""",
SUM(
ARRAYFORMULA(
IF(
REGEXMATCH(
"" ""&amp;H249&amp;"" "",
"" ""&amp;Sentiment_Words!B$2:B3730&amp;"" ""
),
1,
0
)
)
)
)"),0.0)</f>
        <v>0</v>
      </c>
      <c r="L249" s="7" t="str">
        <f t="shared" si="3"/>
        <v>Other</v>
      </c>
      <c r="M249" s="7" t="str">
        <f t="shared" si="4"/>
        <v>Neutral</v>
      </c>
      <c r="N249" s="7" t="str">
        <f>IFERROR(__xludf.DUMMYFUNCTION("LOWER(
TRIM(
REGEXREPLACE(B249,""[^a-zA-Z\s]"","""")
)
)
"),"jean")</f>
        <v>jean</v>
      </c>
      <c r="O249" s="7">
        <f t="shared" si="5"/>
        <v>5</v>
      </c>
      <c r="P249" s="8" t="str">
        <f t="shared" si="6"/>
        <v>Yes</v>
      </c>
    </row>
    <row r="250">
      <c r="A250" s="4" t="s">
        <v>16</v>
      </c>
      <c r="B250" s="4" t="s">
        <v>730</v>
      </c>
      <c r="C250" s="5">
        <v>45027.0</v>
      </c>
      <c r="D250" s="10">
        <v>45039.0</v>
      </c>
      <c r="E250" s="4" t="s">
        <v>731</v>
      </c>
      <c r="F250" s="4" t="s">
        <v>732</v>
      </c>
      <c r="G250" s="6" t="str">
        <f>IFERROR(__xludf.DUMMYFUNCTION("REGEXREPLACE(LOWER(F250),""[^a-z\s]"","""")"),"the auto ship is a lifesaver the prices are comparable to store prices but never having to worry about running out is fantastic they are always on time as promised")</f>
        <v>the auto ship is a lifesaver the prices are comparable to store prices but never having to worry about running out is fantastic they are always on time as promised</v>
      </c>
      <c r="H250" s="4" t="str">
        <f t="shared" si="1"/>
        <v>auto ship a lifesaver prices are comparable store prices but never having worry about running out fantastic they are always on time as promised</v>
      </c>
      <c r="I250" s="6">
        <f t="shared" si="2"/>
        <v>24</v>
      </c>
      <c r="J250" s="6">
        <f>IFERROR(__xludf.DUMMYFUNCTION("IF(H250="""","""",
SUM(
ARRAYFORMULA(
IF(
REGEXMATCH(
"" ""&amp;H250&amp;"" "",
"" ""&amp;Sentiment_Words!A$2:A3730&amp;"" ""
),
1,
0
)
)
)
)"),2.0)</f>
        <v>2</v>
      </c>
      <c r="K250" s="4">
        <f>IFERROR(__xludf.DUMMYFUNCTION("IF(H250="""","""",
SUM(
ARRAYFORMULA(
IF(
REGEXMATCH(
"" ""&amp;H250&amp;"" "",
"" ""&amp;Sentiment_Words!B$2:B3730&amp;"" ""
),
1,
0
)
)
)
)"),0.0)</f>
        <v>0</v>
      </c>
      <c r="L250" s="7" t="str">
        <f t="shared" si="3"/>
        <v>Other</v>
      </c>
      <c r="M250" s="7" t="str">
        <f t="shared" si="4"/>
        <v>Positive</v>
      </c>
      <c r="N250" s="7" t="str">
        <f>IFERROR(__xludf.DUMMYFUNCTION("LOWER(
TRIM(
REGEXREPLACE(B250,""[^a-zA-Z\s]"","""")
)
)
"),"ronald mrofcza")</f>
        <v>ronald mrofcza</v>
      </c>
      <c r="O250" s="7">
        <f t="shared" si="5"/>
        <v>1</v>
      </c>
      <c r="P250" s="8" t="str">
        <f t="shared" si="6"/>
        <v>No</v>
      </c>
    </row>
    <row r="251">
      <c r="A251" s="4" t="s">
        <v>16</v>
      </c>
      <c r="B251" s="4" t="s">
        <v>733</v>
      </c>
      <c r="C251" s="5">
        <v>45027.0</v>
      </c>
      <c r="D251" s="10">
        <v>45039.0</v>
      </c>
      <c r="E251" s="4" t="s">
        <v>734</v>
      </c>
      <c r="F251" s="4" t="s">
        <v>735</v>
      </c>
      <c r="G251" s="6" t="str">
        <f>IFERROR(__xludf.DUMMYFUNCTION("REGEXREPLACE(LOWER(F251),""[^a-z\s]"","""")"),"they are still bothering my vet for a prescription on an i order i canceled annoying")</f>
        <v>they are still bothering my vet for a prescription on an i order i canceled annoying</v>
      </c>
      <c r="H251" s="4" t="str">
        <f t="shared" si="1"/>
        <v>they are still bothering my vet a prescription on an i order i canceled annoying</v>
      </c>
      <c r="I251" s="6">
        <f t="shared" si="2"/>
        <v>15</v>
      </c>
      <c r="J251" s="6">
        <f>IFERROR(__xludf.DUMMYFUNCTION("IF(H251="""","""",
SUM(
ARRAYFORMULA(
IF(
REGEXMATCH(
"" ""&amp;H251&amp;"" "",
"" ""&amp;Sentiment_Words!A$2:A3730&amp;"" ""
),
1,
0
)
)
)
)"),0.0)</f>
        <v>0</v>
      </c>
      <c r="K251" s="4">
        <f>IFERROR(__xludf.DUMMYFUNCTION("IF(H251="""","""",
SUM(
ARRAYFORMULA(
IF(
REGEXMATCH(
"" ""&amp;H251&amp;"" "",
"" ""&amp;Sentiment_Words!B$2:B3730&amp;"" ""
),
1,
0
)
)
)
)"),0.0)</f>
        <v>0</v>
      </c>
      <c r="L251" s="7" t="str">
        <f t="shared" si="3"/>
        <v>Other</v>
      </c>
      <c r="M251" s="7" t="str">
        <f t="shared" si="4"/>
        <v>Neutral</v>
      </c>
      <c r="N251" s="7" t="str">
        <f>IFERROR(__xludf.DUMMYFUNCTION("LOWER(
TRIM(
REGEXREPLACE(B251,""[^a-zA-Z\s]"","""")
)
)
"),"terri")</f>
        <v>terri</v>
      </c>
      <c r="O251" s="7">
        <f t="shared" si="5"/>
        <v>5</v>
      </c>
      <c r="P251" s="8" t="str">
        <f t="shared" si="6"/>
        <v>Yes</v>
      </c>
    </row>
    <row r="252">
      <c r="A252" s="4" t="s">
        <v>16</v>
      </c>
      <c r="B252" s="4" t="s">
        <v>736</v>
      </c>
      <c r="C252" s="5">
        <v>45026.0</v>
      </c>
      <c r="D252" s="10">
        <v>45038.0</v>
      </c>
      <c r="E252" s="4" t="s">
        <v>737</v>
      </c>
      <c r="F252" s="4" t="s">
        <v>738</v>
      </c>
      <c r="G252" s="6" t="str">
        <f>IFERROR(__xludf.DUMMYFUNCTION("REGEXREPLACE(LOWER(F252),""[^a-z\s]"","""")")," best prices  fast free delivery  you can get cashbak with rakuten")</f>
        <v> best prices  fast free delivery  you can get cashbak with rakuten</v>
      </c>
      <c r="H252" s="4" t="str">
        <f t="shared" si="1"/>
        <v>best prices fast free delivery you can get cashbak with rakuten</v>
      </c>
      <c r="I252" s="6">
        <f t="shared" si="2"/>
        <v>11</v>
      </c>
      <c r="J252" s="6">
        <f>IFERROR(__xludf.DUMMYFUNCTION("IF(H252="""","""",
SUM(
ARRAYFORMULA(
IF(
REGEXMATCH(
"" ""&amp;H252&amp;"" "",
"" ""&amp;Sentiment_Words!A$2:A3730&amp;"" ""
),
1,
0
)
)
)
)"),1.0)</f>
        <v>1</v>
      </c>
      <c r="K252" s="4">
        <f>IFERROR(__xludf.DUMMYFUNCTION("IF(H252="""","""",
SUM(
ARRAYFORMULA(
IF(
REGEXMATCH(
"" ""&amp;H252&amp;"" "",
"" ""&amp;Sentiment_Words!B$2:B3730&amp;"" ""
),
1,
0
)
)
)
)"),0.0)</f>
        <v>0</v>
      </c>
      <c r="L252" s="7" t="str">
        <f t="shared" si="3"/>
        <v>Other</v>
      </c>
      <c r="M252" s="7" t="str">
        <f t="shared" si="4"/>
        <v>Positive</v>
      </c>
      <c r="N252" s="7" t="str">
        <f>IFERROR(__xludf.DUMMYFUNCTION("LOWER(
TRIM(
REGEXREPLACE(B252,""[^a-zA-Z\s]"","""")
)
)
"),"peter j cappello")</f>
        <v>peter j cappello</v>
      </c>
      <c r="O252" s="7">
        <f t="shared" si="5"/>
        <v>1</v>
      </c>
      <c r="P252" s="8" t="str">
        <f t="shared" si="6"/>
        <v>No</v>
      </c>
    </row>
    <row r="253">
      <c r="A253" s="4" t="s">
        <v>16</v>
      </c>
      <c r="B253" s="4" t="s">
        <v>739</v>
      </c>
      <c r="C253" s="5">
        <v>45026.0</v>
      </c>
      <c r="D253" s="10">
        <v>45038.0</v>
      </c>
      <c r="E253" s="4" t="s">
        <v>740</v>
      </c>
      <c r="F253" s="4" t="s">
        <v>741</v>
      </c>
      <c r="G253" s="6" t="str">
        <f>IFERROR(__xludf.DUMMYFUNCTION("REGEXREPLACE(LOWER(F253),""[^a-z\s]"","""")"),"i got what i order and when was suppost to be deliver")</f>
        <v>i got what i order and when was suppost to be deliver</v>
      </c>
      <c r="H253" s="4" t="str">
        <f t="shared" si="1"/>
        <v>i got what i order when was suppost be deliver</v>
      </c>
      <c r="I253" s="6">
        <f t="shared" si="2"/>
        <v>10</v>
      </c>
      <c r="J253" s="6">
        <f>IFERROR(__xludf.DUMMYFUNCTION("IF(H253="""","""",
SUM(
ARRAYFORMULA(
IF(
REGEXMATCH(
"" ""&amp;H253&amp;"" "",
"" ""&amp;Sentiment_Words!A$2:A3730&amp;"" ""
),
1,
0
)
)
)
)"),0.0)</f>
        <v>0</v>
      </c>
      <c r="K253" s="4">
        <f>IFERROR(__xludf.DUMMYFUNCTION("IF(H253="""","""",
SUM(
ARRAYFORMULA(
IF(
REGEXMATCH(
"" ""&amp;H253&amp;"" "",
"" ""&amp;Sentiment_Words!B$2:B3730&amp;"" ""
),
1,
0
)
)
)
)"),0.0)</f>
        <v>0</v>
      </c>
      <c r="L253" s="7" t="str">
        <f t="shared" si="3"/>
        <v>Other</v>
      </c>
      <c r="M253" s="7" t="str">
        <f t="shared" si="4"/>
        <v>Neutral</v>
      </c>
      <c r="N253" s="7" t="str">
        <f>IFERROR(__xludf.DUMMYFUNCTION("LOWER(
TRIM(
REGEXREPLACE(B253,""[^a-zA-Z\s]"","""")
)
)
"),"customer")</f>
        <v>customer</v>
      </c>
      <c r="O253" s="7">
        <f t="shared" si="5"/>
        <v>54</v>
      </c>
      <c r="P253" s="8" t="str">
        <f t="shared" si="6"/>
        <v>Yes</v>
      </c>
    </row>
    <row r="254">
      <c r="A254" s="4" t="s">
        <v>16</v>
      </c>
      <c r="B254" s="4" t="s">
        <v>742</v>
      </c>
      <c r="C254" s="5">
        <v>45026.0</v>
      </c>
      <c r="D254" s="10">
        <v>45038.0</v>
      </c>
      <c r="E254" s="4" t="s">
        <v>743</v>
      </c>
      <c r="F254" s="4" t="s">
        <v>744</v>
      </c>
      <c r="G254" s="6" t="str">
        <f>IFERROR(__xludf.DUMMYFUNCTION("REGEXREPLACE(LOWER(F254),""[^a-z\s]"","""")"),"reliable  easy ordering and quick shipping their prices for the fish food we use is the best you can find
dont hesitate to use petflow
theyre outstanding")</f>
        <v>reliable  easy ordering and quick shipping their prices for the fish food we use is the best you can find
dont hesitate to use petflow
theyre outstanding</v>
      </c>
      <c r="H254" s="4" t="str">
        <f t="shared" si="1"/>
        <v>reliable easy ordering quick shipping their prices fish food we use best you can find
dont hesitate use petflow
theyre outstanding</v>
      </c>
      <c r="I254" s="6">
        <f t="shared" si="2"/>
        <v>19</v>
      </c>
      <c r="J254" s="6">
        <f>IFERROR(__xludf.DUMMYFUNCTION("IF(H254="""","""",
SUM(
ARRAYFORMULA(
IF(
REGEXMATCH(
"" ""&amp;H254&amp;"" "",
"" ""&amp;Sentiment_Words!A$2:A3730&amp;"" ""
),
1,
0
)
)
)
)"),2.0)</f>
        <v>2</v>
      </c>
      <c r="K254" s="4">
        <f>IFERROR(__xludf.DUMMYFUNCTION("IF(H254="""","""",
SUM(
ARRAYFORMULA(
IF(
REGEXMATCH(
"" ""&amp;H254&amp;"" "",
"" ""&amp;Sentiment_Words!B$2:B3730&amp;"" ""
),
1,
0
)
)
)
)"),0.0)</f>
        <v>0</v>
      </c>
      <c r="L254" s="7" t="str">
        <f t="shared" si="3"/>
        <v>Other</v>
      </c>
      <c r="M254" s="7" t="str">
        <f t="shared" si="4"/>
        <v>Positive</v>
      </c>
      <c r="N254" s="7" t="str">
        <f>IFERROR(__xludf.DUMMYFUNCTION("LOWER(
TRIM(
REGEXREPLACE(B254,""[^a-zA-Z\s]"","""")
)
)
"),"kevin benedict")</f>
        <v>kevin benedict</v>
      </c>
      <c r="O254" s="7">
        <f t="shared" si="5"/>
        <v>1</v>
      </c>
      <c r="P254" s="8" t="str">
        <f t="shared" si="6"/>
        <v>No</v>
      </c>
    </row>
    <row r="255">
      <c r="A255" s="4" t="s">
        <v>16</v>
      </c>
      <c r="B255" s="4" t="s">
        <v>745</v>
      </c>
      <c r="C255" s="5">
        <v>45026.0</v>
      </c>
      <c r="D255" s="10">
        <v>45038.0</v>
      </c>
      <c r="E255" s="4" t="s">
        <v>746</v>
      </c>
      <c r="F255" s="4" t="s">
        <v>747</v>
      </c>
      <c r="G255" s="6" t="str">
        <f>IFERROR(__xludf.DUMMYFUNCTION("REGEXREPLACE(LOWER(F255),""[^a-z\s]"","""")"),"always great finds at great prices on your site")</f>
        <v>always great finds at great prices on your site</v>
      </c>
      <c r="H255" s="4" t="str">
        <f t="shared" si="1"/>
        <v>always great finds at great prices on your site</v>
      </c>
      <c r="I255" s="6">
        <f t="shared" si="2"/>
        <v>9</v>
      </c>
      <c r="J255" s="6">
        <f>IFERROR(__xludf.DUMMYFUNCTION("IF(H255="""","""",
SUM(
ARRAYFORMULA(
IF(
REGEXMATCH(
"" ""&amp;H255&amp;"" "",
"" ""&amp;Sentiment_Words!A$2:A3730&amp;"" ""
),
1,
0
)
)
)
)"),1.0)</f>
        <v>1</v>
      </c>
      <c r="K255" s="4">
        <f>IFERROR(__xludf.DUMMYFUNCTION("IF(H255="""","""",
SUM(
ARRAYFORMULA(
IF(
REGEXMATCH(
"" ""&amp;H255&amp;"" "",
"" ""&amp;Sentiment_Words!B$2:B3730&amp;"" ""
),
1,
0
)
)
)
)"),0.0)</f>
        <v>0</v>
      </c>
      <c r="L255" s="7" t="str">
        <f t="shared" si="3"/>
        <v>Other</v>
      </c>
      <c r="M255" s="7" t="str">
        <f t="shared" si="4"/>
        <v>Positive</v>
      </c>
      <c r="N255" s="7" t="str">
        <f>IFERROR(__xludf.DUMMYFUNCTION("LOWER(
TRIM(
REGEXREPLACE(B255,""[^a-zA-Z\s]"","""")
)
)
"),"mary busby")</f>
        <v>mary busby</v>
      </c>
      <c r="O255" s="7">
        <f t="shared" si="5"/>
        <v>1</v>
      </c>
      <c r="P255" s="8" t="str">
        <f t="shared" si="6"/>
        <v>No</v>
      </c>
    </row>
    <row r="256">
      <c r="A256" s="4" t="s">
        <v>16</v>
      </c>
      <c r="B256" s="4" t="s">
        <v>748</v>
      </c>
      <c r="C256" s="5">
        <v>45026.0</v>
      </c>
      <c r="D256" s="10">
        <v>45038.0</v>
      </c>
      <c r="E256" s="4" t="s">
        <v>749</v>
      </c>
      <c r="F256" s="4" t="s">
        <v>750</v>
      </c>
      <c r="G256" s="6" t="str">
        <f>IFERROR(__xludf.DUMMYFUNCTION("REGEXREPLACE(LOWER(F256),""[^a-z\s]"","""")"),"i was very pleased about the shipping and that it came on the day it said it would also i like the price a lot of people in amazon are price gouging so this is nice thank you")</f>
        <v>i was very pleased about the shipping and that it came on the day it said it would also i like the price a lot of people in amazon are price gouging so this is nice thank you</v>
      </c>
      <c r="H256" s="4" t="str">
        <f t="shared" si="1"/>
        <v>i was very pleased about shipping that it came on day it said it would also i like price a lot of people in amazon are price gouging so this nice thank you</v>
      </c>
      <c r="I256" s="6">
        <f t="shared" si="2"/>
        <v>33</v>
      </c>
      <c r="J256" s="6">
        <f>IFERROR(__xludf.DUMMYFUNCTION("IF(H256="""","""",
SUM(
ARRAYFORMULA(
IF(
REGEXMATCH(
"" ""&amp;H256&amp;"" "",
"" ""&amp;Sentiment_Words!A$2:A3730&amp;"" ""
),
1,
0
)
)
)
)"),0.0)</f>
        <v>0</v>
      </c>
      <c r="K256" s="4">
        <f>IFERROR(__xludf.DUMMYFUNCTION("IF(H256="""","""",
SUM(
ARRAYFORMULA(
IF(
REGEXMATCH(
"" ""&amp;H256&amp;"" "",
"" ""&amp;Sentiment_Words!B$2:B3730&amp;"" ""
),
1,
0
)
)
)
)"),0.0)</f>
        <v>0</v>
      </c>
      <c r="L256" s="7" t="str">
        <f t="shared" si="3"/>
        <v>Other</v>
      </c>
      <c r="M256" s="7" t="str">
        <f t="shared" si="4"/>
        <v>Neutral</v>
      </c>
      <c r="N256" s="7" t="str">
        <f>IFERROR(__xludf.DUMMYFUNCTION("LOWER(
TRIM(
REGEXREPLACE(B256,""[^a-zA-Z\s]"","""")
)
)
"),"crystal ortiz")</f>
        <v>crystal ortiz</v>
      </c>
      <c r="O256" s="7">
        <f t="shared" si="5"/>
        <v>1</v>
      </c>
      <c r="P256" s="8" t="str">
        <f t="shared" si="6"/>
        <v>No</v>
      </c>
    </row>
    <row r="257">
      <c r="A257" s="4" t="s">
        <v>16</v>
      </c>
      <c r="B257" s="4" t="s">
        <v>751</v>
      </c>
      <c r="C257" s="5">
        <v>45026.0</v>
      </c>
      <c r="D257" s="10">
        <v>45038.0</v>
      </c>
      <c r="E257" s="4" t="s">
        <v>752</v>
      </c>
      <c r="F257" s="4" t="s">
        <v>753</v>
      </c>
      <c r="G257" s="6" t="str">
        <f>IFERROR(__xludf.DUMMYFUNCTION("REGEXREPLACE(LOWER(F257),""[^a-z\s]"","""")"),"fast shipping was provided as i was running low on canned dog food the only problem was some of the cans were smashed they still were able to be opened but tough to get all the food oyt")</f>
        <v>fast shipping was provided as i was running low on canned dog food the only problem was some of the cans were smashed they still were able to be opened but tough to get all the food oyt</v>
      </c>
      <c r="H257" s="4" t="str">
        <f t="shared" si="1"/>
        <v>fast shipping was provided as i was running low on canned dog food only problem was some of cans were smashed they still were able be opened but tough get all food oyt</v>
      </c>
      <c r="I257" s="6">
        <f t="shared" si="2"/>
        <v>33</v>
      </c>
      <c r="J257" s="6">
        <f>IFERROR(__xludf.DUMMYFUNCTION("IF(H257="""","""",
SUM(
ARRAYFORMULA(
IF(
REGEXMATCH(
"" ""&amp;H257&amp;"" "",
"" ""&amp;Sentiment_Words!A$2:A3730&amp;"" ""
),
1,
0
)
)
)
)"),2.0)</f>
        <v>2</v>
      </c>
      <c r="K257" s="4">
        <f>IFERROR(__xludf.DUMMYFUNCTION("IF(H257="""","""",
SUM(
ARRAYFORMULA(
IF(
REGEXMATCH(
"" ""&amp;H257&amp;"" "",
"" ""&amp;Sentiment_Words!B$2:B3730&amp;"" ""
),
1,
0
)
)
)
)"),1.0)</f>
        <v>1</v>
      </c>
      <c r="L257" s="7" t="str">
        <f t="shared" si="3"/>
        <v>Other</v>
      </c>
      <c r="M257" s="7" t="str">
        <f t="shared" si="4"/>
        <v>Positive</v>
      </c>
      <c r="N257" s="7" t="str">
        <f>IFERROR(__xludf.DUMMYFUNCTION("LOWER(
TRIM(
REGEXREPLACE(B257,""[^a-zA-Z\s]"","""")
)
)
"),"jack paul")</f>
        <v>jack paul</v>
      </c>
      <c r="O257" s="7">
        <f t="shared" si="5"/>
        <v>1</v>
      </c>
      <c r="P257" s="8" t="str">
        <f t="shared" si="6"/>
        <v>No</v>
      </c>
    </row>
    <row r="258">
      <c r="A258" s="4" t="s">
        <v>16</v>
      </c>
      <c r="B258" s="4" t="s">
        <v>754</v>
      </c>
      <c r="C258" s="5">
        <v>45026.0</v>
      </c>
      <c r="D258" s="10">
        <v>45038.0</v>
      </c>
      <c r="E258" s="4" t="s">
        <v>755</v>
      </c>
      <c r="F258" s="4" t="s">
        <v>756</v>
      </c>
      <c r="G258" s="6" t="str">
        <f>IFERROR(__xludf.DUMMYFUNCTION("REGEXREPLACE(LOWER(F258),""[^a-z\s]"","""")"),"love the large guinea pig house she loves the cloth ones without a bottom petflow was the only place i could find them so happy they had them i will absolutely continue to order from them")</f>
        <v>love the large guinea pig house she loves the cloth ones without a bottom petflow was the only place i could find them so happy they had them i will absolutely continue to order from them</v>
      </c>
      <c r="H258" s="4" t="str">
        <f t="shared" si="1"/>
        <v>love large guinea pig house she loves cloth ones without a bottom petflow was only place i could find them so happy they had them i will absolutely continue order from them</v>
      </c>
      <c r="I258" s="6">
        <f t="shared" si="2"/>
        <v>32</v>
      </c>
      <c r="J258" s="6">
        <f>IFERROR(__xludf.DUMMYFUNCTION("IF(H258="""","""",
SUM(
ARRAYFORMULA(
IF(
REGEXMATCH(
"" ""&amp;H258&amp;"" "",
"" ""&amp;Sentiment_Words!A$2:A3730&amp;"" ""
),
1,
0
)
)
)
)"),2.0)</f>
        <v>2</v>
      </c>
      <c r="K258" s="4">
        <f>IFERROR(__xludf.DUMMYFUNCTION("IF(H258="""","""",
SUM(
ARRAYFORMULA(
IF(
REGEXMATCH(
"" ""&amp;H258&amp;"" "",
"" ""&amp;Sentiment_Words!B$2:B3730&amp;"" ""
),
1,
0
)
)
)
)"),0.0)</f>
        <v>0</v>
      </c>
      <c r="L258" s="7" t="str">
        <f t="shared" si="3"/>
        <v>Other</v>
      </c>
      <c r="M258" s="7" t="str">
        <f t="shared" si="4"/>
        <v>Positive</v>
      </c>
      <c r="N258" s="7" t="str">
        <f>IFERROR(__xludf.DUMMYFUNCTION("LOWER(
TRIM(
REGEXREPLACE(B258,""[^a-zA-Z\s]"","""")
)
)
"),"barbara coleman")</f>
        <v>barbara coleman</v>
      </c>
      <c r="O258" s="7">
        <f t="shared" si="5"/>
        <v>1</v>
      </c>
      <c r="P258" s="8" t="str">
        <f t="shared" si="6"/>
        <v>No</v>
      </c>
    </row>
    <row r="259">
      <c r="A259" s="4" t="s">
        <v>16</v>
      </c>
      <c r="B259" s="4" t="s">
        <v>757</v>
      </c>
      <c r="C259" s="5">
        <v>45026.0</v>
      </c>
      <c r="D259" s="10">
        <v>45038.0</v>
      </c>
      <c r="E259" s="4" t="s">
        <v>758</v>
      </c>
      <c r="F259" s="4" t="s">
        <v>759</v>
      </c>
      <c r="G259" s="6" t="str">
        <f>IFERROR(__xludf.DUMMYFUNCTION("REGEXREPLACE(LOWER(F259),""[^a-z\s]"","""")"),"quick shipping and easy websitecost is up tho")</f>
        <v>quick shipping and easy websitecost is up tho</v>
      </c>
      <c r="H259" s="4" t="str">
        <f t="shared" si="1"/>
        <v>quick shipping easy websitecost up tho</v>
      </c>
      <c r="I259" s="6">
        <f t="shared" si="2"/>
        <v>6</v>
      </c>
      <c r="J259" s="6">
        <f>IFERROR(__xludf.DUMMYFUNCTION("IF(H259="""","""",
SUM(
ARRAYFORMULA(
IF(
REGEXMATCH(
"" ""&amp;H259&amp;"" "",
"" ""&amp;Sentiment_Words!A$2:A3730&amp;"" ""
),
1,
0
)
)
)
)"),1.0)</f>
        <v>1</v>
      </c>
      <c r="K259" s="4">
        <f>IFERROR(__xludf.DUMMYFUNCTION("IF(H259="""","""",
SUM(
ARRAYFORMULA(
IF(
REGEXMATCH(
"" ""&amp;H259&amp;"" "",
"" ""&amp;Sentiment_Words!B$2:B3730&amp;"" ""
),
1,
0
)
)
)
)"),0.0)</f>
        <v>0</v>
      </c>
      <c r="L259" s="7" t="str">
        <f t="shared" si="3"/>
        <v>Account &amp; Website</v>
      </c>
      <c r="M259" s="7" t="str">
        <f t="shared" si="4"/>
        <v>Positive</v>
      </c>
      <c r="N259" s="7" t="str">
        <f>IFERROR(__xludf.DUMMYFUNCTION("LOWER(
TRIM(
REGEXREPLACE(B259,""[^a-zA-Z\s]"","""")
)
)
"),"mary ballogg")</f>
        <v>mary ballogg</v>
      </c>
      <c r="O259" s="7">
        <f t="shared" si="5"/>
        <v>1</v>
      </c>
      <c r="P259" s="8" t="str">
        <f t="shared" si="6"/>
        <v>No</v>
      </c>
    </row>
    <row r="260">
      <c r="A260" s="4" t="s">
        <v>16</v>
      </c>
      <c r="B260" s="4" t="s">
        <v>760</v>
      </c>
      <c r="C260" s="9">
        <v>45024.0</v>
      </c>
      <c r="D260" s="10">
        <v>45037.0</v>
      </c>
      <c r="E260" s="4" t="s">
        <v>761</v>
      </c>
      <c r="F260" s="4" t="s">
        <v>762</v>
      </c>
      <c r="G260" s="6" t="str">
        <f>IFERROR(__xludf.DUMMYFUNCTION("REGEXREPLACE(LOWER(F260),""[^a-z\s]"","""")"),"rapid response
personal interchange
human contact")</f>
        <v>rapid response
personal interchange
human contact</v>
      </c>
      <c r="H260" s="4" t="str">
        <f t="shared" si="1"/>
        <v>rapid response
personal interchange
human contact</v>
      </c>
      <c r="I260" s="6">
        <f t="shared" si="2"/>
        <v>4</v>
      </c>
      <c r="J260" s="6">
        <f>IFERROR(__xludf.DUMMYFUNCTION("IF(H260="""","""",
SUM(
ARRAYFORMULA(
IF(
REGEXMATCH(
"" ""&amp;H260&amp;"" "",
"" ""&amp;Sentiment_Words!A$2:A3730&amp;"" ""
),
1,
0
)
)
)
)"),0.0)</f>
        <v>0</v>
      </c>
      <c r="K260" s="4">
        <f>IFERROR(__xludf.DUMMYFUNCTION("IF(H260="""","""",
SUM(
ARRAYFORMULA(
IF(
REGEXMATCH(
"" ""&amp;H260&amp;"" "",
"" ""&amp;Sentiment_Words!B$2:B3730&amp;"" ""
),
1,
0
)
)
)
)"),0.0)</f>
        <v>0</v>
      </c>
      <c r="L260" s="7" t="str">
        <f t="shared" si="3"/>
        <v>Other</v>
      </c>
      <c r="M260" s="7" t="str">
        <f t="shared" si="4"/>
        <v>Neutral</v>
      </c>
      <c r="N260" s="7" t="str">
        <f>IFERROR(__xludf.DUMMYFUNCTION("LOWER(
TRIM(
REGEXREPLACE(B260,""[^a-zA-Z\s]"","""")
)
)
"),"arnold grad")</f>
        <v>arnold grad</v>
      </c>
      <c r="O260" s="7">
        <f t="shared" si="5"/>
        <v>1</v>
      </c>
      <c r="P260" s="8" t="str">
        <f t="shared" si="6"/>
        <v>No</v>
      </c>
    </row>
    <row r="261">
      <c r="A261" s="4" t="s">
        <v>16</v>
      </c>
      <c r="B261" s="4" t="s">
        <v>763</v>
      </c>
      <c r="C261" s="9">
        <v>45023.0</v>
      </c>
      <c r="D261" s="10">
        <v>45037.0</v>
      </c>
      <c r="E261" s="4" t="s">
        <v>764</v>
      </c>
      <c r="F261" s="4" t="s">
        <v>765</v>
      </c>
      <c r="G261" s="6" t="str">
        <f>IFERROR(__xludf.DUMMYFUNCTION("REGEXREPLACE(LOWER(F261),""[^a-z\s]"","""")"),"first time customer ordered prescription food so it had to be approved by my vet still had my order in less than a week thanks for the speedy delivery")</f>
        <v>first time customer ordered prescription food so it had to be approved by my vet still had my order in less than a week thanks for the speedy delivery</v>
      </c>
      <c r="H261" s="4" t="str">
        <f t="shared" si="1"/>
        <v>first time customer ordered prescription food so it had be approved by my vet still had my order in less than a week thanks speedy delivery</v>
      </c>
      <c r="I261" s="6">
        <f t="shared" si="2"/>
        <v>26</v>
      </c>
      <c r="J261" s="6">
        <f>IFERROR(__xludf.DUMMYFUNCTION("IF(H261="""","""",
SUM(
ARRAYFORMULA(
IF(
REGEXMATCH(
"" ""&amp;H261&amp;"" "",
"" ""&amp;Sentiment_Words!A$2:A3730&amp;"" ""
),
1,
0
)
)
)
)"),0.0)</f>
        <v>0</v>
      </c>
      <c r="K261" s="4">
        <f>IFERROR(__xludf.DUMMYFUNCTION("IF(H261="""","""",
SUM(
ARRAYFORMULA(
IF(
REGEXMATCH(
"" ""&amp;H261&amp;"" "",
"" ""&amp;Sentiment_Words!B$2:B3730&amp;"" ""
),
1,
0
)
)
)
)"),0.0)</f>
        <v>0</v>
      </c>
      <c r="L261" s="7" t="str">
        <f t="shared" si="3"/>
        <v>Other</v>
      </c>
      <c r="M261" s="7" t="str">
        <f t="shared" si="4"/>
        <v>Neutral</v>
      </c>
      <c r="N261" s="7" t="str">
        <f>IFERROR(__xludf.DUMMYFUNCTION("LOWER(
TRIM(
REGEXREPLACE(B261,""[^a-zA-Z\s]"","""")
)
)
"),"amanda")</f>
        <v>amanda</v>
      </c>
      <c r="O261" s="7">
        <f t="shared" si="5"/>
        <v>1</v>
      </c>
      <c r="P261" s="8" t="str">
        <f t="shared" si="6"/>
        <v>No</v>
      </c>
    </row>
    <row r="262">
      <c r="A262" s="4" t="s">
        <v>16</v>
      </c>
      <c r="B262" s="4" t="s">
        <v>766</v>
      </c>
      <c r="C262" s="9">
        <v>45024.0</v>
      </c>
      <c r="D262" s="10">
        <v>45037.0</v>
      </c>
      <c r="E262" s="4" t="s">
        <v>767</v>
      </c>
      <c r="F262" s="4" t="s">
        <v>768</v>
      </c>
      <c r="G262" s="6" t="str">
        <f>IFERROR(__xludf.DUMMYFUNCTION("REGEXREPLACE(LOWER(F262),""[^a-z\s]"","""")"),"this was my first time purchasing the products available for my cockatiels while limited were good quality the issue i have is with the packaging of  pounds of millet they need to be put in a bag first to prevent the seeds from spilling out into the large"&amp;"r box it creates wasteage and a mess because there are seeds all over the house now")</f>
        <v>this was my first time purchasing the products available for my cockatiels while limited were good quality the issue i have is with the packaging of  pounds of millet they need to be put in a bag first to prevent the seeds from spilling out into the larger box it creates wasteage and a mess because there are seeds all over the house now</v>
      </c>
      <c r="H262" s="4" t="str">
        <f t="shared" si="1"/>
        <v>this was my first time purchasing products available my cockatiels while limited were good quality issue i have with packaging of pounds of millet they need be put in a bag first prevent seeds from spilling out into larger box it creates wasteage a mess because there are seeds all over house now</v>
      </c>
      <c r="I262" s="6">
        <f t="shared" si="2"/>
        <v>53</v>
      </c>
      <c r="J262" s="6">
        <f>IFERROR(__xludf.DUMMYFUNCTION("IF(H262="""","""",
SUM(
ARRAYFORMULA(
IF(
REGEXMATCH(
"" ""&amp;H262&amp;"" "",
"" ""&amp;Sentiment_Words!A$2:A3730&amp;"" ""
),
1,
0
)
)
)
)"),2.0)</f>
        <v>2</v>
      </c>
      <c r="K262" s="4">
        <f>IFERROR(__xludf.DUMMYFUNCTION("IF(H262="""","""",
SUM(
ARRAYFORMULA(
IF(
REGEXMATCH(
"" ""&amp;H262&amp;"" "",
"" ""&amp;Sentiment_Words!B$2:B3730&amp;"" ""
),
1,
0
)
)
)
)"),1.0)</f>
        <v>1</v>
      </c>
      <c r="L262" s="7" t="str">
        <f t="shared" si="3"/>
        <v>Other</v>
      </c>
      <c r="M262" s="7" t="str">
        <f t="shared" si="4"/>
        <v>Positive</v>
      </c>
      <c r="N262" s="7" t="str">
        <f>IFERROR(__xludf.DUMMYFUNCTION("LOWER(
TRIM(
REGEXREPLACE(B262,""[^a-zA-Z\s]"","""")
)
)
"),"ranjana bhattacharya")</f>
        <v>ranjana bhattacharya</v>
      </c>
      <c r="O262" s="7">
        <f t="shared" si="5"/>
        <v>1</v>
      </c>
      <c r="P262" s="8" t="str">
        <f t="shared" si="6"/>
        <v>No</v>
      </c>
    </row>
    <row r="263">
      <c r="A263" s="4" t="s">
        <v>16</v>
      </c>
      <c r="B263" s="4" t="s">
        <v>769</v>
      </c>
      <c r="C263" s="9">
        <v>45025.0</v>
      </c>
      <c r="D263" s="10">
        <v>45037.0</v>
      </c>
      <c r="E263" s="4" t="s">
        <v>770</v>
      </c>
      <c r="F263" s="4" t="s">
        <v>771</v>
      </c>
      <c r="G263" s="6" t="str">
        <f>IFERROR(__xludf.DUMMYFUNCTION("REGEXREPLACE(LOWER(F263),""[^a-z\s]"","""")"),"very professional and my orders are always right and on time")</f>
        <v>very professional and my orders are always right and on time</v>
      </c>
      <c r="H263" s="4" t="str">
        <f t="shared" si="1"/>
        <v>very professional my orders are always right on time</v>
      </c>
      <c r="I263" s="6">
        <f t="shared" si="2"/>
        <v>9</v>
      </c>
      <c r="J263" s="6">
        <f>IFERROR(__xludf.DUMMYFUNCTION("IF(H263="""","""",
SUM(
ARRAYFORMULA(
IF(
REGEXMATCH(
"" ""&amp;H263&amp;"" "",
"" ""&amp;Sentiment_Words!A$2:A3730&amp;"" ""
),
1,
0
)
)
)
)"),1.0)</f>
        <v>1</v>
      </c>
      <c r="K263" s="4">
        <f>IFERROR(__xludf.DUMMYFUNCTION("IF(H263="""","""",
SUM(
ARRAYFORMULA(
IF(
REGEXMATCH(
"" ""&amp;H263&amp;"" "",
"" ""&amp;Sentiment_Words!B$2:B3730&amp;"" ""
),
1,
0
)
)
)
)"),0.0)</f>
        <v>0</v>
      </c>
      <c r="L263" s="7" t="str">
        <f t="shared" si="3"/>
        <v>Other</v>
      </c>
      <c r="M263" s="7" t="str">
        <f t="shared" si="4"/>
        <v>Positive</v>
      </c>
      <c r="N263" s="7" t="str">
        <f>IFERROR(__xludf.DUMMYFUNCTION("LOWER(
TRIM(
REGEXREPLACE(B263,""[^a-zA-Z\s]"","""")
)
)
"),"susan thomas")</f>
        <v>susan thomas</v>
      </c>
      <c r="O263" s="7">
        <f t="shared" si="5"/>
        <v>1</v>
      </c>
      <c r="P263" s="8" t="str">
        <f t="shared" si="6"/>
        <v>No</v>
      </c>
    </row>
    <row r="264">
      <c r="A264" s="4" t="s">
        <v>16</v>
      </c>
      <c r="B264" s="4" t="s">
        <v>772</v>
      </c>
      <c r="C264" s="9">
        <v>45025.0</v>
      </c>
      <c r="D264" s="10">
        <v>45037.0</v>
      </c>
      <c r="E264" s="4" t="s">
        <v>773</v>
      </c>
      <c r="F264" s="4" t="s">
        <v>774</v>
      </c>
      <c r="G264" s="6" t="str">
        <f>IFERROR(__xludf.DUMMYFUNCTION("REGEXREPLACE(LOWER(F264),""[^a-z\s]"","""")"),"i have a been a long time chewy customer and you beat their price on one of the items and then with  autoship you beat the price on the other item so i gave you a try and you delivered
i am new and plan to stay")</f>
        <v>i have a been a long time chewy customer and you beat their price on one of the items and then with  autoship you beat the price on the other item so i gave you a try and you delivered
i am new and plan to stay</v>
      </c>
      <c r="H264" s="4" t="str">
        <f t="shared" si="1"/>
        <v>i have a been a long time chewy customer you beat their price on one of items then with autoship you beat price on other item so i gave you a try you delivered
i am new plan stay</v>
      </c>
      <c r="I264" s="6">
        <f t="shared" si="2"/>
        <v>38</v>
      </c>
      <c r="J264" s="6">
        <f>IFERROR(__xludf.DUMMYFUNCTION("IF(H264="""","""",
SUM(
ARRAYFORMULA(
IF(
REGEXMATCH(
"" ""&amp;H264&amp;"" "",
"" ""&amp;Sentiment_Words!A$2:A3730&amp;"" ""
),
1,
0
)
)
)
)"),0.0)</f>
        <v>0</v>
      </c>
      <c r="K264" s="4">
        <f>IFERROR(__xludf.DUMMYFUNCTION("IF(H264="""","""",
SUM(
ARRAYFORMULA(
IF(
REGEXMATCH(
"" ""&amp;H264&amp;"" "",
"" ""&amp;Sentiment_Words!B$2:B3730&amp;"" ""
),
1,
0
)
)
)
)"),0.0)</f>
        <v>0</v>
      </c>
      <c r="L264" s="7" t="str">
        <f t="shared" si="3"/>
        <v>Other</v>
      </c>
      <c r="M264" s="7" t="str">
        <f t="shared" si="4"/>
        <v>Neutral</v>
      </c>
      <c r="N264" s="7" t="str">
        <f>IFERROR(__xludf.DUMMYFUNCTION("LOWER(
TRIM(
REGEXREPLACE(B264,""[^a-zA-Z\s]"","""")
)
)
"),"andy")</f>
        <v>andy</v>
      </c>
      <c r="O264" s="7">
        <f t="shared" si="5"/>
        <v>1</v>
      </c>
      <c r="P264" s="8" t="str">
        <f t="shared" si="6"/>
        <v>No</v>
      </c>
    </row>
    <row r="265">
      <c r="A265" s="4" t="s">
        <v>16</v>
      </c>
      <c r="B265" s="4" t="s">
        <v>775</v>
      </c>
      <c r="C265" s="9">
        <v>45024.0</v>
      </c>
      <c r="D265" s="10">
        <v>45037.0</v>
      </c>
      <c r="E265" s="4" t="s">
        <v>776</v>
      </c>
      <c r="F265" s="4" t="s">
        <v>777</v>
      </c>
      <c r="G265" s="6" t="str">
        <f>IFERROR(__xludf.DUMMYFUNCTION("REGEXREPLACE(LOWER(F265),""[^a-z\s]"","""")"),"timely delivery wide choice of product at a competitive price")</f>
        <v>timely delivery wide choice of product at a competitive price</v>
      </c>
      <c r="H265" s="4" t="str">
        <f t="shared" si="1"/>
        <v>timely delivery wide choice of product at a competitive price</v>
      </c>
      <c r="I265" s="6">
        <f t="shared" si="2"/>
        <v>10</v>
      </c>
      <c r="J265" s="6">
        <f>IFERROR(__xludf.DUMMYFUNCTION("IF(H265="""","""",
SUM(
ARRAYFORMULA(
IF(
REGEXMATCH(
"" ""&amp;H265&amp;"" "",
"" ""&amp;Sentiment_Words!A$2:A3730&amp;"" ""
),
1,
0
)
)
)
)"),0.0)</f>
        <v>0</v>
      </c>
      <c r="K265" s="4">
        <f>IFERROR(__xludf.DUMMYFUNCTION("IF(H265="""","""",
SUM(
ARRAYFORMULA(
IF(
REGEXMATCH(
"" ""&amp;H265&amp;"" "",
"" ""&amp;Sentiment_Words!B$2:B3730&amp;"" ""
),
1,
0
)
)
)
)"),0.0)</f>
        <v>0</v>
      </c>
      <c r="L265" s="7" t="str">
        <f t="shared" si="3"/>
        <v>Other</v>
      </c>
      <c r="M265" s="7" t="str">
        <f t="shared" si="4"/>
        <v>Neutral</v>
      </c>
      <c r="N265" s="7" t="str">
        <f>IFERROR(__xludf.DUMMYFUNCTION("LOWER(
TRIM(
REGEXREPLACE(B265,""[^a-zA-Z\s]"","""")
)
)
"),"craig")</f>
        <v>craig</v>
      </c>
      <c r="O265" s="7">
        <f t="shared" si="5"/>
        <v>1</v>
      </c>
      <c r="P265" s="8" t="str">
        <f t="shared" si="6"/>
        <v>No</v>
      </c>
    </row>
    <row r="266">
      <c r="A266" s="4" t="s">
        <v>16</v>
      </c>
      <c r="B266" s="4" t="s">
        <v>778</v>
      </c>
      <c r="C266" s="5">
        <v>45014.0</v>
      </c>
      <c r="D266" s="10">
        <v>45037.0</v>
      </c>
      <c r="E266" s="4" t="s">
        <v>779</v>
      </c>
      <c r="F266" s="4" t="s">
        <v>780</v>
      </c>
      <c r="G266" s="6" t="str">
        <f>IFERROR(__xludf.DUMMYFUNCTION("REGEXREPLACE(LOWER(F266),""[^a-z\s]"","""")"),"original order on  damaged in transit heard nothing for a week after i called and replacement order initiated supposed to be delivered on  its now  and order still showing intransit from nj with no additional info as to eta or when my order should be deli"&amp;"vered very poor performance
 plastic jugs should be overpacked
 when original order is damaged a csr should be involved on reshipment to make sure order is completed")</f>
        <v>original order on  damaged in transit heard nothing for a week after i called and replacement order initiated supposed to be delivered on  its now  and order still showing intransit from nj with no additional info as to eta or when my order should be delivered very poor performance
 plastic jugs should be overpacked
 when original order is damaged a csr should be involved on reshipment to make sure order is completed</v>
      </c>
      <c r="H266" s="4" t="str">
        <f t="shared" si="1"/>
        <v>original order on damaged in transit heard nothing a week after i called replacement order initiated supposed be delivered on its now order still showing intransit from nj with no additional info as eta or when my order should be delivered very poor performance
 plastic jugs should be overpacked
 when original order damaged a csr should be involved on reshipment make sure order completed</v>
      </c>
      <c r="I266" s="6">
        <f t="shared" si="2"/>
        <v>64</v>
      </c>
      <c r="J266" s="6">
        <f>IFERROR(__xludf.DUMMYFUNCTION("IF(H266="""","""",
SUM(
ARRAYFORMULA(
IF(
REGEXMATCH(
"" ""&amp;H266&amp;"" "",
"" ""&amp;Sentiment_Words!A$2:A3730&amp;"" ""
),
1,
0
)
)
)
)"),1.0)</f>
        <v>1</v>
      </c>
      <c r="K266" s="4">
        <f>IFERROR(__xludf.DUMMYFUNCTION("IF(H266="""","""",
SUM(
ARRAYFORMULA(
IF(
REGEXMATCH(
"" ""&amp;H266&amp;"" "",
"" ""&amp;Sentiment_Words!B$2:B3730&amp;"" ""
),
1,
0
)
)
)
)"),0.0)</f>
        <v>0</v>
      </c>
      <c r="L266" s="7" t="str">
        <f t="shared" si="3"/>
        <v>Other</v>
      </c>
      <c r="M266" s="7" t="str">
        <f t="shared" si="4"/>
        <v>Positive</v>
      </c>
      <c r="N266" s="7" t="str">
        <f>IFERROR(__xludf.DUMMYFUNCTION("LOWER(
TRIM(
REGEXREPLACE(B266,""[^a-zA-Z\s]"","""")
)
)
"),"jim")</f>
        <v>jim</v>
      </c>
      <c r="O266" s="7">
        <f t="shared" si="5"/>
        <v>4</v>
      </c>
      <c r="P266" s="8" t="str">
        <f t="shared" si="6"/>
        <v>Yes</v>
      </c>
    </row>
    <row r="267">
      <c r="A267" s="4" t="s">
        <v>16</v>
      </c>
      <c r="B267" s="4" t="s">
        <v>781</v>
      </c>
      <c r="C267" s="9">
        <v>45024.0</v>
      </c>
      <c r="D267" s="10">
        <v>45036.0</v>
      </c>
      <c r="E267" s="4" t="s">
        <v>782</v>
      </c>
      <c r="F267" s="4" t="s">
        <v>783</v>
      </c>
      <c r="G267" s="6" t="str">
        <f>IFERROR(__xludf.DUMMYFUNCTION("REGEXREPLACE(LOWER(F267),""[^a-z\s]"","""")"),"a better value than their competitors and fast service thank you")</f>
        <v>a better value than their competitors and fast service thank you</v>
      </c>
      <c r="H267" s="4" t="str">
        <f t="shared" si="1"/>
        <v>a better value than their competitors fast service thank you</v>
      </c>
      <c r="I267" s="6">
        <f t="shared" si="2"/>
        <v>10</v>
      </c>
      <c r="J267" s="6">
        <f>IFERROR(__xludf.DUMMYFUNCTION("IF(H267="""","""",
SUM(
ARRAYFORMULA(
IF(
REGEXMATCH(
"" ""&amp;H267&amp;"" "",
"" ""&amp;Sentiment_Words!A$2:A3730&amp;"" ""
),
1,
0
)
)
)
)"),2.0)</f>
        <v>2</v>
      </c>
      <c r="K267" s="4">
        <f>IFERROR(__xludf.DUMMYFUNCTION("IF(H267="""","""",
SUM(
ARRAYFORMULA(
IF(
REGEXMATCH(
"" ""&amp;H267&amp;"" "",
"" ""&amp;Sentiment_Words!B$2:B3730&amp;"" ""
),
1,
0
)
)
)
)"),0.0)</f>
        <v>0</v>
      </c>
      <c r="L267" s="7" t="str">
        <f t="shared" si="3"/>
        <v>Customer Support</v>
      </c>
      <c r="M267" s="7" t="str">
        <f t="shared" si="4"/>
        <v>Positive</v>
      </c>
      <c r="N267" s="7" t="str">
        <f>IFERROR(__xludf.DUMMYFUNCTION("LOWER(
TRIM(
REGEXREPLACE(B267,""[^a-zA-Z\s]"","""")
)
)
"),"rhonda peyton")</f>
        <v>rhonda peyton</v>
      </c>
      <c r="O267" s="7">
        <f t="shared" si="5"/>
        <v>1</v>
      </c>
      <c r="P267" s="8" t="str">
        <f t="shared" si="6"/>
        <v>No</v>
      </c>
    </row>
    <row r="268">
      <c r="A268" s="4" t="s">
        <v>16</v>
      </c>
      <c r="B268" s="4" t="s">
        <v>784</v>
      </c>
      <c r="C268" s="9">
        <v>45024.0</v>
      </c>
      <c r="D268" s="10">
        <v>45036.0</v>
      </c>
      <c r="E268" s="4" t="s">
        <v>785</v>
      </c>
      <c r="F268" s="4" t="s">
        <v>786</v>
      </c>
      <c r="G268" s="6" t="str">
        <f>IFERROR(__xludf.DUMMYFUNCTION("REGEXREPLACE(LOWER(F268),""[^a-z\s]"","""")"),"had my product in stock great price payed the shipping thank you")</f>
        <v>had my product in stock great price payed the shipping thank you</v>
      </c>
      <c r="H268" s="4" t="str">
        <f t="shared" si="1"/>
        <v>had my product in stock great price payed shipping thank you</v>
      </c>
      <c r="I268" s="6">
        <f t="shared" si="2"/>
        <v>11</v>
      </c>
      <c r="J268" s="6">
        <f>IFERROR(__xludf.DUMMYFUNCTION("IF(H268="""","""",
SUM(
ARRAYFORMULA(
IF(
REGEXMATCH(
"" ""&amp;H268&amp;"" "",
"" ""&amp;Sentiment_Words!A$2:A3730&amp;"" ""
),
1,
0
)
)
)
)"),1.0)</f>
        <v>1</v>
      </c>
      <c r="K268" s="4">
        <f>IFERROR(__xludf.DUMMYFUNCTION("IF(H268="""","""",
SUM(
ARRAYFORMULA(
IF(
REGEXMATCH(
"" ""&amp;H268&amp;"" "",
"" ""&amp;Sentiment_Words!B$2:B3730&amp;"" ""
),
1,
0
)
)
)
)"),0.0)</f>
        <v>0</v>
      </c>
      <c r="L268" s="7" t="str">
        <f t="shared" si="3"/>
        <v>Other</v>
      </c>
      <c r="M268" s="7" t="str">
        <f t="shared" si="4"/>
        <v>Positive</v>
      </c>
      <c r="N268" s="7" t="str">
        <f>IFERROR(__xludf.DUMMYFUNCTION("LOWER(
TRIM(
REGEXREPLACE(B268,""[^a-zA-Z\s]"","""")
)
)
"),"troy harimon")</f>
        <v>troy harimon</v>
      </c>
      <c r="O268" s="7">
        <f t="shared" si="5"/>
        <v>1</v>
      </c>
      <c r="P268" s="8" t="str">
        <f t="shared" si="6"/>
        <v>No</v>
      </c>
    </row>
    <row r="269">
      <c r="A269" s="4" t="s">
        <v>16</v>
      </c>
      <c r="B269" s="4" t="s">
        <v>787</v>
      </c>
      <c r="C269" s="9">
        <v>45024.0</v>
      </c>
      <c r="D269" s="10">
        <v>45036.0</v>
      </c>
      <c r="E269" s="4" t="s">
        <v>788</v>
      </c>
      <c r="F269" s="4" t="s">
        <v>789</v>
      </c>
      <c r="G269" s="6" t="str">
        <f>IFERROR(__xludf.DUMMYFUNCTION("REGEXREPLACE(LOWER(F269),""[^a-z\s]"","""")"),"always fast friendly service")</f>
        <v>always fast friendly service</v>
      </c>
      <c r="H269" s="4" t="str">
        <f t="shared" si="1"/>
        <v>always fast friendly service</v>
      </c>
      <c r="I269" s="6">
        <f t="shared" si="2"/>
        <v>4</v>
      </c>
      <c r="J269" s="6">
        <f>IFERROR(__xludf.DUMMYFUNCTION("IF(H269="""","""",
SUM(
ARRAYFORMULA(
IF(
REGEXMATCH(
"" ""&amp;H269&amp;"" "",
"" ""&amp;Sentiment_Words!A$2:A3730&amp;"" ""
),
1,
0
)
)
)
)"),1.0)</f>
        <v>1</v>
      </c>
      <c r="K269" s="4">
        <f>IFERROR(__xludf.DUMMYFUNCTION("IF(H269="""","""",
SUM(
ARRAYFORMULA(
IF(
REGEXMATCH(
"" ""&amp;H269&amp;"" "",
"" ""&amp;Sentiment_Words!B$2:B3730&amp;"" ""
),
1,
0
)
)
)
)"),0.0)</f>
        <v>0</v>
      </c>
      <c r="L269" s="7" t="str">
        <f t="shared" si="3"/>
        <v>Customer Support</v>
      </c>
      <c r="M269" s="7" t="str">
        <f t="shared" si="4"/>
        <v>Positive</v>
      </c>
      <c r="N269" s="7" t="str">
        <f>IFERROR(__xludf.DUMMYFUNCTION("LOWER(
TRIM(
REGEXREPLACE(B269,""[^a-zA-Z\s]"","""")
)
)
"),"laura kotlar")</f>
        <v>laura kotlar</v>
      </c>
      <c r="O269" s="7">
        <f t="shared" si="5"/>
        <v>1</v>
      </c>
      <c r="P269" s="8" t="str">
        <f t="shared" si="6"/>
        <v>No</v>
      </c>
    </row>
    <row r="270">
      <c r="A270" s="4" t="s">
        <v>16</v>
      </c>
      <c r="B270" s="4" t="s">
        <v>790</v>
      </c>
      <c r="C270" s="9">
        <v>45024.0</v>
      </c>
      <c r="D270" s="10">
        <v>45036.0</v>
      </c>
      <c r="E270" s="4" t="s">
        <v>791</v>
      </c>
      <c r="F270" s="4" t="s">
        <v>792</v>
      </c>
      <c r="G270" s="6" t="str">
        <f>IFERROR(__xludf.DUMMYFUNCTION("REGEXREPLACE(LOWER(F270),""[^a-z\s]"","""")"),"fast delivery cans not dented and price")</f>
        <v>fast delivery cans not dented and price</v>
      </c>
      <c r="H270" s="4" t="str">
        <f t="shared" si="1"/>
        <v>fast delivery cans not dented price</v>
      </c>
      <c r="I270" s="6">
        <f t="shared" si="2"/>
        <v>6</v>
      </c>
      <c r="J270" s="6">
        <f>IFERROR(__xludf.DUMMYFUNCTION("IF(H270="""","""",
SUM(
ARRAYFORMULA(
IF(
REGEXMATCH(
"" ""&amp;H270&amp;"" "",
"" ""&amp;Sentiment_Words!A$2:A3730&amp;"" ""
),
1,
0
)
)
)
)"),2.0)</f>
        <v>2</v>
      </c>
      <c r="K270" s="4">
        <f>IFERROR(__xludf.DUMMYFUNCTION("IF(H270="""","""",
SUM(
ARRAYFORMULA(
IF(
REGEXMATCH(
"" ""&amp;H270&amp;"" "",
"" ""&amp;Sentiment_Words!B$2:B3730&amp;"" ""
),
1,
0
)
)
)
)"),0.0)</f>
        <v>0</v>
      </c>
      <c r="L270" s="7" t="str">
        <f t="shared" si="3"/>
        <v>Other</v>
      </c>
      <c r="M270" s="7" t="str">
        <f t="shared" si="4"/>
        <v>Positive</v>
      </c>
      <c r="N270" s="7" t="str">
        <f>IFERROR(__xludf.DUMMYFUNCTION("LOWER(
TRIM(
REGEXREPLACE(B270,""[^a-zA-Z\s]"","""")
)
)
"),"maureen meil")</f>
        <v>maureen meil</v>
      </c>
      <c r="O270" s="7">
        <f t="shared" si="5"/>
        <v>1</v>
      </c>
      <c r="P270" s="8" t="str">
        <f t="shared" si="6"/>
        <v>No</v>
      </c>
    </row>
    <row r="271">
      <c r="A271" s="4" t="s">
        <v>16</v>
      </c>
      <c r="B271" s="4" t="s">
        <v>793</v>
      </c>
      <c r="C271" s="9">
        <v>45024.0</v>
      </c>
      <c r="D271" s="10">
        <v>45036.0</v>
      </c>
      <c r="E271" s="4" t="s">
        <v>794</v>
      </c>
      <c r="F271" s="4" t="s">
        <v>795</v>
      </c>
      <c r="G271" s="6" t="str">
        <f>IFERROR(__xludf.DUMMYFUNCTION("REGEXREPLACE(LOWER(F271),""[^a-z\s]"","""")"),"my order was processed and shipped promptly and at a very good price")</f>
        <v>my order was processed and shipped promptly and at a very good price</v>
      </c>
      <c r="H271" s="4" t="str">
        <f t="shared" si="1"/>
        <v>my order was processed shipped promptly at a very good price</v>
      </c>
      <c r="I271" s="6">
        <f t="shared" si="2"/>
        <v>11</v>
      </c>
      <c r="J271" s="6">
        <f>IFERROR(__xludf.DUMMYFUNCTION("IF(H271="""","""",
SUM(
ARRAYFORMULA(
IF(
REGEXMATCH(
"" ""&amp;H271&amp;"" "",
"" ""&amp;Sentiment_Words!A$2:A3730&amp;"" ""
),
1,
0
)
)
)
)"),1.0)</f>
        <v>1</v>
      </c>
      <c r="K271" s="4">
        <f>IFERROR(__xludf.DUMMYFUNCTION("IF(H271="""","""",
SUM(
ARRAYFORMULA(
IF(
REGEXMATCH(
"" ""&amp;H271&amp;"" "",
"" ""&amp;Sentiment_Words!B$2:B3730&amp;"" ""
),
1,
0
)
)
)
)"),0.0)</f>
        <v>0</v>
      </c>
      <c r="L271" s="7" t="str">
        <f t="shared" si="3"/>
        <v>Other</v>
      </c>
      <c r="M271" s="7" t="str">
        <f t="shared" si="4"/>
        <v>Positive</v>
      </c>
      <c r="N271" s="7" t="str">
        <f>IFERROR(__xludf.DUMMYFUNCTION("LOWER(
TRIM(
REGEXREPLACE(B271,""[^a-zA-Z\s]"","""")
)
)
"),"joseph j puiia jr")</f>
        <v>joseph j puiia jr</v>
      </c>
      <c r="O271" s="7">
        <f t="shared" si="5"/>
        <v>1</v>
      </c>
      <c r="P271" s="8" t="str">
        <f t="shared" si="6"/>
        <v>No</v>
      </c>
    </row>
    <row r="272">
      <c r="A272" s="4" t="s">
        <v>16</v>
      </c>
      <c r="B272" s="4" t="s">
        <v>796</v>
      </c>
      <c r="C272" s="9">
        <v>45024.0</v>
      </c>
      <c r="D272" s="10">
        <v>45036.0</v>
      </c>
      <c r="E272" s="4" t="s">
        <v>797</v>
      </c>
      <c r="F272" s="4" t="s">
        <v>798</v>
      </c>
      <c r="G272" s="6" t="str">
        <f>IFERROR(__xludf.DUMMYFUNCTION("REGEXREPLACE(LOWER(F272),""[^a-z\s]"","""")"),"prices are comparable and free delivery is great")</f>
        <v>prices are comparable and free delivery is great</v>
      </c>
      <c r="H272" s="4" t="str">
        <f t="shared" si="1"/>
        <v>prices are comparable free delivery great</v>
      </c>
      <c r="I272" s="6">
        <f t="shared" si="2"/>
        <v>6</v>
      </c>
      <c r="J272" s="6">
        <f>IFERROR(__xludf.DUMMYFUNCTION("IF(H272="""","""",
SUM(
ARRAYFORMULA(
IF(
REGEXMATCH(
"" ""&amp;H272&amp;"" "",
"" ""&amp;Sentiment_Words!A$2:A3730&amp;"" ""
),
1,
0
)
)
)
)"),1.0)</f>
        <v>1</v>
      </c>
      <c r="K272" s="4">
        <f>IFERROR(__xludf.DUMMYFUNCTION("IF(H272="""","""",
SUM(
ARRAYFORMULA(
IF(
REGEXMATCH(
"" ""&amp;H272&amp;"" "",
"" ""&amp;Sentiment_Words!B$2:B3730&amp;"" ""
),
1,
0
)
)
)
)"),0.0)</f>
        <v>0</v>
      </c>
      <c r="L272" s="7" t="str">
        <f t="shared" si="3"/>
        <v>Other</v>
      </c>
      <c r="M272" s="7" t="str">
        <f t="shared" si="4"/>
        <v>Positive</v>
      </c>
      <c r="N272" s="7" t="str">
        <f>IFERROR(__xludf.DUMMYFUNCTION("LOWER(
TRIM(
REGEXREPLACE(B272,""[^a-zA-Z\s]"","""")
)
)
"),"monica colville")</f>
        <v>monica colville</v>
      </c>
      <c r="O272" s="7">
        <f t="shared" si="5"/>
        <v>1</v>
      </c>
      <c r="P272" s="8" t="str">
        <f t="shared" si="6"/>
        <v>No</v>
      </c>
    </row>
    <row r="273">
      <c r="A273" s="4" t="s">
        <v>16</v>
      </c>
      <c r="B273" s="4" t="s">
        <v>799</v>
      </c>
      <c r="C273" s="9">
        <v>45024.0</v>
      </c>
      <c r="D273" s="10">
        <v>45036.0</v>
      </c>
      <c r="E273" s="4" t="s">
        <v>800</v>
      </c>
      <c r="F273" s="4" t="s">
        <v>801</v>
      </c>
      <c r="G273" s="6" t="str">
        <f>IFERROR(__xludf.DUMMYFUNCTION("REGEXREPLACE(LOWER(F273),""[^a-z\s]"","""")"),"so happy to get my very hard to find dog food")</f>
        <v>so happy to get my very hard to find dog food</v>
      </c>
      <c r="H273" s="4" t="str">
        <f t="shared" si="1"/>
        <v>so happy get my very hard find dog food</v>
      </c>
      <c r="I273" s="6">
        <f t="shared" si="2"/>
        <v>9</v>
      </c>
      <c r="J273" s="6">
        <f>IFERROR(__xludf.DUMMYFUNCTION("IF(H273="""","""",
SUM(
ARRAYFORMULA(
IF(
REGEXMATCH(
"" ""&amp;H273&amp;"" "",
"" ""&amp;Sentiment_Words!A$2:A3730&amp;"" ""
),
1,
0
)
)
)
)"),1.0)</f>
        <v>1</v>
      </c>
      <c r="K273" s="4">
        <f>IFERROR(__xludf.DUMMYFUNCTION("IF(H273="""","""",
SUM(
ARRAYFORMULA(
IF(
REGEXMATCH(
"" ""&amp;H273&amp;"" "",
"" ""&amp;Sentiment_Words!B$2:B3730&amp;"" ""
),
1,
0
)
)
)
)"),0.0)</f>
        <v>0</v>
      </c>
      <c r="L273" s="7" t="str">
        <f t="shared" si="3"/>
        <v>Other</v>
      </c>
      <c r="M273" s="7" t="str">
        <f t="shared" si="4"/>
        <v>Positive</v>
      </c>
      <c r="N273" s="7" t="str">
        <f>IFERROR(__xludf.DUMMYFUNCTION("LOWER(
TRIM(
REGEXREPLACE(B273,""[^a-zA-Z\s]"","""")
)
)
"),"donna sullivan")</f>
        <v>donna sullivan</v>
      </c>
      <c r="O273" s="7">
        <f t="shared" si="5"/>
        <v>1</v>
      </c>
      <c r="P273" s="8" t="str">
        <f t="shared" si="6"/>
        <v>No</v>
      </c>
    </row>
    <row r="274">
      <c r="A274" s="4" t="s">
        <v>16</v>
      </c>
      <c r="B274" s="4" t="s">
        <v>802</v>
      </c>
      <c r="C274" s="9">
        <v>45023.0</v>
      </c>
      <c r="D274" s="10">
        <v>45035.0</v>
      </c>
      <c r="E274" s="4" t="s">
        <v>803</v>
      </c>
      <c r="F274" s="4" t="s">
        <v>804</v>
      </c>
      <c r="G274" s="6" t="str">
        <f>IFERROR(__xludf.DUMMYFUNCTION("REGEXREPLACE(LOWER(F274),""[^a-z\s]"","""")"),"we like ordering from petflow the orders come quick and it is easy to get what we need for our babies")</f>
        <v>we like ordering from petflow the orders come quick and it is easy to get what we need for our babies</v>
      </c>
      <c r="H274" s="4" t="str">
        <f t="shared" si="1"/>
        <v>we like ordering from petflow orders come quick it easy get what we need our babies</v>
      </c>
      <c r="I274" s="6">
        <f t="shared" si="2"/>
        <v>16</v>
      </c>
      <c r="J274" s="6">
        <f>IFERROR(__xludf.DUMMYFUNCTION("IF(H274="""","""",
SUM(
ARRAYFORMULA(
IF(
REGEXMATCH(
"" ""&amp;H274&amp;"" "",
"" ""&amp;Sentiment_Words!A$2:A3730&amp;"" ""
),
1,
0
)
)
)
)"),1.0)</f>
        <v>1</v>
      </c>
      <c r="K274" s="4">
        <f>IFERROR(__xludf.DUMMYFUNCTION("IF(H274="""","""",
SUM(
ARRAYFORMULA(
IF(
REGEXMATCH(
"" ""&amp;H274&amp;"" "",
"" ""&amp;Sentiment_Words!B$2:B3730&amp;"" ""
),
1,
0
)
)
)
)"),0.0)</f>
        <v>0</v>
      </c>
      <c r="L274" s="7" t="str">
        <f t="shared" si="3"/>
        <v>Other</v>
      </c>
      <c r="M274" s="7" t="str">
        <f t="shared" si="4"/>
        <v>Positive</v>
      </c>
      <c r="N274" s="7" t="str">
        <f>IFERROR(__xludf.DUMMYFUNCTION("LOWER(
TRIM(
REGEXREPLACE(B274,""[^a-zA-Z\s]"","""")
)
)
"),"od")</f>
        <v>od</v>
      </c>
      <c r="O274" s="7">
        <f t="shared" si="5"/>
        <v>1</v>
      </c>
      <c r="P274" s="8" t="str">
        <f t="shared" si="6"/>
        <v>No</v>
      </c>
    </row>
    <row r="275">
      <c r="A275" s="4" t="s">
        <v>16</v>
      </c>
      <c r="B275" s="4" t="s">
        <v>805</v>
      </c>
      <c r="C275" s="9">
        <v>45023.0</v>
      </c>
      <c r="D275" s="10">
        <v>45035.0</v>
      </c>
      <c r="E275" s="4" t="s">
        <v>806</v>
      </c>
      <c r="F275" s="4" t="s">
        <v>807</v>
      </c>
      <c r="G275" s="6" t="str">
        <f>IFERROR(__xludf.DUMMYFUNCTION("REGEXREPLACE(LOWER(F275),""[^a-z\s]"","""")"),"easy to order and it shipped quickly and pup is enjoying the toys")</f>
        <v>easy to order and it shipped quickly and pup is enjoying the toys</v>
      </c>
      <c r="H275" s="4" t="str">
        <f t="shared" si="1"/>
        <v>easy order it shipped quickly pup enjoying toys</v>
      </c>
      <c r="I275" s="6">
        <f t="shared" si="2"/>
        <v>8</v>
      </c>
      <c r="J275" s="6">
        <f>IFERROR(__xludf.DUMMYFUNCTION("IF(H275="""","""",
SUM(
ARRAYFORMULA(
IF(
REGEXMATCH(
"" ""&amp;H275&amp;"" "",
"" ""&amp;Sentiment_Words!A$2:A3730&amp;"" ""
),
1,
0
)
)
)
)"),2.0)</f>
        <v>2</v>
      </c>
      <c r="K275" s="4">
        <f>IFERROR(__xludf.DUMMYFUNCTION("IF(H275="""","""",
SUM(
ARRAYFORMULA(
IF(
REGEXMATCH(
"" ""&amp;H275&amp;"" "",
"" ""&amp;Sentiment_Words!B$2:B3730&amp;"" ""
),
1,
0
)
)
)
)"),0.0)</f>
        <v>0</v>
      </c>
      <c r="L275" s="7" t="str">
        <f t="shared" si="3"/>
        <v>Other</v>
      </c>
      <c r="M275" s="7" t="str">
        <f t="shared" si="4"/>
        <v>Positive</v>
      </c>
      <c r="N275" s="7" t="str">
        <f>IFERROR(__xludf.DUMMYFUNCTION("LOWER(
TRIM(
REGEXREPLACE(B275,""[^a-zA-Z\s]"","""")
)
)
"),"michelle currey")</f>
        <v>michelle currey</v>
      </c>
      <c r="O275" s="7">
        <f t="shared" si="5"/>
        <v>1</v>
      </c>
      <c r="P275" s="8" t="str">
        <f t="shared" si="6"/>
        <v>No</v>
      </c>
    </row>
    <row r="276">
      <c r="A276" s="4" t="s">
        <v>16</v>
      </c>
      <c r="B276" s="4" t="s">
        <v>808</v>
      </c>
      <c r="C276" s="9">
        <v>45022.0</v>
      </c>
      <c r="D276" s="10">
        <v>45035.0</v>
      </c>
      <c r="E276" s="4" t="s">
        <v>809</v>
      </c>
      <c r="F276" s="4" t="s">
        <v>810</v>
      </c>
      <c r="G276" s="6" t="str">
        <f>IFERROR(__xludf.DUMMYFUNCTION("REGEXREPLACE(LOWER(F276),""[^a-z\s]"","""")"),"so easy to order online  was quickly delivered to my home")</f>
        <v>so easy to order online  was quickly delivered to my home</v>
      </c>
      <c r="H276" s="4" t="str">
        <f t="shared" si="1"/>
        <v>so easy order online was quickly delivered my home</v>
      </c>
      <c r="I276" s="6">
        <f t="shared" si="2"/>
        <v>9</v>
      </c>
      <c r="J276" s="6">
        <f>IFERROR(__xludf.DUMMYFUNCTION("IF(H276="""","""",
SUM(
ARRAYFORMULA(
IF(
REGEXMATCH(
"" ""&amp;H276&amp;"" "",
"" ""&amp;Sentiment_Words!A$2:A3730&amp;"" ""
),
1,
0
)
)
)
)"),2.0)</f>
        <v>2</v>
      </c>
      <c r="K276" s="4">
        <f>IFERROR(__xludf.DUMMYFUNCTION("IF(H276="""","""",
SUM(
ARRAYFORMULA(
IF(
REGEXMATCH(
"" ""&amp;H276&amp;"" "",
"" ""&amp;Sentiment_Words!B$2:B3730&amp;"" ""
),
1,
0
)
)
)
)"),0.0)</f>
        <v>0</v>
      </c>
      <c r="L276" s="7" t="str">
        <f t="shared" si="3"/>
        <v>Other</v>
      </c>
      <c r="M276" s="7" t="str">
        <f t="shared" si="4"/>
        <v>Positive</v>
      </c>
      <c r="N276" s="7" t="str">
        <f>IFERROR(__xludf.DUMMYFUNCTION("LOWER(
TRIM(
REGEXREPLACE(B276,""[^a-zA-Z\s]"","""")
)
)
"),"cynthia e day")</f>
        <v>cynthia e day</v>
      </c>
      <c r="O276" s="7">
        <f t="shared" si="5"/>
        <v>1</v>
      </c>
      <c r="P276" s="8" t="str">
        <f t="shared" si="6"/>
        <v>No</v>
      </c>
    </row>
    <row r="277">
      <c r="A277" s="4" t="s">
        <v>16</v>
      </c>
      <c r="B277" s="4" t="s">
        <v>811</v>
      </c>
      <c r="C277" s="9">
        <v>45023.0</v>
      </c>
      <c r="D277" s="10">
        <v>45035.0</v>
      </c>
      <c r="E277" s="4" t="s">
        <v>812</v>
      </c>
      <c r="F277" s="4" t="s">
        <v>813</v>
      </c>
      <c r="G277" s="6" t="str">
        <f>IFERROR(__xludf.DUMMYFUNCTION("REGEXREPLACE(LOWER(F277),""[^a-z\s]"","""")"),"i like that i was able to find food for my dog that is hard to locate in pet stores my order was received within five days and my pup was very happy i will definitely make more purchases from petflow")</f>
        <v>i like that i was able to find food for my dog that is hard to locate in pet stores my order was received within five days and my pup was very happy i will definitely make more purchases from petflow</v>
      </c>
      <c r="H277" s="4" t="str">
        <f t="shared" si="1"/>
        <v>i like that i was able find food my dog that hard locate in pet stores my order was received within five days my pup was very happy i will definitely make more purchases from petflow</v>
      </c>
      <c r="I277" s="6">
        <f t="shared" si="2"/>
        <v>36</v>
      </c>
      <c r="J277" s="6">
        <f>IFERROR(__xludf.DUMMYFUNCTION("IF(H277="""","""",
SUM(
ARRAYFORMULA(
IF(
REGEXMATCH(
"" ""&amp;H277&amp;"" "",
"" ""&amp;Sentiment_Words!A$2:A3730&amp;"" ""
),
1,
0
)
)
)
)"),2.0)</f>
        <v>2</v>
      </c>
      <c r="K277" s="4">
        <f>IFERROR(__xludf.DUMMYFUNCTION("IF(H277="""","""",
SUM(
ARRAYFORMULA(
IF(
REGEXMATCH(
"" ""&amp;H277&amp;"" "",
"" ""&amp;Sentiment_Words!B$2:B3730&amp;"" ""
),
1,
0
)
)
)
)"),0.0)</f>
        <v>0</v>
      </c>
      <c r="L277" s="7" t="str">
        <f t="shared" si="3"/>
        <v>Other</v>
      </c>
      <c r="M277" s="7" t="str">
        <f t="shared" si="4"/>
        <v>Positive</v>
      </c>
      <c r="N277" s="7" t="str">
        <f>IFERROR(__xludf.DUMMYFUNCTION("LOWER(
TRIM(
REGEXREPLACE(B277,""[^a-zA-Z\s]"","""")
)
)
"),"rose moore")</f>
        <v>rose moore</v>
      </c>
      <c r="O277" s="7">
        <f t="shared" si="5"/>
        <v>1</v>
      </c>
      <c r="P277" s="8" t="str">
        <f t="shared" si="6"/>
        <v>No</v>
      </c>
    </row>
    <row r="278">
      <c r="A278" s="4" t="s">
        <v>16</v>
      </c>
      <c r="B278" s="4" t="s">
        <v>814</v>
      </c>
      <c r="C278" s="9">
        <v>45020.0</v>
      </c>
      <c r="D278" s="10">
        <v>45035.0</v>
      </c>
      <c r="E278" s="4" t="s">
        <v>815</v>
      </c>
      <c r="F278" s="4" t="s">
        <v>816</v>
      </c>
      <c r="G278" s="6" t="str">
        <f>IFERROR(__xludf.DUMMYFUNCTION("REGEXREPLACE(LOWER(F278),""[^a-z\s]"","""")"),"i have used pet flow a number of times they are usually on time and get things shipped timely")</f>
        <v>i have used pet flow a number of times they are usually on time and get things shipped timely</v>
      </c>
      <c r="H278" s="4" t="str">
        <f t="shared" si="1"/>
        <v>i have used pet flow a number of times they are usually on time get things shipped timely</v>
      </c>
      <c r="I278" s="6">
        <f t="shared" si="2"/>
        <v>18</v>
      </c>
      <c r="J278" s="6">
        <f>IFERROR(__xludf.DUMMYFUNCTION("IF(H278="""","""",
SUM(
ARRAYFORMULA(
IF(
REGEXMATCH(
"" ""&amp;H278&amp;"" "",
"" ""&amp;Sentiment_Words!A$2:A3730&amp;"" ""
),
1,
0
)
)
)
)"),1.0)</f>
        <v>1</v>
      </c>
      <c r="K278" s="4">
        <f>IFERROR(__xludf.DUMMYFUNCTION("IF(H278="""","""",
SUM(
ARRAYFORMULA(
IF(
REGEXMATCH(
"" ""&amp;H278&amp;"" "",
"" ""&amp;Sentiment_Words!B$2:B3730&amp;"" ""
),
1,
0
)
)
)
)"),0.0)</f>
        <v>0</v>
      </c>
      <c r="L278" s="7" t="str">
        <f t="shared" si="3"/>
        <v>Other</v>
      </c>
      <c r="M278" s="7" t="str">
        <f t="shared" si="4"/>
        <v>Positive</v>
      </c>
      <c r="N278" s="7" t="str">
        <f>IFERROR(__xludf.DUMMYFUNCTION("LOWER(
TRIM(
REGEXREPLACE(B278,""[^a-zA-Z\s]"","""")
)
)
"),"alicia patterson")</f>
        <v>alicia patterson</v>
      </c>
      <c r="O278" s="7">
        <f t="shared" si="5"/>
        <v>1</v>
      </c>
      <c r="P278" s="8" t="str">
        <f t="shared" si="6"/>
        <v>No</v>
      </c>
    </row>
    <row r="279">
      <c r="A279" s="4" t="s">
        <v>16</v>
      </c>
      <c r="B279" s="4" t="s">
        <v>219</v>
      </c>
      <c r="C279" s="9">
        <v>45023.0</v>
      </c>
      <c r="D279" s="10">
        <v>45035.0</v>
      </c>
      <c r="E279" s="4" t="s">
        <v>817</v>
      </c>
      <c r="F279" s="4" t="s">
        <v>818</v>
      </c>
      <c r="G279" s="6" t="str">
        <f>IFERROR(__xludf.DUMMYFUNCTION("REGEXREPLACE(LOWER(F279),""[^a-z\s]"","""")"),"what can i sayevery order is on delivered in a very reasonable time and the selection of products as well as the price is spot on")</f>
        <v>what can i sayevery order is on delivered in a very reasonable time and the selection of products as well as the price is spot on</v>
      </c>
      <c r="H279" s="4" t="str">
        <f t="shared" si="1"/>
        <v>what can i sayevery order on delivered in a very reasonable time selection of products as well as price spot on</v>
      </c>
      <c r="I279" s="6">
        <f t="shared" si="2"/>
        <v>21</v>
      </c>
      <c r="J279" s="6">
        <f>IFERROR(__xludf.DUMMYFUNCTION("IF(H279="""","""",
SUM(
ARRAYFORMULA(
IF(
REGEXMATCH(
"" ""&amp;H279&amp;"" "",
"" ""&amp;Sentiment_Words!A$2:A3730&amp;"" ""
),
1,
0
)
)
)
)"),1.0)</f>
        <v>1</v>
      </c>
      <c r="K279" s="4">
        <f>IFERROR(__xludf.DUMMYFUNCTION("IF(H279="""","""",
SUM(
ARRAYFORMULA(
IF(
REGEXMATCH(
"" ""&amp;H279&amp;"" "",
"" ""&amp;Sentiment_Words!B$2:B3730&amp;"" ""
),
1,
0
)
)
)
)"),0.0)</f>
        <v>0</v>
      </c>
      <c r="L279" s="7" t="str">
        <f t="shared" si="3"/>
        <v>Other</v>
      </c>
      <c r="M279" s="7" t="str">
        <f t="shared" si="4"/>
        <v>Positive</v>
      </c>
      <c r="N279" s="7" t="str">
        <f>IFERROR(__xludf.DUMMYFUNCTION("LOWER(
TRIM(
REGEXREPLACE(B279,""[^a-zA-Z\s]"","""")
)
)
"),"linda")</f>
        <v>linda</v>
      </c>
      <c r="O279" s="7">
        <f t="shared" si="5"/>
        <v>10</v>
      </c>
      <c r="P279" s="8" t="str">
        <f t="shared" si="6"/>
        <v>Yes</v>
      </c>
    </row>
    <row r="280">
      <c r="A280" s="4" t="s">
        <v>16</v>
      </c>
      <c r="B280" s="4" t="s">
        <v>56</v>
      </c>
      <c r="C280" s="9">
        <v>45023.0</v>
      </c>
      <c r="D280" s="10">
        <v>45035.0</v>
      </c>
      <c r="E280" s="4" t="s">
        <v>819</v>
      </c>
      <c r="F280" s="4" t="s">
        <v>820</v>
      </c>
      <c r="G280" s="6" t="str">
        <f>IFERROR(__xludf.DUMMYFUNCTION("REGEXREPLACE(LOWER(F280),""[^a-z\s]"","""")"),"great wish they had an app and wish shipping was faster")</f>
        <v>great wish they had an app and wish shipping was faster</v>
      </c>
      <c r="H280" s="4" t="str">
        <f t="shared" si="1"/>
        <v>great wish they had an app wish shipping was faster</v>
      </c>
      <c r="I280" s="6">
        <f t="shared" si="2"/>
        <v>10</v>
      </c>
      <c r="J280" s="6">
        <f>IFERROR(__xludf.DUMMYFUNCTION("IF(H280="""","""",
SUM(
ARRAYFORMULA(
IF(
REGEXMATCH(
"" ""&amp;H280&amp;"" "",
"" ""&amp;Sentiment_Words!A$2:A3730&amp;"" ""
),
1,
0
)
)
)
)"),1.0)</f>
        <v>1</v>
      </c>
      <c r="K280" s="4">
        <f>IFERROR(__xludf.DUMMYFUNCTION("IF(H280="""","""",
SUM(
ARRAYFORMULA(
IF(
REGEXMATCH(
"" ""&amp;H280&amp;"" "",
"" ""&amp;Sentiment_Words!B$2:B3730&amp;"" ""
),
1,
0
)
)
)
)"),0.0)</f>
        <v>0</v>
      </c>
      <c r="L280" s="7" t="str">
        <f t="shared" si="3"/>
        <v>Other</v>
      </c>
      <c r="M280" s="7" t="str">
        <f t="shared" si="4"/>
        <v>Positive</v>
      </c>
      <c r="N280" s="7" t="str">
        <f>IFERROR(__xludf.DUMMYFUNCTION("LOWER(
TRIM(
REGEXREPLACE(B280,""[^a-zA-Z\s]"","""")
)
)
"),"customer")</f>
        <v>customer</v>
      </c>
      <c r="O280" s="7">
        <f t="shared" si="5"/>
        <v>54</v>
      </c>
      <c r="P280" s="8" t="str">
        <f t="shared" si="6"/>
        <v>Yes</v>
      </c>
    </row>
    <row r="281">
      <c r="A281" s="4" t="s">
        <v>16</v>
      </c>
      <c r="B281" s="4" t="s">
        <v>821</v>
      </c>
      <c r="C281" s="9">
        <v>45023.0</v>
      </c>
      <c r="D281" s="10">
        <v>45035.0</v>
      </c>
      <c r="E281" s="4" t="s">
        <v>822</v>
      </c>
      <c r="F281" s="4" t="s">
        <v>823</v>
      </c>
      <c r="G281" s="6" t="str">
        <f>IFERROR(__xludf.DUMMYFUNCTION("REGEXREPLACE(LOWER(F281),""[^a-z\s]"","""")"),"never no discount or coupon for fromm food spend  dollars a month on from food")</f>
        <v>never no discount or coupon for fromm food spend  dollars a month on from food</v>
      </c>
      <c r="H281" s="4" t="str">
        <f t="shared" si="1"/>
        <v>never no discount or coupon fromm food spend dollars a month on from food</v>
      </c>
      <c r="I281" s="6">
        <f t="shared" si="2"/>
        <v>14</v>
      </c>
      <c r="J281" s="6">
        <f>IFERROR(__xludf.DUMMYFUNCTION("IF(H281="""","""",
SUM(
ARRAYFORMULA(
IF(
REGEXMATCH(
"" ""&amp;H281&amp;"" "",
"" ""&amp;Sentiment_Words!A$2:A3730&amp;"" ""
),
1,
0
)
)
)
)"),0.0)</f>
        <v>0</v>
      </c>
      <c r="K281" s="4">
        <f>IFERROR(__xludf.DUMMYFUNCTION("IF(H281="""","""",
SUM(
ARRAYFORMULA(
IF(
REGEXMATCH(
"" ""&amp;H281&amp;"" "",
"" ""&amp;Sentiment_Words!B$2:B3730&amp;"" ""
),
1,
0
)
)
)
)"),0.0)</f>
        <v>0</v>
      </c>
      <c r="L281" s="7" t="str">
        <f t="shared" si="3"/>
        <v>Other</v>
      </c>
      <c r="M281" s="7" t="str">
        <f t="shared" si="4"/>
        <v>Neutral</v>
      </c>
      <c r="N281" s="7" t="str">
        <f>IFERROR(__xludf.DUMMYFUNCTION("LOWER(
TRIM(
REGEXREPLACE(B281,""[^a-zA-Z\s]"","""")
)
)
"),"kevin kochenour")</f>
        <v>kevin kochenour</v>
      </c>
      <c r="O281" s="7">
        <f t="shared" si="5"/>
        <v>1</v>
      </c>
      <c r="P281" s="8" t="str">
        <f t="shared" si="6"/>
        <v>No</v>
      </c>
    </row>
    <row r="282">
      <c r="A282" s="4" t="s">
        <v>16</v>
      </c>
      <c r="B282" s="4" t="s">
        <v>824</v>
      </c>
      <c r="C282" s="9">
        <v>45023.0</v>
      </c>
      <c r="D282" s="10">
        <v>45035.0</v>
      </c>
      <c r="E282" s="4" t="s">
        <v>825</v>
      </c>
      <c r="F282" s="4" t="s">
        <v>826</v>
      </c>
      <c r="G282" s="6" t="str">
        <f>IFERROR(__xludf.DUMMYFUNCTION("REGEXREPLACE(LOWER(F282),""[^a-z\s]"","""")"),"you see brands of dog food other companies do not")</f>
        <v>you see brands of dog food other companies do not</v>
      </c>
      <c r="H282" s="4" t="str">
        <f t="shared" si="1"/>
        <v>you see brands of dog food other companies do not</v>
      </c>
      <c r="I282" s="6">
        <f t="shared" si="2"/>
        <v>10</v>
      </c>
      <c r="J282" s="6">
        <f>IFERROR(__xludf.DUMMYFUNCTION("IF(H282="""","""",
SUM(
ARRAYFORMULA(
IF(
REGEXMATCH(
"" ""&amp;H282&amp;"" "",
"" ""&amp;Sentiment_Words!A$2:A3730&amp;"" ""
),
1,
0
)
)
)
)"),0.0)</f>
        <v>0</v>
      </c>
      <c r="K282" s="4">
        <f>IFERROR(__xludf.DUMMYFUNCTION("IF(H282="""","""",
SUM(
ARRAYFORMULA(
IF(
REGEXMATCH(
"" ""&amp;H282&amp;"" "",
"" ""&amp;Sentiment_Words!B$2:B3730&amp;"" ""
),
1,
0
)
)
)
)"),0.0)</f>
        <v>0</v>
      </c>
      <c r="L282" s="7" t="str">
        <f t="shared" si="3"/>
        <v>Other</v>
      </c>
      <c r="M282" s="7" t="str">
        <f t="shared" si="4"/>
        <v>Neutral</v>
      </c>
      <c r="N282" s="7" t="str">
        <f>IFERROR(__xludf.DUMMYFUNCTION("LOWER(
TRIM(
REGEXREPLACE(B282,""[^a-zA-Z\s]"","""")
)
)
"),"joseph campe")</f>
        <v>joseph campe</v>
      </c>
      <c r="O282" s="7">
        <f t="shared" si="5"/>
        <v>1</v>
      </c>
      <c r="P282" s="8" t="str">
        <f t="shared" si="6"/>
        <v>No</v>
      </c>
    </row>
    <row r="283">
      <c r="A283" s="4" t="s">
        <v>16</v>
      </c>
      <c r="B283" s="4" t="s">
        <v>827</v>
      </c>
      <c r="C283" s="9">
        <v>45022.0</v>
      </c>
      <c r="D283" s="10">
        <v>45035.0</v>
      </c>
      <c r="E283" s="4" t="s">
        <v>828</v>
      </c>
      <c r="F283" s="4" t="s">
        <v>829</v>
      </c>
      <c r="G283" s="6" t="str">
        <f>IFERROR(__xludf.DUMMYFUNCTION("REGEXREPLACE(LOWER(F283),""[^a-z\s]"","""")"),"love the sales that petflow sometimes has and i always get what i ordered as expected and in a timely manner easy to check out too")</f>
        <v>love the sales that petflow sometimes has and i always get what i ordered as expected and in a timely manner easy to check out too</v>
      </c>
      <c r="H283" s="4" t="str">
        <f t="shared" si="1"/>
        <v>love sales that petflow sometimes has i always get what i ordered as expected in a timely manner easy check out too</v>
      </c>
      <c r="I283" s="6">
        <f t="shared" si="2"/>
        <v>22</v>
      </c>
      <c r="J283" s="6">
        <f>IFERROR(__xludf.DUMMYFUNCTION("IF(H283="""","""",
SUM(
ARRAYFORMULA(
IF(
REGEXMATCH(
"" ""&amp;H283&amp;"" "",
"" ""&amp;Sentiment_Words!A$2:A3730&amp;"" ""
),
1,
0
)
)
)
)"),2.0)</f>
        <v>2</v>
      </c>
      <c r="K283" s="4">
        <f>IFERROR(__xludf.DUMMYFUNCTION("IF(H283="""","""",
SUM(
ARRAYFORMULA(
IF(
REGEXMATCH(
"" ""&amp;H283&amp;"" "",
"" ""&amp;Sentiment_Words!B$2:B3730&amp;"" ""
),
1,
0
)
)
)
)"),0.0)</f>
        <v>0</v>
      </c>
      <c r="L283" s="7" t="str">
        <f t="shared" si="3"/>
        <v>Other</v>
      </c>
      <c r="M283" s="7" t="str">
        <f t="shared" si="4"/>
        <v>Positive</v>
      </c>
      <c r="N283" s="7" t="str">
        <f>IFERROR(__xludf.DUMMYFUNCTION("LOWER(
TRIM(
REGEXREPLACE(B283,""[^a-zA-Z\s]"","""")
)
)
"),"lori")</f>
        <v>lori</v>
      </c>
      <c r="O283" s="7">
        <f t="shared" si="5"/>
        <v>4</v>
      </c>
      <c r="P283" s="8" t="str">
        <f t="shared" si="6"/>
        <v>Yes</v>
      </c>
    </row>
    <row r="284">
      <c r="A284" s="4" t="s">
        <v>16</v>
      </c>
      <c r="B284" s="4" t="s">
        <v>830</v>
      </c>
      <c r="C284" s="9">
        <v>45022.0</v>
      </c>
      <c r="D284" s="10">
        <v>45034.0</v>
      </c>
      <c r="E284" s="4" t="s">
        <v>831</v>
      </c>
      <c r="F284" s="4" t="s">
        <v>832</v>
      </c>
      <c r="G284" s="6" t="str">
        <f>IFERROR(__xludf.DUMMYFUNCTION("REGEXREPLACE(LOWER(F284),""[^a-z\s]"","""")"),"i called for help with an order and agent wanted me to be schooled on how to add to an auto order  i just wanted her help me delete  start new order she said in a not nice way that if i didnt learn i would call each time im staying with chewy for best ser"&amp;"vice always helpful and cheerful")</f>
        <v>i called for help with an order and agent wanted me to be schooled on how to add to an auto order  i just wanted her help me delete  start new order she said in a not nice way that if i didnt learn i would call each time im staying with chewy for best service always helpful and cheerful</v>
      </c>
      <c r="H284" s="4" t="str">
        <f t="shared" si="1"/>
        <v>i called help with an order agent wanted me be schooled on how add an auto order i just wanted her help me delete start new order she said in a not nice way that if i didnt learn i would call each time im staying with chewy best service always helpful cheerful</v>
      </c>
      <c r="I284" s="6">
        <f t="shared" si="2"/>
        <v>53</v>
      </c>
      <c r="J284" s="6">
        <f>IFERROR(__xludf.DUMMYFUNCTION("IF(H284="""","""",
SUM(
ARRAYFORMULA(
IF(
REGEXMATCH(
"" ""&amp;H284&amp;"" "",
"" ""&amp;Sentiment_Words!A$2:A3730&amp;"" ""
),
1,
0
)
)
)
)"),1.0)</f>
        <v>1</v>
      </c>
      <c r="K284" s="4">
        <f>IFERROR(__xludf.DUMMYFUNCTION("IF(H284="""","""",
SUM(
ARRAYFORMULA(
IF(
REGEXMATCH(
"" ""&amp;H284&amp;"" "",
"" ""&amp;Sentiment_Words!B$2:B3730&amp;"" ""
),
1,
0
)
)
)
)"),0.0)</f>
        <v>0</v>
      </c>
      <c r="L284" s="7" t="str">
        <f t="shared" si="3"/>
        <v>Customer Support</v>
      </c>
      <c r="M284" s="7" t="str">
        <f t="shared" si="4"/>
        <v>Positive</v>
      </c>
      <c r="N284" s="7" t="str">
        <f>IFERROR(__xludf.DUMMYFUNCTION("LOWER(
TRIM(
REGEXREPLACE(B284,""[^a-zA-Z\s]"","""")
)
)
"),"maria mireles")</f>
        <v>maria mireles</v>
      </c>
      <c r="O284" s="7">
        <f t="shared" si="5"/>
        <v>1</v>
      </c>
      <c r="P284" s="8" t="str">
        <f t="shared" si="6"/>
        <v>No</v>
      </c>
    </row>
    <row r="285">
      <c r="A285" s="4" t="s">
        <v>16</v>
      </c>
      <c r="B285" s="4" t="s">
        <v>77</v>
      </c>
      <c r="C285" s="9">
        <v>45020.0</v>
      </c>
      <c r="D285" s="10">
        <v>45034.0</v>
      </c>
      <c r="E285" s="4" t="s">
        <v>833</v>
      </c>
      <c r="F285" s="4" t="s">
        <v>834</v>
      </c>
      <c r="G285" s="6" t="str">
        <f>IFERROR(__xludf.DUMMYFUNCTION("REGEXREPLACE(LOWER(F285),""[^a-z\s]"","""")"),"name brand item at good price there was a problem with my credit card being accepted i called and talked to a real human being and was helped promptly
customer service with real people getting either is rare today")</f>
        <v>name brand item at good price there was a problem with my credit card being accepted i called and talked to a real human being and was helped promptly
customer service with real people getting either is rare today</v>
      </c>
      <c r="H285" s="4" t="str">
        <f t="shared" si="1"/>
        <v>name brand item at good price there was a problem with my credit card being accepted i called talked a real human being was helped promptly
customer service with real people getting either rare today</v>
      </c>
      <c r="I285" s="6">
        <f t="shared" si="2"/>
        <v>34</v>
      </c>
      <c r="J285" s="6">
        <f>IFERROR(__xludf.DUMMYFUNCTION("IF(H285="""","""",
SUM(
ARRAYFORMULA(
IF(
REGEXMATCH(
"" ""&amp;H285&amp;"" "",
"" ""&amp;Sentiment_Words!A$2:A3730&amp;"" ""
),
1,
0
)
)
)
)"),1.0)</f>
        <v>1</v>
      </c>
      <c r="K285" s="4">
        <f>IFERROR(__xludf.DUMMYFUNCTION("IF(H285="""","""",
SUM(
ARRAYFORMULA(
IF(
REGEXMATCH(
"" ""&amp;H285&amp;"" "",
"" ""&amp;Sentiment_Words!B$2:B3730&amp;"" ""
),
1,
0
)
)
)
)"),1.0)</f>
        <v>1</v>
      </c>
      <c r="L285" s="7" t="str">
        <f t="shared" si="3"/>
        <v>Customer Support</v>
      </c>
      <c r="M285" s="7" t="str">
        <f t="shared" si="4"/>
        <v>Neutral</v>
      </c>
      <c r="N285" s="7" t="str">
        <f>IFERROR(__xludf.DUMMYFUNCTION("LOWER(
TRIM(
REGEXREPLACE(B285,""[^a-zA-Z\s]"","""")
)
)
"),"gary")</f>
        <v>gary</v>
      </c>
      <c r="O285" s="7">
        <f t="shared" si="5"/>
        <v>3</v>
      </c>
      <c r="P285" s="8" t="str">
        <f t="shared" si="6"/>
        <v>Yes</v>
      </c>
    </row>
    <row r="286">
      <c r="A286" s="4" t="s">
        <v>16</v>
      </c>
      <c r="B286" s="4" t="s">
        <v>835</v>
      </c>
      <c r="C286" s="9">
        <v>45022.0</v>
      </c>
      <c r="D286" s="10">
        <v>45034.0</v>
      </c>
      <c r="E286" s="4" t="s">
        <v>836</v>
      </c>
      <c r="F286" s="4" t="s">
        <v>837</v>
      </c>
      <c r="G286" s="6" t="str">
        <f>IFERROR(__xludf.DUMMYFUNCTION("REGEXREPLACE(LOWER(F286),""[^a-z\s]"","""")"),"whenever i have a problem its always taken care of immediately")</f>
        <v>whenever i have a problem its always taken care of immediately</v>
      </c>
      <c r="H286" s="4" t="str">
        <f t="shared" si="1"/>
        <v>whenever i have a problem its always taken care of immediately</v>
      </c>
      <c r="I286" s="6">
        <f t="shared" si="2"/>
        <v>11</v>
      </c>
      <c r="J286" s="6">
        <f>IFERROR(__xludf.DUMMYFUNCTION("IF(H286="""","""",
SUM(
ARRAYFORMULA(
IF(
REGEXMATCH(
"" ""&amp;H286&amp;"" "",
"" ""&amp;Sentiment_Words!A$2:A3730&amp;"" ""
),
1,
0
)
)
)
)"),1.0)</f>
        <v>1</v>
      </c>
      <c r="K286" s="4">
        <f>IFERROR(__xludf.DUMMYFUNCTION("IF(H286="""","""",
SUM(
ARRAYFORMULA(
IF(
REGEXMATCH(
"" ""&amp;H286&amp;"" "",
"" ""&amp;Sentiment_Words!B$2:B3730&amp;"" ""
),
1,
0
)
)
)
)"),1.0)</f>
        <v>1</v>
      </c>
      <c r="L286" s="7" t="str">
        <f t="shared" si="3"/>
        <v>Other</v>
      </c>
      <c r="M286" s="7" t="str">
        <f t="shared" si="4"/>
        <v>Neutral</v>
      </c>
      <c r="N286" s="7" t="str">
        <f>IFERROR(__xludf.DUMMYFUNCTION("LOWER(
TRIM(
REGEXREPLACE(B286,""[^a-zA-Z\s]"","""")
)
)
"),"mary lopez")</f>
        <v>mary lopez</v>
      </c>
      <c r="O286" s="7">
        <f t="shared" si="5"/>
        <v>1</v>
      </c>
      <c r="P286" s="8" t="str">
        <f t="shared" si="6"/>
        <v>No</v>
      </c>
    </row>
    <row r="287">
      <c r="A287" s="4" t="s">
        <v>16</v>
      </c>
      <c r="B287" s="4" t="s">
        <v>838</v>
      </c>
      <c r="C287" s="9">
        <v>45022.0</v>
      </c>
      <c r="D287" s="10">
        <v>45034.0</v>
      </c>
      <c r="E287" s="4" t="s">
        <v>839</v>
      </c>
      <c r="F287" s="4" t="s">
        <v>840</v>
      </c>
      <c r="G287" s="6" t="str">
        <f>IFERROR(__xludf.DUMMYFUNCTION("REGEXREPLACE(LOWER(F287),""[^a-z\s]"","""")"),"the company is easy to work with helpful when i have had problems and easy to work with to resolve any issues shipping is timely also")</f>
        <v>the company is easy to work with helpful when i have had problems and easy to work with to resolve any issues shipping is timely also</v>
      </c>
      <c r="H287" s="4" t="str">
        <f t="shared" si="1"/>
        <v>company easy work with helpful when i have had problems easy work with resolve any issues shipping timely also</v>
      </c>
      <c r="I287" s="6">
        <f t="shared" si="2"/>
        <v>19</v>
      </c>
      <c r="J287" s="6">
        <f>IFERROR(__xludf.DUMMYFUNCTION("IF(H287="""","""",
SUM(
ARRAYFORMULA(
IF(
REGEXMATCH(
"" ""&amp;H287&amp;"" "",
"" ""&amp;Sentiment_Words!A$2:A3730&amp;"" ""
),
1,
0
)
)
)
)"),2.0)</f>
        <v>2</v>
      </c>
      <c r="K287" s="4">
        <f>IFERROR(__xludf.DUMMYFUNCTION("IF(H287="""","""",
SUM(
ARRAYFORMULA(
IF(
REGEXMATCH(
"" ""&amp;H287&amp;"" "",
"" ""&amp;Sentiment_Words!B$2:B3730&amp;"" ""
),
1,
0
)
)
)
)"),0.0)</f>
        <v>0</v>
      </c>
      <c r="L287" s="7" t="str">
        <f t="shared" si="3"/>
        <v>Other</v>
      </c>
      <c r="M287" s="7" t="str">
        <f t="shared" si="4"/>
        <v>Positive</v>
      </c>
      <c r="N287" s="7" t="str">
        <f>IFERROR(__xludf.DUMMYFUNCTION("LOWER(
TRIM(
REGEXREPLACE(B287,""[^a-zA-Z\s]"","""")
)
)
"),"sheba")</f>
        <v>sheba</v>
      </c>
      <c r="O287" s="7">
        <f t="shared" si="5"/>
        <v>1</v>
      </c>
      <c r="P287" s="8" t="str">
        <f t="shared" si="6"/>
        <v>No</v>
      </c>
    </row>
    <row r="288">
      <c r="A288" s="4" t="s">
        <v>16</v>
      </c>
      <c r="B288" s="4" t="s">
        <v>841</v>
      </c>
      <c r="C288" s="9">
        <v>45022.0</v>
      </c>
      <c r="D288" s="10">
        <v>45034.0</v>
      </c>
      <c r="E288" s="4" t="s">
        <v>842</v>
      </c>
      <c r="F288" s="4" t="s">
        <v>843</v>
      </c>
      <c r="G288" s="6" t="str">
        <f>IFERROR(__xludf.DUMMYFUNCTION("REGEXREPLACE(LOWER(F288),""[^a-z\s]"","""")"),"i got my order on time and it was less expensive than any other place")</f>
        <v>i got my order on time and it was less expensive than any other place</v>
      </c>
      <c r="H288" s="4" t="str">
        <f t="shared" si="1"/>
        <v>i got my order on time it was less expensive than any other place</v>
      </c>
      <c r="I288" s="6">
        <f t="shared" si="2"/>
        <v>14</v>
      </c>
      <c r="J288" s="6">
        <f>IFERROR(__xludf.DUMMYFUNCTION("IF(H288="""","""",
SUM(
ARRAYFORMULA(
IF(
REGEXMATCH(
"" ""&amp;H288&amp;"" "",
"" ""&amp;Sentiment_Words!A$2:A3730&amp;"" ""
),
1,
0
)
)
)
)"),1.0)</f>
        <v>1</v>
      </c>
      <c r="K288" s="4">
        <f>IFERROR(__xludf.DUMMYFUNCTION("IF(H288="""","""",
SUM(
ARRAYFORMULA(
IF(
REGEXMATCH(
"" ""&amp;H288&amp;"" "",
"" ""&amp;Sentiment_Words!B$2:B3730&amp;"" ""
),
1,
0
)
)
)
)"),0.0)</f>
        <v>0</v>
      </c>
      <c r="L288" s="7" t="str">
        <f t="shared" si="3"/>
        <v>Other</v>
      </c>
      <c r="M288" s="7" t="str">
        <f t="shared" si="4"/>
        <v>Positive</v>
      </c>
      <c r="N288" s="7" t="str">
        <f>IFERROR(__xludf.DUMMYFUNCTION("LOWER(
TRIM(
REGEXREPLACE(B288,""[^a-zA-Z\s]"","""")
)
)
"),"ginny stenoien")</f>
        <v>ginny stenoien</v>
      </c>
      <c r="O288" s="7">
        <f t="shared" si="5"/>
        <v>1</v>
      </c>
      <c r="P288" s="8" t="str">
        <f t="shared" si="6"/>
        <v>No</v>
      </c>
    </row>
    <row r="289">
      <c r="A289" s="4" t="s">
        <v>16</v>
      </c>
      <c r="B289" s="4" t="s">
        <v>844</v>
      </c>
      <c r="C289" s="9">
        <v>45022.0</v>
      </c>
      <c r="D289" s="10">
        <v>45034.0</v>
      </c>
      <c r="E289" s="4" t="s">
        <v>845</v>
      </c>
      <c r="F289" s="4" t="s">
        <v>846</v>
      </c>
      <c r="G289" s="6" t="str">
        <f>IFERROR(__xludf.DUMMYFUNCTION("REGEXREPLACE(LOWER(F289),""[^a-z\s]"","""")"),"fast and easy to shop and order plus customer service was great answering my questions via email")</f>
        <v>fast and easy to shop and order plus customer service was great answering my questions via email</v>
      </c>
      <c r="H289" s="4" t="str">
        <f t="shared" si="1"/>
        <v>fast easy shop order plus customer service was great answering my questions via email</v>
      </c>
      <c r="I289" s="6">
        <f t="shared" si="2"/>
        <v>14</v>
      </c>
      <c r="J289" s="6">
        <f>IFERROR(__xludf.DUMMYFUNCTION("IF(H289="""","""",
SUM(
ARRAYFORMULA(
IF(
REGEXMATCH(
"" ""&amp;H289&amp;"" "",
"" ""&amp;Sentiment_Words!A$2:A3730&amp;"" ""
),
1,
0
)
)
)
)"),3.0)</f>
        <v>3</v>
      </c>
      <c r="K289" s="4">
        <f>IFERROR(__xludf.DUMMYFUNCTION("IF(H289="""","""",
SUM(
ARRAYFORMULA(
IF(
REGEXMATCH(
"" ""&amp;H289&amp;"" "",
"" ""&amp;Sentiment_Words!B$2:B3730&amp;"" ""
),
1,
0
)
)
)
)"),1.0)</f>
        <v>1</v>
      </c>
      <c r="L289" s="7" t="str">
        <f t="shared" si="3"/>
        <v>Customer Support</v>
      </c>
      <c r="M289" s="7" t="str">
        <f t="shared" si="4"/>
        <v>Positive</v>
      </c>
      <c r="N289" s="7" t="str">
        <f>IFERROR(__xludf.DUMMYFUNCTION("LOWER(
TRIM(
REGEXREPLACE(B289,""[^a-zA-Z\s]"","""")
)
)
"),"kei")</f>
        <v>kei</v>
      </c>
      <c r="O289" s="7">
        <f t="shared" si="5"/>
        <v>1</v>
      </c>
      <c r="P289" s="8" t="str">
        <f t="shared" si="6"/>
        <v>No</v>
      </c>
    </row>
    <row r="290">
      <c r="A290" s="4" t="s">
        <v>16</v>
      </c>
      <c r="B290" s="4" t="s">
        <v>847</v>
      </c>
      <c r="C290" s="9">
        <v>45019.0</v>
      </c>
      <c r="D290" s="10">
        <v>45034.0</v>
      </c>
      <c r="E290" s="4" t="s">
        <v>848</v>
      </c>
      <c r="F290" s="4" t="s">
        <v>849</v>
      </c>
      <c r="G290" s="6" t="str">
        <f>IFERROR(__xludf.DUMMYFUNCTION("REGEXREPLACE(LOWER(F290),""[^a-z\s]"","""")"),"you have a toy that my dog loves i have trouble finding it but you have it so thank you")</f>
        <v>you have a toy that my dog loves i have trouble finding it but you have it so thank you</v>
      </c>
      <c r="H290" s="4" t="str">
        <f t="shared" si="1"/>
        <v>you have a toy that my dog loves i have trouble finding it but you have it so thank you</v>
      </c>
      <c r="I290" s="6">
        <f t="shared" si="2"/>
        <v>20</v>
      </c>
      <c r="J290" s="6">
        <f>IFERROR(__xludf.DUMMYFUNCTION("IF(H290="""","""",
SUM(
ARRAYFORMULA(
IF(
REGEXMATCH(
"" ""&amp;H290&amp;"" "",
"" ""&amp;Sentiment_Words!A$2:A3730&amp;"" ""
),
1,
0
)
)
)
)"),0.0)</f>
        <v>0</v>
      </c>
      <c r="K290" s="4">
        <f>IFERROR(__xludf.DUMMYFUNCTION("IF(H290="""","""",
SUM(
ARRAYFORMULA(
IF(
REGEXMATCH(
"" ""&amp;H290&amp;"" "",
"" ""&amp;Sentiment_Words!B$2:B3730&amp;"" ""
),
1,
0
)
)
)
)"),0.0)</f>
        <v>0</v>
      </c>
      <c r="L290" s="7" t="str">
        <f t="shared" si="3"/>
        <v>Other</v>
      </c>
      <c r="M290" s="7" t="str">
        <f t="shared" si="4"/>
        <v>Neutral</v>
      </c>
      <c r="N290" s="7" t="str">
        <f>IFERROR(__xludf.DUMMYFUNCTION("LOWER(
TRIM(
REGEXREPLACE(B290,""[^a-zA-Z\s]"","""")
)
)
"),"michele allen")</f>
        <v>michele allen</v>
      </c>
      <c r="O290" s="7">
        <f t="shared" si="5"/>
        <v>1</v>
      </c>
      <c r="P290" s="8" t="str">
        <f t="shared" si="6"/>
        <v>No</v>
      </c>
    </row>
    <row r="291">
      <c r="A291" s="4" t="s">
        <v>16</v>
      </c>
      <c r="B291" s="4" t="s">
        <v>850</v>
      </c>
      <c r="C291" s="9">
        <v>45021.0</v>
      </c>
      <c r="D291" s="10">
        <v>45033.0</v>
      </c>
      <c r="E291" s="4" t="s">
        <v>851</v>
      </c>
      <c r="F291" s="4" t="s">
        <v>852</v>
      </c>
      <c r="G291" s="6" t="str">
        <f>IFERROR(__xludf.DUMMYFUNCTION("REGEXREPLACE(LOWER(F291),""[^a-z\s]"","""")"),"customer service is nonexistent shipping takes forever")</f>
        <v>customer service is nonexistent shipping takes forever</v>
      </c>
      <c r="H291" s="4" t="str">
        <f t="shared" si="1"/>
        <v>customer service nonexistent shipping takes forever</v>
      </c>
      <c r="I291" s="6">
        <f t="shared" si="2"/>
        <v>6</v>
      </c>
      <c r="J291" s="6">
        <f>IFERROR(__xludf.DUMMYFUNCTION("IF(H291="""","""",
SUM(
ARRAYFORMULA(
IF(
REGEXMATCH(
"" ""&amp;H291&amp;"" "",
"" ""&amp;Sentiment_Words!A$2:A3730&amp;"" ""
),
1,
0
)
)
)
)"),0.0)</f>
        <v>0</v>
      </c>
      <c r="K291" s="4">
        <f>IFERROR(__xludf.DUMMYFUNCTION("IF(H291="""","""",
SUM(
ARRAYFORMULA(
IF(
REGEXMATCH(
"" ""&amp;H291&amp;"" "",
"" ""&amp;Sentiment_Words!B$2:B3730&amp;"" ""
),
1,
0
)
)
)
)"),1.0)</f>
        <v>1</v>
      </c>
      <c r="L291" s="7" t="str">
        <f t="shared" si="3"/>
        <v>Customer Support</v>
      </c>
      <c r="M291" s="7" t="str">
        <f t="shared" si="4"/>
        <v>Negative</v>
      </c>
      <c r="N291" s="7" t="str">
        <f>IFERROR(__xludf.DUMMYFUNCTION("LOWER(
TRIM(
REGEXREPLACE(B291,""[^a-zA-Z\s]"","""")
)
)
"),"karen doman")</f>
        <v>karen doman</v>
      </c>
      <c r="O291" s="7">
        <f t="shared" si="5"/>
        <v>1</v>
      </c>
      <c r="P291" s="8" t="str">
        <f t="shared" si="6"/>
        <v>No</v>
      </c>
    </row>
    <row r="292">
      <c r="A292" s="4" t="s">
        <v>16</v>
      </c>
      <c r="B292" s="4" t="s">
        <v>853</v>
      </c>
      <c r="C292" s="9">
        <v>45021.0</v>
      </c>
      <c r="D292" s="10">
        <v>45033.0</v>
      </c>
      <c r="E292" s="4" t="s">
        <v>854</v>
      </c>
      <c r="F292" s="4" t="s">
        <v>855</v>
      </c>
      <c r="G292" s="6" t="str">
        <f>IFERROR(__xludf.DUMMYFUNCTION("REGEXREPLACE(LOWER(F292),""[^a-z\s]"","""")"),"better prices than chewy shipping is a bit slower but worth it if you just plan ahead
first order with them took about a week to get the second and larger order only took a few days from east to west coast not bad at all good selection of products also")</f>
        <v>better prices than chewy shipping is a bit slower but worth it if you just plan ahead
first order with them took about a week to get the second and larger order only took a few days from east to west coast not bad at all good selection of products also</v>
      </c>
      <c r="H292" s="4" t="str">
        <f t="shared" si="1"/>
        <v>better prices than chewy shipping a bit slower but worth it if you just plan ahead
first order with them took about a week get second larger order only took a few days from east west coast not bad at all good selection of products also</v>
      </c>
      <c r="I292" s="6">
        <f t="shared" si="2"/>
        <v>45</v>
      </c>
      <c r="J292" s="6">
        <f>IFERROR(__xludf.DUMMYFUNCTION("IF(H292="""","""",
SUM(
ARRAYFORMULA(
IF(
REGEXMATCH(
"" ""&amp;H292&amp;"" "",
"" ""&amp;Sentiment_Words!A$2:A3730&amp;"" ""
),
1,
0
)
)
)
)"),2.0)</f>
        <v>2</v>
      </c>
      <c r="K292" s="4">
        <f>IFERROR(__xludf.DUMMYFUNCTION("IF(H292="""","""",
SUM(
ARRAYFORMULA(
IF(
REGEXMATCH(
"" ""&amp;H292&amp;"" "",
"" ""&amp;Sentiment_Words!B$2:B3730&amp;"" ""
),
1,
0
)
)
)
)"),0.0)</f>
        <v>0</v>
      </c>
      <c r="L292" s="7" t="str">
        <f t="shared" si="3"/>
        <v>Other</v>
      </c>
      <c r="M292" s="7" t="str">
        <f t="shared" si="4"/>
        <v>Positive</v>
      </c>
      <c r="N292" s="7" t="str">
        <f>IFERROR(__xludf.DUMMYFUNCTION("LOWER(
TRIM(
REGEXREPLACE(B292,""[^a-zA-Z\s]"","""")
)
)
"),"kszymo")</f>
        <v>kszymo</v>
      </c>
      <c r="O292" s="7">
        <f t="shared" si="5"/>
        <v>1</v>
      </c>
      <c r="P292" s="8" t="str">
        <f t="shared" si="6"/>
        <v>No</v>
      </c>
    </row>
    <row r="293">
      <c r="A293" s="4" t="s">
        <v>16</v>
      </c>
      <c r="B293" s="4" t="s">
        <v>856</v>
      </c>
      <c r="C293" s="9">
        <v>45020.0</v>
      </c>
      <c r="D293" s="10">
        <v>45033.0</v>
      </c>
      <c r="E293" s="4" t="s">
        <v>857</v>
      </c>
      <c r="F293" s="4" t="s">
        <v>858</v>
      </c>
      <c r="G293" s="6" t="str">
        <f>IFERROR(__xludf.DUMMYFUNCTION("REGEXREPLACE(LOWER(F293),""[^a-z\s]"","""")"),"prices good fast leaning a but much on subscribing my cat is an animal  things need to be flexible not locked into the same food delivered regularly cant i get a discount without subscribing")</f>
        <v>prices good fast leaning a but much on subscribing my cat is an animal  things need to be flexible not locked into the same food delivered regularly cant i get a discount without subscribing</v>
      </c>
      <c r="H293" s="4" t="str">
        <f t="shared" si="1"/>
        <v>prices good fast leaning a but much on subscribing my cat an animal things need be flexible not locked into same food delivered regularly cant i get a discount without subscribing</v>
      </c>
      <c r="I293" s="6">
        <f t="shared" si="2"/>
        <v>31</v>
      </c>
      <c r="J293" s="6">
        <f>IFERROR(__xludf.DUMMYFUNCTION("IF(H293="""","""",
SUM(
ARRAYFORMULA(
IF(
REGEXMATCH(
"" ""&amp;H293&amp;"" "",
"" ""&amp;Sentiment_Words!A$2:A3730&amp;"" ""
),
1,
0
)
)
)
)"),3.0)</f>
        <v>3</v>
      </c>
      <c r="K293" s="4">
        <f>IFERROR(__xludf.DUMMYFUNCTION("IF(H293="""","""",
SUM(
ARRAYFORMULA(
IF(
REGEXMATCH(
"" ""&amp;H293&amp;"" "",
"" ""&amp;Sentiment_Words!B$2:B3730&amp;"" ""
),
1,
0
)
)
)
)"),0.0)</f>
        <v>0</v>
      </c>
      <c r="L293" s="7" t="str">
        <f t="shared" si="3"/>
        <v>Other</v>
      </c>
      <c r="M293" s="7" t="str">
        <f t="shared" si="4"/>
        <v>Positive</v>
      </c>
      <c r="N293" s="7" t="str">
        <f>IFERROR(__xludf.DUMMYFUNCTION("LOWER(
TRIM(
REGEXREPLACE(B293,""[^a-zA-Z\s]"","""")
)
)
"),"nismoman")</f>
        <v>nismoman</v>
      </c>
      <c r="O293" s="7">
        <f t="shared" si="5"/>
        <v>1</v>
      </c>
      <c r="P293" s="8" t="str">
        <f t="shared" si="6"/>
        <v>No</v>
      </c>
    </row>
    <row r="294">
      <c r="A294" s="4" t="s">
        <v>16</v>
      </c>
      <c r="B294" s="4" t="s">
        <v>859</v>
      </c>
      <c r="C294" s="9">
        <v>45020.0</v>
      </c>
      <c r="D294" s="10">
        <v>45033.0</v>
      </c>
      <c r="E294" s="4" t="s">
        <v>860</v>
      </c>
      <c r="F294" s="4" t="s">
        <v>861</v>
      </c>
      <c r="G294" s="6" t="str">
        <f>IFERROR(__xludf.DUMMYFUNCTION("REGEXREPLACE(LOWER(F294),""[^a-z\s]"","""")"),"ordered twice and order was canceled with no explanation finally called and they said my cardorder was suspicious and that i needed to call i went ahead and ordered from petco instead they had no issues with my payment then i asked them to take me off the"&amp;"ir mailing list which they said they would and low and behold im still receiving their emails")</f>
        <v>ordered twice and order was canceled with no explanation finally called and they said my cardorder was suspicious and that i needed to call i went ahead and ordered from petco instead they had no issues with my payment then i asked them to take me off their mailing list which they said they would and low and behold im still receiving their emails</v>
      </c>
      <c r="H294" s="4" t="str">
        <f t="shared" si="1"/>
        <v>ordered twice order was canceled with no explanation finally called they said my cardorder was suspicious that i needed call i went ahead ordered from petco instead they had no issues with my payment then i asked them take me off their mailing list which they said they would low behold im still receiving their emails</v>
      </c>
      <c r="I294" s="6">
        <f t="shared" si="2"/>
        <v>56</v>
      </c>
      <c r="J294" s="6">
        <f>IFERROR(__xludf.DUMMYFUNCTION("IF(H294="""","""",
SUM(
ARRAYFORMULA(
IF(
REGEXMATCH(
"" ""&amp;H294&amp;"" "",
"" ""&amp;Sentiment_Words!A$2:A3730&amp;"" ""
),
1,
0
)
)
)
)"),1.0)</f>
        <v>1</v>
      </c>
      <c r="K294" s="4">
        <f>IFERROR(__xludf.DUMMYFUNCTION("IF(H294="""","""",
SUM(
ARRAYFORMULA(
IF(
REGEXMATCH(
"" ""&amp;H294&amp;"" "",
"" ""&amp;Sentiment_Words!B$2:B3730&amp;"" ""
),
1,
0
)
)
)
)"),0.0)</f>
        <v>0</v>
      </c>
      <c r="L294" s="7" t="str">
        <f t="shared" si="3"/>
        <v>Other</v>
      </c>
      <c r="M294" s="7" t="str">
        <f t="shared" si="4"/>
        <v>Positive</v>
      </c>
      <c r="N294" s="7" t="str">
        <f>IFERROR(__xludf.DUMMYFUNCTION("LOWER(
TRIM(
REGEXREPLACE(B294,""[^a-zA-Z\s]"","""")
)
)
"),"michael lord")</f>
        <v>michael lord</v>
      </c>
      <c r="O294" s="7">
        <f t="shared" si="5"/>
        <v>1</v>
      </c>
      <c r="P294" s="8" t="str">
        <f t="shared" si="6"/>
        <v>No</v>
      </c>
    </row>
    <row r="295">
      <c r="A295" s="4" t="s">
        <v>16</v>
      </c>
      <c r="B295" s="4" t="s">
        <v>862</v>
      </c>
      <c r="C295" s="5">
        <v>45002.0</v>
      </c>
      <c r="D295" s="10">
        <v>45033.0</v>
      </c>
      <c r="E295" s="4" t="s">
        <v>863</v>
      </c>
      <c r="F295" s="4" t="s">
        <v>864</v>
      </c>
      <c r="G295" s="6" t="str">
        <f>IFERROR(__xludf.DUMMYFUNCTION("REGEXREPLACE(LOWER(F295),""[^a-z\s]"","""")"),"i ordered dog food it was delivered the next day")</f>
        <v>i ordered dog food it was delivered the next day</v>
      </c>
      <c r="H295" s="4" t="str">
        <f t="shared" si="1"/>
        <v>i ordered dog food it was delivered next day</v>
      </c>
      <c r="I295" s="6">
        <f t="shared" si="2"/>
        <v>9</v>
      </c>
      <c r="J295" s="6">
        <f>IFERROR(__xludf.DUMMYFUNCTION("IF(H295="""","""",
SUM(
ARRAYFORMULA(
IF(
REGEXMATCH(
"" ""&amp;H295&amp;"" "",
"" ""&amp;Sentiment_Words!A$2:A3730&amp;"" ""
),
1,
0
)
)
)
)"),1.0)</f>
        <v>1</v>
      </c>
      <c r="K295" s="4">
        <f>IFERROR(__xludf.DUMMYFUNCTION("IF(H295="""","""",
SUM(
ARRAYFORMULA(
IF(
REGEXMATCH(
"" ""&amp;H295&amp;"" "",
"" ""&amp;Sentiment_Words!B$2:B3730&amp;"" ""
),
1,
0
)
)
)
)"),0.0)</f>
        <v>0</v>
      </c>
      <c r="L295" s="7" t="str">
        <f t="shared" si="3"/>
        <v>Other</v>
      </c>
      <c r="M295" s="7" t="str">
        <f t="shared" si="4"/>
        <v>Positive</v>
      </c>
      <c r="N295" s="7" t="str">
        <f>IFERROR(__xludf.DUMMYFUNCTION("LOWER(
TRIM(
REGEXREPLACE(B295,""[^a-zA-Z\s]"","""")
)
)
"),"sara lentz")</f>
        <v>sara lentz</v>
      </c>
      <c r="O295" s="7">
        <f t="shared" si="5"/>
        <v>1</v>
      </c>
      <c r="P295" s="8" t="str">
        <f t="shared" si="6"/>
        <v>No</v>
      </c>
    </row>
    <row r="296">
      <c r="A296" s="4" t="s">
        <v>16</v>
      </c>
      <c r="B296" s="4" t="s">
        <v>865</v>
      </c>
      <c r="C296" s="9">
        <v>45020.0</v>
      </c>
      <c r="D296" s="10">
        <v>45032.0</v>
      </c>
      <c r="E296" s="4" t="s">
        <v>866</v>
      </c>
      <c r="F296" s="4" t="s">
        <v>867</v>
      </c>
      <c r="G296" s="6" t="str">
        <f>IFERROR(__xludf.DUMMYFUNCTION("REGEXREPLACE(LOWER(F296),""[^a-z\s]"","""")"),"when the item was ordered i didnt receive any communication as to when it would arrive that was accurate after the email stating that it was ordered also initially the form of payment used was incorrect and the company didnt notify me or communicate with "&amp;"me so that i could correct it  they simply cancelled the order")</f>
        <v>when the item was ordered i didnt receive any communication as to when it would arrive that was accurate after the email stating that it was ordered also initially the form of payment used was incorrect and the company didnt notify me or communicate with me so that i could correct it  they simply cancelled the order</v>
      </c>
      <c r="H296" s="4" t="str">
        <f t="shared" si="1"/>
        <v>when item was ordered i didnt receive any communication as when it would arrive that was accurate after email stating that it was ordered also initially form of payment used was incorrect company didnt notify me or communicate with me so that i could correct it they simply cancelled order</v>
      </c>
      <c r="I296" s="6">
        <f t="shared" si="2"/>
        <v>50</v>
      </c>
      <c r="J296" s="6">
        <f>IFERROR(__xludf.DUMMYFUNCTION("IF(H296="""","""",
SUM(
ARRAYFORMULA(
IF(
REGEXMATCH(
"" ""&amp;H296&amp;"" "",
"" ""&amp;Sentiment_Words!A$2:A3730&amp;"" ""
),
1,
0
)
)
)
)"),0.0)</f>
        <v>0</v>
      </c>
      <c r="K296" s="4">
        <f>IFERROR(__xludf.DUMMYFUNCTION("IF(H296="""","""",
SUM(
ARRAYFORMULA(
IF(
REGEXMATCH(
"" ""&amp;H296&amp;"" "",
"" ""&amp;Sentiment_Words!B$2:B3730&amp;"" ""
),
1,
0
)
)
)
)"),2.0)</f>
        <v>2</v>
      </c>
      <c r="L296" s="7" t="str">
        <f t="shared" si="3"/>
        <v>Other</v>
      </c>
      <c r="M296" s="7" t="str">
        <f t="shared" si="4"/>
        <v>Negative</v>
      </c>
      <c r="N296" s="7" t="str">
        <f>IFERROR(__xludf.DUMMYFUNCTION("LOWER(
TRIM(
REGEXREPLACE(B296,""[^a-zA-Z\s]"","""")
)
)
"),"pm")</f>
        <v>pm</v>
      </c>
      <c r="O296" s="7">
        <f t="shared" si="5"/>
        <v>1</v>
      </c>
      <c r="P296" s="8" t="str">
        <f t="shared" si="6"/>
        <v>No</v>
      </c>
    </row>
    <row r="297">
      <c r="A297" s="4" t="s">
        <v>16</v>
      </c>
      <c r="B297" s="4" t="s">
        <v>868</v>
      </c>
      <c r="C297" s="9">
        <v>45019.0</v>
      </c>
      <c r="D297" s="10">
        <v>45032.0</v>
      </c>
      <c r="E297" s="4" t="s">
        <v>869</v>
      </c>
      <c r="F297" s="4" t="s">
        <v>870</v>
      </c>
      <c r="G297" s="6" t="str">
        <f>IFERROR(__xludf.DUMMYFUNCTION("REGEXREPLACE(LOWER(F297),""[^a-z\s]"","""")"),"always have fromm dog food in stock always received my order within  to  days great service")</f>
        <v>always have fromm dog food in stock always received my order within  to  days great service</v>
      </c>
      <c r="H297" s="4" t="str">
        <f t="shared" si="1"/>
        <v>always have fromm dog food in stock always received my order within days great service</v>
      </c>
      <c r="I297" s="6">
        <f t="shared" si="2"/>
        <v>15</v>
      </c>
      <c r="J297" s="6">
        <f>IFERROR(__xludf.DUMMYFUNCTION("IF(H297="""","""",
SUM(
ARRAYFORMULA(
IF(
REGEXMATCH(
"" ""&amp;H297&amp;"" "",
"" ""&amp;Sentiment_Words!A$2:A3730&amp;"" ""
),
1,
0
)
)
)
)"),1.0)</f>
        <v>1</v>
      </c>
      <c r="K297" s="4">
        <f>IFERROR(__xludf.DUMMYFUNCTION("IF(H297="""","""",
SUM(
ARRAYFORMULA(
IF(
REGEXMATCH(
"" ""&amp;H297&amp;"" "",
"" ""&amp;Sentiment_Words!B$2:B3730&amp;"" ""
),
1,
0
)
)
)
)"),0.0)</f>
        <v>0</v>
      </c>
      <c r="L297" s="7" t="str">
        <f t="shared" si="3"/>
        <v>Customer Support</v>
      </c>
      <c r="M297" s="7" t="str">
        <f t="shared" si="4"/>
        <v>Positive</v>
      </c>
      <c r="N297" s="7" t="str">
        <f>IFERROR(__xludf.DUMMYFUNCTION("LOWER(
TRIM(
REGEXREPLACE(B297,""[^a-zA-Z\s]"","""")
)
)
"),"walter williams")</f>
        <v>walter williams</v>
      </c>
      <c r="O297" s="7">
        <f t="shared" si="5"/>
        <v>1</v>
      </c>
      <c r="P297" s="8" t="str">
        <f t="shared" si="6"/>
        <v>No</v>
      </c>
    </row>
    <row r="298">
      <c r="A298" s="4" t="s">
        <v>16</v>
      </c>
      <c r="B298" s="4" t="s">
        <v>871</v>
      </c>
      <c r="C298" s="9">
        <v>45020.0</v>
      </c>
      <c r="D298" s="10">
        <v>45032.0</v>
      </c>
      <c r="E298" s="4" t="s">
        <v>872</v>
      </c>
      <c r="F298" s="4" t="s">
        <v>873</v>
      </c>
      <c r="G298" s="6" t="str">
        <f>IFERROR(__xludf.DUMMYFUNCTION("REGEXREPLACE(LOWER(F298),""[^a-z\s]"","""")"),"you ship so fast and i really appreciate plus your products and prices are really good and affordable i can count on my dogs getting exactly what they need thank you")</f>
        <v>you ship so fast and i really appreciate plus your products and prices are really good and affordable i can count on my dogs getting exactly what they need thank you</v>
      </c>
      <c r="H298" s="4" t="str">
        <f t="shared" si="1"/>
        <v>you ship so fast i really appreciate plus your products prices are really good affordable i can count on my dogs getting exactly what they need thank you</v>
      </c>
      <c r="I298" s="6">
        <f t="shared" si="2"/>
        <v>28</v>
      </c>
      <c r="J298" s="6">
        <f>IFERROR(__xludf.DUMMYFUNCTION("IF(H298="""","""",
SUM(
ARRAYFORMULA(
IF(
REGEXMATCH(
"" ""&amp;H298&amp;"" "",
"" ""&amp;Sentiment_Words!A$2:A3730&amp;"" ""
),
1,
0
)
)
)
)"),3.0)</f>
        <v>3</v>
      </c>
      <c r="K298" s="4">
        <f>IFERROR(__xludf.DUMMYFUNCTION("IF(H298="""","""",
SUM(
ARRAYFORMULA(
IF(
REGEXMATCH(
"" ""&amp;H298&amp;"" "",
"" ""&amp;Sentiment_Words!B$2:B3730&amp;"" ""
),
1,
0
)
)
)
)"),0.0)</f>
        <v>0</v>
      </c>
      <c r="L298" s="7" t="str">
        <f t="shared" si="3"/>
        <v>Other</v>
      </c>
      <c r="M298" s="7" t="str">
        <f t="shared" si="4"/>
        <v>Positive</v>
      </c>
      <c r="N298" s="7" t="str">
        <f>IFERROR(__xludf.DUMMYFUNCTION("LOWER(
TRIM(
REGEXREPLACE(B298,""[^a-zA-Z\s]"","""")
)
)
"),"caldwell")</f>
        <v>caldwell</v>
      </c>
      <c r="O298" s="7">
        <f t="shared" si="5"/>
        <v>1</v>
      </c>
      <c r="P298" s="8" t="str">
        <f t="shared" si="6"/>
        <v>No</v>
      </c>
    </row>
    <row r="299">
      <c r="A299" s="4" t="s">
        <v>16</v>
      </c>
      <c r="B299" s="4" t="s">
        <v>874</v>
      </c>
      <c r="C299" s="9">
        <v>45020.0</v>
      </c>
      <c r="D299" s="10">
        <v>45032.0</v>
      </c>
      <c r="E299" s="4" t="s">
        <v>623</v>
      </c>
      <c r="F299" s="4" t="s">
        <v>875</v>
      </c>
      <c r="G299" s="6" t="str">
        <f>IFERROR(__xludf.DUMMYFUNCTION("REGEXREPLACE(LOWER(F299),""[^a-z\s]"","""")"),"great customer service when an issue arises")</f>
        <v>great customer service when an issue arises</v>
      </c>
      <c r="H299" s="4" t="str">
        <f t="shared" si="1"/>
        <v>great customer service when an issue arises</v>
      </c>
      <c r="I299" s="6">
        <f t="shared" si="2"/>
        <v>7</v>
      </c>
      <c r="J299" s="6">
        <f>IFERROR(__xludf.DUMMYFUNCTION("IF(H299="""","""",
SUM(
ARRAYFORMULA(
IF(
REGEXMATCH(
"" ""&amp;H299&amp;"" "",
"" ""&amp;Sentiment_Words!A$2:A3730&amp;"" ""
),
1,
0
)
)
)
)"),2.0)</f>
        <v>2</v>
      </c>
      <c r="K299" s="4">
        <f>IFERROR(__xludf.DUMMYFUNCTION("IF(H299="""","""",
SUM(
ARRAYFORMULA(
IF(
REGEXMATCH(
"" ""&amp;H299&amp;"" "",
"" ""&amp;Sentiment_Words!B$2:B3730&amp;"" ""
),
1,
0
)
)
)
)"),2.0)</f>
        <v>2</v>
      </c>
      <c r="L299" s="7" t="str">
        <f t="shared" si="3"/>
        <v>Customer Support</v>
      </c>
      <c r="M299" s="7" t="str">
        <f t="shared" si="4"/>
        <v>Neutral</v>
      </c>
      <c r="N299" s="7" t="str">
        <f>IFERROR(__xludf.DUMMYFUNCTION("LOWER(
TRIM(
REGEXREPLACE(B299,""[^a-zA-Z\s]"","""")
)
)
"),"jeannett wasicek")</f>
        <v>jeannett wasicek</v>
      </c>
      <c r="O299" s="7">
        <f t="shared" si="5"/>
        <v>1</v>
      </c>
      <c r="P299" s="8" t="str">
        <f t="shared" si="6"/>
        <v>No</v>
      </c>
    </row>
    <row r="300">
      <c r="A300" s="4" t="s">
        <v>16</v>
      </c>
      <c r="B300" s="4" t="s">
        <v>876</v>
      </c>
      <c r="C300" s="9">
        <v>45020.0</v>
      </c>
      <c r="D300" s="10">
        <v>45032.0</v>
      </c>
      <c r="E300" s="4" t="s">
        <v>877</v>
      </c>
      <c r="F300" s="4" t="s">
        <v>331</v>
      </c>
      <c r="G300" s="6" t="str">
        <f>IFERROR(__xludf.DUMMYFUNCTION("REGEXREPLACE(LOWER(F300),""[^a-z\s]"","""")"),"none")</f>
        <v>none</v>
      </c>
      <c r="H300" s="4" t="str">
        <f t="shared" si="1"/>
        <v>none</v>
      </c>
      <c r="I300" s="6">
        <f t="shared" si="2"/>
        <v>1</v>
      </c>
      <c r="J300" s="6">
        <f>IFERROR(__xludf.DUMMYFUNCTION("IF(H300="""","""",
SUM(
ARRAYFORMULA(
IF(
REGEXMATCH(
"" ""&amp;H300&amp;"" "",
"" ""&amp;Sentiment_Words!A$2:A3730&amp;"" ""
),
1,
0
)
)
)
)"),0.0)</f>
        <v>0</v>
      </c>
      <c r="K300" s="4">
        <f>IFERROR(__xludf.DUMMYFUNCTION("IF(H300="""","""",
SUM(
ARRAYFORMULA(
IF(
REGEXMATCH(
"" ""&amp;H300&amp;"" "",
"" ""&amp;Sentiment_Words!B$2:B3730&amp;"" ""
),
1,
0
)
)
)
)"),0.0)</f>
        <v>0</v>
      </c>
      <c r="L300" s="7" t="str">
        <f t="shared" si="3"/>
        <v>Other</v>
      </c>
      <c r="M300" s="7" t="str">
        <f t="shared" si="4"/>
        <v>Neutral</v>
      </c>
      <c r="N300" s="7" t="str">
        <f>IFERROR(__xludf.DUMMYFUNCTION("LOWER(
TRIM(
REGEXREPLACE(B300,""[^a-zA-Z\s]"","""")
)
)
"),"mary ayala")</f>
        <v>mary ayala</v>
      </c>
      <c r="O300" s="7">
        <f t="shared" si="5"/>
        <v>1</v>
      </c>
      <c r="P300" s="8" t="str">
        <f t="shared" si="6"/>
        <v>No</v>
      </c>
    </row>
    <row r="301">
      <c r="A301" s="4" t="s">
        <v>16</v>
      </c>
      <c r="B301" s="4" t="s">
        <v>878</v>
      </c>
      <c r="C301" s="9">
        <v>45020.0</v>
      </c>
      <c r="D301" s="10">
        <v>45032.0</v>
      </c>
      <c r="E301" s="4" t="s">
        <v>879</v>
      </c>
      <c r="F301" s="4" t="s">
        <v>331</v>
      </c>
      <c r="G301" s="6" t="str">
        <f>IFERROR(__xludf.DUMMYFUNCTION("REGEXREPLACE(LOWER(F301),""[^a-z\s]"","""")"),"none")</f>
        <v>none</v>
      </c>
      <c r="H301" s="4" t="str">
        <f t="shared" si="1"/>
        <v>none</v>
      </c>
      <c r="I301" s="6">
        <f t="shared" si="2"/>
        <v>1</v>
      </c>
      <c r="J301" s="6">
        <f>IFERROR(__xludf.DUMMYFUNCTION("IF(H301="""","""",
SUM(
ARRAYFORMULA(
IF(
REGEXMATCH(
"" ""&amp;H301&amp;"" "",
"" ""&amp;Sentiment_Words!A$2:A3730&amp;"" ""
),
1,
0
)
)
)
)"),0.0)</f>
        <v>0</v>
      </c>
      <c r="K301" s="4">
        <f>IFERROR(__xludf.DUMMYFUNCTION("IF(H301="""","""",
SUM(
ARRAYFORMULA(
IF(
REGEXMATCH(
"" ""&amp;H301&amp;"" "",
"" ""&amp;Sentiment_Words!B$2:B3730&amp;"" ""
),
1,
0
)
)
)
)"),0.0)</f>
        <v>0</v>
      </c>
      <c r="L301" s="7" t="str">
        <f t="shared" si="3"/>
        <v>Other</v>
      </c>
      <c r="M301" s="7" t="str">
        <f t="shared" si="4"/>
        <v>Neutral</v>
      </c>
      <c r="N301" s="7" t="str">
        <f>IFERROR(__xludf.DUMMYFUNCTION("LOWER(
TRIM(
REGEXREPLACE(B301,""[^a-zA-Z\s]"","""")
)
)
"),"joeyc")</f>
        <v>joeyc</v>
      </c>
      <c r="O301" s="7">
        <f t="shared" si="5"/>
        <v>1</v>
      </c>
      <c r="P301" s="8" t="str">
        <f t="shared" si="6"/>
        <v>No</v>
      </c>
    </row>
    <row r="302">
      <c r="A302" s="4" t="s">
        <v>16</v>
      </c>
      <c r="B302" s="4" t="s">
        <v>880</v>
      </c>
      <c r="C302" s="9">
        <v>45020.0</v>
      </c>
      <c r="D302" s="10">
        <v>45032.0</v>
      </c>
      <c r="E302" s="4" t="s">
        <v>881</v>
      </c>
      <c r="F302" s="4" t="s">
        <v>882</v>
      </c>
      <c r="G302" s="6" t="str">
        <f>IFERROR(__xludf.DUMMYFUNCTION("REGEXREPLACE(LOWER(F302),""[^a-z\s]"","""")"),"petflows customer service is great always someone helpful to answer the phone and solve issues")</f>
        <v>petflows customer service is great always someone helpful to answer the phone and solve issues</v>
      </c>
      <c r="H302" s="4" t="str">
        <f t="shared" si="1"/>
        <v>petflows customer service great always someone helpful answer phone solve issues</v>
      </c>
      <c r="I302" s="6">
        <f t="shared" si="2"/>
        <v>11</v>
      </c>
      <c r="J302" s="6">
        <f>IFERROR(__xludf.DUMMYFUNCTION("IF(H302="""","""",
SUM(
ARRAYFORMULA(
IF(
REGEXMATCH(
"" ""&amp;H302&amp;"" "",
"" ""&amp;Sentiment_Words!A$2:A3730&amp;"" ""
),
1,
0
)
)
)
)"),2.0)</f>
        <v>2</v>
      </c>
      <c r="K302" s="4">
        <f>IFERROR(__xludf.DUMMYFUNCTION("IF(H302="""","""",
SUM(
ARRAYFORMULA(
IF(
REGEXMATCH(
"" ""&amp;H302&amp;"" "",
"" ""&amp;Sentiment_Words!B$2:B3730&amp;"" ""
),
1,
0
)
)
)
)"),1.0)</f>
        <v>1</v>
      </c>
      <c r="L302" s="7" t="str">
        <f t="shared" si="3"/>
        <v>Customer Support</v>
      </c>
      <c r="M302" s="7" t="str">
        <f t="shared" si="4"/>
        <v>Positive</v>
      </c>
      <c r="N302" s="7" t="str">
        <f>IFERROR(__xludf.DUMMYFUNCTION("LOWER(
TRIM(
REGEXREPLACE(B302,""[^a-zA-Z\s]"","""")
)
)
"),"helen")</f>
        <v>helen</v>
      </c>
      <c r="O302" s="7">
        <f t="shared" si="5"/>
        <v>1</v>
      </c>
      <c r="P302" s="8" t="str">
        <f t="shared" si="6"/>
        <v>No</v>
      </c>
    </row>
    <row r="303">
      <c r="A303" s="4" t="s">
        <v>16</v>
      </c>
      <c r="B303" s="4" t="s">
        <v>883</v>
      </c>
      <c r="C303" s="9">
        <v>45019.0</v>
      </c>
      <c r="D303" s="4" t="s">
        <v>884</v>
      </c>
      <c r="E303" s="4" t="s">
        <v>885</v>
      </c>
      <c r="F303" s="4" t="s">
        <v>886</v>
      </c>
      <c r="G303" s="6" t="str">
        <f>IFERROR(__xludf.DUMMYFUNCTION("REGEXREPLACE(LOWER(F303),""[^a-z\s]"","""")"),"ordering from their website is easy and they have good prices and fast shipping")</f>
        <v>ordering from their website is easy and they have good prices and fast shipping</v>
      </c>
      <c r="H303" s="4" t="str">
        <f t="shared" si="1"/>
        <v>ordering from their website easy they have good prices fast shipping</v>
      </c>
      <c r="I303" s="6">
        <f t="shared" si="2"/>
        <v>11</v>
      </c>
      <c r="J303" s="6">
        <f>IFERROR(__xludf.DUMMYFUNCTION("IF(H303="""","""",
SUM(
ARRAYFORMULA(
IF(
REGEXMATCH(
"" ""&amp;H303&amp;"" "",
"" ""&amp;Sentiment_Words!A$2:A3730&amp;"" ""
),
1,
0
)
)
)
)"),3.0)</f>
        <v>3</v>
      </c>
      <c r="K303" s="4">
        <f>IFERROR(__xludf.DUMMYFUNCTION("IF(H303="""","""",
SUM(
ARRAYFORMULA(
IF(
REGEXMATCH(
"" ""&amp;H303&amp;"" "",
"" ""&amp;Sentiment_Words!B$2:B3730&amp;"" ""
),
1,
0
)
)
)
)"),0.0)</f>
        <v>0</v>
      </c>
      <c r="L303" s="7" t="str">
        <f t="shared" si="3"/>
        <v>Account &amp; Website</v>
      </c>
      <c r="M303" s="7" t="str">
        <f t="shared" si="4"/>
        <v>Positive</v>
      </c>
      <c r="N303" s="7" t="str">
        <f>IFERROR(__xludf.DUMMYFUNCTION("LOWER(
TRIM(
REGEXREPLACE(B303,""[^a-zA-Z\s]"","""")
)
)
"),"carmello")</f>
        <v>carmello</v>
      </c>
      <c r="O303" s="7">
        <f t="shared" si="5"/>
        <v>1</v>
      </c>
      <c r="P303" s="8" t="str">
        <f t="shared" si="6"/>
        <v>No</v>
      </c>
    </row>
    <row r="304">
      <c r="A304" s="4" t="s">
        <v>16</v>
      </c>
      <c r="B304" s="4" t="s">
        <v>887</v>
      </c>
      <c r="C304" s="5">
        <v>45009.0</v>
      </c>
      <c r="D304" s="10">
        <v>45032.0</v>
      </c>
      <c r="E304" s="4" t="s">
        <v>888</v>
      </c>
      <c r="F304" s="4" t="s">
        <v>889</v>
      </c>
      <c r="G304" s="6" t="str">
        <f>IFERROR(__xludf.DUMMYFUNCTION("REGEXREPLACE(LOWER(F304),""[^a-z\s]"","""")"),"well it all started with me not noticing that the shipping address was wron i didnt notice it until the order was done so i sent an email and a test if i remember correctly i then received a phone call and discussed the wrong shipping address with someone"&amp;" who assured me that it would be sent to the correct address  it was not sent to correct address so i reached out again to explain what happened and they were wonderful accommodating and fixed it they sent a new order to the correct addresses with no char"&amp;"ge i will definitely order with you again great customer service")</f>
        <v>well it all started with me not noticing that the shipping address was wron i didnt notice it until the order was done so i sent an email and a test if i remember correctly i then received a phone call and discussed the wrong shipping address with someone who assured me that it would be sent to the correct address  it was not sent to correct address so i reached out again to explain what happened and they were wonderful accommodating and fixed it they sent a new order to the correct addresses with no charge i will definitely order with you again great customer service</v>
      </c>
      <c r="H304" s="4" t="str">
        <f t="shared" si="1"/>
        <v>well it all started with me not noticing that shipping address was wron i didnt notice it until order was done so i sent an email a test if i remember correctly i then received a phone call discussed wrong shipping address with someone who assured me that it would be sent correct address it was not sent correct address so i reached out again explain what happened they were wonderful accommodating fixed it they sent a new order correct addresses with no charge i will definitely order with you again great customer service</v>
      </c>
      <c r="I304" s="6">
        <f t="shared" si="2"/>
        <v>94</v>
      </c>
      <c r="J304" s="6">
        <f>IFERROR(__xludf.DUMMYFUNCTION("IF(H304="""","""",
SUM(
ARRAYFORMULA(
IF(
REGEXMATCH(
"" ""&amp;H304&amp;"" "",
"" ""&amp;Sentiment_Words!A$2:A3730&amp;"" ""
),
1,
0
)
)
)
)"),3.0)</f>
        <v>3</v>
      </c>
      <c r="K304" s="4">
        <f>IFERROR(__xludf.DUMMYFUNCTION("IF(H304="""","""",
SUM(
ARRAYFORMULA(
IF(
REGEXMATCH(
"" ""&amp;H304&amp;"" "",
"" ""&amp;Sentiment_Words!B$2:B3730&amp;"" ""
),
1,
0
)
)
)
)"),2.0)</f>
        <v>2</v>
      </c>
      <c r="L304" s="7" t="str">
        <f t="shared" si="3"/>
        <v>Customer Support</v>
      </c>
      <c r="M304" s="7" t="str">
        <f t="shared" si="4"/>
        <v>Positive</v>
      </c>
      <c r="N304" s="7" t="str">
        <f>IFERROR(__xludf.DUMMYFUNCTION("LOWER(
TRIM(
REGEXREPLACE(B304,""[^a-zA-Z\s]"","""")
)
)
"),"therese kaschuluk")</f>
        <v>therese kaschuluk</v>
      </c>
      <c r="O304" s="7">
        <f t="shared" si="5"/>
        <v>1</v>
      </c>
      <c r="P304" s="8" t="str">
        <f t="shared" si="6"/>
        <v>No</v>
      </c>
    </row>
    <row r="305">
      <c r="A305" s="4" t="s">
        <v>16</v>
      </c>
      <c r="B305" s="4" t="s">
        <v>890</v>
      </c>
      <c r="C305" s="9">
        <v>45019.0</v>
      </c>
      <c r="D305" s="10">
        <v>45032.0</v>
      </c>
      <c r="E305" s="4" t="s">
        <v>891</v>
      </c>
      <c r="F305" s="4" t="s">
        <v>892</v>
      </c>
      <c r="G305" s="6" t="str">
        <f>IFERROR(__xludf.DUMMYFUNCTION("REGEXREPLACE(LOWER(F305),""[^a-z\s]"","""")"),"i had been shopping from another company but the prices were just getting to steep i found petflowcom to have reasonable prices and all the products i needed for my fur babies the customer service has been great i recommend pet flow to all the parents up "&amp;"fur babies")</f>
        <v>i had been shopping from another company but the prices were just getting to steep i found petflowcom to have reasonable prices and all the products i needed for my fur babies the customer service has been great i recommend pet flow to all the parents up fur babies</v>
      </c>
      <c r="H305" s="4" t="str">
        <f t="shared" si="1"/>
        <v>i had been shopping from another company but prices were just getting steep i found petflowcom have reasonable prices all products i needed my fur babies customer service has been great i recommend pet flow all parents up fur babies</v>
      </c>
      <c r="I305" s="6">
        <f t="shared" si="2"/>
        <v>40</v>
      </c>
      <c r="J305" s="6">
        <f>IFERROR(__xludf.DUMMYFUNCTION("IF(H305="""","""",
SUM(
ARRAYFORMULA(
IF(
REGEXMATCH(
"" ""&amp;H305&amp;"" "",
"" ""&amp;Sentiment_Words!A$2:A3730&amp;"" ""
),
1,
0
)
)
)
)"),2.0)</f>
        <v>2</v>
      </c>
      <c r="K305" s="4">
        <f>IFERROR(__xludf.DUMMYFUNCTION("IF(H305="""","""",
SUM(
ARRAYFORMULA(
IF(
REGEXMATCH(
"" ""&amp;H305&amp;"" "",
"" ""&amp;Sentiment_Words!B$2:B3730&amp;"" ""
),
1,
0
)
)
)
)"),1.0)</f>
        <v>1</v>
      </c>
      <c r="L305" s="7" t="str">
        <f t="shared" si="3"/>
        <v>Customer Support</v>
      </c>
      <c r="M305" s="7" t="str">
        <f t="shared" si="4"/>
        <v>Positive</v>
      </c>
      <c r="N305" s="7" t="str">
        <f>IFERROR(__xludf.DUMMYFUNCTION("LOWER(
TRIM(
REGEXREPLACE(B305,""[^a-zA-Z\s]"","""")
)
)
"),"veronica villanueva")</f>
        <v>veronica villanueva</v>
      </c>
      <c r="O305" s="7">
        <f t="shared" si="5"/>
        <v>1</v>
      </c>
      <c r="P305" s="8" t="str">
        <f t="shared" si="6"/>
        <v>No</v>
      </c>
    </row>
    <row r="306">
      <c r="A306" s="4" t="s">
        <v>16</v>
      </c>
      <c r="B306" s="4" t="s">
        <v>893</v>
      </c>
      <c r="C306" s="9">
        <v>45019.0</v>
      </c>
      <c r="D306" s="10">
        <v>45031.0</v>
      </c>
      <c r="E306" s="4" t="s">
        <v>894</v>
      </c>
      <c r="F306" s="4" t="s">
        <v>895</v>
      </c>
      <c r="G306" s="6" t="str">
        <f>IFERROR(__xludf.DUMMYFUNCTION("REGEXREPLACE(LOWER(F306),""[^a-z\s]"","""")"),"i searched the internet and petflow had the best price for the blue buffalo brand delivery was quick and we are very satisfied")</f>
        <v>i searched the internet and petflow had the best price for the blue buffalo brand delivery was quick and we are very satisfied</v>
      </c>
      <c r="H306" s="4" t="str">
        <f t="shared" si="1"/>
        <v>i searched internet petflow had best price blue buffalo brand delivery was quick we are very satisfied</v>
      </c>
      <c r="I306" s="6">
        <f t="shared" si="2"/>
        <v>17</v>
      </c>
      <c r="J306" s="6">
        <f>IFERROR(__xludf.DUMMYFUNCTION("IF(H306="""","""",
SUM(
ARRAYFORMULA(
IF(
REGEXMATCH(
"" ""&amp;H306&amp;"" "",
"" ""&amp;Sentiment_Words!A$2:A3730&amp;"" ""
),
1,
0
)
)
)
)"),1.0)</f>
        <v>1</v>
      </c>
      <c r="K306" s="4">
        <f>IFERROR(__xludf.DUMMYFUNCTION("IF(H306="""","""",
SUM(
ARRAYFORMULA(
IF(
REGEXMATCH(
"" ""&amp;H306&amp;"" "",
"" ""&amp;Sentiment_Words!B$2:B3730&amp;"" ""
),
1,
0
)
)
)
)"),0.0)</f>
        <v>0</v>
      </c>
      <c r="L306" s="7" t="str">
        <f t="shared" si="3"/>
        <v>Other</v>
      </c>
      <c r="M306" s="7" t="str">
        <f t="shared" si="4"/>
        <v>Positive</v>
      </c>
      <c r="N306" s="7" t="str">
        <f>IFERROR(__xludf.DUMMYFUNCTION("LOWER(
TRIM(
REGEXREPLACE(B306,""[^a-zA-Z\s]"","""")
)
)
"),"ron c")</f>
        <v>ron c</v>
      </c>
      <c r="O306" s="7">
        <f t="shared" si="5"/>
        <v>1</v>
      </c>
      <c r="P306" s="8" t="str">
        <f t="shared" si="6"/>
        <v>No</v>
      </c>
    </row>
    <row r="307">
      <c r="A307" s="4" t="s">
        <v>16</v>
      </c>
      <c r="B307" s="4" t="s">
        <v>896</v>
      </c>
      <c r="C307" s="9">
        <v>45019.0</v>
      </c>
      <c r="D307" s="10">
        <v>45031.0</v>
      </c>
      <c r="E307" s="4" t="s">
        <v>897</v>
      </c>
      <c r="F307" s="4" t="s">
        <v>898</v>
      </c>
      <c r="G307" s="6" t="str">
        <f>IFERROR(__xludf.DUMMYFUNCTION("REGEXREPLACE(LOWER(F307),""[^a-z\s]"","""")"),"if i could give a rating of zero stars i would i order two different times and both were immediately cancelled no reason given i texted and emailed you company with no response i have since started using a different pet company for my needs
no customer se"&amp;"rvice at all")</f>
        <v>if i could give a rating of zero stars i would i order two different times and both were immediately cancelled no reason given i texted and emailed you company with no response i have since started using a different pet company for my needs
no customer service at all</v>
      </c>
      <c r="H307" s="4" t="str">
        <f t="shared" si="1"/>
        <v>if i could give a rating of zero stars i would i order two different times both were immediately cancelled no reason given i texted emailed you company with no response i have since started using a different pet company my needs
no customer service at all</v>
      </c>
      <c r="I307" s="6">
        <f t="shared" si="2"/>
        <v>46</v>
      </c>
      <c r="J307" s="6">
        <f>IFERROR(__xludf.DUMMYFUNCTION("IF(H307="""","""",
SUM(
ARRAYFORMULA(
IF(
REGEXMATCH(
"" ""&amp;H307&amp;"" "",
"" ""&amp;Sentiment_Words!A$2:A3730&amp;"" ""
),
1,
0
)
)
)
)"),1.0)</f>
        <v>1</v>
      </c>
      <c r="K307" s="4">
        <f>IFERROR(__xludf.DUMMYFUNCTION("IF(H307="""","""",
SUM(
ARRAYFORMULA(
IF(
REGEXMATCH(
"" ""&amp;H307&amp;"" "",
"" ""&amp;Sentiment_Words!B$2:B3730&amp;"" ""
),
1,
0
)
)
)
)"),3.0)</f>
        <v>3</v>
      </c>
      <c r="L307" s="7" t="str">
        <f t="shared" si="3"/>
        <v>Customer Support</v>
      </c>
      <c r="M307" s="7" t="str">
        <f t="shared" si="4"/>
        <v>Negative</v>
      </c>
      <c r="N307" s="7" t="str">
        <f>IFERROR(__xludf.DUMMYFUNCTION("LOWER(
TRIM(
REGEXREPLACE(B307,""[^a-zA-Z\s]"","""")
)
)
"),"christine smith")</f>
        <v>christine smith</v>
      </c>
      <c r="O307" s="7">
        <f t="shared" si="5"/>
        <v>1</v>
      </c>
      <c r="P307" s="8" t="str">
        <f t="shared" si="6"/>
        <v>No</v>
      </c>
    </row>
    <row r="308">
      <c r="A308" s="4" t="s">
        <v>16</v>
      </c>
      <c r="B308" s="4" t="s">
        <v>899</v>
      </c>
      <c r="C308" s="9">
        <v>45019.0</v>
      </c>
      <c r="D308" s="10">
        <v>45031.0</v>
      </c>
      <c r="E308" s="4" t="s">
        <v>900</v>
      </c>
      <c r="F308" s="4" t="s">
        <v>901</v>
      </c>
      <c r="G308" s="6" t="str">
        <f>IFERROR(__xludf.DUMMYFUNCTION("REGEXREPLACE(LOWER(F308),""[^a-z\s]"","""")"),"easy to use website food arrived on time")</f>
        <v>easy to use website food arrived on time</v>
      </c>
      <c r="H308" s="4" t="str">
        <f t="shared" si="1"/>
        <v>easy use website food arrived on time</v>
      </c>
      <c r="I308" s="6">
        <f t="shared" si="2"/>
        <v>7</v>
      </c>
      <c r="J308" s="6">
        <f>IFERROR(__xludf.DUMMYFUNCTION("IF(H308="""","""",
SUM(
ARRAYFORMULA(
IF(
REGEXMATCH(
"" ""&amp;H308&amp;"" "",
"" ""&amp;Sentiment_Words!A$2:A3730&amp;"" ""
),
1,
0
)
)
)
)"),2.0)</f>
        <v>2</v>
      </c>
      <c r="K308" s="4">
        <f>IFERROR(__xludf.DUMMYFUNCTION("IF(H308="""","""",
SUM(
ARRAYFORMULA(
IF(
REGEXMATCH(
"" ""&amp;H308&amp;"" "",
"" ""&amp;Sentiment_Words!B$2:B3730&amp;"" ""
),
1,
0
)
)
)
)"),0.0)</f>
        <v>0</v>
      </c>
      <c r="L308" s="7" t="str">
        <f t="shared" si="3"/>
        <v>Account &amp; Website</v>
      </c>
      <c r="M308" s="7" t="str">
        <f t="shared" si="4"/>
        <v>Positive</v>
      </c>
      <c r="N308" s="7" t="str">
        <f>IFERROR(__xludf.DUMMYFUNCTION("LOWER(
TRIM(
REGEXREPLACE(B308,""[^a-zA-Z\s]"","""")
)
)
"),"rachel")</f>
        <v>rachel</v>
      </c>
      <c r="O308" s="7">
        <f t="shared" si="5"/>
        <v>3</v>
      </c>
      <c r="P308" s="8" t="str">
        <f t="shared" si="6"/>
        <v>Yes</v>
      </c>
    </row>
    <row r="309">
      <c r="A309" s="4" t="s">
        <v>16</v>
      </c>
      <c r="B309" s="4" t="s">
        <v>902</v>
      </c>
      <c r="C309" s="9">
        <v>45019.0</v>
      </c>
      <c r="D309" s="10">
        <v>45031.0</v>
      </c>
      <c r="E309" s="4" t="s">
        <v>903</v>
      </c>
      <c r="F309" s="4" t="s">
        <v>904</v>
      </c>
      <c r="G309" s="6" t="str">
        <f>IFERROR(__xludf.DUMMYFUNCTION("REGEXREPLACE(LOWER(F309),""[^a-z\s]"","""")"),"you offer fast shipping to my fussy cat who only eats three things i appreciate your quick turnaround time")</f>
        <v>you offer fast shipping to my fussy cat who only eats three things i appreciate your quick turnaround time</v>
      </c>
      <c r="H309" s="4" t="str">
        <f t="shared" si="1"/>
        <v>you offer fast shipping my fussy cat who only eats three things i appreciate your quick turnaround time</v>
      </c>
      <c r="I309" s="6">
        <f t="shared" si="2"/>
        <v>18</v>
      </c>
      <c r="J309" s="6">
        <f>IFERROR(__xludf.DUMMYFUNCTION("IF(H309="""","""",
SUM(
ARRAYFORMULA(
IF(
REGEXMATCH(
"" ""&amp;H309&amp;"" "",
"" ""&amp;Sentiment_Words!A$2:A3730&amp;"" ""
),
1,
0
)
)
)
)"),1.0)</f>
        <v>1</v>
      </c>
      <c r="K309" s="4">
        <f>IFERROR(__xludf.DUMMYFUNCTION("IF(H309="""","""",
SUM(
ARRAYFORMULA(
IF(
REGEXMATCH(
"" ""&amp;H309&amp;"" "",
"" ""&amp;Sentiment_Words!B$2:B3730&amp;"" ""
),
1,
0
)
)
)
)"),0.0)</f>
        <v>0</v>
      </c>
      <c r="L309" s="7" t="str">
        <f t="shared" si="3"/>
        <v>Other</v>
      </c>
      <c r="M309" s="7" t="str">
        <f t="shared" si="4"/>
        <v>Positive</v>
      </c>
      <c r="N309" s="7" t="str">
        <f>IFERROR(__xludf.DUMMYFUNCTION("LOWER(
TRIM(
REGEXREPLACE(B309,""[^a-zA-Z\s]"","""")
)
)
"),"gina")</f>
        <v>gina</v>
      </c>
      <c r="O309" s="7">
        <f t="shared" si="5"/>
        <v>2</v>
      </c>
      <c r="P309" s="8" t="str">
        <f t="shared" si="6"/>
        <v>Yes</v>
      </c>
    </row>
    <row r="310">
      <c r="A310" s="4" t="s">
        <v>16</v>
      </c>
      <c r="B310" s="4" t="s">
        <v>905</v>
      </c>
      <c r="C310" s="9">
        <v>45019.0</v>
      </c>
      <c r="D310" s="10">
        <v>45031.0</v>
      </c>
      <c r="E310" s="4" t="s">
        <v>906</v>
      </c>
      <c r="F310" s="4" t="s">
        <v>907</v>
      </c>
      <c r="G310" s="6" t="str">
        <f>IFERROR(__xludf.DUMMYFUNCTION("REGEXREPLACE(LOWER(F310),""[^a-z\s]"","""")"),"the delivery was delayed i was expecting it friday and it got pushed until monday this was my first time ordering so ill be wary if i order again and be mindful of the delays not sure if this is the experience those on auto ship have")</f>
        <v>the delivery was delayed i was expecting it friday and it got pushed until monday this was my first time ordering so ill be wary if i order again and be mindful of the delays not sure if this is the experience those on auto ship have</v>
      </c>
      <c r="H310" s="4" t="str">
        <f t="shared" si="1"/>
        <v>delivery was delayed i was expecting it friday it got pushed until monday this was my first time ordering so ill be wary if i order again be mindful of delays not sure if this experience those on auto ship have</v>
      </c>
      <c r="I310" s="6">
        <f t="shared" si="2"/>
        <v>41</v>
      </c>
      <c r="J310" s="6">
        <f>IFERROR(__xludf.DUMMYFUNCTION("IF(H310="""","""",
SUM(
ARRAYFORMULA(
IF(
REGEXMATCH(
"" ""&amp;H310&amp;"" "",
"" ""&amp;Sentiment_Words!A$2:A3730&amp;"" ""
),
1,
0
)
)
)
)"),1.0)</f>
        <v>1</v>
      </c>
      <c r="K310" s="4">
        <f>IFERROR(__xludf.DUMMYFUNCTION("IF(H310="""","""",
SUM(
ARRAYFORMULA(
IF(
REGEXMATCH(
"" ""&amp;H310&amp;"" "",
"" ""&amp;Sentiment_Words!B$2:B3730&amp;"" ""
),
1,
0
)
)
)
)"),1.0)</f>
        <v>1</v>
      </c>
      <c r="L310" s="7" t="str">
        <f t="shared" si="3"/>
        <v>Fulfillment &amp; Shipping</v>
      </c>
      <c r="M310" s="7" t="str">
        <f t="shared" si="4"/>
        <v>Neutral</v>
      </c>
      <c r="N310" s="7" t="str">
        <f>IFERROR(__xludf.DUMMYFUNCTION("LOWER(
TRIM(
REGEXREPLACE(B310,""[^a-zA-Z\s]"","""")
)
)
"),"mayra")</f>
        <v>mayra</v>
      </c>
      <c r="O310" s="7">
        <f t="shared" si="5"/>
        <v>1</v>
      </c>
      <c r="P310" s="8" t="str">
        <f t="shared" si="6"/>
        <v>No</v>
      </c>
    </row>
    <row r="311">
      <c r="A311" s="4" t="s">
        <v>16</v>
      </c>
      <c r="B311" s="4" t="s">
        <v>908</v>
      </c>
      <c r="C311" s="9">
        <v>45018.0</v>
      </c>
      <c r="D311" s="10">
        <v>45031.0</v>
      </c>
      <c r="E311" s="4" t="s">
        <v>909</v>
      </c>
      <c r="F311" s="4" t="s">
        <v>910</v>
      </c>
      <c r="G311" s="6" t="str">
        <f>IFERROR(__xludf.DUMMYFUNCTION("REGEXREPLACE(LOWER(F311),""[^a-z\s]"","""")"),"excellent telephone info and easy to buyreceive what our pets needed qualityprice were best i could find also")</f>
        <v>excellent telephone info and easy to buyreceive what our pets needed qualityprice were best i could find also</v>
      </c>
      <c r="H311" s="4" t="str">
        <f t="shared" si="1"/>
        <v>excellent telephone info easy buyreceive what our pets needed qualityprice were best i could find also</v>
      </c>
      <c r="I311" s="6">
        <f t="shared" si="2"/>
        <v>16</v>
      </c>
      <c r="J311" s="6">
        <f>IFERROR(__xludf.DUMMYFUNCTION("IF(H311="""","""",
SUM(
ARRAYFORMULA(
IF(
REGEXMATCH(
"" ""&amp;H311&amp;"" "",
"" ""&amp;Sentiment_Words!A$2:A3730&amp;"" ""
),
1,
0
)
)
)
)"),1.0)</f>
        <v>1</v>
      </c>
      <c r="K311" s="4">
        <f>IFERROR(__xludf.DUMMYFUNCTION("IF(H311="""","""",
SUM(
ARRAYFORMULA(
IF(
REGEXMATCH(
"" ""&amp;H311&amp;"" "",
"" ""&amp;Sentiment_Words!B$2:B3730&amp;"" ""
),
1,
0
)
)
)
)"),0.0)</f>
        <v>0</v>
      </c>
      <c r="L311" s="7" t="str">
        <f t="shared" si="3"/>
        <v>Other</v>
      </c>
      <c r="M311" s="7" t="str">
        <f t="shared" si="4"/>
        <v>Positive</v>
      </c>
      <c r="N311" s="7" t="str">
        <f>IFERROR(__xludf.DUMMYFUNCTION("LOWER(
TRIM(
REGEXREPLACE(B311,""[^a-zA-Z\s]"","""")
)
)
"),"lisa hall")</f>
        <v>lisa hall</v>
      </c>
      <c r="O311" s="7">
        <f t="shared" si="5"/>
        <v>1</v>
      </c>
      <c r="P311" s="8" t="str">
        <f t="shared" si="6"/>
        <v>No</v>
      </c>
    </row>
    <row r="312">
      <c r="A312" s="4" t="s">
        <v>16</v>
      </c>
      <c r="B312" s="4" t="s">
        <v>911</v>
      </c>
      <c r="C312" s="9">
        <v>45018.0</v>
      </c>
      <c r="D312" s="10">
        <v>45030.0</v>
      </c>
      <c r="E312" s="4" t="s">
        <v>912</v>
      </c>
      <c r="F312" s="4" t="s">
        <v>913</v>
      </c>
      <c r="G312" s="6" t="str">
        <f>IFERROR(__xludf.DUMMYFUNCTION("REGEXREPLACE(LOWER(F312),""[^a-z\s]"","""")"),"my dog had dental surgery and i needed more royal canin canned food my usual stores out of stock i discovered petflow online great price and super fast ship my new go to store i recommended to many friends")</f>
        <v>my dog had dental surgery and i needed more royal canin canned food my usual stores out of stock i discovered petflow online great price and super fast ship my new go to store i recommended to many friends</v>
      </c>
      <c r="H312" s="4" t="str">
        <f t="shared" si="1"/>
        <v>my dog had dental surgery i needed more royal canin canned food my usual stores out of stock i discovered petflow online great price super fast ship my new go store i recommended many friends</v>
      </c>
      <c r="I312" s="6">
        <f t="shared" si="2"/>
        <v>35</v>
      </c>
      <c r="J312" s="6">
        <f>IFERROR(__xludf.DUMMYFUNCTION("IF(H312="""","""",
SUM(
ARRAYFORMULA(
IF(
REGEXMATCH(
"" ""&amp;H312&amp;"" "",
"" ""&amp;Sentiment_Words!A$2:A3730&amp;"" ""
),
1,
0
)
)
)
)"),2.0)</f>
        <v>2</v>
      </c>
      <c r="K312" s="4">
        <f>IFERROR(__xludf.DUMMYFUNCTION("IF(H312="""","""",
SUM(
ARRAYFORMULA(
IF(
REGEXMATCH(
"" ""&amp;H312&amp;"" "",
"" ""&amp;Sentiment_Words!B$2:B3730&amp;"" ""
),
1,
0
)
)
)
)"),1.0)</f>
        <v>1</v>
      </c>
      <c r="L312" s="7" t="str">
        <f t="shared" si="3"/>
        <v>Availability</v>
      </c>
      <c r="M312" s="7" t="str">
        <f t="shared" si="4"/>
        <v>Positive</v>
      </c>
      <c r="N312" s="7" t="str">
        <f>IFERROR(__xludf.DUMMYFUNCTION("LOWER(
TRIM(
REGEXREPLACE(B312,""[^a-zA-Z\s]"","""")
)
)
"),"donna s")</f>
        <v>donna s</v>
      </c>
      <c r="O312" s="7">
        <f t="shared" si="5"/>
        <v>2</v>
      </c>
      <c r="P312" s="8" t="str">
        <f t="shared" si="6"/>
        <v>Yes</v>
      </c>
    </row>
    <row r="313">
      <c r="A313" s="4" t="s">
        <v>16</v>
      </c>
      <c r="B313" s="4" t="s">
        <v>914</v>
      </c>
      <c r="C313" s="9">
        <v>45018.0</v>
      </c>
      <c r="D313" s="10">
        <v>45030.0</v>
      </c>
      <c r="E313" s="4" t="s">
        <v>915</v>
      </c>
      <c r="F313" s="4" t="s">
        <v>916</v>
      </c>
      <c r="G313" s="6" t="str">
        <f>IFERROR(__xludf.DUMMYFUNCTION("REGEXREPLACE(LOWER(F313),""[^a-z\s]"","""")"),"easy to order on line quick delivery and when i called customer service they were exceptional")</f>
        <v>easy to order on line quick delivery and when i called customer service they were exceptional</v>
      </c>
      <c r="H313" s="4" t="str">
        <f t="shared" si="1"/>
        <v>easy order on line quick delivery when i called customer service they were exceptional</v>
      </c>
      <c r="I313" s="6">
        <f t="shared" si="2"/>
        <v>14</v>
      </c>
      <c r="J313" s="6">
        <f>IFERROR(__xludf.DUMMYFUNCTION("IF(H313="""","""",
SUM(
ARRAYFORMULA(
IF(
REGEXMATCH(
"" ""&amp;H313&amp;"" "",
"" ""&amp;Sentiment_Words!A$2:A3730&amp;"" ""
),
1,
0
)
)
)
)"),2.0)</f>
        <v>2</v>
      </c>
      <c r="K313" s="4">
        <f>IFERROR(__xludf.DUMMYFUNCTION("IF(H313="""","""",
SUM(
ARRAYFORMULA(
IF(
REGEXMATCH(
"" ""&amp;H313&amp;"" "",
"" ""&amp;Sentiment_Words!B$2:B3730&amp;"" ""
),
1,
0
)
)
)
)"),1.0)</f>
        <v>1</v>
      </c>
      <c r="L313" s="7" t="str">
        <f t="shared" si="3"/>
        <v>Customer Support</v>
      </c>
      <c r="M313" s="7" t="str">
        <f t="shared" si="4"/>
        <v>Positive</v>
      </c>
      <c r="N313" s="7" t="str">
        <f>IFERROR(__xludf.DUMMYFUNCTION("LOWER(
TRIM(
REGEXREPLACE(B313,""[^a-zA-Z\s]"","""")
)
)
"),"peter di")</f>
        <v>peter di</v>
      </c>
      <c r="O313" s="7">
        <f t="shared" si="5"/>
        <v>1</v>
      </c>
      <c r="P313" s="8" t="str">
        <f t="shared" si="6"/>
        <v>No</v>
      </c>
    </row>
    <row r="314">
      <c r="A314" s="4" t="s">
        <v>16</v>
      </c>
      <c r="B314" s="4" t="s">
        <v>917</v>
      </c>
      <c r="C314" s="9">
        <v>45018.0</v>
      </c>
      <c r="D314" s="10">
        <v>45030.0</v>
      </c>
      <c r="E314" s="4" t="s">
        <v>918</v>
      </c>
      <c r="F314" s="4" t="s">
        <v>919</v>
      </c>
      <c r="G314" s="6" t="str">
        <f>IFERROR(__xludf.DUMMYFUNCTION("REGEXREPLACE(LOWER(F314),""[^a-z\s]"","""")"),"only place i can get the smallbreed dog food i need fairly fast shipping very helpful customer service")</f>
        <v>only place i can get the smallbreed dog food i need fairly fast shipping very helpful customer service</v>
      </c>
      <c r="H314" s="4" t="str">
        <f t="shared" si="1"/>
        <v>only place i can get smallbreed dog food i need fairly fast shipping very helpful customer service</v>
      </c>
      <c r="I314" s="6">
        <f t="shared" si="2"/>
        <v>17</v>
      </c>
      <c r="J314" s="6">
        <f>IFERROR(__xludf.DUMMYFUNCTION("IF(H314="""","""",
SUM(
ARRAYFORMULA(
IF(
REGEXMATCH(
"" ""&amp;H314&amp;"" "",
"" ""&amp;Sentiment_Words!A$2:A3730&amp;"" ""
),
1,
0
)
)
)
)"),2.0)</f>
        <v>2</v>
      </c>
      <c r="K314" s="4">
        <f>IFERROR(__xludf.DUMMYFUNCTION("IF(H314="""","""",
SUM(
ARRAYFORMULA(
IF(
REGEXMATCH(
"" ""&amp;H314&amp;"" "",
"" ""&amp;Sentiment_Words!B$2:B3730&amp;"" ""
),
1,
0
)
)
)
)"),1.0)</f>
        <v>1</v>
      </c>
      <c r="L314" s="7" t="str">
        <f t="shared" si="3"/>
        <v>Customer Support</v>
      </c>
      <c r="M314" s="7" t="str">
        <f t="shared" si="4"/>
        <v>Positive</v>
      </c>
      <c r="N314" s="7" t="str">
        <f>IFERROR(__xludf.DUMMYFUNCTION("LOWER(
TRIM(
REGEXREPLACE(B314,""[^a-zA-Z\s]"","""")
)
)
"),"frank kendrick")</f>
        <v>frank kendrick</v>
      </c>
      <c r="O314" s="7">
        <f t="shared" si="5"/>
        <v>1</v>
      </c>
      <c r="P314" s="8" t="str">
        <f t="shared" si="6"/>
        <v>No</v>
      </c>
    </row>
    <row r="315">
      <c r="A315" s="4" t="s">
        <v>16</v>
      </c>
      <c r="B315" s="4" t="s">
        <v>920</v>
      </c>
      <c r="C315" s="9">
        <v>45021.0</v>
      </c>
      <c r="D315" s="10">
        <v>45030.0</v>
      </c>
      <c r="E315" s="4" t="s">
        <v>921</v>
      </c>
      <c r="F315" s="4" t="s">
        <v>922</v>
      </c>
      <c r="G315" s="6" t="str">
        <f>IFERROR(__xludf.DUMMYFUNCTION("REGEXREPLACE(LOWER(F315),""[^a-z\s]"","""")"),"petflow has lost me has a customer weve been ordering on a consistent basis since july  so just shy of  years this final straw has been the last two months when we decided to order all our food for the month in one large order and we have been told we are"&amp;" fraudulent then petflow tries to blame our credit card getting declined when i call our bank they say no charges have come through to be declined this month i have been calling petflow every day and dealing with this for  days trying to get food for our "&amp;"family i have spoken with two supervisors been told i need to wait  hours here or  hour there but each day i am still fraudulent for trying to place a large order for my family all i am doing is instead of ordering small quantities every  days like i use "&amp;"to i want to order one large order once a month to make my life easier but apparently that makes a customer of  years a fraud im done i will take my money and order from a company who makes my life simpler and less insulting")</f>
        <v>petflow has lost me has a customer weve been ordering on a consistent basis since july  so just shy of  years this final straw has been the last two months when we decided to order all our food for the month in one large order and we have been told we are fraudulent then petflow tries to blame our credit card getting declined when i call our bank they say no charges have come through to be declined this month i have been calling petflow every day and dealing with this for  days trying to get food for our family i have spoken with two supervisors been told i need to wait  hours here or  hour there but each day i am still fraudulent for trying to place a large order for my family all i am doing is instead of ordering small quantities every  days like i use to i want to order one large order once a month to make my life easier but apparently that makes a customer of  years a fraud im done i will take my money and order from a company who makes my life simpler and less insulting</v>
      </c>
      <c r="H315" s="4" t="str">
        <f t="shared" si="1"/>
        <v>petflow has lost me has a customer weve been ordering on a consistent basis since july so just shy of years this final straw has been last two months when we decided order all our food month in one large order we have been told we are fraudulent then petflow tries blame our credit card getting declined when i call our bank they say no charges have come through be declined this month i have been calling petflow every day dealing with this days trying get food our family i have spoken with two supervisors been told i need wait hours here or hour there but each day i am still fraudulent trying place a large order my family all i am doing instead of ordering small quantities every days like i use i want order one large order once a month make my life easier but apparently that makes a customer of years a fraud im done i will take my money order from a company who makes my life simpler less insulting</v>
      </c>
      <c r="I315" s="6">
        <f t="shared" si="2"/>
        <v>174</v>
      </c>
      <c r="J315" s="6">
        <f>IFERROR(__xludf.DUMMYFUNCTION("IF(H315="""","""",
SUM(
ARRAYFORMULA(
IF(
REGEXMATCH(
"" ""&amp;H315&amp;"" "",
"" ""&amp;Sentiment_Words!A$2:A3730&amp;"" ""
),
1,
0
)
)
)
)"),0.0)</f>
        <v>0</v>
      </c>
      <c r="K315" s="4">
        <f>IFERROR(__xludf.DUMMYFUNCTION("IF(H315="""","""",
SUM(
ARRAYFORMULA(
IF(
REGEXMATCH(
"" ""&amp;H315&amp;"" "",
"" ""&amp;Sentiment_Words!B$2:B3730&amp;"" ""
),
1,
0
)
)
)
)"),0.0)</f>
        <v>0</v>
      </c>
      <c r="L315" s="7" t="str">
        <f t="shared" si="3"/>
        <v>Other</v>
      </c>
      <c r="M315" s="7" t="str">
        <f t="shared" si="4"/>
        <v>Neutral</v>
      </c>
      <c r="N315" s="7" t="str">
        <f>IFERROR(__xludf.DUMMYFUNCTION("LOWER(
TRIM(
REGEXREPLACE(B315,""[^a-zA-Z\s]"","""")
)
)
"),"christina clark")</f>
        <v>christina clark</v>
      </c>
      <c r="O315" s="7">
        <f t="shared" si="5"/>
        <v>1</v>
      </c>
      <c r="P315" s="8" t="str">
        <f t="shared" si="6"/>
        <v>No</v>
      </c>
    </row>
    <row r="316">
      <c r="A316" s="4" t="s">
        <v>16</v>
      </c>
      <c r="B316" s="4" t="s">
        <v>923</v>
      </c>
      <c r="C316" s="9">
        <v>45017.0</v>
      </c>
      <c r="D316" s="10">
        <v>45029.0</v>
      </c>
      <c r="E316" s="4" t="s">
        <v>924</v>
      </c>
      <c r="F316" s="4" t="s">
        <v>925</v>
      </c>
      <c r="G316" s="6" t="str">
        <f>IFERROR(__xludf.DUMMYFUNCTION("REGEXREPLACE(LOWER(F316),""[^a-z\s]"","""")"),"ive been ordering from for my chihuahua since he was a puppy hes now two years old everything is so quick and prompt the best company ive ever dealt with when it comes to my dogs thank you")</f>
        <v>ive been ordering from for my chihuahua since he was a puppy hes now two years old everything is so quick and prompt the best company ive ever dealt with when it comes to my dogs thank you</v>
      </c>
      <c r="H316" s="4" t="str">
        <f t="shared" si="1"/>
        <v>ive been ordering from my chihuahua since he was a puppy hes now two years old everything so quick prompt best company ive ever dealt with when it comes my dogs thank you</v>
      </c>
      <c r="I316" s="6">
        <f t="shared" si="2"/>
        <v>33</v>
      </c>
      <c r="J316" s="6">
        <f>IFERROR(__xludf.DUMMYFUNCTION("IF(H316="""","""",
SUM(
ARRAYFORMULA(
IF(
REGEXMATCH(
"" ""&amp;H316&amp;"" "",
"" ""&amp;Sentiment_Words!A$2:A3730&amp;"" ""
),
1,
0
)
)
)
)"),1.0)</f>
        <v>1</v>
      </c>
      <c r="K316" s="4">
        <f>IFERROR(__xludf.DUMMYFUNCTION("IF(H316="""","""",
SUM(
ARRAYFORMULA(
IF(
REGEXMATCH(
"" ""&amp;H316&amp;"" "",
"" ""&amp;Sentiment_Words!B$2:B3730&amp;"" ""
),
1,
0
)
)
)
)"),0.0)</f>
        <v>0</v>
      </c>
      <c r="L316" s="7" t="str">
        <f t="shared" si="3"/>
        <v>Other</v>
      </c>
      <c r="M316" s="7" t="str">
        <f t="shared" si="4"/>
        <v>Positive</v>
      </c>
      <c r="N316" s="7" t="str">
        <f>IFERROR(__xludf.DUMMYFUNCTION("LOWER(
TRIM(
REGEXREPLACE(B316,""[^a-zA-Z\s]"","""")
)
)
"),"vickie hancock")</f>
        <v>vickie hancock</v>
      </c>
      <c r="O316" s="7">
        <f t="shared" si="5"/>
        <v>1</v>
      </c>
      <c r="P316" s="8" t="str">
        <f t="shared" si="6"/>
        <v>No</v>
      </c>
    </row>
    <row r="317">
      <c r="A317" s="4" t="s">
        <v>16</v>
      </c>
      <c r="B317" s="4" t="s">
        <v>926</v>
      </c>
      <c r="C317" s="9">
        <v>45017.0</v>
      </c>
      <c r="D317" s="10">
        <v>45029.0</v>
      </c>
      <c r="E317" s="4" t="s">
        <v>927</v>
      </c>
      <c r="F317" s="4" t="s">
        <v>928</v>
      </c>
      <c r="G317" s="6" t="str">
        <f>IFERROR(__xludf.DUMMYFUNCTION("REGEXREPLACE(LOWER(F317),""[^a-z\s]"","""")"),"amazing company that im glad i found your prices are great and your customer service is super friendly and helpful")</f>
        <v>amazing company that im glad i found your prices are great and your customer service is super friendly and helpful</v>
      </c>
      <c r="H317" s="4" t="str">
        <f t="shared" si="1"/>
        <v>amazing company that im glad i found your prices are great your customer service super friendly helpful</v>
      </c>
      <c r="I317" s="6">
        <f t="shared" si="2"/>
        <v>17</v>
      </c>
      <c r="J317" s="6">
        <f>IFERROR(__xludf.DUMMYFUNCTION("IF(H317="""","""",
SUM(
ARRAYFORMULA(
IF(
REGEXMATCH(
"" ""&amp;H317&amp;"" "",
"" ""&amp;Sentiment_Words!A$2:A3730&amp;"" ""
),
1,
0
)
)
)
)"),3.0)</f>
        <v>3</v>
      </c>
      <c r="K317" s="4">
        <f>IFERROR(__xludf.DUMMYFUNCTION("IF(H317="""","""",
SUM(
ARRAYFORMULA(
IF(
REGEXMATCH(
"" ""&amp;H317&amp;"" "",
"" ""&amp;Sentiment_Words!B$2:B3730&amp;"" ""
),
1,
0
)
)
)
)"),1.0)</f>
        <v>1</v>
      </c>
      <c r="L317" s="7" t="str">
        <f t="shared" si="3"/>
        <v>Customer Support</v>
      </c>
      <c r="M317" s="7" t="str">
        <f t="shared" si="4"/>
        <v>Positive</v>
      </c>
      <c r="N317" s="7" t="str">
        <f>IFERROR(__xludf.DUMMYFUNCTION("LOWER(
TRIM(
REGEXREPLACE(B317,""[^a-zA-Z\s]"","""")
)
)
"),"mike seiss")</f>
        <v>mike seiss</v>
      </c>
      <c r="O317" s="7">
        <f t="shared" si="5"/>
        <v>1</v>
      </c>
      <c r="P317" s="8" t="str">
        <f t="shared" si="6"/>
        <v>No</v>
      </c>
    </row>
    <row r="318">
      <c r="A318" s="4" t="s">
        <v>16</v>
      </c>
      <c r="B318" s="4" t="s">
        <v>929</v>
      </c>
      <c r="C318" s="9">
        <v>45017.0</v>
      </c>
      <c r="D318" s="10">
        <v>45029.0</v>
      </c>
      <c r="E318" s="4" t="s">
        <v>930</v>
      </c>
      <c r="F318" s="4" t="s">
        <v>931</v>
      </c>
      <c r="G318" s="6" t="str">
        <f>IFERROR(__xludf.DUMMYFUNCTION("REGEXREPLACE(LOWER(F318),""[^a-z\s]"","""")"),"petflow had the best overall price with shipping i could find anywhere on the items i needed shipping took a few days but only one company offers next day delivery and their goods prices are increasing")</f>
        <v>petflow had the best overall price with shipping i could find anywhere on the items i needed shipping took a few days but only one company offers next day delivery and their goods prices are increasing</v>
      </c>
      <c r="H318" s="4" t="str">
        <f t="shared" si="1"/>
        <v>petflow had best overall price with shipping i could find anywhere on items i needed shipping took a few days but only one company offers next day delivery their goods prices are increasing</v>
      </c>
      <c r="I318" s="6">
        <f t="shared" si="2"/>
        <v>33</v>
      </c>
      <c r="J318" s="6">
        <f>IFERROR(__xludf.DUMMYFUNCTION("IF(H318="""","""",
SUM(
ARRAYFORMULA(
IF(
REGEXMATCH(
"" ""&amp;H318&amp;"" "",
"" ""&amp;Sentiment_Words!A$2:A3730&amp;"" ""
),
1,
0
)
)
)
)"),0.0)</f>
        <v>0</v>
      </c>
      <c r="K318" s="4">
        <f>IFERROR(__xludf.DUMMYFUNCTION("IF(H318="""","""",
SUM(
ARRAYFORMULA(
IF(
REGEXMATCH(
"" ""&amp;H318&amp;"" "",
"" ""&amp;Sentiment_Words!B$2:B3730&amp;"" ""
),
1,
0
)
)
)
)"),0.0)</f>
        <v>0</v>
      </c>
      <c r="L318" s="7" t="str">
        <f t="shared" si="3"/>
        <v>Other</v>
      </c>
      <c r="M318" s="7" t="str">
        <f t="shared" si="4"/>
        <v>Neutral</v>
      </c>
      <c r="N318" s="7" t="str">
        <f>IFERROR(__xludf.DUMMYFUNCTION("LOWER(
TRIM(
REGEXREPLACE(B318,""[^a-zA-Z\s]"","""")
)
)
"),"deana woodruff")</f>
        <v>deana woodruff</v>
      </c>
      <c r="O318" s="7">
        <f t="shared" si="5"/>
        <v>1</v>
      </c>
      <c r="P318" s="8" t="str">
        <f t="shared" si="6"/>
        <v>No</v>
      </c>
    </row>
    <row r="319">
      <c r="A319" s="4" t="s">
        <v>16</v>
      </c>
      <c r="B319" s="4" t="s">
        <v>932</v>
      </c>
      <c r="C319" s="9">
        <v>45017.0</v>
      </c>
      <c r="D319" s="10">
        <v>45029.0</v>
      </c>
      <c r="E319" s="4" t="s">
        <v>933</v>
      </c>
      <c r="F319" s="4" t="s">
        <v>934</v>
      </c>
      <c r="G319" s="6" t="str">
        <f>IFERROR(__xludf.DUMMYFUNCTION("REGEXREPLACE(LOWER(F319),""[^a-z\s]"","""")"),"no problems fast shipping")</f>
        <v>no problems fast shipping</v>
      </c>
      <c r="H319" s="4" t="str">
        <f t="shared" si="1"/>
        <v>no problems fast shipping</v>
      </c>
      <c r="I319" s="6">
        <f t="shared" si="2"/>
        <v>4</v>
      </c>
      <c r="J319" s="6">
        <f>IFERROR(__xludf.DUMMYFUNCTION("IF(H319="""","""",
SUM(
ARRAYFORMULA(
IF(
REGEXMATCH(
"" ""&amp;H319&amp;"" "",
"" ""&amp;Sentiment_Words!A$2:A3730&amp;"" ""
),
1,
0
)
)
)
)"),2.0)</f>
        <v>2</v>
      </c>
      <c r="K319" s="4">
        <f>IFERROR(__xludf.DUMMYFUNCTION("IF(H319="""","""",
SUM(
ARRAYFORMULA(
IF(
REGEXMATCH(
"" ""&amp;H319&amp;"" "",
"" ""&amp;Sentiment_Words!B$2:B3730&amp;"" ""
),
1,
0
)
)
)
)"),0.0)</f>
        <v>0</v>
      </c>
      <c r="L319" s="7" t="str">
        <f t="shared" si="3"/>
        <v>Other</v>
      </c>
      <c r="M319" s="7" t="str">
        <f t="shared" si="4"/>
        <v>Positive</v>
      </c>
      <c r="N319" s="7" t="str">
        <f>IFERROR(__xludf.DUMMYFUNCTION("LOWER(
TRIM(
REGEXREPLACE(B319,""[^a-zA-Z\s]"","""")
)
)
"),"marktrimarc")</f>
        <v>marktrimarc</v>
      </c>
      <c r="O319" s="7">
        <f t="shared" si="5"/>
        <v>1</v>
      </c>
      <c r="P319" s="8" t="str">
        <f t="shared" si="6"/>
        <v>No</v>
      </c>
    </row>
    <row r="320">
      <c r="A320" s="4" t="s">
        <v>16</v>
      </c>
      <c r="B320" s="4" t="s">
        <v>935</v>
      </c>
      <c r="C320" s="9">
        <v>45017.0</v>
      </c>
      <c r="D320" s="10">
        <v>45029.0</v>
      </c>
      <c r="E320" s="4" t="s">
        <v>936</v>
      </c>
      <c r="F320" s="4" t="s">
        <v>331</v>
      </c>
      <c r="G320" s="6" t="str">
        <f>IFERROR(__xludf.DUMMYFUNCTION("REGEXREPLACE(LOWER(F320),""[^a-z\s]"","""")"),"none")</f>
        <v>none</v>
      </c>
      <c r="H320" s="4" t="str">
        <f t="shared" si="1"/>
        <v>none</v>
      </c>
      <c r="I320" s="6">
        <f t="shared" si="2"/>
        <v>1</v>
      </c>
      <c r="J320" s="6">
        <f>IFERROR(__xludf.DUMMYFUNCTION("IF(H320="""","""",
SUM(
ARRAYFORMULA(
IF(
REGEXMATCH(
"" ""&amp;H320&amp;"" "",
"" ""&amp;Sentiment_Words!A$2:A3730&amp;"" ""
),
1,
0
)
)
)
)"),0.0)</f>
        <v>0</v>
      </c>
      <c r="K320" s="4">
        <f>IFERROR(__xludf.DUMMYFUNCTION("IF(H320="""","""",
SUM(
ARRAYFORMULA(
IF(
REGEXMATCH(
"" ""&amp;H320&amp;"" "",
"" ""&amp;Sentiment_Words!B$2:B3730&amp;"" ""
),
1,
0
)
)
)
)"),0.0)</f>
        <v>0</v>
      </c>
      <c r="L320" s="7" t="str">
        <f t="shared" si="3"/>
        <v>Other</v>
      </c>
      <c r="M320" s="7" t="str">
        <f t="shared" si="4"/>
        <v>Neutral</v>
      </c>
      <c r="N320" s="7" t="str">
        <f>IFERROR(__xludf.DUMMYFUNCTION("LOWER(
TRIM(
REGEXREPLACE(B320,""[^a-zA-Z\s]"","""")
)
)
"),"chris w")</f>
        <v>chris w</v>
      </c>
      <c r="O320" s="7">
        <f t="shared" si="5"/>
        <v>1</v>
      </c>
      <c r="P320" s="8" t="str">
        <f t="shared" si="6"/>
        <v>No</v>
      </c>
    </row>
    <row r="321">
      <c r="A321" s="4" t="s">
        <v>16</v>
      </c>
      <c r="B321" s="4" t="s">
        <v>937</v>
      </c>
      <c r="C321" s="5">
        <v>45014.0</v>
      </c>
      <c r="D321" s="10">
        <v>45029.0</v>
      </c>
      <c r="E321" s="4" t="s">
        <v>938</v>
      </c>
      <c r="F321" s="4" t="s">
        <v>331</v>
      </c>
      <c r="G321" s="6" t="str">
        <f>IFERROR(__xludf.DUMMYFUNCTION("REGEXREPLACE(LOWER(F321),""[^a-z\s]"","""")"),"none")</f>
        <v>none</v>
      </c>
      <c r="H321" s="4" t="str">
        <f t="shared" si="1"/>
        <v>none</v>
      </c>
      <c r="I321" s="6">
        <f t="shared" si="2"/>
        <v>1</v>
      </c>
      <c r="J321" s="6">
        <f>IFERROR(__xludf.DUMMYFUNCTION("IF(H321="""","""",
SUM(
ARRAYFORMULA(
IF(
REGEXMATCH(
"" ""&amp;H321&amp;"" "",
"" ""&amp;Sentiment_Words!A$2:A3730&amp;"" ""
),
1,
0
)
)
)
)"),0.0)</f>
        <v>0</v>
      </c>
      <c r="K321" s="4">
        <f>IFERROR(__xludf.DUMMYFUNCTION("IF(H321="""","""",
SUM(
ARRAYFORMULA(
IF(
REGEXMATCH(
"" ""&amp;H321&amp;"" "",
"" ""&amp;Sentiment_Words!B$2:B3730&amp;"" ""
),
1,
0
)
)
)
)"),0.0)</f>
        <v>0</v>
      </c>
      <c r="L321" s="7" t="str">
        <f t="shared" si="3"/>
        <v>Other</v>
      </c>
      <c r="M321" s="7" t="str">
        <f t="shared" si="4"/>
        <v>Neutral</v>
      </c>
      <c r="N321" s="7" t="str">
        <f>IFERROR(__xludf.DUMMYFUNCTION("LOWER(
TRIM(
REGEXREPLACE(B321,""[^a-zA-Z\s]"","""")
)
)
"),"karen armer")</f>
        <v>karen armer</v>
      </c>
      <c r="O321" s="7">
        <f t="shared" si="5"/>
        <v>2</v>
      </c>
      <c r="P321" s="8" t="str">
        <f t="shared" si="6"/>
        <v>Yes</v>
      </c>
    </row>
    <row r="322">
      <c r="A322" s="4" t="s">
        <v>16</v>
      </c>
      <c r="B322" s="4" t="s">
        <v>939</v>
      </c>
      <c r="C322" s="5">
        <v>45016.0</v>
      </c>
      <c r="D322" s="10">
        <v>45028.0</v>
      </c>
      <c r="E322" s="4" t="s">
        <v>940</v>
      </c>
      <c r="F322" s="4" t="s">
        <v>941</v>
      </c>
      <c r="G322" s="6" t="str">
        <f>IFERROR(__xludf.DUMMYFUNCTION("REGEXREPLACE(LOWER(F322),""[^a-z\s]"","""")"),"we never received this order
we have received several emails that say our order was delivered but it has not arrived")</f>
        <v>we never received this order
we have received several emails that say our order was delivered but it has not arrived</v>
      </c>
      <c r="H322" s="4" t="str">
        <f t="shared" si="1"/>
        <v>we never received this order
we have received several emails that say our order was delivered but it has not arrived</v>
      </c>
      <c r="I322" s="6">
        <f t="shared" si="2"/>
        <v>20</v>
      </c>
      <c r="J322" s="6">
        <f>IFERROR(__xludf.DUMMYFUNCTION("IF(H322="""","""",
SUM(
ARRAYFORMULA(
IF(
REGEXMATCH(
"" ""&amp;H322&amp;"" "",
"" ""&amp;Sentiment_Words!A$2:A3730&amp;"" ""
),
1,
0
)
)
)
)"),1.0)</f>
        <v>1</v>
      </c>
      <c r="K322" s="4">
        <f>IFERROR(__xludf.DUMMYFUNCTION("IF(H322="""","""",
SUM(
ARRAYFORMULA(
IF(
REGEXMATCH(
"" ""&amp;H322&amp;"" "",
"" ""&amp;Sentiment_Words!B$2:B3730&amp;"" ""
),
1,
0
)
)
)
)"),0.0)</f>
        <v>0</v>
      </c>
      <c r="L322" s="7" t="str">
        <f t="shared" si="3"/>
        <v>Other</v>
      </c>
      <c r="M322" s="7" t="str">
        <f t="shared" si="4"/>
        <v>Positive</v>
      </c>
      <c r="N322" s="7" t="str">
        <f>IFERROR(__xludf.DUMMYFUNCTION("LOWER(
TRIM(
REGEXREPLACE(B322,""[^a-zA-Z\s]"","""")
)
)
"),"steven s")</f>
        <v>steven s</v>
      </c>
      <c r="O322" s="7">
        <f t="shared" si="5"/>
        <v>1</v>
      </c>
      <c r="P322" s="8" t="str">
        <f t="shared" si="6"/>
        <v>No</v>
      </c>
    </row>
    <row r="323">
      <c r="A323" s="4" t="s">
        <v>16</v>
      </c>
      <c r="B323" s="4" t="s">
        <v>942</v>
      </c>
      <c r="C323" s="5">
        <v>45016.0</v>
      </c>
      <c r="D323" s="10">
        <v>45028.0</v>
      </c>
      <c r="E323" s="4" t="s">
        <v>943</v>
      </c>
      <c r="F323" s="4" t="s">
        <v>944</v>
      </c>
      <c r="G323" s="6" t="str">
        <f>IFERROR(__xludf.DUMMYFUNCTION("REGEXREPLACE(LOWER(F323),""[^a-z\s]"","""")"),"product arrived quickly as i was running low")</f>
        <v>product arrived quickly as i was running low</v>
      </c>
      <c r="H323" s="4" t="str">
        <f t="shared" si="1"/>
        <v>product arrived quickly as i was running low</v>
      </c>
      <c r="I323" s="6">
        <f t="shared" si="2"/>
        <v>8</v>
      </c>
      <c r="J323" s="6">
        <f>IFERROR(__xludf.DUMMYFUNCTION("IF(H323="""","""",
SUM(
ARRAYFORMULA(
IF(
REGEXMATCH(
"" ""&amp;H323&amp;"" "",
"" ""&amp;Sentiment_Words!A$2:A3730&amp;"" ""
),
1,
0
)
)
)
)"),0.0)</f>
        <v>0</v>
      </c>
      <c r="K323" s="4">
        <f>IFERROR(__xludf.DUMMYFUNCTION("IF(H323="""","""",
SUM(
ARRAYFORMULA(
IF(
REGEXMATCH(
"" ""&amp;H323&amp;"" "",
"" ""&amp;Sentiment_Words!B$2:B3730&amp;"" ""
),
1,
0
)
)
)
)"),0.0)</f>
        <v>0</v>
      </c>
      <c r="L323" s="7" t="str">
        <f t="shared" si="3"/>
        <v>Other</v>
      </c>
      <c r="M323" s="7" t="str">
        <f t="shared" si="4"/>
        <v>Neutral</v>
      </c>
      <c r="N323" s="7" t="str">
        <f>IFERROR(__xludf.DUMMYFUNCTION("LOWER(
TRIM(
REGEXREPLACE(B323,""[^a-zA-Z\s]"","""")
)
)
"),"machaca")</f>
        <v>machaca</v>
      </c>
      <c r="O323" s="7">
        <f t="shared" si="5"/>
        <v>1</v>
      </c>
      <c r="P323" s="8" t="str">
        <f t="shared" si="6"/>
        <v>No</v>
      </c>
    </row>
    <row r="324">
      <c r="A324" s="4" t="s">
        <v>16</v>
      </c>
      <c r="B324" s="4" t="s">
        <v>945</v>
      </c>
      <c r="C324" s="5">
        <v>45016.0</v>
      </c>
      <c r="D324" s="10">
        <v>45028.0</v>
      </c>
      <c r="E324" s="4" t="s">
        <v>946</v>
      </c>
      <c r="F324" s="4" t="s">
        <v>947</v>
      </c>
      <c r="G324" s="6" t="str">
        <f>IFERROR(__xludf.DUMMYFUNCTION("REGEXREPLACE(LOWER(F324),""[^a-z\s]"","""")"),"my order for my precious pets arrived promptly and in good condition my dogs have loved the food and treats i have been pleasantly surprised so much that i have made a second order")</f>
        <v>my order for my precious pets arrived promptly and in good condition my dogs have loved the food and treats i have been pleasantly surprised so much that i have made a second order</v>
      </c>
      <c r="H324" s="4" t="str">
        <f t="shared" si="1"/>
        <v>my order my precious pets arrived promptly in good condition my dogs have loved food treats i have been pleasantly surprised so much that i have made a second order</v>
      </c>
      <c r="I324" s="6">
        <f t="shared" si="2"/>
        <v>30</v>
      </c>
      <c r="J324" s="6">
        <f>IFERROR(__xludf.DUMMYFUNCTION("IF(H324="""","""",
SUM(
ARRAYFORMULA(
IF(
REGEXMATCH(
"" ""&amp;H324&amp;"" "",
"" ""&amp;Sentiment_Words!A$2:A3730&amp;"" ""
),
1,
0
)
)
)
)"),1.0)</f>
        <v>1</v>
      </c>
      <c r="K324" s="4">
        <f>IFERROR(__xludf.DUMMYFUNCTION("IF(H324="""","""",
SUM(
ARRAYFORMULA(
IF(
REGEXMATCH(
"" ""&amp;H324&amp;"" "",
"" ""&amp;Sentiment_Words!B$2:B3730&amp;"" ""
),
1,
0
)
)
)
)"),0.0)</f>
        <v>0</v>
      </c>
      <c r="L324" s="7" t="str">
        <f t="shared" si="3"/>
        <v>Other</v>
      </c>
      <c r="M324" s="7" t="str">
        <f t="shared" si="4"/>
        <v>Positive</v>
      </c>
      <c r="N324" s="7" t="str">
        <f>IFERROR(__xludf.DUMMYFUNCTION("LOWER(
TRIM(
REGEXREPLACE(B324,""[^a-zA-Z\s]"","""")
)
)
"),"robin lawson")</f>
        <v>robin lawson</v>
      </c>
      <c r="O324" s="7">
        <f t="shared" si="5"/>
        <v>1</v>
      </c>
      <c r="P324" s="8" t="str">
        <f t="shared" si="6"/>
        <v>No</v>
      </c>
    </row>
    <row r="325">
      <c r="A325" s="4" t="s">
        <v>16</v>
      </c>
      <c r="B325" s="4" t="s">
        <v>948</v>
      </c>
      <c r="C325" s="5">
        <v>45016.0</v>
      </c>
      <c r="D325" s="10">
        <v>45028.0</v>
      </c>
      <c r="E325" s="4" t="s">
        <v>949</v>
      </c>
      <c r="F325" s="4" t="s">
        <v>950</v>
      </c>
      <c r="G325" s="6" t="str">
        <f>IFERROR(__xludf.DUMMYFUNCTION("REGEXREPLACE(LOWER(F325),""[^a-z\s]"","""")"),"i ordered  kong toys and my pitbull just loves them the squeaker is a prolonged one so it really keeps him entertained
i would recommend these to anyone who has a curious pup
as for petflow they have a vast array of items and the experience was a pleasant"&amp;" one and i would recommend doing all you pets shopping here")</f>
        <v>i ordered  kong toys and my pitbull just loves them the squeaker is a prolonged one so it really keeps him entertained
i would recommend these to anyone who has a curious pup
as for petflow they have a vast array of items and the experience was a pleasant one and i would recommend doing all you pets shopping here</v>
      </c>
      <c r="H325" s="4" t="str">
        <f t="shared" si="1"/>
        <v>i ordered kong toys my pitbull just loves them squeaker a prolonged one so it really keeps him entertained
i would recommend these anyone who has a curious pup
as petflow they have a vast array of items experience was a pleasant one i would recommend doing all you pets shopping here</v>
      </c>
      <c r="I325" s="6">
        <f t="shared" si="2"/>
        <v>50</v>
      </c>
      <c r="J325" s="6">
        <f>IFERROR(__xludf.DUMMYFUNCTION("IF(H325="""","""",
SUM(
ARRAYFORMULA(
IF(
REGEXMATCH(
"" ""&amp;H325&amp;"" "",
"" ""&amp;Sentiment_Words!A$2:A3730&amp;"" ""
),
1,
0
)
)
)
)"),0.0)</f>
        <v>0</v>
      </c>
      <c r="K325" s="4">
        <f>IFERROR(__xludf.DUMMYFUNCTION("IF(H325="""","""",
SUM(
ARRAYFORMULA(
IF(
REGEXMATCH(
"" ""&amp;H325&amp;"" "",
"" ""&amp;Sentiment_Words!B$2:B3730&amp;"" ""
),
1,
0
)
)
)
)"),0.0)</f>
        <v>0</v>
      </c>
      <c r="L325" s="7" t="str">
        <f t="shared" si="3"/>
        <v>Other</v>
      </c>
      <c r="M325" s="7" t="str">
        <f t="shared" si="4"/>
        <v>Neutral</v>
      </c>
      <c r="N325" s="7" t="str">
        <f>IFERROR(__xludf.DUMMYFUNCTION("LOWER(
TRIM(
REGEXREPLACE(B325,""[^a-zA-Z\s]"","""")
)
)
"),"lynda claver")</f>
        <v>lynda claver</v>
      </c>
      <c r="O325" s="7">
        <f t="shared" si="5"/>
        <v>1</v>
      </c>
      <c r="P325" s="8" t="str">
        <f t="shared" si="6"/>
        <v>No</v>
      </c>
    </row>
    <row r="326">
      <c r="A326" s="4" t="s">
        <v>16</v>
      </c>
      <c r="B326" s="4" t="s">
        <v>951</v>
      </c>
      <c r="C326" s="5">
        <v>45014.0</v>
      </c>
      <c r="D326" s="10">
        <v>45027.0</v>
      </c>
      <c r="E326" s="4" t="s">
        <v>623</v>
      </c>
      <c r="F326" s="4" t="s">
        <v>952</v>
      </c>
      <c r="G326" s="6" t="str">
        <f>IFERROR(__xludf.DUMMYFUNCTION("REGEXREPLACE(LOWER(F326),""[^a-z\s]"","""")"),"fast delivery and fairpriced excellent service for my chessie thank you")</f>
        <v>fast delivery and fairpriced excellent service for my chessie thank you</v>
      </c>
      <c r="H326" s="4" t="str">
        <f t="shared" si="1"/>
        <v>fast delivery fairpriced excellent service my chessie thank you</v>
      </c>
      <c r="I326" s="6">
        <f t="shared" si="2"/>
        <v>9</v>
      </c>
      <c r="J326" s="6">
        <f>IFERROR(__xludf.DUMMYFUNCTION("IF(H326="""","""",
SUM(
ARRAYFORMULA(
IF(
REGEXMATCH(
"" ""&amp;H326&amp;"" "",
"" ""&amp;Sentiment_Words!A$2:A3730&amp;"" ""
),
1,
0
)
)
)
)"),2.0)</f>
        <v>2</v>
      </c>
      <c r="K326" s="4">
        <f>IFERROR(__xludf.DUMMYFUNCTION("IF(H326="""","""",
SUM(
ARRAYFORMULA(
IF(
REGEXMATCH(
"" ""&amp;H326&amp;"" "",
"" ""&amp;Sentiment_Words!B$2:B3730&amp;"" ""
),
1,
0
)
)
)
)"),0.0)</f>
        <v>0</v>
      </c>
      <c r="L326" s="7" t="str">
        <f t="shared" si="3"/>
        <v>Customer Support</v>
      </c>
      <c r="M326" s="7" t="str">
        <f t="shared" si="4"/>
        <v>Positive</v>
      </c>
      <c r="N326" s="7" t="str">
        <f>IFERROR(__xludf.DUMMYFUNCTION("LOWER(
TRIM(
REGEXREPLACE(B326,""[^a-zA-Z\s]"","""")
)
)
"),"ted wiaterowski")</f>
        <v>ted wiaterowski</v>
      </c>
      <c r="O326" s="7">
        <f t="shared" si="5"/>
        <v>1</v>
      </c>
      <c r="P326" s="8" t="str">
        <f t="shared" si="6"/>
        <v>No</v>
      </c>
    </row>
    <row r="327">
      <c r="A327" s="4" t="s">
        <v>16</v>
      </c>
      <c r="B327" s="4" t="s">
        <v>953</v>
      </c>
      <c r="C327" s="5">
        <v>45015.0</v>
      </c>
      <c r="D327" s="10">
        <v>45027.0</v>
      </c>
      <c r="E327" s="4" t="s">
        <v>954</v>
      </c>
      <c r="F327" s="4" t="s">
        <v>955</v>
      </c>
      <c r="G327" s="6" t="str">
        <f>IFERROR(__xludf.DUMMYFUNCTION("REGEXREPLACE(LOWER(F327),""[^a-z\s]"","""")"),"petflow had all the information from a purchase from some time ago
immediately filled order and sent pet food which arrived in no time
smooth")</f>
        <v>petflow had all the information from a purchase from some time ago
immediately filled order and sent pet food which arrived in no time
smooth</v>
      </c>
      <c r="H327" s="4" t="str">
        <f t="shared" si="1"/>
        <v>petflow had all information from a purchase from some time ago
immediately filled order sent pet food which arrived in no time
smooth</v>
      </c>
      <c r="I327" s="6">
        <f t="shared" si="2"/>
        <v>21</v>
      </c>
      <c r="J327" s="6">
        <f>IFERROR(__xludf.DUMMYFUNCTION("IF(H327="""","""",
SUM(
ARRAYFORMULA(
IF(
REGEXMATCH(
"" ""&amp;H327&amp;"" "",
"" ""&amp;Sentiment_Words!A$2:A3730&amp;"" ""
),
1,
0
)
)
)
)"),0.0)</f>
        <v>0</v>
      </c>
      <c r="K327" s="4">
        <f>IFERROR(__xludf.DUMMYFUNCTION("IF(H327="""","""",
SUM(
ARRAYFORMULA(
IF(
REGEXMATCH(
"" ""&amp;H327&amp;"" "",
"" ""&amp;Sentiment_Words!B$2:B3730&amp;"" ""
),
1,
0
)
)
)
)"),0.0)</f>
        <v>0</v>
      </c>
      <c r="L327" s="7" t="str">
        <f t="shared" si="3"/>
        <v>Other</v>
      </c>
      <c r="M327" s="7" t="str">
        <f t="shared" si="4"/>
        <v>Neutral</v>
      </c>
      <c r="N327" s="7" t="str">
        <f>IFERROR(__xludf.DUMMYFUNCTION("LOWER(
TRIM(
REGEXREPLACE(B327,""[^a-zA-Z\s]"","""")
)
)
"),"tammy wiggins")</f>
        <v>tammy wiggins</v>
      </c>
      <c r="O327" s="7">
        <f t="shared" si="5"/>
        <v>1</v>
      </c>
      <c r="P327" s="8" t="str">
        <f t="shared" si="6"/>
        <v>No</v>
      </c>
    </row>
    <row r="328">
      <c r="A328" s="4" t="s">
        <v>16</v>
      </c>
      <c r="B328" s="4" t="s">
        <v>956</v>
      </c>
      <c r="C328" s="5">
        <v>45015.0</v>
      </c>
      <c r="D328" s="10">
        <v>45027.0</v>
      </c>
      <c r="E328" s="4" t="s">
        <v>957</v>
      </c>
      <c r="F328" s="4" t="s">
        <v>958</v>
      </c>
      <c r="G328" s="6" t="str">
        <f>IFERROR(__xludf.DUMMYFUNCTION("REGEXREPLACE(LOWER(F328),""[^a-z\s]"","""")"),"i ordered well over a week ago and still have not received it")</f>
        <v>i ordered well over a week ago and still have not received it</v>
      </c>
      <c r="H328" s="4" t="str">
        <f t="shared" si="1"/>
        <v>i ordered well over a week ago still have not received it</v>
      </c>
      <c r="I328" s="6">
        <f t="shared" si="2"/>
        <v>12</v>
      </c>
      <c r="J328" s="6">
        <f>IFERROR(__xludf.DUMMYFUNCTION("IF(H328="""","""",
SUM(
ARRAYFORMULA(
IF(
REGEXMATCH(
"" ""&amp;H328&amp;"" "",
"" ""&amp;Sentiment_Words!A$2:A3730&amp;"" ""
),
1,
0
)
)
)
)"),0.0)</f>
        <v>0</v>
      </c>
      <c r="K328" s="4">
        <f>IFERROR(__xludf.DUMMYFUNCTION("IF(H328="""","""",
SUM(
ARRAYFORMULA(
IF(
REGEXMATCH(
"" ""&amp;H328&amp;"" "",
"" ""&amp;Sentiment_Words!B$2:B3730&amp;"" ""
),
1,
0
)
)
)
)"),0.0)</f>
        <v>0</v>
      </c>
      <c r="L328" s="7" t="str">
        <f t="shared" si="3"/>
        <v>Other</v>
      </c>
      <c r="M328" s="7" t="str">
        <f t="shared" si="4"/>
        <v>Neutral</v>
      </c>
      <c r="N328" s="7" t="str">
        <f>IFERROR(__xludf.DUMMYFUNCTION("LOWER(
TRIM(
REGEXREPLACE(B328,""[^a-zA-Z\s]"","""")
)
)
"),"jheri")</f>
        <v>jheri</v>
      </c>
      <c r="O328" s="7">
        <f t="shared" si="5"/>
        <v>1</v>
      </c>
      <c r="P328" s="8" t="str">
        <f t="shared" si="6"/>
        <v>No</v>
      </c>
    </row>
    <row r="329">
      <c r="A329" s="4" t="s">
        <v>16</v>
      </c>
      <c r="B329" s="4" t="s">
        <v>959</v>
      </c>
      <c r="C329" s="5">
        <v>45015.0</v>
      </c>
      <c r="D329" s="10">
        <v>45027.0</v>
      </c>
      <c r="E329" s="4" t="s">
        <v>960</v>
      </c>
      <c r="F329" s="4" t="s">
        <v>961</v>
      </c>
      <c r="G329" s="6" t="str">
        <f>IFERROR(__xludf.DUMMYFUNCTION("REGEXREPLACE(LOWER(F329),""[^a-z\s]"","""")"),"the product was just what i was looking for we have three large dogs and they enjoy the big bones to chew on the local store that we use to purchase them from no longer carries them i told the vet this and she suggested to go online i found petflow and wa"&amp;"s very happy to find the same bones a a great price we will be ordering more in another month or so thank you")</f>
        <v>the product was just what i was looking for we have three large dogs and they enjoy the big bones to chew on the local store that we use to purchase them from no longer carries them i told the vet this and she suggested to go online i found petflow and was very happy to find the same bones a a great price we will be ordering more in another month or so thank you</v>
      </c>
      <c r="H329" s="4" t="str">
        <f t="shared" si="1"/>
        <v>product was just what i was looking we have three large dogs they enjoy big bones chew on local store that we use purchase them from no longer carries them i told vet this she suggested go online i found petflow was very happy find same bones a a great price we will be ordering more in another month or so thank you</v>
      </c>
      <c r="I329" s="6">
        <f t="shared" si="2"/>
        <v>63</v>
      </c>
      <c r="J329" s="6">
        <f>IFERROR(__xludf.DUMMYFUNCTION("IF(H329="""","""",
SUM(
ARRAYFORMULA(
IF(
REGEXMATCH(
"" ""&amp;H329&amp;"" "",
"" ""&amp;Sentiment_Words!A$2:A3730&amp;"" ""
),
1,
0
)
)
)
)"),3.0)</f>
        <v>3</v>
      </c>
      <c r="K329" s="4">
        <f>IFERROR(__xludf.DUMMYFUNCTION("IF(H329="""","""",
SUM(
ARRAYFORMULA(
IF(
REGEXMATCH(
"" ""&amp;H329&amp;"" "",
"" ""&amp;Sentiment_Words!B$2:B3730&amp;"" ""
),
1,
0
)
)
)
)"),0.0)</f>
        <v>0</v>
      </c>
      <c r="L329" s="7" t="str">
        <f t="shared" si="3"/>
        <v>Other</v>
      </c>
      <c r="M329" s="7" t="str">
        <f t="shared" si="4"/>
        <v>Positive</v>
      </c>
      <c r="N329" s="7" t="str">
        <f>IFERROR(__xludf.DUMMYFUNCTION("LOWER(
TRIM(
REGEXREPLACE(B329,""[^a-zA-Z\s]"","""")
)
)
"),"hannah susan selznick")</f>
        <v>hannah susan selznick</v>
      </c>
      <c r="O329" s="7">
        <f t="shared" si="5"/>
        <v>1</v>
      </c>
      <c r="P329" s="8" t="str">
        <f t="shared" si="6"/>
        <v>No</v>
      </c>
    </row>
    <row r="330">
      <c r="A330" s="4" t="s">
        <v>16</v>
      </c>
      <c r="B330" s="4" t="s">
        <v>962</v>
      </c>
      <c r="C330" s="5">
        <v>45013.0</v>
      </c>
      <c r="D330" s="10">
        <v>45026.0</v>
      </c>
      <c r="E330" s="4" t="s">
        <v>963</v>
      </c>
      <c r="F330" s="4" t="s">
        <v>964</v>
      </c>
      <c r="G330" s="6" t="str">
        <f>IFERROR(__xludf.DUMMYFUNCTION("REGEXREPLACE(LOWER(F330),""[^a-z\s]"","""")"),"easy to order fast delivery")</f>
        <v>easy to order fast delivery</v>
      </c>
      <c r="H330" s="4" t="str">
        <f t="shared" si="1"/>
        <v>easy order fast delivery</v>
      </c>
      <c r="I330" s="6">
        <f t="shared" si="2"/>
        <v>4</v>
      </c>
      <c r="J330" s="6">
        <f>IFERROR(__xludf.DUMMYFUNCTION("IF(H330="""","""",
SUM(
ARRAYFORMULA(
IF(
REGEXMATCH(
"" ""&amp;H330&amp;"" "",
"" ""&amp;Sentiment_Words!A$2:A3730&amp;"" ""
),
1,
0
)
)
)
)"),3.0)</f>
        <v>3</v>
      </c>
      <c r="K330" s="4">
        <f>IFERROR(__xludf.DUMMYFUNCTION("IF(H330="""","""",
SUM(
ARRAYFORMULA(
IF(
REGEXMATCH(
"" ""&amp;H330&amp;"" "",
"" ""&amp;Sentiment_Words!B$2:B3730&amp;"" ""
),
1,
0
)
)
)
)"),0.0)</f>
        <v>0</v>
      </c>
      <c r="L330" s="7" t="str">
        <f t="shared" si="3"/>
        <v>Other</v>
      </c>
      <c r="M330" s="7" t="str">
        <f t="shared" si="4"/>
        <v>Positive</v>
      </c>
      <c r="N330" s="7" t="str">
        <f>IFERROR(__xludf.DUMMYFUNCTION("LOWER(
TRIM(
REGEXREPLACE(B330,""[^a-zA-Z\s]"","""")
)
)
"),"james heidebrecht")</f>
        <v>james heidebrecht</v>
      </c>
      <c r="O330" s="7">
        <f t="shared" si="5"/>
        <v>1</v>
      </c>
      <c r="P330" s="8" t="str">
        <f t="shared" si="6"/>
        <v>No</v>
      </c>
    </row>
    <row r="331">
      <c r="A331" s="4" t="s">
        <v>16</v>
      </c>
      <c r="B331" s="4" t="s">
        <v>965</v>
      </c>
      <c r="C331" s="5">
        <v>45014.0</v>
      </c>
      <c r="D331" s="10">
        <v>45026.0</v>
      </c>
      <c r="E331" s="4" t="s">
        <v>966</v>
      </c>
      <c r="F331" s="4" t="s">
        <v>967</v>
      </c>
      <c r="G331" s="6" t="str">
        <f>IFERROR(__xludf.DUMMYFUNCTION("REGEXREPLACE(LOWER(F331),""[^a-z\s]"","""")"),"amazingly fast shipping our dog has allergies so getting the right dog food consistently is important petflow has come through twice now for us")</f>
        <v>amazingly fast shipping our dog has allergies so getting the right dog food consistently is important petflow has come through twice now for us</v>
      </c>
      <c r="H331" s="4" t="str">
        <f t="shared" si="1"/>
        <v>amazingly fast shipping our dog has allergies so getting right dog food consistently important petflow has come through twice now us</v>
      </c>
      <c r="I331" s="6">
        <f t="shared" si="2"/>
        <v>21</v>
      </c>
      <c r="J331" s="6">
        <f>IFERROR(__xludf.DUMMYFUNCTION("IF(H331="""","""",
SUM(
ARRAYFORMULA(
IF(
REGEXMATCH(
"" ""&amp;H331&amp;"" "",
"" ""&amp;Sentiment_Words!A$2:A3730&amp;"" ""
),
1,
0
)
)
)
)"),1.0)</f>
        <v>1</v>
      </c>
      <c r="K331" s="4">
        <f>IFERROR(__xludf.DUMMYFUNCTION("IF(H331="""","""",
SUM(
ARRAYFORMULA(
IF(
REGEXMATCH(
"" ""&amp;H331&amp;"" "",
"" ""&amp;Sentiment_Words!B$2:B3730&amp;"" ""
),
1,
0
)
)
)
)"),0.0)</f>
        <v>0</v>
      </c>
      <c r="L331" s="7" t="str">
        <f t="shared" si="3"/>
        <v>Other</v>
      </c>
      <c r="M331" s="7" t="str">
        <f t="shared" si="4"/>
        <v>Positive</v>
      </c>
      <c r="N331" s="7" t="str">
        <f>IFERROR(__xludf.DUMMYFUNCTION("LOWER(
TRIM(
REGEXREPLACE(B331,""[^a-zA-Z\s]"","""")
)
)
"),"tammy cox")</f>
        <v>tammy cox</v>
      </c>
      <c r="O331" s="7">
        <f t="shared" si="5"/>
        <v>1</v>
      </c>
      <c r="P331" s="8" t="str">
        <f t="shared" si="6"/>
        <v>No</v>
      </c>
    </row>
    <row r="332">
      <c r="A332" s="4" t="s">
        <v>16</v>
      </c>
      <c r="B332" s="4" t="s">
        <v>968</v>
      </c>
      <c r="C332" s="5">
        <v>45014.0</v>
      </c>
      <c r="D332" s="10">
        <v>45026.0</v>
      </c>
      <c r="E332" s="4" t="s">
        <v>969</v>
      </c>
      <c r="F332" s="4" t="s">
        <v>970</v>
      </c>
      <c r="G332" s="6" t="str">
        <f>IFERROR(__xludf.DUMMYFUNCTION("REGEXREPLACE(LOWER(F332),""[^a-z\s]"","""")"),"pet flows price for science diet was less expensive than the other online suppliers i checked with i received my order within two days of ordering overall i was happy with my shopping experience")</f>
        <v>pet flows price for science diet was less expensive than the other online suppliers i checked with i received my order within two days of ordering overall i was happy with my shopping experience</v>
      </c>
      <c r="H332" s="4" t="str">
        <f t="shared" si="1"/>
        <v>pet flows price science diet was less expensive than other online suppliers i checked with i received my order within two days of ordering overall i was happy with my shopping experience</v>
      </c>
      <c r="I332" s="6">
        <f t="shared" si="2"/>
        <v>32</v>
      </c>
      <c r="J332" s="6">
        <f>IFERROR(__xludf.DUMMYFUNCTION("IF(H332="""","""",
SUM(
ARRAYFORMULA(
IF(
REGEXMATCH(
"" ""&amp;H332&amp;"" "",
"" ""&amp;Sentiment_Words!A$2:A3730&amp;"" ""
),
1,
0
)
)
)
)"),1.0)</f>
        <v>1</v>
      </c>
      <c r="K332" s="4">
        <f>IFERROR(__xludf.DUMMYFUNCTION("IF(H332="""","""",
SUM(
ARRAYFORMULA(
IF(
REGEXMATCH(
"" ""&amp;H332&amp;"" "",
"" ""&amp;Sentiment_Words!B$2:B3730&amp;"" ""
),
1,
0
)
)
)
)"),0.0)</f>
        <v>0</v>
      </c>
      <c r="L332" s="7" t="str">
        <f t="shared" si="3"/>
        <v>Other</v>
      </c>
      <c r="M332" s="7" t="str">
        <f t="shared" si="4"/>
        <v>Positive</v>
      </c>
      <c r="N332" s="7" t="str">
        <f>IFERROR(__xludf.DUMMYFUNCTION("LOWER(
TRIM(
REGEXREPLACE(B332,""[^a-zA-Z\s]"","""")
)
)
"),"jb walter")</f>
        <v>jb walter</v>
      </c>
      <c r="O332" s="7">
        <f t="shared" si="5"/>
        <v>1</v>
      </c>
      <c r="P332" s="8" t="str">
        <f t="shared" si="6"/>
        <v>No</v>
      </c>
    </row>
    <row r="333">
      <c r="A333" s="4" t="s">
        <v>16</v>
      </c>
      <c r="B333" s="4" t="s">
        <v>971</v>
      </c>
      <c r="C333" s="5">
        <v>45014.0</v>
      </c>
      <c r="D333" s="10">
        <v>45026.0</v>
      </c>
      <c r="E333" s="4" t="s">
        <v>972</v>
      </c>
      <c r="F333" s="4" t="s">
        <v>973</v>
      </c>
      <c r="G333" s="6" t="str">
        <f>IFERROR(__xludf.DUMMYFUNCTION("REGEXREPLACE(LOWER(F333),""[^a-z\s]"","""")"),"the convenience of having products delivered to my door is a big plus dog food is always fresh if and when i have to call for assistance everyone is friendly and helpful")</f>
        <v>the convenience of having products delivered to my door is a big plus dog food is always fresh if and when i have to call for assistance everyone is friendly and helpful</v>
      </c>
      <c r="H333" s="4" t="str">
        <f t="shared" si="1"/>
        <v>convenience of having products delivered my door a big plus dog food always fresh if when i have call assistance everyone friendly helpful</v>
      </c>
      <c r="I333" s="6">
        <f t="shared" si="2"/>
        <v>23</v>
      </c>
      <c r="J333" s="6">
        <f>IFERROR(__xludf.DUMMYFUNCTION("IF(H333="""","""",
SUM(
ARRAYFORMULA(
IF(
REGEXMATCH(
"" ""&amp;H333&amp;"" "",
"" ""&amp;Sentiment_Words!A$2:A3730&amp;"" ""
),
1,
0
)
)
)
)"),2.0)</f>
        <v>2</v>
      </c>
      <c r="K333" s="4">
        <f>IFERROR(__xludf.DUMMYFUNCTION("IF(H333="""","""",
SUM(
ARRAYFORMULA(
IF(
REGEXMATCH(
"" ""&amp;H333&amp;"" "",
"" ""&amp;Sentiment_Words!B$2:B3730&amp;"" ""
),
1,
0
)
)
)
)"),0.0)</f>
        <v>0</v>
      </c>
      <c r="L333" s="7" t="str">
        <f t="shared" si="3"/>
        <v>Other</v>
      </c>
      <c r="M333" s="7" t="str">
        <f t="shared" si="4"/>
        <v>Positive</v>
      </c>
      <c r="N333" s="7" t="str">
        <f>IFERROR(__xludf.DUMMYFUNCTION("LOWER(
TRIM(
REGEXREPLACE(B333,""[^a-zA-Z\s]"","""")
)
)
"),"janet")</f>
        <v>janet</v>
      </c>
      <c r="O333" s="7">
        <f t="shared" si="5"/>
        <v>2</v>
      </c>
      <c r="P333" s="8" t="str">
        <f t="shared" si="6"/>
        <v>Yes</v>
      </c>
    </row>
    <row r="334">
      <c r="A334" s="4" t="s">
        <v>16</v>
      </c>
      <c r="B334" s="4" t="s">
        <v>974</v>
      </c>
      <c r="C334" s="5">
        <v>45014.0</v>
      </c>
      <c r="D334" s="10">
        <v>45026.0</v>
      </c>
      <c r="E334" s="4" t="s">
        <v>975</v>
      </c>
      <c r="F334" s="4" t="s">
        <v>976</v>
      </c>
      <c r="G334" s="6" t="str">
        <f>IFERROR(__xludf.DUMMYFUNCTION("REGEXREPLACE(LOWER(F334),""[^a-z\s]"","""")"),"the order was filled quickly and shipped right to my door i know from experience that if i had a problem with my order it would be worked out it is a great company")</f>
        <v>the order was filled quickly and shipped right to my door i know from experience that if i had a problem with my order it would be worked out it is a great company</v>
      </c>
      <c r="H334" s="4" t="str">
        <f t="shared" si="1"/>
        <v>order was filled quickly shipped right my door i know from experience that if i had a problem with my order it would be worked out it a great company</v>
      </c>
      <c r="I334" s="6">
        <f t="shared" si="2"/>
        <v>30</v>
      </c>
      <c r="J334" s="6">
        <f>IFERROR(__xludf.DUMMYFUNCTION("IF(H334="""","""",
SUM(
ARRAYFORMULA(
IF(
REGEXMATCH(
"" ""&amp;H334&amp;"" "",
"" ""&amp;Sentiment_Words!A$2:A3730&amp;"" ""
),
1,
0
)
)
)
)"),2.0)</f>
        <v>2</v>
      </c>
      <c r="K334" s="4">
        <f>IFERROR(__xludf.DUMMYFUNCTION("IF(H334="""","""",
SUM(
ARRAYFORMULA(
IF(
REGEXMATCH(
"" ""&amp;H334&amp;"" "",
"" ""&amp;Sentiment_Words!B$2:B3730&amp;"" ""
),
1,
0
)
)
)
)"),1.0)</f>
        <v>1</v>
      </c>
      <c r="L334" s="7" t="str">
        <f t="shared" si="3"/>
        <v>Other</v>
      </c>
      <c r="M334" s="7" t="str">
        <f t="shared" si="4"/>
        <v>Positive</v>
      </c>
      <c r="N334" s="7" t="str">
        <f>IFERROR(__xludf.DUMMYFUNCTION("LOWER(
TRIM(
REGEXREPLACE(B334,""[^a-zA-Z\s]"","""")
)
)
"),"bill d")</f>
        <v>bill d</v>
      </c>
      <c r="O334" s="7">
        <f t="shared" si="5"/>
        <v>1</v>
      </c>
      <c r="P334" s="8" t="str">
        <f t="shared" si="6"/>
        <v>No</v>
      </c>
    </row>
    <row r="335">
      <c r="A335" s="4" t="s">
        <v>16</v>
      </c>
      <c r="B335" s="4" t="s">
        <v>977</v>
      </c>
      <c r="C335" s="5">
        <v>45014.0</v>
      </c>
      <c r="D335" s="10">
        <v>45026.0</v>
      </c>
      <c r="E335" s="4" t="s">
        <v>978</v>
      </c>
      <c r="F335" s="4" t="s">
        <v>979</v>
      </c>
      <c r="G335" s="6" t="str">
        <f>IFERROR(__xludf.DUMMYFUNCTION("REGEXREPLACE(LOWER(F335),""[^a-z\s]"","""")"),"the items i needed were in stock when i couldnt find them elsewhere i have switched my subscription service to petflow fast shipping too")</f>
        <v>the items i needed were in stock when i couldnt find them elsewhere i have switched my subscription service to petflow fast shipping too</v>
      </c>
      <c r="H335" s="4" t="str">
        <f t="shared" si="1"/>
        <v>items i needed were in stock when i couldnt find them elsewhere i have switched my subscription service petflow fast shipping too</v>
      </c>
      <c r="I335" s="6">
        <f t="shared" si="2"/>
        <v>22</v>
      </c>
      <c r="J335" s="6">
        <f>IFERROR(__xludf.DUMMYFUNCTION("IF(H335="""","""",
SUM(
ARRAYFORMULA(
IF(
REGEXMATCH(
"" ""&amp;H335&amp;"" "",
"" ""&amp;Sentiment_Words!A$2:A3730&amp;"" ""
),
1,
0
)
)
)
)"),1.0)</f>
        <v>1</v>
      </c>
      <c r="K335" s="4">
        <f>IFERROR(__xludf.DUMMYFUNCTION("IF(H335="""","""",
SUM(
ARRAYFORMULA(
IF(
REGEXMATCH(
"" ""&amp;H335&amp;"" "",
"" ""&amp;Sentiment_Words!B$2:B3730&amp;"" ""
),
1,
0
)
)
)
)"),0.0)</f>
        <v>0</v>
      </c>
      <c r="L335" s="7" t="str">
        <f t="shared" si="3"/>
        <v>Customer Support</v>
      </c>
      <c r="M335" s="7" t="str">
        <f t="shared" si="4"/>
        <v>Positive</v>
      </c>
      <c r="N335" s="7" t="str">
        <f>IFERROR(__xludf.DUMMYFUNCTION("LOWER(
TRIM(
REGEXREPLACE(B335,""[^a-zA-Z\s]"","""")
)
)
"),"wr")</f>
        <v>wr</v>
      </c>
      <c r="O335" s="7">
        <f t="shared" si="5"/>
        <v>1</v>
      </c>
      <c r="P335" s="8" t="str">
        <f t="shared" si="6"/>
        <v>No</v>
      </c>
    </row>
    <row r="336">
      <c r="A336" s="4" t="s">
        <v>16</v>
      </c>
      <c r="B336" s="4" t="s">
        <v>980</v>
      </c>
      <c r="C336" s="5">
        <v>45013.0</v>
      </c>
      <c r="D336" s="10">
        <v>45026.0</v>
      </c>
      <c r="E336" s="4" t="s">
        <v>981</v>
      </c>
      <c r="F336" s="4" t="s">
        <v>982</v>
      </c>
      <c r="G336" s="6" t="str">
        <f>IFERROR(__xludf.DUMMYFUNCTION("REGEXREPLACE(LOWER(F336),""[^a-z\s]"","""")"),"part of my order was incorrect but they promptly took care of it arranging to pick up the incorrect items and delivering the correct ones")</f>
        <v>part of my order was incorrect but they promptly took care of it arranging to pick up the incorrect items and delivering the correct ones</v>
      </c>
      <c r="H336" s="4" t="str">
        <f t="shared" si="1"/>
        <v>part of my order was incorrect but they promptly took care of it arranging pick up incorrect items delivering correct ones</v>
      </c>
      <c r="I336" s="6">
        <f t="shared" si="2"/>
        <v>21</v>
      </c>
      <c r="J336" s="6">
        <f>IFERROR(__xludf.DUMMYFUNCTION("IF(H336="""","""",
SUM(
ARRAYFORMULA(
IF(
REGEXMATCH(
"" ""&amp;H336&amp;"" "",
"" ""&amp;Sentiment_Words!A$2:A3730&amp;"" ""
),
1,
0
)
)
)
)"),0.0)</f>
        <v>0</v>
      </c>
      <c r="K336" s="4">
        <f>IFERROR(__xludf.DUMMYFUNCTION("IF(H336="""","""",
SUM(
ARRAYFORMULA(
IF(
REGEXMATCH(
"" ""&amp;H336&amp;"" "",
"" ""&amp;Sentiment_Words!B$2:B3730&amp;"" ""
),
1,
0
)
)
)
)"),1.0)</f>
        <v>1</v>
      </c>
      <c r="L336" s="7" t="str">
        <f t="shared" si="3"/>
        <v>Other</v>
      </c>
      <c r="M336" s="7" t="str">
        <f t="shared" si="4"/>
        <v>Negative</v>
      </c>
      <c r="N336" s="7" t="str">
        <f>IFERROR(__xludf.DUMMYFUNCTION("LOWER(
TRIM(
REGEXREPLACE(B336,""[^a-zA-Z\s]"","""")
)
)
"),"cheryl harper")</f>
        <v>cheryl harper</v>
      </c>
      <c r="O336" s="7">
        <f t="shared" si="5"/>
        <v>1</v>
      </c>
      <c r="P336" s="8" t="str">
        <f t="shared" si="6"/>
        <v>No</v>
      </c>
    </row>
    <row r="337">
      <c r="A337" s="4" t="s">
        <v>16</v>
      </c>
      <c r="B337" s="4" t="s">
        <v>983</v>
      </c>
      <c r="C337" s="5">
        <v>45013.0</v>
      </c>
      <c r="D337" s="10">
        <v>45025.0</v>
      </c>
      <c r="E337" s="4" t="s">
        <v>984</v>
      </c>
      <c r="F337" s="4" t="s">
        <v>985</v>
      </c>
      <c r="G337" s="6" t="str">
        <f>IFERROR(__xludf.DUMMYFUNCTION("REGEXREPLACE(LOWER(F337),""[^a-z\s]"","""")"),"i found the dog food i needed for an excellent price and it was delivered quickly")</f>
        <v>i found the dog food i needed for an excellent price and it was delivered quickly</v>
      </c>
      <c r="H337" s="4" t="str">
        <f t="shared" si="1"/>
        <v>i found dog food i needed an excellent price it was delivered quickly</v>
      </c>
      <c r="I337" s="6">
        <f t="shared" si="2"/>
        <v>13</v>
      </c>
      <c r="J337" s="6">
        <f>IFERROR(__xludf.DUMMYFUNCTION("IF(H337="""","""",
SUM(
ARRAYFORMULA(
IF(
REGEXMATCH(
"" ""&amp;H337&amp;"" "",
"" ""&amp;Sentiment_Words!A$2:A3730&amp;"" ""
),
1,
0
)
)
)
)"),2.0)</f>
        <v>2</v>
      </c>
      <c r="K337" s="4">
        <f>IFERROR(__xludf.DUMMYFUNCTION("IF(H337="""","""",
SUM(
ARRAYFORMULA(
IF(
REGEXMATCH(
"" ""&amp;H337&amp;"" "",
"" ""&amp;Sentiment_Words!B$2:B3730&amp;"" ""
),
1,
0
)
)
)
)"),0.0)</f>
        <v>0</v>
      </c>
      <c r="L337" s="7" t="str">
        <f t="shared" si="3"/>
        <v>Other</v>
      </c>
      <c r="M337" s="7" t="str">
        <f t="shared" si="4"/>
        <v>Positive</v>
      </c>
      <c r="N337" s="7" t="str">
        <f>IFERROR(__xludf.DUMMYFUNCTION("LOWER(
TRIM(
REGEXREPLACE(B337,""[^a-zA-Z\s]"","""")
)
)
"),"marilyn smith")</f>
        <v>marilyn smith</v>
      </c>
      <c r="O337" s="7">
        <f t="shared" si="5"/>
        <v>1</v>
      </c>
      <c r="P337" s="8" t="str">
        <f t="shared" si="6"/>
        <v>No</v>
      </c>
    </row>
    <row r="338">
      <c r="A338" s="4" t="s">
        <v>16</v>
      </c>
      <c r="B338" s="4" t="s">
        <v>986</v>
      </c>
      <c r="C338" s="5">
        <v>45012.0</v>
      </c>
      <c r="D338" s="10">
        <v>45025.0</v>
      </c>
      <c r="E338" s="4" t="s">
        <v>987</v>
      </c>
      <c r="F338" s="4" t="s">
        <v>988</v>
      </c>
      <c r="G338" s="6" t="str">
        <f>IFERROR(__xludf.DUMMYFUNCTION("REGEXREPLACE(LOWER(F338),""[^a-z\s]"","""")"),"i was hesitant after i made the purchase as i looked at the comments and saw how people had trouble with the shipping i was grateful to have not experienced this i immediately received a tracking number and my order arrived on time")</f>
        <v>i was hesitant after i made the purchase as i looked at the comments and saw how people had trouble with the shipping i was grateful to have not experienced this i immediately received a tracking number and my order arrived on time</v>
      </c>
      <c r="H338" s="4" t="str">
        <f t="shared" si="1"/>
        <v>i was hesitant after i made purchase as i looked at comments saw how people had trouble with shipping i was grateful have not experienced this i immediately received a tracking number my order arrived on time</v>
      </c>
      <c r="I338" s="6">
        <f t="shared" si="2"/>
        <v>37</v>
      </c>
      <c r="J338" s="6">
        <f>IFERROR(__xludf.DUMMYFUNCTION("IF(H338="""","""",
SUM(
ARRAYFORMULA(
IF(
REGEXMATCH(
"" ""&amp;H338&amp;"" "",
"" ""&amp;Sentiment_Words!A$2:A3730&amp;"" ""
),
1,
0
)
)
)
)"),2.0)</f>
        <v>2</v>
      </c>
      <c r="K338" s="4">
        <f>IFERROR(__xludf.DUMMYFUNCTION("IF(H338="""","""",
SUM(
ARRAYFORMULA(
IF(
REGEXMATCH(
"" ""&amp;H338&amp;"" "",
"" ""&amp;Sentiment_Words!B$2:B3730&amp;"" ""
),
1,
0
)
)
)
)"),0.0)</f>
        <v>0</v>
      </c>
      <c r="L338" s="7" t="str">
        <f t="shared" si="3"/>
        <v>Other</v>
      </c>
      <c r="M338" s="7" t="str">
        <f t="shared" si="4"/>
        <v>Positive</v>
      </c>
      <c r="N338" s="7" t="str">
        <f>IFERROR(__xludf.DUMMYFUNCTION("LOWER(
TRIM(
REGEXREPLACE(B338,""[^a-zA-Z\s]"","""")
)
)
"),"stacia travis")</f>
        <v>stacia travis</v>
      </c>
      <c r="O338" s="7">
        <f t="shared" si="5"/>
        <v>1</v>
      </c>
      <c r="P338" s="8" t="str">
        <f t="shared" si="6"/>
        <v>No</v>
      </c>
    </row>
    <row r="339">
      <c r="A339" s="4" t="s">
        <v>16</v>
      </c>
      <c r="B339" s="4" t="s">
        <v>989</v>
      </c>
      <c r="C339" s="5">
        <v>45010.0</v>
      </c>
      <c r="D339" s="10">
        <v>45025.0</v>
      </c>
      <c r="E339" s="4" t="s">
        <v>990</v>
      </c>
      <c r="F339" s="4" t="s">
        <v>331</v>
      </c>
      <c r="G339" s="6" t="str">
        <f>IFERROR(__xludf.DUMMYFUNCTION("REGEXREPLACE(LOWER(F339),""[^a-z\s]"","""")"),"none")</f>
        <v>none</v>
      </c>
      <c r="H339" s="4" t="str">
        <f t="shared" si="1"/>
        <v>none</v>
      </c>
      <c r="I339" s="6">
        <f t="shared" si="2"/>
        <v>1</v>
      </c>
      <c r="J339" s="6">
        <f>IFERROR(__xludf.DUMMYFUNCTION("IF(H339="""","""",
SUM(
ARRAYFORMULA(
IF(
REGEXMATCH(
"" ""&amp;H339&amp;"" "",
"" ""&amp;Sentiment_Words!A$2:A3730&amp;"" ""
),
1,
0
)
)
)
)"),0.0)</f>
        <v>0</v>
      </c>
      <c r="K339" s="4">
        <f>IFERROR(__xludf.DUMMYFUNCTION("IF(H339="""","""",
SUM(
ARRAYFORMULA(
IF(
REGEXMATCH(
"" ""&amp;H339&amp;"" "",
"" ""&amp;Sentiment_Words!B$2:B3730&amp;"" ""
),
1,
0
)
)
)
)"),0.0)</f>
        <v>0</v>
      </c>
      <c r="L339" s="7" t="str">
        <f t="shared" si="3"/>
        <v>Other</v>
      </c>
      <c r="M339" s="7" t="str">
        <f t="shared" si="4"/>
        <v>Neutral</v>
      </c>
      <c r="N339" s="7" t="str">
        <f>IFERROR(__xludf.DUMMYFUNCTION("LOWER(
TRIM(
REGEXREPLACE(B339,""[^a-zA-Z\s]"","""")
)
)
"),"debnva")</f>
        <v>debnva</v>
      </c>
      <c r="O339" s="7">
        <f t="shared" si="5"/>
        <v>1</v>
      </c>
      <c r="P339" s="8" t="str">
        <f t="shared" si="6"/>
        <v>No</v>
      </c>
    </row>
    <row r="340">
      <c r="A340" s="4" t="s">
        <v>16</v>
      </c>
      <c r="B340" s="4" t="s">
        <v>991</v>
      </c>
      <c r="C340" s="5">
        <v>45013.0</v>
      </c>
      <c r="D340" s="10">
        <v>45025.0</v>
      </c>
      <c r="E340" s="4" t="s">
        <v>992</v>
      </c>
      <c r="F340" s="4" t="s">
        <v>331</v>
      </c>
      <c r="G340" s="6" t="str">
        <f>IFERROR(__xludf.DUMMYFUNCTION("REGEXREPLACE(LOWER(F340),""[^a-z\s]"","""")"),"none")</f>
        <v>none</v>
      </c>
      <c r="H340" s="4" t="str">
        <f t="shared" si="1"/>
        <v>none</v>
      </c>
      <c r="I340" s="6">
        <f t="shared" si="2"/>
        <v>1</v>
      </c>
      <c r="J340" s="6">
        <f>IFERROR(__xludf.DUMMYFUNCTION("IF(H340="""","""",
SUM(
ARRAYFORMULA(
IF(
REGEXMATCH(
"" ""&amp;H340&amp;"" "",
"" ""&amp;Sentiment_Words!A$2:A3730&amp;"" ""
),
1,
0
)
)
)
)"),0.0)</f>
        <v>0</v>
      </c>
      <c r="K340" s="4">
        <f>IFERROR(__xludf.DUMMYFUNCTION("IF(H340="""","""",
SUM(
ARRAYFORMULA(
IF(
REGEXMATCH(
"" ""&amp;H340&amp;"" "",
"" ""&amp;Sentiment_Words!B$2:B3730&amp;"" ""
),
1,
0
)
)
)
)"),0.0)</f>
        <v>0</v>
      </c>
      <c r="L340" s="7" t="str">
        <f t="shared" si="3"/>
        <v>Other</v>
      </c>
      <c r="M340" s="7" t="str">
        <f t="shared" si="4"/>
        <v>Neutral</v>
      </c>
      <c r="N340" s="7" t="str">
        <f>IFERROR(__xludf.DUMMYFUNCTION("LOWER(
TRIM(
REGEXREPLACE(B340,""[^a-zA-Z\s]"","""")
)
)
"),"ashley")</f>
        <v>ashley</v>
      </c>
      <c r="O340" s="7">
        <f t="shared" si="5"/>
        <v>2</v>
      </c>
      <c r="P340" s="8" t="str">
        <f t="shared" si="6"/>
        <v>Yes</v>
      </c>
    </row>
    <row r="341">
      <c r="A341" s="4" t="s">
        <v>16</v>
      </c>
      <c r="B341" s="4" t="s">
        <v>993</v>
      </c>
      <c r="C341" s="5">
        <v>45013.0</v>
      </c>
      <c r="D341" s="10">
        <v>45025.0</v>
      </c>
      <c r="E341" s="4" t="s">
        <v>994</v>
      </c>
      <c r="F341" s="4" t="s">
        <v>331</v>
      </c>
      <c r="G341" s="6" t="str">
        <f>IFERROR(__xludf.DUMMYFUNCTION("REGEXREPLACE(LOWER(F341),""[^a-z\s]"","""")"),"none")</f>
        <v>none</v>
      </c>
      <c r="H341" s="4" t="str">
        <f t="shared" si="1"/>
        <v>none</v>
      </c>
      <c r="I341" s="6">
        <f t="shared" si="2"/>
        <v>1</v>
      </c>
      <c r="J341" s="6">
        <f>IFERROR(__xludf.DUMMYFUNCTION("IF(H341="""","""",
SUM(
ARRAYFORMULA(
IF(
REGEXMATCH(
"" ""&amp;H341&amp;"" "",
"" ""&amp;Sentiment_Words!A$2:A3730&amp;"" ""
),
1,
0
)
)
)
)"),0.0)</f>
        <v>0</v>
      </c>
      <c r="K341" s="4">
        <f>IFERROR(__xludf.DUMMYFUNCTION("IF(H341="""","""",
SUM(
ARRAYFORMULA(
IF(
REGEXMATCH(
"" ""&amp;H341&amp;"" "",
"" ""&amp;Sentiment_Words!B$2:B3730&amp;"" ""
),
1,
0
)
)
)
)"),0.0)</f>
        <v>0</v>
      </c>
      <c r="L341" s="7" t="str">
        <f t="shared" si="3"/>
        <v>Other</v>
      </c>
      <c r="M341" s="7" t="str">
        <f t="shared" si="4"/>
        <v>Neutral</v>
      </c>
      <c r="N341" s="7" t="str">
        <f>IFERROR(__xludf.DUMMYFUNCTION("LOWER(
TRIM(
REGEXREPLACE(B341,""[^a-zA-Z\s]"","""")
)
)
"),"soraya f")</f>
        <v>soraya f</v>
      </c>
      <c r="O341" s="7">
        <f t="shared" si="5"/>
        <v>1</v>
      </c>
      <c r="P341" s="8" t="str">
        <f t="shared" si="6"/>
        <v>No</v>
      </c>
    </row>
    <row r="342">
      <c r="A342" s="4" t="s">
        <v>16</v>
      </c>
      <c r="B342" s="4" t="s">
        <v>995</v>
      </c>
      <c r="C342" s="5">
        <v>45013.0</v>
      </c>
      <c r="D342" s="10">
        <v>45025.0</v>
      </c>
      <c r="E342" s="4" t="s">
        <v>996</v>
      </c>
      <c r="F342" s="4" t="s">
        <v>997</v>
      </c>
      <c r="G342" s="6" t="str">
        <f>IFERROR(__xludf.DUMMYFUNCTION("REGEXREPLACE(LOWER(F342),""[^a-z\s]"","""")"),"fast shipping and lower prices than many other places ive bought my dogs favorite brand of food")</f>
        <v>fast shipping and lower prices than many other places ive bought my dogs favorite brand of food</v>
      </c>
      <c r="H342" s="4" t="str">
        <f t="shared" si="1"/>
        <v>fast shipping lower prices than many other places ive bought my dogs favorite brand of food</v>
      </c>
      <c r="I342" s="6">
        <f t="shared" si="2"/>
        <v>16</v>
      </c>
      <c r="J342" s="6">
        <f>IFERROR(__xludf.DUMMYFUNCTION("IF(H342="""","""",
SUM(
ARRAYFORMULA(
IF(
REGEXMATCH(
"" ""&amp;H342&amp;"" "",
"" ""&amp;Sentiment_Words!A$2:A3730&amp;"" ""
),
1,
0
)
)
)
)"),1.0)</f>
        <v>1</v>
      </c>
      <c r="K342" s="4">
        <f>IFERROR(__xludf.DUMMYFUNCTION("IF(H342="""","""",
SUM(
ARRAYFORMULA(
IF(
REGEXMATCH(
"" ""&amp;H342&amp;"" "",
"" ""&amp;Sentiment_Words!B$2:B3730&amp;"" ""
),
1,
0
)
)
)
)"),0.0)</f>
        <v>0</v>
      </c>
      <c r="L342" s="7" t="str">
        <f t="shared" si="3"/>
        <v>Other</v>
      </c>
      <c r="M342" s="7" t="str">
        <f t="shared" si="4"/>
        <v>Positive</v>
      </c>
      <c r="N342" s="7" t="str">
        <f>IFERROR(__xludf.DUMMYFUNCTION("LOWER(
TRIM(
REGEXREPLACE(B342,""[^a-zA-Z\s]"","""")
)
)
"),"bobbie mcgee")</f>
        <v>bobbie mcgee</v>
      </c>
      <c r="O342" s="7">
        <f t="shared" si="5"/>
        <v>1</v>
      </c>
      <c r="P342" s="8" t="str">
        <f t="shared" si="6"/>
        <v>No</v>
      </c>
    </row>
    <row r="343">
      <c r="A343" s="4" t="s">
        <v>16</v>
      </c>
      <c r="B343" s="4" t="s">
        <v>998</v>
      </c>
      <c r="C343" s="5">
        <v>45013.0</v>
      </c>
      <c r="D343" s="10">
        <v>45025.0</v>
      </c>
      <c r="E343" s="4" t="s">
        <v>999</v>
      </c>
      <c r="F343" s="4" t="s">
        <v>1000</v>
      </c>
      <c r="G343" s="6" t="str">
        <f>IFERROR(__xludf.DUMMYFUNCTION("REGEXREPLACE(LOWER(F343),""[^a-z\s]"","""")"),"i received a broke  cracked pet carrier they shipped a new one the very next day it arrived in good condition")</f>
        <v>i received a broke  cracked pet carrier they shipped a new one the very next day it arrived in good condition</v>
      </c>
      <c r="H343" s="4" t="str">
        <f t="shared" si="1"/>
        <v>i received a broke cracked pet carrier they shipped a new one very next day it arrived in good condition</v>
      </c>
      <c r="I343" s="6">
        <f t="shared" si="2"/>
        <v>20</v>
      </c>
      <c r="J343" s="6">
        <f>IFERROR(__xludf.DUMMYFUNCTION("IF(H343="""","""",
SUM(
ARRAYFORMULA(
IF(
REGEXMATCH(
"" ""&amp;H343&amp;"" "",
"" ""&amp;Sentiment_Words!A$2:A3730&amp;"" ""
),
1,
0
)
)
)
)"),1.0)</f>
        <v>1</v>
      </c>
      <c r="K343" s="4">
        <f>IFERROR(__xludf.DUMMYFUNCTION("IF(H343="""","""",
SUM(
ARRAYFORMULA(
IF(
REGEXMATCH(
"" ""&amp;H343&amp;"" "",
"" ""&amp;Sentiment_Words!B$2:B3730&amp;"" ""
),
1,
0
)
)
)
)"),0.0)</f>
        <v>0</v>
      </c>
      <c r="L343" s="7" t="str">
        <f t="shared" si="3"/>
        <v>Other</v>
      </c>
      <c r="M343" s="7" t="str">
        <f t="shared" si="4"/>
        <v>Positive</v>
      </c>
      <c r="N343" s="7" t="str">
        <f>IFERROR(__xludf.DUMMYFUNCTION("LOWER(
TRIM(
REGEXREPLACE(B343,""[^a-zA-Z\s]"","""")
)
)
"),"meg whipple")</f>
        <v>meg whipple</v>
      </c>
      <c r="O343" s="7">
        <f t="shared" si="5"/>
        <v>1</v>
      </c>
      <c r="P343" s="8" t="str">
        <f t="shared" si="6"/>
        <v>No</v>
      </c>
    </row>
    <row r="344">
      <c r="A344" s="4" t="s">
        <v>16</v>
      </c>
      <c r="B344" s="4" t="s">
        <v>1001</v>
      </c>
      <c r="C344" s="5">
        <v>45012.0</v>
      </c>
      <c r="D344" s="10">
        <v>45025.0</v>
      </c>
      <c r="E344" s="4" t="s">
        <v>1002</v>
      </c>
      <c r="F344" s="4" t="s">
        <v>1003</v>
      </c>
      <c r="G344" s="6" t="str">
        <f>IFERROR(__xludf.DUMMYFUNCTION("REGEXREPLACE(LOWER(F344),""[^a-z\s]"","""")"),"easy ordering and fast shipping")</f>
        <v>easy ordering and fast shipping</v>
      </c>
      <c r="H344" s="4" t="str">
        <f t="shared" si="1"/>
        <v>easy ordering fast shipping</v>
      </c>
      <c r="I344" s="6">
        <f t="shared" si="2"/>
        <v>4</v>
      </c>
      <c r="J344" s="6">
        <f>IFERROR(__xludf.DUMMYFUNCTION("IF(H344="""","""",
SUM(
ARRAYFORMULA(
IF(
REGEXMATCH(
"" ""&amp;H344&amp;"" "",
"" ""&amp;Sentiment_Words!A$2:A3730&amp;"" ""
),
1,
0
)
)
)
)"),2.0)</f>
        <v>2</v>
      </c>
      <c r="K344" s="4">
        <f>IFERROR(__xludf.DUMMYFUNCTION("IF(H344="""","""",
SUM(
ARRAYFORMULA(
IF(
REGEXMATCH(
"" ""&amp;H344&amp;"" "",
"" ""&amp;Sentiment_Words!B$2:B3730&amp;"" ""
),
1,
0
)
)
)
)"),0.0)</f>
        <v>0</v>
      </c>
      <c r="L344" s="7" t="str">
        <f t="shared" si="3"/>
        <v>Other</v>
      </c>
      <c r="M344" s="7" t="str">
        <f t="shared" si="4"/>
        <v>Positive</v>
      </c>
      <c r="N344" s="7" t="str">
        <f>IFERROR(__xludf.DUMMYFUNCTION("LOWER(
TRIM(
REGEXREPLACE(B344,""[^a-zA-Z\s]"","""")
)
)
"),"lori")</f>
        <v>lori</v>
      </c>
      <c r="O344" s="7">
        <f t="shared" si="5"/>
        <v>4</v>
      </c>
      <c r="P344" s="8" t="str">
        <f t="shared" si="6"/>
        <v>Yes</v>
      </c>
    </row>
    <row r="345">
      <c r="A345" s="4" t="s">
        <v>16</v>
      </c>
      <c r="B345" s="4" t="s">
        <v>1004</v>
      </c>
      <c r="C345" s="5">
        <v>45012.0</v>
      </c>
      <c r="D345" s="10">
        <v>45024.0</v>
      </c>
      <c r="E345" s="4" t="s">
        <v>1005</v>
      </c>
      <c r="F345" s="4" t="s">
        <v>1006</v>
      </c>
      <c r="G345" s="6" t="str">
        <f>IFERROR(__xludf.DUMMYFUNCTION("REGEXREPLACE(LOWER(F345),""[^a-z\s]"","""")"),"the wrong dog bowls were sent then they wanted me to return them by fedex and would send me the correct ones but when they did that they sent them by fedex ground and they would not have arrived in time when i called they said there was nothing they could"&amp;" do except cancel and i still have to repackage and return the other bowls via fedex which is a huge pain because there isnt a fedex location very close to me they offered absolutely nothing in the way of compensation for the mess up or for the inconvenie"&amp;"nce this caused i had to go to petco and buy bowls that were too big but at least wouldnt be knocked over by my dogs and make a mess everywhere i will not be ordering from this company again")</f>
        <v>the wrong dog bowls were sent then they wanted me to return them by fedex and would send me the correct ones but when they did that they sent them by fedex ground and they would not have arrived in time when i called they said there was nothing they could do except cancel and i still have to repackage and return the other bowls via fedex which is a huge pain because there isnt a fedex location very close to me they offered absolutely nothing in the way of compensation for the mess up or for the inconvenience this caused i had to go to petco and buy bowls that were too big but at least wouldnt be knocked over by my dogs and make a mess everywhere i will not be ordering from this company again</v>
      </c>
      <c r="H345" s="4" t="str">
        <f t="shared" si="1"/>
        <v>wrong dog bowls were sent then they wanted me return them by fedex would send me correct ones but when they did that they sent them by fedex ground they would not have arrived in time when i called they said there was nothing they could do except cancel i still have repackage return other bowls via fedex which a huge pain because there isnt a fedex location very close me they offered absolutely nothing in way of compensation mess up or inconvenience this caused i had go petco buy bowls that were too big but at least wouldnt be knocked over by my dogs make a mess everywhere i will not be ordering from this company again</v>
      </c>
      <c r="I345" s="6">
        <f t="shared" si="2"/>
        <v>118</v>
      </c>
      <c r="J345" s="6">
        <f>IFERROR(__xludf.DUMMYFUNCTION("IF(H345="""","""",
SUM(
ARRAYFORMULA(
IF(
REGEXMATCH(
"" ""&amp;H345&amp;"" "",
"" ""&amp;Sentiment_Words!A$2:A3730&amp;"" ""
),
1,
0
)
)
)
)"),0.0)</f>
        <v>0</v>
      </c>
      <c r="K345" s="4">
        <f>IFERROR(__xludf.DUMMYFUNCTION("IF(H345="""","""",
SUM(
ARRAYFORMULA(
IF(
REGEXMATCH(
"" ""&amp;H345&amp;"" "",
"" ""&amp;Sentiment_Words!B$2:B3730&amp;"" ""
),
1,
0
)
)
)
)"),1.0)</f>
        <v>1</v>
      </c>
      <c r="L345" s="7" t="str">
        <f t="shared" si="3"/>
        <v>Fulfillment &amp; Shipping</v>
      </c>
      <c r="M345" s="7" t="str">
        <f t="shared" si="4"/>
        <v>Negative</v>
      </c>
      <c r="N345" s="7" t="str">
        <f>IFERROR(__xludf.DUMMYFUNCTION("LOWER(
TRIM(
REGEXREPLACE(B345,""[^a-zA-Z\s]"","""")
)
)
"),"ariella")</f>
        <v>ariella</v>
      </c>
      <c r="O345" s="7">
        <f t="shared" si="5"/>
        <v>1</v>
      </c>
      <c r="P345" s="8" t="str">
        <f t="shared" si="6"/>
        <v>No</v>
      </c>
    </row>
    <row r="346">
      <c r="A346" s="4" t="s">
        <v>16</v>
      </c>
      <c r="B346" s="4" t="s">
        <v>1007</v>
      </c>
      <c r="C346" s="5">
        <v>45012.0</v>
      </c>
      <c r="D346" s="10">
        <v>45024.0</v>
      </c>
      <c r="E346" s="4" t="s">
        <v>1008</v>
      </c>
      <c r="F346" s="4" t="s">
        <v>1009</v>
      </c>
      <c r="G346" s="6" t="str">
        <f>IFERROR(__xludf.DUMMYFUNCTION("REGEXREPLACE(LOWER(F346),""[^a-z\s]"","""")"),"i am a first time customer of pet flow representative was available upon calling to ask a few questions the rep was very courteous and knowledgeable answer all my questions able to track order which arrived in two days yes i will order again")</f>
        <v>i am a first time customer of pet flow representative was available upon calling to ask a few questions the rep was very courteous and knowledgeable answer all my questions able to track order which arrived in two days yes i will order again</v>
      </c>
      <c r="H346" s="4" t="str">
        <f t="shared" si="1"/>
        <v>i am a first time customer of pet flow representative was available upon calling ask a few questions rep was very courteous knowledgeable answer all my questions able track order which arrived in two days yes i will order again</v>
      </c>
      <c r="I346" s="6">
        <f t="shared" si="2"/>
        <v>40</v>
      </c>
      <c r="J346" s="6">
        <f>IFERROR(__xludf.DUMMYFUNCTION("IF(H346="""","""",
SUM(
ARRAYFORMULA(
IF(
REGEXMATCH(
"" ""&amp;H346&amp;"" "",
"" ""&amp;Sentiment_Words!A$2:A3730&amp;"" ""
),
1,
0
)
)
)
)"),3.0)</f>
        <v>3</v>
      </c>
      <c r="K346" s="4">
        <f>IFERROR(__xludf.DUMMYFUNCTION("IF(H346="""","""",
SUM(
ARRAYFORMULA(
IF(
REGEXMATCH(
"" ""&amp;H346&amp;"" "",
"" ""&amp;Sentiment_Words!B$2:B3730&amp;"" ""
),
1,
0
)
)
)
)"),0.0)</f>
        <v>0</v>
      </c>
      <c r="L346" s="7" t="str">
        <f t="shared" si="3"/>
        <v>Other</v>
      </c>
      <c r="M346" s="7" t="str">
        <f t="shared" si="4"/>
        <v>Positive</v>
      </c>
      <c r="N346" s="7" t="str">
        <f>IFERROR(__xludf.DUMMYFUNCTION("LOWER(
TRIM(
REGEXREPLACE(B346,""[^a-zA-Z\s]"","""")
)
)
"),"ann marie peskowski")</f>
        <v>ann marie peskowski</v>
      </c>
      <c r="O346" s="7">
        <f t="shared" si="5"/>
        <v>1</v>
      </c>
      <c r="P346" s="8" t="str">
        <f t="shared" si="6"/>
        <v>No</v>
      </c>
    </row>
    <row r="347">
      <c r="A347" s="4" t="s">
        <v>16</v>
      </c>
      <c r="B347" s="4" t="s">
        <v>56</v>
      </c>
      <c r="C347" s="5">
        <v>45012.0</v>
      </c>
      <c r="D347" s="10">
        <v>45024.0</v>
      </c>
      <c r="E347" s="4" t="s">
        <v>1010</v>
      </c>
      <c r="F347" s="4" t="s">
        <v>1011</v>
      </c>
      <c r="G347" s="6" t="str">
        <f>IFERROR(__xludf.DUMMYFUNCTION("REGEXREPLACE(LOWER(F347),""[^a-z\s]"","""")"),"i love that my dogs favorite dog food i order gets delivered right to my front door in a matter of two days whats better than that")</f>
        <v>i love that my dogs favorite dog food i order gets delivered right to my front door in a matter of two days whats better than that</v>
      </c>
      <c r="H347" s="4" t="str">
        <f t="shared" si="1"/>
        <v>i love that my dogs favorite dog food i order gets delivered right my front door in a matter of two days whats better than that</v>
      </c>
      <c r="I347" s="6">
        <f t="shared" si="2"/>
        <v>26</v>
      </c>
      <c r="J347" s="6">
        <f>IFERROR(__xludf.DUMMYFUNCTION("IF(H347="""","""",
SUM(
ARRAYFORMULA(
IF(
REGEXMATCH(
"" ""&amp;H347&amp;"" "",
"" ""&amp;Sentiment_Words!A$2:A3730&amp;"" ""
),
1,
0
)
)
)
)"),2.0)</f>
        <v>2</v>
      </c>
      <c r="K347" s="4">
        <f>IFERROR(__xludf.DUMMYFUNCTION("IF(H347="""","""",
SUM(
ARRAYFORMULA(
IF(
REGEXMATCH(
"" ""&amp;H347&amp;"" "",
"" ""&amp;Sentiment_Words!B$2:B3730&amp;"" ""
),
1,
0
)
)
)
)"),0.0)</f>
        <v>0</v>
      </c>
      <c r="L347" s="7" t="str">
        <f t="shared" si="3"/>
        <v>Other</v>
      </c>
      <c r="M347" s="7" t="str">
        <f t="shared" si="4"/>
        <v>Positive</v>
      </c>
      <c r="N347" s="7" t="str">
        <f>IFERROR(__xludf.DUMMYFUNCTION("LOWER(
TRIM(
REGEXREPLACE(B347,""[^a-zA-Z\s]"","""")
)
)
"),"customer")</f>
        <v>customer</v>
      </c>
      <c r="O347" s="7">
        <f t="shared" si="5"/>
        <v>54</v>
      </c>
      <c r="P347" s="8" t="str">
        <f t="shared" si="6"/>
        <v>Yes</v>
      </c>
    </row>
    <row r="348">
      <c r="A348" s="4" t="s">
        <v>16</v>
      </c>
      <c r="B348" s="4" t="s">
        <v>1012</v>
      </c>
      <c r="C348" s="5">
        <v>45012.0</v>
      </c>
      <c r="D348" s="10">
        <v>45024.0</v>
      </c>
      <c r="E348" s="4" t="s">
        <v>1013</v>
      </c>
      <c r="F348" s="4" t="s">
        <v>1014</v>
      </c>
      <c r="G348" s="6" t="str">
        <f>IFERROR(__xludf.DUMMYFUNCTION("REGEXREPLACE(LOWER(F348),""[^a-z\s]"","""")"),"prompt delivery product just as described and arrived without damage")</f>
        <v>prompt delivery product just as described and arrived without damage</v>
      </c>
      <c r="H348" s="4" t="str">
        <f t="shared" si="1"/>
        <v>prompt delivery product just as described arrived without damage</v>
      </c>
      <c r="I348" s="6">
        <f t="shared" si="2"/>
        <v>9</v>
      </c>
      <c r="J348" s="6">
        <f>IFERROR(__xludf.DUMMYFUNCTION("IF(H348="""","""",
SUM(
ARRAYFORMULA(
IF(
REGEXMATCH(
"" ""&amp;H348&amp;"" "",
"" ""&amp;Sentiment_Words!A$2:A3730&amp;"" ""
),
1,
0
)
)
)
)"),1.0)</f>
        <v>1</v>
      </c>
      <c r="K348" s="4">
        <f>IFERROR(__xludf.DUMMYFUNCTION("IF(H348="""","""",
SUM(
ARRAYFORMULA(
IF(
REGEXMATCH(
"" ""&amp;H348&amp;"" "",
"" ""&amp;Sentiment_Words!B$2:B3730&amp;"" ""
),
1,
0
)
)
)
)"),0.0)</f>
        <v>0</v>
      </c>
      <c r="L348" s="7" t="str">
        <f t="shared" si="3"/>
        <v>Other</v>
      </c>
      <c r="M348" s="7" t="str">
        <f t="shared" si="4"/>
        <v>Positive</v>
      </c>
      <c r="N348" s="7" t="str">
        <f>IFERROR(__xludf.DUMMYFUNCTION("LOWER(
TRIM(
REGEXREPLACE(B348,""[^a-zA-Z\s]"","""")
)
)
"),"colleen annes")</f>
        <v>colleen annes</v>
      </c>
      <c r="O348" s="7">
        <f t="shared" si="5"/>
        <v>1</v>
      </c>
      <c r="P348" s="8" t="str">
        <f t="shared" si="6"/>
        <v>No</v>
      </c>
    </row>
    <row r="349">
      <c r="A349" s="4" t="s">
        <v>16</v>
      </c>
      <c r="B349" s="4" t="s">
        <v>1015</v>
      </c>
      <c r="C349" s="5">
        <v>45012.0</v>
      </c>
      <c r="D349" s="10">
        <v>45024.0</v>
      </c>
      <c r="E349" s="4" t="s">
        <v>1016</v>
      </c>
      <c r="F349" s="4" t="s">
        <v>1017</v>
      </c>
      <c r="G349" s="6" t="str">
        <f>IFERROR(__xludf.DUMMYFUNCTION("REGEXREPLACE(LOWER(F349),""[^a-z\s]"","""")"),"came timely it was easy to order")</f>
        <v>came timely it was easy to order</v>
      </c>
      <c r="H349" s="4" t="str">
        <f t="shared" si="1"/>
        <v>came timely it was easy order</v>
      </c>
      <c r="I349" s="6">
        <f t="shared" si="2"/>
        <v>6</v>
      </c>
      <c r="J349" s="6">
        <f>IFERROR(__xludf.DUMMYFUNCTION("IF(H349="""","""",
SUM(
ARRAYFORMULA(
IF(
REGEXMATCH(
"" ""&amp;H349&amp;"" "",
"" ""&amp;Sentiment_Words!A$2:A3730&amp;"" ""
),
1,
0
)
)
)
)"),1.0)</f>
        <v>1</v>
      </c>
      <c r="K349" s="4">
        <f>IFERROR(__xludf.DUMMYFUNCTION("IF(H349="""","""",
SUM(
ARRAYFORMULA(
IF(
REGEXMATCH(
"" ""&amp;H349&amp;"" "",
"" ""&amp;Sentiment_Words!B$2:B3730&amp;"" ""
),
1,
0
)
)
)
)"),0.0)</f>
        <v>0</v>
      </c>
      <c r="L349" s="7" t="str">
        <f t="shared" si="3"/>
        <v>Other</v>
      </c>
      <c r="M349" s="7" t="str">
        <f t="shared" si="4"/>
        <v>Positive</v>
      </c>
      <c r="N349" s="7" t="str">
        <f>IFERROR(__xludf.DUMMYFUNCTION("LOWER(
TRIM(
REGEXREPLACE(B349,""[^a-zA-Z\s]"","""")
)
)
"),"tonya deitrick")</f>
        <v>tonya deitrick</v>
      </c>
      <c r="O349" s="7">
        <f t="shared" si="5"/>
        <v>1</v>
      </c>
      <c r="P349" s="8" t="str">
        <f t="shared" si="6"/>
        <v>No</v>
      </c>
    </row>
    <row r="350">
      <c r="A350" s="4" t="s">
        <v>16</v>
      </c>
      <c r="B350" s="4" t="s">
        <v>1018</v>
      </c>
      <c r="C350" s="5">
        <v>45010.0</v>
      </c>
      <c r="D350" s="10">
        <v>45023.0</v>
      </c>
      <c r="E350" s="4" t="s">
        <v>1019</v>
      </c>
      <c r="F350" s="4" t="s">
        <v>1020</v>
      </c>
      <c r="G350" s="6" t="str">
        <f>IFERROR(__xludf.DUMMYFUNCTION("REGEXREPLACE(LOWER(F350),""[^a-z\s]"","""")"),"ordered prescription food for my diabetic dog first time with petflow and the transaction was handled smoothly and correctly order arrived on time and as expected")</f>
        <v>ordered prescription food for my diabetic dog first time with petflow and the transaction was handled smoothly and correctly order arrived on time and as expected</v>
      </c>
      <c r="H350" s="4" t="str">
        <f t="shared" si="1"/>
        <v>ordered prescription food my diabetic dog first time with petflow transaction was handled smoothly correctly order arrived on time as expected</v>
      </c>
      <c r="I350" s="6">
        <f t="shared" si="2"/>
        <v>21</v>
      </c>
      <c r="J350" s="6">
        <f>IFERROR(__xludf.DUMMYFUNCTION("IF(H350="""","""",
SUM(
ARRAYFORMULA(
IF(
REGEXMATCH(
"" ""&amp;H350&amp;"" "",
"" ""&amp;Sentiment_Words!A$2:A3730&amp;"" ""
),
1,
0
)
)
)
)"),1.0)</f>
        <v>1</v>
      </c>
      <c r="K350" s="4">
        <f>IFERROR(__xludf.DUMMYFUNCTION("IF(H350="""","""",
SUM(
ARRAYFORMULA(
IF(
REGEXMATCH(
"" ""&amp;H350&amp;"" "",
"" ""&amp;Sentiment_Words!B$2:B3730&amp;"" ""
),
1,
0
)
)
)
)"),0.0)</f>
        <v>0</v>
      </c>
      <c r="L350" s="7" t="str">
        <f t="shared" si="3"/>
        <v>Service Recovery</v>
      </c>
      <c r="M350" s="7" t="str">
        <f t="shared" si="4"/>
        <v>Positive</v>
      </c>
      <c r="N350" s="7" t="str">
        <f>IFERROR(__xludf.DUMMYFUNCTION("LOWER(
TRIM(
REGEXREPLACE(B350,""[^a-zA-Z\s]"","""")
)
)
"),"lois schwechtje")</f>
        <v>lois schwechtje</v>
      </c>
      <c r="O350" s="7">
        <f t="shared" si="5"/>
        <v>1</v>
      </c>
      <c r="P350" s="8" t="str">
        <f t="shared" si="6"/>
        <v>No</v>
      </c>
    </row>
    <row r="351">
      <c r="A351" s="4" t="s">
        <v>16</v>
      </c>
      <c r="B351" s="4" t="s">
        <v>1021</v>
      </c>
      <c r="C351" s="5">
        <v>45010.0</v>
      </c>
      <c r="D351" s="10">
        <v>45023.0</v>
      </c>
      <c r="E351" s="4" t="s">
        <v>1022</v>
      </c>
      <c r="F351" s="4" t="s">
        <v>1023</v>
      </c>
      <c r="G351" s="6" t="str">
        <f>IFERROR(__xludf.DUMMYFUNCTION("REGEXREPLACE(LOWER(F351),""[^a-z\s]"","""")"),"wonderful company great selection of products super quick shipping very reasonable prices and outstanding customer service")</f>
        <v>wonderful company great selection of products super quick shipping very reasonable prices and outstanding customer service</v>
      </c>
      <c r="H351" s="4" t="str">
        <f t="shared" si="1"/>
        <v>wonderful company great selection of products super quick shipping very reasonable prices outstanding customer service</v>
      </c>
      <c r="I351" s="6">
        <f t="shared" si="2"/>
        <v>15</v>
      </c>
      <c r="J351" s="6">
        <f>IFERROR(__xludf.DUMMYFUNCTION("IF(H351="""","""",
SUM(
ARRAYFORMULA(
IF(
REGEXMATCH(
"" ""&amp;H351&amp;"" "",
"" ""&amp;Sentiment_Words!A$2:A3730&amp;"" ""
),
1,
0
)
)
)
)"),2.0)</f>
        <v>2</v>
      </c>
      <c r="K351" s="4">
        <f>IFERROR(__xludf.DUMMYFUNCTION("IF(H351="""","""",
SUM(
ARRAYFORMULA(
IF(
REGEXMATCH(
"" ""&amp;H351&amp;"" "",
"" ""&amp;Sentiment_Words!B$2:B3730&amp;"" ""
),
1,
0
)
)
)
)"),1.0)</f>
        <v>1</v>
      </c>
      <c r="L351" s="7" t="str">
        <f t="shared" si="3"/>
        <v>Customer Support</v>
      </c>
      <c r="M351" s="7" t="str">
        <f t="shared" si="4"/>
        <v>Positive</v>
      </c>
      <c r="N351" s="7" t="str">
        <f>IFERROR(__xludf.DUMMYFUNCTION("LOWER(
TRIM(
REGEXREPLACE(B351,""[^a-zA-Z\s]"","""")
)
)
"),"doug")</f>
        <v>doug</v>
      </c>
      <c r="O351" s="7">
        <f t="shared" si="5"/>
        <v>1</v>
      </c>
      <c r="P351" s="8" t="str">
        <f t="shared" si="6"/>
        <v>No</v>
      </c>
    </row>
    <row r="352">
      <c r="A352" s="4" t="s">
        <v>16</v>
      </c>
      <c r="B352" s="4" t="s">
        <v>1024</v>
      </c>
      <c r="C352" s="5">
        <v>45011.0</v>
      </c>
      <c r="D352" s="10">
        <v>45023.0</v>
      </c>
      <c r="E352" s="4" t="s">
        <v>1025</v>
      </c>
      <c r="F352" s="4" t="s">
        <v>1026</v>
      </c>
      <c r="G352" s="6" t="str">
        <f>IFERROR(__xludf.DUMMYFUNCTION("REGEXREPLACE(LOWER(F352),""[^a-z\s]"","""")"),"great pricing free shipping and acceptable shipping time")</f>
        <v>great pricing free shipping and acceptable shipping time</v>
      </c>
      <c r="H352" s="4" t="str">
        <f t="shared" si="1"/>
        <v>great pricing free shipping acceptable shipping time</v>
      </c>
      <c r="I352" s="6">
        <f t="shared" si="2"/>
        <v>7</v>
      </c>
      <c r="J352" s="6">
        <f>IFERROR(__xludf.DUMMYFUNCTION("IF(H352="""","""",
SUM(
ARRAYFORMULA(
IF(
REGEXMATCH(
"" ""&amp;H352&amp;"" "",
"" ""&amp;Sentiment_Words!A$2:A3730&amp;"" ""
),
1,
0
)
)
)
)"),1.0)</f>
        <v>1</v>
      </c>
      <c r="K352" s="4">
        <f>IFERROR(__xludf.DUMMYFUNCTION("IF(H352="""","""",
SUM(
ARRAYFORMULA(
IF(
REGEXMATCH(
"" ""&amp;H352&amp;"" "",
"" ""&amp;Sentiment_Words!B$2:B3730&amp;"" ""
),
1,
0
)
)
)
)"),0.0)</f>
        <v>0</v>
      </c>
      <c r="L352" s="7" t="str">
        <f t="shared" si="3"/>
        <v>Other</v>
      </c>
      <c r="M352" s="7" t="str">
        <f t="shared" si="4"/>
        <v>Positive</v>
      </c>
      <c r="N352" s="7" t="str">
        <f>IFERROR(__xludf.DUMMYFUNCTION("LOWER(
TRIM(
REGEXREPLACE(B352,""[^a-zA-Z\s]"","""")
)
)
"),"canine mom")</f>
        <v>canine mom</v>
      </c>
      <c r="O352" s="7">
        <f t="shared" si="5"/>
        <v>1</v>
      </c>
      <c r="P352" s="8" t="str">
        <f t="shared" si="6"/>
        <v>No</v>
      </c>
    </row>
    <row r="353">
      <c r="A353" s="4" t="s">
        <v>16</v>
      </c>
      <c r="B353" s="4" t="s">
        <v>1027</v>
      </c>
      <c r="C353" s="5">
        <v>45011.0</v>
      </c>
      <c r="D353" s="10">
        <v>45023.0</v>
      </c>
      <c r="E353" s="4" t="s">
        <v>1028</v>
      </c>
      <c r="F353" s="4" t="s">
        <v>1029</v>
      </c>
      <c r="G353" s="6" t="str">
        <f>IFERROR(__xludf.DUMMYFUNCTION("REGEXREPLACE(LOWER(F353),""[^a-z\s]"","""")"),"ordering was easy and the shipping was fast")</f>
        <v>ordering was easy and the shipping was fast</v>
      </c>
      <c r="H353" s="4" t="str">
        <f t="shared" si="1"/>
        <v>ordering was easy shipping was fast</v>
      </c>
      <c r="I353" s="6">
        <f t="shared" si="2"/>
        <v>6</v>
      </c>
      <c r="J353" s="6">
        <f>IFERROR(__xludf.DUMMYFUNCTION("IF(H353="""","""",
SUM(
ARRAYFORMULA(
IF(
REGEXMATCH(
"" ""&amp;H353&amp;"" "",
"" ""&amp;Sentiment_Words!A$2:A3730&amp;"" ""
),
1,
0
)
)
)
)"),2.0)</f>
        <v>2</v>
      </c>
      <c r="K353" s="4">
        <f>IFERROR(__xludf.DUMMYFUNCTION("IF(H353="""","""",
SUM(
ARRAYFORMULA(
IF(
REGEXMATCH(
"" ""&amp;H353&amp;"" "",
"" ""&amp;Sentiment_Words!B$2:B3730&amp;"" ""
),
1,
0
)
)
)
)"),0.0)</f>
        <v>0</v>
      </c>
      <c r="L353" s="7" t="str">
        <f t="shared" si="3"/>
        <v>Other</v>
      </c>
      <c r="M353" s="7" t="str">
        <f t="shared" si="4"/>
        <v>Positive</v>
      </c>
      <c r="N353" s="7" t="str">
        <f>IFERROR(__xludf.DUMMYFUNCTION("LOWER(
TRIM(
REGEXREPLACE(B353,""[^a-zA-Z\s]"","""")
)
)
"),"bernie hamblin")</f>
        <v>bernie hamblin</v>
      </c>
      <c r="O353" s="7">
        <f t="shared" si="5"/>
        <v>1</v>
      </c>
      <c r="P353" s="8" t="str">
        <f t="shared" si="6"/>
        <v>No</v>
      </c>
    </row>
    <row r="354">
      <c r="A354" s="4" t="s">
        <v>16</v>
      </c>
      <c r="B354" s="4" t="s">
        <v>1030</v>
      </c>
      <c r="C354" s="5">
        <v>45011.0</v>
      </c>
      <c r="D354" s="10">
        <v>45023.0</v>
      </c>
      <c r="E354" s="4" t="s">
        <v>1031</v>
      </c>
      <c r="F354" s="4" t="s">
        <v>1032</v>
      </c>
      <c r="G354" s="6" t="str">
        <f>IFERROR(__xludf.DUMMYFUNCTION("REGEXREPLACE(LOWER(F354),""[^a-z\s]"","""")"),"petflow is always in stock and ships immediately my pet supplies arrive in perfect condition no complaints here")</f>
        <v>petflow is always in stock and ships immediately my pet supplies arrive in perfect condition no complaints here</v>
      </c>
      <c r="H354" s="4" t="str">
        <f t="shared" si="1"/>
        <v>petflow always in stock ships immediately my pet supplies arrive in perfect condition no complaints here</v>
      </c>
      <c r="I354" s="6">
        <f t="shared" si="2"/>
        <v>16</v>
      </c>
      <c r="J354" s="6">
        <f>IFERROR(__xludf.DUMMYFUNCTION("IF(H354="""","""",
SUM(
ARRAYFORMULA(
IF(
REGEXMATCH(
"" ""&amp;H354&amp;"" "",
"" ""&amp;Sentiment_Words!A$2:A3730&amp;"" ""
),
1,
0
)
)
)
)"),1.0)</f>
        <v>1</v>
      </c>
      <c r="K354" s="4">
        <f>IFERROR(__xludf.DUMMYFUNCTION("IF(H354="""","""",
SUM(
ARRAYFORMULA(
IF(
REGEXMATCH(
"" ""&amp;H354&amp;"" "",
"" ""&amp;Sentiment_Words!B$2:B3730&amp;"" ""
),
1,
0
)
)
)
)"),0.0)</f>
        <v>0</v>
      </c>
      <c r="L354" s="7" t="str">
        <f t="shared" si="3"/>
        <v>Other</v>
      </c>
      <c r="M354" s="7" t="str">
        <f t="shared" si="4"/>
        <v>Positive</v>
      </c>
      <c r="N354" s="7" t="str">
        <f>IFERROR(__xludf.DUMMYFUNCTION("LOWER(
TRIM(
REGEXREPLACE(B354,""[^a-zA-Z\s]"","""")
)
)
"),"cheryl robinson")</f>
        <v>cheryl robinson</v>
      </c>
      <c r="O354" s="7">
        <f t="shared" si="5"/>
        <v>1</v>
      </c>
      <c r="P354" s="8" t="str">
        <f t="shared" si="6"/>
        <v>No</v>
      </c>
    </row>
    <row r="355">
      <c r="A355" s="4" t="s">
        <v>16</v>
      </c>
      <c r="B355" s="4" t="s">
        <v>1033</v>
      </c>
      <c r="C355" s="5">
        <v>45011.0</v>
      </c>
      <c r="D355" s="10">
        <v>45023.0</v>
      </c>
      <c r="E355" s="4" t="s">
        <v>81</v>
      </c>
      <c r="F355" s="4" t="s">
        <v>1034</v>
      </c>
      <c r="G355" s="6" t="str">
        <f>IFERROR(__xludf.DUMMYFUNCTION("REGEXREPLACE(LOWER(F355),""[^a-z\s]"","""")"),"petflow website is easy to navigate my order was processed and shipped quickly and accurately")</f>
        <v>petflow website is easy to navigate my order was processed and shipped quickly and accurately</v>
      </c>
      <c r="H355" s="4" t="str">
        <f t="shared" si="1"/>
        <v>petflow website easy navigate my order was processed shipped quickly accurately</v>
      </c>
      <c r="I355" s="6">
        <f t="shared" si="2"/>
        <v>11</v>
      </c>
      <c r="J355" s="6">
        <f>IFERROR(__xludf.DUMMYFUNCTION("IF(H355="""","""",
SUM(
ARRAYFORMULA(
IF(
REGEXMATCH(
"" ""&amp;H355&amp;"" "",
"" ""&amp;Sentiment_Words!A$2:A3730&amp;"" ""
),
1,
0
)
)
)
)"),2.0)</f>
        <v>2</v>
      </c>
      <c r="K355" s="4">
        <f>IFERROR(__xludf.DUMMYFUNCTION("IF(H355="""","""",
SUM(
ARRAYFORMULA(
IF(
REGEXMATCH(
"" ""&amp;H355&amp;"" "",
"" ""&amp;Sentiment_Words!B$2:B3730&amp;"" ""
),
1,
0
)
)
)
)"),0.0)</f>
        <v>0</v>
      </c>
      <c r="L355" s="7" t="str">
        <f t="shared" si="3"/>
        <v>Account &amp; Website</v>
      </c>
      <c r="M355" s="7" t="str">
        <f t="shared" si="4"/>
        <v>Positive</v>
      </c>
      <c r="N355" s="7" t="str">
        <f>IFERROR(__xludf.DUMMYFUNCTION("LOWER(
TRIM(
REGEXREPLACE(B355,""[^a-zA-Z\s]"","""")
)
)
"),"marilyn kempinski")</f>
        <v>marilyn kempinski</v>
      </c>
      <c r="O355" s="7">
        <f t="shared" si="5"/>
        <v>1</v>
      </c>
      <c r="P355" s="8" t="str">
        <f t="shared" si="6"/>
        <v>No</v>
      </c>
    </row>
    <row r="356">
      <c r="A356" s="4" t="s">
        <v>16</v>
      </c>
      <c r="B356" s="4" t="s">
        <v>1035</v>
      </c>
      <c r="C356" s="5">
        <v>45010.0</v>
      </c>
      <c r="D356" s="10">
        <v>45023.0</v>
      </c>
      <c r="E356" s="4" t="s">
        <v>1036</v>
      </c>
      <c r="F356" s="4" t="s">
        <v>1037</v>
      </c>
      <c r="G356" s="6" t="str">
        <f>IFERROR(__xludf.DUMMYFUNCTION("REGEXREPLACE(LOWER(F356),""[^a-z\s]"","""")"),"sitejabber website reviews and complaints
thanks  your review was successfully submitted woo hoo 
our internal mod team will take a look and notify you when its posted
thumbnail of user ardigoc
ardigo c
 reviews  helpful votes
whew
april th 
i ordered a "&amp;"few items from chewy and then couldnt find the dog food i always order and found it on this site and ordered it on here i immediately got a email confirmation from chewy but not from this site i was nervous and saw a lot of bad reviews and tried to cancel"&amp;" my order but could not figure out how to do it but i started getting emails about a half hour after my order confirming it and then text messages i received other emails and text messages offering me coupons and special deals always keeping me informed t"&amp;"he next morning i got an email and a text message that my order was shipped and the next day my order arrived i was excited to find this product because chewy does not have it anymore and on amazon it was double the price maybe the bad reviews were for a "&amp;"product that was low stock or maybe the company was just starting out im glad everything worked out i was nervous at first
products used
dog food")</f>
        <v>sitejabber website reviews and complaints
thanks  your review was successfully submitted woo hoo 
our internal mod team will take a look and notify you when its posted
thumbnail of user ardigoc
ardigo c
 reviews  helpful votes
whew
april th 
i ordered a few items from chewy and then couldnt find the dog food i always order and found it on this site and ordered it on here i immediately got a email confirmation from chewy but not from this site i was nervous and saw a lot of bad reviews and tried to cancel my order but could not figure out how to do it but i started getting emails about a half hour after my order confirming it and then text messages i received other emails and text messages offering me coupons and special deals always keeping me informed the next morning i got an email and a text message that my order was shipped and the next day my order arrived i was excited to find this product because chewy does not have it anymore and on amazon it was double the price maybe the bad reviews were for a product that was low stock or maybe the company was just starting out im glad everything worked out i was nervous at first
products used
dog food</v>
      </c>
      <c r="H356" s="4" t="str">
        <f t="shared" si="1"/>
        <v>sitejabber website reviews complaints
thanks your review was successfully submitted woo hoo 
our internal mod team will take a look notify you when its posted
thumbnail of user ardigoc
ardigo c
 reviews helpful votes
whew
april th 
i ordered a few items from chewy then couldnt find dog food i always order found it on this site ordered it on here i immediately got a email confirmation from chewy but not from this site i was nervous saw a lot of bad reviews tried cancel my order but could not figure out how do it but i started getting emails about a half hour after my order confirming it then text messages i received other emails text messages offering me coupons special deals always keeping me informed next morning i got an email a text message that my order was shipped next day my order arrived i was excited find this product because chewy does not have it anymore on amazon it was double price maybe bad reviews were a product that was low stock or maybe company was just starting out im glad everything worked out i was nervous at first
products used
dog food</v>
      </c>
      <c r="I356" s="6">
        <f t="shared" si="2"/>
        <v>189</v>
      </c>
      <c r="J356" s="6">
        <f>IFERROR(__xludf.DUMMYFUNCTION("IF(H356="""","""",
SUM(
ARRAYFORMULA(
IF(
REGEXMATCH(
"" ""&amp;H356&amp;"" "",
"" ""&amp;Sentiment_Words!A$2:A3730&amp;"" ""
),
1,
0
)
)
)
)"),4.0)</f>
        <v>4</v>
      </c>
      <c r="K356" s="4">
        <f>IFERROR(__xludf.DUMMYFUNCTION("IF(H356="""","""",
SUM(
ARRAYFORMULA(
IF(
REGEXMATCH(
"" ""&amp;H356&amp;"" "",
"" ""&amp;Sentiment_Words!B$2:B3730&amp;"" ""
),
1,
0
)
)
)
)"),0.0)</f>
        <v>0</v>
      </c>
      <c r="L356" s="7" t="str">
        <f t="shared" si="3"/>
        <v>Account &amp; Website</v>
      </c>
      <c r="M356" s="7" t="str">
        <f t="shared" si="4"/>
        <v>Positive</v>
      </c>
      <c r="N356" s="7" t="str">
        <f>IFERROR(__xludf.DUMMYFUNCTION("LOWER(
TRIM(
REGEXREPLACE(B356,""[^a-zA-Z\s]"","""")
)
)
"),"katherine gismondi")</f>
        <v>katherine gismondi</v>
      </c>
      <c r="O356" s="7">
        <f t="shared" si="5"/>
        <v>1</v>
      </c>
      <c r="P356" s="8" t="str">
        <f t="shared" si="6"/>
        <v>No</v>
      </c>
    </row>
    <row r="357">
      <c r="A357" s="4" t="s">
        <v>16</v>
      </c>
      <c r="B357" s="4" t="s">
        <v>1038</v>
      </c>
      <c r="C357" s="5">
        <v>44983.0</v>
      </c>
      <c r="D357" s="10">
        <v>45023.0</v>
      </c>
      <c r="E357" s="4" t="s">
        <v>1039</v>
      </c>
      <c r="F357" s="4" t="s">
        <v>1040</v>
      </c>
      <c r="G357" s="6" t="str">
        <f>IFERROR(__xludf.DUMMYFUNCTION("REGEXREPLACE(LOWER(F357),""[^a-z\s]"","""")"),"fast delivery always have what i want at reasonable prices")</f>
        <v>fast delivery always have what i want at reasonable prices</v>
      </c>
      <c r="H357" s="4" t="str">
        <f t="shared" si="1"/>
        <v>fast delivery always have what i want at reasonable prices</v>
      </c>
      <c r="I357" s="6">
        <f t="shared" si="2"/>
        <v>10</v>
      </c>
      <c r="J357" s="6">
        <f>IFERROR(__xludf.DUMMYFUNCTION("IF(H357="""","""",
SUM(
ARRAYFORMULA(
IF(
REGEXMATCH(
"" ""&amp;H357&amp;"" "",
"" ""&amp;Sentiment_Words!A$2:A3730&amp;"" ""
),
1,
0
)
)
)
)"),2.0)</f>
        <v>2</v>
      </c>
      <c r="K357" s="4">
        <f>IFERROR(__xludf.DUMMYFUNCTION("IF(H357="""","""",
SUM(
ARRAYFORMULA(
IF(
REGEXMATCH(
"" ""&amp;H357&amp;"" "",
"" ""&amp;Sentiment_Words!B$2:B3730&amp;"" ""
),
1,
0
)
)
)
)"),0.0)</f>
        <v>0</v>
      </c>
      <c r="L357" s="7" t="str">
        <f t="shared" si="3"/>
        <v>Other</v>
      </c>
      <c r="M357" s="7" t="str">
        <f t="shared" si="4"/>
        <v>Positive</v>
      </c>
      <c r="N357" s="7" t="str">
        <f>IFERROR(__xludf.DUMMYFUNCTION("LOWER(
TRIM(
REGEXREPLACE(B357,""[^a-zA-Z\s]"","""")
)
)
"),"paulette vocu")</f>
        <v>paulette vocu</v>
      </c>
      <c r="O357" s="7">
        <f t="shared" si="5"/>
        <v>1</v>
      </c>
      <c r="P357" s="8" t="str">
        <f t="shared" si="6"/>
        <v>No</v>
      </c>
    </row>
    <row r="358">
      <c r="A358" s="4" t="s">
        <v>16</v>
      </c>
      <c r="B358" s="4" t="s">
        <v>1041</v>
      </c>
      <c r="C358" s="9">
        <v>45021.0</v>
      </c>
      <c r="D358" s="10">
        <v>45022.0</v>
      </c>
      <c r="E358" s="4" t="s">
        <v>1042</v>
      </c>
      <c r="F358" s="4" t="s">
        <v>1043</v>
      </c>
      <c r="G358" s="6" t="str">
        <f>IFERROR(__xludf.DUMMYFUNCTION("REGEXREPLACE(LOWER(F358),""[^a-z\s]"","""")"),"i ordered my dogs food and it came right in time")</f>
        <v>i ordered my dogs food and it came right in time</v>
      </c>
      <c r="H358" s="4" t="str">
        <f t="shared" si="1"/>
        <v>i ordered my dogs food it came right in time</v>
      </c>
      <c r="I358" s="6">
        <f t="shared" si="2"/>
        <v>10</v>
      </c>
      <c r="J358" s="6">
        <f>IFERROR(__xludf.DUMMYFUNCTION("IF(H358="""","""",
SUM(
ARRAYFORMULA(
IF(
REGEXMATCH(
"" ""&amp;H358&amp;"" "",
"" ""&amp;Sentiment_Words!A$2:A3730&amp;"" ""
),
1,
0
)
)
)
)"),0.0)</f>
        <v>0</v>
      </c>
      <c r="K358" s="4">
        <f>IFERROR(__xludf.DUMMYFUNCTION("IF(H358="""","""",
SUM(
ARRAYFORMULA(
IF(
REGEXMATCH(
"" ""&amp;H358&amp;"" "",
"" ""&amp;Sentiment_Words!B$2:B3730&amp;"" ""
),
1,
0
)
)
)
)"),0.0)</f>
        <v>0</v>
      </c>
      <c r="L358" s="7" t="str">
        <f t="shared" si="3"/>
        <v>Other</v>
      </c>
      <c r="M358" s="7" t="str">
        <f t="shared" si="4"/>
        <v>Neutral</v>
      </c>
      <c r="N358" s="7" t="str">
        <f>IFERROR(__xludf.DUMMYFUNCTION("LOWER(
TRIM(
REGEXREPLACE(B358,""[^a-zA-Z\s]"","""")
)
)
"),"harold")</f>
        <v>harold</v>
      </c>
      <c r="O358" s="7">
        <f t="shared" si="5"/>
        <v>2</v>
      </c>
      <c r="P358" s="8" t="str">
        <f t="shared" si="6"/>
        <v>Yes</v>
      </c>
    </row>
    <row r="359">
      <c r="A359" s="4" t="s">
        <v>16</v>
      </c>
      <c r="B359" s="4" t="s">
        <v>1044</v>
      </c>
      <c r="C359" s="5">
        <v>45010.0</v>
      </c>
      <c r="D359" s="10">
        <v>45022.0</v>
      </c>
      <c r="E359" s="4" t="s">
        <v>1045</v>
      </c>
      <c r="F359" s="4" t="s">
        <v>1046</v>
      </c>
      <c r="G359" s="6" t="str">
        <f>IFERROR(__xludf.DUMMYFUNCTION("REGEXREPLACE(LOWER(F359),""[^a-z\s]"","""")"),"was happy to get our new puppy the food we were looking for at a good deal however the dog food bag had a hole in it food was scattered everywhere and the box was falling apart which was not a big deal except for that our food bag had a hole in it")</f>
        <v>was happy to get our new puppy the food we were looking for at a good deal however the dog food bag had a hole in it food was scattered everywhere and the box was falling apart which was not a big deal except for that our food bag had a hole in it</v>
      </c>
      <c r="H359" s="4" t="str">
        <f t="shared" si="1"/>
        <v>was happy get our new puppy food we were looking at a good deal however dog food bag had a hole in it food was scattered everywhere box was falling apart which was not a big deal except that our food bag had a hole in it</v>
      </c>
      <c r="I359" s="6">
        <f t="shared" si="2"/>
        <v>47</v>
      </c>
      <c r="J359" s="6">
        <f>IFERROR(__xludf.DUMMYFUNCTION("IF(H359="""","""",
SUM(
ARRAYFORMULA(
IF(
REGEXMATCH(
"" ""&amp;H359&amp;"" "",
"" ""&amp;Sentiment_Words!A$2:A3730&amp;"" ""
),
1,
0
)
)
)
)"),2.0)</f>
        <v>2</v>
      </c>
      <c r="K359" s="4">
        <f>IFERROR(__xludf.DUMMYFUNCTION("IF(H359="""","""",
SUM(
ARRAYFORMULA(
IF(
REGEXMATCH(
"" ""&amp;H359&amp;"" "",
"" ""&amp;Sentiment_Words!B$2:B3730&amp;"" ""
),
1,
0
)
)
)
)"),0.0)</f>
        <v>0</v>
      </c>
      <c r="L359" s="7" t="str">
        <f t="shared" si="3"/>
        <v>Other</v>
      </c>
      <c r="M359" s="7" t="str">
        <f t="shared" si="4"/>
        <v>Positive</v>
      </c>
      <c r="N359" s="7" t="str">
        <f>IFERROR(__xludf.DUMMYFUNCTION("LOWER(
TRIM(
REGEXREPLACE(B359,""[^a-zA-Z\s]"","""")
)
)
"),"gordon bryant")</f>
        <v>gordon bryant</v>
      </c>
      <c r="O359" s="7">
        <f t="shared" si="5"/>
        <v>1</v>
      </c>
      <c r="P359" s="8" t="str">
        <f t="shared" si="6"/>
        <v>No</v>
      </c>
    </row>
    <row r="360">
      <c r="A360" s="4" t="s">
        <v>16</v>
      </c>
      <c r="B360" s="4" t="s">
        <v>1047</v>
      </c>
      <c r="C360" s="5">
        <v>45010.0</v>
      </c>
      <c r="D360" s="10">
        <v>45022.0</v>
      </c>
      <c r="E360" s="4" t="s">
        <v>1048</v>
      </c>
      <c r="F360" s="4" t="s">
        <v>331</v>
      </c>
      <c r="G360" s="6" t="str">
        <f>IFERROR(__xludf.DUMMYFUNCTION("REGEXREPLACE(LOWER(F360),""[^a-z\s]"","""")"),"none")</f>
        <v>none</v>
      </c>
      <c r="H360" s="4" t="str">
        <f t="shared" si="1"/>
        <v>none</v>
      </c>
      <c r="I360" s="6">
        <f t="shared" si="2"/>
        <v>1</v>
      </c>
      <c r="J360" s="6">
        <f>IFERROR(__xludf.DUMMYFUNCTION("IF(H360="""","""",
SUM(
ARRAYFORMULA(
IF(
REGEXMATCH(
"" ""&amp;H360&amp;"" "",
"" ""&amp;Sentiment_Words!A$2:A3730&amp;"" ""
),
1,
0
)
)
)
)"),0.0)</f>
        <v>0</v>
      </c>
      <c r="K360" s="4">
        <f>IFERROR(__xludf.DUMMYFUNCTION("IF(H360="""","""",
SUM(
ARRAYFORMULA(
IF(
REGEXMATCH(
"" ""&amp;H360&amp;"" "",
"" ""&amp;Sentiment_Words!B$2:B3730&amp;"" ""
),
1,
0
)
)
)
)"),0.0)</f>
        <v>0</v>
      </c>
      <c r="L360" s="7" t="str">
        <f t="shared" si="3"/>
        <v>Other</v>
      </c>
      <c r="M360" s="7" t="str">
        <f t="shared" si="4"/>
        <v>Neutral</v>
      </c>
      <c r="N360" s="7" t="str">
        <f>IFERROR(__xludf.DUMMYFUNCTION("LOWER(
TRIM(
REGEXREPLACE(B360,""[^a-zA-Z\s]"","""")
)
)
"),"marion mohr")</f>
        <v>marion mohr</v>
      </c>
      <c r="O360" s="7">
        <f t="shared" si="5"/>
        <v>1</v>
      </c>
      <c r="P360" s="8" t="str">
        <f t="shared" si="6"/>
        <v>No</v>
      </c>
    </row>
    <row r="361">
      <c r="A361" s="4" t="s">
        <v>16</v>
      </c>
      <c r="B361" s="4" t="s">
        <v>1049</v>
      </c>
      <c r="C361" s="5">
        <v>45010.0</v>
      </c>
      <c r="D361" s="10">
        <v>45022.0</v>
      </c>
      <c r="E361" s="4" t="s">
        <v>1050</v>
      </c>
      <c r="F361" s="4" t="s">
        <v>331</v>
      </c>
      <c r="G361" s="6" t="str">
        <f>IFERROR(__xludf.DUMMYFUNCTION("REGEXREPLACE(LOWER(F361),""[^a-z\s]"","""")"),"none")</f>
        <v>none</v>
      </c>
      <c r="H361" s="4" t="str">
        <f t="shared" si="1"/>
        <v>none</v>
      </c>
      <c r="I361" s="6">
        <f t="shared" si="2"/>
        <v>1</v>
      </c>
      <c r="J361" s="6">
        <f>IFERROR(__xludf.DUMMYFUNCTION("IF(H361="""","""",
SUM(
ARRAYFORMULA(
IF(
REGEXMATCH(
"" ""&amp;H361&amp;"" "",
"" ""&amp;Sentiment_Words!A$2:A3730&amp;"" ""
),
1,
0
)
)
)
)"),0.0)</f>
        <v>0</v>
      </c>
      <c r="K361" s="4">
        <f>IFERROR(__xludf.DUMMYFUNCTION("IF(H361="""","""",
SUM(
ARRAYFORMULA(
IF(
REGEXMATCH(
"" ""&amp;H361&amp;"" "",
"" ""&amp;Sentiment_Words!B$2:B3730&amp;"" ""
),
1,
0
)
)
)
)"),0.0)</f>
        <v>0</v>
      </c>
      <c r="L361" s="7" t="str">
        <f t="shared" si="3"/>
        <v>Other</v>
      </c>
      <c r="M361" s="7" t="str">
        <f t="shared" si="4"/>
        <v>Neutral</v>
      </c>
      <c r="N361" s="7" t="str">
        <f>IFERROR(__xludf.DUMMYFUNCTION("LOWER(
TRIM(
REGEXREPLACE(B361,""[^a-zA-Z\s]"","""")
)
)
"),"wa")</f>
        <v>wa</v>
      </c>
      <c r="O361" s="7">
        <f t="shared" si="5"/>
        <v>1</v>
      </c>
      <c r="P361" s="8" t="str">
        <f t="shared" si="6"/>
        <v>No</v>
      </c>
    </row>
    <row r="362">
      <c r="A362" s="4" t="s">
        <v>16</v>
      </c>
      <c r="B362" s="4" t="s">
        <v>1051</v>
      </c>
      <c r="C362" s="5">
        <v>45010.0</v>
      </c>
      <c r="D362" s="10">
        <v>45022.0</v>
      </c>
      <c r="E362" s="4" t="s">
        <v>1052</v>
      </c>
      <c r="F362" s="4" t="s">
        <v>1053</v>
      </c>
      <c r="G362" s="6" t="str">
        <f>IFERROR(__xludf.DUMMYFUNCTION("REGEXREPLACE(LOWER(F362),""[^a-z\s]"","""")"),"fast easy service timely delivery and easy return well be back to order again in the future")</f>
        <v>fast easy service timely delivery and easy return well be back to order again in the future</v>
      </c>
      <c r="H362" s="4" t="str">
        <f t="shared" si="1"/>
        <v>fast easy service timely delivery easy return well be back order again in future</v>
      </c>
      <c r="I362" s="6">
        <f t="shared" si="2"/>
        <v>14</v>
      </c>
      <c r="J362" s="6">
        <f>IFERROR(__xludf.DUMMYFUNCTION("IF(H362="""","""",
SUM(
ARRAYFORMULA(
IF(
REGEXMATCH(
"" ""&amp;H362&amp;"" "",
"" ""&amp;Sentiment_Words!A$2:A3730&amp;"" ""
),
1,
0
)
)
)
)"),2.0)</f>
        <v>2</v>
      </c>
      <c r="K362" s="4">
        <f>IFERROR(__xludf.DUMMYFUNCTION("IF(H362="""","""",
SUM(
ARRAYFORMULA(
IF(
REGEXMATCH(
"" ""&amp;H362&amp;"" "",
"" ""&amp;Sentiment_Words!B$2:B3730&amp;"" ""
),
1,
0
)
)
)
)"),0.0)</f>
        <v>0</v>
      </c>
      <c r="L362" s="7" t="str">
        <f t="shared" si="3"/>
        <v>Customer Support</v>
      </c>
      <c r="M362" s="7" t="str">
        <f t="shared" si="4"/>
        <v>Positive</v>
      </c>
      <c r="N362" s="7" t="str">
        <f>IFERROR(__xludf.DUMMYFUNCTION("LOWER(
TRIM(
REGEXREPLACE(B362,""[^a-zA-Z\s]"","""")
)
)
"),"ray vitale")</f>
        <v>ray vitale</v>
      </c>
      <c r="O362" s="7">
        <f t="shared" si="5"/>
        <v>1</v>
      </c>
      <c r="P362" s="8" t="str">
        <f t="shared" si="6"/>
        <v>No</v>
      </c>
    </row>
    <row r="363">
      <c r="A363" s="4" t="s">
        <v>16</v>
      </c>
      <c r="B363" s="4" t="s">
        <v>1054</v>
      </c>
      <c r="C363" s="5">
        <v>45009.0</v>
      </c>
      <c r="D363" s="10">
        <v>45022.0</v>
      </c>
      <c r="E363" s="4" t="s">
        <v>1055</v>
      </c>
      <c r="F363" s="4" t="s">
        <v>1056</v>
      </c>
      <c r="G363" s="6" t="str">
        <f>IFERROR(__xludf.DUMMYFUNCTION("REGEXREPLACE(LOWER(F363),""[^a-z\s]"","""")"),"my order was correct came quickly and was as advertised my doggos love love love this food and i loved the ordering experience")</f>
        <v>my order was correct came quickly and was as advertised my doggos love love love this food and i loved the ordering experience</v>
      </c>
      <c r="H363" s="4" t="str">
        <f t="shared" si="1"/>
        <v>my order was correct came quickly was as advertised my doggos love love love this food i loved ordering experience</v>
      </c>
      <c r="I363" s="6">
        <f t="shared" si="2"/>
        <v>20</v>
      </c>
      <c r="J363" s="6">
        <f>IFERROR(__xludf.DUMMYFUNCTION("IF(H363="""","""",
SUM(
ARRAYFORMULA(
IF(
REGEXMATCH(
"" ""&amp;H363&amp;"" "",
"" ""&amp;Sentiment_Words!A$2:A3730&amp;"" ""
),
1,
0
)
)
)
)"),1.0)</f>
        <v>1</v>
      </c>
      <c r="K363" s="4">
        <f>IFERROR(__xludf.DUMMYFUNCTION("IF(H363="""","""",
SUM(
ARRAYFORMULA(
IF(
REGEXMATCH(
"" ""&amp;H363&amp;"" "",
"" ""&amp;Sentiment_Words!B$2:B3730&amp;"" ""
),
1,
0
)
)
)
)"),0.0)</f>
        <v>0</v>
      </c>
      <c r="L363" s="7" t="str">
        <f t="shared" si="3"/>
        <v>Other</v>
      </c>
      <c r="M363" s="7" t="str">
        <f t="shared" si="4"/>
        <v>Positive</v>
      </c>
      <c r="N363" s="7" t="str">
        <f>IFERROR(__xludf.DUMMYFUNCTION("LOWER(
TRIM(
REGEXREPLACE(B363,""[^a-zA-Z\s]"","""")
)
)
"),"barbara swanson")</f>
        <v>barbara swanson</v>
      </c>
      <c r="O363" s="7">
        <f t="shared" si="5"/>
        <v>1</v>
      </c>
      <c r="P363" s="8" t="str">
        <f t="shared" si="6"/>
        <v>No</v>
      </c>
    </row>
    <row r="364">
      <c r="A364" s="4" t="s">
        <v>16</v>
      </c>
      <c r="B364" s="4" t="s">
        <v>1057</v>
      </c>
      <c r="C364" s="5">
        <v>45009.0</v>
      </c>
      <c r="D364" s="10">
        <v>45021.0</v>
      </c>
      <c r="E364" s="4" t="s">
        <v>1058</v>
      </c>
      <c r="F364" s="4" t="s">
        <v>1059</v>
      </c>
      <c r="G364" s="6" t="str">
        <f>IFERROR(__xludf.DUMMYFUNCTION("REGEXREPLACE(LOWER(F364),""[^a-z\s]"","""")"),"my order hasnt been shipped after over a week when i reached out i was told i had to call management im glad i received a prompt response but i dont want to call anyone and i didnt want to wait any longer so i went back to chewy although your prices were "&amp;"a fraction better but my animals cant wait thank you")</f>
        <v>my order hasnt been shipped after over a week when i reached out i was told i had to call management im glad i received a prompt response but i dont want to call anyone and i didnt want to wait any longer so i went back to chewy although your prices were a fraction better but my animals cant wait thank you</v>
      </c>
      <c r="H364" s="4" t="str">
        <f t="shared" si="1"/>
        <v>my order hasnt been shipped after over a week when i reached out i was told i had call management im glad i received a prompt response but i dont want call anyone i didnt want wait any longer so i went back chewy although your prices were a fraction better but my animals cant wait thank you</v>
      </c>
      <c r="I364" s="6">
        <f t="shared" si="2"/>
        <v>58</v>
      </c>
      <c r="J364" s="6">
        <f>IFERROR(__xludf.DUMMYFUNCTION("IF(H364="""","""",
SUM(
ARRAYFORMULA(
IF(
REGEXMATCH(
"" ""&amp;H364&amp;"" "",
"" ""&amp;Sentiment_Words!A$2:A3730&amp;"" ""
),
1,
0
)
)
)
)"),1.0)</f>
        <v>1</v>
      </c>
      <c r="K364" s="4">
        <f>IFERROR(__xludf.DUMMYFUNCTION("IF(H364="""","""",
SUM(
ARRAYFORMULA(
IF(
REGEXMATCH(
"" ""&amp;H364&amp;"" "",
"" ""&amp;Sentiment_Words!B$2:B3730&amp;"" ""
),
1,
0
)
)
)
)"),0.0)</f>
        <v>0</v>
      </c>
      <c r="L364" s="7" t="str">
        <f t="shared" si="3"/>
        <v>Other</v>
      </c>
      <c r="M364" s="7" t="str">
        <f t="shared" si="4"/>
        <v>Positive</v>
      </c>
      <c r="N364" s="7" t="str">
        <f>IFERROR(__xludf.DUMMYFUNCTION("LOWER(
TRIM(
REGEXREPLACE(B364,""[^a-zA-Z\s]"","""")
)
)
"),"el roake")</f>
        <v>el roake</v>
      </c>
      <c r="O364" s="7">
        <f t="shared" si="5"/>
        <v>1</v>
      </c>
      <c r="P364" s="8" t="str">
        <f t="shared" si="6"/>
        <v>No</v>
      </c>
    </row>
    <row r="365">
      <c r="A365" s="4" t="s">
        <v>16</v>
      </c>
      <c r="B365" s="4" t="s">
        <v>1060</v>
      </c>
      <c r="C365" s="5">
        <v>45008.0</v>
      </c>
      <c r="D365" s="10">
        <v>45021.0</v>
      </c>
      <c r="E365" s="4" t="s">
        <v>1061</v>
      </c>
      <c r="F365" s="4" t="s">
        <v>1062</v>
      </c>
      <c r="G365" s="6" t="str">
        <f>IFERROR(__xludf.DUMMYFUNCTION("REGEXREPLACE(LOWER(F365),""[^a-z\s]"","""")"),"excellent items packing was also excellent and fast shipping will order again")</f>
        <v>excellent items packing was also excellent and fast shipping will order again</v>
      </c>
      <c r="H365" s="4" t="str">
        <f t="shared" si="1"/>
        <v>excellent items packing was also excellent fast shipping will order again</v>
      </c>
      <c r="I365" s="6">
        <f t="shared" si="2"/>
        <v>11</v>
      </c>
      <c r="J365" s="6">
        <f>IFERROR(__xludf.DUMMYFUNCTION("IF(H365="""","""",
SUM(
ARRAYFORMULA(
IF(
REGEXMATCH(
"" ""&amp;H365&amp;"" "",
"" ""&amp;Sentiment_Words!A$2:A3730&amp;"" ""
),
1,
0
)
)
)
)"),1.0)</f>
        <v>1</v>
      </c>
      <c r="K365" s="4">
        <f>IFERROR(__xludf.DUMMYFUNCTION("IF(H365="""","""",
SUM(
ARRAYFORMULA(
IF(
REGEXMATCH(
"" ""&amp;H365&amp;"" "",
"" ""&amp;Sentiment_Words!B$2:B3730&amp;"" ""
),
1,
0
)
)
)
)"),0.0)</f>
        <v>0</v>
      </c>
      <c r="L365" s="7" t="str">
        <f t="shared" si="3"/>
        <v>Other</v>
      </c>
      <c r="M365" s="7" t="str">
        <f t="shared" si="4"/>
        <v>Positive</v>
      </c>
      <c r="N365" s="7" t="str">
        <f>IFERROR(__xludf.DUMMYFUNCTION("LOWER(
TRIM(
REGEXREPLACE(B365,""[^a-zA-Z\s]"","""")
)
)
"),"mckeone alonna")</f>
        <v>mckeone alonna</v>
      </c>
      <c r="O365" s="7">
        <f t="shared" si="5"/>
        <v>1</v>
      </c>
      <c r="P365" s="8" t="str">
        <f t="shared" si="6"/>
        <v>No</v>
      </c>
    </row>
    <row r="366">
      <c r="A366" s="4" t="s">
        <v>16</v>
      </c>
      <c r="B366" s="4" t="s">
        <v>219</v>
      </c>
      <c r="C366" s="5">
        <v>45008.0</v>
      </c>
      <c r="D366" s="10">
        <v>45020.0</v>
      </c>
      <c r="E366" s="4" t="s">
        <v>1063</v>
      </c>
      <c r="F366" s="4" t="s">
        <v>1064</v>
      </c>
      <c r="G366" s="6" t="str">
        <f>IFERROR(__xludf.DUMMYFUNCTION("REGEXREPLACE(LOWER(F366),""[^a-z\s]"","""")"),"most items are always in stock and reasonably priced my orders are shipped promptly keep up the great work")</f>
        <v>most items are always in stock and reasonably priced my orders are shipped promptly keep up the great work</v>
      </c>
      <c r="H366" s="4" t="str">
        <f t="shared" si="1"/>
        <v>most items are always in stock reasonably priced my orders are shipped promptly keep up great work</v>
      </c>
      <c r="I366" s="6">
        <f t="shared" si="2"/>
        <v>17</v>
      </c>
      <c r="J366" s="6">
        <f>IFERROR(__xludf.DUMMYFUNCTION("IF(H366="""","""",
SUM(
ARRAYFORMULA(
IF(
REGEXMATCH(
"" ""&amp;H366&amp;"" "",
"" ""&amp;Sentiment_Words!A$2:A3730&amp;"" ""
),
1,
0
)
)
)
)"),1.0)</f>
        <v>1</v>
      </c>
      <c r="K366" s="4">
        <f>IFERROR(__xludf.DUMMYFUNCTION("IF(H366="""","""",
SUM(
ARRAYFORMULA(
IF(
REGEXMATCH(
"" ""&amp;H366&amp;"" "",
"" ""&amp;Sentiment_Words!B$2:B3730&amp;"" ""
),
1,
0
)
)
)
)"),0.0)</f>
        <v>0</v>
      </c>
      <c r="L366" s="7" t="str">
        <f t="shared" si="3"/>
        <v>Other</v>
      </c>
      <c r="M366" s="7" t="str">
        <f t="shared" si="4"/>
        <v>Positive</v>
      </c>
      <c r="N366" s="7" t="str">
        <f>IFERROR(__xludf.DUMMYFUNCTION("LOWER(
TRIM(
REGEXREPLACE(B366,""[^a-zA-Z\s]"","""")
)
)
"),"linda")</f>
        <v>linda</v>
      </c>
      <c r="O366" s="7">
        <f t="shared" si="5"/>
        <v>10</v>
      </c>
      <c r="P366" s="8" t="str">
        <f t="shared" si="6"/>
        <v>Yes</v>
      </c>
    </row>
    <row r="367">
      <c r="A367" s="4" t="s">
        <v>16</v>
      </c>
      <c r="B367" s="4" t="s">
        <v>1065</v>
      </c>
      <c r="C367" s="5">
        <v>45008.0</v>
      </c>
      <c r="D367" s="10">
        <v>45020.0</v>
      </c>
      <c r="E367" s="4" t="s">
        <v>1066</v>
      </c>
      <c r="F367" s="4" t="s">
        <v>1067</v>
      </c>
      <c r="G367" s="6" t="str">
        <f>IFERROR(__xludf.DUMMYFUNCTION("REGEXREPLACE(LOWER(F367),""[^a-z\s]"","""")"),"very nice and quick with my order unlike some other companies who delay my package love it and the coupons please send more because we in a recession thank you")</f>
        <v>very nice and quick with my order unlike some other companies who delay my package love it and the coupons please send more because we in a recession thank you</v>
      </c>
      <c r="H367" s="4" t="str">
        <f t="shared" si="1"/>
        <v>very nice quick with my order unlike some other companies who delay my package love it coupons please send more because we in a recession thank you</v>
      </c>
      <c r="I367" s="6">
        <f t="shared" si="2"/>
        <v>27</v>
      </c>
      <c r="J367" s="6">
        <f>IFERROR(__xludf.DUMMYFUNCTION("IF(H367="""","""",
SUM(
ARRAYFORMULA(
IF(
REGEXMATCH(
"" ""&amp;H367&amp;"" "",
"" ""&amp;Sentiment_Words!A$2:A3730&amp;"" ""
),
1,
0
)
)
)
)"),1.0)</f>
        <v>1</v>
      </c>
      <c r="K367" s="4">
        <f>IFERROR(__xludf.DUMMYFUNCTION("IF(H367="""","""",
SUM(
ARRAYFORMULA(
IF(
REGEXMATCH(
"" ""&amp;H367&amp;"" "",
"" ""&amp;Sentiment_Words!B$2:B3730&amp;"" ""
),
1,
0
)
)
)
)"),1.0)</f>
        <v>1</v>
      </c>
      <c r="L367" s="7" t="str">
        <f t="shared" si="3"/>
        <v>Fulfillment &amp; Shipping</v>
      </c>
      <c r="M367" s="7" t="str">
        <f t="shared" si="4"/>
        <v>Neutral</v>
      </c>
      <c r="N367" s="7" t="str">
        <f>IFERROR(__xludf.DUMMYFUNCTION("LOWER(
TRIM(
REGEXREPLACE(B367,""[^a-zA-Z\s]"","""")
)
)
"),"alexandra mendizabal")</f>
        <v>alexandra mendizabal</v>
      </c>
      <c r="O367" s="7">
        <f t="shared" si="5"/>
        <v>1</v>
      </c>
      <c r="P367" s="8" t="str">
        <f t="shared" si="6"/>
        <v>No</v>
      </c>
    </row>
    <row r="368">
      <c r="A368" s="4" t="s">
        <v>16</v>
      </c>
      <c r="B368" s="4" t="s">
        <v>1068</v>
      </c>
      <c r="C368" s="5">
        <v>45008.0</v>
      </c>
      <c r="D368" s="10">
        <v>45020.0</v>
      </c>
      <c r="E368" s="4" t="s">
        <v>1069</v>
      </c>
      <c r="F368" s="4" t="s">
        <v>1070</v>
      </c>
      <c r="G368" s="6" t="str">
        <f>IFERROR(__xludf.DUMMYFUNCTION("REGEXREPLACE(LOWER(F368),""[^a-z\s]"","""")"),"been ordering from petflow for a few years now they have fast shipping and always get my order correct i also like that they have many different foods and products to choose from")</f>
        <v>been ordering from petflow for a few years now they have fast shipping and always get my order correct i also like that they have many different foods and products to choose from</v>
      </c>
      <c r="H368" s="4" t="str">
        <f t="shared" si="1"/>
        <v>been ordering from petflow a few years now they have fast shipping always get my order correct i also like that they have many different foods products choose from</v>
      </c>
      <c r="I368" s="6">
        <f t="shared" si="2"/>
        <v>29</v>
      </c>
      <c r="J368" s="6">
        <f>IFERROR(__xludf.DUMMYFUNCTION("IF(H368="""","""",
SUM(
ARRAYFORMULA(
IF(
REGEXMATCH(
"" ""&amp;H368&amp;"" "",
"" ""&amp;Sentiment_Words!A$2:A3730&amp;"" ""
),
1,
0
)
)
)
)"),1.0)</f>
        <v>1</v>
      </c>
      <c r="K368" s="4">
        <f>IFERROR(__xludf.DUMMYFUNCTION("IF(H368="""","""",
SUM(
ARRAYFORMULA(
IF(
REGEXMATCH(
"" ""&amp;H368&amp;"" "",
"" ""&amp;Sentiment_Words!B$2:B3730&amp;"" ""
),
1,
0
)
)
)
)"),0.0)</f>
        <v>0</v>
      </c>
      <c r="L368" s="7" t="str">
        <f t="shared" si="3"/>
        <v>Other</v>
      </c>
      <c r="M368" s="7" t="str">
        <f t="shared" si="4"/>
        <v>Positive</v>
      </c>
      <c r="N368" s="7" t="str">
        <f>IFERROR(__xludf.DUMMYFUNCTION("LOWER(
TRIM(
REGEXREPLACE(B368,""[^a-zA-Z\s]"","""")
)
)
"),"barb wcustomer")</f>
        <v>barb wcustomer</v>
      </c>
      <c r="O368" s="7">
        <f t="shared" si="5"/>
        <v>1</v>
      </c>
      <c r="P368" s="8" t="str">
        <f t="shared" si="6"/>
        <v>No</v>
      </c>
    </row>
    <row r="369">
      <c r="A369" s="4" t="s">
        <v>16</v>
      </c>
      <c r="B369" s="4" t="s">
        <v>1071</v>
      </c>
      <c r="C369" s="5">
        <v>45008.0</v>
      </c>
      <c r="D369" s="10">
        <v>45020.0</v>
      </c>
      <c r="E369" s="4" t="s">
        <v>1072</v>
      </c>
      <c r="F369" s="4" t="s">
        <v>1073</v>
      </c>
      <c r="G369" s="6" t="str">
        <f>IFERROR(__xludf.DUMMYFUNCTION("REGEXREPLACE(LOWER(F369),""[^a-z\s]"","""")"),"my first time with petflow it was a fluke how i heard about them glad i did wonderful website and easy to use im not a tech savvy person love the autodelivery discount and the variety they have my little ones flavor of pure vita dog food is hard to find o"&amp;"nline but petflow had it i was also very satisfied with the delivery happy customer and will continue to order from them")</f>
        <v>my first time with petflow it was a fluke how i heard about them glad i did wonderful website and easy to use im not a tech savvy person love the autodelivery discount and the variety they have my little ones flavor of pure vita dog food is hard to find online but petflow had it i was also very satisfied with the delivery happy customer and will continue to order from them</v>
      </c>
      <c r="H369" s="4" t="str">
        <f t="shared" si="1"/>
        <v>my first time with petflow it was a fluke how i heard about them glad i did wonderful website easy use im not a tech savvy person love autodelivery discount variety they have my little ones flavor of pure vita dog food hard find online but petflow had it i was also very satisfied with delivery happy customer will continue order from them</v>
      </c>
      <c r="I369" s="6">
        <f t="shared" si="2"/>
        <v>63</v>
      </c>
      <c r="J369" s="6">
        <f>IFERROR(__xludf.DUMMYFUNCTION("IF(H369="""","""",
SUM(
ARRAYFORMULA(
IF(
REGEXMATCH(
"" ""&amp;H369&amp;"" "",
"" ""&amp;Sentiment_Words!A$2:A3730&amp;"" ""
),
1,
0
)
)
)
)"),5.0)</f>
        <v>5</v>
      </c>
      <c r="K369" s="4">
        <f>IFERROR(__xludf.DUMMYFUNCTION("IF(H369="""","""",
SUM(
ARRAYFORMULA(
IF(
REGEXMATCH(
"" ""&amp;H369&amp;"" "",
"" ""&amp;Sentiment_Words!B$2:B3730&amp;"" ""
),
1,
0
)
)
)
)"),0.0)</f>
        <v>0</v>
      </c>
      <c r="L369" s="7" t="str">
        <f t="shared" si="3"/>
        <v>Account &amp; Website</v>
      </c>
      <c r="M369" s="7" t="str">
        <f t="shared" si="4"/>
        <v>Positive</v>
      </c>
      <c r="N369" s="7" t="str">
        <f>IFERROR(__xludf.DUMMYFUNCTION("LOWER(
TRIM(
REGEXREPLACE(B369,""[^a-zA-Z\s]"","""")
)
)
"),"pamela m")</f>
        <v>pamela m</v>
      </c>
      <c r="O369" s="7">
        <f t="shared" si="5"/>
        <v>1</v>
      </c>
      <c r="P369" s="8" t="str">
        <f t="shared" si="6"/>
        <v>No</v>
      </c>
    </row>
    <row r="370">
      <c r="A370" s="4" t="s">
        <v>16</v>
      </c>
      <c r="B370" s="4" t="s">
        <v>1074</v>
      </c>
      <c r="C370" s="5">
        <v>45008.0</v>
      </c>
      <c r="D370" s="10">
        <v>45020.0</v>
      </c>
      <c r="E370" s="4" t="s">
        <v>1075</v>
      </c>
      <c r="F370" s="4" t="s">
        <v>1076</v>
      </c>
      <c r="G370" s="6" t="str">
        <f>IFERROR(__xludf.DUMMYFUNCTION("REGEXREPLACE(LOWER(F370),""[^a-z\s]"","""")"),"always a positive experience quick delivery and has always resolved promptly if there are any issues")</f>
        <v>always a positive experience quick delivery and has always resolved promptly if there are any issues</v>
      </c>
      <c r="H370" s="4" t="str">
        <f t="shared" si="1"/>
        <v>always a positive experience quick delivery has always resolved promptly if there are any issues</v>
      </c>
      <c r="I370" s="6">
        <f t="shared" si="2"/>
        <v>15</v>
      </c>
      <c r="J370" s="6">
        <f>IFERROR(__xludf.DUMMYFUNCTION("IF(H370="""","""",
SUM(
ARRAYFORMULA(
IF(
REGEXMATCH(
"" ""&amp;H370&amp;"" "",
"" ""&amp;Sentiment_Words!A$2:A3730&amp;"" ""
),
1,
0
)
)
)
)"),2.0)</f>
        <v>2</v>
      </c>
      <c r="K370" s="4">
        <f>IFERROR(__xludf.DUMMYFUNCTION("IF(H370="""","""",
SUM(
ARRAYFORMULA(
IF(
REGEXMATCH(
"" ""&amp;H370&amp;"" "",
"" ""&amp;Sentiment_Words!B$2:B3730&amp;"" ""
),
1,
0
)
)
)
)"),0.0)</f>
        <v>0</v>
      </c>
      <c r="L370" s="7" t="str">
        <f t="shared" si="3"/>
        <v>Service Recovery</v>
      </c>
      <c r="M370" s="7" t="str">
        <f t="shared" si="4"/>
        <v>Positive</v>
      </c>
      <c r="N370" s="7" t="str">
        <f>IFERROR(__xludf.DUMMYFUNCTION("LOWER(
TRIM(
REGEXREPLACE(B370,""[^a-zA-Z\s]"","""")
)
)
"),"vh")</f>
        <v>vh</v>
      </c>
      <c r="O370" s="7">
        <f t="shared" si="5"/>
        <v>1</v>
      </c>
      <c r="P370" s="8" t="str">
        <f t="shared" si="6"/>
        <v>No</v>
      </c>
    </row>
    <row r="371">
      <c r="A371" s="4" t="s">
        <v>16</v>
      </c>
      <c r="B371" s="4" t="s">
        <v>1077</v>
      </c>
      <c r="C371" s="5">
        <v>45008.0</v>
      </c>
      <c r="D371" s="10">
        <v>45020.0</v>
      </c>
      <c r="E371" s="4" t="s">
        <v>1078</v>
      </c>
      <c r="F371" s="4" t="s">
        <v>1079</v>
      </c>
      <c r="G371" s="6" t="str">
        <f>IFERROR(__xludf.DUMMYFUNCTION("REGEXREPLACE(LOWER(F371),""[^a-z\s]"","""")"),"quick delivery good prices and trustworthy we always get what we ordered thank you")</f>
        <v>quick delivery good prices and trustworthy we always get what we ordered thank you</v>
      </c>
      <c r="H371" s="4" t="str">
        <f t="shared" si="1"/>
        <v>quick delivery good prices trustworthy we always get what we ordered thank you</v>
      </c>
      <c r="I371" s="6">
        <f t="shared" si="2"/>
        <v>13</v>
      </c>
      <c r="J371" s="6">
        <f>IFERROR(__xludf.DUMMYFUNCTION("IF(H371="""","""",
SUM(
ARRAYFORMULA(
IF(
REGEXMATCH(
"" ""&amp;H371&amp;"" "",
"" ""&amp;Sentiment_Words!A$2:A3730&amp;"" ""
),
1,
0
)
)
)
)"),2.0)</f>
        <v>2</v>
      </c>
      <c r="K371" s="4">
        <f>IFERROR(__xludf.DUMMYFUNCTION("IF(H371="""","""",
SUM(
ARRAYFORMULA(
IF(
REGEXMATCH(
"" ""&amp;H371&amp;"" "",
"" ""&amp;Sentiment_Words!B$2:B3730&amp;"" ""
),
1,
0
)
)
)
)"),0.0)</f>
        <v>0</v>
      </c>
      <c r="L371" s="7" t="str">
        <f t="shared" si="3"/>
        <v>Trust &amp; Experience</v>
      </c>
      <c r="M371" s="7" t="str">
        <f t="shared" si="4"/>
        <v>Positive</v>
      </c>
      <c r="N371" s="7" t="str">
        <f>IFERROR(__xludf.DUMMYFUNCTION("LOWER(
TRIM(
REGEXREPLACE(B371,""[^a-zA-Z\s]"","""")
)
)
"),"allen karol")</f>
        <v>allen karol</v>
      </c>
      <c r="O371" s="7">
        <f t="shared" si="5"/>
        <v>2</v>
      </c>
      <c r="P371" s="8" t="str">
        <f t="shared" si="6"/>
        <v>Yes</v>
      </c>
    </row>
    <row r="372">
      <c r="A372" s="4" t="s">
        <v>16</v>
      </c>
      <c r="B372" s="4" t="s">
        <v>1080</v>
      </c>
      <c r="C372" s="5">
        <v>45008.0</v>
      </c>
      <c r="D372" s="10">
        <v>45020.0</v>
      </c>
      <c r="E372" s="4" t="s">
        <v>1081</v>
      </c>
      <c r="F372" s="4" t="s">
        <v>1082</v>
      </c>
      <c r="G372" s="6" t="str">
        <f>IFERROR(__xludf.DUMMYFUNCTION("REGEXREPLACE(LOWER(F372),""[^a-z\s]"","""")"),"representatives are very understanding and easy to work with")</f>
        <v>representatives are very understanding and easy to work with</v>
      </c>
      <c r="H372" s="4" t="str">
        <f t="shared" si="1"/>
        <v>representatives are very understanding easy work with</v>
      </c>
      <c r="I372" s="6">
        <f t="shared" si="2"/>
        <v>7</v>
      </c>
      <c r="J372" s="6">
        <f>IFERROR(__xludf.DUMMYFUNCTION("IF(H372="""","""",
SUM(
ARRAYFORMULA(
IF(
REGEXMATCH(
"" ""&amp;H372&amp;"" "",
"" ""&amp;Sentiment_Words!A$2:A3730&amp;"" ""
),
1,
0
)
)
)
)"),1.0)</f>
        <v>1</v>
      </c>
      <c r="K372" s="4">
        <f>IFERROR(__xludf.DUMMYFUNCTION("IF(H372="""","""",
SUM(
ARRAYFORMULA(
IF(
REGEXMATCH(
"" ""&amp;H372&amp;"" "",
"" ""&amp;Sentiment_Words!B$2:B3730&amp;"" ""
),
1,
0
)
)
)
)"),0.0)</f>
        <v>0</v>
      </c>
      <c r="L372" s="7" t="str">
        <f t="shared" si="3"/>
        <v>Other</v>
      </c>
      <c r="M372" s="7" t="str">
        <f t="shared" si="4"/>
        <v>Positive</v>
      </c>
      <c r="N372" s="7" t="str">
        <f>IFERROR(__xludf.DUMMYFUNCTION("LOWER(
TRIM(
REGEXREPLACE(B372,""[^a-zA-Z\s]"","""")
)
)
"),"shellie hall")</f>
        <v>shellie hall</v>
      </c>
      <c r="O372" s="7">
        <f t="shared" si="5"/>
        <v>1</v>
      </c>
      <c r="P372" s="8" t="str">
        <f t="shared" si="6"/>
        <v>No</v>
      </c>
    </row>
    <row r="373">
      <c r="A373" s="4" t="s">
        <v>16</v>
      </c>
      <c r="B373" s="4" t="s">
        <v>1083</v>
      </c>
      <c r="C373" s="5">
        <v>45008.0</v>
      </c>
      <c r="D373" s="10">
        <v>45020.0</v>
      </c>
      <c r="E373" s="4" t="s">
        <v>1084</v>
      </c>
      <c r="F373" s="4" t="s">
        <v>1085</v>
      </c>
      <c r="G373" s="6" t="str">
        <f>IFERROR(__xludf.DUMMYFUNCTION("REGEXREPLACE(LOWER(F373),""[^a-z\s]"","""")"),"i had a little trouble placing the order initially but that was apparently me rather than the site once the order was placed i received an email stating that one of the items was out of stock and would ship from another location i went to the website and "&amp;"found that on the remaining parts of the order shipping was charged even though the original order was large enough for free shipping a phone call remedied that problem and the shipping charges were refunded overall not a bad experience for my first order")</f>
        <v>i had a little trouble placing the order initially but that was apparently me rather than the site once the order was placed i received an email stating that one of the items was out of stock and would ship from another location i went to the website and found that on the remaining parts of the order shipping was charged even though the original order was large enough for free shipping a phone call remedied that problem and the shipping charges were refunded overall not a bad experience for my first order</v>
      </c>
      <c r="H373" s="4" t="str">
        <f t="shared" si="1"/>
        <v>i had a little trouble placing order initially but that was apparently me rather than site once order was placed i received an email stating that one of items was out of stock would ship from another location i went website found that on remaining parts of order shipping was charged even though original order was large enough free shipping a phone call remedied that problem shipping charges were refunded overall not a bad experience my first order</v>
      </c>
      <c r="I373" s="6">
        <f t="shared" si="2"/>
        <v>78</v>
      </c>
      <c r="J373" s="6">
        <f>IFERROR(__xludf.DUMMYFUNCTION("IF(H373="""","""",
SUM(
ARRAYFORMULA(
IF(
REGEXMATCH(
"" ""&amp;H373&amp;"" "",
"" ""&amp;Sentiment_Words!A$2:A3730&amp;"" ""
),
1,
0
)
)
)
)"),1.0)</f>
        <v>1</v>
      </c>
      <c r="K373" s="4">
        <f>IFERROR(__xludf.DUMMYFUNCTION("IF(H373="""","""",
SUM(
ARRAYFORMULA(
IF(
REGEXMATCH(
"" ""&amp;H373&amp;"" "",
"" ""&amp;Sentiment_Words!B$2:B3730&amp;"" ""
),
1,
0
)
)
)
)"),2.0)</f>
        <v>2</v>
      </c>
      <c r="L373" s="7" t="str">
        <f t="shared" si="3"/>
        <v>Availability</v>
      </c>
      <c r="M373" s="7" t="str">
        <f t="shared" si="4"/>
        <v>Negative</v>
      </c>
      <c r="N373" s="7" t="str">
        <f>IFERROR(__xludf.DUMMYFUNCTION("LOWER(
TRIM(
REGEXREPLACE(B373,""[^a-zA-Z\s]"","""")
)
)
"),"maryann kurtz")</f>
        <v>maryann kurtz</v>
      </c>
      <c r="O373" s="7">
        <f t="shared" si="5"/>
        <v>1</v>
      </c>
      <c r="P373" s="8" t="str">
        <f t="shared" si="6"/>
        <v>No</v>
      </c>
    </row>
    <row r="374">
      <c r="A374" s="4" t="s">
        <v>16</v>
      </c>
      <c r="B374" s="4" t="s">
        <v>1086</v>
      </c>
      <c r="C374" s="5">
        <v>45009.0</v>
      </c>
      <c r="D374" s="10">
        <v>45020.0</v>
      </c>
      <c r="E374" s="4" t="s">
        <v>1087</v>
      </c>
      <c r="F374" s="4" t="s">
        <v>1088</v>
      </c>
      <c r="G374" s="6" t="str">
        <f>IFERROR(__xludf.DUMMYFUNCTION("REGEXREPLACE(LOWER(F374),""[^a-z\s]"","""")"),"you have decent prices quality products  i am a customer for life")</f>
        <v>you have decent prices quality products  i am a customer for life</v>
      </c>
      <c r="H374" s="4" t="str">
        <f t="shared" si="1"/>
        <v>you have decent prices quality products i am a customer life</v>
      </c>
      <c r="I374" s="6">
        <f t="shared" si="2"/>
        <v>11</v>
      </c>
      <c r="J374" s="6">
        <f>IFERROR(__xludf.DUMMYFUNCTION("IF(H374="""","""",
SUM(
ARRAYFORMULA(
IF(
REGEXMATCH(
"" ""&amp;H374&amp;"" "",
"" ""&amp;Sentiment_Words!A$2:A3730&amp;"" ""
),
1,
0
)
)
)
)"),0.0)</f>
        <v>0</v>
      </c>
      <c r="K374" s="4">
        <f>IFERROR(__xludf.DUMMYFUNCTION("IF(H374="""","""",
SUM(
ARRAYFORMULA(
IF(
REGEXMATCH(
"" ""&amp;H374&amp;"" "",
"" ""&amp;Sentiment_Words!B$2:B3730&amp;"" ""
),
1,
0
)
)
)
)"),0.0)</f>
        <v>0</v>
      </c>
      <c r="L374" s="7" t="str">
        <f t="shared" si="3"/>
        <v>Other</v>
      </c>
      <c r="M374" s="7" t="str">
        <f t="shared" si="4"/>
        <v>Neutral</v>
      </c>
      <c r="N374" s="7" t="str">
        <f>IFERROR(__xludf.DUMMYFUNCTION("LOWER(
TRIM(
REGEXREPLACE(B374,""[^a-zA-Z\s]"","""")
)
)
"),"lisa peak")</f>
        <v>lisa peak</v>
      </c>
      <c r="O374" s="7">
        <f t="shared" si="5"/>
        <v>1</v>
      </c>
      <c r="P374" s="8" t="str">
        <f t="shared" si="6"/>
        <v>No</v>
      </c>
    </row>
    <row r="375">
      <c r="A375" s="4" t="s">
        <v>16</v>
      </c>
      <c r="B375" s="4" t="s">
        <v>1089</v>
      </c>
      <c r="C375" s="5">
        <v>45002.0</v>
      </c>
      <c r="D375" s="10">
        <v>45020.0</v>
      </c>
      <c r="E375" s="4" t="s">
        <v>1090</v>
      </c>
      <c r="F375" s="4" t="s">
        <v>1091</v>
      </c>
      <c r="G375" s="6" t="str">
        <f>IFERROR(__xludf.DUMMYFUNCTION("REGEXREPLACE(LOWER(F375),""[^a-z\s]"","""")"),"both times that we have ordered we have gotten out purchase when promised
only thing i have that may need to be worked on is the ordering site it took me like  times to finally fulfill my order")</f>
        <v>both times that we have ordered we have gotten out purchase when promised
only thing i have that may need to be worked on is the ordering site it took me like  times to finally fulfill my order</v>
      </c>
      <c r="H375" s="4" t="str">
        <f t="shared" si="1"/>
        <v>both times that we have ordered we have gotten out purchase when promised
only thing i have that may need be worked on ordering site it took me like times finally fulfill my order</v>
      </c>
      <c r="I375" s="6">
        <f t="shared" si="2"/>
        <v>33</v>
      </c>
      <c r="J375" s="6">
        <f>IFERROR(__xludf.DUMMYFUNCTION("IF(H375="""","""",
SUM(
ARRAYFORMULA(
IF(
REGEXMATCH(
"" ""&amp;H375&amp;"" "",
"" ""&amp;Sentiment_Words!A$2:A3730&amp;"" ""
),
1,
0
)
)
)
)"),1.0)</f>
        <v>1</v>
      </c>
      <c r="K375" s="4">
        <f>IFERROR(__xludf.DUMMYFUNCTION("IF(H375="""","""",
SUM(
ARRAYFORMULA(
IF(
REGEXMATCH(
"" ""&amp;H375&amp;"" "",
"" ""&amp;Sentiment_Words!B$2:B3730&amp;"" ""
),
1,
0
)
)
)
)"),0.0)</f>
        <v>0</v>
      </c>
      <c r="L375" s="7" t="str">
        <f t="shared" si="3"/>
        <v>Other</v>
      </c>
      <c r="M375" s="7" t="str">
        <f t="shared" si="4"/>
        <v>Positive</v>
      </c>
      <c r="N375" s="7" t="str">
        <f>IFERROR(__xludf.DUMMYFUNCTION("LOWER(
TRIM(
REGEXREPLACE(B375,""[^a-zA-Z\s]"","""")
)
)
"),"donald coffman")</f>
        <v>donald coffman</v>
      </c>
      <c r="O375" s="7">
        <f t="shared" si="5"/>
        <v>1</v>
      </c>
      <c r="P375" s="8" t="str">
        <f t="shared" si="6"/>
        <v>No</v>
      </c>
    </row>
    <row r="376">
      <c r="A376" s="4" t="s">
        <v>16</v>
      </c>
      <c r="B376" s="4" t="s">
        <v>1092</v>
      </c>
      <c r="C376" s="5">
        <v>45007.0</v>
      </c>
      <c r="D376" s="10">
        <v>45020.0</v>
      </c>
      <c r="E376" s="4" t="s">
        <v>1093</v>
      </c>
      <c r="F376" s="4" t="s">
        <v>1094</v>
      </c>
      <c r="G376" s="6" t="str">
        <f>IFERROR(__xludf.DUMMYFUNCTION("REGEXREPLACE(LOWER(F376),""[^a-z\s]"","""")"),"love pet flowbeen using them for  years now")</f>
        <v>love pet flowbeen using them for  years now</v>
      </c>
      <c r="H376" s="4" t="str">
        <f t="shared" si="1"/>
        <v>love pet flowbeen using them years now</v>
      </c>
      <c r="I376" s="6">
        <f t="shared" si="2"/>
        <v>7</v>
      </c>
      <c r="J376" s="6">
        <f>IFERROR(__xludf.DUMMYFUNCTION("IF(H376="""","""",
SUM(
ARRAYFORMULA(
IF(
REGEXMATCH(
"" ""&amp;H376&amp;"" "",
"" ""&amp;Sentiment_Words!A$2:A3730&amp;"" ""
),
1,
0
)
)
)
)"),1.0)</f>
        <v>1</v>
      </c>
      <c r="K376" s="4">
        <f>IFERROR(__xludf.DUMMYFUNCTION("IF(H376="""","""",
SUM(
ARRAYFORMULA(
IF(
REGEXMATCH(
"" ""&amp;H376&amp;"" "",
"" ""&amp;Sentiment_Words!B$2:B3730&amp;"" ""
),
1,
0
)
)
)
)"),0.0)</f>
        <v>0</v>
      </c>
      <c r="L376" s="7" t="str">
        <f t="shared" si="3"/>
        <v>Other</v>
      </c>
      <c r="M376" s="7" t="str">
        <f t="shared" si="4"/>
        <v>Positive</v>
      </c>
      <c r="N376" s="7" t="str">
        <f>IFERROR(__xludf.DUMMYFUNCTION("LOWER(
TRIM(
REGEXREPLACE(B376,""[^a-zA-Z\s]"","""")
)
)
"),"dru hofmann")</f>
        <v>dru hofmann</v>
      </c>
      <c r="O376" s="7">
        <f t="shared" si="5"/>
        <v>1</v>
      </c>
      <c r="P376" s="8" t="str">
        <f t="shared" si="6"/>
        <v>No</v>
      </c>
    </row>
    <row r="377">
      <c r="A377" s="4" t="s">
        <v>16</v>
      </c>
      <c r="B377" s="4" t="s">
        <v>1095</v>
      </c>
      <c r="C377" s="5">
        <v>45006.0</v>
      </c>
      <c r="D377" s="10">
        <v>45019.0</v>
      </c>
      <c r="E377" s="4" t="s">
        <v>1096</v>
      </c>
      <c r="F377" s="4" t="s">
        <v>1097</v>
      </c>
      <c r="G377" s="6" t="str">
        <f>IFERROR(__xludf.DUMMYFUNCTION("REGEXREPLACE(LOWER(F377),""[^a-z\s]"","""")"),"ive never heard of this company and they sent me an order confirmation wouldnt tell me what credit card was used but apparently someone is targeting them  to gain what i have no idea how does using a stolen credit card to ship something to someone who did"&amp;"nt order going to benefit anyone except the merchant who gets the sale")</f>
        <v>ive never heard of this company and they sent me an order confirmation wouldnt tell me what credit card was used but apparently someone is targeting them  to gain what i have no idea how does using a stolen credit card to ship something to someone who didnt order going to benefit anyone except the merchant who gets the sale</v>
      </c>
      <c r="H377" s="4" t="str">
        <f t="shared" si="1"/>
        <v>ive never heard of this company they sent me an order confirmation wouldnt tell me what credit card was used but apparently someone targeting them gain what i have no idea how does using a stolen credit card ship something someone who didnt order going benefit anyone except merchant who gets sale</v>
      </c>
      <c r="I377" s="6">
        <f t="shared" si="2"/>
        <v>52</v>
      </c>
      <c r="J377" s="6">
        <f>IFERROR(__xludf.DUMMYFUNCTION("IF(H377="""","""",
SUM(
ARRAYFORMULA(
IF(
REGEXMATCH(
"" ""&amp;H377&amp;"" "",
"" ""&amp;Sentiment_Words!A$2:A3730&amp;"" ""
),
1,
0
)
)
)
)"),0.0)</f>
        <v>0</v>
      </c>
      <c r="K377" s="4">
        <f>IFERROR(__xludf.DUMMYFUNCTION("IF(H377="""","""",
SUM(
ARRAYFORMULA(
IF(
REGEXMATCH(
"" ""&amp;H377&amp;"" "",
"" ""&amp;Sentiment_Words!B$2:B3730&amp;"" ""
),
1,
0
)
)
)
)"),0.0)</f>
        <v>0</v>
      </c>
      <c r="L377" s="7" t="str">
        <f t="shared" si="3"/>
        <v>Other</v>
      </c>
      <c r="M377" s="7" t="str">
        <f t="shared" si="4"/>
        <v>Neutral</v>
      </c>
      <c r="N377" s="7" t="str">
        <f>IFERROR(__xludf.DUMMYFUNCTION("LOWER(
TRIM(
REGEXREPLACE(B377,""[^a-zA-Z\s]"","""")
)
)
"),"leyla davis")</f>
        <v>leyla davis</v>
      </c>
      <c r="O377" s="7">
        <f t="shared" si="5"/>
        <v>1</v>
      </c>
      <c r="P377" s="8" t="str">
        <f t="shared" si="6"/>
        <v>No</v>
      </c>
    </row>
    <row r="378">
      <c r="A378" s="4" t="s">
        <v>16</v>
      </c>
      <c r="B378" s="4" t="s">
        <v>1098</v>
      </c>
      <c r="C378" s="5">
        <v>45007.0</v>
      </c>
      <c r="D378" s="10">
        <v>45019.0</v>
      </c>
      <c r="E378" s="4" t="s">
        <v>1099</v>
      </c>
      <c r="F378" s="4" t="s">
        <v>1100</v>
      </c>
      <c r="G378" s="6" t="str">
        <f>IFERROR(__xludf.DUMMYFUNCTION("REGEXREPLACE(LOWER(F378),""[^a-z\s]"","""")"),"petflow is amazing the dog food i ordered was out of stock from the other company i have used and so i was so pleased petflow had it in stock it got to me quickly which surprised me since it came fed ex who i have not had a great experience with for speed"&amp;"y delivery so thrilled as i was about out of food thank you petflow")</f>
        <v>petflow is amazing the dog food i ordered was out of stock from the other company i have used and so i was so pleased petflow had it in stock it got to me quickly which surprised me since it came fed ex who i have not had a great experience with for speedy delivery so thrilled as i was about out of food thank you petflow</v>
      </c>
      <c r="H378" s="4" t="str">
        <f t="shared" si="1"/>
        <v>petflow amazing dog food i ordered was out of stock from other company i have used so i was so pleased petflow had it in stock it got me quickly which surprised me since it came fed ex who i have not had a great experience with speedy delivery so thrilled as i was about out of food thank you petflow</v>
      </c>
      <c r="I378" s="6">
        <f t="shared" si="2"/>
        <v>61</v>
      </c>
      <c r="J378" s="6">
        <f>IFERROR(__xludf.DUMMYFUNCTION("IF(H378="""","""",
SUM(
ARRAYFORMULA(
IF(
REGEXMATCH(
"" ""&amp;H378&amp;"" "",
"" ""&amp;Sentiment_Words!A$2:A3730&amp;"" ""
),
1,
0
)
)
)
)"),1.0)</f>
        <v>1</v>
      </c>
      <c r="K378" s="4">
        <f>IFERROR(__xludf.DUMMYFUNCTION("IF(H378="""","""",
SUM(
ARRAYFORMULA(
IF(
REGEXMATCH(
"" ""&amp;H378&amp;"" "",
"" ""&amp;Sentiment_Words!B$2:B3730&amp;"" ""
),
1,
0
)
)
)
)"),1.0)</f>
        <v>1</v>
      </c>
      <c r="L378" s="7" t="str">
        <f t="shared" si="3"/>
        <v>Availability</v>
      </c>
      <c r="M378" s="7" t="str">
        <f t="shared" si="4"/>
        <v>Neutral</v>
      </c>
      <c r="N378" s="7" t="str">
        <f>IFERROR(__xludf.DUMMYFUNCTION("LOWER(
TRIM(
REGEXREPLACE(B378,""[^a-zA-Z\s]"","""")
)
)
"),"leslie seeley")</f>
        <v>leslie seeley</v>
      </c>
      <c r="O378" s="7">
        <f t="shared" si="5"/>
        <v>1</v>
      </c>
      <c r="P378" s="8" t="str">
        <f t="shared" si="6"/>
        <v>No</v>
      </c>
    </row>
    <row r="379">
      <c r="A379" s="4" t="s">
        <v>16</v>
      </c>
      <c r="B379" s="4" t="s">
        <v>1101</v>
      </c>
      <c r="C379" s="5">
        <v>45007.0</v>
      </c>
      <c r="D379" s="10">
        <v>45019.0</v>
      </c>
      <c r="E379" s="4" t="s">
        <v>1102</v>
      </c>
      <c r="F379" s="4" t="s">
        <v>1103</v>
      </c>
      <c r="G379" s="6" t="str">
        <f>IFERROR(__xludf.DUMMYFUNCTION("REGEXREPLACE(LOWER(F379),""[^a-z\s]"","""")"),"all of my experiences with petflow are amazing")</f>
        <v>all of my experiences with petflow are amazing</v>
      </c>
      <c r="H379" s="4" t="str">
        <f t="shared" si="1"/>
        <v>all of my experiences with petflow are amazing</v>
      </c>
      <c r="I379" s="6">
        <f t="shared" si="2"/>
        <v>8</v>
      </c>
      <c r="J379" s="6">
        <f>IFERROR(__xludf.DUMMYFUNCTION("IF(H379="""","""",
SUM(
ARRAYFORMULA(
IF(
REGEXMATCH(
"" ""&amp;H379&amp;"" "",
"" ""&amp;Sentiment_Words!A$2:A3730&amp;"" ""
),
1,
0
)
)
)
)"),0.0)</f>
        <v>0</v>
      </c>
      <c r="K379" s="4">
        <f>IFERROR(__xludf.DUMMYFUNCTION("IF(H379="""","""",
SUM(
ARRAYFORMULA(
IF(
REGEXMATCH(
"" ""&amp;H379&amp;"" "",
"" ""&amp;Sentiment_Words!B$2:B3730&amp;"" ""
),
1,
0
)
)
)
)"),0.0)</f>
        <v>0</v>
      </c>
      <c r="L379" s="7" t="str">
        <f t="shared" si="3"/>
        <v>Other</v>
      </c>
      <c r="M379" s="7" t="str">
        <f t="shared" si="4"/>
        <v>Neutral</v>
      </c>
      <c r="N379" s="7" t="str">
        <f>IFERROR(__xludf.DUMMYFUNCTION("LOWER(
TRIM(
REGEXREPLACE(B379,""[^a-zA-Z\s]"","""")
)
)
"),"scammed user")</f>
        <v>scammed user</v>
      </c>
      <c r="O379" s="7">
        <f t="shared" si="5"/>
        <v>1</v>
      </c>
      <c r="P379" s="8" t="str">
        <f t="shared" si="6"/>
        <v>No</v>
      </c>
    </row>
    <row r="380">
      <c r="A380" s="4" t="s">
        <v>16</v>
      </c>
      <c r="B380" s="4" t="s">
        <v>1104</v>
      </c>
      <c r="C380" s="5">
        <v>45007.0</v>
      </c>
      <c r="D380" s="10">
        <v>45019.0</v>
      </c>
      <c r="E380" s="4" t="s">
        <v>1105</v>
      </c>
      <c r="F380" s="4" t="s">
        <v>331</v>
      </c>
      <c r="G380" s="6" t="str">
        <f>IFERROR(__xludf.DUMMYFUNCTION("REGEXREPLACE(LOWER(F380),""[^a-z\s]"","""")"),"none")</f>
        <v>none</v>
      </c>
      <c r="H380" s="4" t="str">
        <f t="shared" si="1"/>
        <v>none</v>
      </c>
      <c r="I380" s="6">
        <f t="shared" si="2"/>
        <v>1</v>
      </c>
      <c r="J380" s="6">
        <f>IFERROR(__xludf.DUMMYFUNCTION("IF(H380="""","""",
SUM(
ARRAYFORMULA(
IF(
REGEXMATCH(
"" ""&amp;H380&amp;"" "",
"" ""&amp;Sentiment_Words!A$2:A3730&amp;"" ""
),
1,
0
)
)
)
)"),0.0)</f>
        <v>0</v>
      </c>
      <c r="K380" s="4">
        <f>IFERROR(__xludf.DUMMYFUNCTION("IF(H380="""","""",
SUM(
ARRAYFORMULA(
IF(
REGEXMATCH(
"" ""&amp;H380&amp;"" "",
"" ""&amp;Sentiment_Words!B$2:B3730&amp;"" ""
),
1,
0
)
)
)
)"),0.0)</f>
        <v>0</v>
      </c>
      <c r="L380" s="7" t="str">
        <f t="shared" si="3"/>
        <v>Other</v>
      </c>
      <c r="M380" s="7" t="str">
        <f t="shared" si="4"/>
        <v>Neutral</v>
      </c>
      <c r="N380" s="7" t="str">
        <f>IFERROR(__xludf.DUMMYFUNCTION("LOWER(
TRIM(
REGEXREPLACE(B380,""[^a-zA-Z\s]"","""")
)
)
"),"jane collier")</f>
        <v>jane collier</v>
      </c>
      <c r="O380" s="7">
        <f t="shared" si="5"/>
        <v>1</v>
      </c>
      <c r="P380" s="8" t="str">
        <f t="shared" si="6"/>
        <v>No</v>
      </c>
    </row>
    <row r="381">
      <c r="A381" s="4" t="s">
        <v>16</v>
      </c>
      <c r="B381" s="4" t="s">
        <v>1106</v>
      </c>
      <c r="C381" s="5">
        <v>45007.0</v>
      </c>
      <c r="D381" s="10">
        <v>45019.0</v>
      </c>
      <c r="E381" s="4" t="s">
        <v>1107</v>
      </c>
      <c r="F381" s="4" t="s">
        <v>331</v>
      </c>
      <c r="G381" s="6" t="str">
        <f>IFERROR(__xludf.DUMMYFUNCTION("REGEXREPLACE(LOWER(F381),""[^a-z\s]"","""")"),"none")</f>
        <v>none</v>
      </c>
      <c r="H381" s="4" t="str">
        <f t="shared" si="1"/>
        <v>none</v>
      </c>
      <c r="I381" s="6">
        <f t="shared" si="2"/>
        <v>1</v>
      </c>
      <c r="J381" s="6">
        <f>IFERROR(__xludf.DUMMYFUNCTION("IF(H381="""","""",
SUM(
ARRAYFORMULA(
IF(
REGEXMATCH(
"" ""&amp;H381&amp;"" "",
"" ""&amp;Sentiment_Words!A$2:A3730&amp;"" ""
),
1,
0
)
)
)
)"),0.0)</f>
        <v>0</v>
      </c>
      <c r="K381" s="4">
        <f>IFERROR(__xludf.DUMMYFUNCTION("IF(H381="""","""",
SUM(
ARRAYFORMULA(
IF(
REGEXMATCH(
"" ""&amp;H381&amp;"" "",
"" ""&amp;Sentiment_Words!B$2:B3730&amp;"" ""
),
1,
0
)
)
)
)"),0.0)</f>
        <v>0</v>
      </c>
      <c r="L381" s="7" t="str">
        <f t="shared" si="3"/>
        <v>Other</v>
      </c>
      <c r="M381" s="7" t="str">
        <f t="shared" si="4"/>
        <v>Neutral</v>
      </c>
      <c r="N381" s="7" t="str">
        <f>IFERROR(__xludf.DUMMYFUNCTION("LOWER(
TRIM(
REGEXREPLACE(B381,""[^a-zA-Z\s]"","""")
)
)
"),"sporesharon r goltz")</f>
        <v>sporesharon r goltz</v>
      </c>
      <c r="O381" s="7">
        <f t="shared" si="5"/>
        <v>1</v>
      </c>
      <c r="P381" s="8" t="str">
        <f t="shared" si="6"/>
        <v>No</v>
      </c>
    </row>
    <row r="382">
      <c r="A382" s="4" t="s">
        <v>16</v>
      </c>
      <c r="B382" s="4" t="s">
        <v>1108</v>
      </c>
      <c r="C382" s="5">
        <v>45006.0</v>
      </c>
      <c r="D382" s="10">
        <v>45018.0</v>
      </c>
      <c r="E382" s="4" t="s">
        <v>1109</v>
      </c>
      <c r="F382" s="4" t="s">
        <v>1110</v>
      </c>
      <c r="G382" s="6" t="str">
        <f>IFERROR(__xludf.DUMMYFUNCTION("REGEXREPLACE(LOWER(F382),""[^a-z\s]"","""")"),"the first attempt to pay failed due to a fraud control with my credit card after i approved it the website did not let me retry the payment it was some glitch i attempted calling petflow during business hours but i was put on an endless wait of over  minu"&amp;"tes i ended up cancelling my order by email which was taken care of")</f>
        <v>the first attempt to pay failed due to a fraud control with my credit card after i approved it the website did not let me retry the payment it was some glitch i attempted calling petflow during business hours but i was put on an endless wait of over  minutes i ended up cancelling my order by email which was taken care of</v>
      </c>
      <c r="H382" s="4" t="str">
        <f t="shared" si="1"/>
        <v>first attempt pay failed due a fraud control with my credit card after i approved it website did not let me retry payment it was some glitch i attempted calling petflow during business hours but i was put on an endless wait of over minutes i ended up cancelling my order by email which was taken care of</v>
      </c>
      <c r="I382" s="6">
        <f t="shared" si="2"/>
        <v>58</v>
      </c>
      <c r="J382" s="6">
        <f>IFERROR(__xludf.DUMMYFUNCTION("IF(H382="""","""",
SUM(
ARRAYFORMULA(
IF(
REGEXMATCH(
"" ""&amp;H382&amp;"" "",
"" ""&amp;Sentiment_Words!A$2:A3730&amp;"" ""
),
1,
0
)
)
)
)"),0.0)</f>
        <v>0</v>
      </c>
      <c r="K382" s="4">
        <f>IFERROR(__xludf.DUMMYFUNCTION("IF(H382="""","""",
SUM(
ARRAYFORMULA(
IF(
REGEXMATCH(
"" ""&amp;H382&amp;"" "",
"" ""&amp;Sentiment_Words!B$2:B3730&amp;"" ""
),
1,
0
)
)
)
)"),0.0)</f>
        <v>0</v>
      </c>
      <c r="L382" s="7" t="str">
        <f t="shared" si="3"/>
        <v>Account &amp; Website</v>
      </c>
      <c r="M382" s="7" t="str">
        <f t="shared" si="4"/>
        <v>Neutral</v>
      </c>
      <c r="N382" s="7" t="str">
        <f>IFERROR(__xludf.DUMMYFUNCTION("LOWER(
TRIM(
REGEXREPLACE(B382,""[^a-zA-Z\s]"","""")
)
)
"),"antonio popjordanov")</f>
        <v>antonio popjordanov</v>
      </c>
      <c r="O382" s="7">
        <f t="shared" si="5"/>
        <v>1</v>
      </c>
      <c r="P382" s="8" t="str">
        <f t="shared" si="6"/>
        <v>No</v>
      </c>
    </row>
    <row r="383">
      <c r="A383" s="4" t="s">
        <v>16</v>
      </c>
      <c r="B383" s="4" t="s">
        <v>1111</v>
      </c>
      <c r="C383" s="5">
        <v>45006.0</v>
      </c>
      <c r="D383" s="10">
        <v>45018.0</v>
      </c>
      <c r="E383" s="4" t="s">
        <v>1112</v>
      </c>
      <c r="F383" s="4" t="s">
        <v>1113</v>
      </c>
      <c r="G383" s="6" t="str">
        <f>IFERROR(__xludf.DUMMYFUNCTION("REGEXREPLACE(LOWER(F383),""[^a-z\s]"","""")"),"very quick delivery and high quality products i really appreciated how good they were at communicating the status of the order as well will definitely shop with them again")</f>
        <v>very quick delivery and high quality products i really appreciated how good they were at communicating the status of the order as well will definitely shop with them again</v>
      </c>
      <c r="H383" s="4" t="str">
        <f t="shared" si="1"/>
        <v>very quick delivery high quality products i really appreciated how good they were at communicating status of order as well will definitely shop with them again</v>
      </c>
      <c r="I383" s="6">
        <f t="shared" si="2"/>
        <v>26</v>
      </c>
      <c r="J383" s="6">
        <f>IFERROR(__xludf.DUMMYFUNCTION("IF(H383="""","""",
SUM(
ARRAYFORMULA(
IF(
REGEXMATCH(
"" ""&amp;H383&amp;"" "",
"" ""&amp;Sentiment_Words!A$2:A3730&amp;"" ""
),
1,
0
)
)
)
)"),2.0)</f>
        <v>2</v>
      </c>
      <c r="K383" s="4">
        <f>IFERROR(__xludf.DUMMYFUNCTION("IF(H383="""","""",
SUM(
ARRAYFORMULA(
IF(
REGEXMATCH(
"" ""&amp;H383&amp;"" "",
"" ""&amp;Sentiment_Words!B$2:B3730&amp;"" ""
),
1,
0
)
)
)
)"),0.0)</f>
        <v>0</v>
      </c>
      <c r="L383" s="7" t="str">
        <f t="shared" si="3"/>
        <v>Other</v>
      </c>
      <c r="M383" s="7" t="str">
        <f t="shared" si="4"/>
        <v>Positive</v>
      </c>
      <c r="N383" s="7" t="str">
        <f>IFERROR(__xludf.DUMMYFUNCTION("LOWER(
TRIM(
REGEXREPLACE(B383,""[^a-zA-Z\s]"","""")
)
)
"),"linda croll howell")</f>
        <v>linda croll howell</v>
      </c>
      <c r="O383" s="7">
        <f t="shared" si="5"/>
        <v>1</v>
      </c>
      <c r="P383" s="8" t="str">
        <f t="shared" si="6"/>
        <v>No</v>
      </c>
    </row>
    <row r="384">
      <c r="A384" s="4" t="s">
        <v>16</v>
      </c>
      <c r="B384" s="4" t="s">
        <v>1114</v>
      </c>
      <c r="C384" s="5">
        <v>45006.0</v>
      </c>
      <c r="D384" s="10">
        <v>45018.0</v>
      </c>
      <c r="E384" s="4" t="s">
        <v>1115</v>
      </c>
      <c r="F384" s="4" t="s">
        <v>1116</v>
      </c>
      <c r="G384" s="6" t="str">
        <f>IFERROR(__xludf.DUMMYFUNCTION("REGEXREPLACE(LOWER(F384),""[^a-z\s]"","""")"),"you should have known when i placed my order that you did not have it in stock")</f>
        <v>you should have known when i placed my order that you did not have it in stock</v>
      </c>
      <c r="H384" s="4" t="str">
        <f t="shared" si="1"/>
        <v>you should have known when i placed my order that you did not have it in stock</v>
      </c>
      <c r="I384" s="6">
        <f t="shared" si="2"/>
        <v>17</v>
      </c>
      <c r="J384" s="6">
        <f>IFERROR(__xludf.DUMMYFUNCTION("IF(H384="""","""",
SUM(
ARRAYFORMULA(
IF(
REGEXMATCH(
"" ""&amp;H384&amp;"" "",
"" ""&amp;Sentiment_Words!A$2:A3730&amp;"" ""
),
1,
0
)
)
)
)"),0.0)</f>
        <v>0</v>
      </c>
      <c r="K384" s="4">
        <f>IFERROR(__xludf.DUMMYFUNCTION("IF(H384="""","""",
SUM(
ARRAYFORMULA(
IF(
REGEXMATCH(
"" ""&amp;H384&amp;"" "",
"" ""&amp;Sentiment_Words!B$2:B3730&amp;"" ""
),
1,
0
)
)
)
)"),0.0)</f>
        <v>0</v>
      </c>
      <c r="L384" s="7" t="str">
        <f t="shared" si="3"/>
        <v>Other</v>
      </c>
      <c r="M384" s="7" t="str">
        <f t="shared" si="4"/>
        <v>Neutral</v>
      </c>
      <c r="N384" s="7" t="str">
        <f>IFERROR(__xludf.DUMMYFUNCTION("LOWER(
TRIM(
REGEXREPLACE(B384,""[^a-zA-Z\s]"","""")
)
)
"),"susan langman")</f>
        <v>susan langman</v>
      </c>
      <c r="O384" s="7">
        <f t="shared" si="5"/>
        <v>1</v>
      </c>
      <c r="P384" s="8" t="str">
        <f t="shared" si="6"/>
        <v>No</v>
      </c>
    </row>
    <row r="385">
      <c r="A385" s="4" t="s">
        <v>16</v>
      </c>
      <c r="B385" s="4" t="s">
        <v>56</v>
      </c>
      <c r="C385" s="5">
        <v>45004.0</v>
      </c>
      <c r="D385" s="10">
        <v>45018.0</v>
      </c>
      <c r="E385" s="4" t="s">
        <v>1117</v>
      </c>
      <c r="F385" s="4" t="s">
        <v>1118</v>
      </c>
      <c r="G385" s="6" t="str">
        <f>IFERROR(__xludf.DUMMYFUNCTION("REGEXREPLACE(LOWER(F385),""[^a-z\s]"","""")"),"easy shopping great products comparable prices fast shipping")</f>
        <v>easy shopping great products comparable prices fast shipping</v>
      </c>
      <c r="H385" s="4" t="str">
        <f t="shared" si="1"/>
        <v>easy shopping great products comparable prices fast shipping</v>
      </c>
      <c r="I385" s="6">
        <f t="shared" si="2"/>
        <v>8</v>
      </c>
      <c r="J385" s="6">
        <f>IFERROR(__xludf.DUMMYFUNCTION("IF(H385="""","""",
SUM(
ARRAYFORMULA(
IF(
REGEXMATCH(
"" ""&amp;H385&amp;"" "",
"" ""&amp;Sentiment_Words!A$2:A3730&amp;"" ""
),
1,
0
)
)
)
)"),3.0)</f>
        <v>3</v>
      </c>
      <c r="K385" s="4">
        <f>IFERROR(__xludf.DUMMYFUNCTION("IF(H385="""","""",
SUM(
ARRAYFORMULA(
IF(
REGEXMATCH(
"" ""&amp;H385&amp;"" "",
"" ""&amp;Sentiment_Words!B$2:B3730&amp;"" ""
),
1,
0
)
)
)
)"),0.0)</f>
        <v>0</v>
      </c>
      <c r="L385" s="7" t="str">
        <f t="shared" si="3"/>
        <v>Other</v>
      </c>
      <c r="M385" s="7" t="str">
        <f t="shared" si="4"/>
        <v>Positive</v>
      </c>
      <c r="N385" s="7" t="str">
        <f>IFERROR(__xludf.DUMMYFUNCTION("LOWER(
TRIM(
REGEXREPLACE(B385,""[^a-zA-Z\s]"","""")
)
)
"),"customer")</f>
        <v>customer</v>
      </c>
      <c r="O385" s="7">
        <f t="shared" si="5"/>
        <v>54</v>
      </c>
      <c r="P385" s="8" t="str">
        <f t="shared" si="6"/>
        <v>Yes</v>
      </c>
    </row>
    <row r="386">
      <c r="A386" s="4" t="s">
        <v>16</v>
      </c>
      <c r="B386" s="4" t="s">
        <v>1119</v>
      </c>
      <c r="C386" s="5">
        <v>45006.0</v>
      </c>
      <c r="D386" s="10">
        <v>45018.0</v>
      </c>
      <c r="E386" s="4" t="s">
        <v>1120</v>
      </c>
      <c r="F386" s="4" t="s">
        <v>1121</v>
      </c>
      <c r="G386" s="6" t="str">
        <f>IFERROR(__xludf.DUMMYFUNCTION("REGEXREPLACE(LOWER(F386),""[^a-z\s]"","""")"),"shipping was quick and the order was right the prices are getting awful high but i guess that is the due to our rotten economy")</f>
        <v>shipping was quick and the order was right the prices are getting awful high but i guess that is the due to our rotten economy</v>
      </c>
      <c r="H386" s="4" t="str">
        <f t="shared" si="1"/>
        <v>shipping was quick order was right prices are getting awful high but i guess that due our rotten economy</v>
      </c>
      <c r="I386" s="6">
        <f t="shared" si="2"/>
        <v>19</v>
      </c>
      <c r="J386" s="6">
        <f>IFERROR(__xludf.DUMMYFUNCTION("IF(H386="""","""",
SUM(
ARRAYFORMULA(
IF(
REGEXMATCH(
"" ""&amp;H386&amp;"" "",
"" ""&amp;Sentiment_Words!A$2:A3730&amp;"" ""
),
1,
0
)
)
)
)"),0.0)</f>
        <v>0</v>
      </c>
      <c r="K386" s="4">
        <f>IFERROR(__xludf.DUMMYFUNCTION("IF(H386="""","""",
SUM(
ARRAYFORMULA(
IF(
REGEXMATCH(
"" ""&amp;H386&amp;"" "",
"" ""&amp;Sentiment_Words!B$2:B3730&amp;"" ""
),
1,
0
)
)
)
)"),0.0)</f>
        <v>0</v>
      </c>
      <c r="L386" s="7" t="str">
        <f t="shared" si="3"/>
        <v>Other</v>
      </c>
      <c r="M386" s="7" t="str">
        <f t="shared" si="4"/>
        <v>Neutral</v>
      </c>
      <c r="N386" s="7" t="str">
        <f>IFERROR(__xludf.DUMMYFUNCTION("LOWER(
TRIM(
REGEXREPLACE(B386,""[^a-zA-Z\s]"","""")
)
)
"),"mike miller")</f>
        <v>mike miller</v>
      </c>
      <c r="O386" s="7">
        <f t="shared" si="5"/>
        <v>1</v>
      </c>
      <c r="P386" s="8" t="str">
        <f t="shared" si="6"/>
        <v>No</v>
      </c>
    </row>
    <row r="387">
      <c r="A387" s="4" t="s">
        <v>16</v>
      </c>
      <c r="B387" s="4" t="s">
        <v>1122</v>
      </c>
      <c r="C387" s="5">
        <v>45005.0</v>
      </c>
      <c r="D387" s="10">
        <v>45018.0</v>
      </c>
      <c r="E387" s="4" t="s">
        <v>1123</v>
      </c>
      <c r="F387" s="4" t="s">
        <v>1124</v>
      </c>
      <c r="G387" s="6" t="str">
        <f>IFERROR(__xludf.DUMMYFUNCTION("REGEXREPLACE(LOWER(F387),""[^a-z\s]"","""")"),"if i could give you a  star i would i was a new customer and i purchased a bag of dog food for my dog that has a super sensitive stomach i waited  days and the food never arrived so i had to call customer service for them to finally tell me that i was  fl"&amp;"agged for fraud   so my dog had no food and you never felt the need to send me an email letting me know there was an error with my order i order things everyday online and have never gotten or heard of getting flagged for fraud even when i told customer s"&amp;"ervice about the situation and how my dog now has no food because no one let me know there was a problem with my order she never offered a discount or help to figure out the situation you lost a customer who wouldve done auto ship every month for my dogs "&amp;"food he needs")</f>
        <v>if i could give you a  star i would i was a new customer and i purchased a bag of dog food for my dog that has a super sensitive stomach i waited  days and the food never arrived so i had to call customer service for them to finally tell me that i was  flagged for fraud   so my dog had no food and you never felt the need to send me an email letting me know there was an error with my order i order things everyday online and have never gotten or heard of getting flagged for fraud even when i told customer service about the situation and how my dog now has no food because no one let me know there was a problem with my order she never offered a discount or help to figure out the situation you lost a customer who wouldve done auto ship every month for my dogs food he needs</v>
      </c>
      <c r="H387" s="4" t="str">
        <f t="shared" si="1"/>
        <v>if i could give you a star i would i was a new customer i purchased a bag of dog food my dog that has a super sensitive stomach i waited days food never arrived so i had call customer service them finally tell me that i was flagged fraud so my dog had no food you never felt need send me an email letting me know there was an error with my order i order things everyday online have never gotten or heard of getting flagged fraud even when i told customer service about situation how my dog now has no food because no one let me know there was a problem with my order she never offered a discount or help figure out situation you lost a customer who wouldve done auto ship every month my dogs food he needs</v>
      </c>
      <c r="I387" s="6">
        <f t="shared" si="2"/>
        <v>142</v>
      </c>
      <c r="J387" s="6">
        <f>IFERROR(__xludf.DUMMYFUNCTION("IF(H387="""","""",
SUM(
ARRAYFORMULA(
IF(
REGEXMATCH(
"" ""&amp;H387&amp;"" "",
"" ""&amp;Sentiment_Words!A$2:A3730&amp;"" ""
),
1,
0
)
)
)
)"),1.0)</f>
        <v>1</v>
      </c>
      <c r="K387" s="4">
        <f>IFERROR(__xludf.DUMMYFUNCTION("IF(H387="""","""",
SUM(
ARRAYFORMULA(
IF(
REGEXMATCH(
"" ""&amp;H387&amp;"" "",
"" ""&amp;Sentiment_Words!B$2:B3730&amp;"" ""
),
1,
0
)
)
)
)"),2.0)</f>
        <v>2</v>
      </c>
      <c r="L387" s="7" t="str">
        <f t="shared" si="3"/>
        <v>Customer Support</v>
      </c>
      <c r="M387" s="7" t="str">
        <f t="shared" si="4"/>
        <v>Negative</v>
      </c>
      <c r="N387" s="7" t="str">
        <f>IFERROR(__xludf.DUMMYFUNCTION("LOWER(
TRIM(
REGEXREPLACE(B387,""[^a-zA-Z\s]"","""")
)
)
"),"jennak")</f>
        <v>jennak</v>
      </c>
      <c r="O387" s="7">
        <f t="shared" si="5"/>
        <v>1</v>
      </c>
      <c r="P387" s="8" t="str">
        <f t="shared" si="6"/>
        <v>No</v>
      </c>
    </row>
    <row r="388">
      <c r="A388" s="4" t="s">
        <v>16</v>
      </c>
      <c r="B388" s="4" t="s">
        <v>56</v>
      </c>
      <c r="C388" s="5">
        <v>45006.0</v>
      </c>
      <c r="D388" s="10">
        <v>45018.0</v>
      </c>
      <c r="E388" s="4" t="s">
        <v>1125</v>
      </c>
      <c r="F388" s="4" t="s">
        <v>1126</v>
      </c>
      <c r="G388" s="6" t="str">
        <f>IFERROR(__xludf.DUMMYFUNCTION("REGEXREPLACE(LOWER(F388),""[^a-z\s]"","""")"),"buyer beware petflow had so many excuses as to why they couldnt ship my prescription order cc wouldnt work vet clinic wasnt on record it was my account was flagged for fraudinformed fraud dept would reach out to me never happened and then my order of hard"&amp;" to find food went on back order i told petflow to cancel my account chewy is much better fast shipping great customer service in stock products")</f>
        <v>buyer beware petflow had so many excuses as to why they couldnt ship my prescription order cc wouldnt work vet clinic wasnt on record it was my account was flagged for fraudinformed fraud dept would reach out to me never happened and then my order of hard to find food went on back order i told petflow to cancel my account chewy is much better fast shipping great customer service in stock products</v>
      </c>
      <c r="H388" s="4" t="str">
        <f t="shared" si="1"/>
        <v>buyer beware petflow had so many excuses as why they couldnt ship my prescription order cc wouldnt work vet clinic wasnt on record it was my account was flagged fraudinformed fraud dept would reach out me never happened then my order of hard find food went on back order i told petflow cancel my account chewy much better fast shipping great customer service in stock products</v>
      </c>
      <c r="I388" s="6">
        <f t="shared" si="2"/>
        <v>66</v>
      </c>
      <c r="J388" s="6">
        <f>IFERROR(__xludf.DUMMYFUNCTION("IF(H388="""","""",
SUM(
ARRAYFORMULA(
IF(
REGEXMATCH(
"" ""&amp;H388&amp;"" "",
"" ""&amp;Sentiment_Words!A$2:A3730&amp;"" ""
),
1,
0
)
)
)
)"),3.0)</f>
        <v>3</v>
      </c>
      <c r="K388" s="4">
        <f>IFERROR(__xludf.DUMMYFUNCTION("IF(H388="""","""",
SUM(
ARRAYFORMULA(
IF(
REGEXMATCH(
"" ""&amp;H388&amp;"" "",
"" ""&amp;Sentiment_Words!B$2:B3730&amp;"" ""
),
1,
0
)
)
)
)"),1.0)</f>
        <v>1</v>
      </c>
      <c r="L388" s="7" t="str">
        <f t="shared" si="3"/>
        <v>Customer Support</v>
      </c>
      <c r="M388" s="7" t="str">
        <f t="shared" si="4"/>
        <v>Positive</v>
      </c>
      <c r="N388" s="7" t="str">
        <f>IFERROR(__xludf.DUMMYFUNCTION("LOWER(
TRIM(
REGEXREPLACE(B388,""[^a-zA-Z\s]"","""")
)
)
"),"customer")</f>
        <v>customer</v>
      </c>
      <c r="O388" s="7">
        <f t="shared" si="5"/>
        <v>54</v>
      </c>
      <c r="P388" s="8" t="str">
        <f t="shared" si="6"/>
        <v>Yes</v>
      </c>
    </row>
    <row r="389">
      <c r="A389" s="4" t="s">
        <v>16</v>
      </c>
      <c r="B389" s="4" t="s">
        <v>1127</v>
      </c>
      <c r="C389" s="5">
        <v>45005.0</v>
      </c>
      <c r="D389" s="10">
        <v>45018.0</v>
      </c>
      <c r="E389" s="4" t="s">
        <v>1128</v>
      </c>
      <c r="F389" s="4" t="s">
        <v>1129</v>
      </c>
      <c r="G389" s="6" t="str">
        <f>IFERROR(__xludf.DUMMYFUNCTION("REGEXREPLACE(LOWER(F389),""[^a-z\s]"","""")"),"quick service easy to use")</f>
        <v>quick service easy to use</v>
      </c>
      <c r="H389" s="4" t="str">
        <f t="shared" si="1"/>
        <v>quick service easy use</v>
      </c>
      <c r="I389" s="6">
        <f t="shared" si="2"/>
        <v>4</v>
      </c>
      <c r="J389" s="6">
        <f>IFERROR(__xludf.DUMMYFUNCTION("IF(H389="""","""",
SUM(
ARRAYFORMULA(
IF(
REGEXMATCH(
"" ""&amp;H389&amp;"" "",
"" ""&amp;Sentiment_Words!A$2:A3730&amp;"" ""
),
1,
0
)
)
)
)"),1.0)</f>
        <v>1</v>
      </c>
      <c r="K389" s="4">
        <f>IFERROR(__xludf.DUMMYFUNCTION("IF(H389="""","""",
SUM(
ARRAYFORMULA(
IF(
REGEXMATCH(
"" ""&amp;H389&amp;"" "",
"" ""&amp;Sentiment_Words!B$2:B3730&amp;"" ""
),
1,
0
)
)
)
)"),0.0)</f>
        <v>0</v>
      </c>
      <c r="L389" s="7" t="str">
        <f t="shared" si="3"/>
        <v>Customer Support</v>
      </c>
      <c r="M389" s="7" t="str">
        <f t="shared" si="4"/>
        <v>Positive</v>
      </c>
      <c r="N389" s="7" t="str">
        <f>IFERROR(__xludf.DUMMYFUNCTION("LOWER(
TRIM(
REGEXREPLACE(B389,""[^a-zA-Z\s]"","""")
)
)
"),"linda rucker")</f>
        <v>linda rucker</v>
      </c>
      <c r="O389" s="7">
        <f t="shared" si="5"/>
        <v>1</v>
      </c>
      <c r="P389" s="8" t="str">
        <f t="shared" si="6"/>
        <v>No</v>
      </c>
    </row>
    <row r="390">
      <c r="A390" s="4" t="s">
        <v>16</v>
      </c>
      <c r="B390" s="4" t="s">
        <v>1130</v>
      </c>
      <c r="C390" s="5">
        <v>45005.0</v>
      </c>
      <c r="D390" s="10">
        <v>45017.0</v>
      </c>
      <c r="E390" s="4" t="s">
        <v>1131</v>
      </c>
      <c r="F390" s="4" t="s">
        <v>1132</v>
      </c>
      <c r="G390" s="6" t="str">
        <f>IFERROR(__xludf.DUMMYFUNCTION("REGEXREPLACE(LOWER(F390),""[^a-z\s]"","""")"),"i buy canned dog food i should have split my order into two because i could have taken advantage of two discounts that way it was an expensive order but i only used one discount my fault and it cost me
petflow has the best price on the dog food that i buy"&amp;" i tell people in the pet food isle in walmart to consider going to you for pet food
what is the point of offering one order of two cases of canned dog food for the same price as two orders of one case your site implies that the two case order is less exp"&amp;"ensive but it isnt")</f>
        <v>i buy canned dog food i should have split my order into two because i could have taken advantage of two discounts that way it was an expensive order but i only used one discount my fault and it cost me
petflow has the best price on the dog food that i buy i tell people in the pet food isle in walmart to consider going to you for pet food
what is the point of offering one order of two cases of canned dog food for the same price as two orders of one case your site implies that the two case order is less expensive but it isnt</v>
      </c>
      <c r="H390" s="4" t="str">
        <f t="shared" si="1"/>
        <v>i buy canned dog food i should have split my order into two because i could have taken advantage of two discounts that way it was an expensive order but i only used one discount my fault it cost me
petflow has best price on dog food that i buy i tell people in pet food isle in walmart consider going you pet food
what point of offering one order of two cases of canned dog food same price as two orders of one case your site implies that two case order less expensive but it isnt</v>
      </c>
      <c r="I390" s="6">
        <f t="shared" si="2"/>
        <v>95</v>
      </c>
      <c r="J390" s="6">
        <f>IFERROR(__xludf.DUMMYFUNCTION("IF(H390="""","""",
SUM(
ARRAYFORMULA(
IF(
REGEXMATCH(
"" ""&amp;H390&amp;"" "",
"" ""&amp;Sentiment_Words!A$2:A3730&amp;"" ""
),
1,
0
)
)
)
)"),0.0)</f>
        <v>0</v>
      </c>
      <c r="K390" s="4">
        <f>IFERROR(__xludf.DUMMYFUNCTION("IF(H390="""","""",
SUM(
ARRAYFORMULA(
IF(
REGEXMATCH(
"" ""&amp;H390&amp;"" "",
"" ""&amp;Sentiment_Words!B$2:B3730&amp;"" ""
),
1,
0
)
)
)
)"),0.0)</f>
        <v>0</v>
      </c>
      <c r="L390" s="7" t="str">
        <f t="shared" si="3"/>
        <v>Other</v>
      </c>
      <c r="M390" s="7" t="str">
        <f t="shared" si="4"/>
        <v>Neutral</v>
      </c>
      <c r="N390" s="7" t="str">
        <f>IFERROR(__xludf.DUMMYFUNCTION("LOWER(
TRIM(
REGEXREPLACE(B390,""[^a-zA-Z\s]"","""")
)
)
"),"brenda perezgoodrum")</f>
        <v>brenda perezgoodrum</v>
      </c>
      <c r="O390" s="7">
        <f t="shared" si="5"/>
        <v>1</v>
      </c>
      <c r="P390" s="8" t="str">
        <f t="shared" si="6"/>
        <v>No</v>
      </c>
    </row>
    <row r="391">
      <c r="A391" s="4" t="s">
        <v>16</v>
      </c>
      <c r="B391" s="4" t="s">
        <v>1133</v>
      </c>
      <c r="C391" s="5">
        <v>45005.0</v>
      </c>
      <c r="D391" s="10">
        <v>45017.0</v>
      </c>
      <c r="E391" s="4" t="s">
        <v>1134</v>
      </c>
      <c r="F391" s="4" t="s">
        <v>1135</v>
      </c>
      <c r="G391" s="6" t="str">
        <f>IFERROR(__xludf.DUMMYFUNCTION("REGEXREPLACE(LOWER(F391),""[^a-z\s]"","""")"),"web site needs to be a little eiser to use i have a hard time adjusting the auto ship without out deleting the product and resubmitted to increase or decrease the amount of product
also i need pigeon grit to be added for sale i also use versa laga for th"&amp;"e grit red stone")</f>
        <v>web site needs to be a little eiser to use i have a hard time adjusting the auto ship without out deleting the product and resubmitted to increase or decrease the amount of product
also i need pigeon grit to be added for sale i also use versa laga for the grit red stone</v>
      </c>
      <c r="H391" s="4" t="str">
        <f t="shared" si="1"/>
        <v>web site needs be a little eiser use i have a hard time adjusting auto ship without out deleting product resubmitted increase or decrease amount of product
also i need pigeon grit be added sale i also use versa laga grit red stone</v>
      </c>
      <c r="I391" s="6">
        <f t="shared" si="2"/>
        <v>42</v>
      </c>
      <c r="J391" s="6">
        <f>IFERROR(__xludf.DUMMYFUNCTION("IF(H391="""","""",
SUM(
ARRAYFORMULA(
IF(
REGEXMATCH(
"" ""&amp;H391&amp;"" "",
"" ""&amp;Sentiment_Words!A$2:A3730&amp;"" ""
),
1,
0
)
)
)
)"),1.0)</f>
        <v>1</v>
      </c>
      <c r="K391" s="4">
        <f>IFERROR(__xludf.DUMMYFUNCTION("IF(H391="""","""",
SUM(
ARRAYFORMULA(
IF(
REGEXMATCH(
"" ""&amp;H391&amp;"" "",
"" ""&amp;Sentiment_Words!B$2:B3730&amp;"" ""
),
1,
0
)
)
)
)"),0.0)</f>
        <v>0</v>
      </c>
      <c r="L391" s="7" t="str">
        <f t="shared" si="3"/>
        <v>Other</v>
      </c>
      <c r="M391" s="7" t="str">
        <f t="shared" si="4"/>
        <v>Positive</v>
      </c>
      <c r="N391" s="7" t="str">
        <f>IFERROR(__xludf.DUMMYFUNCTION("LOWER(
TRIM(
REGEXREPLACE(B391,""[^a-zA-Z\s]"","""")
)
)
"),"daniel hollingsworth")</f>
        <v>daniel hollingsworth</v>
      </c>
      <c r="O391" s="7">
        <f t="shared" si="5"/>
        <v>1</v>
      </c>
      <c r="P391" s="8" t="str">
        <f t="shared" si="6"/>
        <v>No</v>
      </c>
    </row>
    <row r="392">
      <c r="A392" s="4" t="s">
        <v>16</v>
      </c>
      <c r="B392" s="4" t="s">
        <v>1136</v>
      </c>
      <c r="C392" s="5">
        <v>45005.0</v>
      </c>
      <c r="D392" s="10">
        <v>45017.0</v>
      </c>
      <c r="E392" s="4" t="s">
        <v>1137</v>
      </c>
      <c r="F392" s="4" t="s">
        <v>1138</v>
      </c>
      <c r="G392" s="6" t="str">
        <f>IFERROR(__xludf.DUMMYFUNCTION("REGEXREPLACE(LOWER(F392),""[^a-z\s]"","""")"),"petflow has food and toys my dogs love the website is easy to use and my orders arrive quickly")</f>
        <v>petflow has food and toys my dogs love the website is easy to use and my orders arrive quickly</v>
      </c>
      <c r="H392" s="4" t="str">
        <f t="shared" si="1"/>
        <v>petflow has food toys my dogs love website easy use my orders arrive quickly</v>
      </c>
      <c r="I392" s="6">
        <f t="shared" si="2"/>
        <v>14</v>
      </c>
      <c r="J392" s="6">
        <f>IFERROR(__xludf.DUMMYFUNCTION("IF(H392="""","""",
SUM(
ARRAYFORMULA(
IF(
REGEXMATCH(
"" ""&amp;H392&amp;"" "",
"" ""&amp;Sentiment_Words!A$2:A3730&amp;"" ""
),
1,
0
)
)
)
)"),2.0)</f>
        <v>2</v>
      </c>
      <c r="K392" s="4">
        <f>IFERROR(__xludf.DUMMYFUNCTION("IF(H392="""","""",
SUM(
ARRAYFORMULA(
IF(
REGEXMATCH(
"" ""&amp;H392&amp;"" "",
"" ""&amp;Sentiment_Words!B$2:B3730&amp;"" ""
),
1,
0
)
)
)
)"),0.0)</f>
        <v>0</v>
      </c>
      <c r="L392" s="7" t="str">
        <f t="shared" si="3"/>
        <v>Account &amp; Website</v>
      </c>
      <c r="M392" s="7" t="str">
        <f t="shared" si="4"/>
        <v>Positive</v>
      </c>
      <c r="N392" s="7" t="str">
        <f>IFERROR(__xludf.DUMMYFUNCTION("LOWER(
TRIM(
REGEXREPLACE(B392,""[^a-zA-Z\s]"","""")
)
)
"),"pg")</f>
        <v>pg</v>
      </c>
      <c r="O392" s="7">
        <f t="shared" si="5"/>
        <v>1</v>
      </c>
      <c r="P392" s="8" t="str">
        <f t="shared" si="6"/>
        <v>No</v>
      </c>
    </row>
    <row r="393">
      <c r="A393" s="4" t="s">
        <v>16</v>
      </c>
      <c r="B393" s="4" t="s">
        <v>1139</v>
      </c>
      <c r="C393" s="5">
        <v>45005.0</v>
      </c>
      <c r="D393" s="10">
        <v>45017.0</v>
      </c>
      <c r="E393" s="4" t="s">
        <v>1140</v>
      </c>
      <c r="F393" s="4" t="s">
        <v>1141</v>
      </c>
      <c r="G393" s="6" t="str">
        <f>IFERROR(__xludf.DUMMYFUNCTION("REGEXREPLACE(LOWER(F393),""[^a-z\s]"","""")"),"customer service is awesome ordering online is quick and easy my dog loves these treats")</f>
        <v>customer service is awesome ordering online is quick and easy my dog loves these treats</v>
      </c>
      <c r="H393" s="4" t="str">
        <f t="shared" si="1"/>
        <v>customer service awesome ordering online quick easy my dog loves these treats</v>
      </c>
      <c r="I393" s="6">
        <f t="shared" si="2"/>
        <v>12</v>
      </c>
      <c r="J393" s="6">
        <f>IFERROR(__xludf.DUMMYFUNCTION("IF(H393="""","""",
SUM(
ARRAYFORMULA(
IF(
REGEXMATCH(
"" ""&amp;H393&amp;"" "",
"" ""&amp;Sentiment_Words!A$2:A3730&amp;"" ""
),
1,
0
)
)
)
)"),1.0)</f>
        <v>1</v>
      </c>
      <c r="K393" s="4">
        <f>IFERROR(__xludf.DUMMYFUNCTION("IF(H393="""","""",
SUM(
ARRAYFORMULA(
IF(
REGEXMATCH(
"" ""&amp;H393&amp;"" "",
"" ""&amp;Sentiment_Words!B$2:B3730&amp;"" ""
),
1,
0
)
)
)
)"),1.0)</f>
        <v>1</v>
      </c>
      <c r="L393" s="7" t="str">
        <f t="shared" si="3"/>
        <v>Customer Support</v>
      </c>
      <c r="M393" s="7" t="str">
        <f t="shared" si="4"/>
        <v>Neutral</v>
      </c>
      <c r="N393" s="7" t="str">
        <f>IFERROR(__xludf.DUMMYFUNCTION("LOWER(
TRIM(
REGEXREPLACE(B393,""[^a-zA-Z\s]"","""")
)
)
"),"jeff")</f>
        <v>jeff</v>
      </c>
      <c r="O393" s="7">
        <f t="shared" si="5"/>
        <v>5</v>
      </c>
      <c r="P393" s="8" t="str">
        <f t="shared" si="6"/>
        <v>Yes</v>
      </c>
    </row>
    <row r="394">
      <c r="A394" s="4" t="s">
        <v>16</v>
      </c>
      <c r="B394" s="4" t="s">
        <v>1142</v>
      </c>
      <c r="C394" s="5">
        <v>45005.0</v>
      </c>
      <c r="D394" s="10">
        <v>45017.0</v>
      </c>
      <c r="E394" s="4" t="s">
        <v>1143</v>
      </c>
      <c r="F394" s="4" t="s">
        <v>1144</v>
      </c>
      <c r="G394" s="6" t="str">
        <f>IFERROR(__xludf.DUMMYFUNCTION("REGEXREPLACE(LOWER(F394),""[^a-z\s]"","""")"),"super delivered my home the price is good")</f>
        <v>super delivered my home the price is good</v>
      </c>
      <c r="H394" s="4" t="str">
        <f t="shared" si="1"/>
        <v>super delivered my home price good</v>
      </c>
      <c r="I394" s="6">
        <f t="shared" si="2"/>
        <v>6</v>
      </c>
      <c r="J394" s="6">
        <f>IFERROR(__xludf.DUMMYFUNCTION("IF(H394="""","""",
SUM(
ARRAYFORMULA(
IF(
REGEXMATCH(
"" ""&amp;H394&amp;"" "",
"" ""&amp;Sentiment_Words!A$2:A3730&amp;"" ""
),
1,
0
)
)
)
)"),2.0)</f>
        <v>2</v>
      </c>
      <c r="K394" s="4">
        <f>IFERROR(__xludf.DUMMYFUNCTION("IF(H394="""","""",
SUM(
ARRAYFORMULA(
IF(
REGEXMATCH(
"" ""&amp;H394&amp;"" "",
"" ""&amp;Sentiment_Words!B$2:B3730&amp;"" ""
),
1,
0
)
)
)
)"),0.0)</f>
        <v>0</v>
      </c>
      <c r="L394" s="7" t="str">
        <f t="shared" si="3"/>
        <v>Other</v>
      </c>
      <c r="M394" s="7" t="str">
        <f t="shared" si="4"/>
        <v>Positive</v>
      </c>
      <c r="N394" s="7" t="str">
        <f>IFERROR(__xludf.DUMMYFUNCTION("LOWER(
TRIM(
REGEXREPLACE(B394,""[^a-zA-Z\s]"","""")
)
)
"),"karen")</f>
        <v>karen</v>
      </c>
      <c r="O394" s="7">
        <f t="shared" si="5"/>
        <v>8</v>
      </c>
      <c r="P394" s="8" t="str">
        <f t="shared" si="6"/>
        <v>Yes</v>
      </c>
    </row>
    <row r="395">
      <c r="A395" s="4" t="s">
        <v>16</v>
      </c>
      <c r="B395" s="4" t="s">
        <v>1145</v>
      </c>
      <c r="C395" s="5">
        <v>45005.0</v>
      </c>
      <c r="D395" s="10">
        <v>45017.0</v>
      </c>
      <c r="E395" s="4" t="s">
        <v>1146</v>
      </c>
      <c r="F395" s="4" t="s">
        <v>1147</v>
      </c>
      <c r="G395" s="6" t="str">
        <f>IFERROR(__xludf.DUMMYFUNCTION("REGEXREPLACE(LOWER(F395),""[^a-z\s]"","""")"),"very helpful polite phone staff and prompt delivery a positive shopper experience will continue to shop for my cats rx food from petflow")</f>
        <v>very helpful polite phone staff and prompt delivery a positive shopper experience will continue to shop for my cats rx food from petflow</v>
      </c>
      <c r="H395" s="4" t="str">
        <f t="shared" si="1"/>
        <v>very helpful polite phone staff prompt delivery a positive shopper experience will continue shop my cats rx food from petflow</v>
      </c>
      <c r="I395" s="6">
        <f t="shared" si="2"/>
        <v>20</v>
      </c>
      <c r="J395" s="6">
        <f>IFERROR(__xludf.DUMMYFUNCTION("IF(H395="""","""",
SUM(
ARRAYFORMULA(
IF(
REGEXMATCH(
"" ""&amp;H395&amp;"" "",
"" ""&amp;Sentiment_Words!A$2:A3730&amp;"" ""
),
1,
0
)
)
)
)"),2.0)</f>
        <v>2</v>
      </c>
      <c r="K395" s="4">
        <f>IFERROR(__xludf.DUMMYFUNCTION("IF(H395="""","""",
SUM(
ARRAYFORMULA(
IF(
REGEXMATCH(
"" ""&amp;H395&amp;"" "",
"" ""&amp;Sentiment_Words!B$2:B3730&amp;"" ""
),
1,
0
)
)
)
)"),0.0)</f>
        <v>0</v>
      </c>
      <c r="L395" s="7" t="str">
        <f t="shared" si="3"/>
        <v>Other</v>
      </c>
      <c r="M395" s="7" t="str">
        <f t="shared" si="4"/>
        <v>Positive</v>
      </c>
      <c r="N395" s="7" t="str">
        <f>IFERROR(__xludf.DUMMYFUNCTION("LOWER(
TRIM(
REGEXREPLACE(B395,""[^a-zA-Z\s]"","""")
)
)
"),"mary beth didion")</f>
        <v>mary beth didion</v>
      </c>
      <c r="O395" s="7">
        <f t="shared" si="5"/>
        <v>1</v>
      </c>
      <c r="P395" s="8" t="str">
        <f t="shared" si="6"/>
        <v>No</v>
      </c>
    </row>
    <row r="396">
      <c r="A396" s="4" t="s">
        <v>16</v>
      </c>
      <c r="B396" s="4" t="s">
        <v>1148</v>
      </c>
      <c r="C396" s="5">
        <v>45004.0</v>
      </c>
      <c r="D396" s="10">
        <v>45017.0</v>
      </c>
      <c r="E396" s="4" t="s">
        <v>1149</v>
      </c>
      <c r="F396" s="4" t="s">
        <v>1150</v>
      </c>
      <c r="G396" s="6" t="str">
        <f>IFERROR(__xludf.DUMMYFUNCTION("REGEXREPLACE(LOWER(F396),""[^a-z\s]"","""")"),"i placed an order my card was charged and then credited a day or so later and then i was locked out of my account i created another account and the same thing happened all for no reason and my orders were never shipped it was a waste of my time and i dont"&amp;" understand what the problem was")</f>
        <v>i placed an order my card was charged and then credited a day or so later and then i was locked out of my account i created another account and the same thing happened all for no reason and my orders were never shipped it was a waste of my time and i dont understand what the problem was</v>
      </c>
      <c r="H396" s="4" t="str">
        <f t="shared" si="1"/>
        <v>i placed an order my card was charged then credited a day or so later then i was locked out of my account i created another account same thing happened all no reason my orders were never shipped it was a waste of my time i dont understand what problem was</v>
      </c>
      <c r="I396" s="6">
        <f t="shared" si="2"/>
        <v>51</v>
      </c>
      <c r="J396" s="6">
        <f>IFERROR(__xludf.DUMMYFUNCTION("IF(H396="""","""",
SUM(
ARRAYFORMULA(
IF(
REGEXMATCH(
"" ""&amp;H396&amp;"" "",
"" ""&amp;Sentiment_Words!A$2:A3730&amp;"" ""
),
1,
0
)
)
)
)"),0.0)</f>
        <v>0</v>
      </c>
      <c r="K396" s="4">
        <f>IFERROR(__xludf.DUMMYFUNCTION("IF(H396="""","""",
SUM(
ARRAYFORMULA(
IF(
REGEXMATCH(
"" ""&amp;H396&amp;"" "",
"" ""&amp;Sentiment_Words!B$2:B3730&amp;"" ""
),
1,
0
)
)
)
)"),1.0)</f>
        <v>1</v>
      </c>
      <c r="L396" s="7" t="str">
        <f t="shared" si="3"/>
        <v>Fulfillment &amp; Shipping</v>
      </c>
      <c r="M396" s="7" t="str">
        <f t="shared" si="4"/>
        <v>Negative</v>
      </c>
      <c r="N396" s="7" t="str">
        <f>IFERROR(__xludf.DUMMYFUNCTION("LOWER(
TRIM(
REGEXREPLACE(B396,""[^a-zA-Z\s]"","""")
)
)
"),"joannie maheux")</f>
        <v>joannie maheux</v>
      </c>
      <c r="O396" s="7">
        <f t="shared" si="5"/>
        <v>1</v>
      </c>
      <c r="P396" s="8" t="str">
        <f t="shared" si="6"/>
        <v>No</v>
      </c>
    </row>
    <row r="397">
      <c r="A397" s="4" t="s">
        <v>16</v>
      </c>
      <c r="B397" s="4" t="s">
        <v>1151</v>
      </c>
      <c r="C397" s="5">
        <v>45004.0</v>
      </c>
      <c r="D397" s="10">
        <v>45016.0</v>
      </c>
      <c r="E397" s="4" t="s">
        <v>1152</v>
      </c>
      <c r="F397" s="4" t="s">
        <v>1153</v>
      </c>
      <c r="G397" s="6" t="str">
        <f>IFERROR(__xludf.DUMMYFUNCTION("REGEXREPLACE(LOWER(F397),""[^a-z\s]"","""")"),"well you know what they say about st impressions
the csrs are never on the same page when asked the same questions when csrs were asked when will i receive my shipment answers varied between csrs
one csr said everything will ship on monday while yet anoth"&amp;"er said we are out of the shampoo so not sure another one said petflow was out of the dry cat food and was not sure your hold and wait times are crazy some csrs seemed better trained than others")</f>
        <v>well you know what they say about st impressions
the csrs are never on the same page when asked the same questions when csrs were asked when will i receive my shipment answers varied between csrs
one csr said everything will ship on monday while yet another said we are out of the shampoo so not sure another one said petflow was out of the dry cat food and was not sure your hold and wait times are crazy some csrs seemed better trained than others</v>
      </c>
      <c r="H397" s="4" t="str">
        <f t="shared" si="1"/>
        <v>well you know what they say about st impressions
the csrs are never on same page when asked same questions when csrs were asked when will i receive my shipment answers varied between csrs
one csr said everything will ship on monday while yet another said we are out of shampoo so not sure another one said petflow was out of dry cat food was not sure your hold wait times are crazy some csrs seemed better trained than others</v>
      </c>
      <c r="I397" s="6">
        <f t="shared" si="2"/>
        <v>78</v>
      </c>
      <c r="J397" s="6">
        <f>IFERROR(__xludf.DUMMYFUNCTION("IF(H397="""","""",
SUM(
ARRAYFORMULA(
IF(
REGEXMATCH(
"" ""&amp;H397&amp;"" "",
"" ""&amp;Sentiment_Words!A$2:A3730&amp;"" ""
),
1,
0
)
)
)
)"),0.0)</f>
        <v>0</v>
      </c>
      <c r="K397" s="4">
        <f>IFERROR(__xludf.DUMMYFUNCTION("IF(H397="""","""",
SUM(
ARRAYFORMULA(
IF(
REGEXMATCH(
"" ""&amp;H397&amp;"" "",
"" ""&amp;Sentiment_Words!B$2:B3730&amp;"" ""
),
1,
0
)
)
)
)"),0.0)</f>
        <v>0</v>
      </c>
      <c r="L397" s="7" t="str">
        <f t="shared" si="3"/>
        <v>Other</v>
      </c>
      <c r="M397" s="7" t="str">
        <f t="shared" si="4"/>
        <v>Neutral</v>
      </c>
      <c r="N397" s="7" t="str">
        <f>IFERROR(__xludf.DUMMYFUNCTION("LOWER(
TRIM(
REGEXREPLACE(B397,""[^a-zA-Z\s]"","""")
)
)
"),"nancy addesso")</f>
        <v>nancy addesso</v>
      </c>
      <c r="O397" s="7">
        <f t="shared" si="5"/>
        <v>1</v>
      </c>
      <c r="P397" s="8" t="str">
        <f t="shared" si="6"/>
        <v>No</v>
      </c>
    </row>
    <row r="398">
      <c r="A398" s="4" t="s">
        <v>16</v>
      </c>
      <c r="B398" s="4" t="s">
        <v>1154</v>
      </c>
      <c r="C398" s="5">
        <v>45004.0</v>
      </c>
      <c r="D398" s="10">
        <v>45016.0</v>
      </c>
      <c r="E398" s="4" t="s">
        <v>181</v>
      </c>
      <c r="F398" s="4" t="s">
        <v>1155</v>
      </c>
      <c r="G398" s="6" t="str">
        <f>IFERROR(__xludf.DUMMYFUNCTION("REGEXREPLACE(LOWER(F398),""[^a-z\s]"","""")"),"delivery slower than chewy occasionally items are sold out")</f>
        <v>delivery slower than chewy occasionally items are sold out</v>
      </c>
      <c r="H398" s="4" t="str">
        <f t="shared" si="1"/>
        <v>delivery slower than chewy occasionally items are sold out</v>
      </c>
      <c r="I398" s="6">
        <f t="shared" si="2"/>
        <v>9</v>
      </c>
      <c r="J398" s="6">
        <f>IFERROR(__xludf.DUMMYFUNCTION("IF(H398="""","""",
SUM(
ARRAYFORMULA(
IF(
REGEXMATCH(
"" ""&amp;H398&amp;"" "",
"" ""&amp;Sentiment_Words!A$2:A3730&amp;"" ""
),
1,
0
)
)
)
)"),0.0)</f>
        <v>0</v>
      </c>
      <c r="K398" s="4">
        <f>IFERROR(__xludf.DUMMYFUNCTION("IF(H398="""","""",
SUM(
ARRAYFORMULA(
IF(
REGEXMATCH(
"" ""&amp;H398&amp;"" "",
"" ""&amp;Sentiment_Words!B$2:B3730&amp;"" ""
),
1,
0
)
)
)
)"),0.0)</f>
        <v>0</v>
      </c>
      <c r="L398" s="7" t="str">
        <f t="shared" si="3"/>
        <v>Other</v>
      </c>
      <c r="M398" s="7" t="str">
        <f t="shared" si="4"/>
        <v>Neutral</v>
      </c>
      <c r="N398" s="7" t="str">
        <f>IFERROR(__xludf.DUMMYFUNCTION("LOWER(
TRIM(
REGEXREPLACE(B398,""[^a-zA-Z\s]"","""")
)
)
"),"hailey sumpter")</f>
        <v>hailey sumpter</v>
      </c>
      <c r="O398" s="7">
        <f t="shared" si="5"/>
        <v>1</v>
      </c>
      <c r="P398" s="8" t="str">
        <f t="shared" si="6"/>
        <v>No</v>
      </c>
    </row>
    <row r="399">
      <c r="A399" s="4" t="s">
        <v>16</v>
      </c>
      <c r="B399" s="4" t="s">
        <v>1156</v>
      </c>
      <c r="C399" s="5">
        <v>45004.0</v>
      </c>
      <c r="D399" s="10">
        <v>45016.0</v>
      </c>
      <c r="E399" s="4" t="s">
        <v>1157</v>
      </c>
      <c r="F399" s="4" t="s">
        <v>331</v>
      </c>
      <c r="G399" s="6" t="str">
        <f>IFERROR(__xludf.DUMMYFUNCTION("REGEXREPLACE(LOWER(F399),""[^a-z\s]"","""")"),"none")</f>
        <v>none</v>
      </c>
      <c r="H399" s="4" t="str">
        <f t="shared" si="1"/>
        <v>none</v>
      </c>
      <c r="I399" s="6">
        <f t="shared" si="2"/>
        <v>1</v>
      </c>
      <c r="J399" s="6">
        <f>IFERROR(__xludf.DUMMYFUNCTION("IF(H399="""","""",
SUM(
ARRAYFORMULA(
IF(
REGEXMATCH(
"" ""&amp;H399&amp;"" "",
"" ""&amp;Sentiment_Words!A$2:A3730&amp;"" ""
),
1,
0
)
)
)
)"),0.0)</f>
        <v>0</v>
      </c>
      <c r="K399" s="4">
        <f>IFERROR(__xludf.DUMMYFUNCTION("IF(H399="""","""",
SUM(
ARRAYFORMULA(
IF(
REGEXMATCH(
"" ""&amp;H399&amp;"" "",
"" ""&amp;Sentiment_Words!B$2:B3730&amp;"" ""
),
1,
0
)
)
)
)"),0.0)</f>
        <v>0</v>
      </c>
      <c r="L399" s="7" t="str">
        <f t="shared" si="3"/>
        <v>Other</v>
      </c>
      <c r="M399" s="7" t="str">
        <f t="shared" si="4"/>
        <v>Neutral</v>
      </c>
      <c r="N399" s="7" t="str">
        <f>IFERROR(__xludf.DUMMYFUNCTION("LOWER(
TRIM(
REGEXREPLACE(B399,""[^a-zA-Z\s]"","""")
)
)
"),"michael moore")</f>
        <v>michael moore</v>
      </c>
      <c r="O399" s="7">
        <f t="shared" si="5"/>
        <v>2</v>
      </c>
      <c r="P399" s="8" t="str">
        <f t="shared" si="6"/>
        <v>Yes</v>
      </c>
    </row>
    <row r="400">
      <c r="A400" s="4" t="s">
        <v>16</v>
      </c>
      <c r="B400" s="4" t="s">
        <v>1158</v>
      </c>
      <c r="C400" s="5">
        <v>45004.0</v>
      </c>
      <c r="D400" s="10">
        <v>45016.0</v>
      </c>
      <c r="E400" s="4" t="s">
        <v>1159</v>
      </c>
      <c r="F400" s="4" t="s">
        <v>331</v>
      </c>
      <c r="G400" s="6" t="str">
        <f>IFERROR(__xludf.DUMMYFUNCTION("REGEXREPLACE(LOWER(F400),""[^a-z\s]"","""")"),"none")</f>
        <v>none</v>
      </c>
      <c r="H400" s="4" t="str">
        <f t="shared" si="1"/>
        <v>none</v>
      </c>
      <c r="I400" s="6">
        <f t="shared" si="2"/>
        <v>1</v>
      </c>
      <c r="J400" s="6">
        <f>IFERROR(__xludf.DUMMYFUNCTION("IF(H400="""","""",
SUM(
ARRAYFORMULA(
IF(
REGEXMATCH(
"" ""&amp;H400&amp;"" "",
"" ""&amp;Sentiment_Words!A$2:A3730&amp;"" ""
),
1,
0
)
)
)
)"),0.0)</f>
        <v>0</v>
      </c>
      <c r="K400" s="4">
        <f>IFERROR(__xludf.DUMMYFUNCTION("IF(H400="""","""",
SUM(
ARRAYFORMULA(
IF(
REGEXMATCH(
"" ""&amp;H400&amp;"" "",
"" ""&amp;Sentiment_Words!B$2:B3730&amp;"" ""
),
1,
0
)
)
)
)"),0.0)</f>
        <v>0</v>
      </c>
      <c r="L400" s="7" t="str">
        <f t="shared" si="3"/>
        <v>Other</v>
      </c>
      <c r="M400" s="7" t="str">
        <f t="shared" si="4"/>
        <v>Neutral</v>
      </c>
      <c r="N400" s="7" t="str">
        <f>IFERROR(__xludf.DUMMYFUNCTION("LOWER(
TRIM(
REGEXREPLACE(B400,""[^a-zA-Z\s]"","""")
)
)
"),"jerry divijak")</f>
        <v>jerry divijak</v>
      </c>
      <c r="O400" s="7">
        <f t="shared" si="5"/>
        <v>1</v>
      </c>
      <c r="P400" s="8" t="str">
        <f t="shared" si="6"/>
        <v>No</v>
      </c>
    </row>
    <row r="401">
      <c r="A401" s="4" t="s">
        <v>16</v>
      </c>
      <c r="B401" s="4" t="s">
        <v>1160</v>
      </c>
      <c r="C401" s="5">
        <v>45004.0</v>
      </c>
      <c r="D401" s="10">
        <v>45016.0</v>
      </c>
      <c r="E401" s="4" t="s">
        <v>1161</v>
      </c>
      <c r="F401" s="4" t="s">
        <v>331</v>
      </c>
      <c r="G401" s="6" t="str">
        <f>IFERROR(__xludf.DUMMYFUNCTION("REGEXREPLACE(LOWER(F401),""[^a-z\s]"","""")"),"none")</f>
        <v>none</v>
      </c>
      <c r="H401" s="4" t="str">
        <f t="shared" si="1"/>
        <v>none</v>
      </c>
      <c r="I401" s="6">
        <f t="shared" si="2"/>
        <v>1</v>
      </c>
      <c r="J401" s="6">
        <f>IFERROR(__xludf.DUMMYFUNCTION("IF(H401="""","""",
SUM(
ARRAYFORMULA(
IF(
REGEXMATCH(
"" ""&amp;H401&amp;"" "",
"" ""&amp;Sentiment_Words!A$2:A3730&amp;"" ""
),
1,
0
)
)
)
)"),0.0)</f>
        <v>0</v>
      </c>
      <c r="K401" s="4">
        <f>IFERROR(__xludf.DUMMYFUNCTION("IF(H401="""","""",
SUM(
ARRAYFORMULA(
IF(
REGEXMATCH(
"" ""&amp;H401&amp;"" "",
"" ""&amp;Sentiment_Words!B$2:B3730&amp;"" ""
),
1,
0
)
)
)
)"),0.0)</f>
        <v>0</v>
      </c>
      <c r="L401" s="7" t="str">
        <f t="shared" si="3"/>
        <v>Other</v>
      </c>
      <c r="M401" s="7" t="str">
        <f t="shared" si="4"/>
        <v>Neutral</v>
      </c>
      <c r="N401" s="7" t="str">
        <f>IFERROR(__xludf.DUMMYFUNCTION("LOWER(
TRIM(
REGEXREPLACE(B401,""[^a-zA-Z\s]"","""")
)
)
"),"andre henderson")</f>
        <v>andre henderson</v>
      </c>
      <c r="O401" s="7">
        <f t="shared" si="5"/>
        <v>1</v>
      </c>
      <c r="P401" s="8" t="str">
        <f t="shared" si="6"/>
        <v>No</v>
      </c>
    </row>
    <row r="402">
      <c r="A402" s="4" t="s">
        <v>16</v>
      </c>
      <c r="B402" s="4" t="s">
        <v>1162</v>
      </c>
      <c r="C402" s="5">
        <v>45004.0</v>
      </c>
      <c r="D402" s="10">
        <v>45016.0</v>
      </c>
      <c r="E402" s="4" t="s">
        <v>1163</v>
      </c>
      <c r="F402" s="4" t="s">
        <v>1164</v>
      </c>
      <c r="G402" s="6" t="str">
        <f>IFERROR(__xludf.DUMMYFUNCTION("REGEXREPLACE(LOWER(F402),""[^a-z\s]"","""")"),"it is only recently that we came back to petflow after a period of being away no particular reason for this we are very pleased with the experience and will be coming back as a customer meanwhile we had been doing business with a major competitor of yours"&amp;" and their customer service has fallen off noticeably for the past few months keep up the good work")</f>
        <v>it is only recently that we came back to petflow after a period of being away no particular reason for this we are very pleased with the experience and will be coming back as a customer meanwhile we had been doing business with a major competitor of yours and their customer service has fallen off noticeably for the past few months keep up the good work</v>
      </c>
      <c r="H402" s="4" t="str">
        <f t="shared" si="1"/>
        <v>it only recently that we came back petflow after a period of being away no particular reason this we are very pleased with experience will be coming back as a customer meanwhile we had been doing business with a major competitor of yours their customer service has fallen off noticeably past few months keep up good work</v>
      </c>
      <c r="I402" s="6">
        <f t="shared" si="2"/>
        <v>57</v>
      </c>
      <c r="J402" s="6">
        <f>IFERROR(__xludf.DUMMYFUNCTION("IF(H402="""","""",
SUM(
ARRAYFORMULA(
IF(
REGEXMATCH(
"" ""&amp;H402&amp;"" "",
"" ""&amp;Sentiment_Words!A$2:A3730&amp;"" ""
),
1,
0
)
)
)
)"),1.0)</f>
        <v>1</v>
      </c>
      <c r="K402" s="4">
        <f>IFERROR(__xludf.DUMMYFUNCTION("IF(H402="""","""",
SUM(
ARRAYFORMULA(
IF(
REGEXMATCH(
"" ""&amp;H402&amp;"" "",
"" ""&amp;Sentiment_Words!B$2:B3730&amp;"" ""
),
1,
0
)
)
)
)"),1.0)</f>
        <v>1</v>
      </c>
      <c r="L402" s="7" t="str">
        <f t="shared" si="3"/>
        <v>Customer Support</v>
      </c>
      <c r="M402" s="7" t="str">
        <f t="shared" si="4"/>
        <v>Neutral</v>
      </c>
      <c r="N402" s="7" t="str">
        <f>IFERROR(__xludf.DUMMYFUNCTION("LOWER(
TRIM(
REGEXREPLACE(B402,""[^a-zA-Z\s]"","""")
)
)
"),"donna perez")</f>
        <v>donna perez</v>
      </c>
      <c r="O402" s="7">
        <f t="shared" si="5"/>
        <v>1</v>
      </c>
      <c r="P402" s="8" t="str">
        <f t="shared" si="6"/>
        <v>No</v>
      </c>
    </row>
    <row r="403">
      <c r="A403" s="4" t="s">
        <v>16</v>
      </c>
      <c r="B403" s="4" t="s">
        <v>1165</v>
      </c>
      <c r="C403" s="5">
        <v>45003.0</v>
      </c>
      <c r="D403" s="10">
        <v>45016.0</v>
      </c>
      <c r="E403" s="4" t="s">
        <v>1166</v>
      </c>
      <c r="F403" s="4" t="s">
        <v>1167</v>
      </c>
      <c r="G403" s="6" t="str">
        <f>IFERROR(__xludf.DUMMYFUNCTION("REGEXREPLACE(LOWER(F403),""[^a-z\s]"","""")"),"my dogs were having an allergy attack and you gave me ideas on what to do what to buy for the allergies it really helped")</f>
        <v>my dogs were having an allergy attack and you gave me ideas on what to do what to buy for the allergies it really helped</v>
      </c>
      <c r="H403" s="4" t="str">
        <f t="shared" si="1"/>
        <v>my dogs were having an allergy attack you gave me ideas on what do what buy allergies it really helped</v>
      </c>
      <c r="I403" s="6">
        <f t="shared" si="2"/>
        <v>20</v>
      </c>
      <c r="J403" s="6">
        <f>IFERROR(__xludf.DUMMYFUNCTION("IF(H403="""","""",
SUM(
ARRAYFORMULA(
IF(
REGEXMATCH(
"" ""&amp;H403&amp;"" "",
"" ""&amp;Sentiment_Words!A$2:A3730&amp;"" ""
),
1,
0
)
)
)
)"),0.0)</f>
        <v>0</v>
      </c>
      <c r="K403" s="4">
        <f>IFERROR(__xludf.DUMMYFUNCTION("IF(H403="""","""",
SUM(
ARRAYFORMULA(
IF(
REGEXMATCH(
"" ""&amp;H403&amp;"" "",
"" ""&amp;Sentiment_Words!B$2:B3730&amp;"" ""
),
1,
0
)
)
)
)"),0.0)</f>
        <v>0</v>
      </c>
      <c r="L403" s="7" t="str">
        <f t="shared" si="3"/>
        <v>Other</v>
      </c>
      <c r="M403" s="7" t="str">
        <f t="shared" si="4"/>
        <v>Neutral</v>
      </c>
      <c r="N403" s="7" t="str">
        <f>IFERROR(__xludf.DUMMYFUNCTION("LOWER(
TRIM(
REGEXREPLACE(B403,""[^a-zA-Z\s]"","""")
)
)
"),"murray ritland")</f>
        <v>murray ritland</v>
      </c>
      <c r="O403" s="7">
        <f t="shared" si="5"/>
        <v>1</v>
      </c>
      <c r="P403" s="8" t="str">
        <f t="shared" si="6"/>
        <v>No</v>
      </c>
    </row>
    <row r="404">
      <c r="A404" s="4" t="s">
        <v>16</v>
      </c>
      <c r="B404" s="4" t="s">
        <v>1168</v>
      </c>
      <c r="C404" s="5">
        <v>45003.0</v>
      </c>
      <c r="D404" s="10">
        <v>45015.0</v>
      </c>
      <c r="E404" s="4" t="s">
        <v>1169</v>
      </c>
      <c r="F404" s="4" t="s">
        <v>1170</v>
      </c>
      <c r="G404" s="6" t="str">
        <f>IFERROR(__xludf.DUMMYFUNCTION("REGEXREPLACE(LOWER(F404),""[^a-z\s]"","""")"),"shipping was superfast and koko got her favorite food at a price that left me amazed not to mention a bit piqued at myself for paying so much more from  other major online stores for the last several years note that this wasnt any kind of sale it was petf"&amp;"lows regular price so glad i found them")</f>
        <v>shipping was superfast and koko got her favorite food at a price that left me amazed not to mention a bit piqued at myself for paying so much more from  other major online stores for the last several years note that this wasnt any kind of sale it was petflows regular price so glad i found them</v>
      </c>
      <c r="H404" s="4" t="str">
        <f t="shared" si="1"/>
        <v>shipping was superfast koko got her favorite food at a price that left me amazed not mention a bit piqued at myself paying so much more from other major online stores last several years note that this wasnt any kind of sale it was petflows regular price so glad i found them</v>
      </c>
      <c r="I404" s="6">
        <f t="shared" si="2"/>
        <v>52</v>
      </c>
      <c r="J404" s="6">
        <f>IFERROR(__xludf.DUMMYFUNCTION("IF(H404="""","""",
SUM(
ARRAYFORMULA(
IF(
REGEXMATCH(
"" ""&amp;H404&amp;"" "",
"" ""&amp;Sentiment_Words!A$2:A3730&amp;"" ""
),
1,
0
)
)
)
)"),1.0)</f>
        <v>1</v>
      </c>
      <c r="K404" s="4">
        <f>IFERROR(__xludf.DUMMYFUNCTION("IF(H404="""","""",
SUM(
ARRAYFORMULA(
IF(
REGEXMATCH(
"" ""&amp;H404&amp;"" "",
"" ""&amp;Sentiment_Words!B$2:B3730&amp;"" ""
),
1,
0
)
)
)
)"),0.0)</f>
        <v>0</v>
      </c>
      <c r="L404" s="7" t="str">
        <f t="shared" si="3"/>
        <v>Other</v>
      </c>
      <c r="M404" s="7" t="str">
        <f t="shared" si="4"/>
        <v>Positive</v>
      </c>
      <c r="N404" s="7" t="str">
        <f>IFERROR(__xludf.DUMMYFUNCTION("LOWER(
TRIM(
REGEXREPLACE(B404,""[^a-zA-Z\s]"","""")
)
)
"),"kristina durocher")</f>
        <v>kristina durocher</v>
      </c>
      <c r="O404" s="7">
        <f t="shared" si="5"/>
        <v>1</v>
      </c>
      <c r="P404" s="8" t="str">
        <f t="shared" si="6"/>
        <v>No</v>
      </c>
    </row>
    <row r="405">
      <c r="A405" s="4" t="s">
        <v>16</v>
      </c>
      <c r="B405" s="4" t="s">
        <v>1171</v>
      </c>
      <c r="C405" s="5">
        <v>45003.0</v>
      </c>
      <c r="D405" s="10">
        <v>45015.0</v>
      </c>
      <c r="E405" s="4" t="s">
        <v>1172</v>
      </c>
      <c r="F405" s="4" t="s">
        <v>1173</v>
      </c>
      <c r="G405" s="6" t="str">
        <f>IFERROR(__xludf.DUMMYFUNCTION("REGEXREPLACE(LOWER(F405),""[^a-z\s]"","""")"),"pet flow always gets my order right and delivers in a couple of days")</f>
        <v>pet flow always gets my order right and delivers in a couple of days</v>
      </c>
      <c r="H405" s="4" t="str">
        <f t="shared" si="1"/>
        <v>pet flow always gets my order right delivers in a couple of days</v>
      </c>
      <c r="I405" s="6">
        <f t="shared" si="2"/>
        <v>13</v>
      </c>
      <c r="J405" s="6">
        <f>IFERROR(__xludf.DUMMYFUNCTION("IF(H405="""","""",
SUM(
ARRAYFORMULA(
IF(
REGEXMATCH(
"" ""&amp;H405&amp;"" "",
"" ""&amp;Sentiment_Words!A$2:A3730&amp;"" ""
),
1,
0
)
)
)
)"),0.0)</f>
        <v>0</v>
      </c>
      <c r="K405" s="4">
        <f>IFERROR(__xludf.DUMMYFUNCTION("IF(H405="""","""",
SUM(
ARRAYFORMULA(
IF(
REGEXMATCH(
"" ""&amp;H405&amp;"" "",
"" ""&amp;Sentiment_Words!B$2:B3730&amp;"" ""
),
1,
0
)
)
)
)"),0.0)</f>
        <v>0</v>
      </c>
      <c r="L405" s="7" t="str">
        <f t="shared" si="3"/>
        <v>Other</v>
      </c>
      <c r="M405" s="7" t="str">
        <f t="shared" si="4"/>
        <v>Neutral</v>
      </c>
      <c r="N405" s="7" t="str">
        <f>IFERROR(__xludf.DUMMYFUNCTION("LOWER(
TRIM(
REGEXREPLACE(B405,""[^a-zA-Z\s]"","""")
)
)
"),"diane stewart")</f>
        <v>diane stewart</v>
      </c>
      <c r="O405" s="7">
        <f t="shared" si="5"/>
        <v>1</v>
      </c>
      <c r="P405" s="8" t="str">
        <f t="shared" si="6"/>
        <v>No</v>
      </c>
    </row>
    <row r="406">
      <c r="A406" s="4" t="s">
        <v>16</v>
      </c>
      <c r="B406" s="4" t="s">
        <v>1174</v>
      </c>
      <c r="C406" s="5">
        <v>45003.0</v>
      </c>
      <c r="D406" s="10">
        <v>45015.0</v>
      </c>
      <c r="E406" s="4" t="s">
        <v>1175</v>
      </c>
      <c r="F406" s="4" t="s">
        <v>1176</v>
      </c>
      <c r="G406" s="6" t="str">
        <f>IFERROR(__xludf.DUMMYFUNCTION("REGEXREPLACE(LOWER(F406),""[^a-z\s]"","""")"),"they had the product i needed at a great price fast shipping too")</f>
        <v>they had the product i needed at a great price fast shipping too</v>
      </c>
      <c r="H406" s="4" t="str">
        <f t="shared" si="1"/>
        <v>they had product i needed at a great price fast shipping too</v>
      </c>
      <c r="I406" s="6">
        <f t="shared" si="2"/>
        <v>12</v>
      </c>
      <c r="J406" s="6">
        <f>IFERROR(__xludf.DUMMYFUNCTION("IF(H406="""","""",
SUM(
ARRAYFORMULA(
IF(
REGEXMATCH(
"" ""&amp;H406&amp;"" "",
"" ""&amp;Sentiment_Words!A$2:A3730&amp;"" ""
),
1,
0
)
)
)
)"),2.0)</f>
        <v>2</v>
      </c>
      <c r="K406" s="4">
        <f>IFERROR(__xludf.DUMMYFUNCTION("IF(H406="""","""",
SUM(
ARRAYFORMULA(
IF(
REGEXMATCH(
"" ""&amp;H406&amp;"" "",
"" ""&amp;Sentiment_Words!B$2:B3730&amp;"" ""
),
1,
0
)
)
)
)"),0.0)</f>
        <v>0</v>
      </c>
      <c r="L406" s="7" t="str">
        <f t="shared" si="3"/>
        <v>Other</v>
      </c>
      <c r="M406" s="7" t="str">
        <f t="shared" si="4"/>
        <v>Positive</v>
      </c>
      <c r="N406" s="7" t="str">
        <f>IFERROR(__xludf.DUMMYFUNCTION("LOWER(
TRIM(
REGEXREPLACE(B406,""[^a-zA-Z\s]"","""")
)
)
"),"delaine endl")</f>
        <v>delaine endl</v>
      </c>
      <c r="O406" s="7">
        <f t="shared" si="5"/>
        <v>1</v>
      </c>
      <c r="P406" s="8" t="str">
        <f t="shared" si="6"/>
        <v>No</v>
      </c>
    </row>
    <row r="407">
      <c r="A407" s="4" t="s">
        <v>16</v>
      </c>
      <c r="B407" s="4" t="s">
        <v>1177</v>
      </c>
      <c r="C407" s="5">
        <v>45000.0</v>
      </c>
      <c r="D407" s="10">
        <v>45015.0</v>
      </c>
      <c r="E407" s="4" t="s">
        <v>1178</v>
      </c>
      <c r="F407" s="4" t="s">
        <v>1179</v>
      </c>
      <c r="G407" s="6" t="str">
        <f>IFERROR(__xludf.DUMMYFUNCTION("REGEXREPLACE(LOWER(F407),""[^a-z\s]"","""")"),"place order for the first time on petflow for a difficult product to find on  after almost two weeks  i attempted to log in to my account on the website which had been deleted my payment had post via my bank on  and no refund so i called customer service "&amp;"and was told my order had been cancelled strangei had not received a refund or email to inform me anyway the very pleasant women fix every thing and it became a happy ending")</f>
        <v>place order for the first time on petflow for a difficult product to find on  after almost two weeks  i attempted to log in to my account on the website which had been deleted my payment had post via my bank on  and no refund so i called customer service and was told my order had been cancelled strangei had not received a refund or email to inform me anyway the very pleasant women fix every thing and it became a happy ending</v>
      </c>
      <c r="H407" s="4" t="str">
        <f t="shared" si="1"/>
        <v>place order first time on petflow a difficult product find on after almost two weeks i attempted log in my account on website which had been deleted my payment had post via my bank on no refund so i called customer service was told my order had been cancelled strangei had not received a refund or email inform me anyway very pleasant women fix every thing it became a happy ending</v>
      </c>
      <c r="I407" s="6">
        <f t="shared" si="2"/>
        <v>71</v>
      </c>
      <c r="J407" s="6">
        <f>IFERROR(__xludf.DUMMYFUNCTION("IF(H407="""","""",
SUM(
ARRAYFORMULA(
IF(
REGEXMATCH(
"" ""&amp;H407&amp;"" "",
"" ""&amp;Sentiment_Words!A$2:A3730&amp;"" ""
),
1,
0
)
)
)
)"),1.0)</f>
        <v>1</v>
      </c>
      <c r="K407" s="4">
        <f>IFERROR(__xludf.DUMMYFUNCTION("IF(H407="""","""",
SUM(
ARRAYFORMULA(
IF(
REGEXMATCH(
"" ""&amp;H407&amp;"" "",
"" ""&amp;Sentiment_Words!B$2:B3730&amp;"" ""
),
1,
0
)
)
)
)"),3.0)</f>
        <v>3</v>
      </c>
      <c r="L407" s="7" t="str">
        <f t="shared" si="3"/>
        <v>Customer Support</v>
      </c>
      <c r="M407" s="7" t="str">
        <f t="shared" si="4"/>
        <v>Negative</v>
      </c>
      <c r="N407" s="7" t="str">
        <f>IFERROR(__xludf.DUMMYFUNCTION("LOWER(
TRIM(
REGEXREPLACE(B407,""[^a-zA-Z\s]"","""")
)
)
"),"sheila robbins")</f>
        <v>sheila robbins</v>
      </c>
      <c r="O407" s="7">
        <f t="shared" si="5"/>
        <v>1</v>
      </c>
      <c r="P407" s="8" t="str">
        <f t="shared" si="6"/>
        <v>No</v>
      </c>
    </row>
    <row r="408">
      <c r="A408" s="4" t="s">
        <v>16</v>
      </c>
      <c r="B408" s="4" t="s">
        <v>1180</v>
      </c>
      <c r="C408" s="5">
        <v>45002.0</v>
      </c>
      <c r="D408" s="10">
        <v>45014.0</v>
      </c>
      <c r="E408" s="4" t="s">
        <v>1181</v>
      </c>
      <c r="F408" s="4" t="s">
        <v>1182</v>
      </c>
      <c r="G408" s="6" t="str">
        <f>IFERROR(__xludf.DUMMYFUNCTION("REGEXREPLACE(LOWER(F408),""[^a-z\s]"","""")"),"ordering was very easy and cost was less than most places shipping time was outstanding  days and that was over a weekend")</f>
        <v>ordering was very easy and cost was less than most places shipping time was outstanding  days and that was over a weekend</v>
      </c>
      <c r="H408" s="4" t="str">
        <f t="shared" si="1"/>
        <v>ordering was very easy cost was less than most places shipping time was outstanding days that was over a weekend</v>
      </c>
      <c r="I408" s="6">
        <f t="shared" si="2"/>
        <v>20</v>
      </c>
      <c r="J408" s="6">
        <f>IFERROR(__xludf.DUMMYFUNCTION("IF(H408="""","""",
SUM(
ARRAYFORMULA(
IF(
REGEXMATCH(
"" ""&amp;H408&amp;"" "",
"" ""&amp;Sentiment_Words!A$2:A3730&amp;"" ""
),
1,
0
)
)
)
)"),1.0)</f>
        <v>1</v>
      </c>
      <c r="K408" s="4">
        <f>IFERROR(__xludf.DUMMYFUNCTION("IF(H408="""","""",
SUM(
ARRAYFORMULA(
IF(
REGEXMATCH(
"" ""&amp;H408&amp;"" "",
"" ""&amp;Sentiment_Words!B$2:B3730&amp;"" ""
),
1,
0
)
)
)
)"),0.0)</f>
        <v>0</v>
      </c>
      <c r="L408" s="7" t="str">
        <f t="shared" si="3"/>
        <v>Other</v>
      </c>
      <c r="M408" s="7" t="str">
        <f t="shared" si="4"/>
        <v>Positive</v>
      </c>
      <c r="N408" s="7" t="str">
        <f>IFERROR(__xludf.DUMMYFUNCTION("LOWER(
TRIM(
REGEXREPLACE(B408,""[^a-zA-Z\s]"","""")
)
)
"),"gary rold")</f>
        <v>gary rold</v>
      </c>
      <c r="O408" s="7">
        <f t="shared" si="5"/>
        <v>1</v>
      </c>
      <c r="P408" s="8" t="str">
        <f t="shared" si="6"/>
        <v>No</v>
      </c>
    </row>
    <row r="409">
      <c r="A409" s="4" t="s">
        <v>16</v>
      </c>
      <c r="B409" s="4" t="s">
        <v>1183</v>
      </c>
      <c r="C409" s="5">
        <v>45002.0</v>
      </c>
      <c r="D409" s="10">
        <v>45014.0</v>
      </c>
      <c r="E409" s="4" t="s">
        <v>1184</v>
      </c>
      <c r="F409" s="4" t="s">
        <v>1185</v>
      </c>
      <c r="G409" s="6" t="str">
        <f>IFERROR(__xludf.DUMMYFUNCTION("REGEXREPLACE(LOWER(F409),""[^a-z\s]"","""")"),"i had some issues on broken items due to poor packaging i let pet flow know and they took care of it i have been using pet flow for a long time and this is my first problem yes i will keep purchasing from pet flow")</f>
        <v>i had some issues on broken items due to poor packaging i let pet flow know and they took care of it i have been using pet flow for a long time and this is my first problem yes i will keep purchasing from pet flow</v>
      </c>
      <c r="H409" s="4" t="str">
        <f t="shared" si="1"/>
        <v>i had some issues on broken items due poor packaging i let pet flow know they took care of it i have been using pet flow a long time this my first problem yes i will keep purchasing from pet flow</v>
      </c>
      <c r="I409" s="6">
        <f t="shared" si="2"/>
        <v>41</v>
      </c>
      <c r="J409" s="6">
        <f>IFERROR(__xludf.DUMMYFUNCTION("IF(H409="""","""",
SUM(
ARRAYFORMULA(
IF(
REGEXMATCH(
"" ""&amp;H409&amp;"" "",
"" ""&amp;Sentiment_Words!A$2:A3730&amp;"" ""
),
1,
0
)
)
)
)"),0.0)</f>
        <v>0</v>
      </c>
      <c r="K409" s="4">
        <f>IFERROR(__xludf.DUMMYFUNCTION("IF(H409="""","""",
SUM(
ARRAYFORMULA(
IF(
REGEXMATCH(
"" ""&amp;H409&amp;"" "",
"" ""&amp;Sentiment_Words!B$2:B3730&amp;"" ""
),
1,
0
)
)
)
)"),1.0)</f>
        <v>1</v>
      </c>
      <c r="L409" s="7" t="str">
        <f t="shared" si="3"/>
        <v>Other</v>
      </c>
      <c r="M409" s="7" t="str">
        <f t="shared" si="4"/>
        <v>Negative</v>
      </c>
      <c r="N409" s="7" t="str">
        <f>IFERROR(__xludf.DUMMYFUNCTION("LOWER(
TRIM(
REGEXREPLACE(B409,""[^a-zA-Z\s]"","""")
)
)
"),"dian")</f>
        <v>dian</v>
      </c>
      <c r="O409" s="7">
        <f t="shared" si="5"/>
        <v>1</v>
      </c>
      <c r="P409" s="8" t="str">
        <f t="shared" si="6"/>
        <v>No</v>
      </c>
    </row>
    <row r="410">
      <c r="A410" s="4" t="s">
        <v>16</v>
      </c>
      <c r="B410" s="4" t="s">
        <v>1186</v>
      </c>
      <c r="C410" s="5">
        <v>45001.0</v>
      </c>
      <c r="D410" s="10">
        <v>45014.0</v>
      </c>
      <c r="E410" s="4" t="s">
        <v>1187</v>
      </c>
      <c r="F410" s="4" t="s">
        <v>1188</v>
      </c>
      <c r="G410" s="6" t="str">
        <f>IFERROR(__xludf.DUMMYFUNCTION("REGEXREPLACE(LOWER(F410),""[^a-z\s]"","""")"),"my order was canceled i was given no notification about the cancellation additionally when i talked to a customer service person to inquire they were not helpful either they couldnt tell me what caused the cancellation because payment is done through a th"&amp;"ird party it was a very strange experience")</f>
        <v>my order was canceled i was given no notification about the cancellation additionally when i talked to a customer service person to inquire they were not helpful either they couldnt tell me what caused the cancellation because payment is done through a third party it was a very strange experience</v>
      </c>
      <c r="H410" s="4" t="str">
        <f t="shared" si="1"/>
        <v>my order was canceled i was given no notification about cancellation additionally when i talked a customer service person inquire they were not helpful either they couldnt tell me what caused cancellation because payment done through a third party it was a very strange experience</v>
      </c>
      <c r="I410" s="6">
        <f t="shared" si="2"/>
        <v>45</v>
      </c>
      <c r="J410" s="6">
        <f>IFERROR(__xludf.DUMMYFUNCTION("IF(H410="""","""",
SUM(
ARRAYFORMULA(
IF(
REGEXMATCH(
"" ""&amp;H410&amp;"" "",
"" ""&amp;Sentiment_Words!A$2:A3730&amp;"" ""
),
1,
0
)
)
)
)"),1.0)</f>
        <v>1</v>
      </c>
      <c r="K410" s="4">
        <f>IFERROR(__xludf.DUMMYFUNCTION("IF(H410="""","""",
SUM(
ARRAYFORMULA(
IF(
REGEXMATCH(
"" ""&amp;H410&amp;"" "",
"" ""&amp;Sentiment_Words!B$2:B3730&amp;"" ""
),
1,
0
)
)
)
)"),1.0)</f>
        <v>1</v>
      </c>
      <c r="L410" s="7" t="str">
        <f t="shared" si="3"/>
        <v>Customer Support</v>
      </c>
      <c r="M410" s="7" t="str">
        <f t="shared" si="4"/>
        <v>Neutral</v>
      </c>
      <c r="N410" s="7" t="str">
        <f>IFERROR(__xludf.DUMMYFUNCTION("LOWER(
TRIM(
REGEXREPLACE(B410,""[^a-zA-Z\s]"","""")
)
)
"),"kimberly coleman")</f>
        <v>kimberly coleman</v>
      </c>
      <c r="O410" s="7">
        <f t="shared" si="5"/>
        <v>1</v>
      </c>
      <c r="P410" s="8" t="str">
        <f t="shared" si="6"/>
        <v>No</v>
      </c>
    </row>
    <row r="411">
      <c r="A411" s="4" t="s">
        <v>16</v>
      </c>
      <c r="B411" s="4" t="s">
        <v>1189</v>
      </c>
      <c r="C411" s="5">
        <v>45000.0</v>
      </c>
      <c r="D411" s="10">
        <v>45013.0</v>
      </c>
      <c r="E411" s="4" t="s">
        <v>1190</v>
      </c>
      <c r="F411" s="4" t="s">
        <v>1191</v>
      </c>
      <c r="G411" s="6" t="str">
        <f>IFERROR(__xludf.DUMMYFUNCTION("REGEXREPLACE(LOWER(F411),""[^a-z\s]"","""")"),"the products i needed were very reasonably priced and delivered to my door step quickly")</f>
        <v>the products i needed were very reasonably priced and delivered to my door step quickly</v>
      </c>
      <c r="H411" s="4" t="str">
        <f t="shared" si="1"/>
        <v>products i needed were very reasonably priced delivered my door step quickly</v>
      </c>
      <c r="I411" s="6">
        <f t="shared" si="2"/>
        <v>12</v>
      </c>
      <c r="J411" s="6">
        <f>IFERROR(__xludf.DUMMYFUNCTION("IF(H411="""","""",
SUM(
ARRAYFORMULA(
IF(
REGEXMATCH(
"" ""&amp;H411&amp;"" "",
"" ""&amp;Sentiment_Words!A$2:A3730&amp;"" ""
),
1,
0
)
)
)
)"),1.0)</f>
        <v>1</v>
      </c>
      <c r="K411" s="4">
        <f>IFERROR(__xludf.DUMMYFUNCTION("IF(H411="""","""",
SUM(
ARRAYFORMULA(
IF(
REGEXMATCH(
"" ""&amp;H411&amp;"" "",
"" ""&amp;Sentiment_Words!B$2:B3730&amp;"" ""
),
1,
0
)
)
)
)"),0.0)</f>
        <v>0</v>
      </c>
      <c r="L411" s="7" t="str">
        <f t="shared" si="3"/>
        <v>Other</v>
      </c>
      <c r="M411" s="7" t="str">
        <f t="shared" si="4"/>
        <v>Positive</v>
      </c>
      <c r="N411" s="7" t="str">
        <f>IFERROR(__xludf.DUMMYFUNCTION("LOWER(
TRIM(
REGEXREPLACE(B411,""[^a-zA-Z\s]"","""")
)
)
"),"vera wilson")</f>
        <v>vera wilson</v>
      </c>
      <c r="O411" s="7">
        <f t="shared" si="5"/>
        <v>1</v>
      </c>
      <c r="P411" s="8" t="str">
        <f t="shared" si="6"/>
        <v>No</v>
      </c>
    </row>
    <row r="412">
      <c r="A412" s="4" t="s">
        <v>16</v>
      </c>
      <c r="B412" s="4" t="s">
        <v>1192</v>
      </c>
      <c r="C412" s="5">
        <v>45001.0</v>
      </c>
      <c r="D412" s="10">
        <v>45013.0</v>
      </c>
      <c r="E412" s="4" t="s">
        <v>1193</v>
      </c>
      <c r="F412" s="4" t="s">
        <v>1194</v>
      </c>
      <c r="G412" s="6" t="str">
        <f>IFERROR(__xludf.DUMMYFUNCTION("REGEXREPLACE(LOWER(F412),""[^a-z\s]"","""")"),"shame on petflow
the shipment of dog food for  and  year old dogs failed to be shipped
ordered on  i was informed my vet had approved the hills prescription wd canned dog food
on  petflow informed me due to uncertain times were currently delayed on ema"&amp;"il  too busy to fulfill an order
on  i called  to determine what was the delay in the shipment i was told your fraud department cancelled the order without informing me  why
let me remind you this is no way to run a successful orderonline dog food compa"&amp;"ny and needless to say i will never use your company again
shame on you petflow and your fraud department for neglecting to provide food for senior dogs
benay and the girls
on mar   at  am petflow customer support wrote
 please type your reply above t"&amp;"his line 
thanks for contacting petflow
due to these uncertain times were currently delayed on email were doing our best to get to every email as soon as possible if this is urgent please call 
if theres anything youd like to add in the meantime feel fr"&amp;"ee to respond to this email were always here and happy to help
thank you
this email is a service from petflow
my account 
petflow  prescriptions fulfilled by vetsource
were on it
we just received
your order
well email you a shipping confirmation soon
"&amp;"
order number 
prescription orders
please allow an extra  additional business days while we contact your veterinarian to verify your prescription before your order ships
you will receive a shipping confirmation email with tracking number once your order"&amp;" has shipped please note all medications and some prescription foods ship separately from other items prescriptions are fulfilled by vetsource
items ordered
shipment  of 
cloud star buddy biscuits soft and chewy peanut butter dog treats
oz
price  qty
 "&amp;"x 
total
hills prescription diet wd canine multibenefit chicken flavor wet dog food
oz case of 
price  qty
 x 
total
gourmet natural bully sticks
inch pack
price  qty
 x 
total
shipping address
 willeo ridge court
marietta ga 
subtotal 
shipping 
tax"&amp;" 
total 
hi benay
thank you for your order  if you wish to make changes you can log into your account to modify your order if you have any questions or need any assistance you can also call us  text us  or reply to this email
wed love your feedback
nee"&amp;"d help
need help call
shop clearance
shop
clearance
refer a friend and earn  dollars
give 
get 
copyright  petflow all rights reserved privacy policy
 w martin ave las vegas nv 
visit our email preference page to unsubscribe or change your email prefe"&amp;"rences
view in browser")</f>
        <v>shame on petflow
the shipment of dog food for  and  year old dogs failed to be shipped
ordered on  i was informed my vet had approved the hills prescription wd canned dog food
on  petflow informed me due to uncertain times were currently delayed on email  too busy to fulfill an order
on  i called  to determine what was the delay in the shipment i was told your fraud department cancelled the order without informing me  why
let me remind you this is no way to run a successful orderonline dog food company and needless to say i will never use your company again
shame on you petflow and your fraud department for neglecting to provide food for senior dogs
benay and the girls
on mar   at  am petflow customer support wrote
 please type your reply above this line 
thanks for contacting petflow
due to these uncertain times were currently delayed on email were doing our best to get to every email as soon as possible if this is urgent please call 
if theres anything youd like to add in the meantime feel free to respond to this email were always here and happy to help
thank you
this email is a service from petflow
my account 
petflow  prescriptions fulfilled by vetsource
were on it
we just received
your order
well email you a shipping confirmation soon
order number 
prescription orders
please allow an extra  additional business days while we contact your veterinarian to verify your prescription before your order ships
you will receive a shipping confirmation email with tracking number once your order has shipped please note all medications and some prescription foods ship separately from other items prescriptions are fulfilled by vetsource
items ordered
shipment  of 
cloud star buddy biscuits soft and chewy peanut butter dog treats
oz
price  qty
 x 
total
hills prescription diet wd canine multibenefit chicken flavor wet dog food
oz case of 
price  qty
 x 
total
gourmet natural bully sticks
inch pack
price  qty
 x 
total
shipping address
 willeo ridge court
marietta ga 
subtotal 
shipping 
tax 
total 
hi benay
thank you for your order  if you wish to make changes you can log into your account to modify your order if you have any questions or need any assistance you can also call us  text us  or reply to this email
wed love your feedback
need help
need help call
shop clearance
shop
clearance
refer a friend and earn  dollars
give 
get 
copyright  petflow all rights reserved privacy policy
 w martin ave las vegas nv 
visit our email preference page to unsubscribe or change your email preferences
view in browser</v>
      </c>
      <c r="H412" s="4" t="str">
        <f t="shared" si="1"/>
        <v>shame on petflow
the shipment of dog food year old dogs failed be shipped
ordered on i was informed my vet had approved hills prescription wd canned dog food
on petflow informed me due uncertain times were currently delayed on email too busy fulfill an order
on i called determine what was delay in shipment i was told your fraud department cancelled order without informing me why
let me remind you this no way run a successful orderonline dog food company needless say i will never use your company again
shame on you petflow your fraud department neglecting provide food senior dogs
benay girls
on mar at am petflow customer support wrote
 please type your reply above this line 
thanks contacting petflow
due these uncertain times were currently delayed on email were doing our best get every email as soon as possible if this urgent please call 
if theres anything youd like add in meantime feel free respond this email were always here happy help
thank you
this email a service from petflow
my account 
petflow prescriptions fulfilled by vetsource
were on it
we just received
your order
well email you a shipping confirmation soon
order number 
prescription orders
please allow an extra additional business days while we contact your veterinarian verify your prescription before your order ships
you will receive a shipping confirmation email with tracking number once your order has shipped please note all medications some prescription foods ship separately from other items prescriptions are fulfilled by vetsource
items ordered
shipment of 
cloud star buddy biscuits soft chewy peanut butter dog treats
oz
price qty
 x 
total
hills prescription diet wd canine multibenefit chicken flavor wet dog food
oz case of 
price qty
 x 
total
gourmet natural bully sticks
inch pack
price qty
 x 
total
shipping address
 willeo ridge court
marietta ga 
subtotal 
shipping 
tax 
total 
hi benay
thank you your order if you wish make changes you can log into your account modify your order if you have any questions or need any assistance you can also call us text us or reply this email
wed love your feedback
need help
need help call
shop clearance
shop
clearance
refer a friend earn dollars
give 
get 
copyright petflow all rights reserved privacy policy
 w martin ave las vegas nv 
visit our email preference page unsubscribe or change your email preferences
view in browser</v>
      </c>
      <c r="I412" s="6">
        <f t="shared" si="2"/>
        <v>355</v>
      </c>
      <c r="J412" s="6">
        <f>IFERROR(__xludf.DUMMYFUNCTION("IF(H412="""","""",
SUM(
ARRAYFORMULA(
IF(
REGEXMATCH(
"" ""&amp;H412&amp;"" "",
"" ""&amp;Sentiment_Words!A$2:A3730&amp;"" ""
),
1,
0
)
)
)
)"),2.0)</f>
        <v>2</v>
      </c>
      <c r="K412" s="4">
        <f>IFERROR(__xludf.DUMMYFUNCTION("IF(H412="""","""",
SUM(
ARRAYFORMULA(
IF(
REGEXMATCH(
"" ""&amp;H412&amp;"" "",
"" ""&amp;Sentiment_Words!B$2:B3730&amp;"" ""
),
1,
0
)
)
)
)"),3.0)</f>
        <v>3</v>
      </c>
      <c r="L412" s="7" t="str">
        <f t="shared" si="3"/>
        <v>Customer Support</v>
      </c>
      <c r="M412" s="7" t="str">
        <f t="shared" si="4"/>
        <v>Negative</v>
      </c>
      <c r="N412" s="7" t="str">
        <f>IFERROR(__xludf.DUMMYFUNCTION("LOWER(
TRIM(
REGEXREPLACE(B412,""[^a-zA-Z\s]"","""")
)
)
"),"mully")</f>
        <v>mully</v>
      </c>
      <c r="O412" s="7">
        <f t="shared" si="5"/>
        <v>1</v>
      </c>
      <c r="P412" s="8" t="str">
        <f t="shared" si="6"/>
        <v>No</v>
      </c>
    </row>
    <row r="413">
      <c r="A413" s="4" t="s">
        <v>16</v>
      </c>
      <c r="B413" s="4" t="s">
        <v>1195</v>
      </c>
      <c r="C413" s="5">
        <v>45001.0</v>
      </c>
      <c r="D413" s="10">
        <v>45013.0</v>
      </c>
      <c r="E413" s="4" t="s">
        <v>1196</v>
      </c>
      <c r="F413" s="4" t="s">
        <v>1197</v>
      </c>
      <c r="G413" s="6" t="str">
        <f>IFERROR(__xludf.DUMMYFUNCTION("REGEXREPLACE(LOWER(F413),""[^a-z\s]"","""")"),"good product good service")</f>
        <v>good product good service</v>
      </c>
      <c r="H413" s="4" t="str">
        <f t="shared" si="1"/>
        <v>good product good service</v>
      </c>
      <c r="I413" s="6">
        <f t="shared" si="2"/>
        <v>4</v>
      </c>
      <c r="J413" s="6">
        <f>IFERROR(__xludf.DUMMYFUNCTION("IF(H413="""","""",
SUM(
ARRAYFORMULA(
IF(
REGEXMATCH(
"" ""&amp;H413&amp;"" "",
"" ""&amp;Sentiment_Words!A$2:A3730&amp;"" ""
),
1,
0
)
)
)
)"),1.0)</f>
        <v>1</v>
      </c>
      <c r="K413" s="4">
        <f>IFERROR(__xludf.DUMMYFUNCTION("IF(H413="""","""",
SUM(
ARRAYFORMULA(
IF(
REGEXMATCH(
"" ""&amp;H413&amp;"" "",
"" ""&amp;Sentiment_Words!B$2:B3730&amp;"" ""
),
1,
0
)
)
)
)"),0.0)</f>
        <v>0</v>
      </c>
      <c r="L413" s="7" t="str">
        <f t="shared" si="3"/>
        <v>Customer Support</v>
      </c>
      <c r="M413" s="7" t="str">
        <f t="shared" si="4"/>
        <v>Positive</v>
      </c>
      <c r="N413" s="7" t="str">
        <f>IFERROR(__xludf.DUMMYFUNCTION("LOWER(
TRIM(
REGEXREPLACE(B413,""[^a-zA-Z\s]"","""")
)
)
"),"tara olson")</f>
        <v>tara olson</v>
      </c>
      <c r="O413" s="7">
        <f t="shared" si="5"/>
        <v>1</v>
      </c>
      <c r="P413" s="8" t="str">
        <f t="shared" si="6"/>
        <v>No</v>
      </c>
    </row>
    <row r="414">
      <c r="A414" s="4" t="s">
        <v>16</v>
      </c>
      <c r="B414" s="4" t="s">
        <v>1198</v>
      </c>
      <c r="C414" s="5">
        <v>45001.0</v>
      </c>
      <c r="D414" s="10">
        <v>45013.0</v>
      </c>
      <c r="E414" s="4" t="s">
        <v>1199</v>
      </c>
      <c r="F414" s="4" t="s">
        <v>1200</v>
      </c>
      <c r="G414" s="6" t="str">
        <f>IFERROR(__xludf.DUMMYFUNCTION("REGEXREPLACE(LOWER(F414),""[^a-z\s]"","""")"),"first time purchase two orders were cancelled for no reasons i called customer service and they said they will investigate and send me an explanation email received no explanation nothingand agent attitude was terrible one of the order refund has not been"&amp;" issued until i called second time terrible shopping experience i will never use this website again")</f>
        <v>first time purchase two orders were cancelled for no reasons i called customer service and they said they will investigate and send me an explanation email received no explanation nothingand agent attitude was terrible one of the order refund has not been issued until i called second time terrible shopping experience i will never use this website again</v>
      </c>
      <c r="H414" s="4" t="str">
        <f t="shared" si="1"/>
        <v>first time purchase two orders were cancelled no reasons i called customer service they said they will investigate send me an explanation email received no explanation nothingand agent attitude was terrible one of order refund has not been issued until i called second time terrible shopping experience i will never use this website again</v>
      </c>
      <c r="I414" s="6">
        <f t="shared" si="2"/>
        <v>54</v>
      </c>
      <c r="J414" s="6">
        <f>IFERROR(__xludf.DUMMYFUNCTION("IF(H414="""","""",
SUM(
ARRAYFORMULA(
IF(
REGEXMATCH(
"" ""&amp;H414&amp;"" "",
"" ""&amp;Sentiment_Words!A$2:A3730&amp;"" ""
),
1,
0
)
)
)
)"),0.0)</f>
        <v>0</v>
      </c>
      <c r="K414" s="4">
        <f>IFERROR(__xludf.DUMMYFUNCTION("IF(H414="""","""",
SUM(
ARRAYFORMULA(
IF(
REGEXMATCH(
"" ""&amp;H414&amp;"" "",
"" ""&amp;Sentiment_Words!B$2:B3730&amp;"" ""
),
1,
0
)
)
)
)"),5.0)</f>
        <v>5</v>
      </c>
      <c r="L414" s="7" t="str">
        <f t="shared" si="3"/>
        <v>Customer Support</v>
      </c>
      <c r="M414" s="7" t="str">
        <f t="shared" si="4"/>
        <v>Negative</v>
      </c>
      <c r="N414" s="7" t="str">
        <f>IFERROR(__xludf.DUMMYFUNCTION("LOWER(
TRIM(
REGEXREPLACE(B414,""[^a-zA-Z\s]"","""")
)
)
"),"ga dog lover")</f>
        <v>ga dog lover</v>
      </c>
      <c r="O414" s="7">
        <f t="shared" si="5"/>
        <v>1</v>
      </c>
      <c r="P414" s="8" t="str">
        <f t="shared" si="6"/>
        <v>No</v>
      </c>
    </row>
    <row r="415">
      <c r="A415" s="4" t="s">
        <v>16</v>
      </c>
      <c r="B415" s="4" t="s">
        <v>1201</v>
      </c>
      <c r="C415" s="5">
        <v>45001.0</v>
      </c>
      <c r="D415" s="10">
        <v>45013.0</v>
      </c>
      <c r="E415" s="4" t="s">
        <v>1202</v>
      </c>
      <c r="F415" s="4" t="s">
        <v>1203</v>
      </c>
      <c r="G415" s="6" t="str">
        <f>IFERROR(__xludf.DUMMYFUNCTION("REGEXREPLACE(LOWER(F415),""[^a-z\s]"","""")"),"i did not order anything but received multiple emails about an order being delivered to my name and my address
i didnt receive anything
something is seriously amiss here")</f>
        <v>i did not order anything but received multiple emails about an order being delivered to my name and my address
i didnt receive anything
something is seriously amiss here</v>
      </c>
      <c r="H415" s="4" t="str">
        <f t="shared" si="1"/>
        <v>i did not order anything but received multiple emails about an order being delivered my name my address
i didnt receive anything
something seriously amiss here</v>
      </c>
      <c r="I415" s="6">
        <f t="shared" si="2"/>
        <v>24</v>
      </c>
      <c r="J415" s="6">
        <f>IFERROR(__xludf.DUMMYFUNCTION("IF(H415="""","""",
SUM(
ARRAYFORMULA(
IF(
REGEXMATCH(
"" ""&amp;H415&amp;"" "",
"" ""&amp;Sentiment_Words!A$2:A3730&amp;"" ""
),
1,
0
)
)
)
)"),1.0)</f>
        <v>1</v>
      </c>
      <c r="K415" s="4">
        <f>IFERROR(__xludf.DUMMYFUNCTION("IF(H415="""","""",
SUM(
ARRAYFORMULA(
IF(
REGEXMATCH(
"" ""&amp;H415&amp;"" "",
"" ""&amp;Sentiment_Words!B$2:B3730&amp;"" ""
),
1,
0
)
)
)
)"),0.0)</f>
        <v>0</v>
      </c>
      <c r="L415" s="7" t="str">
        <f t="shared" si="3"/>
        <v>Other</v>
      </c>
      <c r="M415" s="7" t="str">
        <f t="shared" si="4"/>
        <v>Positive</v>
      </c>
      <c r="N415" s="7" t="str">
        <f>IFERROR(__xludf.DUMMYFUNCTION("LOWER(
TRIM(
REGEXREPLACE(B415,""[^a-zA-Z\s]"","""")
)
)
"),"b e gunbye")</f>
        <v>b e gunbye</v>
      </c>
      <c r="O415" s="7">
        <f t="shared" si="5"/>
        <v>1</v>
      </c>
      <c r="P415" s="8" t="str">
        <f t="shared" si="6"/>
        <v>No</v>
      </c>
    </row>
    <row r="416">
      <c r="A416" s="4" t="s">
        <v>16</v>
      </c>
      <c r="B416" s="4" t="s">
        <v>1204</v>
      </c>
      <c r="C416" s="5">
        <v>45001.0</v>
      </c>
      <c r="D416" s="10">
        <v>45013.0</v>
      </c>
      <c r="E416" s="4" t="s">
        <v>64</v>
      </c>
      <c r="F416" s="4" t="s">
        <v>1205</v>
      </c>
      <c r="G416" s="6" t="str">
        <f>IFERROR(__xludf.DUMMYFUNCTION("REGEXREPLACE(LOWER(F416),""[^a-z\s]"","""")"),"overrall the experience with this online vendor is excellent however they frequently run out of products often sometimes they delay thr shipments
the possitive is that they try to help the clients when they call on the phone")</f>
        <v>overrall the experience with this online vendor is excellent however they frequently run out of products often sometimes they delay thr shipments
the possitive is that they try to help the clients when they call on the phone</v>
      </c>
      <c r="H416" s="4" t="str">
        <f t="shared" si="1"/>
        <v>overrall experience with this online vendor excellent however they frequently run out of products often sometimes they delay thr shipments
the possitive that they try help clients when they call on phone</v>
      </c>
      <c r="I416" s="6">
        <f t="shared" si="2"/>
        <v>31</v>
      </c>
      <c r="J416" s="6">
        <f>IFERROR(__xludf.DUMMYFUNCTION("IF(H416="""","""",
SUM(
ARRAYFORMULA(
IF(
REGEXMATCH(
"" ""&amp;H416&amp;"" "",
"" ""&amp;Sentiment_Words!A$2:A3730&amp;"" ""
),
1,
0
)
)
)
)"),0.0)</f>
        <v>0</v>
      </c>
      <c r="K416" s="4">
        <f>IFERROR(__xludf.DUMMYFUNCTION("IF(H416="""","""",
SUM(
ARRAYFORMULA(
IF(
REGEXMATCH(
"" ""&amp;H416&amp;"" "",
"" ""&amp;Sentiment_Words!B$2:B3730&amp;"" ""
),
1,
0
)
)
)
)"),1.0)</f>
        <v>1</v>
      </c>
      <c r="L416" s="7" t="str">
        <f t="shared" si="3"/>
        <v>Fulfillment &amp; Shipping</v>
      </c>
      <c r="M416" s="7" t="str">
        <f t="shared" si="4"/>
        <v>Negative</v>
      </c>
      <c r="N416" s="7" t="str">
        <f>IFERROR(__xludf.DUMMYFUNCTION("LOWER(
TRIM(
REGEXREPLACE(B416,""[^a-zA-Z\s]"","""")
)
)
"),"daniel gotten")</f>
        <v>daniel gotten</v>
      </c>
      <c r="O416" s="7">
        <f t="shared" si="5"/>
        <v>1</v>
      </c>
      <c r="P416" s="8" t="str">
        <f t="shared" si="6"/>
        <v>No</v>
      </c>
    </row>
    <row r="417">
      <c r="A417" s="4" t="s">
        <v>16</v>
      </c>
      <c r="B417" s="4" t="s">
        <v>1206</v>
      </c>
      <c r="C417" s="5">
        <v>45000.0</v>
      </c>
      <c r="D417" s="10">
        <v>45012.0</v>
      </c>
      <c r="E417" s="4" t="s">
        <v>1207</v>
      </c>
      <c r="F417" s="4" t="s">
        <v>1208</v>
      </c>
      <c r="G417" s="6" t="str">
        <f>IFERROR(__xludf.DUMMYFUNCTION("REGEXREPLACE(LOWER(F417),""[^a-z\s]"","""")"),"petflow is my first choice for dog supplies great customer service and friendly people who genuinely care about their customers")</f>
        <v>petflow is my first choice for dog supplies great customer service and friendly people who genuinely care about their customers</v>
      </c>
      <c r="H417" s="4" t="str">
        <f t="shared" si="1"/>
        <v>petflow my first choice dog supplies great customer service friendly people who genuinely care about their customers</v>
      </c>
      <c r="I417" s="6">
        <f t="shared" si="2"/>
        <v>17</v>
      </c>
      <c r="J417" s="6">
        <f>IFERROR(__xludf.DUMMYFUNCTION("IF(H417="""","""",
SUM(
ARRAYFORMULA(
IF(
REGEXMATCH(
"" ""&amp;H417&amp;"" "",
"" ""&amp;Sentiment_Words!A$2:A3730&amp;"" ""
),
1,
0
)
)
)
)"),2.0)</f>
        <v>2</v>
      </c>
      <c r="K417" s="4">
        <f>IFERROR(__xludf.DUMMYFUNCTION("IF(H417="""","""",
SUM(
ARRAYFORMULA(
IF(
REGEXMATCH(
"" ""&amp;H417&amp;"" "",
"" ""&amp;Sentiment_Words!B$2:B3730&amp;"" ""
),
1,
0
)
)
)
)"),1.0)</f>
        <v>1</v>
      </c>
      <c r="L417" s="7" t="str">
        <f t="shared" si="3"/>
        <v>Customer Support</v>
      </c>
      <c r="M417" s="7" t="str">
        <f t="shared" si="4"/>
        <v>Positive</v>
      </c>
      <c r="N417" s="7" t="str">
        <f>IFERROR(__xludf.DUMMYFUNCTION("LOWER(
TRIM(
REGEXREPLACE(B417,""[^a-zA-Z\s]"","""")
)
)
"),"xs")</f>
        <v>xs</v>
      </c>
      <c r="O417" s="7">
        <f t="shared" si="5"/>
        <v>1</v>
      </c>
      <c r="P417" s="8" t="str">
        <f t="shared" si="6"/>
        <v>No</v>
      </c>
    </row>
    <row r="418">
      <c r="A418" s="4" t="s">
        <v>16</v>
      </c>
      <c r="B418" s="4" t="s">
        <v>1209</v>
      </c>
      <c r="C418" s="5">
        <v>45000.0</v>
      </c>
      <c r="D418" s="10">
        <v>45012.0</v>
      </c>
      <c r="E418" s="4" t="s">
        <v>1210</v>
      </c>
      <c r="F418" s="4" t="s">
        <v>1211</v>
      </c>
      <c r="G418" s="6" t="str">
        <f>IFERROR(__xludf.DUMMYFUNCTION("REGEXREPLACE(LOWER(F418),""[^a-z\s]"","""")"),"i never placed an order with you but my credit card was charged by someone else")</f>
        <v>i never placed an order with you but my credit card was charged by someone else</v>
      </c>
      <c r="H418" s="4" t="str">
        <f t="shared" si="1"/>
        <v>i never placed an order with you but my credit card was charged by someone else</v>
      </c>
      <c r="I418" s="6">
        <f t="shared" si="2"/>
        <v>16</v>
      </c>
      <c r="J418" s="6">
        <f>IFERROR(__xludf.DUMMYFUNCTION("IF(H418="""","""",
SUM(
ARRAYFORMULA(
IF(
REGEXMATCH(
"" ""&amp;H418&amp;"" "",
"" ""&amp;Sentiment_Words!A$2:A3730&amp;"" ""
),
1,
0
)
)
)
)"),0.0)</f>
        <v>0</v>
      </c>
      <c r="K418" s="4">
        <f>IFERROR(__xludf.DUMMYFUNCTION("IF(H418="""","""",
SUM(
ARRAYFORMULA(
IF(
REGEXMATCH(
"" ""&amp;H418&amp;"" "",
"" ""&amp;Sentiment_Words!B$2:B3730&amp;"" ""
),
1,
0
)
)
)
)"),0.0)</f>
        <v>0</v>
      </c>
      <c r="L418" s="7" t="str">
        <f t="shared" si="3"/>
        <v>Other</v>
      </c>
      <c r="M418" s="7" t="str">
        <f t="shared" si="4"/>
        <v>Neutral</v>
      </c>
      <c r="N418" s="7" t="str">
        <f>IFERROR(__xludf.DUMMYFUNCTION("LOWER(
TRIM(
REGEXREPLACE(B418,""[^a-zA-Z\s]"","""")
)
)
"),"kathleen armstrong")</f>
        <v>kathleen armstrong</v>
      </c>
      <c r="O418" s="7">
        <f t="shared" si="5"/>
        <v>1</v>
      </c>
      <c r="P418" s="8" t="str">
        <f t="shared" si="6"/>
        <v>No</v>
      </c>
    </row>
    <row r="419">
      <c r="A419" s="4" t="s">
        <v>16</v>
      </c>
      <c r="B419" s="4" t="s">
        <v>1212</v>
      </c>
      <c r="C419" s="5">
        <v>45000.0</v>
      </c>
      <c r="D419" s="10">
        <v>45012.0</v>
      </c>
      <c r="E419" s="4" t="s">
        <v>1213</v>
      </c>
      <c r="F419" s="4" t="s">
        <v>331</v>
      </c>
      <c r="G419" s="6" t="str">
        <f>IFERROR(__xludf.DUMMYFUNCTION("REGEXREPLACE(LOWER(F419),""[^a-z\s]"","""")"),"none")</f>
        <v>none</v>
      </c>
      <c r="H419" s="4" t="str">
        <f t="shared" si="1"/>
        <v>none</v>
      </c>
      <c r="I419" s="6">
        <f t="shared" si="2"/>
        <v>1</v>
      </c>
      <c r="J419" s="6">
        <f>IFERROR(__xludf.DUMMYFUNCTION("IF(H419="""","""",
SUM(
ARRAYFORMULA(
IF(
REGEXMATCH(
"" ""&amp;H419&amp;"" "",
"" ""&amp;Sentiment_Words!A$2:A3730&amp;"" ""
),
1,
0
)
)
)
)"),0.0)</f>
        <v>0</v>
      </c>
      <c r="K419" s="4">
        <f>IFERROR(__xludf.DUMMYFUNCTION("IF(H419="""","""",
SUM(
ARRAYFORMULA(
IF(
REGEXMATCH(
"" ""&amp;H419&amp;"" "",
"" ""&amp;Sentiment_Words!B$2:B3730&amp;"" ""
),
1,
0
)
)
)
)"),0.0)</f>
        <v>0</v>
      </c>
      <c r="L419" s="7" t="str">
        <f t="shared" si="3"/>
        <v>Other</v>
      </c>
      <c r="M419" s="7" t="str">
        <f t="shared" si="4"/>
        <v>Neutral</v>
      </c>
      <c r="N419" s="7" t="str">
        <f>IFERROR(__xludf.DUMMYFUNCTION("LOWER(
TRIM(
REGEXREPLACE(B419,""[^a-zA-Z\s]"","""")
)
)
"),"martha krogstad")</f>
        <v>martha krogstad</v>
      </c>
      <c r="O419" s="7">
        <f t="shared" si="5"/>
        <v>1</v>
      </c>
      <c r="P419" s="8" t="str">
        <f t="shared" si="6"/>
        <v>No</v>
      </c>
    </row>
    <row r="420">
      <c r="A420" s="4" t="s">
        <v>16</v>
      </c>
      <c r="B420" s="4" t="s">
        <v>1214</v>
      </c>
      <c r="C420" s="5">
        <v>45000.0</v>
      </c>
      <c r="D420" s="10">
        <v>45012.0</v>
      </c>
      <c r="E420" s="4" t="s">
        <v>1215</v>
      </c>
      <c r="F420" s="4" t="s">
        <v>331</v>
      </c>
      <c r="G420" s="6" t="str">
        <f>IFERROR(__xludf.DUMMYFUNCTION("REGEXREPLACE(LOWER(F420),""[^a-z\s]"","""")"),"none")</f>
        <v>none</v>
      </c>
      <c r="H420" s="4" t="str">
        <f t="shared" si="1"/>
        <v>none</v>
      </c>
      <c r="I420" s="6">
        <f t="shared" si="2"/>
        <v>1</v>
      </c>
      <c r="J420" s="6">
        <f>IFERROR(__xludf.DUMMYFUNCTION("IF(H420="""","""",
SUM(
ARRAYFORMULA(
IF(
REGEXMATCH(
"" ""&amp;H420&amp;"" "",
"" ""&amp;Sentiment_Words!A$2:A3730&amp;"" ""
),
1,
0
)
)
)
)"),0.0)</f>
        <v>0</v>
      </c>
      <c r="K420" s="4">
        <f>IFERROR(__xludf.DUMMYFUNCTION("IF(H420="""","""",
SUM(
ARRAYFORMULA(
IF(
REGEXMATCH(
"" ""&amp;H420&amp;"" "",
"" ""&amp;Sentiment_Words!B$2:B3730&amp;"" ""
),
1,
0
)
)
)
)"),0.0)</f>
        <v>0</v>
      </c>
      <c r="L420" s="7" t="str">
        <f t="shared" si="3"/>
        <v>Other</v>
      </c>
      <c r="M420" s="7" t="str">
        <f t="shared" si="4"/>
        <v>Neutral</v>
      </c>
      <c r="N420" s="7" t="str">
        <f>IFERROR(__xludf.DUMMYFUNCTION("LOWER(
TRIM(
REGEXREPLACE(B420,""[^a-zA-Z\s]"","""")
)
)
"),"leisure world")</f>
        <v>leisure world</v>
      </c>
      <c r="O420" s="7">
        <f t="shared" si="5"/>
        <v>1</v>
      </c>
      <c r="P420" s="8" t="str">
        <f t="shared" si="6"/>
        <v>No</v>
      </c>
    </row>
    <row r="421">
      <c r="A421" s="4" t="s">
        <v>16</v>
      </c>
      <c r="B421" s="4" t="s">
        <v>1216</v>
      </c>
      <c r="C421" s="5">
        <v>45000.0</v>
      </c>
      <c r="D421" s="10">
        <v>45012.0</v>
      </c>
      <c r="E421" s="4" t="s">
        <v>1217</v>
      </c>
      <c r="F421" s="4" t="s">
        <v>331</v>
      </c>
      <c r="G421" s="6" t="str">
        <f>IFERROR(__xludf.DUMMYFUNCTION("REGEXREPLACE(LOWER(F421),""[^a-z\s]"","""")"),"none")</f>
        <v>none</v>
      </c>
      <c r="H421" s="4" t="str">
        <f t="shared" si="1"/>
        <v>none</v>
      </c>
      <c r="I421" s="6">
        <f t="shared" si="2"/>
        <v>1</v>
      </c>
      <c r="J421" s="6">
        <f>IFERROR(__xludf.DUMMYFUNCTION("IF(H421="""","""",
SUM(
ARRAYFORMULA(
IF(
REGEXMATCH(
"" ""&amp;H421&amp;"" "",
"" ""&amp;Sentiment_Words!A$2:A3730&amp;"" ""
),
1,
0
)
)
)
)"),0.0)</f>
        <v>0</v>
      </c>
      <c r="K421" s="4">
        <f>IFERROR(__xludf.DUMMYFUNCTION("IF(H421="""","""",
SUM(
ARRAYFORMULA(
IF(
REGEXMATCH(
"" ""&amp;H421&amp;"" "",
"" ""&amp;Sentiment_Words!B$2:B3730&amp;"" ""
),
1,
0
)
)
)
)"),0.0)</f>
        <v>0</v>
      </c>
      <c r="L421" s="7" t="str">
        <f t="shared" si="3"/>
        <v>Other</v>
      </c>
      <c r="M421" s="7" t="str">
        <f t="shared" si="4"/>
        <v>Neutral</v>
      </c>
      <c r="N421" s="7" t="str">
        <f>IFERROR(__xludf.DUMMYFUNCTION("LOWER(
TRIM(
REGEXREPLACE(B421,""[^a-zA-Z\s]"","""")
)
)
"),"terry richardson")</f>
        <v>terry richardson</v>
      </c>
      <c r="O421" s="7">
        <f t="shared" si="5"/>
        <v>1</v>
      </c>
      <c r="P421" s="8" t="str">
        <f t="shared" si="6"/>
        <v>No</v>
      </c>
    </row>
    <row r="422">
      <c r="A422" s="4" t="s">
        <v>16</v>
      </c>
      <c r="B422" s="4" t="s">
        <v>1218</v>
      </c>
      <c r="C422" s="5">
        <v>45000.0</v>
      </c>
      <c r="D422" s="10">
        <v>45012.0</v>
      </c>
      <c r="E422" s="4" t="s">
        <v>1219</v>
      </c>
      <c r="F422" s="4" t="s">
        <v>1220</v>
      </c>
      <c r="G422" s="6" t="str">
        <f>IFERROR(__xludf.DUMMYFUNCTION("REGEXREPLACE(LOWER(F422),""[^a-z\s]"","""")"),"prices are very competitive shipment arrived very quickly")</f>
        <v>prices are very competitive shipment arrived very quickly</v>
      </c>
      <c r="H422" s="4" t="str">
        <f t="shared" si="1"/>
        <v>prices are very competitive shipment arrived very quickly</v>
      </c>
      <c r="I422" s="6">
        <f t="shared" si="2"/>
        <v>8</v>
      </c>
      <c r="J422" s="6">
        <f>IFERROR(__xludf.DUMMYFUNCTION("IF(H422="""","""",
SUM(
ARRAYFORMULA(
IF(
REGEXMATCH(
"" ""&amp;H422&amp;"" "",
"" ""&amp;Sentiment_Words!A$2:A3730&amp;"" ""
),
1,
0
)
)
)
)"),0.0)</f>
        <v>0</v>
      </c>
      <c r="K422" s="4">
        <f>IFERROR(__xludf.DUMMYFUNCTION("IF(H422="""","""",
SUM(
ARRAYFORMULA(
IF(
REGEXMATCH(
"" ""&amp;H422&amp;"" "",
"" ""&amp;Sentiment_Words!B$2:B3730&amp;"" ""
),
1,
0
)
)
)
)"),0.0)</f>
        <v>0</v>
      </c>
      <c r="L422" s="7" t="str">
        <f t="shared" si="3"/>
        <v>Other</v>
      </c>
      <c r="M422" s="7" t="str">
        <f t="shared" si="4"/>
        <v>Neutral</v>
      </c>
      <c r="N422" s="7" t="str">
        <f>IFERROR(__xludf.DUMMYFUNCTION("LOWER(
TRIM(
REGEXREPLACE(B422,""[^a-zA-Z\s]"","""")
)
)
"),"molly b")</f>
        <v>molly b</v>
      </c>
      <c r="O422" s="7">
        <f t="shared" si="5"/>
        <v>1</v>
      </c>
      <c r="P422" s="8" t="str">
        <f t="shared" si="6"/>
        <v>No</v>
      </c>
    </row>
    <row r="423">
      <c r="A423" s="4" t="s">
        <v>16</v>
      </c>
      <c r="B423" s="4" t="s">
        <v>1221</v>
      </c>
      <c r="C423" s="5">
        <v>44999.0</v>
      </c>
      <c r="D423" s="10">
        <v>45012.0</v>
      </c>
      <c r="E423" s="4" t="s">
        <v>1222</v>
      </c>
      <c r="F423" s="4" t="s">
        <v>1223</v>
      </c>
      <c r="G423" s="6" t="str">
        <f>IFERROR(__xludf.DUMMYFUNCTION("REGEXREPLACE(LOWER(F423),""[^a-z\s]"","""")"),"great price with opportunity to get free shipping fast and accurate shipping and order filling they had the dog food i was looking for")</f>
        <v>great price with opportunity to get free shipping fast and accurate shipping and order filling they had the dog food i was looking for</v>
      </c>
      <c r="H423" s="4" t="str">
        <f t="shared" si="1"/>
        <v>great price with opportunity get free shipping fast accurate shipping order filling they had dog food i was looking</v>
      </c>
      <c r="I423" s="6">
        <f t="shared" si="2"/>
        <v>19</v>
      </c>
      <c r="J423" s="6">
        <f>IFERROR(__xludf.DUMMYFUNCTION("IF(H423="""","""",
SUM(
ARRAYFORMULA(
IF(
REGEXMATCH(
"" ""&amp;H423&amp;"" "",
"" ""&amp;Sentiment_Words!A$2:A3730&amp;"" ""
),
1,
0
)
)
)
)"),2.0)</f>
        <v>2</v>
      </c>
      <c r="K423" s="4">
        <f>IFERROR(__xludf.DUMMYFUNCTION("IF(H423="""","""",
SUM(
ARRAYFORMULA(
IF(
REGEXMATCH(
"" ""&amp;H423&amp;"" "",
"" ""&amp;Sentiment_Words!B$2:B3730&amp;"" ""
),
1,
0
)
)
)
)"),0.0)</f>
        <v>0</v>
      </c>
      <c r="L423" s="7" t="str">
        <f t="shared" si="3"/>
        <v>Other</v>
      </c>
      <c r="M423" s="7" t="str">
        <f t="shared" si="4"/>
        <v>Positive</v>
      </c>
      <c r="N423" s="7" t="str">
        <f>IFERROR(__xludf.DUMMYFUNCTION("LOWER(
TRIM(
REGEXREPLACE(B423,""[^a-zA-Z\s]"","""")
)
)
"),"keith dugas")</f>
        <v>keith dugas</v>
      </c>
      <c r="O423" s="7">
        <f t="shared" si="5"/>
        <v>1</v>
      </c>
      <c r="P423" s="8" t="str">
        <f t="shared" si="6"/>
        <v>No</v>
      </c>
    </row>
    <row r="424">
      <c r="A424" s="4" t="s">
        <v>16</v>
      </c>
      <c r="B424" s="4" t="s">
        <v>1224</v>
      </c>
      <c r="C424" s="5">
        <v>44999.0</v>
      </c>
      <c r="D424" s="10">
        <v>45011.0</v>
      </c>
      <c r="E424" s="4" t="s">
        <v>1225</v>
      </c>
      <c r="F424" s="4" t="s">
        <v>1226</v>
      </c>
      <c r="G424" s="6" t="str">
        <f>IFERROR(__xludf.DUMMYFUNCTION("REGEXREPLACE(LOWER(F424),""[^a-z\s]"","""")"),"i still havent received my order
it took over two weeks to receive a call from petflow after placing my order evidently they didnt have my full address that has been at least a week and still have not received a shipping notification i ordered puppy food "&amp;"because my dog needs to eat three weeks and counting is a disgrace i had to order elsewhere while waiting i received that order the next day i did not cancel my order because i can still use this food for my puppy unfortunately i will not order from this "&amp;"company again i would like this order resolved soon")</f>
        <v>i still havent received my order
it took over two weeks to receive a call from petflow after placing my order evidently they didnt have my full address that has been at least a week and still have not received a shipping notification i ordered puppy food because my dog needs to eat three weeks and counting is a disgrace i had to order elsewhere while waiting i received that order the next day i did not cancel my order because i can still use this food for my puppy unfortunately i will not order from this company again i would like this order resolved soon</v>
      </c>
      <c r="H424" s="4" t="str">
        <f t="shared" si="1"/>
        <v>i still havent received my order
it took over two weeks receive a call from petflow after placing my order evidently they didnt have my full address that has been at least a week still have not received a shipping notification i ordered puppy food because my dog needs eat three weeks counting a disgrace i had order elsewhere while waiting i received that order next day i did not cancel my order because i can still use this food my puppy unfortunately i will not order from this company again i would like this order resolved soon</v>
      </c>
      <c r="I424" s="6">
        <f t="shared" si="2"/>
        <v>97</v>
      </c>
      <c r="J424" s="6">
        <f>IFERROR(__xludf.DUMMYFUNCTION("IF(H424="""","""",
SUM(
ARRAYFORMULA(
IF(
REGEXMATCH(
"" ""&amp;H424&amp;"" "",
"" ""&amp;Sentiment_Words!A$2:A3730&amp;"" ""
),
1,
0
)
)
)
)"),1.0)</f>
        <v>1</v>
      </c>
      <c r="K424" s="4">
        <f>IFERROR(__xludf.DUMMYFUNCTION("IF(H424="""","""",
SUM(
ARRAYFORMULA(
IF(
REGEXMATCH(
"" ""&amp;H424&amp;"" "",
"" ""&amp;Sentiment_Words!B$2:B3730&amp;"" ""
),
1,
0
)
)
)
)"),0.0)</f>
        <v>0</v>
      </c>
      <c r="L424" s="7" t="str">
        <f t="shared" si="3"/>
        <v>Service Recovery</v>
      </c>
      <c r="M424" s="7" t="str">
        <f t="shared" si="4"/>
        <v>Positive</v>
      </c>
      <c r="N424" s="7" t="str">
        <f>IFERROR(__xludf.DUMMYFUNCTION("LOWER(
TRIM(
REGEXREPLACE(B424,""[^a-zA-Z\s]"","""")
)
)
"),"darren maguire")</f>
        <v>darren maguire</v>
      </c>
      <c r="O424" s="7">
        <f t="shared" si="5"/>
        <v>1</v>
      </c>
      <c r="P424" s="8" t="str">
        <f t="shared" si="6"/>
        <v>No</v>
      </c>
    </row>
    <row r="425">
      <c r="A425" s="4" t="s">
        <v>16</v>
      </c>
      <c r="B425" s="4" t="s">
        <v>1227</v>
      </c>
      <c r="C425" s="5">
        <v>44999.0</v>
      </c>
      <c r="D425" s="10">
        <v>45011.0</v>
      </c>
      <c r="E425" s="4" t="s">
        <v>1228</v>
      </c>
      <c r="F425" s="4" t="s">
        <v>1229</v>
      </c>
      <c r="G425" s="6" t="str">
        <f>IFERROR(__xludf.DUMMYFUNCTION("REGEXREPLACE(LOWER(F425),""[^a-z\s]"","""")"),"good company nice people that can be reached by phone right away no robots
good selection of products and very helpful and do not rush you
petflow carries my favorite cat and dog food orijen")</f>
        <v>good company nice people that can be reached by phone right away no robots
good selection of products and very helpful and do not rush you
petflow carries my favorite cat and dog food orijen</v>
      </c>
      <c r="H425" s="4" t="str">
        <f t="shared" si="1"/>
        <v>good company nice people that can be reached by phone right away no robots
good selection of products very helpful do not rush you
petflow carries my favorite cat dog food orijen</v>
      </c>
      <c r="I425" s="6">
        <f t="shared" si="2"/>
        <v>30</v>
      </c>
      <c r="J425" s="6">
        <f>IFERROR(__xludf.DUMMYFUNCTION("IF(H425="""","""",
SUM(
ARRAYFORMULA(
IF(
REGEXMATCH(
"" ""&amp;H425&amp;"" "",
"" ""&amp;Sentiment_Words!A$2:A3730&amp;"" ""
),
1,
0
)
)
)
)"),2.0)</f>
        <v>2</v>
      </c>
      <c r="K425" s="4">
        <f>IFERROR(__xludf.DUMMYFUNCTION("IF(H425="""","""",
SUM(
ARRAYFORMULA(
IF(
REGEXMATCH(
"" ""&amp;H425&amp;"" "",
"" ""&amp;Sentiment_Words!B$2:B3730&amp;"" ""
),
1,
0
)
)
)
)"),0.0)</f>
        <v>0</v>
      </c>
      <c r="L425" s="7" t="str">
        <f t="shared" si="3"/>
        <v>Other</v>
      </c>
      <c r="M425" s="7" t="str">
        <f t="shared" si="4"/>
        <v>Positive</v>
      </c>
      <c r="N425" s="7" t="str">
        <f>IFERROR(__xludf.DUMMYFUNCTION("LOWER(
TRIM(
REGEXREPLACE(B425,""[^a-zA-Z\s]"","""")
)
)
"),"vickie nelson")</f>
        <v>vickie nelson</v>
      </c>
      <c r="O425" s="7">
        <f t="shared" si="5"/>
        <v>1</v>
      </c>
      <c r="P425" s="8" t="str">
        <f t="shared" si="6"/>
        <v>No</v>
      </c>
    </row>
    <row r="426">
      <c r="A426" s="4" t="s">
        <v>16</v>
      </c>
      <c r="B426" s="4" t="s">
        <v>1230</v>
      </c>
      <c r="C426" s="5">
        <v>45010.0</v>
      </c>
      <c r="D426" s="10">
        <v>45011.0</v>
      </c>
      <c r="E426" s="4" t="s">
        <v>1231</v>
      </c>
      <c r="F426" s="4" t="s">
        <v>1232</v>
      </c>
      <c r="G426" s="6" t="str">
        <f>IFERROR(__xludf.DUMMYFUNCTION("REGEXREPLACE(LOWER(F426),""[^a-z\s]"","""")"),"i ordered  boxes of pound cat litter i got a great deal hr shipping and an easy shopping experience plus raukten had  cash back this was a better deal than chewycom which is usually the best i am very happy")</f>
        <v>i ordered  boxes of pound cat litter i got a great deal hr shipping and an easy shopping experience plus raukten had  cash back this was a better deal than chewycom which is usually the best i am very happy</v>
      </c>
      <c r="H426" s="4" t="str">
        <f t="shared" si="1"/>
        <v>i ordered boxes of pound cat litter i got a great deal hr shipping an easy shopping experience plus raukten had cash back this was a better deal than chewycom which usually best i am very happy</v>
      </c>
      <c r="I426" s="6">
        <f t="shared" si="2"/>
        <v>37</v>
      </c>
      <c r="J426" s="6">
        <f>IFERROR(__xludf.DUMMYFUNCTION("IF(H426="""","""",
SUM(
ARRAYFORMULA(
IF(
REGEXMATCH(
"" ""&amp;H426&amp;"" "",
"" ""&amp;Sentiment_Words!A$2:A3730&amp;"" ""
),
1,
0
)
)
)
)"),3.0)</f>
        <v>3</v>
      </c>
      <c r="K426" s="4">
        <f>IFERROR(__xludf.DUMMYFUNCTION("IF(H426="""","""",
SUM(
ARRAYFORMULA(
IF(
REGEXMATCH(
"" ""&amp;H426&amp;"" "",
"" ""&amp;Sentiment_Words!B$2:B3730&amp;"" ""
),
1,
0
)
)
)
)"),0.0)</f>
        <v>0</v>
      </c>
      <c r="L426" s="7" t="str">
        <f t="shared" si="3"/>
        <v>Other</v>
      </c>
      <c r="M426" s="7" t="str">
        <f t="shared" si="4"/>
        <v>Positive</v>
      </c>
      <c r="N426" s="7" t="str">
        <f>IFERROR(__xludf.DUMMYFUNCTION("LOWER(
TRIM(
REGEXREPLACE(B426,""[^a-zA-Z\s]"","""")
)
)
"),"matt c")</f>
        <v>matt c</v>
      </c>
      <c r="O426" s="7">
        <f t="shared" si="5"/>
        <v>1</v>
      </c>
      <c r="P426" s="8" t="str">
        <f t="shared" si="6"/>
        <v>No</v>
      </c>
    </row>
    <row r="427">
      <c r="A427" s="4" t="s">
        <v>16</v>
      </c>
      <c r="B427" s="4" t="s">
        <v>1233</v>
      </c>
      <c r="C427" s="5">
        <v>44999.0</v>
      </c>
      <c r="D427" s="10">
        <v>45011.0</v>
      </c>
      <c r="E427" s="4" t="s">
        <v>1045</v>
      </c>
      <c r="F427" s="4" t="s">
        <v>1234</v>
      </c>
      <c r="G427" s="6" t="str">
        <f>IFERROR(__xludf.DUMMYFUNCTION("REGEXREPLACE(LOWER(F427),""[^a-z\s]"","""")"),"fast delivery
accurate order")</f>
        <v>fast delivery
accurate order</v>
      </c>
      <c r="H427" s="4" t="str">
        <f t="shared" si="1"/>
        <v>fast delivery
accurate order</v>
      </c>
      <c r="I427" s="6">
        <f t="shared" si="2"/>
        <v>3</v>
      </c>
      <c r="J427" s="6">
        <f>IFERROR(__xludf.DUMMYFUNCTION("IF(H427="""","""",
SUM(
ARRAYFORMULA(
IF(
REGEXMATCH(
"" ""&amp;H427&amp;"" "",
"" ""&amp;Sentiment_Words!A$2:A3730&amp;"" ""
),
1,
0
)
)
)
)"),1.0)</f>
        <v>1</v>
      </c>
      <c r="K427" s="4">
        <f>IFERROR(__xludf.DUMMYFUNCTION("IF(H427="""","""",
SUM(
ARRAYFORMULA(
IF(
REGEXMATCH(
"" ""&amp;H427&amp;"" "",
"" ""&amp;Sentiment_Words!B$2:B3730&amp;"" ""
),
1,
0
)
)
)
)"),0.0)</f>
        <v>0</v>
      </c>
      <c r="L427" s="7" t="str">
        <f t="shared" si="3"/>
        <v>Other</v>
      </c>
      <c r="M427" s="7" t="str">
        <f t="shared" si="4"/>
        <v>Positive</v>
      </c>
      <c r="N427" s="7" t="str">
        <f>IFERROR(__xludf.DUMMYFUNCTION("LOWER(
TRIM(
REGEXREPLACE(B427,""[^a-zA-Z\s]"","""")
)
)
"),"sheryl s")</f>
        <v>sheryl s</v>
      </c>
      <c r="O427" s="7">
        <f t="shared" si="5"/>
        <v>1</v>
      </c>
      <c r="P427" s="8" t="str">
        <f t="shared" si="6"/>
        <v>No</v>
      </c>
    </row>
    <row r="428">
      <c r="A428" s="4" t="s">
        <v>16</v>
      </c>
      <c r="B428" s="4" t="s">
        <v>1235</v>
      </c>
      <c r="C428" s="5">
        <v>44999.0</v>
      </c>
      <c r="D428" s="10">
        <v>45011.0</v>
      </c>
      <c r="E428" s="4" t="s">
        <v>1236</v>
      </c>
      <c r="F428" s="4" t="s">
        <v>1237</v>
      </c>
      <c r="G428" s="6" t="str">
        <f>IFERROR(__xludf.DUMMYFUNCTION("REGEXREPLACE(LOWER(F428),""[^a-z\s]"","""")"),"good products at good prices delivered timely")</f>
        <v>good products at good prices delivered timely</v>
      </c>
      <c r="H428" s="4" t="str">
        <f t="shared" si="1"/>
        <v>good products at good prices delivered timely</v>
      </c>
      <c r="I428" s="6">
        <f t="shared" si="2"/>
        <v>7</v>
      </c>
      <c r="J428" s="6">
        <f>IFERROR(__xludf.DUMMYFUNCTION("IF(H428="""","""",
SUM(
ARRAYFORMULA(
IF(
REGEXMATCH(
"" ""&amp;H428&amp;"" "",
"" ""&amp;Sentiment_Words!A$2:A3730&amp;"" ""
),
1,
0
)
)
)
)"),2.0)</f>
        <v>2</v>
      </c>
      <c r="K428" s="4">
        <f>IFERROR(__xludf.DUMMYFUNCTION("IF(H428="""","""",
SUM(
ARRAYFORMULA(
IF(
REGEXMATCH(
"" ""&amp;H428&amp;"" "",
"" ""&amp;Sentiment_Words!B$2:B3730&amp;"" ""
),
1,
0
)
)
)
)"),0.0)</f>
        <v>0</v>
      </c>
      <c r="L428" s="7" t="str">
        <f t="shared" si="3"/>
        <v>Other</v>
      </c>
      <c r="M428" s="7" t="str">
        <f t="shared" si="4"/>
        <v>Positive</v>
      </c>
      <c r="N428" s="7" t="str">
        <f>IFERROR(__xludf.DUMMYFUNCTION("LOWER(
TRIM(
REGEXREPLACE(B428,""[^a-zA-Z\s]"","""")
)
)
"),"jeffrey b")</f>
        <v>jeffrey b</v>
      </c>
      <c r="O428" s="7">
        <f t="shared" si="5"/>
        <v>1</v>
      </c>
      <c r="P428" s="8" t="str">
        <f t="shared" si="6"/>
        <v>No</v>
      </c>
    </row>
    <row r="429">
      <c r="A429" s="4" t="s">
        <v>16</v>
      </c>
      <c r="B429" s="4" t="s">
        <v>1238</v>
      </c>
      <c r="C429" s="5">
        <v>44998.0</v>
      </c>
      <c r="D429" s="10">
        <v>45010.0</v>
      </c>
      <c r="E429" s="4" t="s">
        <v>1239</v>
      </c>
      <c r="F429" s="4" t="s">
        <v>1240</v>
      </c>
      <c r="G429" s="6" t="str">
        <f>IFERROR(__xludf.DUMMYFUNCTION("REGEXREPLACE(LOWER(F429),""[^a-z\s]"","""")"),"very good service thank you")</f>
        <v>very good service thank you</v>
      </c>
      <c r="H429" s="4" t="str">
        <f t="shared" si="1"/>
        <v>very good service thank you</v>
      </c>
      <c r="I429" s="6">
        <f t="shared" si="2"/>
        <v>5</v>
      </c>
      <c r="J429" s="6">
        <f>IFERROR(__xludf.DUMMYFUNCTION("IF(H429="""","""",
SUM(
ARRAYFORMULA(
IF(
REGEXMATCH(
"" ""&amp;H429&amp;"" "",
"" ""&amp;Sentiment_Words!A$2:A3730&amp;"" ""
),
1,
0
)
)
)
)"),1.0)</f>
        <v>1</v>
      </c>
      <c r="K429" s="4">
        <f>IFERROR(__xludf.DUMMYFUNCTION("IF(H429="""","""",
SUM(
ARRAYFORMULA(
IF(
REGEXMATCH(
"" ""&amp;H429&amp;"" "",
"" ""&amp;Sentiment_Words!B$2:B3730&amp;"" ""
),
1,
0
)
)
)
)"),0.0)</f>
        <v>0</v>
      </c>
      <c r="L429" s="7" t="str">
        <f t="shared" si="3"/>
        <v>Customer Support</v>
      </c>
      <c r="M429" s="7" t="str">
        <f t="shared" si="4"/>
        <v>Positive</v>
      </c>
      <c r="N429" s="7" t="str">
        <f>IFERROR(__xludf.DUMMYFUNCTION("LOWER(
TRIM(
REGEXREPLACE(B429,""[^a-zA-Z\s]"","""")
)
)
"),"taylor smith")</f>
        <v>taylor smith</v>
      </c>
      <c r="O429" s="7">
        <f t="shared" si="5"/>
        <v>1</v>
      </c>
      <c r="P429" s="8" t="str">
        <f t="shared" si="6"/>
        <v>No</v>
      </c>
    </row>
    <row r="430">
      <c r="A430" s="4" t="s">
        <v>16</v>
      </c>
      <c r="B430" s="4" t="s">
        <v>1241</v>
      </c>
      <c r="C430" s="5">
        <v>44998.0</v>
      </c>
      <c r="D430" s="10">
        <v>45010.0</v>
      </c>
      <c r="E430" s="4" t="s">
        <v>1242</v>
      </c>
      <c r="F430" s="4" t="s">
        <v>1243</v>
      </c>
      <c r="G430" s="6" t="str">
        <f>IFERROR(__xludf.DUMMYFUNCTION("REGEXREPLACE(LOWER(F430),""[^a-z\s]"","""")"),"every time i order from petflow i get fast service its nice to know when i need food or treats or toys they are on their way quickly i also like receiving tracking information to keep in the loop")</f>
        <v>every time i order from petflow i get fast service its nice to know when i need food or treats or toys they are on their way quickly i also like receiving tracking information to keep in the loop</v>
      </c>
      <c r="H430" s="4" t="str">
        <f t="shared" si="1"/>
        <v>every time i order from petflow i get fast service its nice know when i need food or treats or toys they are on their way quickly i also like receiving tracking information keep in loop</v>
      </c>
      <c r="I430" s="6">
        <f t="shared" si="2"/>
        <v>36</v>
      </c>
      <c r="J430" s="6">
        <f>IFERROR(__xludf.DUMMYFUNCTION("IF(H430="""","""",
SUM(
ARRAYFORMULA(
IF(
REGEXMATCH(
"" ""&amp;H430&amp;"" "",
"" ""&amp;Sentiment_Words!A$2:A3730&amp;"" ""
),
1,
0
)
)
)
)"),1.0)</f>
        <v>1</v>
      </c>
      <c r="K430" s="4">
        <f>IFERROR(__xludf.DUMMYFUNCTION("IF(H430="""","""",
SUM(
ARRAYFORMULA(
IF(
REGEXMATCH(
"" ""&amp;H430&amp;"" "",
"" ""&amp;Sentiment_Words!B$2:B3730&amp;"" ""
),
1,
0
)
)
)
)"),0.0)</f>
        <v>0</v>
      </c>
      <c r="L430" s="7" t="str">
        <f t="shared" si="3"/>
        <v>Customer Support</v>
      </c>
      <c r="M430" s="7" t="str">
        <f t="shared" si="4"/>
        <v>Positive</v>
      </c>
      <c r="N430" s="7" t="str">
        <f>IFERROR(__xludf.DUMMYFUNCTION("LOWER(
TRIM(
REGEXREPLACE(B430,""[^a-zA-Z\s]"","""")
)
)
"),"stefanie rosenthal")</f>
        <v>stefanie rosenthal</v>
      </c>
      <c r="O430" s="7">
        <f t="shared" si="5"/>
        <v>1</v>
      </c>
      <c r="P430" s="8" t="str">
        <f t="shared" si="6"/>
        <v>No</v>
      </c>
    </row>
    <row r="431">
      <c r="A431" s="4" t="s">
        <v>16</v>
      </c>
      <c r="B431" s="4" t="s">
        <v>1244</v>
      </c>
      <c r="C431" s="5">
        <v>44998.0</v>
      </c>
      <c r="D431" s="10">
        <v>45010.0</v>
      </c>
      <c r="E431" s="4" t="s">
        <v>1245</v>
      </c>
      <c r="F431" s="4" t="s">
        <v>1246</v>
      </c>
      <c r="G431" s="6" t="str">
        <f>IFERROR(__xludf.DUMMYFUNCTION("REGEXREPLACE(LOWER(F431),""[^a-z\s]"","""")"),"order canceled for no reason or notice given")</f>
        <v>order canceled for no reason or notice given</v>
      </c>
      <c r="H431" s="4" t="str">
        <f t="shared" si="1"/>
        <v>order canceled no reason or notice given</v>
      </c>
      <c r="I431" s="6">
        <f t="shared" si="2"/>
        <v>7</v>
      </c>
      <c r="J431" s="6">
        <f>IFERROR(__xludf.DUMMYFUNCTION("IF(H431="""","""",
SUM(
ARRAYFORMULA(
IF(
REGEXMATCH(
"" ""&amp;H431&amp;"" "",
"" ""&amp;Sentiment_Words!A$2:A3730&amp;"" ""
),
1,
0
)
)
)
)"),0.0)</f>
        <v>0</v>
      </c>
      <c r="K431" s="4">
        <f>IFERROR(__xludf.DUMMYFUNCTION("IF(H431="""","""",
SUM(
ARRAYFORMULA(
IF(
REGEXMATCH(
"" ""&amp;H431&amp;"" "",
"" ""&amp;Sentiment_Words!B$2:B3730&amp;"" ""
),
1,
0
)
)
)
)"),0.0)</f>
        <v>0</v>
      </c>
      <c r="L431" s="7" t="str">
        <f t="shared" si="3"/>
        <v>Other</v>
      </c>
      <c r="M431" s="7" t="str">
        <f t="shared" si="4"/>
        <v>Neutral</v>
      </c>
      <c r="N431" s="7" t="str">
        <f>IFERROR(__xludf.DUMMYFUNCTION("LOWER(
TRIM(
REGEXREPLACE(B431,""[^a-zA-Z\s]"","""")
)
)
"),"brenda m")</f>
        <v>brenda m</v>
      </c>
      <c r="O431" s="7">
        <f t="shared" si="5"/>
        <v>1</v>
      </c>
      <c r="P431" s="8" t="str">
        <f t="shared" si="6"/>
        <v>No</v>
      </c>
    </row>
    <row r="432">
      <c r="A432" s="4" t="s">
        <v>16</v>
      </c>
      <c r="B432" s="4" t="s">
        <v>1247</v>
      </c>
      <c r="C432" s="5">
        <v>44996.0</v>
      </c>
      <c r="D432" s="10">
        <v>45010.0</v>
      </c>
      <c r="E432" s="4" t="s">
        <v>1248</v>
      </c>
      <c r="F432" s="4" t="s">
        <v>1249</v>
      </c>
      <c r="G432" s="6" t="str">
        <f>IFERROR(__xludf.DUMMYFUNCTION("REGEXREPLACE(LOWER(F432),""[^a-z\s]"","""")"),"great prices fast delivery almost everything for taking care of your pets")</f>
        <v>great prices fast delivery almost everything for taking care of your pets</v>
      </c>
      <c r="H432" s="4" t="str">
        <f t="shared" si="1"/>
        <v>great prices fast delivery almost everything taking care of your pets</v>
      </c>
      <c r="I432" s="6">
        <f t="shared" si="2"/>
        <v>11</v>
      </c>
      <c r="J432" s="6">
        <f>IFERROR(__xludf.DUMMYFUNCTION("IF(H432="""","""",
SUM(
ARRAYFORMULA(
IF(
REGEXMATCH(
"" ""&amp;H432&amp;"" "",
"" ""&amp;Sentiment_Words!A$2:A3730&amp;"" ""
),
1,
0
)
)
)
)"),3.0)</f>
        <v>3</v>
      </c>
      <c r="K432" s="4">
        <f>IFERROR(__xludf.DUMMYFUNCTION("IF(H432="""","""",
SUM(
ARRAYFORMULA(
IF(
REGEXMATCH(
"" ""&amp;H432&amp;"" "",
"" ""&amp;Sentiment_Words!B$2:B3730&amp;"" ""
),
1,
0
)
)
)
)"),0.0)</f>
        <v>0</v>
      </c>
      <c r="L432" s="7" t="str">
        <f t="shared" si="3"/>
        <v>Other</v>
      </c>
      <c r="M432" s="7" t="str">
        <f t="shared" si="4"/>
        <v>Positive</v>
      </c>
      <c r="N432" s="7" t="str">
        <f>IFERROR(__xludf.DUMMYFUNCTION("LOWER(
TRIM(
REGEXREPLACE(B432,""[^a-zA-Z\s]"","""")
)
)
"),"tim")</f>
        <v>tim</v>
      </c>
      <c r="O432" s="7">
        <f t="shared" si="5"/>
        <v>2</v>
      </c>
      <c r="P432" s="8" t="str">
        <f t="shared" si="6"/>
        <v>Yes</v>
      </c>
    </row>
    <row r="433">
      <c r="A433" s="4" t="s">
        <v>16</v>
      </c>
      <c r="B433" s="4" t="s">
        <v>1250</v>
      </c>
      <c r="C433" s="5">
        <v>44997.0</v>
      </c>
      <c r="D433" s="10">
        <v>45009.0</v>
      </c>
      <c r="E433" s="4" t="s">
        <v>1251</v>
      </c>
      <c r="F433" s="4" t="s">
        <v>1252</v>
      </c>
      <c r="G433" s="6" t="str">
        <f>IFERROR(__xludf.DUMMYFUNCTION("REGEXREPLACE(LOWER(F433),""[^a-z\s]"","""")"),"did not like that i buy a membership in order to save on my purchasevery disappointed with that part of checkout")</f>
        <v>did not like that i buy a membership in order to save on my purchasevery disappointed with that part of checkout</v>
      </c>
      <c r="H433" s="4" t="str">
        <f t="shared" si="1"/>
        <v>did not like that i buy a membership in order save on my purchasevery disappointed with that part of checkout</v>
      </c>
      <c r="I433" s="6">
        <f t="shared" si="2"/>
        <v>20</v>
      </c>
      <c r="J433" s="6">
        <f>IFERROR(__xludf.DUMMYFUNCTION("IF(H433="""","""",
SUM(
ARRAYFORMULA(
IF(
REGEXMATCH(
"" ""&amp;H433&amp;"" "",
"" ""&amp;Sentiment_Words!A$2:A3730&amp;"" ""
),
1,
0
)
)
)
)"),0.0)</f>
        <v>0</v>
      </c>
      <c r="K433" s="4">
        <f>IFERROR(__xludf.DUMMYFUNCTION("IF(H433="""","""",
SUM(
ARRAYFORMULA(
IF(
REGEXMATCH(
"" ""&amp;H433&amp;"" "",
"" ""&amp;Sentiment_Words!B$2:B3730&amp;"" ""
),
1,
0
)
)
)
)"),0.0)</f>
        <v>0</v>
      </c>
      <c r="L433" s="7" t="str">
        <f t="shared" si="3"/>
        <v>Trust &amp; Experience</v>
      </c>
      <c r="M433" s="7" t="str">
        <f t="shared" si="4"/>
        <v>Neutral</v>
      </c>
      <c r="N433" s="7" t="str">
        <f>IFERROR(__xludf.DUMMYFUNCTION("LOWER(
TRIM(
REGEXREPLACE(B433,""[^a-zA-Z\s]"","""")
)
)
"),"frank w")</f>
        <v>frank w</v>
      </c>
      <c r="O433" s="7">
        <f t="shared" si="5"/>
        <v>1</v>
      </c>
      <c r="P433" s="8" t="str">
        <f t="shared" si="6"/>
        <v>No</v>
      </c>
    </row>
    <row r="434">
      <c r="A434" s="4" t="s">
        <v>16</v>
      </c>
      <c r="B434" s="4" t="s">
        <v>1253</v>
      </c>
      <c r="C434" s="5">
        <v>44997.0</v>
      </c>
      <c r="D434" s="10">
        <v>45009.0</v>
      </c>
      <c r="E434" s="4" t="s">
        <v>1254</v>
      </c>
      <c r="F434" s="4" t="s">
        <v>1255</v>
      </c>
      <c r="G434" s="6" t="str">
        <f>IFERROR(__xludf.DUMMYFUNCTION("REGEXREPLACE(LOWER(F434),""[^a-z\s]"","""")"),"left product out by the street in the rainit was covered in plasticbut still by the street is bad news")</f>
        <v>left product out by the street in the rainit was covered in plasticbut still by the street is bad news</v>
      </c>
      <c r="H434" s="4" t="str">
        <f t="shared" si="1"/>
        <v>left product out by street in rainit was covered in plasticbut still by street bad news</v>
      </c>
      <c r="I434" s="6">
        <f t="shared" si="2"/>
        <v>16</v>
      </c>
      <c r="J434" s="6">
        <f>IFERROR(__xludf.DUMMYFUNCTION("IF(H434="""","""",
SUM(
ARRAYFORMULA(
IF(
REGEXMATCH(
"" ""&amp;H434&amp;"" "",
"" ""&amp;Sentiment_Words!A$2:A3730&amp;"" ""
),
1,
0
)
)
)
)"),0.0)</f>
        <v>0</v>
      </c>
      <c r="K434" s="4">
        <f>IFERROR(__xludf.DUMMYFUNCTION("IF(H434="""","""",
SUM(
ARRAYFORMULA(
IF(
REGEXMATCH(
"" ""&amp;H434&amp;"" "",
"" ""&amp;Sentiment_Words!B$2:B3730&amp;"" ""
),
1,
0
)
)
)
)"),0.0)</f>
        <v>0</v>
      </c>
      <c r="L434" s="7" t="str">
        <f t="shared" si="3"/>
        <v>Other</v>
      </c>
      <c r="M434" s="7" t="str">
        <f t="shared" si="4"/>
        <v>Neutral</v>
      </c>
      <c r="N434" s="7" t="str">
        <f>IFERROR(__xludf.DUMMYFUNCTION("LOWER(
TRIM(
REGEXREPLACE(B434,""[^a-zA-Z\s]"","""")
)
)
"),"dana fehsal")</f>
        <v>dana fehsal</v>
      </c>
      <c r="O434" s="7">
        <f t="shared" si="5"/>
        <v>1</v>
      </c>
      <c r="P434" s="8" t="str">
        <f t="shared" si="6"/>
        <v>No</v>
      </c>
    </row>
    <row r="435">
      <c r="A435" s="4" t="s">
        <v>16</v>
      </c>
      <c r="B435" s="4" t="s">
        <v>1256</v>
      </c>
      <c r="C435" s="5">
        <v>44996.0</v>
      </c>
      <c r="D435" s="10">
        <v>45009.0</v>
      </c>
      <c r="E435" s="4" t="s">
        <v>1257</v>
      </c>
      <c r="F435" s="4" t="s">
        <v>1258</v>
      </c>
      <c r="G435" s="6" t="str">
        <f>IFERROR(__xludf.DUMMYFUNCTION("REGEXREPLACE(LOWER(F435),""[^a-z\s]"","""")"),"i ordered some guinea pig food and the price was better than any other place it shipped out fast and the company did a great job emailing when it shipped out with tracking the products arrived perfectly packaged in a box that was just the right size for t"&amp;"he shipment and nothing was damaged including the strong shipping box thank you and i am referring others to your web site")</f>
        <v>i ordered some guinea pig food and the price was better than any other place it shipped out fast and the company did a great job emailing when it shipped out with tracking the products arrived perfectly packaged in a box that was just the right size for the shipment and nothing was damaged including the strong shipping box thank you and i am referring others to your web site</v>
      </c>
      <c r="H435" s="4" t="str">
        <f t="shared" si="1"/>
        <v>i ordered some guinea pig food price was better than any other place it shipped out fast company did a great job emailing when it shipped out with tracking products arrived perfectly packaged in a box that was just right size shipment nothing was damaged including strong shipping box thank you i am referring others your web site</v>
      </c>
      <c r="I435" s="6">
        <f t="shared" si="2"/>
        <v>58</v>
      </c>
      <c r="J435" s="6">
        <f>IFERROR(__xludf.DUMMYFUNCTION("IF(H435="""","""",
SUM(
ARRAYFORMULA(
IF(
REGEXMATCH(
"" ""&amp;H435&amp;"" "",
"" ""&amp;Sentiment_Words!A$2:A3730&amp;"" ""
),
1,
0
)
)
)
)"),2.0)</f>
        <v>2</v>
      </c>
      <c r="K435" s="4">
        <f>IFERROR(__xludf.DUMMYFUNCTION("IF(H435="""","""",
SUM(
ARRAYFORMULA(
IF(
REGEXMATCH(
"" ""&amp;H435&amp;"" "",
"" ""&amp;Sentiment_Words!B$2:B3730&amp;"" ""
),
1,
0
)
)
)
)"),0.0)</f>
        <v>0</v>
      </c>
      <c r="L435" s="7" t="str">
        <f t="shared" si="3"/>
        <v>Other</v>
      </c>
      <c r="M435" s="7" t="str">
        <f t="shared" si="4"/>
        <v>Positive</v>
      </c>
      <c r="N435" s="7" t="str">
        <f>IFERROR(__xludf.DUMMYFUNCTION("LOWER(
TRIM(
REGEXREPLACE(B435,""[^a-zA-Z\s]"","""")
)
)
"),"stella")</f>
        <v>stella</v>
      </c>
      <c r="O435" s="7">
        <f t="shared" si="5"/>
        <v>1</v>
      </c>
      <c r="P435" s="8" t="str">
        <f t="shared" si="6"/>
        <v>No</v>
      </c>
    </row>
    <row r="436">
      <c r="A436" s="4" t="s">
        <v>16</v>
      </c>
      <c r="B436" s="4" t="s">
        <v>1259</v>
      </c>
      <c r="C436" s="5">
        <v>44997.0</v>
      </c>
      <c r="D436" s="10">
        <v>45009.0</v>
      </c>
      <c r="E436" s="4" t="s">
        <v>1260</v>
      </c>
      <c r="F436" s="4" t="s">
        <v>1261</v>
      </c>
      <c r="G436" s="6" t="str">
        <f>IFERROR(__xludf.DUMMYFUNCTION("REGEXREPLACE(LOWER(F436),""[^a-z\s]"","""")"),"i have ordered twice now from this company fast shipping boxes arrived in tact no problems")</f>
        <v>i have ordered twice now from this company fast shipping boxes arrived in tact no problems</v>
      </c>
      <c r="H436" s="4" t="str">
        <f t="shared" si="1"/>
        <v>i have ordered twice now from this company fast shipping boxes arrived in tact no problems</v>
      </c>
      <c r="I436" s="6">
        <f t="shared" si="2"/>
        <v>16</v>
      </c>
      <c r="J436" s="6">
        <f>IFERROR(__xludf.DUMMYFUNCTION("IF(H436="""","""",
SUM(
ARRAYFORMULA(
IF(
REGEXMATCH(
"" ""&amp;H436&amp;"" "",
"" ""&amp;Sentiment_Words!A$2:A3730&amp;"" ""
),
1,
0
)
)
)
)"),2.0)</f>
        <v>2</v>
      </c>
      <c r="K436" s="4">
        <f>IFERROR(__xludf.DUMMYFUNCTION("IF(H436="""","""",
SUM(
ARRAYFORMULA(
IF(
REGEXMATCH(
"" ""&amp;H436&amp;"" "",
"" ""&amp;Sentiment_Words!B$2:B3730&amp;"" ""
),
1,
0
)
)
)
)"),0.0)</f>
        <v>0</v>
      </c>
      <c r="L436" s="7" t="str">
        <f t="shared" si="3"/>
        <v>Other</v>
      </c>
      <c r="M436" s="7" t="str">
        <f t="shared" si="4"/>
        <v>Positive</v>
      </c>
      <c r="N436" s="7" t="str">
        <f>IFERROR(__xludf.DUMMYFUNCTION("LOWER(
TRIM(
REGEXREPLACE(B436,""[^a-zA-Z\s]"","""")
)
)
"),"mary schings")</f>
        <v>mary schings</v>
      </c>
      <c r="O436" s="7">
        <f t="shared" si="5"/>
        <v>1</v>
      </c>
      <c r="P436" s="8" t="str">
        <f t="shared" si="6"/>
        <v>No</v>
      </c>
    </row>
    <row r="437">
      <c r="A437" s="4" t="s">
        <v>16</v>
      </c>
      <c r="B437" s="4" t="s">
        <v>1262</v>
      </c>
      <c r="C437" s="5">
        <v>44997.0</v>
      </c>
      <c r="D437" s="10">
        <v>45009.0</v>
      </c>
      <c r="E437" s="4" t="s">
        <v>1263</v>
      </c>
      <c r="F437" s="4" t="s">
        <v>1264</v>
      </c>
      <c r="G437" s="6" t="str">
        <f>IFERROR(__xludf.DUMMYFUNCTION("REGEXREPLACE(LOWER(F437),""[^a-z\s]"","""")"),"i had been looking for best auto ship on wet cat food and found petflow to be the best they ship quickly and the whole experience is just great")</f>
        <v>i had been looking for best auto ship on wet cat food and found petflow to be the best they ship quickly and the whole experience is just great</v>
      </c>
      <c r="H437" s="4" t="str">
        <f t="shared" si="1"/>
        <v>i had been looking best auto ship on wet cat food found petflow be best they ship quickly whole experience just great</v>
      </c>
      <c r="I437" s="6">
        <f t="shared" si="2"/>
        <v>22</v>
      </c>
      <c r="J437" s="6">
        <f>IFERROR(__xludf.DUMMYFUNCTION("IF(H437="""","""",
SUM(
ARRAYFORMULA(
IF(
REGEXMATCH(
"" ""&amp;H437&amp;"" "",
"" ""&amp;Sentiment_Words!A$2:A3730&amp;"" ""
),
1,
0
)
)
)
)"),3.0)</f>
        <v>3</v>
      </c>
      <c r="K437" s="4">
        <f>IFERROR(__xludf.DUMMYFUNCTION("IF(H437="""","""",
SUM(
ARRAYFORMULA(
IF(
REGEXMATCH(
"" ""&amp;H437&amp;"" "",
"" ""&amp;Sentiment_Words!B$2:B3730&amp;"" ""
),
1,
0
)
)
)
)"),0.0)</f>
        <v>0</v>
      </c>
      <c r="L437" s="7" t="str">
        <f t="shared" si="3"/>
        <v>Other</v>
      </c>
      <c r="M437" s="7" t="str">
        <f t="shared" si="4"/>
        <v>Positive</v>
      </c>
      <c r="N437" s="7" t="str">
        <f>IFERROR(__xludf.DUMMYFUNCTION("LOWER(
TRIM(
REGEXREPLACE(B437,""[^a-zA-Z\s]"","""")
)
)
"),"smileyone")</f>
        <v>smileyone</v>
      </c>
      <c r="O437" s="7">
        <f t="shared" si="5"/>
        <v>1</v>
      </c>
      <c r="P437" s="8" t="str">
        <f t="shared" si="6"/>
        <v>No</v>
      </c>
    </row>
    <row r="438">
      <c r="A438" s="4" t="s">
        <v>16</v>
      </c>
      <c r="B438" s="4" t="s">
        <v>1265</v>
      </c>
      <c r="C438" s="5">
        <v>44997.0</v>
      </c>
      <c r="D438" s="10">
        <v>45009.0</v>
      </c>
      <c r="E438" s="4" t="s">
        <v>1266</v>
      </c>
      <c r="F438" s="4" t="s">
        <v>1267</v>
      </c>
      <c r="G438" s="6" t="str">
        <f>IFERROR(__xludf.DUMMYFUNCTION("REGEXREPLACE(LOWER(F438),""[^a-z\s]"","""")"),"good prices great customer service you also carry brands that mainstream stores do not")</f>
        <v>good prices great customer service you also carry brands that mainstream stores do not</v>
      </c>
      <c r="H438" s="4" t="str">
        <f t="shared" si="1"/>
        <v>good prices great customer service you also carry brands that mainstream stores do not</v>
      </c>
      <c r="I438" s="6">
        <f t="shared" si="2"/>
        <v>14</v>
      </c>
      <c r="J438" s="6">
        <f>IFERROR(__xludf.DUMMYFUNCTION("IF(H438="""","""",
SUM(
ARRAYFORMULA(
IF(
REGEXMATCH(
"" ""&amp;H438&amp;"" "",
"" ""&amp;Sentiment_Words!A$2:A3730&amp;"" ""
),
1,
0
)
)
)
)"),3.0)</f>
        <v>3</v>
      </c>
      <c r="K438" s="4">
        <f>IFERROR(__xludf.DUMMYFUNCTION("IF(H438="""","""",
SUM(
ARRAYFORMULA(
IF(
REGEXMATCH(
"" ""&amp;H438&amp;"" "",
"" ""&amp;Sentiment_Words!B$2:B3730&amp;"" ""
),
1,
0
)
)
)
)"),1.0)</f>
        <v>1</v>
      </c>
      <c r="L438" s="7" t="str">
        <f t="shared" si="3"/>
        <v>Customer Support</v>
      </c>
      <c r="M438" s="7" t="str">
        <f t="shared" si="4"/>
        <v>Positive</v>
      </c>
      <c r="N438" s="7" t="str">
        <f>IFERROR(__xludf.DUMMYFUNCTION("LOWER(
TRIM(
REGEXREPLACE(B438,""[^a-zA-Z\s]"","""")
)
)
"),"catgirl")</f>
        <v>catgirl</v>
      </c>
      <c r="O438" s="7">
        <f t="shared" si="5"/>
        <v>1</v>
      </c>
      <c r="P438" s="8" t="str">
        <f t="shared" si="6"/>
        <v>No</v>
      </c>
    </row>
    <row r="439">
      <c r="A439" s="4" t="s">
        <v>16</v>
      </c>
      <c r="B439" s="4" t="s">
        <v>1268</v>
      </c>
      <c r="C439" s="5">
        <v>44997.0</v>
      </c>
      <c r="D439" s="10">
        <v>45009.0</v>
      </c>
      <c r="E439" s="4" t="s">
        <v>1269</v>
      </c>
      <c r="F439" s="4" t="s">
        <v>1270</v>
      </c>
      <c r="G439" s="6" t="str">
        <f>IFERROR(__xludf.DUMMYFUNCTION("REGEXREPLACE(LOWER(F439),""[^a-z\s]"","""")"),"i ordered dog food to be sent to my daughters while she is keeping my dog you evidently canceled my order and was not advised by petflow")</f>
        <v>i ordered dog food to be sent to my daughters while she is keeping my dog you evidently canceled my order and was not advised by petflow</v>
      </c>
      <c r="H439" s="4" t="str">
        <f t="shared" si="1"/>
        <v>i ordered dog food be sent my daughters while she keeping my dog you evidently canceled my order was not advised by petflow</v>
      </c>
      <c r="I439" s="6">
        <f t="shared" si="2"/>
        <v>23</v>
      </c>
      <c r="J439" s="6">
        <f>IFERROR(__xludf.DUMMYFUNCTION("IF(H439="""","""",
SUM(
ARRAYFORMULA(
IF(
REGEXMATCH(
"" ""&amp;H439&amp;"" "",
"" ""&amp;Sentiment_Words!A$2:A3730&amp;"" ""
),
1,
0
)
)
)
)"),0.0)</f>
        <v>0</v>
      </c>
      <c r="K439" s="4">
        <f>IFERROR(__xludf.DUMMYFUNCTION("IF(H439="""","""",
SUM(
ARRAYFORMULA(
IF(
REGEXMATCH(
"" ""&amp;H439&amp;"" "",
"" ""&amp;Sentiment_Words!B$2:B3730&amp;"" ""
),
1,
0
)
)
)
)"),0.0)</f>
        <v>0</v>
      </c>
      <c r="L439" s="7" t="str">
        <f t="shared" si="3"/>
        <v>Other</v>
      </c>
      <c r="M439" s="7" t="str">
        <f t="shared" si="4"/>
        <v>Neutral</v>
      </c>
      <c r="N439" s="7" t="str">
        <f>IFERROR(__xludf.DUMMYFUNCTION("LOWER(
TRIM(
REGEXREPLACE(B439,""[^a-zA-Z\s]"","""")
)
)
"),"edmond kachurak")</f>
        <v>edmond kachurak</v>
      </c>
      <c r="O439" s="7">
        <f t="shared" si="5"/>
        <v>1</v>
      </c>
      <c r="P439" s="8" t="str">
        <f t="shared" si="6"/>
        <v>No</v>
      </c>
    </row>
    <row r="440">
      <c r="A440" s="4" t="s">
        <v>16</v>
      </c>
      <c r="B440" s="4" t="s">
        <v>1271</v>
      </c>
      <c r="C440" s="5">
        <v>44997.0</v>
      </c>
      <c r="D440" s="10">
        <v>45009.0</v>
      </c>
      <c r="E440" s="4" t="s">
        <v>1272</v>
      </c>
      <c r="F440" s="4" t="s">
        <v>1273</v>
      </c>
      <c r="G440" s="6" t="str">
        <f>IFERROR(__xludf.DUMMYFUNCTION("REGEXREPLACE(LOWER(F440),""[^a-z\s]"","""")"),"i always did love petflow only switched after years of buying from them because it took a bit longer to receive the product than was convenient after finding out that they carry a product i was not able to get at my current pet food company i decided to t"&amp;"ry again it is still slower than i like but much better other than that aaa")</f>
        <v>i always did love petflow only switched after years of buying from them because it took a bit longer to receive the product than was convenient after finding out that they carry a product i was not able to get at my current pet food company i decided to try again it is still slower than i like but much better other than that aaa</v>
      </c>
      <c r="H440" s="4" t="str">
        <f t="shared" si="1"/>
        <v>i always did love petflow only switched after years of buying from them because it took a bit longer receive product than was convenient after finding out that they carry a product i was not able get at my current pet food company i decided try again it still slower than i like but much better other than that aaa</v>
      </c>
      <c r="I440" s="6">
        <f t="shared" si="2"/>
        <v>60</v>
      </c>
      <c r="J440" s="6">
        <f>IFERROR(__xludf.DUMMYFUNCTION("IF(H440="""","""",
SUM(
ARRAYFORMULA(
IF(
REGEXMATCH(
"" ""&amp;H440&amp;"" "",
"" ""&amp;Sentiment_Words!A$2:A3730&amp;"" ""
),
1,
0
)
)
)
)"),3.0)</f>
        <v>3</v>
      </c>
      <c r="K440" s="4">
        <f>IFERROR(__xludf.DUMMYFUNCTION("IF(H440="""","""",
SUM(
ARRAYFORMULA(
IF(
REGEXMATCH(
"" ""&amp;H440&amp;"" "",
"" ""&amp;Sentiment_Words!B$2:B3730&amp;"" ""
),
1,
0
)
)
)
)"),0.0)</f>
        <v>0</v>
      </c>
      <c r="L440" s="7" t="str">
        <f t="shared" si="3"/>
        <v>Value &amp; Convenience</v>
      </c>
      <c r="M440" s="7" t="str">
        <f t="shared" si="4"/>
        <v>Positive</v>
      </c>
      <c r="N440" s="7" t="str">
        <f>IFERROR(__xludf.DUMMYFUNCTION("LOWER(
TRIM(
REGEXREPLACE(B440,""[^a-zA-Z\s]"","""")
)
)
"),"nancy harvey")</f>
        <v>nancy harvey</v>
      </c>
      <c r="O440" s="7">
        <f t="shared" si="5"/>
        <v>1</v>
      </c>
      <c r="P440" s="8" t="str">
        <f t="shared" si="6"/>
        <v>No</v>
      </c>
    </row>
    <row r="441">
      <c r="A441" s="4" t="s">
        <v>16</v>
      </c>
      <c r="B441" s="4" t="s">
        <v>1274</v>
      </c>
      <c r="C441" s="5">
        <v>44996.0</v>
      </c>
      <c r="D441" s="10">
        <v>45008.0</v>
      </c>
      <c r="E441" s="4" t="s">
        <v>1275</v>
      </c>
      <c r="F441" s="4" t="s">
        <v>331</v>
      </c>
      <c r="G441" s="6" t="str">
        <f>IFERROR(__xludf.DUMMYFUNCTION("REGEXREPLACE(LOWER(F441),""[^a-z\s]"","""")"),"none")</f>
        <v>none</v>
      </c>
      <c r="H441" s="4" t="str">
        <f t="shared" si="1"/>
        <v>none</v>
      </c>
      <c r="I441" s="6">
        <f t="shared" si="2"/>
        <v>1</v>
      </c>
      <c r="J441" s="6">
        <f>IFERROR(__xludf.DUMMYFUNCTION("IF(H441="""","""",
SUM(
ARRAYFORMULA(
IF(
REGEXMATCH(
"" ""&amp;H441&amp;"" "",
"" ""&amp;Sentiment_Words!A$2:A3730&amp;"" ""
),
1,
0
)
)
)
)"),0.0)</f>
        <v>0</v>
      </c>
      <c r="K441" s="4">
        <f>IFERROR(__xludf.DUMMYFUNCTION("IF(H441="""","""",
SUM(
ARRAYFORMULA(
IF(
REGEXMATCH(
"" ""&amp;H441&amp;"" "",
"" ""&amp;Sentiment_Words!B$2:B3730&amp;"" ""
),
1,
0
)
)
)
)"),0.0)</f>
        <v>0</v>
      </c>
      <c r="L441" s="7" t="str">
        <f t="shared" si="3"/>
        <v>Other</v>
      </c>
      <c r="M441" s="7" t="str">
        <f t="shared" si="4"/>
        <v>Neutral</v>
      </c>
      <c r="N441" s="7" t="str">
        <f>IFERROR(__xludf.DUMMYFUNCTION("LOWER(
TRIM(
REGEXREPLACE(B441,""[^a-zA-Z\s]"","""")
)
)
"),"huckabees place")</f>
        <v>huckabees place</v>
      </c>
      <c r="O441" s="7">
        <f t="shared" si="5"/>
        <v>1</v>
      </c>
      <c r="P441" s="8" t="str">
        <f t="shared" si="6"/>
        <v>No</v>
      </c>
    </row>
    <row r="442">
      <c r="A442" s="4" t="s">
        <v>16</v>
      </c>
      <c r="B442" s="4" t="s">
        <v>1276</v>
      </c>
      <c r="C442" s="5">
        <v>45008.0</v>
      </c>
      <c r="D442" s="10">
        <v>45008.0</v>
      </c>
      <c r="E442" s="4" t="s">
        <v>1277</v>
      </c>
      <c r="F442" s="4" t="s">
        <v>1278</v>
      </c>
      <c r="G442" s="6" t="str">
        <f>IFERROR(__xludf.DUMMYFUNCTION("REGEXREPLACE(LOWER(F442),""[^a-z\s]"","""")"),"account flagged as fraud long wait time for customer service had to give credit card info over phone cant get a password email reset even though you recognize my email address so cant access account")</f>
        <v>account flagged as fraud long wait time for customer service had to give credit card info over phone cant get a password email reset even though you recognize my email address so cant access account</v>
      </c>
      <c r="H442" s="4" t="str">
        <f t="shared" si="1"/>
        <v>account flagged as fraud long wait time customer service had give credit card info over phone cant get a password email reset even though you recognize my email address so cant access account</v>
      </c>
      <c r="I442" s="6">
        <f t="shared" si="2"/>
        <v>33</v>
      </c>
      <c r="J442" s="6">
        <f>IFERROR(__xludf.DUMMYFUNCTION("IF(H442="""","""",
SUM(
ARRAYFORMULA(
IF(
REGEXMATCH(
"" ""&amp;H442&amp;"" "",
"" ""&amp;Sentiment_Words!A$2:A3730&amp;"" ""
),
1,
0
)
)
)
)"),0.0)</f>
        <v>0</v>
      </c>
      <c r="K442" s="4">
        <f>IFERROR(__xludf.DUMMYFUNCTION("IF(H442="""","""",
SUM(
ARRAYFORMULA(
IF(
REGEXMATCH(
"" ""&amp;H442&amp;"" "",
"" ""&amp;Sentiment_Words!B$2:B3730&amp;"" ""
),
1,
0
)
)
)
)"),1.0)</f>
        <v>1</v>
      </c>
      <c r="L442" s="7" t="str">
        <f t="shared" si="3"/>
        <v>Customer Support</v>
      </c>
      <c r="M442" s="7" t="str">
        <f t="shared" si="4"/>
        <v>Negative</v>
      </c>
      <c r="N442" s="7" t="str">
        <f>IFERROR(__xludf.DUMMYFUNCTION("LOWER(
TRIM(
REGEXREPLACE(B442,""[^a-zA-Z\s]"","""")
)
)
"),"alberta walker")</f>
        <v>alberta walker</v>
      </c>
      <c r="O442" s="7">
        <f t="shared" si="5"/>
        <v>1</v>
      </c>
      <c r="P442" s="8" t="str">
        <f t="shared" si="6"/>
        <v>No</v>
      </c>
    </row>
    <row r="443">
      <c r="A443" s="4" t="s">
        <v>16</v>
      </c>
      <c r="B443" s="4" t="s">
        <v>1279</v>
      </c>
      <c r="C443" s="5">
        <v>45007.0</v>
      </c>
      <c r="D443" s="10">
        <v>45008.0</v>
      </c>
      <c r="E443" s="4" t="s">
        <v>1280</v>
      </c>
      <c r="F443" s="4" t="s">
        <v>1281</v>
      </c>
      <c r="G443" s="6" t="str">
        <f>IFERROR(__xludf.DUMMYFUNCTION("REGEXREPLACE(LOWER(F443),""[^a-z\s]"","""")"),"petflow published an anniversary discount of  for orders over  i was so frustrated when my order wouldnt accept the discount i called petflow  and spoke to a real person bonus points better still the customer service rep was apologetic friendly and worked"&amp;" with me to get the discount applied to my order they certainly turned around what could have been a sour interaction")</f>
        <v>petflow published an anniversary discount of  for orders over  i was so frustrated when my order wouldnt accept the discount i called petflow  and spoke to a real person bonus points better still the customer service rep was apologetic friendly and worked with me to get the discount applied to my order they certainly turned around what could have been a sour interaction</v>
      </c>
      <c r="H443" s="4" t="str">
        <f t="shared" si="1"/>
        <v>petflow published an anniversary discount of orders over i was so frustrated when my order wouldnt accept discount i called petflow spoke a real person bonus points better still customer service rep was apologetic friendly worked with me get discount applied my order they certainly turned around what could have been a sour interaction</v>
      </c>
      <c r="I443" s="6">
        <f t="shared" si="2"/>
        <v>54</v>
      </c>
      <c r="J443" s="6">
        <f>IFERROR(__xludf.DUMMYFUNCTION("IF(H443="""","""",
SUM(
ARRAYFORMULA(
IF(
REGEXMATCH(
"" ""&amp;H443&amp;"" "",
"" ""&amp;Sentiment_Words!A$2:A3730&amp;"" ""
),
1,
0
)
)
)
)"),1.0)</f>
        <v>1</v>
      </c>
      <c r="K443" s="4">
        <f>IFERROR(__xludf.DUMMYFUNCTION("IF(H443="""","""",
SUM(
ARRAYFORMULA(
IF(
REGEXMATCH(
"" ""&amp;H443&amp;"" "",
"" ""&amp;Sentiment_Words!B$2:B3730&amp;"" ""
),
1,
0
)
)
)
)"),1.0)</f>
        <v>1</v>
      </c>
      <c r="L443" s="7" t="str">
        <f t="shared" si="3"/>
        <v>Customer Support</v>
      </c>
      <c r="M443" s="7" t="str">
        <f t="shared" si="4"/>
        <v>Neutral</v>
      </c>
      <c r="N443" s="7" t="str">
        <f>IFERROR(__xludf.DUMMYFUNCTION("LOWER(
TRIM(
REGEXREPLACE(B443,""[^a-zA-Z\s]"","""")
)
)
"),"lisa mitchell")</f>
        <v>lisa mitchell</v>
      </c>
      <c r="O443" s="7">
        <f t="shared" si="5"/>
        <v>1</v>
      </c>
      <c r="P443" s="8" t="str">
        <f t="shared" si="6"/>
        <v>No</v>
      </c>
    </row>
    <row r="444">
      <c r="A444" s="4" t="s">
        <v>16</v>
      </c>
      <c r="B444" s="4" t="s">
        <v>1282</v>
      </c>
      <c r="C444" s="5">
        <v>45002.0</v>
      </c>
      <c r="D444" s="10">
        <v>45008.0</v>
      </c>
      <c r="E444" s="4" t="s">
        <v>1283</v>
      </c>
      <c r="F444" s="4" t="s">
        <v>1284</v>
      </c>
      <c r="G444" s="6" t="str">
        <f>IFERROR(__xludf.DUMMYFUNCTION("REGEXREPLACE(LOWER(F444),""[^a-z\s]"","""")"),"website takes too long to navigate
shipping takes too long
 days from order to delivery")</f>
        <v>website takes too long to navigate
shipping takes too long
 days from order to delivery</v>
      </c>
      <c r="H444" s="4" t="str">
        <f t="shared" si="1"/>
        <v>website takes too long navigate
shipping takes too long
 days from order delivery</v>
      </c>
      <c r="I444" s="6">
        <f t="shared" si="2"/>
        <v>12</v>
      </c>
      <c r="J444" s="6">
        <f>IFERROR(__xludf.DUMMYFUNCTION("IF(H444="""","""",
SUM(
ARRAYFORMULA(
IF(
REGEXMATCH(
"" ""&amp;H444&amp;"" "",
"" ""&amp;Sentiment_Words!A$2:A3730&amp;"" ""
),
1,
0
)
)
)
)"),0.0)</f>
        <v>0</v>
      </c>
      <c r="K444" s="4">
        <f>IFERROR(__xludf.DUMMYFUNCTION("IF(H444="""","""",
SUM(
ARRAYFORMULA(
IF(
REGEXMATCH(
"" ""&amp;H444&amp;"" "",
"" ""&amp;Sentiment_Words!B$2:B3730&amp;"" ""
),
1,
0
)
)
)
)"),0.0)</f>
        <v>0</v>
      </c>
      <c r="L444" s="7" t="str">
        <f t="shared" si="3"/>
        <v>Account &amp; Website</v>
      </c>
      <c r="M444" s="7" t="str">
        <f t="shared" si="4"/>
        <v>Neutral</v>
      </c>
      <c r="N444" s="7" t="str">
        <f>IFERROR(__xludf.DUMMYFUNCTION("LOWER(
TRIM(
REGEXREPLACE(B444,""[^a-zA-Z\s]"","""")
)
)
"),"sandy spencer")</f>
        <v>sandy spencer</v>
      </c>
      <c r="O444" s="7">
        <f t="shared" si="5"/>
        <v>1</v>
      </c>
      <c r="P444" s="8" t="str">
        <f t="shared" si="6"/>
        <v>No</v>
      </c>
    </row>
    <row r="445">
      <c r="A445" s="4" t="s">
        <v>16</v>
      </c>
      <c r="B445" s="4" t="s">
        <v>1285</v>
      </c>
      <c r="C445" s="5">
        <v>45007.0</v>
      </c>
      <c r="D445" s="10">
        <v>45008.0</v>
      </c>
      <c r="E445" s="4" t="s">
        <v>1286</v>
      </c>
      <c r="F445" s="4" t="s">
        <v>1287</v>
      </c>
      <c r="G445" s="6" t="str">
        <f>IFERROR(__xludf.DUMMYFUNCTION("REGEXREPLACE(LOWER(F445),""[^a-z\s]"","""")"),"great prices fast shipping only compliant is several cans were dented but they were still sealed")</f>
        <v>great prices fast shipping only compliant is several cans were dented but they were still sealed</v>
      </c>
      <c r="H445" s="4" t="str">
        <f t="shared" si="1"/>
        <v>great prices fast shipping only compliant several cans were dented but they were still sealed</v>
      </c>
      <c r="I445" s="6">
        <f t="shared" si="2"/>
        <v>15</v>
      </c>
      <c r="J445" s="6">
        <f>IFERROR(__xludf.DUMMYFUNCTION("IF(H445="""","""",
SUM(
ARRAYFORMULA(
IF(
REGEXMATCH(
"" ""&amp;H445&amp;"" "",
"" ""&amp;Sentiment_Words!A$2:A3730&amp;"" ""
),
1,
0
)
)
)
)"),2.0)</f>
        <v>2</v>
      </c>
      <c r="K445" s="4">
        <f>IFERROR(__xludf.DUMMYFUNCTION("IF(H445="""","""",
SUM(
ARRAYFORMULA(
IF(
REGEXMATCH(
"" ""&amp;H445&amp;"" "",
"" ""&amp;Sentiment_Words!B$2:B3730&amp;"" ""
),
1,
0
)
)
)
)"),0.0)</f>
        <v>0</v>
      </c>
      <c r="L445" s="7" t="str">
        <f t="shared" si="3"/>
        <v>Other</v>
      </c>
      <c r="M445" s="7" t="str">
        <f t="shared" si="4"/>
        <v>Positive</v>
      </c>
      <c r="N445" s="7" t="str">
        <f>IFERROR(__xludf.DUMMYFUNCTION("LOWER(
TRIM(
REGEXREPLACE(B445,""[^a-zA-Z\s]"","""")
)
)
"),"robert thrush")</f>
        <v>robert thrush</v>
      </c>
      <c r="O445" s="7">
        <f t="shared" si="5"/>
        <v>1</v>
      </c>
      <c r="P445" s="8" t="str">
        <f t="shared" si="6"/>
        <v>No</v>
      </c>
    </row>
    <row r="446">
      <c r="A446" s="4" t="s">
        <v>16</v>
      </c>
      <c r="B446" s="4" t="s">
        <v>1288</v>
      </c>
      <c r="C446" s="5">
        <v>45007.0</v>
      </c>
      <c r="D446" s="10">
        <v>45007.0</v>
      </c>
      <c r="E446" s="4" t="s">
        <v>1289</v>
      </c>
      <c r="F446" s="4" t="s">
        <v>1290</v>
      </c>
      <c r="G446" s="6" t="str">
        <f>IFERROR(__xludf.DUMMYFUNCTION("REGEXREPLACE(LOWER(F446),""[^a-z\s]"","""")"),"this is a fake account i already called my bank and you a few weeks ago someone is using my email address  an old card that is already marked fraudulent to purchase cat supplies i dont even own a cat i have unsubscribed and continue to get these emails fr"&amp;"om your company when i called the lady i spoke with said she was deleting account and removing my email address so why do i continue to get these emails thanking me for my purchase")</f>
        <v>this is a fake account i already called my bank and you a few weeks ago someone is using my email address  an old card that is already marked fraudulent to purchase cat supplies i dont even own a cat i have unsubscribed and continue to get these emails from your company when i called the lady i spoke with said she was deleting account and removing my email address so why do i continue to get these emails thanking me for my purchase</v>
      </c>
      <c r="H446" s="4" t="str">
        <f t="shared" si="1"/>
        <v>this a fake account i already called my bank you a few weeks ago someone using my email address an old card that already marked fraudulent purchase cat supplies i dont even own a cat i have unsubscribed continue get these emails from your company when i called lady i spoke with said she was deleting account removing my email address so why do i continue get these emails thanking me my purchase</v>
      </c>
      <c r="I446" s="6">
        <f t="shared" si="2"/>
        <v>73</v>
      </c>
      <c r="J446" s="6">
        <f>IFERROR(__xludf.DUMMYFUNCTION("IF(H446="""","""",
SUM(
ARRAYFORMULA(
IF(
REGEXMATCH(
"" ""&amp;H446&amp;"" "",
"" ""&amp;Sentiment_Words!A$2:A3730&amp;"" ""
),
1,
0
)
)
)
)"),0.0)</f>
        <v>0</v>
      </c>
      <c r="K446" s="4">
        <f>IFERROR(__xludf.DUMMYFUNCTION("IF(H446="""","""",
SUM(
ARRAYFORMULA(
IF(
REGEXMATCH(
"" ""&amp;H446&amp;"" "",
"" ""&amp;Sentiment_Words!B$2:B3730&amp;"" ""
),
1,
0
)
)
)
)"),1.0)</f>
        <v>1</v>
      </c>
      <c r="L446" s="7" t="str">
        <f t="shared" si="3"/>
        <v>Account &amp; Website</v>
      </c>
      <c r="M446" s="7" t="str">
        <f t="shared" si="4"/>
        <v>Negative</v>
      </c>
      <c r="N446" s="7" t="str">
        <f>IFERROR(__xludf.DUMMYFUNCTION("LOWER(
TRIM(
REGEXREPLACE(B446,""[^a-zA-Z\s]"","""")
)
)
"),"heather")</f>
        <v>heather</v>
      </c>
      <c r="O446" s="7">
        <f t="shared" si="5"/>
        <v>2</v>
      </c>
      <c r="P446" s="8" t="str">
        <f t="shared" si="6"/>
        <v>Yes</v>
      </c>
    </row>
    <row r="447">
      <c r="A447" s="4" t="s">
        <v>16</v>
      </c>
      <c r="B447" s="4" t="s">
        <v>1291</v>
      </c>
      <c r="C447" s="5">
        <v>45006.0</v>
      </c>
      <c r="D447" s="10">
        <v>45007.0</v>
      </c>
      <c r="E447" s="4" t="s">
        <v>1292</v>
      </c>
      <c r="F447" s="4" t="s">
        <v>1293</v>
      </c>
      <c r="G447" s="6" t="str">
        <f>IFERROR(__xludf.DUMMYFUNCTION("REGEXREPLACE(LOWER(F447),""[^a-z\s]"","""")"),"friendly competent person that took care of my problem quickly")</f>
        <v>friendly competent person that took care of my problem quickly</v>
      </c>
      <c r="H447" s="4" t="str">
        <f t="shared" si="1"/>
        <v>friendly competent person that took care of my problem quickly</v>
      </c>
      <c r="I447" s="6">
        <f t="shared" si="2"/>
        <v>10</v>
      </c>
      <c r="J447" s="6">
        <f>IFERROR(__xludf.DUMMYFUNCTION("IF(H447="""","""",
SUM(
ARRAYFORMULA(
IF(
REGEXMATCH(
"" ""&amp;H447&amp;"" "",
"" ""&amp;Sentiment_Words!A$2:A3730&amp;"" ""
),
1,
0
)
)
)
)"),0.0)</f>
        <v>0</v>
      </c>
      <c r="K447" s="4">
        <f>IFERROR(__xludf.DUMMYFUNCTION("IF(H447="""","""",
SUM(
ARRAYFORMULA(
IF(
REGEXMATCH(
"" ""&amp;H447&amp;"" "",
"" ""&amp;Sentiment_Words!B$2:B3730&amp;"" ""
),
1,
0
)
)
)
)"),1.0)</f>
        <v>1</v>
      </c>
      <c r="L447" s="7" t="str">
        <f t="shared" si="3"/>
        <v>Other</v>
      </c>
      <c r="M447" s="7" t="str">
        <f t="shared" si="4"/>
        <v>Negative</v>
      </c>
      <c r="N447" s="7" t="str">
        <f>IFERROR(__xludf.DUMMYFUNCTION("LOWER(
TRIM(
REGEXREPLACE(B447,""[^a-zA-Z\s]"","""")
)
)
"),"patrick kelley")</f>
        <v>patrick kelley</v>
      </c>
      <c r="O447" s="7">
        <f t="shared" si="5"/>
        <v>1</v>
      </c>
      <c r="P447" s="8" t="str">
        <f t="shared" si="6"/>
        <v>No</v>
      </c>
    </row>
    <row r="448">
      <c r="A448" s="4" t="s">
        <v>16</v>
      </c>
      <c r="B448" s="4" t="s">
        <v>1294</v>
      </c>
      <c r="C448" s="5">
        <v>45002.0</v>
      </c>
      <c r="D448" s="10">
        <v>45007.0</v>
      </c>
      <c r="E448" s="4" t="s">
        <v>1295</v>
      </c>
      <c r="F448" s="4" t="s">
        <v>1296</v>
      </c>
      <c r="G448" s="6" t="str">
        <f>IFERROR(__xludf.DUMMYFUNCTION("REGEXREPLACE(LOWER(F448),""[^a-z\s]"","""")"),"the  star may or may not be fair but its to make a point i have not prior history or account with petflow i randomly started receiving multiple daily emails from petflow regarding multiple orders made including order updates to multiple people in multiple"&amp;" states i sent them to junk and tried to unsubscribe but it continued it did not appear that any of my accounts or credit cards were used i researched and it appeared that petflow is a legitimate company but has several bbb concerns i called petflow initi"&amp;"ally and was on hold for quite a while then gave up emails persisted called again a few days later and spoke to a human who was very nice and deduced that multiple fraudulent accounts had been opened attached to my email she reported to cancel them its on"&amp;"ly been a few days and there are some persistent emails but less so i think its too early to tell whether the problem is resolved hopefully it is if so then it would appear petflow is not at fault and handled the issue appropriately")</f>
        <v>the  star may or may not be fair but its to make a point i have not prior history or account with petflow i randomly started receiving multiple daily emails from petflow regarding multiple orders made including order updates to multiple people in multiple states i sent them to junk and tried to unsubscribe but it continued it did not appear that any of my accounts or credit cards were used i researched and it appeared that petflow is a legitimate company but has several bbb concerns i called petflow initially and was on hold for quite a while then gave up emails persisted called again a few days later and spoke to a human who was very nice and deduced that multiple fraudulent accounts had been opened attached to my email she reported to cancel them its only been a few days and there are some persistent emails but less so i think its too early to tell whether the problem is resolved hopefully it is if so then it would appear petflow is not at fault and handled the issue appropriately</v>
      </c>
      <c r="H448" s="4" t="str">
        <f t="shared" si="1"/>
        <v>star may or may not be fair but its make a point i have not prior history or account with petflow i randomly started receiving multiple daily emails from petflow regarding multiple orders made including order updates multiple people in multiple states i sent them junk tried unsubscribe but it continued it did not appear that any of my accounts or credit cards were used i researched it appeared that petflow a legitimate company but has several bbb concerns i called petflow initially was on hold quite a while then gave up emails persisted called again a few days later spoke a human who was very nice deduced that multiple fraudulent accounts had been opened attached my email she reported cancel them its only been a few days there are some persistent emails but less so i think its too early tell whether problem resolved hopefully it if so then it would appear petflow not at fault handled issue appropriately</v>
      </c>
      <c r="I448" s="6">
        <f t="shared" si="2"/>
        <v>160</v>
      </c>
      <c r="J448" s="6">
        <f>IFERROR(__xludf.DUMMYFUNCTION("IF(H448="""","""",
SUM(
ARRAYFORMULA(
IF(
REGEXMATCH(
"" ""&amp;H448&amp;"" "",
"" ""&amp;Sentiment_Words!A$2:A3730&amp;"" ""
),
1,
0
)
)
)
)"),1.0)</f>
        <v>1</v>
      </c>
      <c r="K448" s="4">
        <f>IFERROR(__xludf.DUMMYFUNCTION("IF(H448="""","""",
SUM(
ARRAYFORMULA(
IF(
REGEXMATCH(
"" ""&amp;H448&amp;"" "",
"" ""&amp;Sentiment_Words!B$2:B3730&amp;"" ""
),
1,
0
)
)
)
)"),2.0)</f>
        <v>2</v>
      </c>
      <c r="L448" s="7" t="str">
        <f t="shared" si="3"/>
        <v>Fulfillment &amp; Shipping</v>
      </c>
      <c r="M448" s="7" t="str">
        <f t="shared" si="4"/>
        <v>Negative</v>
      </c>
      <c r="N448" s="7" t="str">
        <f>IFERROR(__xludf.DUMMYFUNCTION("LOWER(
TRIM(
REGEXREPLACE(B448,""[^a-zA-Z\s]"","""")
)
)
"),"brent new")</f>
        <v>brent new</v>
      </c>
      <c r="O448" s="7">
        <f t="shared" si="5"/>
        <v>1</v>
      </c>
      <c r="P448" s="8" t="str">
        <f t="shared" si="6"/>
        <v>No</v>
      </c>
    </row>
    <row r="449">
      <c r="A449" s="4" t="s">
        <v>16</v>
      </c>
      <c r="B449" s="4" t="s">
        <v>1297</v>
      </c>
      <c r="C449" s="5">
        <v>45000.0</v>
      </c>
      <c r="D449" s="10">
        <v>45007.0</v>
      </c>
      <c r="E449" s="4" t="s">
        <v>1298</v>
      </c>
      <c r="F449" s="4" t="s">
        <v>1299</v>
      </c>
      <c r="G449" s="6" t="str">
        <f>IFERROR(__xludf.DUMMYFUNCTION("REGEXREPLACE(LOWER(F449),""[^a-z\s]"","""")"),"i ordered cat food and when it didnt come and i was just running out i called they didnt even bother to tell me that it had been cancelled because they couldnt verify that the order was from a real person")</f>
        <v>i ordered cat food and when it didnt come and i was just running out i called they didnt even bother to tell me that it had been cancelled because they couldnt verify that the order was from a real person</v>
      </c>
      <c r="H449" s="4" t="str">
        <f t="shared" si="1"/>
        <v>i ordered cat food when it didnt come i was just running out i called they didnt even bother tell me that it had been cancelled because they couldnt verify that order was from a real person</v>
      </c>
      <c r="I449" s="6">
        <f t="shared" si="2"/>
        <v>37</v>
      </c>
      <c r="J449" s="6">
        <f>IFERROR(__xludf.DUMMYFUNCTION("IF(H449="""","""",
SUM(
ARRAYFORMULA(
IF(
REGEXMATCH(
"" ""&amp;H449&amp;"" "",
"" ""&amp;Sentiment_Words!A$2:A3730&amp;"" ""
),
1,
0
)
)
)
)"),0.0)</f>
        <v>0</v>
      </c>
      <c r="K449" s="4">
        <f>IFERROR(__xludf.DUMMYFUNCTION("IF(H449="""","""",
SUM(
ARRAYFORMULA(
IF(
REGEXMATCH(
"" ""&amp;H449&amp;"" "",
"" ""&amp;Sentiment_Words!B$2:B3730&amp;"" ""
),
1,
0
)
)
)
)"),1.0)</f>
        <v>1</v>
      </c>
      <c r="L449" s="7" t="str">
        <f t="shared" si="3"/>
        <v>Other</v>
      </c>
      <c r="M449" s="7" t="str">
        <f t="shared" si="4"/>
        <v>Negative</v>
      </c>
      <c r="N449" s="7" t="str">
        <f>IFERROR(__xludf.DUMMYFUNCTION("LOWER(
TRIM(
REGEXREPLACE(B449,""[^a-zA-Z\s]"","""")
)
)
"),"cat mom")</f>
        <v>cat mom</v>
      </c>
      <c r="O449" s="7">
        <f t="shared" si="5"/>
        <v>1</v>
      </c>
      <c r="P449" s="8" t="str">
        <f t="shared" si="6"/>
        <v>No</v>
      </c>
    </row>
    <row r="450">
      <c r="A450" s="4" t="s">
        <v>16</v>
      </c>
      <c r="B450" s="4" t="s">
        <v>1300</v>
      </c>
      <c r="C450" s="5">
        <v>45000.0</v>
      </c>
      <c r="D450" s="10">
        <v>45007.0</v>
      </c>
      <c r="E450" s="4" t="s">
        <v>1301</v>
      </c>
      <c r="F450" s="4" t="s">
        <v>1302</v>
      </c>
      <c r="G450" s="6" t="str">
        <f>IFERROR(__xludf.DUMMYFUNCTION("REGEXREPLACE(LOWER(F450),""[^a-z\s]"","""")"),"the round cat scratcher fitted perfectly inside a round woven basket that my cats love i had to remove the cardboard supports which was easy to do
many thanks")</f>
        <v>the round cat scratcher fitted perfectly inside a round woven basket that my cats love i had to remove the cardboard supports which was easy to do
many thanks</v>
      </c>
      <c r="H450" s="4" t="str">
        <f t="shared" si="1"/>
        <v>round cat scratcher fitted perfectly inside a round woven basket that my cats love i had remove cardboard supports which was easy do
many thanks</v>
      </c>
      <c r="I450" s="6">
        <f t="shared" si="2"/>
        <v>24</v>
      </c>
      <c r="J450" s="6">
        <f>IFERROR(__xludf.DUMMYFUNCTION("IF(H450="""","""",
SUM(
ARRAYFORMULA(
IF(
REGEXMATCH(
"" ""&amp;H450&amp;"" "",
"" ""&amp;Sentiment_Words!A$2:A3730&amp;"" ""
),
1,
0
)
)
)
)"),2.0)</f>
        <v>2</v>
      </c>
      <c r="K450" s="4">
        <f>IFERROR(__xludf.DUMMYFUNCTION("IF(H450="""","""",
SUM(
ARRAYFORMULA(
IF(
REGEXMATCH(
"" ""&amp;H450&amp;"" "",
"" ""&amp;Sentiment_Words!B$2:B3730&amp;"" ""
),
1,
0
)
)
)
)"),0.0)</f>
        <v>0</v>
      </c>
      <c r="L450" s="7" t="str">
        <f t="shared" si="3"/>
        <v>Customer Support</v>
      </c>
      <c r="M450" s="7" t="str">
        <f t="shared" si="4"/>
        <v>Positive</v>
      </c>
      <c r="N450" s="7" t="str">
        <f>IFERROR(__xludf.DUMMYFUNCTION("LOWER(
TRIM(
REGEXREPLACE(B450,""[^a-zA-Z\s]"","""")
)
)
"),"sho en kan nei")</f>
        <v>sho en kan nei</v>
      </c>
      <c r="O450" s="7">
        <f t="shared" si="5"/>
        <v>1</v>
      </c>
      <c r="P450" s="8" t="str">
        <f t="shared" si="6"/>
        <v>No</v>
      </c>
    </row>
    <row r="451">
      <c r="A451" s="4" t="s">
        <v>16</v>
      </c>
      <c r="B451" s="4" t="s">
        <v>1303</v>
      </c>
      <c r="C451" s="5">
        <v>44995.0</v>
      </c>
      <c r="D451" s="10">
        <v>45007.0</v>
      </c>
      <c r="E451" s="4" t="s">
        <v>1304</v>
      </c>
      <c r="F451" s="4" t="s">
        <v>1305</v>
      </c>
      <c r="G451" s="6" t="str">
        <f>IFERROR(__xludf.DUMMYFUNCTION("REGEXREPLACE(LOWER(F451),""[^a-z\s]"","""")"),"not sure why but i had a monthly subscription set up with my name old address and some credit card i dont own not sure what caused it the website wouldnt let me cancel anything so i had to call in to talk with someone and get them to cancel it the person "&amp;"was really helpful but it was still a pain in the ass an worrying")</f>
        <v>not sure why but i had a monthly subscription set up with my name old address and some credit card i dont own not sure what caused it the website wouldnt let me cancel anything so i had to call in to talk with someone and get them to cancel it the person was really helpful but it was still a pain in the ass an worrying</v>
      </c>
      <c r="H451" s="4" t="str">
        <f t="shared" si="1"/>
        <v>not sure why but i had a monthly subscription set up with my name old address some credit card i dont own not sure what caused it website wouldnt let me cancel anything so i had call in talk with someone get them cancel it person was really helpful but it was still a pain in ass an worrying</v>
      </c>
      <c r="I451" s="6">
        <f t="shared" si="2"/>
        <v>59</v>
      </c>
      <c r="J451" s="6">
        <f>IFERROR(__xludf.DUMMYFUNCTION("IF(H451="""","""",
SUM(
ARRAYFORMULA(
IF(
REGEXMATCH(
"" ""&amp;H451&amp;"" "",
"" ""&amp;Sentiment_Words!A$2:A3730&amp;"" ""
),
1,
0
)
)
)
)"),1.0)</f>
        <v>1</v>
      </c>
      <c r="K451" s="4">
        <f>IFERROR(__xludf.DUMMYFUNCTION("IF(H451="""","""",
SUM(
ARRAYFORMULA(
IF(
REGEXMATCH(
"" ""&amp;H451&amp;"" "",
"" ""&amp;Sentiment_Words!B$2:B3730&amp;"" ""
),
1,
0
)
)
)
)"),0.0)</f>
        <v>0</v>
      </c>
      <c r="L451" s="7" t="str">
        <f t="shared" si="3"/>
        <v>Account &amp; Website</v>
      </c>
      <c r="M451" s="7" t="str">
        <f t="shared" si="4"/>
        <v>Positive</v>
      </c>
      <c r="N451" s="7" t="str">
        <f>IFERROR(__xludf.DUMMYFUNCTION("LOWER(
TRIM(
REGEXREPLACE(B451,""[^a-zA-Z\s]"","""")
)
)
"),"daniel merrill")</f>
        <v>daniel merrill</v>
      </c>
      <c r="O451" s="7">
        <f t="shared" si="5"/>
        <v>1</v>
      </c>
      <c r="P451" s="8" t="str">
        <f t="shared" si="6"/>
        <v>No</v>
      </c>
    </row>
    <row r="452">
      <c r="A452" s="4" t="s">
        <v>16</v>
      </c>
      <c r="B452" s="4" t="s">
        <v>1306</v>
      </c>
      <c r="C452" s="5">
        <v>44999.0</v>
      </c>
      <c r="D452" s="10">
        <v>45007.0</v>
      </c>
      <c r="E452" s="4" t="s">
        <v>1307</v>
      </c>
      <c r="F452" s="4" t="s">
        <v>1308</v>
      </c>
      <c r="G452" s="6" t="str">
        <f>IFERROR(__xludf.DUMMYFUNCTION("REGEXREPLACE(LOWER(F452),""[^a-z\s]"","""")"),"easy online ordering and product came as promised with no issues")</f>
        <v>easy online ordering and product came as promised with no issues</v>
      </c>
      <c r="H452" s="4" t="str">
        <f t="shared" si="1"/>
        <v>easy online ordering product came as promised with no issues</v>
      </c>
      <c r="I452" s="6">
        <f t="shared" si="2"/>
        <v>10</v>
      </c>
      <c r="J452" s="6">
        <f>IFERROR(__xludf.DUMMYFUNCTION("IF(H452="""","""",
SUM(
ARRAYFORMULA(
IF(
REGEXMATCH(
"" ""&amp;H452&amp;"" "",
"" ""&amp;Sentiment_Words!A$2:A3730&amp;"" ""
),
1,
0
)
)
)
)"),2.0)</f>
        <v>2</v>
      </c>
      <c r="K452" s="4">
        <f>IFERROR(__xludf.DUMMYFUNCTION("IF(H452="""","""",
SUM(
ARRAYFORMULA(
IF(
REGEXMATCH(
"" ""&amp;H452&amp;"" "",
"" ""&amp;Sentiment_Words!B$2:B3730&amp;"" ""
),
1,
0
)
)
)
)"),0.0)</f>
        <v>0</v>
      </c>
      <c r="L452" s="7" t="str">
        <f t="shared" si="3"/>
        <v>Other</v>
      </c>
      <c r="M452" s="7" t="str">
        <f t="shared" si="4"/>
        <v>Positive</v>
      </c>
      <c r="N452" s="7" t="str">
        <f>IFERROR(__xludf.DUMMYFUNCTION("LOWER(
TRIM(
REGEXREPLACE(B452,""[^a-zA-Z\s]"","""")
)
)
"),"nina")</f>
        <v>nina</v>
      </c>
      <c r="O452" s="7">
        <f t="shared" si="5"/>
        <v>1</v>
      </c>
      <c r="P452" s="8" t="str">
        <f t="shared" si="6"/>
        <v>No</v>
      </c>
    </row>
    <row r="453">
      <c r="A453" s="4" t="s">
        <v>16</v>
      </c>
      <c r="B453" s="4" t="s">
        <v>1309</v>
      </c>
      <c r="C453" s="5">
        <v>44998.0</v>
      </c>
      <c r="D453" s="10">
        <v>45007.0</v>
      </c>
      <c r="E453" s="4" t="s">
        <v>1310</v>
      </c>
      <c r="F453" s="4" t="s">
        <v>1311</v>
      </c>
      <c r="G453" s="6" t="str">
        <f>IFERROR(__xludf.DUMMYFUNCTION("REGEXREPLACE(LOWER(F453),""[^a-z\s]"","""")"),"pricing ease of using your website")</f>
        <v>pricing ease of using your website</v>
      </c>
      <c r="H453" s="4" t="str">
        <f t="shared" si="1"/>
        <v>pricing ease of using your website</v>
      </c>
      <c r="I453" s="6">
        <f t="shared" si="2"/>
        <v>6</v>
      </c>
      <c r="J453" s="6">
        <f>IFERROR(__xludf.DUMMYFUNCTION("IF(H453="""","""",
SUM(
ARRAYFORMULA(
IF(
REGEXMATCH(
"" ""&amp;H453&amp;"" "",
"" ""&amp;Sentiment_Words!A$2:A3730&amp;"" ""
),
1,
0
)
)
)
)"),0.0)</f>
        <v>0</v>
      </c>
      <c r="K453" s="4">
        <f>IFERROR(__xludf.DUMMYFUNCTION("IF(H453="""","""",
SUM(
ARRAYFORMULA(
IF(
REGEXMATCH(
"" ""&amp;H453&amp;"" "",
"" ""&amp;Sentiment_Words!B$2:B3730&amp;"" ""
),
1,
0
)
)
)
)"),0.0)</f>
        <v>0</v>
      </c>
      <c r="L453" s="7" t="str">
        <f t="shared" si="3"/>
        <v>Account &amp; Website</v>
      </c>
      <c r="M453" s="7" t="str">
        <f t="shared" si="4"/>
        <v>Neutral</v>
      </c>
      <c r="N453" s="7" t="str">
        <f>IFERROR(__xludf.DUMMYFUNCTION("LOWER(
TRIM(
REGEXREPLACE(B453,""[^a-zA-Z\s]"","""")
)
)
"),"carol lloyd")</f>
        <v>carol lloyd</v>
      </c>
      <c r="O453" s="7">
        <f t="shared" si="5"/>
        <v>1</v>
      </c>
      <c r="P453" s="8" t="str">
        <f t="shared" si="6"/>
        <v>No</v>
      </c>
    </row>
    <row r="454">
      <c r="A454" s="4" t="s">
        <v>16</v>
      </c>
      <c r="B454" s="4" t="s">
        <v>1312</v>
      </c>
      <c r="C454" s="5">
        <v>44998.0</v>
      </c>
      <c r="D454" s="10">
        <v>45006.0</v>
      </c>
      <c r="E454" s="4" t="s">
        <v>1313</v>
      </c>
      <c r="F454" s="4" t="s">
        <v>1314</v>
      </c>
      <c r="G454" s="6" t="str">
        <f>IFERROR(__xludf.DUMMYFUNCTION("REGEXREPLACE(LOWER(F454),""[^a-z\s]"","""")"),"we received a shipment from petflow and never made an order when we contacted petflow customer service rescinded the order and sent a notice to fedex to pick up the package we were supposed to leave the package outdoors after  days we contacted customer s"&amp;"ervice again to pick up the package fedex picked it up and then we got a notice that petflow was sorry that our package was late and fedex redelivered the same package luckily we caught fedex before he left and returned the package")</f>
        <v>we received a shipment from petflow and never made an order when we contacted petflow customer service rescinded the order and sent a notice to fedex to pick up the package we were supposed to leave the package outdoors after  days we contacted customer service again to pick up the package fedex picked it up and then we got a notice that petflow was sorry that our package was late and fedex redelivered the same package luckily we caught fedex before he left and returned the package</v>
      </c>
      <c r="H454" s="4" t="str">
        <f t="shared" si="1"/>
        <v>we received a shipment from petflow never made an order when we contacted petflow customer service rescinded order sent a notice fedex pick up package we were supposed leave package outdoors after days we contacted customer service again pick up package fedex picked it up then we got a notice that petflow was sorry that our package was late fedex redelivered same package luckily we caught fedex before he left returned package</v>
      </c>
      <c r="I454" s="6">
        <f t="shared" si="2"/>
        <v>72</v>
      </c>
      <c r="J454" s="6">
        <f>IFERROR(__xludf.DUMMYFUNCTION("IF(H454="""","""",
SUM(
ARRAYFORMULA(
IF(
REGEXMATCH(
"" ""&amp;H454&amp;"" "",
"" ""&amp;Sentiment_Words!A$2:A3730&amp;"" ""
),
1,
0
)
)
)
)"),0.0)</f>
        <v>0</v>
      </c>
      <c r="K454" s="4">
        <f>IFERROR(__xludf.DUMMYFUNCTION("IF(H454="""","""",
SUM(
ARRAYFORMULA(
IF(
REGEXMATCH(
"" ""&amp;H454&amp;"" "",
"" ""&amp;Sentiment_Words!B$2:B3730&amp;"" ""
),
1,
0
)
)
)
)"),2.0)</f>
        <v>2</v>
      </c>
      <c r="L454" s="7" t="str">
        <f t="shared" si="3"/>
        <v>Customer Support</v>
      </c>
      <c r="M454" s="7" t="str">
        <f t="shared" si="4"/>
        <v>Negative</v>
      </c>
      <c r="N454" s="7" t="str">
        <f>IFERROR(__xludf.DUMMYFUNCTION("LOWER(
TRIM(
REGEXREPLACE(B454,""[^a-zA-Z\s]"","""")
)
)
"),"david groves")</f>
        <v>david groves</v>
      </c>
      <c r="O454" s="7">
        <f t="shared" si="5"/>
        <v>1</v>
      </c>
      <c r="P454" s="8" t="str">
        <f t="shared" si="6"/>
        <v>No</v>
      </c>
    </row>
    <row r="455">
      <c r="A455" s="4" t="s">
        <v>16</v>
      </c>
      <c r="B455" s="4" t="s">
        <v>1315</v>
      </c>
      <c r="C455" s="5">
        <v>45005.0</v>
      </c>
      <c r="D455" s="10">
        <v>45006.0</v>
      </c>
      <c r="E455" s="4" t="s">
        <v>1316</v>
      </c>
      <c r="F455" s="4" t="s">
        <v>1317</v>
      </c>
      <c r="G455" s="6" t="str">
        <f>IFERROR(__xludf.DUMMYFUNCTION("REGEXREPLACE(LOWER(F455),""[^a-z\s]"","""")"),"i keep getting emails about orders i did not submit showing a shipping address in mexico ny i am reluctant to click on any link in their email message and will not call the number listed as this appears to be a scam")</f>
        <v>i keep getting emails about orders i did not submit showing a shipping address in mexico ny i am reluctant to click on any link in their email message and will not call the number listed as this appears to be a scam</v>
      </c>
      <c r="H455" s="4" t="str">
        <f t="shared" si="1"/>
        <v>i keep getting emails about orders i did not submit showing a shipping address in mexico ny i am reluctant click on any link in their email message will not call number listed as this appears be a scam</v>
      </c>
      <c r="I455" s="6">
        <f t="shared" si="2"/>
        <v>39</v>
      </c>
      <c r="J455" s="6">
        <f>IFERROR(__xludf.DUMMYFUNCTION("IF(H455="""","""",
SUM(
ARRAYFORMULA(
IF(
REGEXMATCH(
"" ""&amp;H455&amp;"" "",
"" ""&amp;Sentiment_Words!A$2:A3730&amp;"" ""
),
1,
0
)
)
)
)"),0.0)</f>
        <v>0</v>
      </c>
      <c r="K455" s="4">
        <f>IFERROR(__xludf.DUMMYFUNCTION("IF(H455="""","""",
SUM(
ARRAYFORMULA(
IF(
REGEXMATCH(
"" ""&amp;H455&amp;"" "",
"" ""&amp;Sentiment_Words!B$2:B3730&amp;"" ""
),
1,
0
)
)
)
)"),0.0)</f>
        <v>0</v>
      </c>
      <c r="L455" s="7" t="str">
        <f t="shared" si="3"/>
        <v>Other</v>
      </c>
      <c r="M455" s="7" t="str">
        <f t="shared" si="4"/>
        <v>Neutral</v>
      </c>
      <c r="N455" s="7" t="str">
        <f>IFERROR(__xludf.DUMMYFUNCTION("LOWER(
TRIM(
REGEXREPLACE(B455,""[^a-zA-Z\s]"","""")
)
)
"),"bob johnson")</f>
        <v>bob johnson</v>
      </c>
      <c r="O455" s="7">
        <f t="shared" si="5"/>
        <v>1</v>
      </c>
      <c r="P455" s="8" t="str">
        <f t="shared" si="6"/>
        <v>No</v>
      </c>
    </row>
    <row r="456">
      <c r="A456" s="4" t="s">
        <v>16</v>
      </c>
      <c r="B456" s="4" t="s">
        <v>1318</v>
      </c>
      <c r="C456" s="5">
        <v>45006.0</v>
      </c>
      <c r="D456" s="10">
        <v>45006.0</v>
      </c>
      <c r="E456" s="4" t="s">
        <v>1319</v>
      </c>
      <c r="F456" s="4" t="s">
        <v>1320</v>
      </c>
      <c r="G456" s="6" t="str">
        <f>IFERROR(__xludf.DUMMYFUNCTION("REGEXREPLACE(LOWER(F456),""[^a-z\s]"","""")"),"excellent service super fast delivery")</f>
        <v>excellent service super fast delivery</v>
      </c>
      <c r="H456" s="4" t="str">
        <f t="shared" si="1"/>
        <v>excellent service super fast delivery</v>
      </c>
      <c r="I456" s="6">
        <f t="shared" si="2"/>
        <v>5</v>
      </c>
      <c r="J456" s="6">
        <f>IFERROR(__xludf.DUMMYFUNCTION("IF(H456="""","""",
SUM(
ARRAYFORMULA(
IF(
REGEXMATCH(
"" ""&amp;H456&amp;"" "",
"" ""&amp;Sentiment_Words!A$2:A3730&amp;"" ""
),
1,
0
)
)
)
)"),2.0)</f>
        <v>2</v>
      </c>
      <c r="K456" s="4">
        <f>IFERROR(__xludf.DUMMYFUNCTION("IF(H456="""","""",
SUM(
ARRAYFORMULA(
IF(
REGEXMATCH(
"" ""&amp;H456&amp;"" "",
"" ""&amp;Sentiment_Words!B$2:B3730&amp;"" ""
),
1,
0
)
)
)
)"),0.0)</f>
        <v>0</v>
      </c>
      <c r="L456" s="7" t="str">
        <f t="shared" si="3"/>
        <v>Customer Support</v>
      </c>
      <c r="M456" s="7" t="str">
        <f t="shared" si="4"/>
        <v>Positive</v>
      </c>
      <c r="N456" s="7" t="str">
        <f>IFERROR(__xludf.DUMMYFUNCTION("LOWER(
TRIM(
REGEXREPLACE(B456,""[^a-zA-Z\s]"","""")
)
)
"),"peter nguyen")</f>
        <v>peter nguyen</v>
      </c>
      <c r="O456" s="7">
        <f t="shared" si="5"/>
        <v>1</v>
      </c>
      <c r="P456" s="8" t="str">
        <f t="shared" si="6"/>
        <v>No</v>
      </c>
    </row>
    <row r="457">
      <c r="A457" s="4" t="s">
        <v>16</v>
      </c>
      <c r="B457" s="4" t="s">
        <v>1321</v>
      </c>
      <c r="C457" s="5">
        <v>45005.0</v>
      </c>
      <c r="D457" s="10">
        <v>45006.0</v>
      </c>
      <c r="E457" s="4" t="s">
        <v>1322</v>
      </c>
      <c r="F457" s="4" t="s">
        <v>1323</v>
      </c>
      <c r="G457" s="6" t="str">
        <f>IFERROR(__xludf.DUMMYFUNCTION("REGEXREPLACE(LOWER(F457),""[^a-z\s]"","""")"),"the first time i used the automatic dog bowl it leaks around fitting")</f>
        <v>the first time i used the automatic dog bowl it leaks around fitting</v>
      </c>
      <c r="H457" s="4" t="str">
        <f t="shared" si="1"/>
        <v>first time i used automatic dog bowl it leaks around fitting</v>
      </c>
      <c r="I457" s="6">
        <f t="shared" si="2"/>
        <v>11</v>
      </c>
      <c r="J457" s="6">
        <f>IFERROR(__xludf.DUMMYFUNCTION("IF(H457="""","""",
SUM(
ARRAYFORMULA(
IF(
REGEXMATCH(
"" ""&amp;H457&amp;"" "",
"" ""&amp;Sentiment_Words!A$2:A3730&amp;"" ""
),
1,
0
)
)
)
)"),0.0)</f>
        <v>0</v>
      </c>
      <c r="K457" s="4">
        <f>IFERROR(__xludf.DUMMYFUNCTION("IF(H457="""","""",
SUM(
ARRAYFORMULA(
IF(
REGEXMATCH(
"" ""&amp;H457&amp;"" "",
"" ""&amp;Sentiment_Words!B$2:B3730&amp;"" ""
),
1,
0
)
)
)
)"),0.0)</f>
        <v>0</v>
      </c>
      <c r="L457" s="7" t="str">
        <f t="shared" si="3"/>
        <v>Other</v>
      </c>
      <c r="M457" s="7" t="str">
        <f t="shared" si="4"/>
        <v>Neutral</v>
      </c>
      <c r="N457" s="7" t="str">
        <f>IFERROR(__xludf.DUMMYFUNCTION("LOWER(
TRIM(
REGEXREPLACE(B457,""[^a-zA-Z\s]"","""")
)
)
"),"alyssa hara")</f>
        <v>alyssa hara</v>
      </c>
      <c r="O457" s="7">
        <f t="shared" si="5"/>
        <v>1</v>
      </c>
      <c r="P457" s="8" t="str">
        <f t="shared" si="6"/>
        <v>No</v>
      </c>
    </row>
    <row r="458">
      <c r="A458" s="4" t="s">
        <v>16</v>
      </c>
      <c r="B458" s="4" t="s">
        <v>1324</v>
      </c>
      <c r="C458" s="5">
        <v>45002.0</v>
      </c>
      <c r="D458" s="10">
        <v>45006.0</v>
      </c>
      <c r="E458" s="4" t="s">
        <v>1325</v>
      </c>
      <c r="F458" s="4" t="s">
        <v>1326</v>
      </c>
      <c r="G458" s="6" t="str">
        <f>IFERROR(__xludf.DUMMYFUNCTION("REGEXREPLACE(LOWER(F458),""[^a-z\s]"","""")"),"my purchased was flagged and canceledi have called twice and no one can tell me whyi am pissed")</f>
        <v>my purchased was flagged and canceledi have called twice and no one can tell me whyi am pissed</v>
      </c>
      <c r="H458" s="4" t="str">
        <f t="shared" si="1"/>
        <v>my purchased was flagged canceledi have called twice no one can tell me whyi am pissed</v>
      </c>
      <c r="I458" s="6">
        <f t="shared" si="2"/>
        <v>16</v>
      </c>
      <c r="J458" s="6">
        <f>IFERROR(__xludf.DUMMYFUNCTION("IF(H458="""","""",
SUM(
ARRAYFORMULA(
IF(
REGEXMATCH(
"" ""&amp;H458&amp;"" "",
"" ""&amp;Sentiment_Words!A$2:A3730&amp;"" ""
),
1,
0
)
)
)
)"),0.0)</f>
        <v>0</v>
      </c>
      <c r="K458" s="4">
        <f>IFERROR(__xludf.DUMMYFUNCTION("IF(H458="""","""",
SUM(
ARRAYFORMULA(
IF(
REGEXMATCH(
"" ""&amp;H458&amp;"" "",
"" ""&amp;Sentiment_Words!B$2:B3730&amp;"" ""
),
1,
0
)
)
)
)"),0.0)</f>
        <v>0</v>
      </c>
      <c r="L458" s="7" t="str">
        <f t="shared" si="3"/>
        <v>Other</v>
      </c>
      <c r="M458" s="7" t="str">
        <f t="shared" si="4"/>
        <v>Neutral</v>
      </c>
      <c r="N458" s="7" t="str">
        <f>IFERROR(__xludf.DUMMYFUNCTION("LOWER(
TRIM(
REGEXREPLACE(B458,""[^a-zA-Z\s]"","""")
)
)
"),"brandon phillips")</f>
        <v>brandon phillips</v>
      </c>
      <c r="O458" s="7">
        <f t="shared" si="5"/>
        <v>1</v>
      </c>
      <c r="P458" s="8" t="str">
        <f t="shared" si="6"/>
        <v>No</v>
      </c>
    </row>
    <row r="459">
      <c r="A459" s="4" t="s">
        <v>16</v>
      </c>
      <c r="B459" s="4" t="s">
        <v>1327</v>
      </c>
      <c r="C459" s="5">
        <v>45005.0</v>
      </c>
      <c r="D459" s="10">
        <v>45006.0</v>
      </c>
      <c r="E459" s="4" t="s">
        <v>1328</v>
      </c>
      <c r="F459" s="4" t="s">
        <v>1329</v>
      </c>
      <c r="G459" s="6" t="str">
        <f>IFERROR(__xludf.DUMMYFUNCTION("REGEXREPLACE(LOWER(F459),""[^a-z\s]"","""")"),"ordered  times from petflow great customer service every time they answer calls respond to emails and honestly do everything you would want from a company not to mention affordable prices")</f>
        <v>ordered  times from petflow great customer service every time they answer calls respond to emails and honestly do everything you would want from a company not to mention affordable prices</v>
      </c>
      <c r="H459" s="4" t="str">
        <f t="shared" si="1"/>
        <v>ordered times from petflow great customer service every time they answer calls respond emails honestly do everything you would want from a company not mention affordable prices</v>
      </c>
      <c r="I459" s="6">
        <f t="shared" si="2"/>
        <v>27</v>
      </c>
      <c r="J459" s="6">
        <f>IFERROR(__xludf.DUMMYFUNCTION("IF(H459="""","""",
SUM(
ARRAYFORMULA(
IF(
REGEXMATCH(
"" ""&amp;H459&amp;"" "",
"" ""&amp;Sentiment_Words!A$2:A3730&amp;"" ""
),
1,
0
)
)
)
)"),3.0)</f>
        <v>3</v>
      </c>
      <c r="K459" s="4">
        <f>IFERROR(__xludf.DUMMYFUNCTION("IF(H459="""","""",
SUM(
ARRAYFORMULA(
IF(
REGEXMATCH(
"" ""&amp;H459&amp;"" "",
"" ""&amp;Sentiment_Words!B$2:B3730&amp;"" ""
),
1,
0
)
)
)
)"),1.0)</f>
        <v>1</v>
      </c>
      <c r="L459" s="7" t="str">
        <f t="shared" si="3"/>
        <v>Customer Support</v>
      </c>
      <c r="M459" s="7" t="str">
        <f t="shared" si="4"/>
        <v>Positive</v>
      </c>
      <c r="N459" s="7" t="str">
        <f>IFERROR(__xludf.DUMMYFUNCTION("LOWER(
TRIM(
REGEXREPLACE(B459,""[^a-zA-Z\s]"","""")
)
)
"),"anne jennings")</f>
        <v>anne jennings</v>
      </c>
      <c r="O459" s="7">
        <f t="shared" si="5"/>
        <v>1</v>
      </c>
      <c r="P459" s="8" t="str">
        <f t="shared" si="6"/>
        <v>No</v>
      </c>
    </row>
    <row r="460">
      <c r="A460" s="4" t="s">
        <v>16</v>
      </c>
      <c r="B460" s="4" t="s">
        <v>1330</v>
      </c>
      <c r="C460" s="9">
        <v>44991.0</v>
      </c>
      <c r="D460" s="10">
        <v>45005.0</v>
      </c>
      <c r="E460" s="4" t="s">
        <v>1331</v>
      </c>
      <c r="F460" s="4" t="s">
        <v>1332</v>
      </c>
      <c r="G460" s="6" t="str">
        <f>IFERROR(__xludf.DUMMYFUNCTION("REGEXREPLACE(LOWER(F460),""[^a-z\s]"","""")"),"  lb bags of dog food in one box is too heavy i cant move it")</f>
        <v>  lb bags of dog food in one box is too heavy i cant move it</v>
      </c>
      <c r="H460" s="4" t="str">
        <f t="shared" si="1"/>
        <v>lb bags of dog food in one box too heavy i cant move it</v>
      </c>
      <c r="I460" s="6">
        <f t="shared" si="2"/>
        <v>14</v>
      </c>
      <c r="J460" s="6">
        <f>IFERROR(__xludf.DUMMYFUNCTION("IF(H460="""","""",
SUM(
ARRAYFORMULA(
IF(
REGEXMATCH(
"" ""&amp;H460&amp;"" "",
"" ""&amp;Sentiment_Words!A$2:A3730&amp;"" ""
),
1,
0
)
)
)
)"),0.0)</f>
        <v>0</v>
      </c>
      <c r="K460" s="4">
        <f>IFERROR(__xludf.DUMMYFUNCTION("IF(H460="""","""",
SUM(
ARRAYFORMULA(
IF(
REGEXMATCH(
"" ""&amp;H460&amp;"" "",
"" ""&amp;Sentiment_Words!B$2:B3730&amp;"" ""
),
1,
0
)
)
)
)"),0.0)</f>
        <v>0</v>
      </c>
      <c r="L460" s="7" t="str">
        <f t="shared" si="3"/>
        <v>Other</v>
      </c>
      <c r="M460" s="7" t="str">
        <f t="shared" si="4"/>
        <v>Neutral</v>
      </c>
      <c r="N460" s="7" t="str">
        <f>IFERROR(__xludf.DUMMYFUNCTION("LOWER(
TRIM(
REGEXREPLACE(B460,""[^a-zA-Z\s]"","""")
)
)
"),"kyle")</f>
        <v>kyle</v>
      </c>
      <c r="O460" s="7">
        <f t="shared" si="5"/>
        <v>1</v>
      </c>
      <c r="P460" s="8" t="str">
        <f t="shared" si="6"/>
        <v>No</v>
      </c>
    </row>
    <row r="461">
      <c r="A461" s="4" t="s">
        <v>16</v>
      </c>
      <c r="B461" s="4" t="s">
        <v>1333</v>
      </c>
      <c r="C461" s="5">
        <v>45001.0</v>
      </c>
      <c r="D461" s="10">
        <v>45005.0</v>
      </c>
      <c r="E461" s="4" t="s">
        <v>1334</v>
      </c>
      <c r="F461" s="4" t="s">
        <v>331</v>
      </c>
      <c r="G461" s="6" t="str">
        <f>IFERROR(__xludf.DUMMYFUNCTION("REGEXREPLACE(LOWER(F461),""[^a-z\s]"","""")"),"none")</f>
        <v>none</v>
      </c>
      <c r="H461" s="4" t="str">
        <f t="shared" si="1"/>
        <v>none</v>
      </c>
      <c r="I461" s="6">
        <f t="shared" si="2"/>
        <v>1</v>
      </c>
      <c r="J461" s="6">
        <f>IFERROR(__xludf.DUMMYFUNCTION("IF(H461="""","""",
SUM(
ARRAYFORMULA(
IF(
REGEXMATCH(
"" ""&amp;H461&amp;"" "",
"" ""&amp;Sentiment_Words!A$2:A3730&amp;"" ""
),
1,
0
)
)
)
)"),0.0)</f>
        <v>0</v>
      </c>
      <c r="K461" s="4">
        <f>IFERROR(__xludf.DUMMYFUNCTION("IF(H461="""","""",
SUM(
ARRAYFORMULA(
IF(
REGEXMATCH(
"" ""&amp;H461&amp;"" "",
"" ""&amp;Sentiment_Words!B$2:B3730&amp;"" ""
),
1,
0
)
)
)
)"),0.0)</f>
        <v>0</v>
      </c>
      <c r="L461" s="7" t="str">
        <f t="shared" si="3"/>
        <v>Other</v>
      </c>
      <c r="M461" s="7" t="str">
        <f t="shared" si="4"/>
        <v>Neutral</v>
      </c>
      <c r="N461" s="7" t="str">
        <f>IFERROR(__xludf.DUMMYFUNCTION("LOWER(
TRIM(
REGEXREPLACE(B461,""[^a-zA-Z\s]"","""")
)
)
"),"andrew stevenson")</f>
        <v>andrew stevenson</v>
      </c>
      <c r="O461" s="7">
        <f t="shared" si="5"/>
        <v>1</v>
      </c>
      <c r="P461" s="8" t="str">
        <f t="shared" si="6"/>
        <v>No</v>
      </c>
    </row>
    <row r="462">
      <c r="A462" s="4" t="s">
        <v>16</v>
      </c>
      <c r="B462" s="4" t="s">
        <v>1335</v>
      </c>
      <c r="C462" s="5">
        <v>45005.0</v>
      </c>
      <c r="D462" s="10">
        <v>45005.0</v>
      </c>
      <c r="E462" s="4" t="s">
        <v>1336</v>
      </c>
      <c r="F462" s="4" t="s">
        <v>1337</v>
      </c>
      <c r="G462" s="6" t="str">
        <f>IFERROR(__xludf.DUMMYFUNCTION("REGEXREPLACE(LOWER(F462),""[^a-z\s]"","""")"),"i am getting emails about orders i did not place i have replied back numerous times i am not jeff and i have not placed any orders with you and based on this experience i never will i would like you to leave me alone")</f>
        <v>i am getting emails about orders i did not place i have replied back numerous times i am not jeff and i have not placed any orders with you and based on this experience i never will i would like you to leave me alone</v>
      </c>
      <c r="H462" s="4" t="str">
        <f t="shared" si="1"/>
        <v>i am getting emails about orders i did not place i have replied back numerous times i am not jeff i have not placed any orders with you based on this experience i never will i would like you leave me alone</v>
      </c>
      <c r="I462" s="6">
        <f t="shared" si="2"/>
        <v>42</v>
      </c>
      <c r="J462" s="6">
        <f>IFERROR(__xludf.DUMMYFUNCTION("IF(H462="""","""",
SUM(
ARRAYFORMULA(
IF(
REGEXMATCH(
"" ""&amp;H462&amp;"" "",
"" ""&amp;Sentiment_Words!A$2:A3730&amp;"" ""
),
1,
0
)
)
)
)"),0.0)</f>
        <v>0</v>
      </c>
      <c r="K462" s="4">
        <f>IFERROR(__xludf.DUMMYFUNCTION("IF(H462="""","""",
SUM(
ARRAYFORMULA(
IF(
REGEXMATCH(
"" ""&amp;H462&amp;"" "",
"" ""&amp;Sentiment_Words!B$2:B3730&amp;"" ""
),
1,
0
)
)
)
)"),0.0)</f>
        <v>0</v>
      </c>
      <c r="L462" s="7" t="str">
        <f t="shared" si="3"/>
        <v>Other</v>
      </c>
      <c r="M462" s="7" t="str">
        <f t="shared" si="4"/>
        <v>Neutral</v>
      </c>
      <c r="N462" s="7" t="str">
        <f>IFERROR(__xludf.DUMMYFUNCTION("LOWER(
TRIM(
REGEXREPLACE(B462,""[^a-zA-Z\s]"","""")
)
)
"),"victoria")</f>
        <v>victoria</v>
      </c>
      <c r="O462" s="7">
        <f t="shared" si="5"/>
        <v>3</v>
      </c>
      <c r="P462" s="8" t="str">
        <f t="shared" si="6"/>
        <v>Yes</v>
      </c>
    </row>
    <row r="463">
      <c r="A463" s="4" t="s">
        <v>16</v>
      </c>
      <c r="B463" s="4" t="s">
        <v>1338</v>
      </c>
      <c r="C463" s="5">
        <v>45003.0</v>
      </c>
      <c r="D463" s="10">
        <v>45005.0</v>
      </c>
      <c r="E463" s="4" t="s">
        <v>1339</v>
      </c>
      <c r="F463" s="4" t="s">
        <v>1340</v>
      </c>
      <c r="G463" s="6" t="str">
        <f>IFERROR(__xludf.DUMMYFUNCTION("REGEXREPLACE(LOWER(F463),""[^a-z\s]"","""")"),"delivery time for product wasnt as promised it was completely unacceptable")</f>
        <v>delivery time for product wasnt as promised it was completely unacceptable</v>
      </c>
      <c r="H463" s="4" t="str">
        <f t="shared" si="1"/>
        <v>delivery time product wasnt as promised it was completely unacceptable</v>
      </c>
      <c r="I463" s="6">
        <f t="shared" si="2"/>
        <v>10</v>
      </c>
      <c r="J463" s="6">
        <f>IFERROR(__xludf.DUMMYFUNCTION("IF(H463="""","""",
SUM(
ARRAYFORMULA(
IF(
REGEXMATCH(
"" ""&amp;H463&amp;"" "",
"" ""&amp;Sentiment_Words!A$2:A3730&amp;"" ""
),
1,
0
)
)
)
)"),0.0)</f>
        <v>0</v>
      </c>
      <c r="K463" s="4">
        <f>IFERROR(__xludf.DUMMYFUNCTION("IF(H463="""","""",
SUM(
ARRAYFORMULA(
IF(
REGEXMATCH(
"" ""&amp;H463&amp;"" "",
"" ""&amp;Sentiment_Words!B$2:B3730&amp;"" ""
),
1,
0
)
)
)
)"),0.0)</f>
        <v>0</v>
      </c>
      <c r="L463" s="7" t="str">
        <f t="shared" si="3"/>
        <v>Other</v>
      </c>
      <c r="M463" s="7" t="str">
        <f t="shared" si="4"/>
        <v>Neutral</v>
      </c>
      <c r="N463" s="7" t="str">
        <f>IFERROR(__xludf.DUMMYFUNCTION("LOWER(
TRIM(
REGEXREPLACE(B463,""[^a-zA-Z\s]"","""")
)
)
"),"consumer")</f>
        <v>consumer</v>
      </c>
      <c r="O463" s="7">
        <f t="shared" si="5"/>
        <v>1</v>
      </c>
      <c r="P463" s="8" t="str">
        <f t="shared" si="6"/>
        <v>No</v>
      </c>
    </row>
    <row r="464">
      <c r="A464" s="4" t="s">
        <v>16</v>
      </c>
      <c r="B464" s="4" t="s">
        <v>1341</v>
      </c>
      <c r="C464" s="9">
        <v>44991.0</v>
      </c>
      <c r="D464" s="4" t="s">
        <v>1342</v>
      </c>
      <c r="E464" s="4" t="s">
        <v>1343</v>
      </c>
      <c r="F464" s="4" t="s">
        <v>1344</v>
      </c>
      <c r="G464" s="6" t="str">
        <f>IFERROR(__xludf.DUMMYFUNCTION("REGEXREPLACE(LOWER(F464),""[^a-z\s]"","""")"),"amazing experience
my package was delivered on time and very fast")</f>
        <v>amazing experience
my package was delivered on time and very fast</v>
      </c>
      <c r="H464" s="4" t="str">
        <f t="shared" si="1"/>
        <v>amazing experience
my package was delivered on time very fast</v>
      </c>
      <c r="I464" s="6">
        <f t="shared" si="2"/>
        <v>9</v>
      </c>
      <c r="J464" s="6">
        <f>IFERROR(__xludf.DUMMYFUNCTION("IF(H464="""","""",
SUM(
ARRAYFORMULA(
IF(
REGEXMATCH(
"" ""&amp;H464&amp;"" "",
"" ""&amp;Sentiment_Words!A$2:A3730&amp;"" ""
),
1,
0
)
)
)
)"),3.0)</f>
        <v>3</v>
      </c>
      <c r="K464" s="4">
        <f>IFERROR(__xludf.DUMMYFUNCTION("IF(H464="""","""",
SUM(
ARRAYFORMULA(
IF(
REGEXMATCH(
"" ""&amp;H464&amp;"" "",
"" ""&amp;Sentiment_Words!B$2:B3730&amp;"" ""
),
1,
0
)
)
)
)"),0.0)</f>
        <v>0</v>
      </c>
      <c r="L464" s="7" t="str">
        <f t="shared" si="3"/>
        <v>Other</v>
      </c>
      <c r="M464" s="7" t="str">
        <f t="shared" si="4"/>
        <v>Positive</v>
      </c>
      <c r="N464" s="7" t="str">
        <f>IFERROR(__xludf.DUMMYFUNCTION("LOWER(
TRIM(
REGEXREPLACE(B464,""[^a-zA-Z\s]"","""")
)
)
"),"alessandra caltabiano")</f>
        <v>alessandra caltabiano</v>
      </c>
      <c r="O464" s="7">
        <f t="shared" si="5"/>
        <v>1</v>
      </c>
      <c r="P464" s="8" t="str">
        <f t="shared" si="6"/>
        <v>No</v>
      </c>
    </row>
    <row r="465">
      <c r="A465" s="4" t="s">
        <v>16</v>
      </c>
      <c r="B465" s="4" t="s">
        <v>1345</v>
      </c>
      <c r="C465" s="5">
        <v>45004.0</v>
      </c>
      <c r="D465" s="10">
        <v>45005.0</v>
      </c>
      <c r="E465" s="4" t="s">
        <v>1346</v>
      </c>
      <c r="F465" s="4" t="s">
        <v>1347</v>
      </c>
      <c r="G465" s="6" t="str">
        <f>IFERROR(__xludf.DUMMYFUNCTION("REGEXREPLACE(LOWER(F465),""[^a-z\s]"","""")"),"product was delivered as promised")</f>
        <v>product was delivered as promised</v>
      </c>
      <c r="H465" s="4" t="str">
        <f t="shared" si="1"/>
        <v>product was delivered as promised</v>
      </c>
      <c r="I465" s="6">
        <f t="shared" si="2"/>
        <v>5</v>
      </c>
      <c r="J465" s="6">
        <f>IFERROR(__xludf.DUMMYFUNCTION("IF(H465="""","""",
SUM(
ARRAYFORMULA(
IF(
REGEXMATCH(
"" ""&amp;H465&amp;"" "",
"" ""&amp;Sentiment_Words!A$2:A3730&amp;"" ""
),
1,
0
)
)
)
)"),1.0)</f>
        <v>1</v>
      </c>
      <c r="K465" s="4">
        <f>IFERROR(__xludf.DUMMYFUNCTION("IF(H465="""","""",
SUM(
ARRAYFORMULA(
IF(
REGEXMATCH(
"" ""&amp;H465&amp;"" "",
"" ""&amp;Sentiment_Words!B$2:B3730&amp;"" ""
),
1,
0
)
)
)
)"),0.0)</f>
        <v>0</v>
      </c>
      <c r="L465" s="7" t="str">
        <f t="shared" si="3"/>
        <v>Other</v>
      </c>
      <c r="M465" s="7" t="str">
        <f t="shared" si="4"/>
        <v>Positive</v>
      </c>
      <c r="N465" s="7" t="str">
        <f>IFERROR(__xludf.DUMMYFUNCTION("LOWER(
TRIM(
REGEXREPLACE(B465,""[^a-zA-Z\s]"","""")
)
)
"),"jesse witt")</f>
        <v>jesse witt</v>
      </c>
      <c r="O465" s="7">
        <f t="shared" si="5"/>
        <v>1</v>
      </c>
      <c r="P465" s="8" t="str">
        <f t="shared" si="6"/>
        <v>No</v>
      </c>
    </row>
    <row r="466">
      <c r="A466" s="4" t="s">
        <v>16</v>
      </c>
      <c r="B466" s="4" t="s">
        <v>1348</v>
      </c>
      <c r="C466" s="9">
        <v>44986.0</v>
      </c>
      <c r="D466" s="10">
        <v>45005.0</v>
      </c>
      <c r="E466" s="4" t="s">
        <v>1349</v>
      </c>
      <c r="F466" s="4" t="s">
        <v>1350</v>
      </c>
      <c r="G466" s="6" t="str">
        <f>IFERROR(__xludf.DUMMYFUNCTION("REGEXREPLACE(LOWER(F466),""[^a-z\s]"","""")"),"pet flow always has my dogs food in stock and it arrives very quickly")</f>
        <v>pet flow always has my dogs food in stock and it arrives very quickly</v>
      </c>
      <c r="H466" s="4" t="str">
        <f t="shared" si="1"/>
        <v>pet flow always has my dogs food in stock it arrives very quickly</v>
      </c>
      <c r="I466" s="6">
        <f t="shared" si="2"/>
        <v>13</v>
      </c>
      <c r="J466" s="6">
        <f>IFERROR(__xludf.DUMMYFUNCTION("IF(H466="""","""",
SUM(
ARRAYFORMULA(
IF(
REGEXMATCH(
"" ""&amp;H466&amp;"" "",
"" ""&amp;Sentiment_Words!A$2:A3730&amp;"" ""
),
1,
0
)
)
)
)"),0.0)</f>
        <v>0</v>
      </c>
      <c r="K466" s="4">
        <f>IFERROR(__xludf.DUMMYFUNCTION("IF(H466="""","""",
SUM(
ARRAYFORMULA(
IF(
REGEXMATCH(
"" ""&amp;H466&amp;"" "",
"" ""&amp;Sentiment_Words!B$2:B3730&amp;"" ""
),
1,
0
)
)
)
)"),0.0)</f>
        <v>0</v>
      </c>
      <c r="L466" s="7" t="str">
        <f t="shared" si="3"/>
        <v>Other</v>
      </c>
      <c r="M466" s="7" t="str">
        <f t="shared" si="4"/>
        <v>Neutral</v>
      </c>
      <c r="N466" s="7" t="str">
        <f>IFERROR(__xludf.DUMMYFUNCTION("LOWER(
TRIM(
REGEXREPLACE(B466,""[^a-zA-Z\s]"","""")
)
)
"),"alicia")</f>
        <v>alicia</v>
      </c>
      <c r="O466" s="7">
        <f t="shared" si="5"/>
        <v>1</v>
      </c>
      <c r="P466" s="8" t="str">
        <f t="shared" si="6"/>
        <v>No</v>
      </c>
    </row>
    <row r="467">
      <c r="A467" s="4" t="s">
        <v>16</v>
      </c>
      <c r="B467" s="4" t="s">
        <v>1351</v>
      </c>
      <c r="C467" s="5">
        <v>45004.0</v>
      </c>
      <c r="D467" s="10">
        <v>45005.0</v>
      </c>
      <c r="E467" s="4" t="s">
        <v>1352</v>
      </c>
      <c r="F467" s="4" t="s">
        <v>1353</v>
      </c>
      <c r="G467" s="6" t="str">
        <f>IFERROR(__xludf.DUMMYFUNCTION("REGEXREPLACE(LOWER(F467),""[^a-z\s]"","""")"),"easy to use app for ordering and always quick delivery also if i order a large bag of food for my dog i get free shipping")</f>
        <v>easy to use app for ordering and always quick delivery also if i order a large bag of food for my dog i get free shipping</v>
      </c>
      <c r="H467" s="4" t="str">
        <f t="shared" si="1"/>
        <v>easy use app ordering always quick delivery also if i order a large bag of food my dog i get free shipping</v>
      </c>
      <c r="I467" s="6">
        <f t="shared" si="2"/>
        <v>22</v>
      </c>
      <c r="J467" s="6">
        <f>IFERROR(__xludf.DUMMYFUNCTION("IF(H467="""","""",
SUM(
ARRAYFORMULA(
IF(
REGEXMATCH(
"" ""&amp;H467&amp;"" "",
"" ""&amp;Sentiment_Words!A$2:A3730&amp;"" ""
),
1,
0
)
)
)
)"),2.0)</f>
        <v>2</v>
      </c>
      <c r="K467" s="4">
        <f>IFERROR(__xludf.DUMMYFUNCTION("IF(H467="""","""",
SUM(
ARRAYFORMULA(
IF(
REGEXMATCH(
"" ""&amp;H467&amp;"" "",
"" ""&amp;Sentiment_Words!B$2:B3730&amp;"" ""
),
1,
0
)
)
)
)"),0.0)</f>
        <v>0</v>
      </c>
      <c r="L467" s="7" t="str">
        <f t="shared" si="3"/>
        <v>Other</v>
      </c>
      <c r="M467" s="7" t="str">
        <f t="shared" si="4"/>
        <v>Positive</v>
      </c>
      <c r="N467" s="7" t="str">
        <f>IFERROR(__xludf.DUMMYFUNCTION("LOWER(
TRIM(
REGEXREPLACE(B467,""[^a-zA-Z\s]"","""")
)
)
"),"monica cloninger")</f>
        <v>monica cloninger</v>
      </c>
      <c r="O467" s="7">
        <f t="shared" si="5"/>
        <v>1</v>
      </c>
      <c r="P467" s="8" t="str">
        <f t="shared" si="6"/>
        <v>No</v>
      </c>
    </row>
    <row r="468">
      <c r="A468" s="4" t="s">
        <v>16</v>
      </c>
      <c r="B468" s="4" t="s">
        <v>1354</v>
      </c>
      <c r="C468" s="5">
        <v>45004.0</v>
      </c>
      <c r="D468" s="10">
        <v>45005.0</v>
      </c>
      <c r="E468" s="4" t="s">
        <v>1355</v>
      </c>
      <c r="F468" s="4" t="s">
        <v>1356</v>
      </c>
      <c r="G468" s="6" t="str">
        <f>IFERROR(__xludf.DUMMYFUNCTION("REGEXREPLACE(LOWER(F468),""[^a-z\s]"","""")"),"have had very good experience with petflow
good products with great shipping
will order more")</f>
        <v>have had very good experience with petflow
good products with great shipping
will order more</v>
      </c>
      <c r="H468" s="4" t="str">
        <f t="shared" si="1"/>
        <v>have had very good experience with petflow
good products with great shipping
will order more</v>
      </c>
      <c r="I468" s="6">
        <f t="shared" si="2"/>
        <v>13</v>
      </c>
      <c r="J468" s="6">
        <f>IFERROR(__xludf.DUMMYFUNCTION("IF(H468="""","""",
SUM(
ARRAYFORMULA(
IF(
REGEXMATCH(
"" ""&amp;H468&amp;"" "",
"" ""&amp;Sentiment_Words!A$2:A3730&amp;"" ""
),
1,
0
)
)
)
)"),2.0)</f>
        <v>2</v>
      </c>
      <c r="K468" s="4">
        <f>IFERROR(__xludf.DUMMYFUNCTION("IF(H468="""","""",
SUM(
ARRAYFORMULA(
IF(
REGEXMATCH(
"" ""&amp;H468&amp;"" "",
"" ""&amp;Sentiment_Words!B$2:B3730&amp;"" ""
),
1,
0
)
)
)
)"),0.0)</f>
        <v>0</v>
      </c>
      <c r="L468" s="7" t="str">
        <f t="shared" si="3"/>
        <v>Other</v>
      </c>
      <c r="M468" s="7" t="str">
        <f t="shared" si="4"/>
        <v>Positive</v>
      </c>
      <c r="N468" s="7" t="str">
        <f>IFERROR(__xludf.DUMMYFUNCTION("LOWER(
TRIM(
REGEXREPLACE(B468,""[^a-zA-Z\s]"","""")
)
)
"),"eddie hales")</f>
        <v>eddie hales</v>
      </c>
      <c r="O468" s="7">
        <f t="shared" si="5"/>
        <v>1</v>
      </c>
      <c r="P468" s="8" t="str">
        <f t="shared" si="6"/>
        <v>No</v>
      </c>
    </row>
    <row r="469">
      <c r="A469" s="4" t="s">
        <v>16</v>
      </c>
      <c r="B469" s="4" t="s">
        <v>1357</v>
      </c>
      <c r="C469" s="5">
        <v>45004.0</v>
      </c>
      <c r="D469" s="10">
        <v>45005.0</v>
      </c>
      <c r="E469" s="4" t="s">
        <v>1358</v>
      </c>
      <c r="F469" s="4" t="s">
        <v>1359</v>
      </c>
      <c r="G469" s="6" t="str">
        <f>IFERROR(__xludf.DUMMYFUNCTION("REGEXREPLACE(LOWER(F469),""[^a-z\s]"","""")"),"price was much better than most other places that i have purchased i reached out to you about changing my shipment and the response was great i will continue to purchase from this company")</f>
        <v>price was much better than most other places that i have purchased i reached out to you about changing my shipment and the response was great i will continue to purchase from this company</v>
      </c>
      <c r="H469" s="4" t="str">
        <f t="shared" si="1"/>
        <v>price was much better than most other places that i have purchased i reached out you about changing my shipment response was great i will continue purchase from this company</v>
      </c>
      <c r="I469" s="6">
        <f t="shared" si="2"/>
        <v>30</v>
      </c>
      <c r="J469" s="6">
        <f>IFERROR(__xludf.DUMMYFUNCTION("IF(H469="""","""",
SUM(
ARRAYFORMULA(
IF(
REGEXMATCH(
"" ""&amp;H469&amp;"" "",
"" ""&amp;Sentiment_Words!A$2:A3730&amp;"" ""
),
1,
0
)
)
)
)"),1.0)</f>
        <v>1</v>
      </c>
      <c r="K469" s="4">
        <f>IFERROR(__xludf.DUMMYFUNCTION("IF(H469="""","""",
SUM(
ARRAYFORMULA(
IF(
REGEXMATCH(
"" ""&amp;H469&amp;"" "",
"" ""&amp;Sentiment_Words!B$2:B3730&amp;"" ""
),
1,
0
)
)
)
)"),0.0)</f>
        <v>0</v>
      </c>
      <c r="L469" s="7" t="str">
        <f t="shared" si="3"/>
        <v>Other</v>
      </c>
      <c r="M469" s="7" t="str">
        <f t="shared" si="4"/>
        <v>Positive</v>
      </c>
      <c r="N469" s="7" t="str">
        <f>IFERROR(__xludf.DUMMYFUNCTION("LOWER(
TRIM(
REGEXREPLACE(B469,""[^a-zA-Z\s]"","""")
)
)
"),"kp")</f>
        <v>kp</v>
      </c>
      <c r="O469" s="7">
        <f t="shared" si="5"/>
        <v>1</v>
      </c>
      <c r="P469" s="8" t="str">
        <f t="shared" si="6"/>
        <v>No</v>
      </c>
    </row>
    <row r="470">
      <c r="A470" s="4" t="s">
        <v>16</v>
      </c>
      <c r="B470" s="4" t="s">
        <v>1360</v>
      </c>
      <c r="C470" s="5">
        <v>44998.0</v>
      </c>
      <c r="D470" s="10">
        <v>45004.0</v>
      </c>
      <c r="E470" s="4" t="s">
        <v>1361</v>
      </c>
      <c r="F470" s="4" t="s">
        <v>1362</v>
      </c>
      <c r="G470" s="6" t="str">
        <f>IFERROR(__xludf.DUMMYFUNCTION("REGEXREPLACE(LOWER(F470),""[^a-z\s]"","""")"),"quick reliable service ive been with them for a while now sometimes it takes longer in the winter")</f>
        <v>quick reliable service ive been with them for a while now sometimes it takes longer in the winter</v>
      </c>
      <c r="H470" s="4" t="str">
        <f t="shared" si="1"/>
        <v>quick reliable service ive been with them a while now sometimes it takes longer in winter</v>
      </c>
      <c r="I470" s="6">
        <f t="shared" si="2"/>
        <v>16</v>
      </c>
      <c r="J470" s="6">
        <f>IFERROR(__xludf.DUMMYFUNCTION("IF(H470="""","""",
SUM(
ARRAYFORMULA(
IF(
REGEXMATCH(
"" ""&amp;H470&amp;"" "",
"" ""&amp;Sentiment_Words!A$2:A3730&amp;"" ""
),
1,
0
)
)
)
)"),1.0)</f>
        <v>1</v>
      </c>
      <c r="K470" s="4">
        <f>IFERROR(__xludf.DUMMYFUNCTION("IF(H470="""","""",
SUM(
ARRAYFORMULA(
IF(
REGEXMATCH(
"" ""&amp;H470&amp;"" "",
"" ""&amp;Sentiment_Words!B$2:B3730&amp;"" ""
),
1,
0
)
)
)
)"),0.0)</f>
        <v>0</v>
      </c>
      <c r="L470" s="7" t="str">
        <f t="shared" si="3"/>
        <v>Customer Support</v>
      </c>
      <c r="M470" s="7" t="str">
        <f t="shared" si="4"/>
        <v>Positive</v>
      </c>
      <c r="N470" s="7" t="str">
        <f>IFERROR(__xludf.DUMMYFUNCTION("LOWER(
TRIM(
REGEXREPLACE(B470,""[^a-zA-Z\s]"","""")
)
)
"),"wildspaniels")</f>
        <v>wildspaniels</v>
      </c>
      <c r="O470" s="7">
        <f t="shared" si="5"/>
        <v>1</v>
      </c>
      <c r="P470" s="8" t="str">
        <f t="shared" si="6"/>
        <v>No</v>
      </c>
    </row>
    <row r="471">
      <c r="A471" s="4" t="s">
        <v>16</v>
      </c>
      <c r="B471" s="4" t="s">
        <v>1363</v>
      </c>
      <c r="C471" s="5">
        <v>45004.0</v>
      </c>
      <c r="D471" s="10">
        <v>45004.0</v>
      </c>
      <c r="E471" s="4" t="s">
        <v>1364</v>
      </c>
      <c r="F471" s="4" t="s">
        <v>1365</v>
      </c>
      <c r="G471" s="6" t="str">
        <f>IFERROR(__xludf.DUMMYFUNCTION("REGEXREPLACE(LOWER(F471),""[^a-z\s]"","""")"),"i love the convenience of petflow i live in a rural area and they are the best price and value for having my dogs specialty food shipped they make it easy with auto shipments even when i need to change dates its very easy shipping is always as expected as"&amp;" well")</f>
        <v>i love the convenience of petflow i live in a rural area and they are the best price and value for having my dogs specialty food shipped they make it easy with auto shipments even when i need to change dates its very easy shipping is always as expected as well</v>
      </c>
      <c r="H471" s="4" t="str">
        <f t="shared" si="1"/>
        <v>i love convenience of petflow i live in a rural area they are best price value having my dogs specialty food shipped they make it easy with auto shipments even when i need change dates its very easy shipping always as expected as well</v>
      </c>
      <c r="I471" s="6">
        <f t="shared" si="2"/>
        <v>44</v>
      </c>
      <c r="J471" s="6">
        <f>IFERROR(__xludf.DUMMYFUNCTION("IF(H471="""","""",
SUM(
ARRAYFORMULA(
IF(
REGEXMATCH(
"" ""&amp;H471&amp;"" "",
"" ""&amp;Sentiment_Words!A$2:A3730&amp;"" ""
),
1,
0
)
)
)
)"),3.0)</f>
        <v>3</v>
      </c>
      <c r="K471" s="4">
        <f>IFERROR(__xludf.DUMMYFUNCTION("IF(H471="""","""",
SUM(
ARRAYFORMULA(
IF(
REGEXMATCH(
"" ""&amp;H471&amp;"" "",
"" ""&amp;Sentiment_Words!B$2:B3730&amp;"" ""
),
1,
0
)
)
)
)"),0.0)</f>
        <v>0</v>
      </c>
      <c r="L471" s="7" t="str">
        <f t="shared" si="3"/>
        <v>Value &amp; Convenience</v>
      </c>
      <c r="M471" s="7" t="str">
        <f t="shared" si="4"/>
        <v>Positive</v>
      </c>
      <c r="N471" s="7" t="str">
        <f>IFERROR(__xludf.DUMMYFUNCTION("LOWER(
TRIM(
REGEXREPLACE(B471,""[^a-zA-Z\s]"","""")
)
)
"),"kyriaka ehrensberger")</f>
        <v>kyriaka ehrensberger</v>
      </c>
      <c r="O471" s="7">
        <f t="shared" si="5"/>
        <v>1</v>
      </c>
      <c r="P471" s="8" t="str">
        <f t="shared" si="6"/>
        <v>No</v>
      </c>
    </row>
    <row r="472">
      <c r="A472" s="4" t="s">
        <v>16</v>
      </c>
      <c r="B472" s="4" t="s">
        <v>1366</v>
      </c>
      <c r="C472" s="5">
        <v>45003.0</v>
      </c>
      <c r="D472" s="10">
        <v>45004.0</v>
      </c>
      <c r="E472" s="4" t="s">
        <v>1367</v>
      </c>
      <c r="F472" s="4" t="s">
        <v>1368</v>
      </c>
      <c r="G472" s="6" t="str">
        <f>IFERROR(__xludf.DUMMYFUNCTION("REGEXREPLACE(LOWER(F472),""[^a-z\s]"","""")"),"i have never shopped with you guys remove my email from your marketing emails company")</f>
        <v>i have never shopped with you guys remove my email from your marketing emails company</v>
      </c>
      <c r="H472" s="4" t="str">
        <f t="shared" si="1"/>
        <v>i have never shopped with you guys remove my email from your marketing emails company</v>
      </c>
      <c r="I472" s="6">
        <f t="shared" si="2"/>
        <v>15</v>
      </c>
      <c r="J472" s="6">
        <f>IFERROR(__xludf.DUMMYFUNCTION("IF(H472="""","""",
SUM(
ARRAYFORMULA(
IF(
REGEXMATCH(
"" ""&amp;H472&amp;"" "",
"" ""&amp;Sentiment_Words!A$2:A3730&amp;"" ""
),
1,
0
)
)
)
)"),0.0)</f>
        <v>0</v>
      </c>
      <c r="K472" s="4">
        <f>IFERROR(__xludf.DUMMYFUNCTION("IF(H472="""","""",
SUM(
ARRAYFORMULA(
IF(
REGEXMATCH(
"" ""&amp;H472&amp;"" "",
"" ""&amp;Sentiment_Words!B$2:B3730&amp;"" ""
),
1,
0
)
)
)
)"),0.0)</f>
        <v>0</v>
      </c>
      <c r="L472" s="7" t="str">
        <f t="shared" si="3"/>
        <v>Other</v>
      </c>
      <c r="M472" s="7" t="str">
        <f t="shared" si="4"/>
        <v>Neutral</v>
      </c>
      <c r="N472" s="7" t="str">
        <f>IFERROR(__xludf.DUMMYFUNCTION("LOWER(
TRIM(
REGEXREPLACE(B472,""[^a-zA-Z\s]"","""")
)
)
"),"virha pate")</f>
        <v>virha pate</v>
      </c>
      <c r="O472" s="7">
        <f t="shared" si="5"/>
        <v>1</v>
      </c>
      <c r="P472" s="8" t="str">
        <f t="shared" si="6"/>
        <v>No</v>
      </c>
    </row>
    <row r="473">
      <c r="A473" s="4" t="s">
        <v>16</v>
      </c>
      <c r="B473" s="4" t="s">
        <v>1369</v>
      </c>
      <c r="C473" s="9">
        <v>44990.0</v>
      </c>
      <c r="D473" s="10">
        <v>45004.0</v>
      </c>
      <c r="E473" s="4" t="s">
        <v>1370</v>
      </c>
      <c r="F473" s="4" t="s">
        <v>1371</v>
      </c>
      <c r="G473" s="6" t="str">
        <f>IFERROR(__xludf.DUMMYFUNCTION("REGEXREPLACE(LOWER(F473),""[^a-z\s]"","""")"),"first time purchasing beats amazon prices")</f>
        <v>first time purchasing beats amazon prices</v>
      </c>
      <c r="H473" s="4" t="str">
        <f t="shared" si="1"/>
        <v>first time purchasing beats amazon prices</v>
      </c>
      <c r="I473" s="6">
        <f t="shared" si="2"/>
        <v>6</v>
      </c>
      <c r="J473" s="6">
        <f>IFERROR(__xludf.DUMMYFUNCTION("IF(H473="""","""",
SUM(
ARRAYFORMULA(
IF(
REGEXMATCH(
"" ""&amp;H473&amp;"" "",
"" ""&amp;Sentiment_Words!A$2:A3730&amp;"" ""
),
1,
0
)
)
)
)"),0.0)</f>
        <v>0</v>
      </c>
      <c r="K473" s="4">
        <f>IFERROR(__xludf.DUMMYFUNCTION("IF(H473="""","""",
SUM(
ARRAYFORMULA(
IF(
REGEXMATCH(
"" ""&amp;H473&amp;"" "",
"" ""&amp;Sentiment_Words!B$2:B3730&amp;"" ""
),
1,
0
)
)
)
)"),0.0)</f>
        <v>0</v>
      </c>
      <c r="L473" s="7" t="str">
        <f t="shared" si="3"/>
        <v>Other</v>
      </c>
      <c r="M473" s="7" t="str">
        <f t="shared" si="4"/>
        <v>Neutral</v>
      </c>
      <c r="N473" s="7" t="str">
        <f>IFERROR(__xludf.DUMMYFUNCTION("LOWER(
TRIM(
REGEXREPLACE(B473,""[^a-zA-Z\s]"","""")
)
)
"),"s blake")</f>
        <v>s blake</v>
      </c>
      <c r="O473" s="7">
        <f t="shared" si="5"/>
        <v>1</v>
      </c>
      <c r="P473" s="8" t="str">
        <f t="shared" si="6"/>
        <v>No</v>
      </c>
    </row>
    <row r="474">
      <c r="A474" s="4" t="s">
        <v>16</v>
      </c>
      <c r="B474" s="4" t="s">
        <v>1372</v>
      </c>
      <c r="C474" s="9">
        <v>44988.0</v>
      </c>
      <c r="D474" s="10">
        <v>45004.0</v>
      </c>
      <c r="E474" s="4" t="s">
        <v>1373</v>
      </c>
      <c r="F474" s="4" t="s">
        <v>1374</v>
      </c>
      <c r="G474" s="6" t="str">
        <f>IFERROR(__xludf.DUMMYFUNCTION("REGEXREPLACE(LOWER(F474),""[^a-z\s]"","""")"),"i always find a great selection of products and competitive pricing")</f>
        <v>i always find a great selection of products and competitive pricing</v>
      </c>
      <c r="H474" s="4" t="str">
        <f t="shared" si="1"/>
        <v>i always find a great selection of products competitive pricing</v>
      </c>
      <c r="I474" s="6">
        <f t="shared" si="2"/>
        <v>10</v>
      </c>
      <c r="J474" s="6">
        <f>IFERROR(__xludf.DUMMYFUNCTION("IF(H474="""","""",
SUM(
ARRAYFORMULA(
IF(
REGEXMATCH(
"" ""&amp;H474&amp;"" "",
"" ""&amp;Sentiment_Words!A$2:A3730&amp;"" ""
),
1,
0
)
)
)
)"),1.0)</f>
        <v>1</v>
      </c>
      <c r="K474" s="4">
        <f>IFERROR(__xludf.DUMMYFUNCTION("IF(H474="""","""",
SUM(
ARRAYFORMULA(
IF(
REGEXMATCH(
"" ""&amp;H474&amp;"" "",
"" ""&amp;Sentiment_Words!B$2:B3730&amp;"" ""
),
1,
0
)
)
)
)"),0.0)</f>
        <v>0</v>
      </c>
      <c r="L474" s="7" t="str">
        <f t="shared" si="3"/>
        <v>Other</v>
      </c>
      <c r="M474" s="7" t="str">
        <f t="shared" si="4"/>
        <v>Positive</v>
      </c>
      <c r="N474" s="7" t="str">
        <f>IFERROR(__xludf.DUMMYFUNCTION("LOWER(
TRIM(
REGEXREPLACE(B474,""[^a-zA-Z\s]"","""")
)
)
"),"mark a")</f>
        <v>mark a</v>
      </c>
      <c r="O474" s="7">
        <f t="shared" si="5"/>
        <v>1</v>
      </c>
      <c r="P474" s="8" t="str">
        <f t="shared" si="6"/>
        <v>No</v>
      </c>
    </row>
    <row r="475">
      <c r="A475" s="4" t="s">
        <v>16</v>
      </c>
      <c r="B475" s="4" t="s">
        <v>1375</v>
      </c>
      <c r="C475" s="9">
        <v>44994.0</v>
      </c>
      <c r="D475" s="10">
        <v>45003.0</v>
      </c>
      <c r="E475" s="4" t="s">
        <v>1376</v>
      </c>
      <c r="F475" s="4" t="s">
        <v>1377</v>
      </c>
      <c r="G475" s="6" t="str">
        <f>IFERROR(__xludf.DUMMYFUNCTION("REGEXREPLACE(LOWER(F475),""[^a-z\s]"","""")"),"all was well with initial service and product the problem is with your packaging of two large bags of dog food in one box the box quality is mediocre at best the dog food is too heavy and too large for the box the box broke open this could be foreseen als"&amp;"o many seniors order from you and the boxes are too heavy to move or pickup without injury and dont give me the carbon footprint stuff your customers safety and your sane packing are more important")</f>
        <v>all was well with initial service and product the problem is with your packaging of two large bags of dog food in one box the box quality is mediocre at best the dog food is too heavy and too large for the box the box broke open this could be foreseen also many seniors order from you and the boxes are too heavy to move or pickup without injury and dont give me the carbon footprint stuff your customers safety and your sane packing are more important</v>
      </c>
      <c r="H475" s="4" t="str">
        <f t="shared" si="1"/>
        <v>all was well with initial service product problem with your packaging of two large bags of dog food in one box box quality mediocre at best dog food too heavy too large box box broke open this could be foreseen also many seniors order from you boxes are too heavy move or pickup without injury dont give me carbon footprint stuff your customers safety your sane packing are more important</v>
      </c>
      <c r="I475" s="6">
        <f t="shared" si="2"/>
        <v>70</v>
      </c>
      <c r="J475" s="6">
        <f>IFERROR(__xludf.DUMMYFUNCTION("IF(H475="""","""",
SUM(
ARRAYFORMULA(
IF(
REGEXMATCH(
"" ""&amp;H475&amp;"" "",
"" ""&amp;Sentiment_Words!A$2:A3730&amp;"" ""
),
1,
0
)
)
)
)"),0.0)</f>
        <v>0</v>
      </c>
      <c r="K475" s="4">
        <f>IFERROR(__xludf.DUMMYFUNCTION("IF(H475="""","""",
SUM(
ARRAYFORMULA(
IF(
REGEXMATCH(
"" ""&amp;H475&amp;"" "",
"" ""&amp;Sentiment_Words!B$2:B3730&amp;"" ""
),
1,
0
)
)
)
)"),1.0)</f>
        <v>1</v>
      </c>
      <c r="L475" s="7" t="str">
        <f t="shared" si="3"/>
        <v>Customer Support</v>
      </c>
      <c r="M475" s="7" t="str">
        <f t="shared" si="4"/>
        <v>Negative</v>
      </c>
      <c r="N475" s="7" t="str">
        <f>IFERROR(__xludf.DUMMYFUNCTION("LOWER(
TRIM(
REGEXREPLACE(B475,""[^a-zA-Z\s]"","""")
)
)
"),"karen arnold")</f>
        <v>karen arnold</v>
      </c>
      <c r="O475" s="7">
        <f t="shared" si="5"/>
        <v>1</v>
      </c>
      <c r="P475" s="8" t="str">
        <f t="shared" si="6"/>
        <v>No</v>
      </c>
    </row>
    <row r="476">
      <c r="A476" s="4" t="s">
        <v>16</v>
      </c>
      <c r="B476" s="4" t="s">
        <v>1378</v>
      </c>
      <c r="C476" s="9">
        <v>44994.0</v>
      </c>
      <c r="D476" s="10">
        <v>45003.0</v>
      </c>
      <c r="E476" s="4" t="s">
        <v>1379</v>
      </c>
      <c r="F476" s="4" t="s">
        <v>1380</v>
      </c>
      <c r="G476" s="6" t="str">
        <f>IFERROR(__xludf.DUMMYFUNCTION("REGEXREPLACE(LOWER(F476),""[^a-z\s]"","""")"),"i am happily impressed with the personal service and speed of delivery from petflow as long as petflow carries the pet food i use i will continue to shop petflow")</f>
        <v>i am happily impressed with the personal service and speed of delivery from petflow as long as petflow carries the pet food i use i will continue to shop petflow</v>
      </c>
      <c r="H476" s="4" t="str">
        <f t="shared" si="1"/>
        <v>i am happily impressed with personal service speed of delivery from petflow as long as petflow carries pet food i use i will continue shop petflow</v>
      </c>
      <c r="I476" s="6">
        <f t="shared" si="2"/>
        <v>26</v>
      </c>
      <c r="J476" s="6">
        <f>IFERROR(__xludf.DUMMYFUNCTION("IF(H476="""","""",
SUM(
ARRAYFORMULA(
IF(
REGEXMATCH(
"" ""&amp;H476&amp;"" "",
"" ""&amp;Sentiment_Words!A$2:A3730&amp;"" ""
),
1,
0
)
)
)
)"),1.0)</f>
        <v>1</v>
      </c>
      <c r="K476" s="4">
        <f>IFERROR(__xludf.DUMMYFUNCTION("IF(H476="""","""",
SUM(
ARRAYFORMULA(
IF(
REGEXMATCH(
"" ""&amp;H476&amp;"" "",
"" ""&amp;Sentiment_Words!B$2:B3730&amp;"" ""
),
1,
0
)
)
)
)"),0.0)</f>
        <v>0</v>
      </c>
      <c r="L476" s="7" t="str">
        <f t="shared" si="3"/>
        <v>Customer Support</v>
      </c>
      <c r="M476" s="7" t="str">
        <f t="shared" si="4"/>
        <v>Positive</v>
      </c>
      <c r="N476" s="7" t="str">
        <f>IFERROR(__xludf.DUMMYFUNCTION("LOWER(
TRIM(
REGEXREPLACE(B476,""[^a-zA-Z\s]"","""")
)
)
"),"karen gregory")</f>
        <v>karen gregory</v>
      </c>
      <c r="O476" s="7">
        <f t="shared" si="5"/>
        <v>1</v>
      </c>
      <c r="P476" s="8" t="str">
        <f t="shared" si="6"/>
        <v>No</v>
      </c>
    </row>
    <row r="477">
      <c r="A477" s="4" t="s">
        <v>16</v>
      </c>
      <c r="B477" s="4" t="s">
        <v>1381</v>
      </c>
      <c r="C477" s="5">
        <v>45000.0</v>
      </c>
      <c r="D477" s="10">
        <v>45003.0</v>
      </c>
      <c r="E477" s="4" t="s">
        <v>1382</v>
      </c>
      <c r="F477" s="4" t="s">
        <v>1383</v>
      </c>
      <c r="G477" s="6" t="str">
        <f>IFERROR(__xludf.DUMMYFUNCTION("REGEXREPLACE(LOWER(F477),""[^a-z\s]"","""")"),"exceedingly expensive
if i oculd attach a screen print  id show prove it to you look at the price for the same item from chewy and most other reputable companies i put chewys link here but trust pilot doesnt allow links too bad  because it was proof
chewy"&amp;" for  oz cans of medley
and you petflow omg
petflow  for  cans of medley
greed is disgusting
what youre doing is gouging  at its finest
outrageous")</f>
        <v>exceedingly expensive
if i oculd attach a screen print  id show prove it to you look at the price for the same item from chewy and most other reputable companies i put chewys link here but trust pilot doesnt allow links too bad  because it was proof
chewy for  oz cans of medley
and you petflow omg
petflow  for  cans of medley
greed is disgusting
what youre doing is gouging  at its finest
outrageous</v>
      </c>
      <c r="H477" s="4" t="str">
        <f t="shared" si="1"/>
        <v>exceedingly expensive
if i oculd attach a screen print id show prove it you look at price same item from chewy most other reputable companies i put chewys link here but trust pilot doesnt allow links too bad because it was proof
chewy oz cans of medley
and you petflow omg
petflow cans of medley
greed disgusting
what youre doing gouging at its finest
outrageous</v>
      </c>
      <c r="I477" s="6">
        <f t="shared" si="2"/>
        <v>58</v>
      </c>
      <c r="J477" s="6">
        <f>IFERROR(__xludf.DUMMYFUNCTION("IF(H477="""","""",
SUM(
ARRAYFORMULA(
IF(
REGEXMATCH(
"" ""&amp;H477&amp;"" "",
"" ""&amp;Sentiment_Words!A$2:A3730&amp;"" ""
),
1,
0
)
)
)
)"),0.0)</f>
        <v>0</v>
      </c>
      <c r="K477" s="4">
        <f>IFERROR(__xludf.DUMMYFUNCTION("IF(H477="""","""",
SUM(
ARRAYFORMULA(
IF(
REGEXMATCH(
"" ""&amp;H477&amp;"" "",
"" ""&amp;Sentiment_Words!B$2:B3730&amp;"" ""
),
1,
0
)
)
)
)"),0.0)</f>
        <v>0</v>
      </c>
      <c r="L477" s="7" t="str">
        <f t="shared" si="3"/>
        <v>Trust &amp; Experience</v>
      </c>
      <c r="M477" s="7" t="str">
        <f t="shared" si="4"/>
        <v>Neutral</v>
      </c>
      <c r="N477" s="7" t="str">
        <f>IFERROR(__xludf.DUMMYFUNCTION("LOWER(
TRIM(
REGEXREPLACE(B477,""[^a-zA-Z\s]"","""")
)
)
"),"mxf")</f>
        <v>mxf</v>
      </c>
      <c r="O477" s="7">
        <f t="shared" si="5"/>
        <v>1</v>
      </c>
      <c r="P477" s="8" t="str">
        <f t="shared" si="6"/>
        <v>No</v>
      </c>
    </row>
    <row r="478">
      <c r="A478" s="4" t="s">
        <v>16</v>
      </c>
      <c r="B478" s="4" t="s">
        <v>1384</v>
      </c>
      <c r="C478" s="5">
        <v>45003.0</v>
      </c>
      <c r="D478" s="10">
        <v>45003.0</v>
      </c>
      <c r="E478" s="4" t="s">
        <v>1385</v>
      </c>
      <c r="F478" s="4" t="s">
        <v>1386</v>
      </c>
      <c r="G478" s="6" t="str">
        <f>IFERROR(__xludf.DUMMYFUNCTION("REGEXREPLACE(LOWER(F478),""[^a-z\s]"","""")"),"ive been buying from petflow for several years every order has been carefully packaged and timely delivered shop with confidence")</f>
        <v>ive been buying from petflow for several years every order has been carefully packaged and timely delivered shop with confidence</v>
      </c>
      <c r="H478" s="4" t="str">
        <f t="shared" si="1"/>
        <v>ive been buying from petflow several years every order has been carefully packaged timely delivered shop with confidence</v>
      </c>
      <c r="I478" s="6">
        <f t="shared" si="2"/>
        <v>18</v>
      </c>
      <c r="J478" s="6">
        <f>IFERROR(__xludf.DUMMYFUNCTION("IF(H478="""","""",
SUM(
ARRAYFORMULA(
IF(
REGEXMATCH(
"" ""&amp;H478&amp;"" "",
"" ""&amp;Sentiment_Words!A$2:A3730&amp;"" ""
),
1,
0
)
)
)
)"),1.0)</f>
        <v>1</v>
      </c>
      <c r="K478" s="4">
        <f>IFERROR(__xludf.DUMMYFUNCTION("IF(H478="""","""",
SUM(
ARRAYFORMULA(
IF(
REGEXMATCH(
"" ""&amp;H478&amp;"" "",
"" ""&amp;Sentiment_Words!B$2:B3730&amp;"" ""
),
1,
0
)
)
)
)"),0.0)</f>
        <v>0</v>
      </c>
      <c r="L478" s="7" t="str">
        <f t="shared" si="3"/>
        <v>Other</v>
      </c>
      <c r="M478" s="7" t="str">
        <f t="shared" si="4"/>
        <v>Positive</v>
      </c>
      <c r="N478" s="7" t="str">
        <f>IFERROR(__xludf.DUMMYFUNCTION("LOWER(
TRIM(
REGEXREPLACE(B478,""[^a-zA-Z\s]"","""")
)
)
"),"judith lustgarten")</f>
        <v>judith lustgarten</v>
      </c>
      <c r="O478" s="7">
        <f t="shared" si="5"/>
        <v>1</v>
      </c>
      <c r="P478" s="8" t="str">
        <f t="shared" si="6"/>
        <v>No</v>
      </c>
    </row>
    <row r="479">
      <c r="A479" s="4" t="s">
        <v>16</v>
      </c>
      <c r="B479" s="4" t="s">
        <v>664</v>
      </c>
      <c r="C479" s="5">
        <v>45002.0</v>
      </c>
      <c r="D479" s="10">
        <v>45003.0</v>
      </c>
      <c r="E479" s="4" t="s">
        <v>1387</v>
      </c>
      <c r="F479" s="4" t="s">
        <v>1388</v>
      </c>
      <c r="G479" s="6" t="str">
        <f>IFERROR(__xludf.DUMMYFUNCTION("REGEXREPLACE(LOWER(F479),""[^a-z\s]"","""")"),"what i ordered was in stock and the order fulfilled promptly")</f>
        <v>what i ordered was in stock and the order fulfilled promptly</v>
      </c>
      <c r="H479" s="4" t="str">
        <f t="shared" si="1"/>
        <v>what i ordered was in stock order fulfilled promptly</v>
      </c>
      <c r="I479" s="6">
        <f t="shared" si="2"/>
        <v>9</v>
      </c>
      <c r="J479" s="6">
        <f>IFERROR(__xludf.DUMMYFUNCTION("IF(H479="""","""",
SUM(
ARRAYFORMULA(
IF(
REGEXMATCH(
"" ""&amp;H479&amp;"" "",
"" ""&amp;Sentiment_Words!A$2:A3730&amp;"" ""
),
1,
0
)
)
)
)"),0.0)</f>
        <v>0</v>
      </c>
      <c r="K479" s="4">
        <f>IFERROR(__xludf.DUMMYFUNCTION("IF(H479="""","""",
SUM(
ARRAYFORMULA(
IF(
REGEXMATCH(
"" ""&amp;H479&amp;"" "",
"" ""&amp;Sentiment_Words!B$2:B3730&amp;"" ""
),
1,
0
)
)
)
)"),0.0)</f>
        <v>0</v>
      </c>
      <c r="L479" s="7" t="str">
        <f t="shared" si="3"/>
        <v>Other</v>
      </c>
      <c r="M479" s="7" t="str">
        <f t="shared" si="4"/>
        <v>Neutral</v>
      </c>
      <c r="N479" s="7" t="str">
        <f>IFERROR(__xludf.DUMMYFUNCTION("LOWER(
TRIM(
REGEXREPLACE(B479,""[^a-zA-Z\s]"","""")
)
)
"),"maria")</f>
        <v>maria</v>
      </c>
      <c r="O479" s="7">
        <f t="shared" si="5"/>
        <v>4</v>
      </c>
      <c r="P479" s="8" t="str">
        <f t="shared" si="6"/>
        <v>Yes</v>
      </c>
    </row>
    <row r="480">
      <c r="A480" s="4" t="s">
        <v>16</v>
      </c>
      <c r="B480" s="4" t="s">
        <v>1389</v>
      </c>
      <c r="C480" s="5">
        <v>45002.0</v>
      </c>
      <c r="D480" s="10">
        <v>45003.0</v>
      </c>
      <c r="E480" s="4" t="s">
        <v>1390</v>
      </c>
      <c r="F480" s="4" t="s">
        <v>1391</v>
      </c>
      <c r="G480" s="6" t="str">
        <f>IFERROR(__xludf.DUMMYFUNCTION("REGEXREPLACE(LOWER(F480),""[^a-z\s]"","""")"),"great quality products and very quick shipping")</f>
        <v>great quality products and very quick shipping</v>
      </c>
      <c r="H480" s="4" t="str">
        <f t="shared" si="1"/>
        <v>great quality products very quick shipping</v>
      </c>
      <c r="I480" s="6">
        <f t="shared" si="2"/>
        <v>6</v>
      </c>
      <c r="J480" s="6">
        <f>IFERROR(__xludf.DUMMYFUNCTION("IF(H480="""","""",
SUM(
ARRAYFORMULA(
IF(
REGEXMATCH(
"" ""&amp;H480&amp;"" "",
"" ""&amp;Sentiment_Words!A$2:A3730&amp;"" ""
),
1,
0
)
)
)
)"),1.0)</f>
        <v>1</v>
      </c>
      <c r="K480" s="4">
        <f>IFERROR(__xludf.DUMMYFUNCTION("IF(H480="""","""",
SUM(
ARRAYFORMULA(
IF(
REGEXMATCH(
"" ""&amp;H480&amp;"" "",
"" ""&amp;Sentiment_Words!B$2:B3730&amp;"" ""
),
1,
0
)
)
)
)"),0.0)</f>
        <v>0</v>
      </c>
      <c r="L480" s="7" t="str">
        <f t="shared" si="3"/>
        <v>Other</v>
      </c>
      <c r="M480" s="7" t="str">
        <f t="shared" si="4"/>
        <v>Positive</v>
      </c>
      <c r="N480" s="7" t="str">
        <f>IFERROR(__xludf.DUMMYFUNCTION("LOWER(
TRIM(
REGEXREPLACE(B480,""[^a-zA-Z\s]"","""")
)
)
"),"ellen eaton")</f>
        <v>ellen eaton</v>
      </c>
      <c r="O480" s="7">
        <f t="shared" si="5"/>
        <v>1</v>
      </c>
      <c r="P480" s="8" t="str">
        <f t="shared" si="6"/>
        <v>No</v>
      </c>
    </row>
    <row r="481">
      <c r="A481" s="4" t="s">
        <v>16</v>
      </c>
      <c r="B481" s="4" t="s">
        <v>1392</v>
      </c>
      <c r="C481" s="5">
        <v>45002.0</v>
      </c>
      <c r="D481" s="10">
        <v>45003.0</v>
      </c>
      <c r="E481" s="4" t="s">
        <v>1393</v>
      </c>
      <c r="F481" s="4" t="s">
        <v>331</v>
      </c>
      <c r="G481" s="6" t="str">
        <f>IFERROR(__xludf.DUMMYFUNCTION("REGEXREPLACE(LOWER(F481),""[^a-z\s]"","""")"),"none")</f>
        <v>none</v>
      </c>
      <c r="H481" s="4" t="str">
        <f t="shared" si="1"/>
        <v>none</v>
      </c>
      <c r="I481" s="6">
        <f t="shared" si="2"/>
        <v>1</v>
      </c>
      <c r="J481" s="6">
        <f>IFERROR(__xludf.DUMMYFUNCTION("IF(H481="""","""",
SUM(
ARRAYFORMULA(
IF(
REGEXMATCH(
"" ""&amp;H481&amp;"" "",
"" ""&amp;Sentiment_Words!A$2:A3730&amp;"" ""
),
1,
0
)
)
)
)"),0.0)</f>
        <v>0</v>
      </c>
      <c r="K481" s="4">
        <f>IFERROR(__xludf.DUMMYFUNCTION("IF(H481="""","""",
SUM(
ARRAYFORMULA(
IF(
REGEXMATCH(
"" ""&amp;H481&amp;"" "",
"" ""&amp;Sentiment_Words!B$2:B3730&amp;"" ""
),
1,
0
)
)
)
)"),0.0)</f>
        <v>0</v>
      </c>
      <c r="L481" s="7" t="str">
        <f t="shared" si="3"/>
        <v>Other</v>
      </c>
      <c r="M481" s="7" t="str">
        <f t="shared" si="4"/>
        <v>Neutral</v>
      </c>
      <c r="N481" s="7" t="str">
        <f>IFERROR(__xludf.DUMMYFUNCTION("LOWER(
TRIM(
REGEXREPLACE(B481,""[^a-zA-Z\s]"","""")
)
)
"),"julieggeno")</f>
        <v>julieggeno</v>
      </c>
      <c r="O481" s="7">
        <f t="shared" si="5"/>
        <v>1</v>
      </c>
      <c r="P481" s="8" t="str">
        <f t="shared" si="6"/>
        <v>No</v>
      </c>
    </row>
    <row r="482">
      <c r="A482" s="4" t="s">
        <v>16</v>
      </c>
      <c r="B482" s="4" t="s">
        <v>1394</v>
      </c>
      <c r="C482" s="9">
        <v>44994.0</v>
      </c>
      <c r="D482" s="10">
        <v>45003.0</v>
      </c>
      <c r="E482" s="4" t="s">
        <v>1395</v>
      </c>
      <c r="F482" s="4" t="s">
        <v>1396</v>
      </c>
      <c r="G482" s="6" t="str">
        <f>IFERROR(__xludf.DUMMYFUNCTION("REGEXREPLACE(LOWER(F482),""[^a-z\s]"","""")"),"i bought the kong monster balls for our beagle  her second set of them  she loves them so much she hardly plays with any of her other toys")</f>
        <v>i bought the kong monster balls for our beagle  her second set of them  she loves them so much she hardly plays with any of her other toys</v>
      </c>
      <c r="H482" s="4" t="str">
        <f t="shared" si="1"/>
        <v>i bought kong monster balls our beagle her second set of them she loves them so much she hardly plays with any of her other toys</v>
      </c>
      <c r="I482" s="6">
        <f t="shared" si="2"/>
        <v>26</v>
      </c>
      <c r="J482" s="6">
        <f>IFERROR(__xludf.DUMMYFUNCTION("IF(H482="""","""",
SUM(
ARRAYFORMULA(
IF(
REGEXMATCH(
"" ""&amp;H482&amp;"" "",
"" ""&amp;Sentiment_Words!A$2:A3730&amp;"" ""
),
1,
0
)
)
)
)"),0.0)</f>
        <v>0</v>
      </c>
      <c r="K482" s="4">
        <f>IFERROR(__xludf.DUMMYFUNCTION("IF(H482="""","""",
SUM(
ARRAYFORMULA(
IF(
REGEXMATCH(
"" ""&amp;H482&amp;"" "",
"" ""&amp;Sentiment_Words!B$2:B3730&amp;"" ""
),
1,
0
)
)
)
)"),0.0)</f>
        <v>0</v>
      </c>
      <c r="L482" s="7" t="str">
        <f t="shared" si="3"/>
        <v>Other</v>
      </c>
      <c r="M482" s="7" t="str">
        <f t="shared" si="4"/>
        <v>Neutral</v>
      </c>
      <c r="N482" s="7" t="str">
        <f>IFERROR(__xludf.DUMMYFUNCTION("LOWER(
TRIM(
REGEXREPLACE(B482,""[^a-zA-Z\s]"","""")
)
)
"),"claudia kleczkowski")</f>
        <v>claudia kleczkowski</v>
      </c>
      <c r="O482" s="7">
        <f t="shared" si="5"/>
        <v>1</v>
      </c>
      <c r="P482" s="8" t="str">
        <f t="shared" si="6"/>
        <v>No</v>
      </c>
    </row>
    <row r="483">
      <c r="A483" s="4" t="s">
        <v>16</v>
      </c>
      <c r="B483" s="4" t="s">
        <v>1397</v>
      </c>
      <c r="C483" s="9">
        <v>44990.0</v>
      </c>
      <c r="D483" s="10">
        <v>45002.0</v>
      </c>
      <c r="E483" s="4" t="s">
        <v>1398</v>
      </c>
      <c r="F483" s="4" t="s">
        <v>1399</v>
      </c>
      <c r="G483" s="6" t="str">
        <f>IFERROR(__xludf.DUMMYFUNCTION("REGEXREPLACE(LOWER(F483),""[^a-z\s]"","""")"),"your two representatives tristan and ryan were knowledgeable professional and courteous they helped me through the process of creating a subscription account")</f>
        <v>your two representatives tristan and ryan were knowledgeable professional and courteous they helped me through the process of creating a subscription account</v>
      </c>
      <c r="H483" s="4" t="str">
        <f t="shared" si="1"/>
        <v>your two representatives tristan ryan were knowledgeable professional courteous they helped me through process of creating a subscription account</v>
      </c>
      <c r="I483" s="6">
        <f t="shared" si="2"/>
        <v>19</v>
      </c>
      <c r="J483" s="6">
        <f>IFERROR(__xludf.DUMMYFUNCTION("IF(H483="""","""",
SUM(
ARRAYFORMULA(
IF(
REGEXMATCH(
"" ""&amp;H483&amp;"" "",
"" ""&amp;Sentiment_Words!A$2:A3730&amp;"" ""
),
1,
0
)
)
)
)"),1.0)</f>
        <v>1</v>
      </c>
      <c r="K483" s="4">
        <f>IFERROR(__xludf.DUMMYFUNCTION("IF(H483="""","""",
SUM(
ARRAYFORMULA(
IF(
REGEXMATCH(
"" ""&amp;H483&amp;"" "",
"" ""&amp;Sentiment_Words!B$2:B3730&amp;"" ""
),
1,
0
)
)
)
)"),0.0)</f>
        <v>0</v>
      </c>
      <c r="L483" s="7" t="str">
        <f t="shared" si="3"/>
        <v>Account &amp; Website</v>
      </c>
      <c r="M483" s="7" t="str">
        <f t="shared" si="4"/>
        <v>Positive</v>
      </c>
      <c r="N483" s="7" t="str">
        <f>IFERROR(__xludf.DUMMYFUNCTION("LOWER(
TRIM(
REGEXREPLACE(B483,""[^a-zA-Z\s]"","""")
)
)
"),"marcy")</f>
        <v>marcy</v>
      </c>
      <c r="O483" s="7">
        <f t="shared" si="5"/>
        <v>1</v>
      </c>
      <c r="P483" s="8" t="str">
        <f t="shared" si="6"/>
        <v>No</v>
      </c>
    </row>
    <row r="484">
      <c r="A484" s="4" t="s">
        <v>16</v>
      </c>
      <c r="B484" s="4" t="s">
        <v>1400</v>
      </c>
      <c r="C484" s="5">
        <v>45001.0</v>
      </c>
      <c r="D484" s="10">
        <v>45002.0</v>
      </c>
      <c r="E484" s="4" t="s">
        <v>1269</v>
      </c>
      <c r="F484" s="4" t="s">
        <v>1401</v>
      </c>
      <c r="G484" s="6" t="str">
        <f>IFERROR(__xludf.DUMMYFUNCTION("REGEXREPLACE(LOWER(F484),""[^a-z\s]"","""")"),"good prices delivered as expected")</f>
        <v>good prices delivered as expected</v>
      </c>
      <c r="H484" s="4" t="str">
        <f t="shared" si="1"/>
        <v>good prices delivered as expected</v>
      </c>
      <c r="I484" s="6">
        <f t="shared" si="2"/>
        <v>5</v>
      </c>
      <c r="J484" s="6">
        <f>IFERROR(__xludf.DUMMYFUNCTION("IF(H484="""","""",
SUM(
ARRAYFORMULA(
IF(
REGEXMATCH(
"" ""&amp;H484&amp;"" "",
"" ""&amp;Sentiment_Words!A$2:A3730&amp;"" ""
),
1,
0
)
)
)
)"),2.0)</f>
        <v>2</v>
      </c>
      <c r="K484" s="4">
        <f>IFERROR(__xludf.DUMMYFUNCTION("IF(H484="""","""",
SUM(
ARRAYFORMULA(
IF(
REGEXMATCH(
"" ""&amp;H484&amp;"" "",
"" ""&amp;Sentiment_Words!B$2:B3730&amp;"" ""
),
1,
0
)
)
)
)"),0.0)</f>
        <v>0</v>
      </c>
      <c r="L484" s="7" t="str">
        <f t="shared" si="3"/>
        <v>Other</v>
      </c>
      <c r="M484" s="7" t="str">
        <f t="shared" si="4"/>
        <v>Positive</v>
      </c>
      <c r="N484" s="7" t="str">
        <f>IFERROR(__xludf.DUMMYFUNCTION("LOWER(
TRIM(
REGEXREPLACE(B484,""[^a-zA-Z\s]"","""")
)
)
"),"sarah sappington")</f>
        <v>sarah sappington</v>
      </c>
      <c r="O484" s="7">
        <f t="shared" si="5"/>
        <v>1</v>
      </c>
      <c r="P484" s="8" t="str">
        <f t="shared" si="6"/>
        <v>No</v>
      </c>
    </row>
    <row r="485">
      <c r="A485" s="4" t="s">
        <v>16</v>
      </c>
      <c r="B485" s="4" t="s">
        <v>1402</v>
      </c>
      <c r="C485" s="9">
        <v>44988.0</v>
      </c>
      <c r="D485" s="10">
        <v>45002.0</v>
      </c>
      <c r="E485" s="4" t="s">
        <v>1403</v>
      </c>
      <c r="F485" s="4" t="s">
        <v>1404</v>
      </c>
      <c r="G485" s="6" t="str">
        <f>IFERROR(__xludf.DUMMYFUNCTION("REGEXREPLACE(LOWER(F485),""[^a-z\s]"","""")"),"you cancelled my order because i made it while traveling abroad dont worry i will never visit your website again")</f>
        <v>you cancelled my order because i made it while traveling abroad dont worry i will never visit your website again</v>
      </c>
      <c r="H485" s="4" t="str">
        <f t="shared" si="1"/>
        <v>you cancelled my order because i made it while traveling abroad dont worry i will never visit your website again</v>
      </c>
      <c r="I485" s="6">
        <f t="shared" si="2"/>
        <v>20</v>
      </c>
      <c r="J485" s="6">
        <f>IFERROR(__xludf.DUMMYFUNCTION("IF(H485="""","""",
SUM(
ARRAYFORMULA(
IF(
REGEXMATCH(
"" ""&amp;H485&amp;"" "",
"" ""&amp;Sentiment_Words!A$2:A3730&amp;"" ""
),
1,
0
)
)
)
)"),0.0)</f>
        <v>0</v>
      </c>
      <c r="K485" s="4">
        <f>IFERROR(__xludf.DUMMYFUNCTION("IF(H485="""","""",
SUM(
ARRAYFORMULA(
IF(
REGEXMATCH(
"" ""&amp;H485&amp;"" "",
"" ""&amp;Sentiment_Words!B$2:B3730&amp;"" ""
),
1,
0
)
)
)
)"),1.0)</f>
        <v>1</v>
      </c>
      <c r="L485" s="7" t="str">
        <f t="shared" si="3"/>
        <v>Account &amp; Website</v>
      </c>
      <c r="M485" s="7" t="str">
        <f t="shared" si="4"/>
        <v>Negative</v>
      </c>
      <c r="N485" s="7" t="str">
        <f>IFERROR(__xludf.DUMMYFUNCTION("LOWER(
TRIM(
REGEXREPLACE(B485,""[^a-zA-Z\s]"","""")
)
)
"),"richard sykes")</f>
        <v>richard sykes</v>
      </c>
      <c r="O485" s="7">
        <f t="shared" si="5"/>
        <v>1</v>
      </c>
      <c r="P485" s="8" t="str">
        <f t="shared" si="6"/>
        <v>No</v>
      </c>
    </row>
    <row r="486">
      <c r="A486" s="4" t="s">
        <v>16</v>
      </c>
      <c r="B486" s="4" t="s">
        <v>1405</v>
      </c>
      <c r="C486" s="5">
        <v>45001.0</v>
      </c>
      <c r="D486" s="10">
        <v>45002.0</v>
      </c>
      <c r="E486" s="4" t="s">
        <v>1406</v>
      </c>
      <c r="F486" s="4" t="s">
        <v>1407</v>
      </c>
      <c r="G486" s="6" t="str">
        <f>IFERROR(__xludf.DUMMYFUNCTION("REGEXREPLACE(LOWER(F486),""[^a-z\s]"","""")"),"my dogs most favorite treats are impossible to find thankfully petflow has them in stock regularly no more rationing their favorites always fast shipping arrives in great condition")</f>
        <v>my dogs most favorite treats are impossible to find thankfully petflow has them in stock regularly no more rationing their favorites always fast shipping arrives in great condition</v>
      </c>
      <c r="H486" s="4" t="str">
        <f t="shared" si="1"/>
        <v>my dogs most favorite treats are impossible find thankfully petflow has them in stock regularly no more rationing their favorites always fast shipping arrives in great condition</v>
      </c>
      <c r="I486" s="6">
        <f t="shared" si="2"/>
        <v>27</v>
      </c>
      <c r="J486" s="6">
        <f>IFERROR(__xludf.DUMMYFUNCTION("IF(H486="""","""",
SUM(
ARRAYFORMULA(
IF(
REGEXMATCH(
"" ""&amp;H486&amp;"" "",
"" ""&amp;Sentiment_Words!A$2:A3730&amp;"" ""
),
1,
0
)
)
)
)"),3.0)</f>
        <v>3</v>
      </c>
      <c r="K486" s="4">
        <f>IFERROR(__xludf.DUMMYFUNCTION("IF(H486="""","""",
SUM(
ARRAYFORMULA(
IF(
REGEXMATCH(
"" ""&amp;H486&amp;"" "",
"" ""&amp;Sentiment_Words!B$2:B3730&amp;"" ""
),
1,
0
)
)
)
)"),0.0)</f>
        <v>0</v>
      </c>
      <c r="L486" s="7" t="str">
        <f t="shared" si="3"/>
        <v>Other</v>
      </c>
      <c r="M486" s="7" t="str">
        <f t="shared" si="4"/>
        <v>Positive</v>
      </c>
      <c r="N486" s="7" t="str">
        <f>IFERROR(__xludf.DUMMYFUNCTION("LOWER(
TRIM(
REGEXREPLACE(B486,""[^a-zA-Z\s]"","""")
)
)
"),"cris e")</f>
        <v>cris e</v>
      </c>
      <c r="O486" s="7">
        <f t="shared" si="5"/>
        <v>1</v>
      </c>
      <c r="P486" s="8" t="str">
        <f t="shared" si="6"/>
        <v>No</v>
      </c>
    </row>
    <row r="487">
      <c r="A487" s="4" t="s">
        <v>16</v>
      </c>
      <c r="B487" s="4" t="s">
        <v>1408</v>
      </c>
      <c r="C487" s="5">
        <v>45001.0</v>
      </c>
      <c r="D487" s="10">
        <v>45002.0</v>
      </c>
      <c r="E487" s="4" t="s">
        <v>1409</v>
      </c>
      <c r="F487" s="4" t="s">
        <v>1410</v>
      </c>
      <c r="G487" s="6" t="str">
        <f>IFERROR(__xludf.DUMMYFUNCTION("REGEXREPLACE(LOWER(F487),""[^a-z\s]"","""")"),"prices of the blues buffalo wilderness canned dog food was good delivery was late bc it was out of stock which was fine however six of the  cans were dented which i wont use")</f>
        <v>prices of the blues buffalo wilderness canned dog food was good delivery was late bc it was out of stock which was fine however six of the  cans were dented which i wont use</v>
      </c>
      <c r="H487" s="4" t="str">
        <f t="shared" si="1"/>
        <v>prices of blues buffalo wilderness canned dog food was good delivery was late bc it was out of stock which was fine however six of cans were dented which i wont use</v>
      </c>
      <c r="I487" s="6">
        <f t="shared" si="2"/>
        <v>32</v>
      </c>
      <c r="J487" s="6">
        <f>IFERROR(__xludf.DUMMYFUNCTION("IF(H487="""","""",
SUM(
ARRAYFORMULA(
IF(
REGEXMATCH(
"" ""&amp;H487&amp;"" "",
"" ""&amp;Sentiment_Words!A$2:A3730&amp;"" ""
),
1,
0
)
)
)
)"),1.0)</f>
        <v>1</v>
      </c>
      <c r="K487" s="4">
        <f>IFERROR(__xludf.DUMMYFUNCTION("IF(H487="""","""",
SUM(
ARRAYFORMULA(
IF(
REGEXMATCH(
"" ""&amp;H487&amp;"" "",
"" ""&amp;Sentiment_Words!B$2:B3730&amp;"" ""
),
1,
0
)
)
)
)"),1.0)</f>
        <v>1</v>
      </c>
      <c r="L487" s="7" t="str">
        <f t="shared" si="3"/>
        <v>Fulfillment &amp; Shipping</v>
      </c>
      <c r="M487" s="7" t="str">
        <f t="shared" si="4"/>
        <v>Neutral</v>
      </c>
      <c r="N487" s="7" t="str">
        <f>IFERROR(__xludf.DUMMYFUNCTION("LOWER(
TRIM(
REGEXREPLACE(B487,""[^a-zA-Z\s]"","""")
)
)
"),"shay lee")</f>
        <v>shay lee</v>
      </c>
      <c r="O487" s="7">
        <f t="shared" si="5"/>
        <v>1</v>
      </c>
      <c r="P487" s="8" t="str">
        <f t="shared" si="6"/>
        <v>No</v>
      </c>
    </row>
    <row r="488">
      <c r="A488" s="4" t="s">
        <v>16</v>
      </c>
      <c r="B488" s="4" t="s">
        <v>1411</v>
      </c>
      <c r="C488" s="9">
        <v>44994.0</v>
      </c>
      <c r="D488" s="10">
        <v>45002.0</v>
      </c>
      <c r="E488" s="4" t="s">
        <v>1412</v>
      </c>
      <c r="F488" s="4" t="s">
        <v>1413</v>
      </c>
      <c r="G488" s="6" t="str">
        <f>IFERROR(__xludf.DUMMYFUNCTION("REGEXREPLACE(LOWER(F488),""[^a-z\s]"","""")"),"fast shipping and prices in line with other companies")</f>
        <v>fast shipping and prices in line with other companies</v>
      </c>
      <c r="H488" s="4" t="str">
        <f t="shared" si="1"/>
        <v>fast shipping prices in line with other companies</v>
      </c>
      <c r="I488" s="6">
        <f t="shared" si="2"/>
        <v>8</v>
      </c>
      <c r="J488" s="6">
        <f>IFERROR(__xludf.DUMMYFUNCTION("IF(H488="""","""",
SUM(
ARRAYFORMULA(
IF(
REGEXMATCH(
"" ""&amp;H488&amp;"" "",
"" ""&amp;Sentiment_Words!A$2:A3730&amp;"" ""
),
1,
0
)
)
)
)"),1.0)</f>
        <v>1</v>
      </c>
      <c r="K488" s="4">
        <f>IFERROR(__xludf.DUMMYFUNCTION("IF(H488="""","""",
SUM(
ARRAYFORMULA(
IF(
REGEXMATCH(
"" ""&amp;H488&amp;"" "",
"" ""&amp;Sentiment_Words!B$2:B3730&amp;"" ""
),
1,
0
)
)
)
)"),0.0)</f>
        <v>0</v>
      </c>
      <c r="L488" s="7" t="str">
        <f t="shared" si="3"/>
        <v>Other</v>
      </c>
      <c r="M488" s="7" t="str">
        <f t="shared" si="4"/>
        <v>Positive</v>
      </c>
      <c r="N488" s="7" t="str">
        <f>IFERROR(__xludf.DUMMYFUNCTION("LOWER(
TRIM(
REGEXREPLACE(B488,""[^a-zA-Z\s]"","""")
)
)
"),"joel rappaport")</f>
        <v>joel rappaport</v>
      </c>
      <c r="O488" s="7">
        <f t="shared" si="5"/>
        <v>1</v>
      </c>
      <c r="P488" s="8" t="str">
        <f t="shared" si="6"/>
        <v>No</v>
      </c>
    </row>
    <row r="489">
      <c r="A489" s="4" t="s">
        <v>16</v>
      </c>
      <c r="B489" s="4" t="s">
        <v>56</v>
      </c>
      <c r="C489" s="9">
        <v>44990.0</v>
      </c>
      <c r="D489" s="10">
        <v>45002.0</v>
      </c>
      <c r="E489" s="4" t="s">
        <v>181</v>
      </c>
      <c r="F489" s="4" t="s">
        <v>1414</v>
      </c>
      <c r="G489" s="6" t="str">
        <f>IFERROR(__xludf.DUMMYFUNCTION("REGEXREPLACE(LOWER(F489),""[^a-z\s]"","""")"),"great prices fast delivery")</f>
        <v>great prices fast delivery</v>
      </c>
      <c r="H489" s="4" t="str">
        <f t="shared" si="1"/>
        <v>great prices fast delivery</v>
      </c>
      <c r="I489" s="6">
        <f t="shared" si="2"/>
        <v>4</v>
      </c>
      <c r="J489" s="6">
        <f>IFERROR(__xludf.DUMMYFUNCTION("IF(H489="""","""",
SUM(
ARRAYFORMULA(
IF(
REGEXMATCH(
"" ""&amp;H489&amp;"" "",
"" ""&amp;Sentiment_Words!A$2:A3730&amp;"" ""
),
1,
0
)
)
)
)"),3.0)</f>
        <v>3</v>
      </c>
      <c r="K489" s="4">
        <f>IFERROR(__xludf.DUMMYFUNCTION("IF(H489="""","""",
SUM(
ARRAYFORMULA(
IF(
REGEXMATCH(
"" ""&amp;H489&amp;"" "",
"" ""&amp;Sentiment_Words!B$2:B3730&amp;"" ""
),
1,
0
)
)
)
)"),0.0)</f>
        <v>0</v>
      </c>
      <c r="L489" s="7" t="str">
        <f t="shared" si="3"/>
        <v>Other</v>
      </c>
      <c r="M489" s="7" t="str">
        <f t="shared" si="4"/>
        <v>Positive</v>
      </c>
      <c r="N489" s="7" t="str">
        <f>IFERROR(__xludf.DUMMYFUNCTION("LOWER(
TRIM(
REGEXREPLACE(B489,""[^a-zA-Z\s]"","""")
)
)
"),"customer")</f>
        <v>customer</v>
      </c>
      <c r="O489" s="7">
        <f t="shared" si="5"/>
        <v>54</v>
      </c>
      <c r="P489" s="8" t="str">
        <f t="shared" si="6"/>
        <v>Yes</v>
      </c>
    </row>
    <row r="490">
      <c r="A490" s="4" t="s">
        <v>16</v>
      </c>
      <c r="B490" s="4" t="s">
        <v>1415</v>
      </c>
      <c r="C490" s="5">
        <v>45001.0</v>
      </c>
      <c r="D490" s="10">
        <v>45002.0</v>
      </c>
      <c r="E490" s="4" t="s">
        <v>1416</v>
      </c>
      <c r="F490" s="4" t="s">
        <v>1417</v>
      </c>
      <c r="G490" s="6" t="str">
        <f>IFERROR(__xludf.DUMMYFUNCTION("REGEXREPLACE(LOWER(F490),""[^a-z\s]"","""")"),"great selection and price fast delivery")</f>
        <v>great selection and price fast delivery</v>
      </c>
      <c r="H490" s="4" t="str">
        <f t="shared" si="1"/>
        <v>great selection price fast delivery</v>
      </c>
      <c r="I490" s="6">
        <f t="shared" si="2"/>
        <v>5</v>
      </c>
      <c r="J490" s="6">
        <f>IFERROR(__xludf.DUMMYFUNCTION("IF(H490="""","""",
SUM(
ARRAYFORMULA(
IF(
REGEXMATCH(
"" ""&amp;H490&amp;"" "",
"" ""&amp;Sentiment_Words!A$2:A3730&amp;"" ""
),
1,
0
)
)
)
)"),3.0)</f>
        <v>3</v>
      </c>
      <c r="K490" s="4">
        <f>IFERROR(__xludf.DUMMYFUNCTION("IF(H490="""","""",
SUM(
ARRAYFORMULA(
IF(
REGEXMATCH(
"" ""&amp;H490&amp;"" "",
"" ""&amp;Sentiment_Words!B$2:B3730&amp;"" ""
),
1,
0
)
)
)
)"),0.0)</f>
        <v>0</v>
      </c>
      <c r="L490" s="7" t="str">
        <f t="shared" si="3"/>
        <v>Other</v>
      </c>
      <c r="M490" s="7" t="str">
        <f t="shared" si="4"/>
        <v>Positive</v>
      </c>
      <c r="N490" s="7" t="str">
        <f>IFERROR(__xludf.DUMMYFUNCTION("LOWER(
TRIM(
REGEXREPLACE(B490,""[^a-zA-Z\s]"","""")
)
)
"),"cheryl paszkiewicz")</f>
        <v>cheryl paszkiewicz</v>
      </c>
      <c r="O490" s="7">
        <f t="shared" si="5"/>
        <v>1</v>
      </c>
      <c r="P490" s="8" t="str">
        <f t="shared" si="6"/>
        <v>No</v>
      </c>
    </row>
    <row r="491">
      <c r="A491" s="4" t="s">
        <v>16</v>
      </c>
      <c r="B491" s="4" t="s">
        <v>1418</v>
      </c>
      <c r="C491" s="9">
        <v>44991.0</v>
      </c>
      <c r="D491" s="10">
        <v>45002.0</v>
      </c>
      <c r="E491" s="4" t="s">
        <v>1419</v>
      </c>
      <c r="F491" s="4" t="s">
        <v>1420</v>
      </c>
      <c r="G491" s="6" t="str">
        <f>IFERROR(__xludf.DUMMYFUNCTION("REGEXREPLACE(LOWER(F491),""[^a-z\s]"","""")"),"had never heard of this company before and was planning to use chewy for our order but found this company in an online search they offered a coupon so i opted to give them a try our order was for prescription dog food so we had to go through mailing in th"&amp;"e script same for every company but the last time we did this with walmart pet meds they messed it all up and it took some work to get our order with this company the day they received our prescription that we overnighted they processed the order and ship"&amp;"ped it the next day i called them to check on it expecting issues but they were on it we got our order in a timely manner and had great service ill definitely use this company again for future needs")</f>
        <v>had never heard of this company before and was planning to use chewy for our order but found this company in an online search they offered a coupon so i opted to give them a try our order was for prescription dog food so we had to go through mailing in the script same for every company but the last time we did this with walmart pet meds they messed it all up and it took some work to get our order with this company the day they received our prescription that we overnighted they processed the order and shipped it the next day i called them to check on it expecting issues but they were on it we got our order in a timely manner and had great service ill definitely use this company again for future needs</v>
      </c>
      <c r="H491" s="4" t="str">
        <f t="shared" si="1"/>
        <v>had never heard of this company before was planning use chewy our order but found this company in an online search they offered a coupon so i opted give them a try our order was prescription dog food so we had go through mailing in script same every company but last time we did this with walmart pet meds they messed it all up it took some work get our order with this company day they received our prescription that we overnighted they processed order shipped it next day i called them check on it expecting issues but they were on it we got our order in a timely manner had great service ill definitely use this company again future needs</v>
      </c>
      <c r="I491" s="6">
        <f t="shared" si="2"/>
        <v>121</v>
      </c>
      <c r="J491" s="6">
        <f>IFERROR(__xludf.DUMMYFUNCTION("IF(H491="""","""",
SUM(
ARRAYFORMULA(
IF(
REGEXMATCH(
"" ""&amp;H491&amp;"" "",
"" ""&amp;Sentiment_Words!A$2:A3730&amp;"" ""
),
1,
0
)
)
)
)"),2.0)</f>
        <v>2</v>
      </c>
      <c r="K491" s="4">
        <f>IFERROR(__xludf.DUMMYFUNCTION("IF(H491="""","""",
SUM(
ARRAYFORMULA(
IF(
REGEXMATCH(
"" ""&amp;H491&amp;"" "",
"" ""&amp;Sentiment_Words!B$2:B3730&amp;"" ""
),
1,
0
)
)
)
)"),0.0)</f>
        <v>0</v>
      </c>
      <c r="L491" s="7" t="str">
        <f t="shared" si="3"/>
        <v>Customer Support</v>
      </c>
      <c r="M491" s="7" t="str">
        <f t="shared" si="4"/>
        <v>Positive</v>
      </c>
      <c r="N491" s="7" t="str">
        <f>IFERROR(__xludf.DUMMYFUNCTION("LOWER(
TRIM(
REGEXREPLACE(B491,""[^a-zA-Z\s]"","""")
)
)
"),"jennie dunlap")</f>
        <v>jennie dunlap</v>
      </c>
      <c r="O491" s="7">
        <f t="shared" si="5"/>
        <v>1</v>
      </c>
      <c r="P491" s="8" t="str">
        <f t="shared" si="6"/>
        <v>No</v>
      </c>
    </row>
    <row r="492">
      <c r="A492" s="4" t="s">
        <v>16</v>
      </c>
      <c r="B492" s="4" t="s">
        <v>1421</v>
      </c>
      <c r="C492" s="9">
        <v>44987.0</v>
      </c>
      <c r="D492" s="10">
        <v>45002.0</v>
      </c>
      <c r="E492" s="4" t="s">
        <v>1422</v>
      </c>
      <c r="F492" s="4" t="s">
        <v>1423</v>
      </c>
      <c r="G492" s="6" t="str">
        <f>IFERROR(__xludf.DUMMYFUNCTION("REGEXREPLACE(LOWER(F492),""[^a-z\s]"","""")"),"easy to navigate website and you had food for both my pets")</f>
        <v>easy to navigate website and you had food for both my pets</v>
      </c>
      <c r="H492" s="4" t="str">
        <f t="shared" si="1"/>
        <v>easy navigate website you had food both my pets</v>
      </c>
      <c r="I492" s="6">
        <f t="shared" si="2"/>
        <v>9</v>
      </c>
      <c r="J492" s="6">
        <f>IFERROR(__xludf.DUMMYFUNCTION("IF(H492="""","""",
SUM(
ARRAYFORMULA(
IF(
REGEXMATCH(
"" ""&amp;H492&amp;"" "",
"" ""&amp;Sentiment_Words!A$2:A3730&amp;"" ""
),
1,
0
)
)
)
)"),1.0)</f>
        <v>1</v>
      </c>
      <c r="K492" s="4">
        <f>IFERROR(__xludf.DUMMYFUNCTION("IF(H492="""","""",
SUM(
ARRAYFORMULA(
IF(
REGEXMATCH(
"" ""&amp;H492&amp;"" "",
"" ""&amp;Sentiment_Words!B$2:B3730&amp;"" ""
),
1,
0
)
)
)
)"),0.0)</f>
        <v>0</v>
      </c>
      <c r="L492" s="7" t="str">
        <f t="shared" si="3"/>
        <v>Account &amp; Website</v>
      </c>
      <c r="M492" s="7" t="str">
        <f t="shared" si="4"/>
        <v>Positive</v>
      </c>
      <c r="N492" s="7" t="str">
        <f>IFERROR(__xludf.DUMMYFUNCTION("LOWER(
TRIM(
REGEXREPLACE(B492,""[^a-zA-Z\s]"","""")
)
)
"),"carole paulsen")</f>
        <v>carole paulsen</v>
      </c>
      <c r="O492" s="7">
        <f t="shared" si="5"/>
        <v>1</v>
      </c>
      <c r="P492" s="8" t="str">
        <f t="shared" si="6"/>
        <v>No</v>
      </c>
    </row>
    <row r="493">
      <c r="A493" s="4" t="s">
        <v>16</v>
      </c>
      <c r="B493" s="4" t="s">
        <v>1424</v>
      </c>
      <c r="C493" s="9">
        <v>44994.0</v>
      </c>
      <c r="D493" s="10">
        <v>45001.0</v>
      </c>
      <c r="E493" s="4" t="s">
        <v>1425</v>
      </c>
      <c r="F493" s="4" t="s">
        <v>1426</v>
      </c>
      <c r="G493" s="6" t="str">
        <f>IFERROR(__xludf.DUMMYFUNCTION("REGEXREPLACE(LOWER(F493),""[^a-z\s]"","""")"),"very pleased with purchase price was great better than amazon free shipping over certain amount fast also very well packaged often from a it looks like it rode behind the truck not in it very happy with petflow they be my new goto supplier thank you petfl"&amp;"ow")</f>
        <v>very pleased with purchase price was great better than amazon free shipping over certain amount fast also very well packaged often from a it looks like it rode behind the truck not in it very happy with petflow they be my new goto supplier thank you petflow</v>
      </c>
      <c r="H493" s="4" t="str">
        <f t="shared" si="1"/>
        <v>very pleased with purchase price was great better than amazon free shipping over certain amount fast also very well packaged often from a it looks like it rode behind truck not in it very happy with petflow they be my new goto supplier thank you petflow</v>
      </c>
      <c r="I493" s="6">
        <f t="shared" si="2"/>
        <v>46</v>
      </c>
      <c r="J493" s="6">
        <f>IFERROR(__xludf.DUMMYFUNCTION("IF(H493="""","""",
SUM(
ARRAYFORMULA(
IF(
REGEXMATCH(
"" ""&amp;H493&amp;"" "",
"" ""&amp;Sentiment_Words!A$2:A3730&amp;"" ""
),
1,
0
)
)
)
)"),3.0)</f>
        <v>3</v>
      </c>
      <c r="K493" s="4">
        <f>IFERROR(__xludf.DUMMYFUNCTION("IF(H493="""","""",
SUM(
ARRAYFORMULA(
IF(
REGEXMATCH(
"" ""&amp;H493&amp;"" "",
"" ""&amp;Sentiment_Words!B$2:B3730&amp;"" ""
),
1,
0
)
)
)
)"),0.0)</f>
        <v>0</v>
      </c>
      <c r="L493" s="7" t="str">
        <f t="shared" si="3"/>
        <v>Other</v>
      </c>
      <c r="M493" s="7" t="str">
        <f t="shared" si="4"/>
        <v>Positive</v>
      </c>
      <c r="N493" s="7" t="str">
        <f>IFERROR(__xludf.DUMMYFUNCTION("LOWER(
TRIM(
REGEXREPLACE(B493,""[^a-zA-Z\s]"","""")
)
)
"),"gene w")</f>
        <v>gene w</v>
      </c>
      <c r="O493" s="7">
        <f t="shared" si="5"/>
        <v>1</v>
      </c>
      <c r="P493" s="8" t="str">
        <f t="shared" si="6"/>
        <v>No</v>
      </c>
    </row>
    <row r="494">
      <c r="A494" s="4" t="s">
        <v>16</v>
      </c>
      <c r="B494" s="4" t="s">
        <v>1427</v>
      </c>
      <c r="C494" s="9">
        <v>44993.0</v>
      </c>
      <c r="D494" s="10">
        <v>45001.0</v>
      </c>
      <c r="E494" s="4" t="s">
        <v>1428</v>
      </c>
      <c r="F494" s="4" t="s">
        <v>1429</v>
      </c>
      <c r="G494" s="6" t="str">
        <f>IFERROR(__xludf.DUMMYFUNCTION("REGEXREPLACE(LOWER(F494),""[^a-z\s]"","""")"),"my first order was cancelled in error by merchant they were quick to resolve this when i called unfortunately the same thing happened again when i ordered other merchandise again they were quick to resolve this with a phone call the customer service folks"&amp;" are excellent helpful and quickly solved the problem petflow customer service is well above what we have come to experience or expect when dealing with online retailers nice to do business with")</f>
        <v>my first order was cancelled in error by merchant they were quick to resolve this when i called unfortunately the same thing happened again when i ordered other merchandise again they were quick to resolve this with a phone call the customer service folks are excellent helpful and quickly solved the problem petflow customer service is well above what we have come to experience or expect when dealing with online retailers nice to do business with</v>
      </c>
      <c r="H494" s="4" t="str">
        <f t="shared" si="1"/>
        <v>my first order was cancelled in error by merchant they were quick resolve this when i called unfortunately same thing happened again when i ordered other merchandise again they were quick resolve this with a phone call customer service folks are excellent helpful quickly solved problem petflow customer service well above what we have come experience or expect when dealing with online retailers nice do business with</v>
      </c>
      <c r="I494" s="6">
        <f t="shared" si="2"/>
        <v>67</v>
      </c>
      <c r="J494" s="6">
        <f>IFERROR(__xludf.DUMMYFUNCTION("IF(H494="""","""",
SUM(
ARRAYFORMULA(
IF(
REGEXMATCH(
"" ""&amp;H494&amp;"" "",
"" ""&amp;Sentiment_Words!A$2:A3730&amp;"" ""
),
1,
0
)
)
)
)"),1.0)</f>
        <v>1</v>
      </c>
      <c r="K494" s="4">
        <f>IFERROR(__xludf.DUMMYFUNCTION("IF(H494="""","""",
SUM(
ARRAYFORMULA(
IF(
REGEXMATCH(
"" ""&amp;H494&amp;"" "",
"" ""&amp;Sentiment_Words!B$2:B3730&amp;"" ""
),
1,
0
)
)
)
)"),3.0)</f>
        <v>3</v>
      </c>
      <c r="L494" s="7" t="str">
        <f t="shared" si="3"/>
        <v>Customer Support</v>
      </c>
      <c r="M494" s="7" t="str">
        <f t="shared" si="4"/>
        <v>Negative</v>
      </c>
      <c r="N494" s="7" t="str">
        <f>IFERROR(__xludf.DUMMYFUNCTION("LOWER(
TRIM(
REGEXREPLACE(B494,""[^a-zA-Z\s]"","""")
)
)
"),"kim gifford")</f>
        <v>kim gifford</v>
      </c>
      <c r="O494" s="7">
        <f t="shared" si="5"/>
        <v>1</v>
      </c>
      <c r="P494" s="8" t="str">
        <f t="shared" si="6"/>
        <v>No</v>
      </c>
    </row>
    <row r="495">
      <c r="A495" s="4" t="s">
        <v>16</v>
      </c>
      <c r="B495" s="4" t="s">
        <v>1430</v>
      </c>
      <c r="C495" s="5">
        <v>44941.0</v>
      </c>
      <c r="D495" s="10">
        <v>45001.0</v>
      </c>
      <c r="E495" s="4" t="s">
        <v>1431</v>
      </c>
      <c r="F495" s="4" t="s">
        <v>1432</v>
      </c>
      <c r="G495" s="6" t="str">
        <f>IFERROR(__xludf.DUMMYFUNCTION("REGEXREPLACE(LOWER(F495),""[^a-z\s]"","""")"),"easy for me to order the package showed up in a very timely manner")</f>
        <v>easy for me to order the package showed up in a very timely manner</v>
      </c>
      <c r="H495" s="4" t="str">
        <f t="shared" si="1"/>
        <v>easy me order package showed up in a very timely manner</v>
      </c>
      <c r="I495" s="6">
        <f t="shared" si="2"/>
        <v>11</v>
      </c>
      <c r="J495" s="6">
        <f>IFERROR(__xludf.DUMMYFUNCTION("IF(H495="""","""",
SUM(
ARRAYFORMULA(
IF(
REGEXMATCH(
"" ""&amp;H495&amp;"" "",
"" ""&amp;Sentiment_Words!A$2:A3730&amp;"" ""
),
1,
0
)
)
)
)"),1.0)</f>
        <v>1</v>
      </c>
      <c r="K495" s="4">
        <f>IFERROR(__xludf.DUMMYFUNCTION("IF(H495="""","""",
SUM(
ARRAYFORMULA(
IF(
REGEXMATCH(
"" ""&amp;H495&amp;"" "",
"" ""&amp;Sentiment_Words!B$2:B3730&amp;"" ""
),
1,
0
)
)
)
)"),0.0)</f>
        <v>0</v>
      </c>
      <c r="L495" s="7" t="str">
        <f t="shared" si="3"/>
        <v>Other</v>
      </c>
      <c r="M495" s="7" t="str">
        <f t="shared" si="4"/>
        <v>Positive</v>
      </c>
      <c r="N495" s="7" t="str">
        <f>IFERROR(__xludf.DUMMYFUNCTION("LOWER(
TRIM(
REGEXREPLACE(B495,""[^a-zA-Z\s]"","""")
)
)
"),"andrew g")</f>
        <v>andrew g</v>
      </c>
      <c r="O495" s="7">
        <f t="shared" si="5"/>
        <v>1</v>
      </c>
      <c r="P495" s="8" t="str">
        <f t="shared" si="6"/>
        <v>No</v>
      </c>
    </row>
    <row r="496">
      <c r="A496" s="4" t="s">
        <v>16</v>
      </c>
      <c r="B496" s="4" t="s">
        <v>1433</v>
      </c>
      <c r="C496" s="5">
        <v>44995.0</v>
      </c>
      <c r="D496" s="10">
        <v>45001.0</v>
      </c>
      <c r="E496" s="4" t="s">
        <v>1434</v>
      </c>
      <c r="F496" s="4" t="s">
        <v>1435</v>
      </c>
      <c r="G496" s="6" t="str">
        <f>IFERROR(__xludf.DUMMYFUNCTION("REGEXREPLACE(LOWER(F496),""[^a-z\s]"","""")"),"prices are good
wish delivery was faster")</f>
        <v>prices are good
wish delivery was faster</v>
      </c>
      <c r="H496" s="4" t="str">
        <f t="shared" si="1"/>
        <v>prices are good
wish delivery was faster</v>
      </c>
      <c r="I496" s="6">
        <f t="shared" si="2"/>
        <v>6</v>
      </c>
      <c r="J496" s="6">
        <f>IFERROR(__xludf.DUMMYFUNCTION("IF(H496="""","""",
SUM(
ARRAYFORMULA(
IF(
REGEXMATCH(
"" ""&amp;H496&amp;"" "",
"" ""&amp;Sentiment_Words!A$2:A3730&amp;"" ""
),
1,
0
)
)
)
)"),0.0)</f>
        <v>0</v>
      </c>
      <c r="K496" s="4">
        <f>IFERROR(__xludf.DUMMYFUNCTION("IF(H496="""","""",
SUM(
ARRAYFORMULA(
IF(
REGEXMATCH(
"" ""&amp;H496&amp;"" "",
"" ""&amp;Sentiment_Words!B$2:B3730&amp;"" ""
),
1,
0
)
)
)
)"),0.0)</f>
        <v>0</v>
      </c>
      <c r="L496" s="7" t="str">
        <f t="shared" si="3"/>
        <v>Other</v>
      </c>
      <c r="M496" s="7" t="str">
        <f t="shared" si="4"/>
        <v>Neutral</v>
      </c>
      <c r="N496" s="7" t="str">
        <f>IFERROR(__xludf.DUMMYFUNCTION("LOWER(
TRIM(
REGEXREPLACE(B496,""[^a-zA-Z\s]"","""")
)
)
"),"mike koeck")</f>
        <v>mike koeck</v>
      </c>
      <c r="O496" s="7">
        <f t="shared" si="5"/>
        <v>1</v>
      </c>
      <c r="P496" s="8" t="str">
        <f t="shared" si="6"/>
        <v>No</v>
      </c>
    </row>
    <row r="497">
      <c r="A497" s="4" t="s">
        <v>16</v>
      </c>
      <c r="B497" s="4" t="s">
        <v>1436</v>
      </c>
      <c r="C497" s="5">
        <v>45000.0</v>
      </c>
      <c r="D497" s="10">
        <v>45001.0</v>
      </c>
      <c r="E497" s="4" t="s">
        <v>1437</v>
      </c>
      <c r="F497" s="4" t="s">
        <v>1438</v>
      </c>
      <c r="G497" s="6" t="str">
        <f>IFERROR(__xludf.DUMMYFUNCTION("REGEXREPLACE(LOWER(F497),""[^a-z\s]"","""")"),"i added a few things to my cart and left for a bit to get some lunch i came back to several emails telling me about the contents of my cart and coupons on such it had been like  minutes and yall was already bugging me calm the hell down
further i had the"&amp;"  off coupon so i applied that but because i made a mistake and got an error the coupon was no longer added and i had to add it again manually i tested this a few times and each time the coupon was removed no thanks your prices are okay the coupon was a n"&amp;"ice bonus but all that coupon crap and the extra emails really shows me how im gonna get treated in the future and how i have to watch my back when trying to save some money
no im coming here to write a review for yall and youre continuing to set me up b"&amp;"y submitting this review i have agree to you automatically create a trustpilot account for me imma do that anyway cause i already have an account but there again
no thanks good luck thanks for the coupon")</f>
        <v>i added a few things to my cart and left for a bit to get some lunch i came back to several emails telling me about the contents of my cart and coupons on such it had been like  minutes and yall was already bugging me calm the hell down
further i had the  off coupon so i applied that but because i made a mistake and got an error the coupon was no longer added and i had to add it again manually i tested this a few times and each time the coupon was removed no thanks your prices are okay the coupon was a nice bonus but all that coupon crap and the extra emails really shows me how im gonna get treated in the future and how i have to watch my back when trying to save some money
no im coming here to write a review for yall and youre continuing to set me up by submitting this review i have agree to you automatically create a trustpilot account for me imma do that anyway cause i already have an account but there again
no thanks good luck thanks for the coupon</v>
      </c>
      <c r="H497" s="4" t="str">
        <f t="shared" si="1"/>
        <v>i added a few things my cart left a bit get some lunch i came back several emails telling me about contents of my cart coupons on such it had been like minutes yall was already bugging me calm hell down
further i had off coupon so i applied that but because i made a mistake got an error coupon was no longer added i had add it again manually i tested this a few times each time coupon was removed no thanks your prices are okay coupon was a nice bonus but all that coupon crap extra emails really shows me how im gonna get treated in future how i have watch my back when trying save some money
no im coming here write a review yall youre continuing set me up by submitting this review i have agree you automatically create a trustpilot account me imma do that anyway cause i already have an account but there again
no thanks good luck thanks coupon</v>
      </c>
      <c r="I497" s="6">
        <f t="shared" si="2"/>
        <v>163</v>
      </c>
      <c r="J497" s="6">
        <f>IFERROR(__xludf.DUMMYFUNCTION("IF(H497="""","""",
SUM(
ARRAYFORMULA(
IF(
REGEXMATCH(
"" ""&amp;H497&amp;"" "",
"" ""&amp;Sentiment_Words!A$2:A3730&amp;"" ""
),
1,
0
)
)
)
)"),1.0)</f>
        <v>1</v>
      </c>
      <c r="K497" s="4">
        <f>IFERROR(__xludf.DUMMYFUNCTION("IF(H497="""","""",
SUM(
ARRAYFORMULA(
IF(
REGEXMATCH(
"" ""&amp;H497&amp;"" "",
"" ""&amp;Sentiment_Words!B$2:B3730&amp;"" ""
),
1,
0
)
)
)
)"),0.0)</f>
        <v>0</v>
      </c>
      <c r="L497" s="7" t="str">
        <f t="shared" si="3"/>
        <v>Account &amp; Website</v>
      </c>
      <c r="M497" s="7" t="str">
        <f t="shared" si="4"/>
        <v>Positive</v>
      </c>
      <c r="N497" s="7" t="str">
        <f>IFERROR(__xludf.DUMMYFUNCTION("LOWER(
TRIM(
REGEXREPLACE(B497,""[^a-zA-Z\s]"","""")
)
)
"),"donna belderrain")</f>
        <v>donna belderrain</v>
      </c>
      <c r="O497" s="7">
        <f t="shared" si="5"/>
        <v>1</v>
      </c>
      <c r="P497" s="8" t="str">
        <f t="shared" si="6"/>
        <v>No</v>
      </c>
    </row>
    <row r="498">
      <c r="A498" s="4" t="s">
        <v>16</v>
      </c>
      <c r="B498" s="4" t="s">
        <v>1439</v>
      </c>
      <c r="C498" s="5">
        <v>45000.0</v>
      </c>
      <c r="D498" s="10">
        <v>45001.0</v>
      </c>
      <c r="E498" s="4" t="s">
        <v>1440</v>
      </c>
      <c r="F498" s="4" t="s">
        <v>331</v>
      </c>
      <c r="G498" s="6" t="str">
        <f>IFERROR(__xludf.DUMMYFUNCTION("REGEXREPLACE(LOWER(F498),""[^a-z\s]"","""")"),"none")</f>
        <v>none</v>
      </c>
      <c r="H498" s="4" t="str">
        <f t="shared" si="1"/>
        <v>none</v>
      </c>
      <c r="I498" s="6">
        <f t="shared" si="2"/>
        <v>1</v>
      </c>
      <c r="J498" s="6">
        <f>IFERROR(__xludf.DUMMYFUNCTION("IF(H498="""","""",
SUM(
ARRAYFORMULA(
IF(
REGEXMATCH(
"" ""&amp;H498&amp;"" "",
"" ""&amp;Sentiment_Words!A$2:A3730&amp;"" ""
),
1,
0
)
)
)
)"),0.0)</f>
        <v>0</v>
      </c>
      <c r="K498" s="4">
        <f>IFERROR(__xludf.DUMMYFUNCTION("IF(H498="""","""",
SUM(
ARRAYFORMULA(
IF(
REGEXMATCH(
"" ""&amp;H498&amp;"" "",
"" ""&amp;Sentiment_Words!B$2:B3730&amp;"" ""
),
1,
0
)
)
)
)"),0.0)</f>
        <v>0</v>
      </c>
      <c r="L498" s="7" t="str">
        <f t="shared" si="3"/>
        <v>Other</v>
      </c>
      <c r="M498" s="7" t="str">
        <f t="shared" si="4"/>
        <v>Neutral</v>
      </c>
      <c r="N498" s="7" t="str">
        <f>IFERROR(__xludf.DUMMYFUNCTION("LOWER(
TRIM(
REGEXREPLACE(B498,""[^a-zA-Z\s]"","""")
)
)
"),"rose oneil")</f>
        <v>rose oneil</v>
      </c>
      <c r="O498" s="7">
        <f t="shared" si="5"/>
        <v>1</v>
      </c>
      <c r="P498" s="8" t="str">
        <f t="shared" si="6"/>
        <v>No</v>
      </c>
    </row>
    <row r="499">
      <c r="A499" s="4" t="s">
        <v>16</v>
      </c>
      <c r="B499" s="4" t="s">
        <v>1441</v>
      </c>
      <c r="C499" s="5">
        <v>45000.0</v>
      </c>
      <c r="D499" s="10">
        <v>45001.0</v>
      </c>
      <c r="E499" s="4" t="s">
        <v>1442</v>
      </c>
      <c r="F499" s="4" t="s">
        <v>331</v>
      </c>
      <c r="G499" s="6" t="str">
        <f>IFERROR(__xludf.DUMMYFUNCTION("REGEXREPLACE(LOWER(F499),""[^a-z\s]"","""")"),"none")</f>
        <v>none</v>
      </c>
      <c r="H499" s="4" t="str">
        <f t="shared" si="1"/>
        <v>none</v>
      </c>
      <c r="I499" s="6">
        <f t="shared" si="2"/>
        <v>1</v>
      </c>
      <c r="J499" s="6">
        <f>IFERROR(__xludf.DUMMYFUNCTION("IF(H499="""","""",
SUM(
ARRAYFORMULA(
IF(
REGEXMATCH(
"" ""&amp;H499&amp;"" "",
"" ""&amp;Sentiment_Words!A$2:A3730&amp;"" ""
),
1,
0
)
)
)
)"),0.0)</f>
        <v>0</v>
      </c>
      <c r="K499" s="4">
        <f>IFERROR(__xludf.DUMMYFUNCTION("IF(H499="""","""",
SUM(
ARRAYFORMULA(
IF(
REGEXMATCH(
"" ""&amp;H499&amp;"" "",
"" ""&amp;Sentiment_Words!B$2:B3730&amp;"" ""
),
1,
0
)
)
)
)"),0.0)</f>
        <v>0</v>
      </c>
      <c r="L499" s="7" t="str">
        <f t="shared" si="3"/>
        <v>Other</v>
      </c>
      <c r="M499" s="7" t="str">
        <f t="shared" si="4"/>
        <v>Neutral</v>
      </c>
      <c r="N499" s="7" t="str">
        <f>IFERROR(__xludf.DUMMYFUNCTION("LOWER(
TRIM(
REGEXREPLACE(B499,""[^a-zA-Z\s]"","""")
)
)
"),"joann fry")</f>
        <v>joann fry</v>
      </c>
      <c r="O499" s="7">
        <f t="shared" si="5"/>
        <v>1</v>
      </c>
      <c r="P499" s="8" t="str">
        <f t="shared" si="6"/>
        <v>No</v>
      </c>
    </row>
    <row r="500">
      <c r="A500" s="4" t="s">
        <v>16</v>
      </c>
      <c r="B500" s="4" t="s">
        <v>1443</v>
      </c>
      <c r="C500" s="9">
        <v>44988.0</v>
      </c>
      <c r="D500" s="10">
        <v>45001.0</v>
      </c>
      <c r="E500" s="4" t="s">
        <v>1444</v>
      </c>
      <c r="F500" s="4" t="s">
        <v>331</v>
      </c>
      <c r="G500" s="6" t="str">
        <f>IFERROR(__xludf.DUMMYFUNCTION("REGEXREPLACE(LOWER(F500),""[^a-z\s]"","""")"),"none")</f>
        <v>none</v>
      </c>
      <c r="H500" s="4" t="str">
        <f t="shared" si="1"/>
        <v>none</v>
      </c>
      <c r="I500" s="6">
        <f t="shared" si="2"/>
        <v>1</v>
      </c>
      <c r="J500" s="6">
        <f>IFERROR(__xludf.DUMMYFUNCTION("IF(H500="""","""",
SUM(
ARRAYFORMULA(
IF(
REGEXMATCH(
"" ""&amp;H500&amp;"" "",
"" ""&amp;Sentiment_Words!A$2:A3730&amp;"" ""
),
1,
0
)
)
)
)"),0.0)</f>
        <v>0</v>
      </c>
      <c r="K500" s="4">
        <f>IFERROR(__xludf.DUMMYFUNCTION("IF(H500="""","""",
SUM(
ARRAYFORMULA(
IF(
REGEXMATCH(
"" ""&amp;H500&amp;"" "",
"" ""&amp;Sentiment_Words!B$2:B3730&amp;"" ""
),
1,
0
)
)
)
)"),0.0)</f>
        <v>0</v>
      </c>
      <c r="L500" s="7" t="str">
        <f t="shared" si="3"/>
        <v>Other</v>
      </c>
      <c r="M500" s="7" t="str">
        <f t="shared" si="4"/>
        <v>Neutral</v>
      </c>
      <c r="N500" s="7" t="str">
        <f>IFERROR(__xludf.DUMMYFUNCTION("LOWER(
TRIM(
REGEXREPLACE(B500,""[^a-zA-Z\s]"","""")
)
)
"),"michael baca")</f>
        <v>michael baca</v>
      </c>
      <c r="O500" s="7">
        <f t="shared" si="5"/>
        <v>1</v>
      </c>
      <c r="P500" s="8" t="str">
        <f t="shared" si="6"/>
        <v>No</v>
      </c>
    </row>
    <row r="501">
      <c r="A501" s="4" t="s">
        <v>16</v>
      </c>
      <c r="B501" s="4" t="s">
        <v>1445</v>
      </c>
      <c r="C501" s="9">
        <v>44929.0</v>
      </c>
      <c r="D501" s="10">
        <v>45001.0</v>
      </c>
      <c r="E501" s="4" t="s">
        <v>1446</v>
      </c>
      <c r="F501" s="4" t="s">
        <v>331</v>
      </c>
      <c r="G501" s="6" t="str">
        <f>IFERROR(__xludf.DUMMYFUNCTION("REGEXREPLACE(LOWER(F501),""[^a-z\s]"","""")"),"none")</f>
        <v>none</v>
      </c>
      <c r="H501" s="4" t="str">
        <f t="shared" si="1"/>
        <v>none</v>
      </c>
      <c r="I501" s="6">
        <f t="shared" si="2"/>
        <v>1</v>
      </c>
      <c r="J501" s="6">
        <f>IFERROR(__xludf.DUMMYFUNCTION("IF(H501="""","""",
SUM(
ARRAYFORMULA(
IF(
REGEXMATCH(
"" ""&amp;H501&amp;"" "",
"" ""&amp;Sentiment_Words!A$2:A3730&amp;"" ""
),
1,
0
)
)
)
)"),0.0)</f>
        <v>0</v>
      </c>
      <c r="K501" s="4">
        <f>IFERROR(__xludf.DUMMYFUNCTION("IF(H501="""","""",
SUM(
ARRAYFORMULA(
IF(
REGEXMATCH(
"" ""&amp;H501&amp;"" "",
"" ""&amp;Sentiment_Words!B$2:B3730&amp;"" ""
),
1,
0
)
)
)
)"),0.0)</f>
        <v>0</v>
      </c>
      <c r="L501" s="7" t="str">
        <f t="shared" si="3"/>
        <v>Other</v>
      </c>
      <c r="M501" s="7" t="str">
        <f t="shared" si="4"/>
        <v>Neutral</v>
      </c>
      <c r="N501" s="7" t="str">
        <f>IFERROR(__xludf.DUMMYFUNCTION("LOWER(
TRIM(
REGEXREPLACE(B501,""[^a-zA-Z\s]"","""")
)
)
"),"samantha roldan")</f>
        <v>samantha roldan</v>
      </c>
      <c r="O501" s="7">
        <f t="shared" si="5"/>
        <v>1</v>
      </c>
      <c r="P501" s="8" t="str">
        <f t="shared" si="6"/>
        <v>No</v>
      </c>
    </row>
    <row r="502">
      <c r="A502" s="4" t="s">
        <v>16</v>
      </c>
      <c r="B502" s="4" t="s">
        <v>1447</v>
      </c>
      <c r="C502" s="9">
        <v>44994.0</v>
      </c>
      <c r="D502" s="10">
        <v>45000.0</v>
      </c>
      <c r="E502" s="4" t="s">
        <v>1448</v>
      </c>
      <c r="F502" s="4" t="s">
        <v>1449</v>
      </c>
      <c r="G502" s="6" t="str">
        <f>IFERROR(__xludf.DUMMYFUNCTION("REGEXREPLACE(LOWER(F502),""[^a-z\s]"","""")"),"i have sent in the prescription several times and my order still has not been filled it is way too time consuming")</f>
        <v>i have sent in the prescription several times and my order still has not been filled it is way too time consuming</v>
      </c>
      <c r="H502" s="4" t="str">
        <f t="shared" si="1"/>
        <v>i have sent in prescription several times my order still has not been filled it way too time consuming</v>
      </c>
      <c r="I502" s="6">
        <f t="shared" si="2"/>
        <v>19</v>
      </c>
      <c r="J502" s="6">
        <f>IFERROR(__xludf.DUMMYFUNCTION("IF(H502="""","""",
SUM(
ARRAYFORMULA(
IF(
REGEXMATCH(
"" ""&amp;H502&amp;"" "",
"" ""&amp;Sentiment_Words!A$2:A3730&amp;"" ""
),
1,
0
)
)
)
)"),0.0)</f>
        <v>0</v>
      </c>
      <c r="K502" s="4">
        <f>IFERROR(__xludf.DUMMYFUNCTION("IF(H502="""","""",
SUM(
ARRAYFORMULA(
IF(
REGEXMATCH(
"" ""&amp;H502&amp;"" "",
"" ""&amp;Sentiment_Words!B$2:B3730&amp;"" ""
),
1,
0
)
)
)
)"),0.0)</f>
        <v>0</v>
      </c>
      <c r="L502" s="7" t="str">
        <f t="shared" si="3"/>
        <v>Other</v>
      </c>
      <c r="M502" s="7" t="str">
        <f t="shared" si="4"/>
        <v>Neutral</v>
      </c>
      <c r="N502" s="7" t="str">
        <f>IFERROR(__xludf.DUMMYFUNCTION("LOWER(
TRIM(
REGEXREPLACE(B502,""[^a-zA-Z\s]"","""")
)
)
"),"pamela genovesi macdonald")</f>
        <v>pamela genovesi macdonald</v>
      </c>
      <c r="O502" s="7">
        <f t="shared" si="5"/>
        <v>1</v>
      </c>
      <c r="P502" s="8" t="str">
        <f t="shared" si="6"/>
        <v>No</v>
      </c>
    </row>
    <row r="503">
      <c r="A503" s="4" t="s">
        <v>16</v>
      </c>
      <c r="B503" s="4" t="s">
        <v>1450</v>
      </c>
      <c r="C503" s="5">
        <v>45000.0</v>
      </c>
      <c r="D503" s="10">
        <v>45000.0</v>
      </c>
      <c r="E503" s="4" t="s">
        <v>1451</v>
      </c>
      <c r="F503" s="4" t="s">
        <v>1452</v>
      </c>
      <c r="G503" s="6" t="str">
        <f>IFERROR(__xludf.DUMMYFUNCTION("REGEXREPLACE(LOWER(F503),""[^a-z\s]"","""")"),"i havent received the order after two weeks and i havent received a reply from the help desk about when its coming")</f>
        <v>i havent received the order after two weeks and i havent received a reply from the help desk about when its coming</v>
      </c>
      <c r="H503" s="4" t="str">
        <f t="shared" si="1"/>
        <v>i havent received order after two weeks i havent received a reply from help desk about when its coming</v>
      </c>
      <c r="I503" s="6">
        <f t="shared" si="2"/>
        <v>19</v>
      </c>
      <c r="J503" s="6">
        <f>IFERROR(__xludf.DUMMYFUNCTION("IF(H503="""","""",
SUM(
ARRAYFORMULA(
IF(
REGEXMATCH(
"" ""&amp;H503&amp;"" "",
"" ""&amp;Sentiment_Words!A$2:A3730&amp;"" ""
),
1,
0
)
)
)
)"),0.0)</f>
        <v>0</v>
      </c>
      <c r="K503" s="4">
        <f>IFERROR(__xludf.DUMMYFUNCTION("IF(H503="""","""",
SUM(
ARRAYFORMULA(
IF(
REGEXMATCH(
"" ""&amp;H503&amp;"" "",
"" ""&amp;Sentiment_Words!B$2:B3730&amp;"" ""
),
1,
0
)
)
)
)"),0.0)</f>
        <v>0</v>
      </c>
      <c r="L503" s="7" t="str">
        <f t="shared" si="3"/>
        <v>Other</v>
      </c>
      <c r="M503" s="7" t="str">
        <f t="shared" si="4"/>
        <v>Neutral</v>
      </c>
      <c r="N503" s="7" t="str">
        <f>IFERROR(__xludf.DUMMYFUNCTION("LOWER(
TRIM(
REGEXREPLACE(B503,""[^a-zA-Z\s]"","""")
)
)
"),"sarah saalfield")</f>
        <v>sarah saalfield</v>
      </c>
      <c r="O503" s="7">
        <f t="shared" si="5"/>
        <v>1</v>
      </c>
      <c r="P503" s="8" t="str">
        <f t="shared" si="6"/>
        <v>No</v>
      </c>
    </row>
    <row r="504">
      <c r="A504" s="4" t="s">
        <v>16</v>
      </c>
      <c r="B504" s="4" t="s">
        <v>1453</v>
      </c>
      <c r="C504" s="5">
        <v>44999.0</v>
      </c>
      <c r="D504" s="10">
        <v>45000.0</v>
      </c>
      <c r="E504" s="4" t="s">
        <v>1454</v>
      </c>
      <c r="F504" s="4" t="s">
        <v>1455</v>
      </c>
      <c r="G504" s="6" t="str">
        <f>IFERROR(__xludf.DUMMYFUNCTION("REGEXREPLACE(LOWER(F504),""[^a-z\s]"","""")"),"petflow definitely had the best price on this item that i could find including prompt free shipping")</f>
        <v>petflow definitely had the best price on this item that i could find including prompt free shipping</v>
      </c>
      <c r="H504" s="4" t="str">
        <f t="shared" si="1"/>
        <v>petflow definitely had best price on this item that i could find including prompt free shipping</v>
      </c>
      <c r="I504" s="6">
        <f t="shared" si="2"/>
        <v>16</v>
      </c>
      <c r="J504" s="6">
        <f>IFERROR(__xludf.DUMMYFUNCTION("IF(H504="""","""",
SUM(
ARRAYFORMULA(
IF(
REGEXMATCH(
"" ""&amp;H504&amp;"" "",
"" ""&amp;Sentiment_Words!A$2:A3730&amp;"" ""
),
1,
0
)
)
)
)"),1.0)</f>
        <v>1</v>
      </c>
      <c r="K504" s="4">
        <f>IFERROR(__xludf.DUMMYFUNCTION("IF(H504="""","""",
SUM(
ARRAYFORMULA(
IF(
REGEXMATCH(
"" ""&amp;H504&amp;"" "",
"" ""&amp;Sentiment_Words!B$2:B3730&amp;"" ""
),
1,
0
)
)
)
)"),0.0)</f>
        <v>0</v>
      </c>
      <c r="L504" s="7" t="str">
        <f t="shared" si="3"/>
        <v>Other</v>
      </c>
      <c r="M504" s="7" t="str">
        <f t="shared" si="4"/>
        <v>Positive</v>
      </c>
      <c r="N504" s="7" t="str">
        <f>IFERROR(__xludf.DUMMYFUNCTION("LOWER(
TRIM(
REGEXREPLACE(B504,""[^a-zA-Z\s]"","""")
)
)
"),"rpf")</f>
        <v>rpf</v>
      </c>
      <c r="O504" s="7">
        <f t="shared" si="5"/>
        <v>1</v>
      </c>
      <c r="P504" s="8" t="str">
        <f t="shared" si="6"/>
        <v>No</v>
      </c>
    </row>
    <row r="505">
      <c r="A505" s="4" t="s">
        <v>16</v>
      </c>
      <c r="B505" s="4" t="s">
        <v>1456</v>
      </c>
      <c r="C505" s="5">
        <v>44999.0</v>
      </c>
      <c r="D505" s="10">
        <v>45000.0</v>
      </c>
      <c r="E505" s="4" t="s">
        <v>1457</v>
      </c>
      <c r="F505" s="4" t="s">
        <v>1458</v>
      </c>
      <c r="G505" s="6" t="str">
        <f>IFERROR(__xludf.DUMMYFUNCTION("REGEXREPLACE(LOWER(F505),""[^a-z\s]"","""")"),"fast great prices great selection  super customer service")</f>
        <v>fast great prices great selection  super customer service</v>
      </c>
      <c r="H505" s="4" t="str">
        <f t="shared" si="1"/>
        <v>fast great prices great selection super customer service</v>
      </c>
      <c r="I505" s="6">
        <f t="shared" si="2"/>
        <v>8</v>
      </c>
      <c r="J505" s="6">
        <f>IFERROR(__xludf.DUMMYFUNCTION("IF(H505="""","""",
SUM(
ARRAYFORMULA(
IF(
REGEXMATCH(
"" ""&amp;H505&amp;"" "",
"" ""&amp;Sentiment_Words!A$2:A3730&amp;"" ""
),
1,
0
)
)
)
)"),2.0)</f>
        <v>2</v>
      </c>
      <c r="K505" s="4">
        <f>IFERROR(__xludf.DUMMYFUNCTION("IF(H505="""","""",
SUM(
ARRAYFORMULA(
IF(
REGEXMATCH(
"" ""&amp;H505&amp;"" "",
"" ""&amp;Sentiment_Words!B$2:B3730&amp;"" ""
),
1,
0
)
)
)
)"),1.0)</f>
        <v>1</v>
      </c>
      <c r="L505" s="7" t="str">
        <f t="shared" si="3"/>
        <v>Customer Support</v>
      </c>
      <c r="M505" s="7" t="str">
        <f t="shared" si="4"/>
        <v>Positive</v>
      </c>
      <c r="N505" s="7" t="str">
        <f>IFERROR(__xludf.DUMMYFUNCTION("LOWER(
TRIM(
REGEXREPLACE(B505,""[^a-zA-Z\s]"","""")
)
)
"),"kathy")</f>
        <v>kathy</v>
      </c>
      <c r="O505" s="7">
        <f t="shared" si="5"/>
        <v>5</v>
      </c>
      <c r="P505" s="8" t="str">
        <f t="shared" si="6"/>
        <v>Yes</v>
      </c>
    </row>
    <row r="506">
      <c r="A506" s="4" t="s">
        <v>16</v>
      </c>
      <c r="B506" s="4" t="s">
        <v>1459</v>
      </c>
      <c r="C506" s="5">
        <v>44999.0</v>
      </c>
      <c r="D506" s="10">
        <v>45000.0</v>
      </c>
      <c r="E506" s="4" t="s">
        <v>1460</v>
      </c>
      <c r="F506" s="4" t="s">
        <v>1461</v>
      </c>
      <c r="G506" s="6" t="str">
        <f>IFERROR(__xludf.DUMMYFUNCTION("REGEXREPLACE(LOWER(F506),""[^a-z\s]"","""")"),"best prices that ive found great customer service shipped my order promptly")</f>
        <v>best prices that ive found great customer service shipped my order promptly</v>
      </c>
      <c r="H506" s="4" t="str">
        <f t="shared" si="1"/>
        <v>best prices that ive found great customer service shipped my order promptly</v>
      </c>
      <c r="I506" s="6">
        <f t="shared" si="2"/>
        <v>12</v>
      </c>
      <c r="J506" s="6">
        <f>IFERROR(__xludf.DUMMYFUNCTION("IF(H506="""","""",
SUM(
ARRAYFORMULA(
IF(
REGEXMATCH(
"" ""&amp;H506&amp;"" "",
"" ""&amp;Sentiment_Words!A$2:A3730&amp;"" ""
),
1,
0
)
)
)
)"),3.0)</f>
        <v>3</v>
      </c>
      <c r="K506" s="4">
        <f>IFERROR(__xludf.DUMMYFUNCTION("IF(H506="""","""",
SUM(
ARRAYFORMULA(
IF(
REGEXMATCH(
"" ""&amp;H506&amp;"" "",
"" ""&amp;Sentiment_Words!B$2:B3730&amp;"" ""
),
1,
0
)
)
)
)"),1.0)</f>
        <v>1</v>
      </c>
      <c r="L506" s="7" t="str">
        <f t="shared" si="3"/>
        <v>Customer Support</v>
      </c>
      <c r="M506" s="7" t="str">
        <f t="shared" si="4"/>
        <v>Positive</v>
      </c>
      <c r="N506" s="7" t="str">
        <f>IFERROR(__xludf.DUMMYFUNCTION("LOWER(
TRIM(
REGEXREPLACE(B506,""[^a-zA-Z\s]"","""")
)
)
"),"darren parker")</f>
        <v>darren parker</v>
      </c>
      <c r="O506" s="7">
        <f t="shared" si="5"/>
        <v>1</v>
      </c>
      <c r="P506" s="8" t="str">
        <f t="shared" si="6"/>
        <v>No</v>
      </c>
    </row>
    <row r="507">
      <c r="A507" s="4" t="s">
        <v>16</v>
      </c>
      <c r="B507" s="4" t="s">
        <v>1462</v>
      </c>
      <c r="C507" s="5">
        <v>44999.0</v>
      </c>
      <c r="D507" s="10">
        <v>45000.0</v>
      </c>
      <c r="E507" s="4" t="s">
        <v>1463</v>
      </c>
      <c r="F507" s="4" t="s">
        <v>1464</v>
      </c>
      <c r="G507" s="6" t="str">
        <f>IFERROR(__xludf.DUMMYFUNCTION("REGEXREPLACE(LOWER(F507),""[^a-z\s]"","""")"),"found pet flow purely by accident when looking for a specific dog food kibble online made my first order which was shipped promptly and arrived in a few days i also noticed that prices are very competitive and shipping is free over a  purchase")</f>
        <v>found pet flow purely by accident when looking for a specific dog food kibble online made my first order which was shipped promptly and arrived in a few days i also noticed that prices are very competitive and shipping is free over a  purchase</v>
      </c>
      <c r="H507" s="4" t="str">
        <f t="shared" si="1"/>
        <v>found pet flow purely by accident when looking a specific dog food kibble online made my first order which was shipped promptly arrived in a few days i also noticed that prices are very competitive shipping free over a purchase</v>
      </c>
      <c r="I507" s="6">
        <f t="shared" si="2"/>
        <v>40</v>
      </c>
      <c r="J507" s="6">
        <f>IFERROR(__xludf.DUMMYFUNCTION("IF(H507="""","""",
SUM(
ARRAYFORMULA(
IF(
REGEXMATCH(
"" ""&amp;H507&amp;"" "",
"" ""&amp;Sentiment_Words!A$2:A3730&amp;"" ""
),
1,
0
)
)
)
)"),1.0)</f>
        <v>1</v>
      </c>
      <c r="K507" s="4">
        <f>IFERROR(__xludf.DUMMYFUNCTION("IF(H507="""","""",
SUM(
ARRAYFORMULA(
IF(
REGEXMATCH(
"" ""&amp;H507&amp;"" "",
"" ""&amp;Sentiment_Words!B$2:B3730&amp;"" ""
),
1,
0
)
)
)
)"),0.0)</f>
        <v>0</v>
      </c>
      <c r="L507" s="7" t="str">
        <f t="shared" si="3"/>
        <v>Other</v>
      </c>
      <c r="M507" s="7" t="str">
        <f t="shared" si="4"/>
        <v>Positive</v>
      </c>
      <c r="N507" s="7" t="str">
        <f>IFERROR(__xludf.DUMMYFUNCTION("LOWER(
TRIM(
REGEXREPLACE(B507,""[^a-zA-Z\s]"","""")
)
)
"),"steven miller sr")</f>
        <v>steven miller sr</v>
      </c>
      <c r="O507" s="7">
        <f t="shared" si="5"/>
        <v>1</v>
      </c>
      <c r="P507" s="8" t="str">
        <f t="shared" si="6"/>
        <v>No</v>
      </c>
    </row>
    <row r="508">
      <c r="A508" s="4" t="s">
        <v>16</v>
      </c>
      <c r="B508" s="4" t="s">
        <v>1465</v>
      </c>
      <c r="C508" s="9">
        <v>44988.0</v>
      </c>
      <c r="D508" s="10">
        <v>45000.0</v>
      </c>
      <c r="E508" s="4" t="s">
        <v>1466</v>
      </c>
      <c r="F508" s="4" t="s">
        <v>1467</v>
      </c>
      <c r="G508" s="6" t="str">
        <f>IFERROR(__xludf.DUMMYFUNCTION("REGEXREPLACE(LOWER(F508),""[^a-z\s]"","""")"),"i know that the road conditions for my order were difficult but the delay was minimal")</f>
        <v>i know that the road conditions for my order were difficult but the delay was minimal</v>
      </c>
      <c r="H508" s="4" t="str">
        <f t="shared" si="1"/>
        <v>i know that road conditions my order were difficult but delay was minimal</v>
      </c>
      <c r="I508" s="6">
        <f t="shared" si="2"/>
        <v>13</v>
      </c>
      <c r="J508" s="6">
        <f>IFERROR(__xludf.DUMMYFUNCTION("IF(H508="""","""",
SUM(
ARRAYFORMULA(
IF(
REGEXMATCH(
"" ""&amp;H508&amp;"" "",
"" ""&amp;Sentiment_Words!A$2:A3730&amp;"" ""
),
1,
0
)
)
)
)"),0.0)</f>
        <v>0</v>
      </c>
      <c r="K508" s="4">
        <f>IFERROR(__xludf.DUMMYFUNCTION("IF(H508="""","""",
SUM(
ARRAYFORMULA(
IF(
REGEXMATCH(
"" ""&amp;H508&amp;"" "",
"" ""&amp;Sentiment_Words!B$2:B3730&amp;"" ""
),
1,
0
)
)
)
)"),1.0)</f>
        <v>1</v>
      </c>
      <c r="L508" s="7" t="str">
        <f t="shared" si="3"/>
        <v>Fulfillment &amp; Shipping</v>
      </c>
      <c r="M508" s="7" t="str">
        <f t="shared" si="4"/>
        <v>Negative</v>
      </c>
      <c r="N508" s="7" t="str">
        <f>IFERROR(__xludf.DUMMYFUNCTION("LOWER(
TRIM(
REGEXREPLACE(B508,""[^a-zA-Z\s]"","""")
)
)
"),"alice burke")</f>
        <v>alice burke</v>
      </c>
      <c r="O508" s="7">
        <f t="shared" si="5"/>
        <v>1</v>
      </c>
      <c r="P508" s="8" t="str">
        <f t="shared" si="6"/>
        <v>No</v>
      </c>
    </row>
    <row r="509">
      <c r="A509" s="4" t="s">
        <v>16</v>
      </c>
      <c r="B509" s="4" t="s">
        <v>1468</v>
      </c>
      <c r="C509" s="9">
        <v>44992.0</v>
      </c>
      <c r="D509" s="10">
        <v>44999.0</v>
      </c>
      <c r="E509" s="4" t="s">
        <v>1469</v>
      </c>
      <c r="F509" s="4" t="s">
        <v>1470</v>
      </c>
      <c r="G509" s="6" t="str">
        <f>IFERROR(__xludf.DUMMYFUNCTION("REGEXREPLACE(LOWER(F509),""[^a-z\s]"","""")"),"likes good pricing fast shipping
dislikes not disclosing all information about pet food ingredients lack of customer support")</f>
        <v>likes good pricing fast shipping
dislikes not disclosing all information about pet food ingredients lack of customer support</v>
      </c>
      <c r="H509" s="4" t="str">
        <f t="shared" si="1"/>
        <v>likes good pricing fast shipping
dislikes not disclosing all information about pet food ingredients lack of customer support</v>
      </c>
      <c r="I509" s="6">
        <f t="shared" si="2"/>
        <v>17</v>
      </c>
      <c r="J509" s="6">
        <f>IFERROR(__xludf.DUMMYFUNCTION("IF(H509="""","""",
SUM(
ARRAYFORMULA(
IF(
REGEXMATCH(
"" ""&amp;H509&amp;"" "",
"" ""&amp;Sentiment_Words!A$2:A3730&amp;"" ""
),
1,
0
)
)
)
)"),2.0)</f>
        <v>2</v>
      </c>
      <c r="K509" s="4">
        <f>IFERROR(__xludf.DUMMYFUNCTION("IF(H509="""","""",
SUM(
ARRAYFORMULA(
IF(
REGEXMATCH(
"" ""&amp;H509&amp;"" "",
"" ""&amp;Sentiment_Words!B$2:B3730&amp;"" ""
),
1,
0
)
)
)
)"),0.0)</f>
        <v>0</v>
      </c>
      <c r="L509" s="7" t="str">
        <f t="shared" si="3"/>
        <v>Customer Support</v>
      </c>
      <c r="M509" s="7" t="str">
        <f t="shared" si="4"/>
        <v>Positive</v>
      </c>
      <c r="N509" s="7" t="str">
        <f>IFERROR(__xludf.DUMMYFUNCTION("LOWER(
TRIM(
REGEXREPLACE(B509,""[^a-zA-Z\s]"","""")
)
)
"),"john")</f>
        <v>john</v>
      </c>
      <c r="O509" s="7">
        <f t="shared" si="5"/>
        <v>7</v>
      </c>
      <c r="P509" s="8" t="str">
        <f t="shared" si="6"/>
        <v>Yes</v>
      </c>
    </row>
    <row r="510">
      <c r="A510" s="4" t="s">
        <v>16</v>
      </c>
      <c r="B510" s="4" t="s">
        <v>1471</v>
      </c>
      <c r="C510" s="5">
        <v>44996.0</v>
      </c>
      <c r="D510" s="10">
        <v>44999.0</v>
      </c>
      <c r="E510" s="4" t="s">
        <v>1472</v>
      </c>
      <c r="F510" s="4" t="s">
        <v>1473</v>
      </c>
      <c r="G510" s="6" t="str">
        <f>IFERROR(__xludf.DUMMYFUNCTION("REGEXREPLACE(LOWER(F510),""[^a-z\s]"","""")"),"my first experience was excellentfrom the quality of the productmy dog loves the chicken treatsto the customer service the sale was a great way for me to become acquainted as i do live on a budget")</f>
        <v>my first experience was excellentfrom the quality of the productmy dog loves the chicken treatsto the customer service the sale was a great way for me to become acquainted as i do live on a budget</v>
      </c>
      <c r="H510" s="4" t="str">
        <f t="shared" si="1"/>
        <v>my first experience was excellentfrom quality of productmy dog loves chicken treatsto customer service sale was a great way me become acquainted as i do live on a budget</v>
      </c>
      <c r="I510" s="6">
        <f t="shared" si="2"/>
        <v>29</v>
      </c>
      <c r="J510" s="6">
        <f>IFERROR(__xludf.DUMMYFUNCTION("IF(H510="""","""",
SUM(
ARRAYFORMULA(
IF(
REGEXMATCH(
"" ""&amp;H510&amp;"" "",
"" ""&amp;Sentiment_Words!A$2:A3730&amp;"" ""
),
1,
0
)
)
)
)"),1.0)</f>
        <v>1</v>
      </c>
      <c r="K510" s="4">
        <f>IFERROR(__xludf.DUMMYFUNCTION("IF(H510="""","""",
SUM(
ARRAYFORMULA(
IF(
REGEXMATCH(
"" ""&amp;H510&amp;"" "",
"" ""&amp;Sentiment_Words!B$2:B3730&amp;"" ""
),
1,
0
)
)
)
)"),1.0)</f>
        <v>1</v>
      </c>
      <c r="L510" s="7" t="str">
        <f t="shared" si="3"/>
        <v>Customer Support</v>
      </c>
      <c r="M510" s="7" t="str">
        <f t="shared" si="4"/>
        <v>Neutral</v>
      </c>
      <c r="N510" s="7" t="str">
        <f>IFERROR(__xludf.DUMMYFUNCTION("LOWER(
TRIM(
REGEXREPLACE(B510,""[^a-zA-Z\s]"","""")
)
)
"),"rachelle marple")</f>
        <v>rachelle marple</v>
      </c>
      <c r="O510" s="7">
        <f t="shared" si="5"/>
        <v>1</v>
      </c>
      <c r="P510" s="8" t="str">
        <f t="shared" si="6"/>
        <v>No</v>
      </c>
    </row>
    <row r="511">
      <c r="A511" s="4" t="s">
        <v>16</v>
      </c>
      <c r="B511" s="4" t="s">
        <v>1474</v>
      </c>
      <c r="C511" s="9">
        <v>44991.0</v>
      </c>
      <c r="D511" s="10">
        <v>44999.0</v>
      </c>
      <c r="E511" s="4" t="s">
        <v>1475</v>
      </c>
      <c r="F511" s="4" t="s">
        <v>1476</v>
      </c>
      <c r="G511" s="6" t="str">
        <f>IFERROR(__xludf.DUMMYFUNCTION("REGEXREPLACE(LOWER(F511),""[^a-z\s]"","""")"),"your website is very intrusive and hard to navigate all i wanted to do was look up availability choose and pay it invariably brings up prior views goes all over even signed me up for recurring deliveries decided to leave and shop somewhere else")</f>
        <v>your website is very intrusive and hard to navigate all i wanted to do was look up availability choose and pay it invariably brings up prior views goes all over even signed me up for recurring deliveries decided to leave and shop somewhere else</v>
      </c>
      <c r="H511" s="4" t="str">
        <f t="shared" si="1"/>
        <v>your website very intrusive hard navigate all i wanted do was look up availability choose pay it invariably brings up prior views goes all over even signed me up recurring deliveries decided leave shop somewhere else</v>
      </c>
      <c r="I511" s="6">
        <f t="shared" si="2"/>
        <v>36</v>
      </c>
      <c r="J511" s="6">
        <f>IFERROR(__xludf.DUMMYFUNCTION("IF(H511="""","""",
SUM(
ARRAYFORMULA(
IF(
REGEXMATCH(
"" ""&amp;H511&amp;"" "",
"" ""&amp;Sentiment_Words!A$2:A3730&amp;"" ""
),
1,
0
)
)
)
)"),0.0)</f>
        <v>0</v>
      </c>
      <c r="K511" s="4">
        <f>IFERROR(__xludf.DUMMYFUNCTION("IF(H511="""","""",
SUM(
ARRAYFORMULA(
IF(
REGEXMATCH(
"" ""&amp;H511&amp;"" "",
"" ""&amp;Sentiment_Words!B$2:B3730&amp;"" ""
),
1,
0
)
)
)
)"),0.0)</f>
        <v>0</v>
      </c>
      <c r="L511" s="7" t="str">
        <f t="shared" si="3"/>
        <v>Account &amp; Website</v>
      </c>
      <c r="M511" s="7" t="str">
        <f t="shared" si="4"/>
        <v>Neutral</v>
      </c>
      <c r="N511" s="7" t="str">
        <f>IFERROR(__xludf.DUMMYFUNCTION("LOWER(
TRIM(
REGEXREPLACE(B511,""[^a-zA-Z\s]"","""")
)
)
"),"teri vaillancourt")</f>
        <v>teri vaillancourt</v>
      </c>
      <c r="O511" s="7">
        <f t="shared" si="5"/>
        <v>1</v>
      </c>
      <c r="P511" s="8" t="str">
        <f t="shared" si="6"/>
        <v>No</v>
      </c>
    </row>
    <row r="512">
      <c r="A512" s="4" t="s">
        <v>16</v>
      </c>
      <c r="B512" s="4" t="s">
        <v>56</v>
      </c>
      <c r="C512" s="9">
        <v>44959.0</v>
      </c>
      <c r="D512" s="10">
        <v>44999.0</v>
      </c>
      <c r="E512" s="4" t="s">
        <v>1477</v>
      </c>
      <c r="F512" s="4" t="s">
        <v>1478</v>
      </c>
      <c r="G512" s="6" t="str">
        <f>IFERROR(__xludf.DUMMYFUNCTION("REGEXREPLACE(LOWER(F512),""[^a-z\s]"","""")"),"i have been using this company for years and will continue to do so they carry highquality product have a great customer service and fast shipping")</f>
        <v>i have been using this company for years and will continue to do so they carry highquality product have a great customer service and fast shipping</v>
      </c>
      <c r="H512" s="4" t="str">
        <f t="shared" si="1"/>
        <v>i have been using this company years will continue do so they carry highquality product have a great customer service fast shipping</v>
      </c>
      <c r="I512" s="6">
        <f t="shared" si="2"/>
        <v>22</v>
      </c>
      <c r="J512" s="6">
        <f>IFERROR(__xludf.DUMMYFUNCTION("IF(H512="""","""",
SUM(
ARRAYFORMULA(
IF(
REGEXMATCH(
"" ""&amp;H512&amp;"" "",
"" ""&amp;Sentiment_Words!A$2:A3730&amp;"" ""
),
1,
0
)
)
)
)"),3.0)</f>
        <v>3</v>
      </c>
      <c r="K512" s="4">
        <f>IFERROR(__xludf.DUMMYFUNCTION("IF(H512="""","""",
SUM(
ARRAYFORMULA(
IF(
REGEXMATCH(
"" ""&amp;H512&amp;"" "",
"" ""&amp;Sentiment_Words!B$2:B3730&amp;"" ""
),
1,
0
)
)
)
)"),1.0)</f>
        <v>1</v>
      </c>
      <c r="L512" s="7" t="str">
        <f t="shared" si="3"/>
        <v>Customer Support</v>
      </c>
      <c r="M512" s="7" t="str">
        <f t="shared" si="4"/>
        <v>Positive</v>
      </c>
      <c r="N512" s="7" t="str">
        <f>IFERROR(__xludf.DUMMYFUNCTION("LOWER(
TRIM(
REGEXREPLACE(B512,""[^a-zA-Z\s]"","""")
)
)
"),"customer")</f>
        <v>customer</v>
      </c>
      <c r="O512" s="7">
        <f t="shared" si="5"/>
        <v>54</v>
      </c>
      <c r="P512" s="8" t="str">
        <f t="shared" si="6"/>
        <v>Yes</v>
      </c>
    </row>
    <row r="513">
      <c r="A513" s="4" t="s">
        <v>16</v>
      </c>
      <c r="B513" s="4" t="s">
        <v>1479</v>
      </c>
      <c r="C513" s="5">
        <v>44998.0</v>
      </c>
      <c r="D513" s="10">
        <v>44999.0</v>
      </c>
      <c r="E513" s="4" t="s">
        <v>1480</v>
      </c>
      <c r="F513" s="4" t="s">
        <v>1481</v>
      </c>
      <c r="G513" s="6" t="str">
        <f>IFERROR(__xludf.DUMMYFUNCTION("REGEXREPLACE(LOWER(F513),""[^a-z\s]"","""")"),"petflow has such a variety of options for your pet i have a very picky cat and cant always find her choice of food at the pet store thankfully i discovered petflow they were way less expensive than the store i normally shop at and had exactly what i neede"&amp;"d the food arrived in packaging that protected it yet was minimalistic great experience")</f>
        <v>petflow has such a variety of options for your pet i have a very picky cat and cant always find her choice of food at the pet store thankfully i discovered petflow they were way less expensive than the store i normally shop at and had exactly what i needed the food arrived in packaging that protected it yet was minimalistic great experience</v>
      </c>
      <c r="H513" s="4" t="str">
        <f t="shared" si="1"/>
        <v>petflow has such a variety of options your pet i have a very picky cat cant always find her choice of food at pet store thankfully i discovered petflow they were way less expensive than store i normally shop at had exactly what i needed food arrived in packaging that protected it yet was minimalistic great experience</v>
      </c>
      <c r="I513" s="6">
        <f t="shared" si="2"/>
        <v>57</v>
      </c>
      <c r="J513" s="6">
        <f>IFERROR(__xludf.DUMMYFUNCTION("IF(H513="""","""",
SUM(
ARRAYFORMULA(
IF(
REGEXMATCH(
"" ""&amp;H513&amp;"" "",
"" ""&amp;Sentiment_Words!A$2:A3730&amp;"" ""
),
1,
0
)
)
)
)"),2.0)</f>
        <v>2</v>
      </c>
      <c r="K513" s="4">
        <f>IFERROR(__xludf.DUMMYFUNCTION("IF(H513="""","""",
SUM(
ARRAYFORMULA(
IF(
REGEXMATCH(
"" ""&amp;H513&amp;"" "",
"" ""&amp;Sentiment_Words!B$2:B3730&amp;"" ""
),
1,
0
)
)
)
)"),0.0)</f>
        <v>0</v>
      </c>
      <c r="L513" s="7" t="str">
        <f t="shared" si="3"/>
        <v>Other</v>
      </c>
      <c r="M513" s="7" t="str">
        <f t="shared" si="4"/>
        <v>Positive</v>
      </c>
      <c r="N513" s="7" t="str">
        <f>IFERROR(__xludf.DUMMYFUNCTION("LOWER(
TRIM(
REGEXREPLACE(B513,""[^a-zA-Z\s]"","""")
)
)
"),"maria guillermo")</f>
        <v>maria guillermo</v>
      </c>
      <c r="O513" s="7">
        <f t="shared" si="5"/>
        <v>1</v>
      </c>
      <c r="P513" s="8" t="str">
        <f t="shared" si="6"/>
        <v>No</v>
      </c>
    </row>
    <row r="514">
      <c r="A514" s="4" t="s">
        <v>16</v>
      </c>
      <c r="B514" s="4" t="s">
        <v>1482</v>
      </c>
      <c r="C514" s="5">
        <v>44999.0</v>
      </c>
      <c r="D514" s="10">
        <v>44999.0</v>
      </c>
      <c r="E514" s="4" t="s">
        <v>1483</v>
      </c>
      <c r="F514" s="4" t="s">
        <v>1484</v>
      </c>
      <c r="G514" s="6" t="str">
        <f>IFERROR(__xludf.DUMMYFUNCTION("REGEXREPLACE(LOWER(F514),""[^a-z\s]"","""")"),"price was good product was received promptly ordering was easy the only issue was that most of the cans in one case were severely dented customer service responded quickly and provided a new case")</f>
        <v>price was good product was received promptly ordering was easy the only issue was that most of the cans in one case were severely dented customer service responded quickly and provided a new case</v>
      </c>
      <c r="H514" s="4" t="str">
        <f t="shared" si="1"/>
        <v>price was good product was received promptly ordering was easy only issue was that most of cans in one case were severely dented customer service responded quickly provided a new case</v>
      </c>
      <c r="I514" s="6">
        <f t="shared" si="2"/>
        <v>31</v>
      </c>
      <c r="J514" s="6">
        <f>IFERROR(__xludf.DUMMYFUNCTION("IF(H514="""","""",
SUM(
ARRAYFORMULA(
IF(
REGEXMATCH(
"" ""&amp;H514&amp;"" "",
"" ""&amp;Sentiment_Words!A$2:A3730&amp;"" ""
),
1,
0
)
)
)
)"),2.0)</f>
        <v>2</v>
      </c>
      <c r="K514" s="4">
        <f>IFERROR(__xludf.DUMMYFUNCTION("IF(H514="""","""",
SUM(
ARRAYFORMULA(
IF(
REGEXMATCH(
"" ""&amp;H514&amp;"" "",
"" ""&amp;Sentiment_Words!B$2:B3730&amp;"" ""
),
1,
0
)
)
)
)"),2.0)</f>
        <v>2</v>
      </c>
      <c r="L514" s="7" t="str">
        <f t="shared" si="3"/>
        <v>Customer Support</v>
      </c>
      <c r="M514" s="7" t="str">
        <f t="shared" si="4"/>
        <v>Neutral</v>
      </c>
      <c r="N514" s="7" t="str">
        <f>IFERROR(__xludf.DUMMYFUNCTION("LOWER(
TRIM(
REGEXREPLACE(B514,""[^a-zA-Z\s]"","""")
)
)
"),"michele")</f>
        <v>michele</v>
      </c>
      <c r="O514" s="7">
        <f t="shared" si="5"/>
        <v>5</v>
      </c>
      <c r="P514" s="8" t="str">
        <f t="shared" si="6"/>
        <v>Yes</v>
      </c>
    </row>
    <row r="515">
      <c r="A515" s="4" t="s">
        <v>16</v>
      </c>
      <c r="B515" s="4" t="s">
        <v>1485</v>
      </c>
      <c r="C515" s="5">
        <v>44998.0</v>
      </c>
      <c r="D515" s="10">
        <v>44999.0</v>
      </c>
      <c r="E515" s="4" t="s">
        <v>1486</v>
      </c>
      <c r="F515" s="4" t="s">
        <v>1487</v>
      </c>
      <c r="G515" s="6" t="str">
        <f>IFERROR(__xludf.DUMMYFUNCTION("REGEXREPLACE(LOWER(F515),""[^a-z\s]"","""")"),"ive ordered several times from petflow
they have excellent products easy website to navigate good customer service")</f>
        <v>ive ordered several times from petflow
they have excellent products easy website to navigate good customer service</v>
      </c>
      <c r="H515" s="4" t="str">
        <f t="shared" si="1"/>
        <v>ive ordered several times from petflow
they have excellent products easy website navigate good customer service</v>
      </c>
      <c r="I515" s="6">
        <f t="shared" si="2"/>
        <v>15</v>
      </c>
      <c r="J515" s="6">
        <f>IFERROR(__xludf.DUMMYFUNCTION("IF(H515="""","""",
SUM(
ARRAYFORMULA(
IF(
REGEXMATCH(
"" ""&amp;H515&amp;"" "",
"" ""&amp;Sentiment_Words!A$2:A3730&amp;"" ""
),
1,
0
)
)
)
)"),2.0)</f>
        <v>2</v>
      </c>
      <c r="K515" s="4">
        <f>IFERROR(__xludf.DUMMYFUNCTION("IF(H515="""","""",
SUM(
ARRAYFORMULA(
IF(
REGEXMATCH(
"" ""&amp;H515&amp;"" "",
"" ""&amp;Sentiment_Words!B$2:B3730&amp;"" ""
),
1,
0
)
)
)
)"),1.0)</f>
        <v>1</v>
      </c>
      <c r="L515" s="7" t="str">
        <f t="shared" si="3"/>
        <v>Customer Support</v>
      </c>
      <c r="M515" s="7" t="str">
        <f t="shared" si="4"/>
        <v>Positive</v>
      </c>
      <c r="N515" s="7" t="str">
        <f>IFERROR(__xludf.DUMMYFUNCTION("LOWER(
TRIM(
REGEXREPLACE(B515,""[^a-zA-Z\s]"","""")
)
)
"),"debbie")</f>
        <v>debbie</v>
      </c>
      <c r="O515" s="7">
        <f t="shared" si="5"/>
        <v>3</v>
      </c>
      <c r="P515" s="8" t="str">
        <f t="shared" si="6"/>
        <v>Yes</v>
      </c>
    </row>
    <row r="516">
      <c r="A516" s="4" t="s">
        <v>16</v>
      </c>
      <c r="B516" s="4" t="s">
        <v>1488</v>
      </c>
      <c r="C516" s="9">
        <v>44988.0</v>
      </c>
      <c r="D516" s="10">
        <v>44999.0</v>
      </c>
      <c r="E516" s="4" t="s">
        <v>1489</v>
      </c>
      <c r="F516" s="4" t="s">
        <v>1490</v>
      </c>
      <c r="G516" s="6" t="str">
        <f>IFERROR(__xludf.DUMMYFUNCTION("REGEXREPLACE(LOWER(F516),""[^a-z\s]"","""")"),"low prices fast shipping")</f>
        <v>low prices fast shipping</v>
      </c>
      <c r="H516" s="4" t="str">
        <f t="shared" si="1"/>
        <v>low prices fast shipping</v>
      </c>
      <c r="I516" s="6">
        <f t="shared" si="2"/>
        <v>4</v>
      </c>
      <c r="J516" s="6">
        <f>IFERROR(__xludf.DUMMYFUNCTION("IF(H516="""","""",
SUM(
ARRAYFORMULA(
IF(
REGEXMATCH(
"" ""&amp;H516&amp;"" "",
"" ""&amp;Sentiment_Words!A$2:A3730&amp;"" ""
),
1,
0
)
)
)
)"),1.0)</f>
        <v>1</v>
      </c>
      <c r="K516" s="4">
        <f>IFERROR(__xludf.DUMMYFUNCTION("IF(H516="""","""",
SUM(
ARRAYFORMULA(
IF(
REGEXMATCH(
"" ""&amp;H516&amp;"" "",
"" ""&amp;Sentiment_Words!B$2:B3730&amp;"" ""
),
1,
0
)
)
)
)"),0.0)</f>
        <v>0</v>
      </c>
      <c r="L516" s="7" t="str">
        <f t="shared" si="3"/>
        <v>Other</v>
      </c>
      <c r="M516" s="7" t="str">
        <f t="shared" si="4"/>
        <v>Positive</v>
      </c>
      <c r="N516" s="7" t="str">
        <f>IFERROR(__xludf.DUMMYFUNCTION("LOWER(
TRIM(
REGEXREPLACE(B516,""[^a-zA-Z\s]"","""")
)
)
"),"gordon celliers")</f>
        <v>gordon celliers</v>
      </c>
      <c r="O516" s="7">
        <f t="shared" si="5"/>
        <v>1</v>
      </c>
      <c r="P516" s="8" t="str">
        <f t="shared" si="6"/>
        <v>No</v>
      </c>
    </row>
    <row r="517">
      <c r="A517" s="4" t="s">
        <v>16</v>
      </c>
      <c r="B517" s="4" t="s">
        <v>1491</v>
      </c>
      <c r="C517" s="9">
        <v>44987.0</v>
      </c>
      <c r="D517" s="10">
        <v>44999.0</v>
      </c>
      <c r="E517" s="4" t="s">
        <v>1492</v>
      </c>
      <c r="F517" s="4" t="s">
        <v>1493</v>
      </c>
      <c r="G517" s="6" t="str">
        <f>IFERROR(__xludf.DUMMYFUNCTION("REGEXREPLACE(LOWER(F517),""[^a-z\s]"","""")"),"quick delivery when everyone else is so slow or delayed accurate orders petflow cares about the animals by donating a portion of the profits ")</f>
        <v>quick delivery when everyone else is so slow or delayed accurate orders petflow cares about the animals by donating a portion of the profits </v>
      </c>
      <c r="H517" s="4" t="str">
        <f t="shared" si="1"/>
        <v>quick delivery when everyone else so slow or delayed accurate orders petflow cares about animals by donating a portion of profits</v>
      </c>
      <c r="I517" s="6">
        <f t="shared" si="2"/>
        <v>21</v>
      </c>
      <c r="J517" s="6">
        <f>IFERROR(__xludf.DUMMYFUNCTION("IF(H517="""","""",
SUM(
ARRAYFORMULA(
IF(
REGEXMATCH(
"" ""&amp;H517&amp;"" "",
"" ""&amp;Sentiment_Words!A$2:A3730&amp;"" ""
),
1,
0
)
)
)
)"),1.0)</f>
        <v>1</v>
      </c>
      <c r="K517" s="4">
        <f>IFERROR(__xludf.DUMMYFUNCTION("IF(H517="""","""",
SUM(
ARRAYFORMULA(
IF(
REGEXMATCH(
"" ""&amp;H517&amp;"" "",
"" ""&amp;Sentiment_Words!B$2:B3730&amp;"" ""
),
1,
0
)
)
)
)"),1.0)</f>
        <v>1</v>
      </c>
      <c r="L517" s="7" t="str">
        <f t="shared" si="3"/>
        <v>Fulfillment &amp; Shipping</v>
      </c>
      <c r="M517" s="7" t="str">
        <f t="shared" si="4"/>
        <v>Neutral</v>
      </c>
      <c r="N517" s="7" t="str">
        <f>IFERROR(__xludf.DUMMYFUNCTION("LOWER(
TRIM(
REGEXREPLACE(B517,""[^a-zA-Z\s]"","""")
)
)
"),"sue")</f>
        <v>sue</v>
      </c>
      <c r="O517" s="7">
        <f t="shared" si="5"/>
        <v>3</v>
      </c>
      <c r="P517" s="8" t="str">
        <f t="shared" si="6"/>
        <v>Yes</v>
      </c>
    </row>
    <row r="518">
      <c r="A518" s="4" t="s">
        <v>16</v>
      </c>
      <c r="B518" s="4" t="s">
        <v>1494</v>
      </c>
      <c r="C518" s="9">
        <v>44987.0</v>
      </c>
      <c r="D518" s="10">
        <v>44998.0</v>
      </c>
      <c r="E518" s="4" t="s">
        <v>1495</v>
      </c>
      <c r="F518" s="4" t="s">
        <v>1496</v>
      </c>
      <c r="G518" s="6" t="str">
        <f>IFERROR(__xludf.DUMMYFUNCTION("REGEXREPLACE(LOWER(F518),""[^a-z\s]"","""")"),"i received the dog food i ordered in a timely manner they offer a wide variety of food")</f>
        <v>i received the dog food i ordered in a timely manner they offer a wide variety of food</v>
      </c>
      <c r="H518" s="4" t="str">
        <f t="shared" si="1"/>
        <v>i received dog food i ordered in a timely manner they offer a wide variety of food</v>
      </c>
      <c r="I518" s="6">
        <f t="shared" si="2"/>
        <v>17</v>
      </c>
      <c r="J518" s="6">
        <f>IFERROR(__xludf.DUMMYFUNCTION("IF(H518="""","""",
SUM(
ARRAYFORMULA(
IF(
REGEXMATCH(
"" ""&amp;H518&amp;"" "",
"" ""&amp;Sentiment_Words!A$2:A3730&amp;"" ""
),
1,
0
)
)
)
)"),0.0)</f>
        <v>0</v>
      </c>
      <c r="K518" s="4">
        <f>IFERROR(__xludf.DUMMYFUNCTION("IF(H518="""","""",
SUM(
ARRAYFORMULA(
IF(
REGEXMATCH(
"" ""&amp;H518&amp;"" "",
"" ""&amp;Sentiment_Words!B$2:B3730&amp;"" ""
),
1,
0
)
)
)
)"),0.0)</f>
        <v>0</v>
      </c>
      <c r="L518" s="7" t="str">
        <f t="shared" si="3"/>
        <v>Other</v>
      </c>
      <c r="M518" s="7" t="str">
        <f t="shared" si="4"/>
        <v>Neutral</v>
      </c>
      <c r="N518" s="7" t="str">
        <f>IFERROR(__xludf.DUMMYFUNCTION("LOWER(
TRIM(
REGEXREPLACE(B518,""[^a-zA-Z\s]"","""")
)
)
"),"lisa kelly")</f>
        <v>lisa kelly</v>
      </c>
      <c r="O518" s="7">
        <f t="shared" si="5"/>
        <v>1</v>
      </c>
      <c r="P518" s="8" t="str">
        <f t="shared" si="6"/>
        <v>No</v>
      </c>
    </row>
    <row r="519">
      <c r="A519" s="4" t="s">
        <v>16</v>
      </c>
      <c r="B519" s="4" t="s">
        <v>1497</v>
      </c>
      <c r="C519" s="9">
        <v>44989.0</v>
      </c>
      <c r="D519" s="10">
        <v>44998.0</v>
      </c>
      <c r="E519" s="4" t="s">
        <v>1498</v>
      </c>
      <c r="F519" s="4" t="s">
        <v>1499</v>
      </c>
      <c r="G519" s="6" t="str">
        <f>IFERROR(__xludf.DUMMYFUNCTION("REGEXREPLACE(LOWER(F519),""[^a-z\s]"","""")"),"fast shipping on hard to find item thanks")</f>
        <v>fast shipping on hard to find item thanks</v>
      </c>
      <c r="H519" s="4" t="str">
        <f t="shared" si="1"/>
        <v>fast shipping on hard find item thanks</v>
      </c>
      <c r="I519" s="6">
        <f t="shared" si="2"/>
        <v>7</v>
      </c>
      <c r="J519" s="6">
        <f>IFERROR(__xludf.DUMMYFUNCTION("IF(H519="""","""",
SUM(
ARRAYFORMULA(
IF(
REGEXMATCH(
"" ""&amp;H519&amp;"" "",
"" ""&amp;Sentiment_Words!A$2:A3730&amp;"" ""
),
1,
0
)
)
)
)"),1.0)</f>
        <v>1</v>
      </c>
      <c r="K519" s="4">
        <f>IFERROR(__xludf.DUMMYFUNCTION("IF(H519="""","""",
SUM(
ARRAYFORMULA(
IF(
REGEXMATCH(
"" ""&amp;H519&amp;"" "",
"" ""&amp;Sentiment_Words!B$2:B3730&amp;"" ""
),
1,
0
)
)
)
)"),0.0)</f>
        <v>0</v>
      </c>
      <c r="L519" s="7" t="str">
        <f t="shared" si="3"/>
        <v>Other</v>
      </c>
      <c r="M519" s="7" t="str">
        <f t="shared" si="4"/>
        <v>Positive</v>
      </c>
      <c r="N519" s="7" t="str">
        <f>IFERROR(__xludf.DUMMYFUNCTION("LOWER(
TRIM(
REGEXREPLACE(B519,""[^a-zA-Z\s]"","""")
)
)
"),"deborah ann")</f>
        <v>deborah ann</v>
      </c>
      <c r="O519" s="7">
        <f t="shared" si="5"/>
        <v>1</v>
      </c>
      <c r="P519" s="8" t="str">
        <f t="shared" si="6"/>
        <v>No</v>
      </c>
    </row>
    <row r="520">
      <c r="A520" s="4" t="s">
        <v>16</v>
      </c>
      <c r="B520" s="4" t="s">
        <v>1500</v>
      </c>
      <c r="C520" s="5">
        <v>44998.0</v>
      </c>
      <c r="D520" s="10">
        <v>44998.0</v>
      </c>
      <c r="E520" s="4" t="s">
        <v>1501</v>
      </c>
      <c r="F520" s="4" t="s">
        <v>331</v>
      </c>
      <c r="G520" s="6" t="str">
        <f>IFERROR(__xludf.DUMMYFUNCTION("REGEXREPLACE(LOWER(F520),""[^a-z\s]"","""")"),"none")</f>
        <v>none</v>
      </c>
      <c r="H520" s="4" t="str">
        <f t="shared" si="1"/>
        <v>none</v>
      </c>
      <c r="I520" s="6">
        <f t="shared" si="2"/>
        <v>1</v>
      </c>
      <c r="J520" s="6">
        <f>IFERROR(__xludf.DUMMYFUNCTION("IF(H520="""","""",
SUM(
ARRAYFORMULA(
IF(
REGEXMATCH(
"" ""&amp;H520&amp;"" "",
"" ""&amp;Sentiment_Words!A$2:A3730&amp;"" ""
),
1,
0
)
)
)
)"),0.0)</f>
        <v>0</v>
      </c>
      <c r="K520" s="4">
        <f>IFERROR(__xludf.DUMMYFUNCTION("IF(H520="""","""",
SUM(
ARRAYFORMULA(
IF(
REGEXMATCH(
"" ""&amp;H520&amp;"" "",
"" ""&amp;Sentiment_Words!B$2:B3730&amp;"" ""
),
1,
0
)
)
)
)"),0.0)</f>
        <v>0</v>
      </c>
      <c r="L520" s="7" t="str">
        <f t="shared" si="3"/>
        <v>Other</v>
      </c>
      <c r="M520" s="7" t="str">
        <f t="shared" si="4"/>
        <v>Neutral</v>
      </c>
      <c r="N520" s="7" t="str">
        <f>IFERROR(__xludf.DUMMYFUNCTION("LOWER(
TRIM(
REGEXREPLACE(B520,""[^a-zA-Z\s]"","""")
)
)
"),"sandyn")</f>
        <v>sandyn</v>
      </c>
      <c r="O520" s="7">
        <f t="shared" si="5"/>
        <v>1</v>
      </c>
      <c r="P520" s="8" t="str">
        <f t="shared" si="6"/>
        <v>No</v>
      </c>
    </row>
    <row r="521">
      <c r="A521" s="4" t="s">
        <v>16</v>
      </c>
      <c r="B521" s="4" t="s">
        <v>1502</v>
      </c>
      <c r="C521" s="5">
        <v>44985.0</v>
      </c>
      <c r="D521" s="10">
        <v>44998.0</v>
      </c>
      <c r="E521" s="4" t="s">
        <v>1503</v>
      </c>
      <c r="F521" s="4" t="s">
        <v>331</v>
      </c>
      <c r="G521" s="6" t="str">
        <f>IFERROR(__xludf.DUMMYFUNCTION("REGEXREPLACE(LOWER(F521),""[^a-z\s]"","""")"),"none")</f>
        <v>none</v>
      </c>
      <c r="H521" s="4" t="str">
        <f t="shared" si="1"/>
        <v>none</v>
      </c>
      <c r="I521" s="6">
        <f t="shared" si="2"/>
        <v>1</v>
      </c>
      <c r="J521" s="6">
        <f>IFERROR(__xludf.DUMMYFUNCTION("IF(H521="""","""",
SUM(
ARRAYFORMULA(
IF(
REGEXMATCH(
"" ""&amp;H521&amp;"" "",
"" ""&amp;Sentiment_Words!A$2:A3730&amp;"" ""
),
1,
0
)
)
)
)"),0.0)</f>
        <v>0</v>
      </c>
      <c r="K521" s="4">
        <f>IFERROR(__xludf.DUMMYFUNCTION("IF(H521="""","""",
SUM(
ARRAYFORMULA(
IF(
REGEXMATCH(
"" ""&amp;H521&amp;"" "",
"" ""&amp;Sentiment_Words!B$2:B3730&amp;"" ""
),
1,
0
)
)
)
)"),0.0)</f>
        <v>0</v>
      </c>
      <c r="L521" s="7" t="str">
        <f t="shared" si="3"/>
        <v>Other</v>
      </c>
      <c r="M521" s="7" t="str">
        <f t="shared" si="4"/>
        <v>Neutral</v>
      </c>
      <c r="N521" s="7" t="str">
        <f>IFERROR(__xludf.DUMMYFUNCTION("LOWER(
TRIM(
REGEXREPLACE(B521,""[^a-zA-Z\s]"","""")
)
)
"),"anita hudnall")</f>
        <v>anita hudnall</v>
      </c>
      <c r="O521" s="7">
        <f t="shared" si="5"/>
        <v>1</v>
      </c>
      <c r="P521" s="8" t="str">
        <f t="shared" si="6"/>
        <v>No</v>
      </c>
    </row>
    <row r="522">
      <c r="A522" s="4" t="s">
        <v>16</v>
      </c>
      <c r="B522" s="4" t="s">
        <v>1504</v>
      </c>
      <c r="C522" s="9">
        <v>44986.0</v>
      </c>
      <c r="D522" s="10">
        <v>44998.0</v>
      </c>
      <c r="E522" s="4" t="s">
        <v>1505</v>
      </c>
      <c r="F522" s="4" t="s">
        <v>1506</v>
      </c>
      <c r="G522" s="6" t="str">
        <f>IFERROR(__xludf.DUMMYFUNCTION("REGEXREPLACE(LOWER(F522),""[^a-z\s]"","""")"),"i order from petflow a lot never been disappointed")</f>
        <v>i order from petflow a lot never been disappointed</v>
      </c>
      <c r="H522" s="4" t="str">
        <f t="shared" si="1"/>
        <v>i order from petflow a lot never been disappointed</v>
      </c>
      <c r="I522" s="6">
        <f t="shared" si="2"/>
        <v>9</v>
      </c>
      <c r="J522" s="6">
        <f>IFERROR(__xludf.DUMMYFUNCTION("IF(H522="""","""",
SUM(
ARRAYFORMULA(
IF(
REGEXMATCH(
"" ""&amp;H522&amp;"" "",
"" ""&amp;Sentiment_Words!A$2:A3730&amp;"" ""
),
1,
0
)
)
)
)"),0.0)</f>
        <v>0</v>
      </c>
      <c r="K522" s="4">
        <f>IFERROR(__xludf.DUMMYFUNCTION("IF(H522="""","""",
SUM(
ARRAYFORMULA(
IF(
REGEXMATCH(
"" ""&amp;H522&amp;"" "",
"" ""&amp;Sentiment_Words!B$2:B3730&amp;"" ""
),
1,
0
)
)
)
)"),0.0)</f>
        <v>0</v>
      </c>
      <c r="L522" s="7" t="str">
        <f t="shared" si="3"/>
        <v>Trust &amp; Experience</v>
      </c>
      <c r="M522" s="7" t="str">
        <f t="shared" si="4"/>
        <v>Neutral</v>
      </c>
      <c r="N522" s="7" t="str">
        <f>IFERROR(__xludf.DUMMYFUNCTION("LOWER(
TRIM(
REGEXREPLACE(B522,""[^a-zA-Z\s]"","""")
)
)
"),"darlene scheuermann")</f>
        <v>darlene scheuermann</v>
      </c>
      <c r="O522" s="7">
        <f t="shared" si="5"/>
        <v>1</v>
      </c>
      <c r="P522" s="8" t="str">
        <f t="shared" si="6"/>
        <v>No</v>
      </c>
    </row>
    <row r="523">
      <c r="A523" s="4" t="s">
        <v>16</v>
      </c>
      <c r="B523" s="4" t="s">
        <v>1507</v>
      </c>
      <c r="C523" s="5">
        <v>44984.0</v>
      </c>
      <c r="D523" s="10">
        <v>44998.0</v>
      </c>
      <c r="E523" s="4" t="s">
        <v>1508</v>
      </c>
      <c r="F523" s="4" t="s">
        <v>1509</v>
      </c>
      <c r="G523" s="6" t="str">
        <f>IFERROR(__xludf.DUMMYFUNCTION("REGEXREPLACE(LOWER(F523),""[^a-z\s]"","""")"),"upon placing the order i received and email from petflowasking me to allow a couple of days while the vet is contacted around the middle of the week the food was delivered as promised with no hassles my cat can not conusme any other food and this veterine"&amp;"rian prescribed diet seems so far to be the right one booty will have to be on it for the rest of his life twenty four cans for  is steep but necessary and is the going rate so im not faulting petflow")</f>
        <v>upon placing the order i received and email from petflowasking me to allow a couple of days while the vet is contacted around the middle of the week the food was delivered as promised with no hassles my cat can not conusme any other food and this veterinerian prescribed diet seems so far to be the right one booty will have to be on it for the rest of his life twenty four cans for  is steep but necessary and is the going rate so im not faulting petflow</v>
      </c>
      <c r="H523" s="4" t="str">
        <f t="shared" si="1"/>
        <v>upon placing order i received email from petflowasking me allow a couple of days while vet contacted around middle of week food was delivered as promised with no hassles my cat can not conusme any other food this veterinerian prescribed diet seems so far be right one booty will have be on it rest of his life twenty four cans steep but necessary going rate so im not faulting petflow</v>
      </c>
      <c r="I523" s="6">
        <f t="shared" si="2"/>
        <v>70</v>
      </c>
      <c r="J523" s="6">
        <f>IFERROR(__xludf.DUMMYFUNCTION("IF(H523="""","""",
SUM(
ARRAYFORMULA(
IF(
REGEXMATCH(
"" ""&amp;H523&amp;"" "",
"" ""&amp;Sentiment_Words!A$2:A3730&amp;"" ""
),
1,
0
)
)
)
)"),1.0)</f>
        <v>1</v>
      </c>
      <c r="K523" s="4">
        <f>IFERROR(__xludf.DUMMYFUNCTION("IF(H523="""","""",
SUM(
ARRAYFORMULA(
IF(
REGEXMATCH(
"" ""&amp;H523&amp;"" "",
"" ""&amp;Sentiment_Words!B$2:B3730&amp;"" ""
),
1,
0
)
)
)
)"),0.0)</f>
        <v>0</v>
      </c>
      <c r="L523" s="7" t="str">
        <f t="shared" si="3"/>
        <v>Other</v>
      </c>
      <c r="M523" s="7" t="str">
        <f t="shared" si="4"/>
        <v>Positive</v>
      </c>
      <c r="N523" s="7" t="str">
        <f>IFERROR(__xludf.DUMMYFUNCTION("LOWER(
TRIM(
REGEXREPLACE(B523,""[^a-zA-Z\s]"","""")
)
)
"),"daniel jarovisky")</f>
        <v>daniel jarovisky</v>
      </c>
      <c r="O523" s="7">
        <f t="shared" si="5"/>
        <v>1</v>
      </c>
      <c r="P523" s="8" t="str">
        <f t="shared" si="6"/>
        <v>No</v>
      </c>
    </row>
    <row r="524">
      <c r="A524" s="4" t="s">
        <v>16</v>
      </c>
      <c r="B524" s="4" t="s">
        <v>1510</v>
      </c>
      <c r="C524" s="9">
        <v>44986.0</v>
      </c>
      <c r="D524" s="10">
        <v>44998.0</v>
      </c>
      <c r="E524" s="4" t="s">
        <v>1511</v>
      </c>
      <c r="F524" s="4" t="s">
        <v>1512</v>
      </c>
      <c r="G524" s="6" t="str">
        <f>IFERROR(__xludf.DUMMYFUNCTION("REGEXREPLACE(LOWER(F524),""[^a-z\s]"","""")"),"i had to call customer service regarding an auto ship that i needed sooner somehow i had an extra bag of cat food arrive i may have made the error but when i called the petflow representative they were willing to take the bag back however i wanted to keep"&amp;" it as the product has kept my cats health tiptop i thank you to the representative and very friendly staff at petflow from a year customer")</f>
        <v>i had to call customer service regarding an auto ship that i needed sooner somehow i had an extra bag of cat food arrive i may have made the error but when i called the petflow representative they were willing to take the bag back however i wanted to keep it as the product has kept my cats health tiptop i thank you to the representative and very friendly staff at petflow from a year customer</v>
      </c>
      <c r="H524" s="4" t="str">
        <f t="shared" si="1"/>
        <v>i had call customer service regarding an auto ship that i needed sooner somehow i had an extra bag of cat food arrive i may have made error but when i called petflow representative they were willing take bag back however i wanted keep it as product has kept my cats health tiptop i thank you representative very friendly staff at petflow from a year customer</v>
      </c>
      <c r="I524" s="6">
        <f t="shared" si="2"/>
        <v>66</v>
      </c>
      <c r="J524" s="6">
        <f>IFERROR(__xludf.DUMMYFUNCTION("IF(H524="""","""",
SUM(
ARRAYFORMULA(
IF(
REGEXMATCH(
"" ""&amp;H524&amp;"" "",
"" ""&amp;Sentiment_Words!A$2:A3730&amp;"" ""
),
1,
0
)
)
)
)"),1.0)</f>
        <v>1</v>
      </c>
      <c r="K524" s="4">
        <f>IFERROR(__xludf.DUMMYFUNCTION("IF(H524="""","""",
SUM(
ARRAYFORMULA(
IF(
REGEXMATCH(
"" ""&amp;H524&amp;"" "",
"" ""&amp;Sentiment_Words!B$2:B3730&amp;"" ""
),
1,
0
)
)
)
)"),1.0)</f>
        <v>1</v>
      </c>
      <c r="L524" s="7" t="str">
        <f t="shared" si="3"/>
        <v>Customer Support</v>
      </c>
      <c r="M524" s="7" t="str">
        <f t="shared" si="4"/>
        <v>Neutral</v>
      </c>
      <c r="N524" s="7" t="str">
        <f>IFERROR(__xludf.DUMMYFUNCTION("LOWER(
TRIM(
REGEXREPLACE(B524,""[^a-zA-Z\s]"","""")
)
)
"),"sheila g")</f>
        <v>sheila g</v>
      </c>
      <c r="O524" s="7">
        <f t="shared" si="5"/>
        <v>1</v>
      </c>
      <c r="P524" s="8" t="str">
        <f t="shared" si="6"/>
        <v>No</v>
      </c>
    </row>
    <row r="525">
      <c r="A525" s="4" t="s">
        <v>16</v>
      </c>
      <c r="B525" s="4" t="s">
        <v>1513</v>
      </c>
      <c r="C525" s="9">
        <v>44986.0</v>
      </c>
      <c r="D525" s="10">
        <v>44998.0</v>
      </c>
      <c r="E525" s="4" t="s">
        <v>1514</v>
      </c>
      <c r="F525" s="4" t="s">
        <v>1515</v>
      </c>
      <c r="G525" s="6" t="str">
        <f>IFERROR(__xludf.DUMMYFUNCTION("REGEXREPLACE(LOWER(F525),""[^a-z\s]"","""")"),"food arrives quickly and well packaged they carry fromm dog food which chewy and petco dont carry")</f>
        <v>food arrives quickly and well packaged they carry fromm dog food which chewy and petco dont carry</v>
      </c>
      <c r="H525" s="4" t="str">
        <f t="shared" si="1"/>
        <v>food arrives quickly well packaged they carry fromm dog food which chewy petco dont carry</v>
      </c>
      <c r="I525" s="6">
        <f t="shared" si="2"/>
        <v>15</v>
      </c>
      <c r="J525" s="6">
        <f>IFERROR(__xludf.DUMMYFUNCTION("IF(H525="""","""",
SUM(
ARRAYFORMULA(
IF(
REGEXMATCH(
"" ""&amp;H525&amp;"" "",
"" ""&amp;Sentiment_Words!A$2:A3730&amp;"" ""
),
1,
0
)
)
)
)"),0.0)</f>
        <v>0</v>
      </c>
      <c r="K525" s="4">
        <f>IFERROR(__xludf.DUMMYFUNCTION("IF(H525="""","""",
SUM(
ARRAYFORMULA(
IF(
REGEXMATCH(
"" ""&amp;H525&amp;"" "",
"" ""&amp;Sentiment_Words!B$2:B3730&amp;"" ""
),
1,
0
)
)
)
)"),0.0)</f>
        <v>0</v>
      </c>
      <c r="L525" s="7" t="str">
        <f t="shared" si="3"/>
        <v>Other</v>
      </c>
      <c r="M525" s="7" t="str">
        <f t="shared" si="4"/>
        <v>Neutral</v>
      </c>
      <c r="N525" s="7" t="str">
        <f>IFERROR(__xludf.DUMMYFUNCTION("LOWER(
TRIM(
REGEXREPLACE(B525,""[^a-zA-Z\s]"","""")
)
)
"),"abina cohen")</f>
        <v>abina cohen</v>
      </c>
      <c r="O525" s="7">
        <f t="shared" si="5"/>
        <v>1</v>
      </c>
      <c r="P525" s="8" t="str">
        <f t="shared" si="6"/>
        <v>No</v>
      </c>
    </row>
    <row r="526">
      <c r="A526" s="4" t="s">
        <v>16</v>
      </c>
      <c r="B526" s="4" t="s">
        <v>1516</v>
      </c>
      <c r="C526" s="9">
        <v>44986.0</v>
      </c>
      <c r="D526" s="10">
        <v>44998.0</v>
      </c>
      <c r="E526" s="4" t="s">
        <v>1517</v>
      </c>
      <c r="F526" s="4" t="s">
        <v>1518</v>
      </c>
      <c r="G526" s="6" t="str">
        <f>IFERROR(__xludf.DUMMYFUNCTION("REGEXREPLACE(LOWER(F526),""[^a-z\s]"","""")"),"item was priced very fairly shipping was soo fast just an excellent experience")</f>
        <v>item was priced very fairly shipping was soo fast just an excellent experience</v>
      </c>
      <c r="H526" s="4" t="str">
        <f t="shared" si="1"/>
        <v>item was priced very fairly shipping was soo fast just an excellent experience</v>
      </c>
      <c r="I526" s="6">
        <f t="shared" si="2"/>
        <v>13</v>
      </c>
      <c r="J526" s="6">
        <f>IFERROR(__xludf.DUMMYFUNCTION("IF(H526="""","""",
SUM(
ARRAYFORMULA(
IF(
REGEXMATCH(
"" ""&amp;H526&amp;"" "",
"" ""&amp;Sentiment_Words!A$2:A3730&amp;"" ""
),
1,
0
)
)
)
)"),1.0)</f>
        <v>1</v>
      </c>
      <c r="K526" s="4">
        <f>IFERROR(__xludf.DUMMYFUNCTION("IF(H526="""","""",
SUM(
ARRAYFORMULA(
IF(
REGEXMATCH(
"" ""&amp;H526&amp;"" "",
"" ""&amp;Sentiment_Words!B$2:B3730&amp;"" ""
),
1,
0
)
)
)
)"),0.0)</f>
        <v>0</v>
      </c>
      <c r="L526" s="7" t="str">
        <f t="shared" si="3"/>
        <v>Other</v>
      </c>
      <c r="M526" s="7" t="str">
        <f t="shared" si="4"/>
        <v>Positive</v>
      </c>
      <c r="N526" s="7" t="str">
        <f>IFERROR(__xludf.DUMMYFUNCTION("LOWER(
TRIM(
REGEXREPLACE(B526,""[^a-zA-Z\s]"","""")
)
)
"),"therese")</f>
        <v>therese</v>
      </c>
      <c r="O526" s="7">
        <f t="shared" si="5"/>
        <v>1</v>
      </c>
      <c r="P526" s="8" t="str">
        <f t="shared" si="6"/>
        <v>No</v>
      </c>
    </row>
    <row r="527">
      <c r="A527" s="4" t="s">
        <v>16</v>
      </c>
      <c r="B527" s="4" t="s">
        <v>1519</v>
      </c>
      <c r="C527" s="5">
        <v>44985.0</v>
      </c>
      <c r="D527" s="10">
        <v>44998.0</v>
      </c>
      <c r="E527" s="4" t="s">
        <v>1520</v>
      </c>
      <c r="F527" s="4" t="s">
        <v>1521</v>
      </c>
      <c r="G527" s="6" t="str">
        <f>IFERROR(__xludf.DUMMYFUNCTION("REGEXREPLACE(LOWER(F527),""[^a-z\s]"","""")"),"when i got my package i found that i was only sent half of my order i called customer service and got ready to go rounds with someone telling me they were sorry but it wasnt like that at all i was immediately sent another shipment no fuss or hassle to me "&amp;"it is the service when something goes wrong that really stands out and it was excellent ")</f>
        <v>when i got my package i found that i was only sent half of my order i called customer service and got ready to go rounds with someone telling me they were sorry but it wasnt like that at all i was immediately sent another shipment no fuss or hassle to me it is the service when something goes wrong that really stands out and it was excellent </v>
      </c>
      <c r="H527" s="4" t="str">
        <f t="shared" si="1"/>
        <v>when i got my package i found that i was only sent half of my order i called customer service got ready go rounds with someone telling me they were sorry but it wasnt like that at all i was immediately sent another shipment no fuss or hassle me it service when something goes wrong that really stands out it was excellent</v>
      </c>
      <c r="I527" s="6">
        <f t="shared" si="2"/>
        <v>62</v>
      </c>
      <c r="J527" s="6">
        <f>IFERROR(__xludf.DUMMYFUNCTION("IF(H527="""","""",
SUM(
ARRAYFORMULA(
IF(
REGEXMATCH(
"" ""&amp;H527&amp;"" "",
"" ""&amp;Sentiment_Words!A$2:A3730&amp;"" ""
),
1,
0
)
)
)
)"),2.0)</f>
        <v>2</v>
      </c>
      <c r="K527" s="4">
        <f>IFERROR(__xludf.DUMMYFUNCTION("IF(H527="""","""",
SUM(
ARRAYFORMULA(
IF(
REGEXMATCH(
"" ""&amp;H527&amp;"" "",
"" ""&amp;Sentiment_Words!B$2:B3730&amp;"" ""
),
1,
0
)
)
)
)"),2.0)</f>
        <v>2</v>
      </c>
      <c r="L527" s="7" t="str">
        <f t="shared" si="3"/>
        <v>Customer Support</v>
      </c>
      <c r="M527" s="7" t="str">
        <f t="shared" si="4"/>
        <v>Neutral</v>
      </c>
      <c r="N527" s="7" t="str">
        <f>IFERROR(__xludf.DUMMYFUNCTION("LOWER(
TRIM(
REGEXREPLACE(B527,""[^a-zA-Z\s]"","""")
)
)
"),"michael")</f>
        <v>michael</v>
      </c>
      <c r="O527" s="7">
        <f t="shared" si="5"/>
        <v>8</v>
      </c>
      <c r="P527" s="8" t="str">
        <f t="shared" si="6"/>
        <v>Yes</v>
      </c>
    </row>
    <row r="528">
      <c r="A528" s="4" t="s">
        <v>16</v>
      </c>
      <c r="B528" s="4" t="s">
        <v>1522</v>
      </c>
      <c r="C528" s="5">
        <v>44985.0</v>
      </c>
      <c r="D528" s="10">
        <v>44997.0</v>
      </c>
      <c r="E528" s="4" t="s">
        <v>1523</v>
      </c>
      <c r="F528" s="4" t="s">
        <v>1524</v>
      </c>
      <c r="G528" s="6" t="str">
        <f>IFERROR(__xludf.DUMMYFUNCTION("REGEXREPLACE(LOWER(F528),""[^a-z\s]"","""")"),"i already reported that this is my email not dale leonards i was told that dales account was removed from your records please remove my email from your records
thank you
d beatson")</f>
        <v>i already reported that this is my email not dale leonards i was told that dales account was removed from your records please remove my email from your records
thank you
d beatson</v>
      </c>
      <c r="H528" s="4" t="str">
        <f t="shared" si="1"/>
        <v>i already reported that this my email not dale leonards i was told that dales account was removed from your records please remove my email from your records
thank you
d beatson</v>
      </c>
      <c r="I528" s="6">
        <f t="shared" si="2"/>
        <v>30</v>
      </c>
      <c r="J528" s="6">
        <f>IFERROR(__xludf.DUMMYFUNCTION("IF(H528="""","""",
SUM(
ARRAYFORMULA(
IF(
REGEXMATCH(
"" ""&amp;H528&amp;"" "",
"" ""&amp;Sentiment_Words!A$2:A3730&amp;"" ""
),
1,
0
)
)
)
)"),0.0)</f>
        <v>0</v>
      </c>
      <c r="K528" s="4">
        <f>IFERROR(__xludf.DUMMYFUNCTION("IF(H528="""","""",
SUM(
ARRAYFORMULA(
IF(
REGEXMATCH(
"" ""&amp;H528&amp;"" "",
"" ""&amp;Sentiment_Words!B$2:B3730&amp;"" ""
),
1,
0
)
)
)
)"),0.0)</f>
        <v>0</v>
      </c>
      <c r="L528" s="7" t="str">
        <f t="shared" si="3"/>
        <v>Account &amp; Website</v>
      </c>
      <c r="M528" s="7" t="str">
        <f t="shared" si="4"/>
        <v>Neutral</v>
      </c>
      <c r="N528" s="7" t="str">
        <f>IFERROR(__xludf.DUMMYFUNCTION("LOWER(
TRIM(
REGEXREPLACE(B528,""[^a-zA-Z\s]"","""")
)
)
"),"donna hilliard")</f>
        <v>donna hilliard</v>
      </c>
      <c r="O528" s="7">
        <f t="shared" si="5"/>
        <v>1</v>
      </c>
      <c r="P528" s="8" t="str">
        <f t="shared" si="6"/>
        <v>No</v>
      </c>
    </row>
    <row r="529">
      <c r="A529" s="4" t="s">
        <v>16</v>
      </c>
      <c r="B529" s="4" t="s">
        <v>1525</v>
      </c>
      <c r="C529" s="5">
        <v>44985.0</v>
      </c>
      <c r="D529" s="10">
        <v>44997.0</v>
      </c>
      <c r="E529" s="4" t="s">
        <v>1526</v>
      </c>
      <c r="F529" s="4" t="s">
        <v>1527</v>
      </c>
      <c r="G529" s="6" t="str">
        <f>IFERROR(__xludf.DUMMYFUNCTION("REGEXREPLACE(LOWER(F529),""[^a-z\s]"","""")"),"lots of finger pointing between my vet and petflow im not sure what problem was but vet said he never heard from
petflow vet so preset want processed first time in last year ive had any issues with the process on prescription dog food anyways once i stirr"&amp;"ed the pot and let it be known hey figure it out order it was approved and shipped out")</f>
        <v>lots of finger pointing between my vet and petflow im not sure what problem was but vet said he never heard from
petflow vet so preset want processed first time in last year ive had any issues with the process on prescription dog food anyways once i stirred the pot and let it be known hey figure it out order it was approved and shipped out</v>
      </c>
      <c r="H529" s="4" t="str">
        <f t="shared" si="1"/>
        <v>lots of finger pointing between my vet petflow im not sure what problem was but vet said he never heard from
petflow vet so preset want processed first time in last year ive had any issues with process on prescription dog food anyways once i stirred pot let it be known hey figure it out order it was approved shipped out</v>
      </c>
      <c r="I529" s="6">
        <f t="shared" si="2"/>
        <v>60</v>
      </c>
      <c r="J529" s="6">
        <f>IFERROR(__xludf.DUMMYFUNCTION("IF(H529="""","""",
SUM(
ARRAYFORMULA(
IF(
REGEXMATCH(
"" ""&amp;H529&amp;"" "",
"" ""&amp;Sentiment_Words!A$2:A3730&amp;"" ""
),
1,
0
)
)
)
)"),0.0)</f>
        <v>0</v>
      </c>
      <c r="K529" s="4">
        <f>IFERROR(__xludf.DUMMYFUNCTION("IF(H529="""","""",
SUM(
ARRAYFORMULA(
IF(
REGEXMATCH(
"" ""&amp;H529&amp;"" "",
"" ""&amp;Sentiment_Words!B$2:B3730&amp;"" ""
),
1,
0
)
)
)
)"),1.0)</f>
        <v>1</v>
      </c>
      <c r="L529" s="7" t="str">
        <f t="shared" si="3"/>
        <v>Other</v>
      </c>
      <c r="M529" s="7" t="str">
        <f t="shared" si="4"/>
        <v>Negative</v>
      </c>
      <c r="N529" s="7" t="str">
        <f>IFERROR(__xludf.DUMMYFUNCTION("LOWER(
TRIM(
REGEXREPLACE(B529,""[^a-zA-Z\s]"","""")
)
)
"),"debra")</f>
        <v>debra</v>
      </c>
      <c r="O529" s="7">
        <f t="shared" si="5"/>
        <v>3</v>
      </c>
      <c r="P529" s="8" t="str">
        <f t="shared" si="6"/>
        <v>Yes</v>
      </c>
    </row>
    <row r="530">
      <c r="A530" s="4" t="s">
        <v>16</v>
      </c>
      <c r="B530" s="4" t="s">
        <v>1528</v>
      </c>
      <c r="C530" s="5">
        <v>44982.0</v>
      </c>
      <c r="D530" s="10">
        <v>44997.0</v>
      </c>
      <c r="E530" s="4" t="s">
        <v>1529</v>
      </c>
      <c r="F530" s="4" t="s">
        <v>1530</v>
      </c>
      <c r="G530" s="6" t="str">
        <f>IFERROR(__xludf.DUMMYFUNCTION("REGEXREPLACE(LOWER(F530),""[^a-z\s]"","""")"),"it was easy to find the product and place the order shipping was super speedy which my cats appreciated")</f>
        <v>it was easy to find the product and place the order shipping was super speedy which my cats appreciated</v>
      </c>
      <c r="H530" s="4" t="str">
        <f t="shared" si="1"/>
        <v>it was easy find product place order shipping was super speedy which my cats appreciated</v>
      </c>
      <c r="I530" s="6">
        <f t="shared" si="2"/>
        <v>15</v>
      </c>
      <c r="J530" s="6">
        <f>IFERROR(__xludf.DUMMYFUNCTION("IF(H530="""","""",
SUM(
ARRAYFORMULA(
IF(
REGEXMATCH(
"" ""&amp;H530&amp;"" "",
"" ""&amp;Sentiment_Words!A$2:A3730&amp;"" ""
),
1,
0
)
)
)
)"),1.0)</f>
        <v>1</v>
      </c>
      <c r="K530" s="4">
        <f>IFERROR(__xludf.DUMMYFUNCTION("IF(H530="""","""",
SUM(
ARRAYFORMULA(
IF(
REGEXMATCH(
"" ""&amp;H530&amp;"" "",
"" ""&amp;Sentiment_Words!B$2:B3730&amp;"" ""
),
1,
0
)
)
)
)"),0.0)</f>
        <v>0</v>
      </c>
      <c r="L530" s="7" t="str">
        <f t="shared" si="3"/>
        <v>Other</v>
      </c>
      <c r="M530" s="7" t="str">
        <f t="shared" si="4"/>
        <v>Positive</v>
      </c>
      <c r="N530" s="7" t="str">
        <f>IFERROR(__xludf.DUMMYFUNCTION("LOWER(
TRIM(
REGEXREPLACE(B530,""[^a-zA-Z\s]"","""")
)
)
"),"jayme k")</f>
        <v>jayme k</v>
      </c>
      <c r="O530" s="7">
        <f t="shared" si="5"/>
        <v>1</v>
      </c>
      <c r="P530" s="8" t="str">
        <f t="shared" si="6"/>
        <v>No</v>
      </c>
    </row>
    <row r="531">
      <c r="A531" s="4" t="s">
        <v>16</v>
      </c>
      <c r="B531" s="4" t="s">
        <v>1531</v>
      </c>
      <c r="C531" s="5">
        <v>44985.0</v>
      </c>
      <c r="D531" s="10">
        <v>44997.0</v>
      </c>
      <c r="E531" s="4" t="s">
        <v>1532</v>
      </c>
      <c r="F531" s="4" t="s">
        <v>1533</v>
      </c>
      <c r="G531" s="6" t="str">
        <f>IFERROR(__xludf.DUMMYFUNCTION("REGEXREPLACE(LOWER(F531),""[^a-z\s]"","""")"),"it arrived in time no delays or hiccups in the delivery")</f>
        <v>it arrived in time no delays or hiccups in the delivery</v>
      </c>
      <c r="H531" s="4" t="str">
        <f t="shared" si="1"/>
        <v>it arrived in time no delays or hiccups in delivery</v>
      </c>
      <c r="I531" s="6">
        <f t="shared" si="2"/>
        <v>10</v>
      </c>
      <c r="J531" s="6">
        <f>IFERROR(__xludf.DUMMYFUNCTION("IF(H531="""","""",
SUM(
ARRAYFORMULA(
IF(
REGEXMATCH(
"" ""&amp;H531&amp;"" "",
"" ""&amp;Sentiment_Words!A$2:A3730&amp;"" ""
),
1,
0
)
)
)
)"),0.0)</f>
        <v>0</v>
      </c>
      <c r="K531" s="4">
        <f>IFERROR(__xludf.DUMMYFUNCTION("IF(H531="""","""",
SUM(
ARRAYFORMULA(
IF(
REGEXMATCH(
"" ""&amp;H531&amp;"" "",
"" ""&amp;Sentiment_Words!B$2:B3730&amp;"" ""
),
1,
0
)
)
)
)"),0.0)</f>
        <v>0</v>
      </c>
      <c r="L531" s="7" t="str">
        <f t="shared" si="3"/>
        <v>Fulfillment &amp; Shipping</v>
      </c>
      <c r="M531" s="7" t="str">
        <f t="shared" si="4"/>
        <v>Neutral</v>
      </c>
      <c r="N531" s="7" t="str">
        <f>IFERROR(__xludf.DUMMYFUNCTION("LOWER(
TRIM(
REGEXREPLACE(B531,""[^a-zA-Z\s]"","""")
)
)
"),"darlene dalijon")</f>
        <v>darlene dalijon</v>
      </c>
      <c r="O531" s="7">
        <f t="shared" si="5"/>
        <v>1</v>
      </c>
      <c r="P531" s="8" t="str">
        <f t="shared" si="6"/>
        <v>No</v>
      </c>
    </row>
    <row r="532">
      <c r="A532" s="4" t="s">
        <v>16</v>
      </c>
      <c r="B532" s="4" t="s">
        <v>1534</v>
      </c>
      <c r="C532" s="5">
        <v>44985.0</v>
      </c>
      <c r="D532" s="10">
        <v>44997.0</v>
      </c>
      <c r="E532" s="4" t="s">
        <v>1535</v>
      </c>
      <c r="F532" s="4" t="s">
        <v>1536</v>
      </c>
      <c r="G532" s="6" t="str">
        <f>IFERROR(__xludf.DUMMYFUNCTION("REGEXREPLACE(LOWER(F532),""[^a-z\s]"","""")"),"its always great great low price super fast shipping great experience all the way aroundlove pet flowthanks")</f>
        <v>its always great great low price super fast shipping great experience all the way aroundlove pet flowthanks</v>
      </c>
      <c r="H532" s="4" t="str">
        <f t="shared" si="1"/>
        <v>its always great great low price super fast shipping great experience all way aroundlove pet flowthanks</v>
      </c>
      <c r="I532" s="6">
        <f t="shared" si="2"/>
        <v>16</v>
      </c>
      <c r="J532" s="6">
        <f>IFERROR(__xludf.DUMMYFUNCTION("IF(H532="""","""",
SUM(
ARRAYFORMULA(
IF(
REGEXMATCH(
"" ""&amp;H532&amp;"" "",
"" ""&amp;Sentiment_Words!A$2:A3730&amp;"" ""
),
1,
0
)
)
)
)"),2.0)</f>
        <v>2</v>
      </c>
      <c r="K532" s="4">
        <f>IFERROR(__xludf.DUMMYFUNCTION("IF(H532="""","""",
SUM(
ARRAYFORMULA(
IF(
REGEXMATCH(
"" ""&amp;H532&amp;"" "",
"" ""&amp;Sentiment_Words!B$2:B3730&amp;"" ""
),
1,
0
)
)
)
)"),0.0)</f>
        <v>0</v>
      </c>
      <c r="L532" s="7" t="str">
        <f t="shared" si="3"/>
        <v>Other</v>
      </c>
      <c r="M532" s="7" t="str">
        <f t="shared" si="4"/>
        <v>Positive</v>
      </c>
      <c r="N532" s="7" t="str">
        <f>IFERROR(__xludf.DUMMYFUNCTION("LOWER(
TRIM(
REGEXREPLACE(B532,""[^a-zA-Z\s]"","""")
)
)
"),"anthony kelly")</f>
        <v>anthony kelly</v>
      </c>
      <c r="O532" s="7">
        <f t="shared" si="5"/>
        <v>1</v>
      </c>
      <c r="P532" s="8" t="str">
        <f t="shared" si="6"/>
        <v>No</v>
      </c>
    </row>
    <row r="533">
      <c r="A533" s="4" t="s">
        <v>16</v>
      </c>
      <c r="B533" s="4" t="s">
        <v>1537</v>
      </c>
      <c r="C533" s="5">
        <v>44985.0</v>
      </c>
      <c r="D533" s="10">
        <v>44997.0</v>
      </c>
      <c r="E533" s="4" t="s">
        <v>1538</v>
      </c>
      <c r="F533" s="4" t="s">
        <v>1539</v>
      </c>
      <c r="G533" s="6" t="str">
        <f>IFERROR(__xludf.DUMMYFUNCTION("REGEXREPLACE(LOWER(F533),""[^a-z\s]"","""")"),"pedros mom allison was attentive helpful and pleasant shes a truly a professional customer service agent")</f>
        <v>pedros mom allison was attentive helpful and pleasant shes a truly a professional customer service agent</v>
      </c>
      <c r="H533" s="4" t="str">
        <f t="shared" si="1"/>
        <v>pedros mom allison was attentive helpful pleasant shes a truly a professional customer service agent</v>
      </c>
      <c r="I533" s="6">
        <f t="shared" si="2"/>
        <v>15</v>
      </c>
      <c r="J533" s="6">
        <f>IFERROR(__xludf.DUMMYFUNCTION("IF(H533="""","""",
SUM(
ARRAYFORMULA(
IF(
REGEXMATCH(
"" ""&amp;H533&amp;"" "",
"" ""&amp;Sentiment_Words!A$2:A3730&amp;"" ""
),
1,
0
)
)
)
)"),1.0)</f>
        <v>1</v>
      </c>
      <c r="K533" s="4">
        <f>IFERROR(__xludf.DUMMYFUNCTION("IF(H533="""","""",
SUM(
ARRAYFORMULA(
IF(
REGEXMATCH(
"" ""&amp;H533&amp;"" "",
"" ""&amp;Sentiment_Words!B$2:B3730&amp;"" ""
),
1,
0
)
)
)
)"),1.0)</f>
        <v>1</v>
      </c>
      <c r="L533" s="7" t="str">
        <f t="shared" si="3"/>
        <v>Customer Support</v>
      </c>
      <c r="M533" s="7" t="str">
        <f t="shared" si="4"/>
        <v>Neutral</v>
      </c>
      <c r="N533" s="7" t="str">
        <f>IFERROR(__xludf.DUMMYFUNCTION("LOWER(
TRIM(
REGEXREPLACE(B533,""[^a-zA-Z\s]"","""")
)
)
"),"john rodriguez")</f>
        <v>john rodriguez</v>
      </c>
      <c r="O533" s="7">
        <f t="shared" si="5"/>
        <v>1</v>
      </c>
      <c r="P533" s="8" t="str">
        <f t="shared" si="6"/>
        <v>No</v>
      </c>
    </row>
    <row r="534">
      <c r="A534" s="4" t="s">
        <v>16</v>
      </c>
      <c r="B534" s="4" t="s">
        <v>1540</v>
      </c>
      <c r="C534" s="5">
        <v>44996.0</v>
      </c>
      <c r="D534" s="10">
        <v>44997.0</v>
      </c>
      <c r="E534" s="4" t="s">
        <v>1541</v>
      </c>
      <c r="F534" s="4" t="s">
        <v>1542</v>
      </c>
      <c r="G534" s="6" t="str">
        <f>IFERROR(__xludf.DUMMYFUNCTION("REGEXREPLACE(LOWER(F534),""[^a-z\s]"","""")"),"thank you for excellent customer service")</f>
        <v>thank you for excellent customer service</v>
      </c>
      <c r="H534" s="4" t="str">
        <f t="shared" si="1"/>
        <v>thank you excellent customer service</v>
      </c>
      <c r="I534" s="6">
        <f t="shared" si="2"/>
        <v>5</v>
      </c>
      <c r="J534" s="6">
        <f>IFERROR(__xludf.DUMMYFUNCTION("IF(H534="""","""",
SUM(
ARRAYFORMULA(
IF(
REGEXMATCH(
"" ""&amp;H534&amp;"" "",
"" ""&amp;Sentiment_Words!A$2:A3730&amp;"" ""
),
1,
0
)
)
)
)"),0.0)</f>
        <v>0</v>
      </c>
      <c r="K534" s="4">
        <f>IFERROR(__xludf.DUMMYFUNCTION("IF(H534="""","""",
SUM(
ARRAYFORMULA(
IF(
REGEXMATCH(
"" ""&amp;H534&amp;"" "",
"" ""&amp;Sentiment_Words!B$2:B3730&amp;"" ""
),
1,
0
)
)
)
)"),1.0)</f>
        <v>1</v>
      </c>
      <c r="L534" s="7" t="str">
        <f t="shared" si="3"/>
        <v>Customer Support</v>
      </c>
      <c r="M534" s="7" t="str">
        <f t="shared" si="4"/>
        <v>Negative</v>
      </c>
      <c r="N534" s="7" t="str">
        <f>IFERROR(__xludf.DUMMYFUNCTION("LOWER(
TRIM(
REGEXREPLACE(B534,""[^a-zA-Z\s]"","""")
)
)
"),"steven richardson")</f>
        <v>steven richardson</v>
      </c>
      <c r="O534" s="7">
        <f t="shared" si="5"/>
        <v>1</v>
      </c>
      <c r="P534" s="8" t="str">
        <f t="shared" si="6"/>
        <v>No</v>
      </c>
    </row>
    <row r="535">
      <c r="A535" s="4" t="s">
        <v>16</v>
      </c>
      <c r="B535" s="4" t="s">
        <v>1543</v>
      </c>
      <c r="C535" s="5">
        <v>44985.0</v>
      </c>
      <c r="D535" s="10">
        <v>44997.0</v>
      </c>
      <c r="E535" s="4" t="s">
        <v>1544</v>
      </c>
      <c r="F535" s="4" t="s">
        <v>1545</v>
      </c>
      <c r="G535" s="6" t="str">
        <f>IFERROR(__xludf.DUMMYFUNCTION("REGEXREPLACE(LOWER(F535),""[^a-z\s]"","""")"),"constant account hacks i would be recommend")</f>
        <v>constant account hacks i would be recommend</v>
      </c>
      <c r="H535" s="4" t="str">
        <f t="shared" si="1"/>
        <v>constant account hacks i would be recommend</v>
      </c>
      <c r="I535" s="6">
        <f t="shared" si="2"/>
        <v>7</v>
      </c>
      <c r="J535" s="6">
        <f>IFERROR(__xludf.DUMMYFUNCTION("IF(H535="""","""",
SUM(
ARRAYFORMULA(
IF(
REGEXMATCH(
"" ""&amp;H535&amp;"" "",
"" ""&amp;Sentiment_Words!A$2:A3730&amp;"" ""
),
1,
0
)
)
)
)"),0.0)</f>
        <v>0</v>
      </c>
      <c r="K535" s="4">
        <f>IFERROR(__xludf.DUMMYFUNCTION("IF(H535="""","""",
SUM(
ARRAYFORMULA(
IF(
REGEXMATCH(
"" ""&amp;H535&amp;"" "",
"" ""&amp;Sentiment_Words!B$2:B3730&amp;"" ""
),
1,
0
)
)
)
)"),0.0)</f>
        <v>0</v>
      </c>
      <c r="L535" s="7" t="str">
        <f t="shared" si="3"/>
        <v>Account &amp; Website</v>
      </c>
      <c r="M535" s="7" t="str">
        <f t="shared" si="4"/>
        <v>Neutral</v>
      </c>
      <c r="N535" s="7" t="str">
        <f>IFERROR(__xludf.DUMMYFUNCTION("LOWER(
TRIM(
REGEXREPLACE(B535,""[^a-zA-Z\s]"","""")
)
)
"),"anthony reid")</f>
        <v>anthony reid</v>
      </c>
      <c r="O535" s="7">
        <f t="shared" si="5"/>
        <v>1</v>
      </c>
      <c r="P535" s="8" t="str">
        <f t="shared" si="6"/>
        <v>No</v>
      </c>
    </row>
    <row r="536">
      <c r="A536" s="4" t="s">
        <v>16</v>
      </c>
      <c r="B536" s="4" t="s">
        <v>1546</v>
      </c>
      <c r="C536" s="5">
        <v>44985.0</v>
      </c>
      <c r="D536" s="10">
        <v>44997.0</v>
      </c>
      <c r="E536" s="4" t="s">
        <v>1547</v>
      </c>
      <c r="F536" s="4" t="s">
        <v>1548</v>
      </c>
      <c r="G536" s="6" t="str">
        <f>IFERROR(__xludf.DUMMYFUNCTION("REGEXREPLACE(LOWER(F536),""[^a-z\s]"","""")"),"my account was hacked and my credit card information was mixed in with at least one other strangers information when i advised petflow about the problem i was merely told i had been the victim of some outsiders actions and to start a new account with a di"&amp;"fferent email address petflow took no responsibility and offered no assistance needless to say this gave me no confidence in petflow and i will no longer trade with your company")</f>
        <v>my account was hacked and my credit card information was mixed in with at least one other strangers information when i advised petflow about the problem i was merely told i had been the victim of some outsiders actions and to start a new account with a different email address petflow took no responsibility and offered no assistance needless to say this gave me no confidence in petflow and i will no longer trade with your company</v>
      </c>
      <c r="H536" s="4" t="str">
        <f t="shared" si="1"/>
        <v>my account was hacked my credit card information was mixed in with at least one other strangers information when i advised petflow about problem i was merely told i had been victim of some outsiders actions start a new account with a different email address petflow took no responsibility offered no assistance needless say this gave me no confidence in petflow i will no longer trade with your company</v>
      </c>
      <c r="I536" s="6">
        <f t="shared" si="2"/>
        <v>69</v>
      </c>
      <c r="J536" s="6">
        <f>IFERROR(__xludf.DUMMYFUNCTION("IF(H536="""","""",
SUM(
ARRAYFORMULA(
IF(
REGEXMATCH(
"" ""&amp;H536&amp;"" "",
"" ""&amp;Sentiment_Words!A$2:A3730&amp;"" ""
),
1,
0
)
)
)
)"),0.0)</f>
        <v>0</v>
      </c>
      <c r="K536" s="4">
        <f>IFERROR(__xludf.DUMMYFUNCTION("IF(H536="""","""",
SUM(
ARRAYFORMULA(
IF(
REGEXMATCH(
"" ""&amp;H536&amp;"" "",
"" ""&amp;Sentiment_Words!B$2:B3730&amp;"" ""
),
1,
0
)
)
)
)"),1.0)</f>
        <v>1</v>
      </c>
      <c r="L536" s="7" t="str">
        <f t="shared" si="3"/>
        <v>Account &amp; Website</v>
      </c>
      <c r="M536" s="7" t="str">
        <f t="shared" si="4"/>
        <v>Negative</v>
      </c>
      <c r="N536" s="7" t="str">
        <f>IFERROR(__xludf.DUMMYFUNCTION("LOWER(
TRIM(
REGEXREPLACE(B536,""[^a-zA-Z\s]"","""")
)
)
"),"brooke marsh")</f>
        <v>brooke marsh</v>
      </c>
      <c r="O536" s="7">
        <f t="shared" si="5"/>
        <v>1</v>
      </c>
      <c r="P536" s="8" t="str">
        <f t="shared" si="6"/>
        <v>No</v>
      </c>
    </row>
    <row r="537">
      <c r="A537" s="4" t="s">
        <v>16</v>
      </c>
      <c r="B537" s="4" t="s">
        <v>1549</v>
      </c>
      <c r="C537" s="5">
        <v>44984.0</v>
      </c>
      <c r="D537" s="10">
        <v>44997.0</v>
      </c>
      <c r="E537" s="4" t="s">
        <v>1550</v>
      </c>
      <c r="F537" s="4" t="s">
        <v>1551</v>
      </c>
      <c r="G537" s="6" t="str">
        <f>IFERROR(__xludf.DUMMYFUNCTION("REGEXREPLACE(LOWER(F537),""[^a-z\s]"","""")"),"easy to use website fast easy shipping great products it would be nice if the free shipping limit was lowered")</f>
        <v>easy to use website fast easy shipping great products it would be nice if the free shipping limit was lowered</v>
      </c>
      <c r="H537" s="4" t="str">
        <f t="shared" si="1"/>
        <v>easy use website fast easy shipping great products it would be nice if free shipping limit was lowered</v>
      </c>
      <c r="I537" s="6">
        <f t="shared" si="2"/>
        <v>18</v>
      </c>
      <c r="J537" s="6">
        <f>IFERROR(__xludf.DUMMYFUNCTION("IF(H537="""","""",
SUM(
ARRAYFORMULA(
IF(
REGEXMATCH(
"" ""&amp;H537&amp;"" "",
"" ""&amp;Sentiment_Words!A$2:A3730&amp;"" ""
),
1,
0
)
)
)
)"),3.0)</f>
        <v>3</v>
      </c>
      <c r="K537" s="4">
        <f>IFERROR(__xludf.DUMMYFUNCTION("IF(H537="""","""",
SUM(
ARRAYFORMULA(
IF(
REGEXMATCH(
"" ""&amp;H537&amp;"" "",
"" ""&amp;Sentiment_Words!B$2:B3730&amp;"" ""
),
1,
0
)
)
)
)"),0.0)</f>
        <v>0</v>
      </c>
      <c r="L537" s="7" t="str">
        <f t="shared" si="3"/>
        <v>Account &amp; Website</v>
      </c>
      <c r="M537" s="7" t="str">
        <f t="shared" si="4"/>
        <v>Positive</v>
      </c>
      <c r="N537" s="7" t="str">
        <f>IFERROR(__xludf.DUMMYFUNCTION("LOWER(
TRIM(
REGEXREPLACE(B537,""[^a-zA-Z\s]"","""")
)
)
"),"charlotta")</f>
        <v>charlotta</v>
      </c>
      <c r="O537" s="7">
        <f t="shared" si="5"/>
        <v>1</v>
      </c>
      <c r="P537" s="8" t="str">
        <f t="shared" si="6"/>
        <v>No</v>
      </c>
    </row>
    <row r="538">
      <c r="A538" s="4" t="s">
        <v>16</v>
      </c>
      <c r="B538" s="4" t="s">
        <v>1552</v>
      </c>
      <c r="C538" s="5">
        <v>44984.0</v>
      </c>
      <c r="D538" s="10">
        <v>44997.0</v>
      </c>
      <c r="E538" s="4" t="s">
        <v>1553</v>
      </c>
      <c r="F538" s="4" t="s">
        <v>1554</v>
      </c>
      <c r="G538" s="6" t="str">
        <f>IFERROR(__xludf.DUMMYFUNCTION("REGEXREPLACE(LOWER(F538),""[^a-z\s]"","""")"),"very cool customer service quick shipping  the price is high but the puppies love it")</f>
        <v>very cool customer service quick shipping  the price is high but the puppies love it</v>
      </c>
      <c r="H538" s="4" t="str">
        <f t="shared" si="1"/>
        <v>very cool customer service quick shipping price high but puppies love it</v>
      </c>
      <c r="I538" s="6">
        <f t="shared" si="2"/>
        <v>12</v>
      </c>
      <c r="J538" s="6">
        <f>IFERROR(__xludf.DUMMYFUNCTION("IF(H538="""","""",
SUM(
ARRAYFORMULA(
IF(
REGEXMATCH(
"" ""&amp;H538&amp;"" "",
"" ""&amp;Sentiment_Words!A$2:A3730&amp;"" ""
),
1,
0
)
)
)
)"),1.0)</f>
        <v>1</v>
      </c>
      <c r="K538" s="4">
        <f>IFERROR(__xludf.DUMMYFUNCTION("IF(H538="""","""",
SUM(
ARRAYFORMULA(
IF(
REGEXMATCH(
"" ""&amp;H538&amp;"" "",
"" ""&amp;Sentiment_Words!B$2:B3730&amp;"" ""
),
1,
0
)
)
)
)"),1.0)</f>
        <v>1</v>
      </c>
      <c r="L538" s="7" t="str">
        <f t="shared" si="3"/>
        <v>Customer Support</v>
      </c>
      <c r="M538" s="7" t="str">
        <f t="shared" si="4"/>
        <v>Neutral</v>
      </c>
      <c r="N538" s="7" t="str">
        <f>IFERROR(__xludf.DUMMYFUNCTION("LOWER(
TRIM(
REGEXREPLACE(B538,""[^a-zA-Z\s]"","""")
)
)
"),"jg")</f>
        <v>jg</v>
      </c>
      <c r="O538" s="7">
        <f t="shared" si="5"/>
        <v>1</v>
      </c>
      <c r="P538" s="8" t="str">
        <f t="shared" si="6"/>
        <v>No</v>
      </c>
    </row>
    <row r="539">
      <c r="A539" s="4" t="s">
        <v>16</v>
      </c>
      <c r="B539" s="4" t="s">
        <v>1555</v>
      </c>
      <c r="C539" s="5">
        <v>44984.0</v>
      </c>
      <c r="D539" s="10">
        <v>44996.0</v>
      </c>
      <c r="E539" s="4" t="s">
        <v>1556</v>
      </c>
      <c r="F539" s="4" t="s">
        <v>1557</v>
      </c>
      <c r="G539" s="6" t="str">
        <f>IFERROR(__xludf.DUMMYFUNCTION("REGEXREPLACE(LOWER(F539),""[^a-z\s]"","""")"),"the wrong product was shipped and petflow immediately sent out the correct food for my dog great customer service will definitely buy from then again")</f>
        <v>the wrong product was shipped and petflow immediately sent out the correct food for my dog great customer service will definitely buy from then again</v>
      </c>
      <c r="H539" s="4" t="str">
        <f t="shared" si="1"/>
        <v>wrong product was shipped petflow immediately sent out correct food my dog great customer service will definitely buy from then again</v>
      </c>
      <c r="I539" s="6">
        <f t="shared" si="2"/>
        <v>21</v>
      </c>
      <c r="J539" s="6">
        <f>IFERROR(__xludf.DUMMYFUNCTION("IF(H539="""","""",
SUM(
ARRAYFORMULA(
IF(
REGEXMATCH(
"" ""&amp;H539&amp;"" "",
"" ""&amp;Sentiment_Words!A$2:A3730&amp;"" ""
),
1,
0
)
)
)
)"),3.0)</f>
        <v>3</v>
      </c>
      <c r="K539" s="4">
        <f>IFERROR(__xludf.DUMMYFUNCTION("IF(H539="""","""",
SUM(
ARRAYFORMULA(
IF(
REGEXMATCH(
"" ""&amp;H539&amp;"" "",
"" ""&amp;Sentiment_Words!B$2:B3730&amp;"" ""
),
1,
0
)
)
)
)"),2.0)</f>
        <v>2</v>
      </c>
      <c r="L539" s="7" t="str">
        <f t="shared" si="3"/>
        <v>Customer Support</v>
      </c>
      <c r="M539" s="7" t="str">
        <f t="shared" si="4"/>
        <v>Positive</v>
      </c>
      <c r="N539" s="7" t="str">
        <f>IFERROR(__xludf.DUMMYFUNCTION("LOWER(
TRIM(
REGEXREPLACE(B539,""[^a-zA-Z\s]"","""")
)
)
"),"jean germano")</f>
        <v>jean germano</v>
      </c>
      <c r="O539" s="7">
        <f t="shared" si="5"/>
        <v>1</v>
      </c>
      <c r="P539" s="8" t="str">
        <f t="shared" si="6"/>
        <v>No</v>
      </c>
    </row>
    <row r="540">
      <c r="A540" s="4" t="s">
        <v>16</v>
      </c>
      <c r="B540" s="4" t="s">
        <v>1485</v>
      </c>
      <c r="C540" s="5">
        <v>44984.0</v>
      </c>
      <c r="D540" s="10">
        <v>44996.0</v>
      </c>
      <c r="E540" s="4" t="s">
        <v>1558</v>
      </c>
      <c r="F540" s="4" t="s">
        <v>331</v>
      </c>
      <c r="G540" s="6" t="str">
        <f>IFERROR(__xludf.DUMMYFUNCTION("REGEXREPLACE(LOWER(F540),""[^a-z\s]"","""")"),"none")</f>
        <v>none</v>
      </c>
      <c r="H540" s="4" t="str">
        <f t="shared" si="1"/>
        <v>none</v>
      </c>
      <c r="I540" s="6">
        <f t="shared" si="2"/>
        <v>1</v>
      </c>
      <c r="J540" s="6">
        <f>IFERROR(__xludf.DUMMYFUNCTION("IF(H540="""","""",
SUM(
ARRAYFORMULA(
IF(
REGEXMATCH(
"" ""&amp;H540&amp;"" "",
"" ""&amp;Sentiment_Words!A$2:A3730&amp;"" ""
),
1,
0
)
)
)
)"),0.0)</f>
        <v>0</v>
      </c>
      <c r="K540" s="4">
        <f>IFERROR(__xludf.DUMMYFUNCTION("IF(H540="""","""",
SUM(
ARRAYFORMULA(
IF(
REGEXMATCH(
"" ""&amp;H540&amp;"" "",
"" ""&amp;Sentiment_Words!B$2:B3730&amp;"" ""
),
1,
0
)
)
)
)"),0.0)</f>
        <v>0</v>
      </c>
      <c r="L540" s="7" t="str">
        <f t="shared" si="3"/>
        <v>Other</v>
      </c>
      <c r="M540" s="7" t="str">
        <f t="shared" si="4"/>
        <v>Neutral</v>
      </c>
      <c r="N540" s="7" t="str">
        <f>IFERROR(__xludf.DUMMYFUNCTION("LOWER(
TRIM(
REGEXREPLACE(B540,""[^a-zA-Z\s]"","""")
)
)
"),"debbie")</f>
        <v>debbie</v>
      </c>
      <c r="O540" s="7">
        <f t="shared" si="5"/>
        <v>3</v>
      </c>
      <c r="P540" s="8" t="str">
        <f t="shared" si="6"/>
        <v>Yes</v>
      </c>
    </row>
    <row r="541">
      <c r="A541" s="4" t="s">
        <v>16</v>
      </c>
      <c r="B541" s="4" t="s">
        <v>1559</v>
      </c>
      <c r="C541" s="5">
        <v>44984.0</v>
      </c>
      <c r="D541" s="10">
        <v>44996.0</v>
      </c>
      <c r="E541" s="4" t="s">
        <v>1560</v>
      </c>
      <c r="F541" s="4" t="s">
        <v>331</v>
      </c>
      <c r="G541" s="6" t="str">
        <f>IFERROR(__xludf.DUMMYFUNCTION("REGEXREPLACE(LOWER(F541),""[^a-z\s]"","""")"),"none")</f>
        <v>none</v>
      </c>
      <c r="H541" s="4" t="str">
        <f t="shared" si="1"/>
        <v>none</v>
      </c>
      <c r="I541" s="6">
        <f t="shared" si="2"/>
        <v>1</v>
      </c>
      <c r="J541" s="6">
        <f>IFERROR(__xludf.DUMMYFUNCTION("IF(H541="""","""",
SUM(
ARRAYFORMULA(
IF(
REGEXMATCH(
"" ""&amp;H541&amp;"" "",
"" ""&amp;Sentiment_Words!A$2:A3730&amp;"" ""
),
1,
0
)
)
)
)"),0.0)</f>
        <v>0</v>
      </c>
      <c r="K541" s="4">
        <f>IFERROR(__xludf.DUMMYFUNCTION("IF(H541="""","""",
SUM(
ARRAYFORMULA(
IF(
REGEXMATCH(
"" ""&amp;H541&amp;"" "",
"" ""&amp;Sentiment_Words!B$2:B3730&amp;"" ""
),
1,
0
)
)
)
)"),0.0)</f>
        <v>0</v>
      </c>
      <c r="L541" s="7" t="str">
        <f t="shared" si="3"/>
        <v>Other</v>
      </c>
      <c r="M541" s="7" t="str">
        <f t="shared" si="4"/>
        <v>Neutral</v>
      </c>
      <c r="N541" s="7" t="str">
        <f>IFERROR(__xludf.DUMMYFUNCTION("LOWER(
TRIM(
REGEXREPLACE(B541,""[^a-zA-Z\s]"","""")
)
)
"),"lynn")</f>
        <v>lynn</v>
      </c>
      <c r="O541" s="7">
        <f t="shared" si="5"/>
        <v>4</v>
      </c>
      <c r="P541" s="8" t="str">
        <f t="shared" si="6"/>
        <v>Yes</v>
      </c>
    </row>
    <row r="542">
      <c r="A542" s="4" t="s">
        <v>16</v>
      </c>
      <c r="B542" s="4" t="s">
        <v>1561</v>
      </c>
      <c r="C542" s="5">
        <v>44984.0</v>
      </c>
      <c r="D542" s="10">
        <v>44996.0</v>
      </c>
      <c r="E542" s="4" t="s">
        <v>1562</v>
      </c>
      <c r="F542" s="4" t="s">
        <v>1563</v>
      </c>
      <c r="G542" s="6" t="str">
        <f>IFERROR(__xludf.DUMMYFUNCTION("REGEXREPLACE(LOWER(F542),""[^a-z\s]"","""")"),"pet flow is the most awesome online pet food provider in the market  even w trivial issues we incurred they prevailed as the winner  so did we  thanks ")</f>
        <v>pet flow is the most awesome online pet food provider in the market  even w trivial issues we incurred they prevailed as the winner  so did we  thanks </v>
      </c>
      <c r="H542" s="4" t="str">
        <f t="shared" si="1"/>
        <v>pet flow most awesome online pet food provider in market even w trivial issues we incurred they prevailed as winner so did we thanks</v>
      </c>
      <c r="I542" s="6">
        <f t="shared" si="2"/>
        <v>24</v>
      </c>
      <c r="J542" s="6">
        <f>IFERROR(__xludf.DUMMYFUNCTION("IF(H542="""","""",
SUM(
ARRAYFORMULA(
IF(
REGEXMATCH(
"" ""&amp;H542&amp;"" "",
"" ""&amp;Sentiment_Words!A$2:A3730&amp;"" ""
),
1,
0
)
)
)
)"),0.0)</f>
        <v>0</v>
      </c>
      <c r="K542" s="4">
        <f>IFERROR(__xludf.DUMMYFUNCTION("IF(H542="""","""",
SUM(
ARRAYFORMULA(
IF(
REGEXMATCH(
"" ""&amp;H542&amp;"" "",
"" ""&amp;Sentiment_Words!B$2:B3730&amp;"" ""
),
1,
0
)
)
)
)"),0.0)</f>
        <v>0</v>
      </c>
      <c r="L542" s="7" t="str">
        <f t="shared" si="3"/>
        <v>Other</v>
      </c>
      <c r="M542" s="7" t="str">
        <f t="shared" si="4"/>
        <v>Neutral</v>
      </c>
      <c r="N542" s="7" t="str">
        <f>IFERROR(__xludf.DUMMYFUNCTION("LOWER(
TRIM(
REGEXREPLACE(B542,""[^a-zA-Z\s]"","""")
)
)
"),"william coberly")</f>
        <v>william coberly</v>
      </c>
      <c r="O542" s="7">
        <f t="shared" si="5"/>
        <v>1</v>
      </c>
      <c r="P542" s="8" t="str">
        <f t="shared" si="6"/>
        <v>No</v>
      </c>
    </row>
    <row r="543">
      <c r="A543" s="4" t="s">
        <v>16</v>
      </c>
      <c r="B543" s="4" t="s">
        <v>1564</v>
      </c>
      <c r="C543" s="5">
        <v>44984.0</v>
      </c>
      <c r="D543" s="10">
        <v>44996.0</v>
      </c>
      <c r="E543" s="4" t="s">
        <v>1565</v>
      </c>
      <c r="F543" s="4" t="s">
        <v>1566</v>
      </c>
      <c r="G543" s="6" t="str">
        <f>IFERROR(__xludf.DUMMYFUNCTION("REGEXREPLACE(LOWER(F543),""[^a-z\s]"","""")"),"package and order was ok just left at wrong house and i did not see any notice of delivery")</f>
        <v>package and order was ok just left at wrong house and i did not see any notice of delivery</v>
      </c>
      <c r="H543" s="4" t="str">
        <f t="shared" si="1"/>
        <v>package order was ok just left at wrong house i did not see any notice of delivery</v>
      </c>
      <c r="I543" s="6">
        <f t="shared" si="2"/>
        <v>17</v>
      </c>
      <c r="J543" s="6">
        <f>IFERROR(__xludf.DUMMYFUNCTION("IF(H543="""","""",
SUM(
ARRAYFORMULA(
IF(
REGEXMATCH(
"" ""&amp;H543&amp;"" "",
"" ""&amp;Sentiment_Words!A$2:A3730&amp;"" ""
),
1,
0
)
)
)
)"),0.0)</f>
        <v>0</v>
      </c>
      <c r="K543" s="4">
        <f>IFERROR(__xludf.DUMMYFUNCTION("IF(H543="""","""",
SUM(
ARRAYFORMULA(
IF(
REGEXMATCH(
"" ""&amp;H543&amp;"" "",
"" ""&amp;Sentiment_Words!B$2:B3730&amp;"" ""
),
1,
0
)
)
)
)"),1.0)</f>
        <v>1</v>
      </c>
      <c r="L543" s="7" t="str">
        <f t="shared" si="3"/>
        <v>Fulfillment &amp; Shipping</v>
      </c>
      <c r="M543" s="7" t="str">
        <f t="shared" si="4"/>
        <v>Negative</v>
      </c>
      <c r="N543" s="7" t="str">
        <f>IFERROR(__xludf.DUMMYFUNCTION("LOWER(
TRIM(
REGEXREPLACE(B543,""[^a-zA-Z\s]"","""")
)
)
"),"ruby kilgore")</f>
        <v>ruby kilgore</v>
      </c>
      <c r="O543" s="7">
        <f t="shared" si="5"/>
        <v>1</v>
      </c>
      <c r="P543" s="8" t="str">
        <f t="shared" si="6"/>
        <v>No</v>
      </c>
    </row>
    <row r="544">
      <c r="A544" s="4" t="s">
        <v>16</v>
      </c>
      <c r="B544" s="4" t="s">
        <v>1567</v>
      </c>
      <c r="C544" s="5">
        <v>44984.0</v>
      </c>
      <c r="D544" s="10">
        <v>44996.0</v>
      </c>
      <c r="E544" s="4" t="s">
        <v>1568</v>
      </c>
      <c r="F544" s="4" t="s">
        <v>1569</v>
      </c>
      <c r="G544" s="6" t="str">
        <f>IFERROR(__xludf.DUMMYFUNCTION("REGEXREPLACE(LOWER(F544),""[^a-z\s]"","""")"),"i have always had good service from petflow i have received damaged cans and they have always taken care of me i donate the damaged cans to the shelter the customer service reps have always been very friendly and professional i love that they also donate "&amp;"to the shelters and rescues it means the world to the animals and to the facilities they help")</f>
        <v>i have always had good service from petflow i have received damaged cans and they have always taken care of me i donate the damaged cans to the shelter the customer service reps have always been very friendly and professional i love that they also donate to the shelters and rescues it means the world to the animals and to the facilities they help</v>
      </c>
      <c r="H544" s="4" t="str">
        <f t="shared" si="1"/>
        <v>i have always had good service from petflow i have received damaged cans they have always taken care of me i donate damaged cans shelter customer service reps have always been very friendly professional i love that they also donate shelters rescues it means world animals facilities they help</v>
      </c>
      <c r="I544" s="6">
        <f t="shared" si="2"/>
        <v>49</v>
      </c>
      <c r="J544" s="6">
        <f>IFERROR(__xludf.DUMMYFUNCTION("IF(H544="""","""",
SUM(
ARRAYFORMULA(
IF(
REGEXMATCH(
"" ""&amp;H544&amp;"" "",
"" ""&amp;Sentiment_Words!A$2:A3730&amp;"" ""
),
1,
0
)
)
)
)"),2.0)</f>
        <v>2</v>
      </c>
      <c r="K544" s="4">
        <f>IFERROR(__xludf.DUMMYFUNCTION("IF(H544="""","""",
SUM(
ARRAYFORMULA(
IF(
REGEXMATCH(
"" ""&amp;H544&amp;"" "",
"" ""&amp;Sentiment_Words!B$2:B3730&amp;"" ""
),
1,
0
)
)
)
)"),1.0)</f>
        <v>1</v>
      </c>
      <c r="L544" s="7" t="str">
        <f t="shared" si="3"/>
        <v>Customer Support</v>
      </c>
      <c r="M544" s="7" t="str">
        <f t="shared" si="4"/>
        <v>Positive</v>
      </c>
      <c r="N544" s="7" t="str">
        <f>IFERROR(__xludf.DUMMYFUNCTION("LOWER(
TRIM(
REGEXREPLACE(B544,""[^a-zA-Z\s]"","""")
)
)
"),"maria detommaso")</f>
        <v>maria detommaso</v>
      </c>
      <c r="O544" s="7">
        <f t="shared" si="5"/>
        <v>1</v>
      </c>
      <c r="P544" s="8" t="str">
        <f t="shared" si="6"/>
        <v>No</v>
      </c>
    </row>
    <row r="545">
      <c r="A545" s="4" t="s">
        <v>16</v>
      </c>
      <c r="B545" s="4" t="s">
        <v>1570</v>
      </c>
      <c r="C545" s="5">
        <v>44984.0</v>
      </c>
      <c r="D545" s="10">
        <v>44996.0</v>
      </c>
      <c r="E545" s="4" t="s">
        <v>1571</v>
      </c>
      <c r="F545" s="4" t="s">
        <v>1572</v>
      </c>
      <c r="G545" s="6" t="str">
        <f>IFERROR(__xludf.DUMMYFUNCTION("REGEXREPLACE(LOWER(F545),""[^a-z\s]"","""")"),"just switched over to you from many years with chewycom ongoing out of stock for our prescription food then far too many cute apologies
came to you to fill and you had the inventory twice actually and now i am on auto with you
thank you")</f>
        <v>just switched over to you from many years with chewycom ongoing out of stock for our prescription food then far too many cute apologies
came to you to fill and you had the inventory twice actually and now i am on auto with you
thank you</v>
      </c>
      <c r="H545" s="4" t="str">
        <f t="shared" si="1"/>
        <v>just switched over you from many years with chewycom ongoing out of stock our prescription food then far too many cute apologies
came you fill you had inventory twice actually now i am on auto with you
thank you</v>
      </c>
      <c r="I545" s="6">
        <f t="shared" si="2"/>
        <v>37</v>
      </c>
      <c r="J545" s="6">
        <f>IFERROR(__xludf.DUMMYFUNCTION("IF(H545="""","""",
SUM(
ARRAYFORMULA(
IF(
REGEXMATCH(
"" ""&amp;H545&amp;"" "",
"" ""&amp;Sentiment_Words!A$2:A3730&amp;"" ""
),
1,
0
)
)
)
)"),0.0)</f>
        <v>0</v>
      </c>
      <c r="K545" s="4">
        <f>IFERROR(__xludf.DUMMYFUNCTION("IF(H545="""","""",
SUM(
ARRAYFORMULA(
IF(
REGEXMATCH(
"" ""&amp;H545&amp;"" "",
"" ""&amp;Sentiment_Words!B$2:B3730&amp;"" ""
),
1,
0
)
)
)
)"),1.0)</f>
        <v>1</v>
      </c>
      <c r="L545" s="7" t="str">
        <f t="shared" si="3"/>
        <v>Availability</v>
      </c>
      <c r="M545" s="7" t="str">
        <f t="shared" si="4"/>
        <v>Negative</v>
      </c>
      <c r="N545" s="7" t="str">
        <f>IFERROR(__xludf.DUMMYFUNCTION("LOWER(
TRIM(
REGEXREPLACE(B545,""[^a-zA-Z\s]"","""")
)
)
"),"donna heaston")</f>
        <v>donna heaston</v>
      </c>
      <c r="O545" s="7">
        <f t="shared" si="5"/>
        <v>1</v>
      </c>
      <c r="P545" s="8" t="str">
        <f t="shared" si="6"/>
        <v>No</v>
      </c>
    </row>
    <row r="546">
      <c r="A546" s="4" t="s">
        <v>16</v>
      </c>
      <c r="B546" s="4" t="s">
        <v>1573</v>
      </c>
      <c r="C546" s="5">
        <v>44983.0</v>
      </c>
      <c r="D546" s="10">
        <v>44996.0</v>
      </c>
      <c r="E546" s="4" t="s">
        <v>1574</v>
      </c>
      <c r="F546" s="4" t="s">
        <v>1575</v>
      </c>
      <c r="G546" s="6" t="str">
        <f>IFERROR(__xludf.DUMMYFUNCTION("REGEXREPLACE(LOWER(F546),""[^a-z\s]"","""")"),"i ordered  items and one never shipped and both items were coming out of the same warehouse shipping for the st item took  days  when my order arrived i called to tell them my nd item never came customer service was great and said they would rush that ite"&amp;"m out since it was their fault nd item arrived next day")</f>
        <v>i ordered  items and one never shipped and both items were coming out of the same warehouse shipping for the st item took  days  when my order arrived i called to tell them my nd item never came customer service was great and said they would rush that item out since it was their fault nd item arrived next day</v>
      </c>
      <c r="H546" s="4" t="str">
        <f t="shared" si="1"/>
        <v>i ordered items one never shipped both items were coming out of same warehouse shipping st item took days when my order arrived i called tell them my nd item never came customer service was great said they would rush that item out since it was their fault nd item arrived next day</v>
      </c>
      <c r="I546" s="6">
        <f t="shared" si="2"/>
        <v>53</v>
      </c>
      <c r="J546" s="6">
        <f>IFERROR(__xludf.DUMMYFUNCTION("IF(H546="""","""",
SUM(
ARRAYFORMULA(
IF(
REGEXMATCH(
"" ""&amp;H546&amp;"" "",
"" ""&amp;Sentiment_Words!A$2:A3730&amp;"" ""
),
1,
0
)
)
)
)"),1.0)</f>
        <v>1</v>
      </c>
      <c r="K546" s="4">
        <f>IFERROR(__xludf.DUMMYFUNCTION("IF(H546="""","""",
SUM(
ARRAYFORMULA(
IF(
REGEXMATCH(
"" ""&amp;H546&amp;"" "",
"" ""&amp;Sentiment_Words!B$2:B3730&amp;"" ""
),
1,
0
)
)
)
)"),1.0)</f>
        <v>1</v>
      </c>
      <c r="L546" s="7" t="str">
        <f t="shared" si="3"/>
        <v>Customer Support</v>
      </c>
      <c r="M546" s="7" t="str">
        <f t="shared" si="4"/>
        <v>Neutral</v>
      </c>
      <c r="N546" s="7" t="str">
        <f>IFERROR(__xludf.DUMMYFUNCTION("LOWER(
TRIM(
REGEXREPLACE(B546,""[^a-zA-Z\s]"","""")
)
)
"),"gena berkebile")</f>
        <v>gena berkebile</v>
      </c>
      <c r="O546" s="7">
        <f t="shared" si="5"/>
        <v>1</v>
      </c>
      <c r="P546" s="8" t="str">
        <f t="shared" si="6"/>
        <v>No</v>
      </c>
    </row>
    <row r="547">
      <c r="A547" s="4" t="s">
        <v>16</v>
      </c>
      <c r="B547" s="4" t="s">
        <v>1576</v>
      </c>
      <c r="C547" s="5">
        <v>44983.0</v>
      </c>
      <c r="D547" s="10">
        <v>44995.0</v>
      </c>
      <c r="E547" s="4" t="s">
        <v>1577</v>
      </c>
      <c r="F547" s="4" t="s">
        <v>1578</v>
      </c>
      <c r="G547" s="6" t="str">
        <f>IFERROR(__xludf.DUMMYFUNCTION("REGEXREPLACE(LOWER(F547),""[^a-z\s]"","""")"),"very hard to work with even though i had a prescription from the veterinarian office which they never contacted carolina beach kept sending me the same message if you have a copy of your prescription please email a clear copy to along with your order numb"&amp;"er and we may be able to fulfill your order sooner
order   sarah boone
i have every email sent by your company i called many times could give dates boone was sick needed that food didnt need the run around that i got the day i cancelled it by monday with"&amp;" the same prescription you had trouble with another company passed it
i used to buy from you and hope in the future i can come back
vicki k boyles
helppetflow
order  
sarah boone
along with the prescription")</f>
        <v>very hard to work with even though i had a prescription from the veterinarian office which they never contacted carolina beach kept sending me the same message if you have a copy of your prescription please email a clear copy to along with your order number and we may be able to fulfill your order sooner
order   sarah boone
i have every email sent by your company i called many times could give dates boone was sick needed that food didnt need the run around that i got the day i cancelled it by monday with the same prescription you had trouble with another company passed it
i used to buy from you and hope in the future i can come back
vicki k boyles
helppetflow
order  
sarah boone
along with the prescription</v>
      </c>
      <c r="H547" s="4" t="str">
        <f t="shared" si="1"/>
        <v>very hard work with even though i had a prescription from veterinarian office which they never contacted carolina beach kept sending me same message if you have a copy of your prescription please email a clear copy along with your order number we may be able fulfill your order sooner
order sarah boone
i have every email sent by your company i called many times could give dates boone was sick needed that food didnt need run around that i got day i cancelled it by monday with same prescription you had trouble with another company passed it
i used buy from you hope in future i can come back
vicki k boyles
helppetflow
order 
sarah boone
along with prescription</v>
      </c>
      <c r="I547" s="6">
        <f t="shared" si="2"/>
        <v>113</v>
      </c>
      <c r="J547" s="6">
        <f>IFERROR(__xludf.DUMMYFUNCTION("IF(H547="""","""",
SUM(
ARRAYFORMULA(
IF(
REGEXMATCH(
"" ""&amp;H547&amp;"" "",
"" ""&amp;Sentiment_Words!A$2:A3730&amp;"" ""
),
1,
0
)
)
)
)"),1.0)</f>
        <v>1</v>
      </c>
      <c r="K547" s="4">
        <f>IFERROR(__xludf.DUMMYFUNCTION("IF(H547="""","""",
SUM(
ARRAYFORMULA(
IF(
REGEXMATCH(
"" ""&amp;H547&amp;"" "",
"" ""&amp;Sentiment_Words!B$2:B3730&amp;"" ""
),
1,
0
)
)
)
)"),1.0)</f>
        <v>1</v>
      </c>
      <c r="L547" s="7" t="str">
        <f t="shared" si="3"/>
        <v>Other</v>
      </c>
      <c r="M547" s="7" t="str">
        <f t="shared" si="4"/>
        <v>Neutral</v>
      </c>
      <c r="N547" s="7" t="str">
        <f>IFERROR(__xludf.DUMMYFUNCTION("LOWER(
TRIM(
REGEXREPLACE(B547,""[^a-zA-Z\s]"","""")
)
)
"),"jeffrey brenner")</f>
        <v>jeffrey brenner</v>
      </c>
      <c r="O547" s="7">
        <f t="shared" si="5"/>
        <v>1</v>
      </c>
      <c r="P547" s="8" t="str">
        <f t="shared" si="6"/>
        <v>No</v>
      </c>
    </row>
    <row r="548">
      <c r="A548" s="4" t="s">
        <v>16</v>
      </c>
      <c r="B548" s="4" t="s">
        <v>1579</v>
      </c>
      <c r="C548" s="5">
        <v>44982.0</v>
      </c>
      <c r="D548" s="10">
        <v>44995.0</v>
      </c>
      <c r="E548" s="4" t="s">
        <v>1580</v>
      </c>
      <c r="F548" s="4" t="s">
        <v>1581</v>
      </c>
      <c r="G548" s="6" t="str">
        <f>IFERROR(__xludf.DUMMYFUNCTION("REGEXREPLACE(LOWER(F548),""[^a-z\s]"","""")"),"ease of ordering and modifying my auto ship order")</f>
        <v>ease of ordering and modifying my auto ship order</v>
      </c>
      <c r="H548" s="4" t="str">
        <f t="shared" si="1"/>
        <v>ease of ordering modifying my auto ship order</v>
      </c>
      <c r="I548" s="6">
        <f t="shared" si="2"/>
        <v>8</v>
      </c>
      <c r="J548" s="6">
        <f>IFERROR(__xludf.DUMMYFUNCTION("IF(H548="""","""",
SUM(
ARRAYFORMULA(
IF(
REGEXMATCH(
"" ""&amp;H548&amp;"" "",
"" ""&amp;Sentiment_Words!A$2:A3730&amp;"" ""
),
1,
0
)
)
)
)"),1.0)</f>
        <v>1</v>
      </c>
      <c r="K548" s="4">
        <f>IFERROR(__xludf.DUMMYFUNCTION("IF(H548="""","""",
SUM(
ARRAYFORMULA(
IF(
REGEXMATCH(
"" ""&amp;H548&amp;"" "",
"" ""&amp;Sentiment_Words!B$2:B3730&amp;"" ""
),
1,
0
)
)
)
)"),0.0)</f>
        <v>0</v>
      </c>
      <c r="L548" s="7" t="str">
        <f t="shared" si="3"/>
        <v>Other</v>
      </c>
      <c r="M548" s="7" t="str">
        <f t="shared" si="4"/>
        <v>Positive</v>
      </c>
      <c r="N548" s="7" t="str">
        <f>IFERROR(__xludf.DUMMYFUNCTION("LOWER(
TRIM(
REGEXREPLACE(B548,""[^a-zA-Z\s]"","""")
)
)
"),"larry gruetzmacher")</f>
        <v>larry gruetzmacher</v>
      </c>
      <c r="O548" s="7">
        <f t="shared" si="5"/>
        <v>1</v>
      </c>
      <c r="P548" s="8" t="str">
        <f t="shared" si="6"/>
        <v>No</v>
      </c>
    </row>
    <row r="549">
      <c r="A549" s="4" t="s">
        <v>16</v>
      </c>
      <c r="B549" s="4" t="s">
        <v>1582</v>
      </c>
      <c r="C549" s="5">
        <v>44982.0</v>
      </c>
      <c r="D549" s="10">
        <v>44994.0</v>
      </c>
      <c r="E549" s="4" t="s">
        <v>1583</v>
      </c>
      <c r="F549" s="4" t="s">
        <v>1584</v>
      </c>
      <c r="G549" s="6" t="str">
        <f>IFERROR(__xludf.DUMMYFUNCTION("REGEXREPLACE(LOWER(F549),""[^a-z\s]"","""")"),"all of the information you need to fill my order you have on file which helps things go very smoothly")</f>
        <v>all of the information you need to fill my order you have on file which helps things go very smoothly</v>
      </c>
      <c r="H549" s="4" t="str">
        <f t="shared" si="1"/>
        <v>all of information you need fill my order you have on file which helps things go very smoothly</v>
      </c>
      <c r="I549" s="6">
        <f t="shared" si="2"/>
        <v>18</v>
      </c>
      <c r="J549" s="6">
        <f>IFERROR(__xludf.DUMMYFUNCTION("IF(H549="""","""",
SUM(
ARRAYFORMULA(
IF(
REGEXMATCH(
"" ""&amp;H549&amp;"" "",
"" ""&amp;Sentiment_Words!A$2:A3730&amp;"" ""
),
1,
0
)
)
)
)"),0.0)</f>
        <v>0</v>
      </c>
      <c r="K549" s="4">
        <f>IFERROR(__xludf.DUMMYFUNCTION("IF(H549="""","""",
SUM(
ARRAYFORMULA(
IF(
REGEXMATCH(
"" ""&amp;H549&amp;"" "",
"" ""&amp;Sentiment_Words!B$2:B3730&amp;"" ""
),
1,
0
)
)
)
)"),0.0)</f>
        <v>0</v>
      </c>
      <c r="L549" s="7" t="str">
        <f t="shared" si="3"/>
        <v>Other</v>
      </c>
      <c r="M549" s="7" t="str">
        <f t="shared" si="4"/>
        <v>Neutral</v>
      </c>
      <c r="N549" s="7" t="str">
        <f>IFERROR(__xludf.DUMMYFUNCTION("LOWER(
TRIM(
REGEXREPLACE(B549,""[^a-zA-Z\s]"","""")
)
)
"),"bonnie vohden")</f>
        <v>bonnie vohden</v>
      </c>
      <c r="O549" s="7">
        <f t="shared" si="5"/>
        <v>1</v>
      </c>
      <c r="P549" s="8" t="str">
        <f t="shared" si="6"/>
        <v>No</v>
      </c>
    </row>
    <row r="550">
      <c r="A550" s="4" t="s">
        <v>16</v>
      </c>
      <c r="B550" s="4" t="s">
        <v>1585</v>
      </c>
      <c r="C550" s="5">
        <v>44980.0</v>
      </c>
      <c r="D550" s="10">
        <v>44994.0</v>
      </c>
      <c r="E550" s="4" t="s">
        <v>1586</v>
      </c>
      <c r="F550" s="4" t="s">
        <v>1587</v>
      </c>
      <c r="G550" s="6" t="str">
        <f>IFERROR(__xludf.DUMMYFUNCTION("REGEXREPLACE(LOWER(F550),""[^a-z\s]"","""")"),"i tried ordering dog food twice and both my orders were cancelled for some reason never received an email saying it was canceled just never reviewed the package and had to log onto my account and check what was going on both times ended up having to get d"&amp;"og food that my dog has never eaten because she ran out of dog food terrible experience")</f>
        <v>i tried ordering dog food twice and both my orders were cancelled for some reason never received an email saying it was canceled just never reviewed the package and had to log onto my account and check what was going on both times ended up having to get dog food that my dog has never eaten because she ran out of dog food terrible experience</v>
      </c>
      <c r="H550" s="4" t="str">
        <f t="shared" si="1"/>
        <v>i tried ordering dog food twice both my orders were cancelled some reason never received an email saying it was canceled just never reviewed package had log onto my account check what was going on both times ended up having get dog food that my dog has never eaten because she ran out of dog food terrible experience</v>
      </c>
      <c r="I550" s="6">
        <f t="shared" si="2"/>
        <v>58</v>
      </c>
      <c r="J550" s="6">
        <f>IFERROR(__xludf.DUMMYFUNCTION("IF(H550="""","""",
SUM(
ARRAYFORMULA(
IF(
REGEXMATCH(
"" ""&amp;H550&amp;"" "",
"" ""&amp;Sentiment_Words!A$2:A3730&amp;"" ""
),
1,
0
)
)
)
)"),0.0)</f>
        <v>0</v>
      </c>
      <c r="K550" s="4">
        <f>IFERROR(__xludf.DUMMYFUNCTION("IF(H550="""","""",
SUM(
ARRAYFORMULA(
IF(
REGEXMATCH(
"" ""&amp;H550&amp;"" "",
"" ""&amp;Sentiment_Words!B$2:B3730&amp;"" ""
),
1,
0
)
)
)
)"),2.0)</f>
        <v>2</v>
      </c>
      <c r="L550" s="7" t="str">
        <f t="shared" si="3"/>
        <v>Account &amp; Website</v>
      </c>
      <c r="M550" s="7" t="str">
        <f t="shared" si="4"/>
        <v>Negative</v>
      </c>
      <c r="N550" s="7" t="str">
        <f>IFERROR(__xludf.DUMMYFUNCTION("LOWER(
TRIM(
REGEXREPLACE(B550,""[^a-zA-Z\s]"","""")
)
)
"),"vicki k boyles")</f>
        <v>vicki k boyles</v>
      </c>
      <c r="O550" s="7">
        <f t="shared" si="5"/>
        <v>1</v>
      </c>
      <c r="P550" s="8" t="str">
        <f t="shared" si="6"/>
        <v>No</v>
      </c>
    </row>
    <row r="551">
      <c r="A551" s="4" t="s">
        <v>16</v>
      </c>
      <c r="B551" s="4" t="s">
        <v>1588</v>
      </c>
      <c r="C551" s="5">
        <v>44982.0</v>
      </c>
      <c r="D551" s="10">
        <v>44994.0</v>
      </c>
      <c r="E551" s="4" t="s">
        <v>1589</v>
      </c>
      <c r="F551" s="4" t="s">
        <v>1590</v>
      </c>
      <c r="G551" s="6" t="str">
        <f>IFERROR(__xludf.DUMMYFUNCTION("REGEXREPLACE(LOWER(F551),""[^a-z\s]"","""")"),"everything came quickly but the bird treat sticks came all broken up i wish there was a better way to send them")</f>
        <v>everything came quickly but the bird treat sticks came all broken up i wish there was a better way to send them</v>
      </c>
      <c r="H551" s="4" t="str">
        <f t="shared" si="1"/>
        <v>everything came quickly but bird treat sticks came all broken up i wish there was a better way send them</v>
      </c>
      <c r="I551" s="6">
        <f t="shared" si="2"/>
        <v>20</v>
      </c>
      <c r="J551" s="6">
        <f>IFERROR(__xludf.DUMMYFUNCTION("IF(H551="""","""",
SUM(
ARRAYFORMULA(
IF(
REGEXMATCH(
"" ""&amp;H551&amp;"" "",
"" ""&amp;Sentiment_Words!A$2:A3730&amp;"" ""
),
1,
0
)
)
)
)"),0.0)</f>
        <v>0</v>
      </c>
      <c r="K551" s="4">
        <f>IFERROR(__xludf.DUMMYFUNCTION("IF(H551="""","""",
SUM(
ARRAYFORMULA(
IF(
REGEXMATCH(
"" ""&amp;H551&amp;"" "",
"" ""&amp;Sentiment_Words!B$2:B3730&amp;"" ""
),
1,
0
)
)
)
)"),0.0)</f>
        <v>0</v>
      </c>
      <c r="L551" s="7" t="str">
        <f t="shared" si="3"/>
        <v>Other</v>
      </c>
      <c r="M551" s="7" t="str">
        <f t="shared" si="4"/>
        <v>Neutral</v>
      </c>
      <c r="N551" s="7" t="str">
        <f>IFERROR(__xludf.DUMMYFUNCTION("LOWER(
TRIM(
REGEXREPLACE(B551,""[^a-zA-Z\s]"","""")
)
)
"),"karen w")</f>
        <v>karen w</v>
      </c>
      <c r="O551" s="7">
        <f t="shared" si="5"/>
        <v>1</v>
      </c>
      <c r="P551" s="8" t="str">
        <f t="shared" si="6"/>
        <v>No</v>
      </c>
    </row>
    <row r="552">
      <c r="A552" s="4" t="s">
        <v>16</v>
      </c>
      <c r="B552" s="4" t="s">
        <v>1591</v>
      </c>
      <c r="C552" s="5">
        <v>44982.0</v>
      </c>
      <c r="D552" s="10">
        <v>44994.0</v>
      </c>
      <c r="E552" s="4" t="s">
        <v>1592</v>
      </c>
      <c r="F552" s="4" t="s">
        <v>1593</v>
      </c>
      <c r="G552" s="6" t="str">
        <f>IFERROR(__xludf.DUMMYFUNCTION("REGEXREPLACE(LOWER(F552),""[^a-z\s]"","""")"),"i am getting emails telling me that my order is on its way or its delivered i did not order anything recently please get this straight
nothing is being charged on my credit card i just get emails saying my order is on its way to some address i dont even r"&amp;"ecognize in another state help")</f>
        <v>i am getting emails telling me that my order is on its way or its delivered i did not order anything recently please get this straight
nothing is being charged on my credit card i just get emails saying my order is on its way to some address i dont even recognize in another state help</v>
      </c>
      <c r="H552" s="4" t="str">
        <f t="shared" si="1"/>
        <v>i am getting emails telling me that my order on its way or its delivered i did not order anything recently please get this straight
nothing being charged on my credit card i just get emails saying my order on its way some address i dont even recognize in another state help</v>
      </c>
      <c r="I552" s="6">
        <f t="shared" si="2"/>
        <v>51</v>
      </c>
      <c r="J552" s="6">
        <f>IFERROR(__xludf.DUMMYFUNCTION("IF(H552="""","""",
SUM(
ARRAYFORMULA(
IF(
REGEXMATCH(
"" ""&amp;H552&amp;"" "",
"" ""&amp;Sentiment_Words!A$2:A3730&amp;"" ""
),
1,
0
)
)
)
)"),1.0)</f>
        <v>1</v>
      </c>
      <c r="K552" s="4">
        <f>IFERROR(__xludf.DUMMYFUNCTION("IF(H552="""","""",
SUM(
ARRAYFORMULA(
IF(
REGEXMATCH(
"" ""&amp;H552&amp;"" "",
"" ""&amp;Sentiment_Words!B$2:B3730&amp;"" ""
),
1,
0
)
)
)
)"),0.0)</f>
        <v>0</v>
      </c>
      <c r="L552" s="7" t="str">
        <f t="shared" si="3"/>
        <v>Other</v>
      </c>
      <c r="M552" s="7" t="str">
        <f t="shared" si="4"/>
        <v>Positive</v>
      </c>
      <c r="N552" s="7" t="str">
        <f>IFERROR(__xludf.DUMMYFUNCTION("LOWER(
TRIM(
REGEXREPLACE(B552,""[^a-zA-Z\s]"","""")
)
)
"),"donald moravick")</f>
        <v>donald moravick</v>
      </c>
      <c r="O552" s="7">
        <f t="shared" si="5"/>
        <v>1</v>
      </c>
      <c r="P552" s="8" t="str">
        <f t="shared" si="6"/>
        <v>No</v>
      </c>
    </row>
    <row r="553">
      <c r="A553" s="4" t="s">
        <v>16</v>
      </c>
      <c r="B553" s="4" t="s">
        <v>1594</v>
      </c>
      <c r="C553" s="5">
        <v>44981.0</v>
      </c>
      <c r="D553" s="10">
        <v>44993.0</v>
      </c>
      <c r="E553" s="4" t="s">
        <v>1595</v>
      </c>
      <c r="F553" s="4" t="s">
        <v>1596</v>
      </c>
      <c r="G553" s="6" t="str">
        <f>IFERROR(__xludf.DUMMYFUNCTION("REGEXREPLACE(LOWER(F553),""[^a-z\s]"","""")"),"no issues and will order again")</f>
        <v>no issues and will order again</v>
      </c>
      <c r="H553" s="4" t="str">
        <f t="shared" si="1"/>
        <v>no issues will order again</v>
      </c>
      <c r="I553" s="6">
        <f t="shared" si="2"/>
        <v>5</v>
      </c>
      <c r="J553" s="6">
        <f>IFERROR(__xludf.DUMMYFUNCTION("IF(H553="""","""",
SUM(
ARRAYFORMULA(
IF(
REGEXMATCH(
"" ""&amp;H553&amp;"" "",
"" ""&amp;Sentiment_Words!A$2:A3730&amp;"" ""
),
1,
0
)
)
)
)"),1.0)</f>
        <v>1</v>
      </c>
      <c r="K553" s="4">
        <f>IFERROR(__xludf.DUMMYFUNCTION("IF(H553="""","""",
SUM(
ARRAYFORMULA(
IF(
REGEXMATCH(
"" ""&amp;H553&amp;"" "",
"" ""&amp;Sentiment_Words!B$2:B3730&amp;"" ""
),
1,
0
)
)
)
)"),0.0)</f>
        <v>0</v>
      </c>
      <c r="L553" s="7" t="str">
        <f t="shared" si="3"/>
        <v>Other</v>
      </c>
      <c r="M553" s="7" t="str">
        <f t="shared" si="4"/>
        <v>Positive</v>
      </c>
      <c r="N553" s="7" t="str">
        <f>IFERROR(__xludf.DUMMYFUNCTION("LOWER(
TRIM(
REGEXREPLACE(B553,""[^a-zA-Z\s]"","""")
)
)
"),"nate")</f>
        <v>nate</v>
      </c>
      <c r="O553" s="7">
        <f t="shared" si="5"/>
        <v>1</v>
      </c>
      <c r="P553" s="8" t="str">
        <f t="shared" si="6"/>
        <v>No</v>
      </c>
    </row>
    <row r="554">
      <c r="A554" s="4" t="s">
        <v>16</v>
      </c>
      <c r="B554" s="4" t="s">
        <v>1597</v>
      </c>
      <c r="C554" s="5">
        <v>44970.0</v>
      </c>
      <c r="D554" s="10">
        <v>44993.0</v>
      </c>
      <c r="E554" s="4" t="s">
        <v>1598</v>
      </c>
      <c r="F554" s="4" t="s">
        <v>1599</v>
      </c>
      <c r="G554" s="6" t="str">
        <f>IFERROR(__xludf.DUMMYFUNCTION("REGEXREPLACE(LOWER(F554),""[^a-z\s]"","""")"),"i placed an order and with no explanation or email they canceled it i logged on to my account to see why it was taking so long to deliver and it just said order canceled i called customer support and waited on hold for  minutes and then it just hung up on"&amp;" me worst customer service ever")</f>
        <v>i placed an order and with no explanation or email they canceled it i logged on to my account to see why it was taking so long to deliver and it just said order canceled i called customer support and waited on hold for  minutes and then it just hung up on me worst customer service ever</v>
      </c>
      <c r="H554" s="4" t="str">
        <f t="shared" si="1"/>
        <v>i placed an order with no explanation or email they canceled it i logged on my account see why it was taking so long deliver it just said order canceled i called customer support waited on hold minutes then it just hung up on me worst customer service ever</v>
      </c>
      <c r="I554" s="6">
        <f t="shared" si="2"/>
        <v>49</v>
      </c>
      <c r="J554" s="6">
        <f>IFERROR(__xludf.DUMMYFUNCTION("IF(H554="""","""",
SUM(
ARRAYFORMULA(
IF(
REGEXMATCH(
"" ""&amp;H554&amp;"" "",
"" ""&amp;Sentiment_Words!A$2:A3730&amp;"" ""
),
1,
0
)
)
)
)"),0.0)</f>
        <v>0</v>
      </c>
      <c r="K554" s="4">
        <f>IFERROR(__xludf.DUMMYFUNCTION("IF(H554="""","""",
SUM(
ARRAYFORMULA(
IF(
REGEXMATCH(
"" ""&amp;H554&amp;"" "",
"" ""&amp;Sentiment_Words!B$2:B3730&amp;"" ""
),
1,
0
)
)
)
)"),1.0)</f>
        <v>1</v>
      </c>
      <c r="L554" s="7" t="str">
        <f t="shared" si="3"/>
        <v>Customer Support</v>
      </c>
      <c r="M554" s="7" t="str">
        <f t="shared" si="4"/>
        <v>Negative</v>
      </c>
      <c r="N554" s="7" t="str">
        <f>IFERROR(__xludf.DUMMYFUNCTION("LOWER(
TRIM(
REGEXREPLACE(B554,""[^a-zA-Z\s]"","""")
)
)
"),"barbara smith")</f>
        <v>barbara smith</v>
      </c>
      <c r="O554" s="7">
        <f t="shared" si="5"/>
        <v>1</v>
      </c>
      <c r="P554" s="8" t="str">
        <f t="shared" si="6"/>
        <v>No</v>
      </c>
    </row>
    <row r="555">
      <c r="A555" s="4" t="s">
        <v>16</v>
      </c>
      <c r="B555" s="4" t="s">
        <v>1600</v>
      </c>
      <c r="C555" s="5">
        <v>44981.0</v>
      </c>
      <c r="D555" s="10">
        <v>44993.0</v>
      </c>
      <c r="E555" s="4" t="s">
        <v>1601</v>
      </c>
      <c r="F555" s="4" t="s">
        <v>1602</v>
      </c>
      <c r="G555" s="6" t="str">
        <f>IFERROR(__xludf.DUMMYFUNCTION("REGEXREPLACE(LOWER(F555),""[^a-z\s]"","""")"),"every time i have called everyone is very respectful and answers my questions")</f>
        <v>every time i have called everyone is very respectful and answers my questions</v>
      </c>
      <c r="H555" s="4" t="str">
        <f t="shared" si="1"/>
        <v>every time i have called everyone very respectful answers my questions</v>
      </c>
      <c r="I555" s="6">
        <f t="shared" si="2"/>
        <v>11</v>
      </c>
      <c r="J555" s="6">
        <f>IFERROR(__xludf.DUMMYFUNCTION("IF(H555="""","""",
SUM(
ARRAYFORMULA(
IF(
REGEXMATCH(
"" ""&amp;H555&amp;"" "",
"" ""&amp;Sentiment_Words!A$2:A3730&amp;"" ""
),
1,
0
)
)
)
)"),0.0)</f>
        <v>0</v>
      </c>
      <c r="K555" s="4">
        <f>IFERROR(__xludf.DUMMYFUNCTION("IF(H555="""","""",
SUM(
ARRAYFORMULA(
IF(
REGEXMATCH(
"" ""&amp;H555&amp;"" "",
"" ""&amp;Sentiment_Words!B$2:B3730&amp;"" ""
),
1,
0
)
)
)
)"),0.0)</f>
        <v>0</v>
      </c>
      <c r="L555" s="7" t="str">
        <f t="shared" si="3"/>
        <v>Other</v>
      </c>
      <c r="M555" s="7" t="str">
        <f t="shared" si="4"/>
        <v>Neutral</v>
      </c>
      <c r="N555" s="7" t="str">
        <f>IFERROR(__xludf.DUMMYFUNCTION("LOWER(
TRIM(
REGEXREPLACE(B555,""[^a-zA-Z\s]"","""")
)
)
"),"rod ferrand")</f>
        <v>rod ferrand</v>
      </c>
      <c r="O555" s="7">
        <f t="shared" si="5"/>
        <v>1</v>
      </c>
      <c r="P555" s="8" t="str">
        <f t="shared" si="6"/>
        <v>No</v>
      </c>
    </row>
    <row r="556">
      <c r="A556" s="4" t="s">
        <v>16</v>
      </c>
      <c r="B556" s="4" t="s">
        <v>1603</v>
      </c>
      <c r="C556" s="5">
        <v>44981.0</v>
      </c>
      <c r="D556" s="10">
        <v>44993.0</v>
      </c>
      <c r="E556" s="4" t="s">
        <v>1604</v>
      </c>
      <c r="F556" s="4" t="s">
        <v>1605</v>
      </c>
      <c r="G556" s="6" t="str">
        <f>IFERROR(__xludf.DUMMYFUNCTION("REGEXREPLACE(LOWER(F556),""[^a-z\s]"","""")"),"order came fast
staff answered my email quickly and helpfully
this company actually has real people who answer the phone and are sp pleasant and helpful
prices are good")</f>
        <v>order came fast
staff answered my email quickly and helpfully
this company actually has real people who answer the phone and are sp pleasant and helpful
prices are good</v>
      </c>
      <c r="H556" s="4" t="str">
        <f t="shared" si="1"/>
        <v>order came fast
staff answered my email quickly helpfully
this company actually has real people who answer phone are sp pleasant helpful
prices are good</v>
      </c>
      <c r="I556" s="6">
        <f t="shared" si="2"/>
        <v>22</v>
      </c>
      <c r="J556" s="6">
        <f>IFERROR(__xludf.DUMMYFUNCTION("IF(H556="""","""",
SUM(
ARRAYFORMULA(
IF(
REGEXMATCH(
"" ""&amp;H556&amp;"" "",
"" ""&amp;Sentiment_Words!A$2:A3730&amp;"" ""
),
1,
0
)
)
)
)"),1.0)</f>
        <v>1</v>
      </c>
      <c r="K556" s="4">
        <f>IFERROR(__xludf.DUMMYFUNCTION("IF(H556="""","""",
SUM(
ARRAYFORMULA(
IF(
REGEXMATCH(
"" ""&amp;H556&amp;"" "",
"" ""&amp;Sentiment_Words!B$2:B3730&amp;"" ""
),
1,
0
)
)
)
)"),0.0)</f>
        <v>0</v>
      </c>
      <c r="L556" s="7" t="str">
        <f t="shared" si="3"/>
        <v>Other</v>
      </c>
      <c r="M556" s="7" t="str">
        <f t="shared" si="4"/>
        <v>Positive</v>
      </c>
      <c r="N556" s="7" t="str">
        <f>IFERROR(__xludf.DUMMYFUNCTION("LOWER(
TRIM(
REGEXREPLACE(B556,""[^a-zA-Z\s]"","""")
)
)
"),"mike")</f>
        <v>mike</v>
      </c>
      <c r="O556" s="7">
        <f t="shared" si="5"/>
        <v>4</v>
      </c>
      <c r="P556" s="8" t="str">
        <f t="shared" si="6"/>
        <v>Yes</v>
      </c>
    </row>
    <row r="557">
      <c r="A557" s="4" t="s">
        <v>16</v>
      </c>
      <c r="B557" s="4" t="s">
        <v>1606</v>
      </c>
      <c r="C557" s="5">
        <v>44981.0</v>
      </c>
      <c r="D557" s="10">
        <v>44993.0</v>
      </c>
      <c r="E557" s="4" t="s">
        <v>1607</v>
      </c>
      <c r="F557" s="4" t="s">
        <v>1608</v>
      </c>
      <c r="G557" s="6" t="str">
        <f>IFERROR(__xludf.DUMMYFUNCTION("REGEXREPLACE(LOWER(F557),""[^a-z\s]"","""")"),"always works perfectlyorder online what i ordered delivers in a few days")</f>
        <v>always works perfectlyorder online what i ordered delivers in a few days</v>
      </c>
      <c r="H557" s="4" t="str">
        <f t="shared" si="1"/>
        <v>always works perfectlyorder online what i ordered delivers in a few days</v>
      </c>
      <c r="I557" s="6">
        <f t="shared" si="2"/>
        <v>12</v>
      </c>
      <c r="J557" s="6">
        <f>IFERROR(__xludf.DUMMYFUNCTION("IF(H557="""","""",
SUM(
ARRAYFORMULA(
IF(
REGEXMATCH(
"" ""&amp;H557&amp;"" "",
"" ""&amp;Sentiment_Words!A$2:A3730&amp;"" ""
),
1,
0
)
)
)
)"),1.0)</f>
        <v>1</v>
      </c>
      <c r="K557" s="4">
        <f>IFERROR(__xludf.DUMMYFUNCTION("IF(H557="""","""",
SUM(
ARRAYFORMULA(
IF(
REGEXMATCH(
"" ""&amp;H557&amp;"" "",
"" ""&amp;Sentiment_Words!B$2:B3730&amp;"" ""
),
1,
0
)
)
)
)"),0.0)</f>
        <v>0</v>
      </c>
      <c r="L557" s="7" t="str">
        <f t="shared" si="3"/>
        <v>Other</v>
      </c>
      <c r="M557" s="7" t="str">
        <f t="shared" si="4"/>
        <v>Positive</v>
      </c>
      <c r="N557" s="7" t="str">
        <f>IFERROR(__xludf.DUMMYFUNCTION("LOWER(
TRIM(
REGEXREPLACE(B557,""[^a-zA-Z\s]"","""")
)
)
"),"edward")</f>
        <v>edward</v>
      </c>
      <c r="O557" s="7">
        <f t="shared" si="5"/>
        <v>3</v>
      </c>
      <c r="P557" s="8" t="str">
        <f t="shared" si="6"/>
        <v>Yes</v>
      </c>
    </row>
    <row r="558">
      <c r="A558" s="4" t="s">
        <v>16</v>
      </c>
      <c r="B558" s="4" t="s">
        <v>1609</v>
      </c>
      <c r="C558" s="5">
        <v>44981.0</v>
      </c>
      <c r="D558" s="10">
        <v>44993.0</v>
      </c>
      <c r="E558" s="4" t="s">
        <v>1610</v>
      </c>
      <c r="F558" s="4" t="s">
        <v>331</v>
      </c>
      <c r="G558" s="6" t="str">
        <f>IFERROR(__xludf.DUMMYFUNCTION("REGEXREPLACE(LOWER(F558),""[^a-z\s]"","""")"),"none")</f>
        <v>none</v>
      </c>
      <c r="H558" s="4" t="str">
        <f t="shared" si="1"/>
        <v>none</v>
      </c>
      <c r="I558" s="6">
        <f t="shared" si="2"/>
        <v>1</v>
      </c>
      <c r="J558" s="6">
        <f>IFERROR(__xludf.DUMMYFUNCTION("IF(H558="""","""",
SUM(
ARRAYFORMULA(
IF(
REGEXMATCH(
"" ""&amp;H558&amp;"" "",
"" ""&amp;Sentiment_Words!A$2:A3730&amp;"" ""
),
1,
0
)
)
)
)"),0.0)</f>
        <v>0</v>
      </c>
      <c r="K558" s="4">
        <f>IFERROR(__xludf.DUMMYFUNCTION("IF(H558="""","""",
SUM(
ARRAYFORMULA(
IF(
REGEXMATCH(
"" ""&amp;H558&amp;"" "",
"" ""&amp;Sentiment_Words!B$2:B3730&amp;"" ""
),
1,
0
)
)
)
)"),0.0)</f>
        <v>0</v>
      </c>
      <c r="L558" s="7" t="str">
        <f t="shared" si="3"/>
        <v>Other</v>
      </c>
      <c r="M558" s="7" t="str">
        <f t="shared" si="4"/>
        <v>Neutral</v>
      </c>
      <c r="N558" s="7" t="str">
        <f>IFERROR(__xludf.DUMMYFUNCTION("LOWER(
TRIM(
REGEXREPLACE(B558,""[^a-zA-Z\s]"","""")
)
)
"),"jane roberts")</f>
        <v>jane roberts</v>
      </c>
      <c r="O558" s="7">
        <f t="shared" si="5"/>
        <v>1</v>
      </c>
      <c r="P558" s="8" t="str">
        <f t="shared" si="6"/>
        <v>No</v>
      </c>
    </row>
    <row r="559">
      <c r="A559" s="4" t="s">
        <v>16</v>
      </c>
      <c r="B559" s="4" t="s">
        <v>1611</v>
      </c>
      <c r="C559" s="9">
        <v>44928.0</v>
      </c>
      <c r="D559" s="10">
        <v>44993.0</v>
      </c>
      <c r="E559" s="4" t="s">
        <v>1612</v>
      </c>
      <c r="F559" s="4" t="s">
        <v>331</v>
      </c>
      <c r="G559" s="6" t="str">
        <f>IFERROR(__xludf.DUMMYFUNCTION("REGEXREPLACE(LOWER(F559),""[^a-z\s]"","""")"),"none")</f>
        <v>none</v>
      </c>
      <c r="H559" s="4" t="str">
        <f t="shared" si="1"/>
        <v>none</v>
      </c>
      <c r="I559" s="6">
        <f t="shared" si="2"/>
        <v>1</v>
      </c>
      <c r="J559" s="6">
        <f>IFERROR(__xludf.DUMMYFUNCTION("IF(H559="""","""",
SUM(
ARRAYFORMULA(
IF(
REGEXMATCH(
"" ""&amp;H559&amp;"" "",
"" ""&amp;Sentiment_Words!A$2:A3730&amp;"" ""
),
1,
0
)
)
)
)"),0.0)</f>
        <v>0</v>
      </c>
      <c r="K559" s="4">
        <f>IFERROR(__xludf.DUMMYFUNCTION("IF(H559="""","""",
SUM(
ARRAYFORMULA(
IF(
REGEXMATCH(
"" ""&amp;H559&amp;"" "",
"" ""&amp;Sentiment_Words!B$2:B3730&amp;"" ""
),
1,
0
)
)
)
)"),0.0)</f>
        <v>0</v>
      </c>
      <c r="L559" s="7" t="str">
        <f t="shared" si="3"/>
        <v>Other</v>
      </c>
      <c r="M559" s="7" t="str">
        <f t="shared" si="4"/>
        <v>Neutral</v>
      </c>
      <c r="N559" s="7" t="str">
        <f>IFERROR(__xludf.DUMMYFUNCTION("LOWER(
TRIM(
REGEXREPLACE(B559,""[^a-zA-Z\s]"","""")
)
)
"),"simone")</f>
        <v>simone</v>
      </c>
      <c r="O559" s="7">
        <f t="shared" si="5"/>
        <v>1</v>
      </c>
      <c r="P559" s="8" t="str">
        <f t="shared" si="6"/>
        <v>No</v>
      </c>
    </row>
    <row r="560">
      <c r="A560" s="4" t="s">
        <v>16</v>
      </c>
      <c r="B560" s="4" t="s">
        <v>1613</v>
      </c>
      <c r="C560" s="5">
        <v>44980.0</v>
      </c>
      <c r="D560" s="10">
        <v>44993.0</v>
      </c>
      <c r="E560" s="4" t="s">
        <v>1614</v>
      </c>
      <c r="F560" s="4" t="s">
        <v>331</v>
      </c>
      <c r="G560" s="6" t="str">
        <f>IFERROR(__xludf.DUMMYFUNCTION("REGEXREPLACE(LOWER(F560),""[^a-z\s]"","""")"),"none")</f>
        <v>none</v>
      </c>
      <c r="H560" s="4" t="str">
        <f t="shared" si="1"/>
        <v>none</v>
      </c>
      <c r="I560" s="6">
        <f t="shared" si="2"/>
        <v>1</v>
      </c>
      <c r="J560" s="6">
        <f>IFERROR(__xludf.DUMMYFUNCTION("IF(H560="""","""",
SUM(
ARRAYFORMULA(
IF(
REGEXMATCH(
"" ""&amp;H560&amp;"" "",
"" ""&amp;Sentiment_Words!A$2:A3730&amp;"" ""
),
1,
0
)
)
)
)"),0.0)</f>
        <v>0</v>
      </c>
      <c r="K560" s="4">
        <f>IFERROR(__xludf.DUMMYFUNCTION("IF(H560="""","""",
SUM(
ARRAYFORMULA(
IF(
REGEXMATCH(
"" ""&amp;H560&amp;"" "",
"" ""&amp;Sentiment_Words!B$2:B3730&amp;"" ""
),
1,
0
)
)
)
)"),0.0)</f>
        <v>0</v>
      </c>
      <c r="L560" s="7" t="str">
        <f t="shared" si="3"/>
        <v>Other</v>
      </c>
      <c r="M560" s="7" t="str">
        <f t="shared" si="4"/>
        <v>Neutral</v>
      </c>
      <c r="N560" s="7" t="str">
        <f>IFERROR(__xludf.DUMMYFUNCTION("LOWER(
TRIM(
REGEXREPLACE(B560,""[^a-zA-Z\s]"","""")
)
)
"),"rickie rabourn")</f>
        <v>rickie rabourn</v>
      </c>
      <c r="O560" s="7">
        <f t="shared" si="5"/>
        <v>1</v>
      </c>
      <c r="P560" s="8" t="str">
        <f t="shared" si="6"/>
        <v>No</v>
      </c>
    </row>
    <row r="561">
      <c r="A561" s="4" t="s">
        <v>16</v>
      </c>
      <c r="B561" s="4" t="s">
        <v>1615</v>
      </c>
      <c r="C561" s="5">
        <v>44979.0</v>
      </c>
      <c r="D561" s="10">
        <v>44993.0</v>
      </c>
      <c r="E561" s="4" t="s">
        <v>1616</v>
      </c>
      <c r="F561" s="4" t="s">
        <v>331</v>
      </c>
      <c r="G561" s="6" t="str">
        <f>IFERROR(__xludf.DUMMYFUNCTION("REGEXREPLACE(LOWER(F561),""[^a-z\s]"","""")"),"none")</f>
        <v>none</v>
      </c>
      <c r="H561" s="4" t="str">
        <f t="shared" si="1"/>
        <v>none</v>
      </c>
      <c r="I561" s="6">
        <f t="shared" si="2"/>
        <v>1</v>
      </c>
      <c r="J561" s="6">
        <f>IFERROR(__xludf.DUMMYFUNCTION("IF(H561="""","""",
SUM(
ARRAYFORMULA(
IF(
REGEXMATCH(
"" ""&amp;H561&amp;"" "",
"" ""&amp;Sentiment_Words!A$2:A3730&amp;"" ""
),
1,
0
)
)
)
)"),0.0)</f>
        <v>0</v>
      </c>
      <c r="K561" s="4">
        <f>IFERROR(__xludf.DUMMYFUNCTION("IF(H561="""","""",
SUM(
ARRAYFORMULA(
IF(
REGEXMATCH(
"" ""&amp;H561&amp;"" "",
"" ""&amp;Sentiment_Words!B$2:B3730&amp;"" ""
),
1,
0
)
)
)
)"),0.0)</f>
        <v>0</v>
      </c>
      <c r="L561" s="7" t="str">
        <f t="shared" si="3"/>
        <v>Other</v>
      </c>
      <c r="M561" s="7" t="str">
        <f t="shared" si="4"/>
        <v>Neutral</v>
      </c>
      <c r="N561" s="7" t="str">
        <f>IFERROR(__xludf.DUMMYFUNCTION("LOWER(
TRIM(
REGEXREPLACE(B561,""[^a-zA-Z\s]"","""")
)
)
"),"maryjane carlisle")</f>
        <v>maryjane carlisle</v>
      </c>
      <c r="O561" s="7">
        <f t="shared" si="5"/>
        <v>1</v>
      </c>
      <c r="P561" s="8" t="str">
        <f t="shared" si="6"/>
        <v>No</v>
      </c>
    </row>
    <row r="562">
      <c r="A562" s="4" t="s">
        <v>16</v>
      </c>
      <c r="B562" s="4" t="s">
        <v>1617</v>
      </c>
      <c r="C562" s="5">
        <v>44978.0</v>
      </c>
      <c r="D562" s="10">
        <v>44993.0</v>
      </c>
      <c r="E562" s="4" t="s">
        <v>1618</v>
      </c>
      <c r="F562" s="4" t="s">
        <v>1619</v>
      </c>
      <c r="G562" s="6" t="str">
        <f>IFERROR(__xludf.DUMMYFUNCTION("REGEXREPLACE(LOWER(F562),""[^a-z\s]"","""")"),"it was real fast service to get the bag of pet food our puppy appreciated it")</f>
        <v>it was real fast service to get the bag of pet food our puppy appreciated it</v>
      </c>
      <c r="H562" s="4" t="str">
        <f t="shared" si="1"/>
        <v>it was real fast service get bag of pet food our puppy appreciated it</v>
      </c>
      <c r="I562" s="6">
        <f t="shared" si="2"/>
        <v>14</v>
      </c>
      <c r="J562" s="6">
        <f>IFERROR(__xludf.DUMMYFUNCTION("IF(H562="""","""",
SUM(
ARRAYFORMULA(
IF(
REGEXMATCH(
"" ""&amp;H562&amp;"" "",
"" ""&amp;Sentiment_Words!A$2:A3730&amp;"" ""
),
1,
0
)
)
)
)"),1.0)</f>
        <v>1</v>
      </c>
      <c r="K562" s="4">
        <f>IFERROR(__xludf.DUMMYFUNCTION("IF(H562="""","""",
SUM(
ARRAYFORMULA(
IF(
REGEXMATCH(
"" ""&amp;H562&amp;"" "",
"" ""&amp;Sentiment_Words!B$2:B3730&amp;"" ""
),
1,
0
)
)
)
)"),0.0)</f>
        <v>0</v>
      </c>
      <c r="L562" s="7" t="str">
        <f t="shared" si="3"/>
        <v>Customer Support</v>
      </c>
      <c r="M562" s="7" t="str">
        <f t="shared" si="4"/>
        <v>Positive</v>
      </c>
      <c r="N562" s="7" t="str">
        <f>IFERROR(__xludf.DUMMYFUNCTION("LOWER(
TRIM(
REGEXREPLACE(B562,""[^a-zA-Z\s]"","""")
)
)
"),"rebecca")</f>
        <v>rebecca</v>
      </c>
      <c r="O562" s="7">
        <f t="shared" si="5"/>
        <v>1</v>
      </c>
      <c r="P562" s="8" t="str">
        <f t="shared" si="6"/>
        <v>No</v>
      </c>
    </row>
    <row r="563">
      <c r="A563" s="4" t="s">
        <v>16</v>
      </c>
      <c r="B563" s="4" t="s">
        <v>1620</v>
      </c>
      <c r="C563" s="5">
        <v>44979.0</v>
      </c>
      <c r="D563" s="10">
        <v>44992.0</v>
      </c>
      <c r="E563" s="4" t="s">
        <v>1621</v>
      </c>
      <c r="F563" s="4" t="s">
        <v>1622</v>
      </c>
      <c r="G563" s="6" t="str">
        <f>IFERROR(__xludf.DUMMYFUNCTION("REGEXREPLACE(LOWER(F563),""[^a-z\s]"","""")"),"it was great to receive dog food in three days delivered to my door and for the lowest price")</f>
        <v>it was great to receive dog food in three days delivered to my door and for the lowest price</v>
      </c>
      <c r="H563" s="4" t="str">
        <f t="shared" si="1"/>
        <v>it was great receive dog food in three days delivered my door lowest price</v>
      </c>
      <c r="I563" s="6">
        <f t="shared" si="2"/>
        <v>14</v>
      </c>
      <c r="J563" s="6">
        <f>IFERROR(__xludf.DUMMYFUNCTION("IF(H563="""","""",
SUM(
ARRAYFORMULA(
IF(
REGEXMATCH(
"" ""&amp;H563&amp;"" "",
"" ""&amp;Sentiment_Words!A$2:A3730&amp;"" ""
),
1,
0
)
)
)
)"),2.0)</f>
        <v>2</v>
      </c>
      <c r="K563" s="4">
        <f>IFERROR(__xludf.DUMMYFUNCTION("IF(H563="""","""",
SUM(
ARRAYFORMULA(
IF(
REGEXMATCH(
"" ""&amp;H563&amp;"" "",
"" ""&amp;Sentiment_Words!B$2:B3730&amp;"" ""
),
1,
0
)
)
)
)"),0.0)</f>
        <v>0</v>
      </c>
      <c r="L563" s="7" t="str">
        <f t="shared" si="3"/>
        <v>Other</v>
      </c>
      <c r="M563" s="7" t="str">
        <f t="shared" si="4"/>
        <v>Positive</v>
      </c>
      <c r="N563" s="7" t="str">
        <f>IFERROR(__xludf.DUMMYFUNCTION("LOWER(
TRIM(
REGEXREPLACE(B563,""[^a-zA-Z\s]"","""")
)
)
"),"anne demsky")</f>
        <v>anne demsky</v>
      </c>
      <c r="O563" s="7">
        <f t="shared" si="5"/>
        <v>1</v>
      </c>
      <c r="P563" s="8" t="str">
        <f t="shared" si="6"/>
        <v>No</v>
      </c>
    </row>
    <row r="564">
      <c r="A564" s="4" t="s">
        <v>16</v>
      </c>
      <c r="B564" s="4" t="s">
        <v>1623</v>
      </c>
      <c r="C564" s="5">
        <v>44970.0</v>
      </c>
      <c r="D564" s="10">
        <v>44992.0</v>
      </c>
      <c r="E564" s="4" t="s">
        <v>1624</v>
      </c>
      <c r="F564" s="4" t="s">
        <v>1625</v>
      </c>
      <c r="G564" s="6" t="str">
        <f>IFERROR(__xludf.DUMMYFUNCTION("REGEXREPLACE(LOWER(F564),""[^a-z\s]"","""")"),"i ordered two cases of merrick grain free chunky pappys pot roast canned dog food i received one case of the correct item and one of another food one of my dogs has a chicken allergy so we checked the ingredients on the cans we didnt order and they had ch"&amp;"icken in them i called petflow and was told to put it outside my door for pick up by fedex and i would receive another case no compensation for the inconvenience but of course we couldnt have used the food with chicken anyway we did receive the replacemen"&amp;"t case but it had mostly dented cans i appreciate your low prices and will wait to see what happens with my next delivery")</f>
        <v>i ordered two cases of merrick grain free chunky pappys pot roast canned dog food i received one case of the correct item and one of another food one of my dogs has a chicken allergy so we checked the ingredients on the cans we didnt order and they had chicken in them i called petflow and was told to put it outside my door for pick up by fedex and i would receive another case no compensation for the inconvenience but of course we couldnt have used the food with chicken anyway we did receive the replacement case but it had mostly dented cans i appreciate your low prices and will wait to see what happens with my next delivery</v>
      </c>
      <c r="H564" s="4" t="str">
        <f t="shared" si="1"/>
        <v>i ordered two cases of merrick grain free chunky pappys pot roast canned dog food i received one case of correct item one of another food one of my dogs has a chicken allergy so we checked ingredients on cans we didnt order they had chicken in them i called petflow was told put it outside my door pick up by fedex i would receive another case no compensation inconvenience but of course we couldnt have used food with chicken anyway we did receive replacement case but it had mostly dented cans i appreciate your low prices will wait see what happens with my next delivery</v>
      </c>
      <c r="I564" s="6">
        <f t="shared" si="2"/>
        <v>106</v>
      </c>
      <c r="J564" s="6">
        <f>IFERROR(__xludf.DUMMYFUNCTION("IF(H564="""","""",
SUM(
ARRAYFORMULA(
IF(
REGEXMATCH(
"" ""&amp;H564&amp;"" "",
"" ""&amp;Sentiment_Words!A$2:A3730&amp;"" ""
),
1,
0
)
)
)
)"),0.0)</f>
        <v>0</v>
      </c>
      <c r="K564" s="4">
        <f>IFERROR(__xludf.DUMMYFUNCTION("IF(H564="""","""",
SUM(
ARRAYFORMULA(
IF(
REGEXMATCH(
"" ""&amp;H564&amp;"" "",
"" ""&amp;Sentiment_Words!B$2:B3730&amp;"" ""
),
1,
0
)
)
)
)"),0.0)</f>
        <v>0</v>
      </c>
      <c r="L564" s="7" t="str">
        <f t="shared" si="3"/>
        <v>Other</v>
      </c>
      <c r="M564" s="7" t="str">
        <f t="shared" si="4"/>
        <v>Neutral</v>
      </c>
      <c r="N564" s="7" t="str">
        <f>IFERROR(__xludf.DUMMYFUNCTION("LOWER(
TRIM(
REGEXREPLACE(B564,""[^a-zA-Z\s]"","""")
)
)
"),"clare longo")</f>
        <v>clare longo</v>
      </c>
      <c r="O564" s="7">
        <f t="shared" si="5"/>
        <v>1</v>
      </c>
      <c r="P564" s="8" t="str">
        <f t="shared" si="6"/>
        <v>No</v>
      </c>
    </row>
    <row r="565">
      <c r="A565" s="4" t="s">
        <v>16</v>
      </c>
      <c r="B565" s="4" t="s">
        <v>1626</v>
      </c>
      <c r="C565" s="5">
        <v>44980.0</v>
      </c>
      <c r="D565" s="10">
        <v>44992.0</v>
      </c>
      <c r="E565" s="4" t="s">
        <v>1627</v>
      </c>
      <c r="F565" s="4" t="s">
        <v>1628</v>
      </c>
      <c r="G565" s="6" t="str">
        <f>IFERROR(__xludf.DUMMYFUNCTION("REGEXREPLACE(LOWER(F565),""[^a-z\s]"","""")"),"although i received an email stating my order needed to be fulfilled by a further distanced warehouse and that my order could take up to  extra days this company was able to deliver my goods on the original date
this was important because no one in my ar"&amp;"ea had this certain type of cat food for the past  months")</f>
        <v>although i received an email stating my order needed to be fulfilled by a further distanced warehouse and that my order could take up to  extra days this company was able to deliver my goods on the original date
this was important because no one in my area had this certain type of cat food for the past  months</v>
      </c>
      <c r="H565" s="4" t="str">
        <f t="shared" si="1"/>
        <v>although i received an email stating my order needed be fulfilled by a further distanced warehouse that my order could take up extra days this company was able deliver my goods on original date
this was important because no one in my area had this certain type of cat food past months</v>
      </c>
      <c r="I565" s="6">
        <f t="shared" si="2"/>
        <v>51</v>
      </c>
      <c r="J565" s="6">
        <f>IFERROR(__xludf.DUMMYFUNCTION("IF(H565="""","""",
SUM(
ARRAYFORMULA(
IF(
REGEXMATCH(
"" ""&amp;H565&amp;"" "",
"" ""&amp;Sentiment_Words!A$2:A3730&amp;"" ""
),
1,
0
)
)
)
)"),1.0)</f>
        <v>1</v>
      </c>
      <c r="K565" s="4">
        <f>IFERROR(__xludf.DUMMYFUNCTION("IF(H565="""","""",
SUM(
ARRAYFORMULA(
IF(
REGEXMATCH(
"" ""&amp;H565&amp;"" "",
"" ""&amp;Sentiment_Words!B$2:B3730&amp;"" ""
),
1,
0
)
)
)
)"),0.0)</f>
        <v>0</v>
      </c>
      <c r="L565" s="7" t="str">
        <f t="shared" si="3"/>
        <v>Other</v>
      </c>
      <c r="M565" s="7" t="str">
        <f t="shared" si="4"/>
        <v>Positive</v>
      </c>
      <c r="N565" s="7" t="str">
        <f>IFERROR(__xludf.DUMMYFUNCTION("LOWER(
TRIM(
REGEXREPLACE(B565,""[^a-zA-Z\s]"","""")
)
)
"),"skwa")</f>
        <v>skwa</v>
      </c>
      <c r="O565" s="7">
        <f t="shared" si="5"/>
        <v>1</v>
      </c>
      <c r="P565" s="8" t="str">
        <f t="shared" si="6"/>
        <v>No</v>
      </c>
    </row>
    <row r="566">
      <c r="A566" s="4" t="s">
        <v>16</v>
      </c>
      <c r="B566" s="4" t="s">
        <v>1629</v>
      </c>
      <c r="C566" s="5">
        <v>44977.0</v>
      </c>
      <c r="D566" s="10">
        <v>44992.0</v>
      </c>
      <c r="E566" s="4" t="s">
        <v>1319</v>
      </c>
      <c r="F566" s="4" t="s">
        <v>1630</v>
      </c>
      <c r="G566" s="6" t="str">
        <f>IFERROR(__xludf.DUMMYFUNCTION("REGEXREPLACE(LOWER(F566),""[^a-z\s]"","""")"),"it was easy to place order online and it came quickly")</f>
        <v>it was easy to place order online and it came quickly</v>
      </c>
      <c r="H566" s="4" t="str">
        <f t="shared" si="1"/>
        <v>it was easy place order online it came quickly</v>
      </c>
      <c r="I566" s="6">
        <f t="shared" si="2"/>
        <v>9</v>
      </c>
      <c r="J566" s="6">
        <f>IFERROR(__xludf.DUMMYFUNCTION("IF(H566="""","""",
SUM(
ARRAYFORMULA(
IF(
REGEXMATCH(
"" ""&amp;H566&amp;"" "",
"" ""&amp;Sentiment_Words!A$2:A3730&amp;"" ""
),
1,
0
)
)
)
)"),1.0)</f>
        <v>1</v>
      </c>
      <c r="K566" s="4">
        <f>IFERROR(__xludf.DUMMYFUNCTION("IF(H566="""","""",
SUM(
ARRAYFORMULA(
IF(
REGEXMATCH(
"" ""&amp;H566&amp;"" "",
"" ""&amp;Sentiment_Words!B$2:B3730&amp;"" ""
),
1,
0
)
)
)
)"),0.0)</f>
        <v>0</v>
      </c>
      <c r="L566" s="7" t="str">
        <f t="shared" si="3"/>
        <v>Other</v>
      </c>
      <c r="M566" s="7" t="str">
        <f t="shared" si="4"/>
        <v>Positive</v>
      </c>
      <c r="N566" s="7" t="str">
        <f>IFERROR(__xludf.DUMMYFUNCTION("LOWER(
TRIM(
REGEXREPLACE(B566,""[^a-zA-Z\s]"","""")
)
)
"),"lorraine swanson")</f>
        <v>lorraine swanson</v>
      </c>
      <c r="O566" s="7">
        <f t="shared" si="5"/>
        <v>1</v>
      </c>
      <c r="P566" s="8" t="str">
        <f t="shared" si="6"/>
        <v>No</v>
      </c>
    </row>
    <row r="567">
      <c r="A567" s="4" t="s">
        <v>16</v>
      </c>
      <c r="B567" s="4" t="s">
        <v>1631</v>
      </c>
      <c r="C567" s="5">
        <v>44980.0</v>
      </c>
      <c r="D567" s="10">
        <v>44992.0</v>
      </c>
      <c r="E567" s="4" t="s">
        <v>1632</v>
      </c>
      <c r="F567" s="4" t="s">
        <v>1633</v>
      </c>
      <c r="G567" s="6" t="str">
        <f>IFERROR(__xludf.DUMMYFUNCTION("REGEXREPLACE(LOWER(F567),""[^a-z\s]"","""")"),"great service ships on time have purchased multiple times")</f>
        <v>great service ships on time have purchased multiple times</v>
      </c>
      <c r="H567" s="4" t="str">
        <f t="shared" si="1"/>
        <v>great service ships on time have purchased multiple times</v>
      </c>
      <c r="I567" s="6">
        <f t="shared" si="2"/>
        <v>9</v>
      </c>
      <c r="J567" s="6">
        <f>IFERROR(__xludf.DUMMYFUNCTION("IF(H567="""","""",
SUM(
ARRAYFORMULA(
IF(
REGEXMATCH(
"" ""&amp;H567&amp;"" "",
"" ""&amp;Sentiment_Words!A$2:A3730&amp;"" ""
),
1,
0
)
)
)
)"),2.0)</f>
        <v>2</v>
      </c>
      <c r="K567" s="4">
        <f>IFERROR(__xludf.DUMMYFUNCTION("IF(H567="""","""",
SUM(
ARRAYFORMULA(
IF(
REGEXMATCH(
"" ""&amp;H567&amp;"" "",
"" ""&amp;Sentiment_Words!B$2:B3730&amp;"" ""
),
1,
0
)
)
)
)"),0.0)</f>
        <v>0</v>
      </c>
      <c r="L567" s="7" t="str">
        <f t="shared" si="3"/>
        <v>Customer Support</v>
      </c>
      <c r="M567" s="7" t="str">
        <f t="shared" si="4"/>
        <v>Positive</v>
      </c>
      <c r="N567" s="7" t="str">
        <f>IFERROR(__xludf.DUMMYFUNCTION("LOWER(
TRIM(
REGEXREPLACE(B567,""[^a-zA-Z\s]"","""")
)
)
"),"caucus")</f>
        <v>caucus</v>
      </c>
      <c r="O567" s="7">
        <f t="shared" si="5"/>
        <v>1</v>
      </c>
      <c r="P567" s="8" t="str">
        <f t="shared" si="6"/>
        <v>No</v>
      </c>
    </row>
    <row r="568">
      <c r="A568" s="4" t="s">
        <v>16</v>
      </c>
      <c r="B568" s="4" t="s">
        <v>1634</v>
      </c>
      <c r="C568" s="5">
        <v>44980.0</v>
      </c>
      <c r="D568" s="10">
        <v>44992.0</v>
      </c>
      <c r="E568" s="4" t="s">
        <v>1635</v>
      </c>
      <c r="F568" s="4" t="s">
        <v>1636</v>
      </c>
      <c r="G568" s="6" t="str">
        <f>IFERROR(__xludf.DUMMYFUNCTION("REGEXREPLACE(LOWER(F568),""[^a-z\s]"","""")"),"this account was supposed to be closed as it is fraudulent still getting emails for it looks like their purchase went though please close this account")</f>
        <v>this account was supposed to be closed as it is fraudulent still getting emails for it looks like their purchase went though please close this account</v>
      </c>
      <c r="H568" s="4" t="str">
        <f t="shared" si="1"/>
        <v>this account was supposed be closed as it fraudulent still getting emails it looks like their purchase went though please close this account</v>
      </c>
      <c r="I568" s="6">
        <f t="shared" si="2"/>
        <v>23</v>
      </c>
      <c r="J568" s="6">
        <f>IFERROR(__xludf.DUMMYFUNCTION("IF(H568="""","""",
SUM(
ARRAYFORMULA(
IF(
REGEXMATCH(
"" ""&amp;H568&amp;"" "",
"" ""&amp;Sentiment_Words!A$2:A3730&amp;"" ""
),
1,
0
)
)
)
)"),0.0)</f>
        <v>0</v>
      </c>
      <c r="K568" s="4">
        <f>IFERROR(__xludf.DUMMYFUNCTION("IF(H568="""","""",
SUM(
ARRAYFORMULA(
IF(
REGEXMATCH(
"" ""&amp;H568&amp;"" "",
"" ""&amp;Sentiment_Words!B$2:B3730&amp;"" ""
),
1,
0
)
)
)
)"),0.0)</f>
        <v>0</v>
      </c>
      <c r="L568" s="7" t="str">
        <f t="shared" si="3"/>
        <v>Account &amp; Website</v>
      </c>
      <c r="M568" s="7" t="str">
        <f t="shared" si="4"/>
        <v>Neutral</v>
      </c>
      <c r="N568" s="7" t="str">
        <f>IFERROR(__xludf.DUMMYFUNCTION("LOWER(
TRIM(
REGEXREPLACE(B568,""[^a-zA-Z\s]"","""")
)
)
"),"deborah")</f>
        <v>deborah</v>
      </c>
      <c r="O568" s="7">
        <f t="shared" si="5"/>
        <v>4</v>
      </c>
      <c r="P568" s="8" t="str">
        <f t="shared" si="6"/>
        <v>Yes</v>
      </c>
    </row>
    <row r="569">
      <c r="A569" s="4" t="s">
        <v>16</v>
      </c>
      <c r="B569" s="4" t="s">
        <v>1637</v>
      </c>
      <c r="C569" s="5">
        <v>44980.0</v>
      </c>
      <c r="D569" s="10">
        <v>44992.0</v>
      </c>
      <c r="E569" s="4" t="s">
        <v>1638</v>
      </c>
      <c r="F569" s="4" t="s">
        <v>1639</v>
      </c>
      <c r="G569" s="6" t="str">
        <f>IFERROR(__xludf.DUMMYFUNCTION("REGEXREPLACE(LOWER(F569),""[^a-z\s]"","""")"),"very good prices on the dog food we need also fast shipping")</f>
        <v>very good prices on the dog food we need also fast shipping</v>
      </c>
      <c r="H569" s="4" t="str">
        <f t="shared" si="1"/>
        <v>very good prices on dog food we need also fast shipping</v>
      </c>
      <c r="I569" s="6">
        <f t="shared" si="2"/>
        <v>11</v>
      </c>
      <c r="J569" s="6">
        <f>IFERROR(__xludf.DUMMYFUNCTION("IF(H569="""","""",
SUM(
ARRAYFORMULA(
IF(
REGEXMATCH(
"" ""&amp;H569&amp;"" "",
"" ""&amp;Sentiment_Words!A$2:A3730&amp;"" ""
),
1,
0
)
)
)
)"),2.0)</f>
        <v>2</v>
      </c>
      <c r="K569" s="4">
        <f>IFERROR(__xludf.DUMMYFUNCTION("IF(H569="""","""",
SUM(
ARRAYFORMULA(
IF(
REGEXMATCH(
"" ""&amp;H569&amp;"" "",
"" ""&amp;Sentiment_Words!B$2:B3730&amp;"" ""
),
1,
0
)
)
)
)"),0.0)</f>
        <v>0</v>
      </c>
      <c r="L569" s="7" t="str">
        <f t="shared" si="3"/>
        <v>Other</v>
      </c>
      <c r="M569" s="7" t="str">
        <f t="shared" si="4"/>
        <v>Positive</v>
      </c>
      <c r="N569" s="7" t="str">
        <f>IFERROR(__xludf.DUMMYFUNCTION("LOWER(
TRIM(
REGEXREPLACE(B569,""[^a-zA-Z\s]"","""")
)
)
"),"andy johnson")</f>
        <v>andy johnson</v>
      </c>
      <c r="O569" s="7">
        <f t="shared" si="5"/>
        <v>1</v>
      </c>
      <c r="P569" s="8" t="str">
        <f t="shared" si="6"/>
        <v>No</v>
      </c>
    </row>
    <row r="570">
      <c r="A570" s="4" t="s">
        <v>16</v>
      </c>
      <c r="B570" s="4" t="s">
        <v>1640</v>
      </c>
      <c r="C570" s="5">
        <v>44980.0</v>
      </c>
      <c r="D570" s="10">
        <v>44992.0</v>
      </c>
      <c r="E570" s="4" t="s">
        <v>1641</v>
      </c>
      <c r="F570" s="4" t="s">
        <v>1642</v>
      </c>
      <c r="G570" s="6" t="str">
        <f>IFERROR(__xludf.DUMMYFUNCTION("REGEXREPLACE(LOWER(F570),""[^a-z\s]"","""")"),"my e mail is bein used through your website without being verified by myself i am not using your website at all")</f>
        <v>my e mail is bein used through your website without being verified by myself i am not using your website at all</v>
      </c>
      <c r="H570" s="4" t="str">
        <f t="shared" si="1"/>
        <v>my e mail bein used through your website without being verified by myself i am not using your website at all</v>
      </c>
      <c r="I570" s="6">
        <f t="shared" si="2"/>
        <v>21</v>
      </c>
      <c r="J570" s="6">
        <f>IFERROR(__xludf.DUMMYFUNCTION("IF(H570="""","""",
SUM(
ARRAYFORMULA(
IF(
REGEXMATCH(
"" ""&amp;H570&amp;"" "",
"" ""&amp;Sentiment_Words!A$2:A3730&amp;"" ""
),
1,
0
)
)
)
)"),0.0)</f>
        <v>0</v>
      </c>
      <c r="K570" s="4">
        <f>IFERROR(__xludf.DUMMYFUNCTION("IF(H570="""","""",
SUM(
ARRAYFORMULA(
IF(
REGEXMATCH(
"" ""&amp;H570&amp;"" "",
"" ""&amp;Sentiment_Words!B$2:B3730&amp;"" ""
),
1,
0
)
)
)
)"),0.0)</f>
        <v>0</v>
      </c>
      <c r="L570" s="7" t="str">
        <f t="shared" si="3"/>
        <v>Account &amp; Website</v>
      </c>
      <c r="M570" s="7" t="str">
        <f t="shared" si="4"/>
        <v>Neutral</v>
      </c>
      <c r="N570" s="7" t="str">
        <f>IFERROR(__xludf.DUMMYFUNCTION("LOWER(
TRIM(
REGEXREPLACE(B570,""[^a-zA-Z\s]"","""")
)
)
"),"rebecca bergwall")</f>
        <v>rebecca bergwall</v>
      </c>
      <c r="O570" s="7">
        <f t="shared" si="5"/>
        <v>1</v>
      </c>
      <c r="P570" s="8" t="str">
        <f t="shared" si="6"/>
        <v>No</v>
      </c>
    </row>
    <row r="571">
      <c r="A571" s="4" t="s">
        <v>16</v>
      </c>
      <c r="B571" s="4" t="s">
        <v>1643</v>
      </c>
      <c r="C571" s="5">
        <v>44980.0</v>
      </c>
      <c r="D571" s="10">
        <v>44992.0</v>
      </c>
      <c r="E571" s="4" t="s">
        <v>1644</v>
      </c>
      <c r="F571" s="4" t="s">
        <v>1645</v>
      </c>
      <c r="G571" s="6" t="str">
        <f>IFERROR(__xludf.DUMMYFUNCTION("REGEXREPLACE(LOWER(F571),""[^a-z\s]"","""")"),"fast efficient delivery of a difficult to find product")</f>
        <v>fast efficient delivery of a difficult to find product</v>
      </c>
      <c r="H571" s="4" t="str">
        <f t="shared" si="1"/>
        <v>fast efficient delivery of a difficult find product</v>
      </c>
      <c r="I571" s="6">
        <f t="shared" si="2"/>
        <v>8</v>
      </c>
      <c r="J571" s="6">
        <f>IFERROR(__xludf.DUMMYFUNCTION("IF(H571="""","""",
SUM(
ARRAYFORMULA(
IF(
REGEXMATCH(
"" ""&amp;H571&amp;"" "",
"" ""&amp;Sentiment_Words!A$2:A3730&amp;"" ""
),
1,
0
)
)
)
)"),2.0)</f>
        <v>2</v>
      </c>
      <c r="K571" s="4">
        <f>IFERROR(__xludf.DUMMYFUNCTION("IF(H571="""","""",
SUM(
ARRAYFORMULA(
IF(
REGEXMATCH(
"" ""&amp;H571&amp;"" "",
"" ""&amp;Sentiment_Words!B$2:B3730&amp;"" ""
),
1,
0
)
)
)
)"),0.0)</f>
        <v>0</v>
      </c>
      <c r="L571" s="7" t="str">
        <f t="shared" si="3"/>
        <v>Other</v>
      </c>
      <c r="M571" s="7" t="str">
        <f t="shared" si="4"/>
        <v>Positive</v>
      </c>
      <c r="N571" s="7" t="str">
        <f>IFERROR(__xludf.DUMMYFUNCTION("LOWER(
TRIM(
REGEXREPLACE(B571,""[^a-zA-Z\s]"","""")
)
)
"),"smb")</f>
        <v>smb</v>
      </c>
      <c r="O571" s="7">
        <f t="shared" si="5"/>
        <v>1</v>
      </c>
      <c r="P571" s="8" t="str">
        <f t="shared" si="6"/>
        <v>No</v>
      </c>
    </row>
    <row r="572">
      <c r="A572" s="4" t="s">
        <v>16</v>
      </c>
      <c r="B572" s="4" t="s">
        <v>1646</v>
      </c>
      <c r="C572" s="5">
        <v>44980.0</v>
      </c>
      <c r="D572" s="10">
        <v>44992.0</v>
      </c>
      <c r="E572" s="4" t="s">
        <v>1647</v>
      </c>
      <c r="F572" s="4" t="s">
        <v>1648</v>
      </c>
      <c r="G572" s="6" t="str">
        <f>IFERROR(__xludf.DUMMYFUNCTION("REGEXREPLACE(LOWER(F572),""[^a-z\s]"","""")"),"my account was hacked and charges were made then i was told  times they restarted my autoship but never did and then locked my account meanwhile im expected my dogs food that i cant get around town")</f>
        <v>my account was hacked and charges were made then i was told  times they restarted my autoship but never did and then locked my account meanwhile im expected my dogs food that i cant get around town</v>
      </c>
      <c r="H572" s="4" t="str">
        <f t="shared" si="1"/>
        <v>my account was hacked charges were made then i was told times they restarted my autoship but never did then locked my account meanwhile im expected my dogs food that i cant get around town</v>
      </c>
      <c r="I572" s="6">
        <f t="shared" si="2"/>
        <v>35</v>
      </c>
      <c r="J572" s="6">
        <f>IFERROR(__xludf.DUMMYFUNCTION("IF(H572="""","""",
SUM(
ARRAYFORMULA(
IF(
REGEXMATCH(
"" ""&amp;H572&amp;"" "",
"" ""&amp;Sentiment_Words!A$2:A3730&amp;"" ""
),
1,
0
)
)
)
)"),0.0)</f>
        <v>0</v>
      </c>
      <c r="K572" s="4">
        <f>IFERROR(__xludf.DUMMYFUNCTION("IF(H572="""","""",
SUM(
ARRAYFORMULA(
IF(
REGEXMATCH(
"" ""&amp;H572&amp;"" "",
"" ""&amp;Sentiment_Words!B$2:B3730&amp;"" ""
),
1,
0
)
)
)
)"),0.0)</f>
        <v>0</v>
      </c>
      <c r="L572" s="7" t="str">
        <f t="shared" si="3"/>
        <v>Account &amp; Website</v>
      </c>
      <c r="M572" s="7" t="str">
        <f t="shared" si="4"/>
        <v>Neutral</v>
      </c>
      <c r="N572" s="7" t="str">
        <f>IFERROR(__xludf.DUMMYFUNCTION("LOWER(
TRIM(
REGEXREPLACE(B572,""[^a-zA-Z\s]"","""")
)
)
"),"brooke")</f>
        <v>brooke</v>
      </c>
      <c r="O572" s="7">
        <f t="shared" si="5"/>
        <v>1</v>
      </c>
      <c r="P572" s="8" t="str">
        <f t="shared" si="6"/>
        <v>No</v>
      </c>
    </row>
    <row r="573">
      <c r="A573" s="4" t="s">
        <v>16</v>
      </c>
      <c r="B573" s="4" t="s">
        <v>1649</v>
      </c>
      <c r="C573" s="5">
        <v>44978.0</v>
      </c>
      <c r="D573" s="10">
        <v>44992.0</v>
      </c>
      <c r="E573" s="4" t="s">
        <v>181</v>
      </c>
      <c r="F573" s="4" t="s">
        <v>1650</v>
      </c>
      <c r="G573" s="6" t="str">
        <f>IFERROR(__xludf.DUMMYFUNCTION("REGEXREPLACE(LOWER(F573),""[^a-z\s]"","""")"),"great prices i texted with a request and was answered within  hours with a nicely stated response")</f>
        <v>great prices i texted with a request and was answered within  hours with a nicely stated response</v>
      </c>
      <c r="H573" s="4" t="str">
        <f t="shared" si="1"/>
        <v>great prices i texted with a request was answered within hours with a nicely stated response</v>
      </c>
      <c r="I573" s="6">
        <f t="shared" si="2"/>
        <v>16</v>
      </c>
      <c r="J573" s="6">
        <f>IFERROR(__xludf.DUMMYFUNCTION("IF(H573="""","""",
SUM(
ARRAYFORMULA(
IF(
REGEXMATCH(
"" ""&amp;H573&amp;"" "",
"" ""&amp;Sentiment_Words!A$2:A3730&amp;"" ""
),
1,
0
)
)
)
)"),1.0)</f>
        <v>1</v>
      </c>
      <c r="K573" s="4">
        <f>IFERROR(__xludf.DUMMYFUNCTION("IF(H573="""","""",
SUM(
ARRAYFORMULA(
IF(
REGEXMATCH(
"" ""&amp;H573&amp;"" "",
"" ""&amp;Sentiment_Words!B$2:B3730&amp;"" ""
),
1,
0
)
)
)
)"),0.0)</f>
        <v>0</v>
      </c>
      <c r="L573" s="7" t="str">
        <f t="shared" si="3"/>
        <v>Other</v>
      </c>
      <c r="M573" s="7" t="str">
        <f t="shared" si="4"/>
        <v>Positive</v>
      </c>
      <c r="N573" s="7" t="str">
        <f>IFERROR(__xludf.DUMMYFUNCTION("LOWER(
TRIM(
REGEXREPLACE(B573,""[^a-zA-Z\s]"","""")
)
)
"),"rita")</f>
        <v>rita</v>
      </c>
      <c r="O573" s="7">
        <f t="shared" si="5"/>
        <v>1</v>
      </c>
      <c r="P573" s="8" t="str">
        <f t="shared" si="6"/>
        <v>No</v>
      </c>
    </row>
    <row r="574">
      <c r="A574" s="4" t="s">
        <v>16</v>
      </c>
      <c r="B574" s="4" t="s">
        <v>1651</v>
      </c>
      <c r="C574" s="5">
        <v>44978.0</v>
      </c>
      <c r="D574" s="10">
        <v>44992.0</v>
      </c>
      <c r="E574" s="4" t="s">
        <v>1652</v>
      </c>
      <c r="F574" s="4" t="s">
        <v>1653</v>
      </c>
      <c r="G574" s="6" t="str">
        <f>IFERROR(__xludf.DUMMYFUNCTION("REGEXREPLACE(LOWER(F574),""[^a-z\s]"","""")"),"i have been dealing with your company for a very long time and just love doing so all of the representatives are so friendly and helpful a quality that seems lost in these times")</f>
        <v>i have been dealing with your company for a very long time and just love doing so all of the representatives are so friendly and helpful a quality that seems lost in these times</v>
      </c>
      <c r="H574" s="4" t="str">
        <f t="shared" si="1"/>
        <v>i have been dealing with your company a very long time just love doing so all of representatives are so friendly helpful a quality that seems lost in these times</v>
      </c>
      <c r="I574" s="6">
        <f t="shared" si="2"/>
        <v>30</v>
      </c>
      <c r="J574" s="6">
        <f>IFERROR(__xludf.DUMMYFUNCTION("IF(H574="""","""",
SUM(
ARRAYFORMULA(
IF(
REGEXMATCH(
"" ""&amp;H574&amp;"" "",
"" ""&amp;Sentiment_Words!A$2:A3730&amp;"" ""
),
1,
0
)
)
)
)"),2.0)</f>
        <v>2</v>
      </c>
      <c r="K574" s="4">
        <f>IFERROR(__xludf.DUMMYFUNCTION("IF(H574="""","""",
SUM(
ARRAYFORMULA(
IF(
REGEXMATCH(
"" ""&amp;H574&amp;"" "",
"" ""&amp;Sentiment_Words!B$2:B3730&amp;"" ""
),
1,
0
)
)
)
)"),0.0)</f>
        <v>0</v>
      </c>
      <c r="L574" s="7" t="str">
        <f t="shared" si="3"/>
        <v>Other</v>
      </c>
      <c r="M574" s="7" t="str">
        <f t="shared" si="4"/>
        <v>Positive</v>
      </c>
      <c r="N574" s="7" t="str">
        <f>IFERROR(__xludf.DUMMYFUNCTION("LOWER(
TRIM(
REGEXREPLACE(B574,""[^a-zA-Z\s]"","""")
)
)
"),"kim amoiapost")</f>
        <v>kim amoiapost</v>
      </c>
      <c r="O574" s="7">
        <f t="shared" si="5"/>
        <v>1</v>
      </c>
      <c r="P574" s="8" t="str">
        <f t="shared" si="6"/>
        <v>No</v>
      </c>
    </row>
    <row r="575">
      <c r="A575" s="4" t="s">
        <v>16</v>
      </c>
      <c r="B575" s="4" t="s">
        <v>1654</v>
      </c>
      <c r="C575" s="5">
        <v>44979.0</v>
      </c>
      <c r="D575" s="10">
        <v>44991.0</v>
      </c>
      <c r="E575" s="4" t="s">
        <v>1655</v>
      </c>
      <c r="F575" s="4" t="s">
        <v>1656</v>
      </c>
      <c r="G575" s="6" t="str">
        <f>IFERROR(__xludf.DUMMYFUNCTION("REGEXREPLACE(LOWER(F575),""[^a-z\s]"","""")"),"two of the things i ordered were out of stock but there was no indication when i placed the order that they were so i was quite disappointed when i opened the box and two items were not inlcuded")</f>
        <v>two of the things i ordered were out of stock but there was no indication when i placed the order that they were so i was quite disappointed when i opened the box and two items were not inlcuded</v>
      </c>
      <c r="H575" s="4" t="str">
        <f t="shared" si="1"/>
        <v>two of things i ordered were out of stock but there was no indication when i placed order that they were so i was quite disappointed when i opened box two items were not inlcuded</v>
      </c>
      <c r="I575" s="6">
        <f t="shared" si="2"/>
        <v>35</v>
      </c>
      <c r="J575" s="6">
        <f>IFERROR(__xludf.DUMMYFUNCTION("IF(H575="""","""",
SUM(
ARRAYFORMULA(
IF(
REGEXMATCH(
"" ""&amp;H575&amp;"" "",
"" ""&amp;Sentiment_Words!A$2:A3730&amp;"" ""
),
1,
0
)
)
)
)"),0.0)</f>
        <v>0</v>
      </c>
      <c r="K575" s="4">
        <f>IFERROR(__xludf.DUMMYFUNCTION("IF(H575="""","""",
SUM(
ARRAYFORMULA(
IF(
REGEXMATCH(
"" ""&amp;H575&amp;"" "",
"" ""&amp;Sentiment_Words!B$2:B3730&amp;"" ""
),
1,
0
)
)
)
)"),1.0)</f>
        <v>1</v>
      </c>
      <c r="L575" s="7" t="str">
        <f t="shared" si="3"/>
        <v>Availability</v>
      </c>
      <c r="M575" s="7" t="str">
        <f t="shared" si="4"/>
        <v>Negative</v>
      </c>
      <c r="N575" s="7" t="str">
        <f>IFERROR(__xludf.DUMMYFUNCTION("LOWER(
TRIM(
REGEXREPLACE(B575,""[^a-zA-Z\s]"","""")
)
)
"),"kristin hetland")</f>
        <v>kristin hetland</v>
      </c>
      <c r="O575" s="7">
        <f t="shared" si="5"/>
        <v>1</v>
      </c>
      <c r="P575" s="8" t="str">
        <f t="shared" si="6"/>
        <v>No</v>
      </c>
    </row>
    <row r="576">
      <c r="A576" s="4" t="s">
        <v>16</v>
      </c>
      <c r="B576" s="4" t="s">
        <v>1657</v>
      </c>
      <c r="C576" s="5">
        <v>44979.0</v>
      </c>
      <c r="D576" s="10">
        <v>44991.0</v>
      </c>
      <c r="E576" s="4" t="s">
        <v>1658</v>
      </c>
      <c r="F576" s="4" t="s">
        <v>1659</v>
      </c>
      <c r="G576" s="6" t="str">
        <f>IFERROR(__xludf.DUMMYFUNCTION("REGEXREPLACE(LOWER(F576),""[^a-z\s]"","""")"),"mr bigdog samson loves the cranberry treats and the parmesan treats the best hell eat both but picks out the cranberry first art")</f>
        <v>mr bigdog samson loves the cranberry treats and the parmesan treats the best hell eat both but picks out the cranberry first art</v>
      </c>
      <c r="H576" s="4" t="str">
        <f t="shared" si="1"/>
        <v>mr bigdog samson loves cranberry treats parmesan treats best hell eat both but picks out cranberry first art</v>
      </c>
      <c r="I576" s="6">
        <f t="shared" si="2"/>
        <v>18</v>
      </c>
      <c r="J576" s="6">
        <f>IFERROR(__xludf.DUMMYFUNCTION("IF(H576="""","""",
SUM(
ARRAYFORMULA(
IF(
REGEXMATCH(
"" ""&amp;H576&amp;"" "",
"" ""&amp;Sentiment_Words!A$2:A3730&amp;"" ""
),
1,
0
)
)
)
)"),0.0)</f>
        <v>0</v>
      </c>
      <c r="K576" s="4">
        <f>IFERROR(__xludf.DUMMYFUNCTION("IF(H576="""","""",
SUM(
ARRAYFORMULA(
IF(
REGEXMATCH(
"" ""&amp;H576&amp;"" "",
"" ""&amp;Sentiment_Words!B$2:B3730&amp;"" ""
),
1,
0
)
)
)
)"),0.0)</f>
        <v>0</v>
      </c>
      <c r="L576" s="7" t="str">
        <f t="shared" si="3"/>
        <v>Other</v>
      </c>
      <c r="M576" s="7" t="str">
        <f t="shared" si="4"/>
        <v>Neutral</v>
      </c>
      <c r="N576" s="7" t="str">
        <f>IFERROR(__xludf.DUMMYFUNCTION("LOWER(
TRIM(
REGEXREPLACE(B576,""[^a-zA-Z\s]"","""")
)
)
"),"art contrestano")</f>
        <v>art contrestano</v>
      </c>
      <c r="O576" s="7">
        <f t="shared" si="5"/>
        <v>1</v>
      </c>
      <c r="P576" s="8" t="str">
        <f t="shared" si="6"/>
        <v>No</v>
      </c>
    </row>
    <row r="577">
      <c r="A577" s="4" t="s">
        <v>16</v>
      </c>
      <c r="B577" s="4" t="s">
        <v>1660</v>
      </c>
      <c r="C577" s="9">
        <v>44930.0</v>
      </c>
      <c r="D577" s="10">
        <v>44991.0</v>
      </c>
      <c r="E577" s="4" t="s">
        <v>1661</v>
      </c>
      <c r="F577" s="4" t="s">
        <v>1662</v>
      </c>
      <c r="G577" s="6" t="str">
        <f>IFERROR(__xludf.DUMMYFUNCTION("REGEXREPLACE(LOWER(F577),""[^a-z\s]"","""")"),"outstanding customer service reps they are very knowledgeable and helpful thank you")</f>
        <v>outstanding customer service reps they are very knowledgeable and helpful thank you</v>
      </c>
      <c r="H577" s="4" t="str">
        <f t="shared" si="1"/>
        <v>outstanding customer service reps they are very knowledgeable helpful thank you</v>
      </c>
      <c r="I577" s="6">
        <f t="shared" si="2"/>
        <v>11</v>
      </c>
      <c r="J577" s="6">
        <f>IFERROR(__xludf.DUMMYFUNCTION("IF(H577="""","""",
SUM(
ARRAYFORMULA(
IF(
REGEXMATCH(
"" ""&amp;H577&amp;"" "",
"" ""&amp;Sentiment_Words!A$2:A3730&amp;"" ""
),
1,
0
)
)
)
)"),1.0)</f>
        <v>1</v>
      </c>
      <c r="K577" s="4">
        <f>IFERROR(__xludf.DUMMYFUNCTION("IF(H577="""","""",
SUM(
ARRAYFORMULA(
IF(
REGEXMATCH(
"" ""&amp;H577&amp;"" "",
"" ""&amp;Sentiment_Words!B$2:B3730&amp;"" ""
),
1,
0
)
)
)
)"),1.0)</f>
        <v>1</v>
      </c>
      <c r="L577" s="7" t="str">
        <f t="shared" si="3"/>
        <v>Customer Support</v>
      </c>
      <c r="M577" s="7" t="str">
        <f t="shared" si="4"/>
        <v>Neutral</v>
      </c>
      <c r="N577" s="7" t="str">
        <f>IFERROR(__xludf.DUMMYFUNCTION("LOWER(
TRIM(
REGEXREPLACE(B577,""[^a-zA-Z\s]"","""")
)
)
"),"julie mcmanus")</f>
        <v>julie mcmanus</v>
      </c>
      <c r="O577" s="7">
        <f t="shared" si="5"/>
        <v>1</v>
      </c>
      <c r="P577" s="8" t="str">
        <f t="shared" si="6"/>
        <v>No</v>
      </c>
    </row>
    <row r="578">
      <c r="A578" s="4" t="s">
        <v>16</v>
      </c>
      <c r="B578" s="4" t="s">
        <v>1663</v>
      </c>
      <c r="C578" s="5">
        <v>44979.0</v>
      </c>
      <c r="D578" s="10">
        <v>44991.0</v>
      </c>
      <c r="E578" s="4" t="s">
        <v>1664</v>
      </c>
      <c r="F578" s="4" t="s">
        <v>1665</v>
      </c>
      <c r="G578" s="6" t="str">
        <f>IFERROR(__xludf.DUMMYFUNCTION("REGEXREPLACE(LOWER(F578),""[^a-z\s]"","""")"),"what a great place to shop for dog food")</f>
        <v>what a great place to shop for dog food</v>
      </c>
      <c r="H578" s="4" t="str">
        <f t="shared" si="1"/>
        <v>what a great place shop dog food</v>
      </c>
      <c r="I578" s="6">
        <f t="shared" si="2"/>
        <v>7</v>
      </c>
      <c r="J578" s="6">
        <f>IFERROR(__xludf.DUMMYFUNCTION("IF(H578="""","""",
SUM(
ARRAYFORMULA(
IF(
REGEXMATCH(
"" ""&amp;H578&amp;"" "",
"" ""&amp;Sentiment_Words!A$2:A3730&amp;"" ""
),
1,
0
)
)
)
)"),1.0)</f>
        <v>1</v>
      </c>
      <c r="K578" s="4">
        <f>IFERROR(__xludf.DUMMYFUNCTION("IF(H578="""","""",
SUM(
ARRAYFORMULA(
IF(
REGEXMATCH(
"" ""&amp;H578&amp;"" "",
"" ""&amp;Sentiment_Words!B$2:B3730&amp;"" ""
),
1,
0
)
)
)
)"),0.0)</f>
        <v>0</v>
      </c>
      <c r="L578" s="7" t="str">
        <f t="shared" si="3"/>
        <v>Other</v>
      </c>
      <c r="M578" s="7" t="str">
        <f t="shared" si="4"/>
        <v>Positive</v>
      </c>
      <c r="N578" s="7" t="str">
        <f>IFERROR(__xludf.DUMMYFUNCTION("LOWER(
TRIM(
REGEXREPLACE(B578,""[^a-zA-Z\s]"","""")
)
)
"),"carol zingler")</f>
        <v>carol zingler</v>
      </c>
      <c r="O578" s="7">
        <f t="shared" si="5"/>
        <v>1</v>
      </c>
      <c r="P578" s="8" t="str">
        <f t="shared" si="6"/>
        <v>No</v>
      </c>
    </row>
    <row r="579">
      <c r="A579" s="4" t="s">
        <v>16</v>
      </c>
      <c r="B579" s="4" t="s">
        <v>1666</v>
      </c>
      <c r="C579" s="5">
        <v>44977.0</v>
      </c>
      <c r="D579" s="10">
        <v>44991.0</v>
      </c>
      <c r="E579" s="4" t="s">
        <v>1667</v>
      </c>
      <c r="F579" s="4" t="s">
        <v>1668</v>
      </c>
      <c r="G579" s="6" t="str">
        <f>IFERROR(__xludf.DUMMYFUNCTION("REGEXREPLACE(LOWER(F579),""[^a-z\s]"","""")"),"there is a glitch in your system my account kept going to auto fill even though i cancelled it back in  i should not have a problem now that i asked to have my account deleted")</f>
        <v>there is a glitch in your system my account kept going to auto fill even though i cancelled it back in  i should not have a problem now that i asked to have my account deleted</v>
      </c>
      <c r="H579" s="4" t="str">
        <f t="shared" si="1"/>
        <v>there a glitch in your system my account kept going auto fill even though i cancelled it back in i should not have a problem now that i asked have my account deleted</v>
      </c>
      <c r="I579" s="6">
        <f t="shared" si="2"/>
        <v>33</v>
      </c>
      <c r="J579" s="6">
        <f>IFERROR(__xludf.DUMMYFUNCTION("IF(H579="""","""",
SUM(
ARRAYFORMULA(
IF(
REGEXMATCH(
"" ""&amp;H579&amp;"" "",
"" ""&amp;Sentiment_Words!A$2:A3730&amp;"" ""
),
1,
0
)
)
)
)"),0.0)</f>
        <v>0</v>
      </c>
      <c r="K579" s="4">
        <f>IFERROR(__xludf.DUMMYFUNCTION("IF(H579="""","""",
SUM(
ARRAYFORMULA(
IF(
REGEXMATCH(
"" ""&amp;H579&amp;"" "",
"" ""&amp;Sentiment_Words!B$2:B3730&amp;"" ""
),
1,
0
)
)
)
)"),2.0)</f>
        <v>2</v>
      </c>
      <c r="L579" s="7" t="str">
        <f t="shared" si="3"/>
        <v>Account &amp; Website</v>
      </c>
      <c r="M579" s="7" t="str">
        <f t="shared" si="4"/>
        <v>Negative</v>
      </c>
      <c r="N579" s="7" t="str">
        <f>IFERROR(__xludf.DUMMYFUNCTION("LOWER(
TRIM(
REGEXREPLACE(B579,""[^a-zA-Z\s]"","""")
)
)
"),"jennifer")</f>
        <v>jennifer</v>
      </c>
      <c r="O579" s="7">
        <f t="shared" si="5"/>
        <v>5</v>
      </c>
      <c r="P579" s="8" t="str">
        <f t="shared" si="6"/>
        <v>Yes</v>
      </c>
    </row>
    <row r="580">
      <c r="A580" s="4" t="s">
        <v>16</v>
      </c>
      <c r="B580" s="4" t="s">
        <v>1669</v>
      </c>
      <c r="C580" s="5">
        <v>44979.0</v>
      </c>
      <c r="D580" s="10">
        <v>44991.0</v>
      </c>
      <c r="E580" s="4" t="s">
        <v>1670</v>
      </c>
      <c r="F580" s="4" t="s">
        <v>1671</v>
      </c>
      <c r="G580" s="6" t="str">
        <f>IFERROR(__xludf.DUMMYFUNCTION("REGEXREPLACE(LOWER(F580),""[^a-z\s]"","""")"),"prices were great the orders were sent right away")</f>
        <v>prices were great the orders were sent right away</v>
      </c>
      <c r="H580" s="4" t="str">
        <f t="shared" si="1"/>
        <v>prices were great orders were sent right away</v>
      </c>
      <c r="I580" s="6">
        <f t="shared" si="2"/>
        <v>8</v>
      </c>
      <c r="J580" s="6">
        <f>IFERROR(__xludf.DUMMYFUNCTION("IF(H580="""","""",
SUM(
ARRAYFORMULA(
IF(
REGEXMATCH(
"" ""&amp;H580&amp;"" "",
"" ""&amp;Sentiment_Words!A$2:A3730&amp;"" ""
),
1,
0
)
)
)
)"),1.0)</f>
        <v>1</v>
      </c>
      <c r="K580" s="4">
        <f>IFERROR(__xludf.DUMMYFUNCTION("IF(H580="""","""",
SUM(
ARRAYFORMULA(
IF(
REGEXMATCH(
"" ""&amp;H580&amp;"" "",
"" ""&amp;Sentiment_Words!B$2:B3730&amp;"" ""
),
1,
0
)
)
)
)"),0.0)</f>
        <v>0</v>
      </c>
      <c r="L580" s="7" t="str">
        <f t="shared" si="3"/>
        <v>Other</v>
      </c>
      <c r="M580" s="7" t="str">
        <f t="shared" si="4"/>
        <v>Positive</v>
      </c>
      <c r="N580" s="7" t="str">
        <f>IFERROR(__xludf.DUMMYFUNCTION("LOWER(
TRIM(
REGEXREPLACE(B580,""[^a-zA-Z\s]"","""")
)
)
"),"helen lamagna")</f>
        <v>helen lamagna</v>
      </c>
      <c r="O580" s="7">
        <f t="shared" si="5"/>
        <v>1</v>
      </c>
      <c r="P580" s="8" t="str">
        <f t="shared" si="6"/>
        <v>No</v>
      </c>
    </row>
    <row r="581">
      <c r="A581" s="4" t="s">
        <v>16</v>
      </c>
      <c r="B581" s="4" t="s">
        <v>1672</v>
      </c>
      <c r="C581" s="5">
        <v>44979.0</v>
      </c>
      <c r="D581" s="10">
        <v>44991.0</v>
      </c>
      <c r="E581" s="4" t="s">
        <v>623</v>
      </c>
      <c r="F581" s="4" t="s">
        <v>1673</v>
      </c>
      <c r="G581" s="6" t="str">
        <f>IFERROR(__xludf.DUMMYFUNCTION("REGEXREPLACE(LOWER(F581),""[^a-z\s]"","""")"),"great service ultrafast delivery")</f>
        <v>great service ultrafast delivery</v>
      </c>
      <c r="H581" s="4" t="str">
        <f t="shared" si="1"/>
        <v>great service ultrafast delivery</v>
      </c>
      <c r="I581" s="6">
        <f t="shared" si="2"/>
        <v>4</v>
      </c>
      <c r="J581" s="6">
        <f>IFERROR(__xludf.DUMMYFUNCTION("IF(H581="""","""",
SUM(
ARRAYFORMULA(
IF(
REGEXMATCH(
"" ""&amp;H581&amp;"" "",
"" ""&amp;Sentiment_Words!A$2:A3730&amp;"" ""
),
1,
0
)
)
)
)"),1.0)</f>
        <v>1</v>
      </c>
      <c r="K581" s="4">
        <f>IFERROR(__xludf.DUMMYFUNCTION("IF(H581="""","""",
SUM(
ARRAYFORMULA(
IF(
REGEXMATCH(
"" ""&amp;H581&amp;"" "",
"" ""&amp;Sentiment_Words!B$2:B3730&amp;"" ""
),
1,
0
)
)
)
)"),0.0)</f>
        <v>0</v>
      </c>
      <c r="L581" s="7" t="str">
        <f t="shared" si="3"/>
        <v>Customer Support</v>
      </c>
      <c r="M581" s="7" t="str">
        <f t="shared" si="4"/>
        <v>Positive</v>
      </c>
      <c r="N581" s="7" t="str">
        <f>IFERROR(__xludf.DUMMYFUNCTION("LOWER(
TRIM(
REGEXREPLACE(B581,""[^a-zA-Z\s]"","""")
)
)
"),"pete")</f>
        <v>pete</v>
      </c>
      <c r="O581" s="7">
        <f t="shared" si="5"/>
        <v>1</v>
      </c>
      <c r="P581" s="8" t="str">
        <f t="shared" si="6"/>
        <v>No</v>
      </c>
    </row>
    <row r="582">
      <c r="A582" s="4" t="s">
        <v>16</v>
      </c>
      <c r="B582" s="4" t="s">
        <v>1674</v>
      </c>
      <c r="C582" s="5">
        <v>44979.0</v>
      </c>
      <c r="D582" s="10">
        <v>44991.0</v>
      </c>
      <c r="E582" s="4" t="s">
        <v>1675</v>
      </c>
      <c r="F582" s="4" t="s">
        <v>1676</v>
      </c>
      <c r="G582" s="6" t="str">
        <f>IFERROR(__xludf.DUMMYFUNCTION("REGEXREPLACE(LOWER(F582),""[^a-z\s]"","""")"),"twice now ive relied on petflow to send me my blue wilderness but its been out of stock very disappointing")</f>
        <v>twice now ive relied on petflow to send me my blue wilderness but its been out of stock very disappointing</v>
      </c>
      <c r="H582" s="4" t="str">
        <f t="shared" si="1"/>
        <v>twice now ive relied on petflow send me my blue wilderness but its been out of stock very disappointing</v>
      </c>
      <c r="I582" s="6">
        <f t="shared" si="2"/>
        <v>19</v>
      </c>
      <c r="J582" s="6">
        <f>IFERROR(__xludf.DUMMYFUNCTION("IF(H582="""","""",
SUM(
ARRAYFORMULA(
IF(
REGEXMATCH(
"" ""&amp;H582&amp;"" "",
"" ""&amp;Sentiment_Words!A$2:A3730&amp;"" ""
),
1,
0
)
)
)
)"),0.0)</f>
        <v>0</v>
      </c>
      <c r="K582" s="4">
        <f>IFERROR(__xludf.DUMMYFUNCTION("IF(H582="""","""",
SUM(
ARRAYFORMULA(
IF(
REGEXMATCH(
"" ""&amp;H582&amp;"" "",
"" ""&amp;Sentiment_Words!B$2:B3730&amp;"" ""
),
1,
0
)
)
)
)"),1.0)</f>
        <v>1</v>
      </c>
      <c r="L582" s="7" t="str">
        <f t="shared" si="3"/>
        <v>Availability</v>
      </c>
      <c r="M582" s="7" t="str">
        <f t="shared" si="4"/>
        <v>Negative</v>
      </c>
      <c r="N582" s="7" t="str">
        <f>IFERROR(__xludf.DUMMYFUNCTION("LOWER(
TRIM(
REGEXREPLACE(B582,""[^a-zA-Z\s]"","""")
)
)
"),"lawrence otis")</f>
        <v>lawrence otis</v>
      </c>
      <c r="O582" s="7">
        <f t="shared" si="5"/>
        <v>1</v>
      </c>
      <c r="P582" s="8" t="str">
        <f t="shared" si="6"/>
        <v>No</v>
      </c>
    </row>
    <row r="583">
      <c r="A583" s="4" t="s">
        <v>16</v>
      </c>
      <c r="B583" s="4" t="s">
        <v>1677</v>
      </c>
      <c r="C583" s="5">
        <v>44979.0</v>
      </c>
      <c r="D583" s="10">
        <v>44991.0</v>
      </c>
      <c r="E583" s="4" t="s">
        <v>1196</v>
      </c>
      <c r="F583" s="4" t="s">
        <v>1678</v>
      </c>
      <c r="G583" s="6" t="str">
        <f>IFERROR(__xludf.DUMMYFUNCTION("REGEXREPLACE(LOWER(F583),""[^a-z\s]"","""")"),"my order was canceled i wasnt notified when i called to find out why i was told it was flagged as fraud due to the quality in my order i explained it was not fraud it was less than a month of food for my two dogs i was told they would reach out to the tea"&amp;"m that blocked the order and respond to me in email with an update on my order i never got an email an update or the items i ordered worst customer service experience ive had the misfortune to deal with")</f>
        <v>my order was canceled i wasnt notified when i called to find out why i was told it was flagged as fraud due to the quality in my order i explained it was not fraud it was less than a month of food for my two dogs i was told they would reach out to the team that blocked the order and respond to me in email with an update on my order i never got an email an update or the items i ordered worst customer service experience ive had the misfortune to deal with</v>
      </c>
      <c r="H583" s="4" t="str">
        <f t="shared" si="1"/>
        <v>my order was canceled i wasnt notified when i called find out why i was told it was flagged as fraud due quality in my order i explained it was not fraud it was less than a month of food my two dogs i was told they would reach out team that blocked order respond me in email with an update on my order i never got an email an update or items i ordered worst customer service experience ive had misfortune deal with</v>
      </c>
      <c r="I583" s="6">
        <f t="shared" si="2"/>
        <v>84</v>
      </c>
      <c r="J583" s="6">
        <f>IFERROR(__xludf.DUMMYFUNCTION("IF(H583="""","""",
SUM(
ARRAYFORMULA(
IF(
REGEXMATCH(
"" ""&amp;H583&amp;"" "",
"" ""&amp;Sentiment_Words!A$2:A3730&amp;"" ""
),
1,
0
)
)
)
)"),0.0)</f>
        <v>0</v>
      </c>
      <c r="K583" s="4">
        <f>IFERROR(__xludf.DUMMYFUNCTION("IF(H583="""","""",
SUM(
ARRAYFORMULA(
IF(
REGEXMATCH(
"" ""&amp;H583&amp;"" "",
"" ""&amp;Sentiment_Words!B$2:B3730&amp;"" ""
),
1,
0
)
)
)
)"),1.0)</f>
        <v>1</v>
      </c>
      <c r="L583" s="7" t="str">
        <f t="shared" si="3"/>
        <v>Customer Support</v>
      </c>
      <c r="M583" s="7" t="str">
        <f t="shared" si="4"/>
        <v>Negative</v>
      </c>
      <c r="N583" s="7" t="str">
        <f>IFERROR(__xludf.DUMMYFUNCTION("LOWER(
TRIM(
REGEXREPLACE(B583,""[^a-zA-Z\s]"","""")
)
)
"),"jb")</f>
        <v>jb</v>
      </c>
      <c r="O583" s="7">
        <f t="shared" si="5"/>
        <v>3</v>
      </c>
      <c r="P583" s="8" t="str">
        <f t="shared" si="6"/>
        <v>Yes</v>
      </c>
    </row>
    <row r="584">
      <c r="A584" s="4" t="s">
        <v>16</v>
      </c>
      <c r="B584" s="4" t="s">
        <v>1679</v>
      </c>
      <c r="C584" s="5">
        <v>44979.0</v>
      </c>
      <c r="D584" s="10">
        <v>44991.0</v>
      </c>
      <c r="E584" s="4" t="s">
        <v>1680</v>
      </c>
      <c r="F584" s="4" t="s">
        <v>1681</v>
      </c>
      <c r="G584" s="6" t="str">
        <f>IFERROR(__xludf.DUMMYFUNCTION("REGEXREPLACE(LOWER(F584),""[^a-z\s]"","""")"),"my login was hacked and a fraudulent order was placed using my account even after i asked petflow to cancel the order and fully delete my account they still sent me a request to review the order on trustpilot seriously")</f>
        <v>my login was hacked and a fraudulent order was placed using my account even after i asked petflow to cancel the order and fully delete my account they still sent me a request to review the order on trustpilot seriously</v>
      </c>
      <c r="H584" s="4" t="str">
        <f t="shared" si="1"/>
        <v>my login was hacked a fraudulent order was placed using my account even after i asked petflow cancel order fully delete my account they still sent me a request review order on trustpilot seriously</v>
      </c>
      <c r="I584" s="6">
        <f t="shared" si="2"/>
        <v>34</v>
      </c>
      <c r="J584" s="6">
        <f>IFERROR(__xludf.DUMMYFUNCTION("IF(H584="""","""",
SUM(
ARRAYFORMULA(
IF(
REGEXMATCH(
"" ""&amp;H584&amp;"" "",
"" ""&amp;Sentiment_Words!A$2:A3730&amp;"" ""
),
1,
0
)
)
)
)"),0.0)</f>
        <v>0</v>
      </c>
      <c r="K584" s="4">
        <f>IFERROR(__xludf.DUMMYFUNCTION("IF(H584="""","""",
SUM(
ARRAYFORMULA(
IF(
REGEXMATCH(
"" ""&amp;H584&amp;"" "",
"" ""&amp;Sentiment_Words!B$2:B3730&amp;"" ""
),
1,
0
)
)
)
)"),0.0)</f>
        <v>0</v>
      </c>
      <c r="L584" s="7" t="str">
        <f t="shared" si="3"/>
        <v>Account &amp; Website</v>
      </c>
      <c r="M584" s="7" t="str">
        <f t="shared" si="4"/>
        <v>Neutral</v>
      </c>
      <c r="N584" s="7" t="str">
        <f>IFERROR(__xludf.DUMMYFUNCTION("LOWER(
TRIM(
REGEXREPLACE(B584,""[^a-zA-Z\s]"","""")
)
)
"),"js")</f>
        <v>js</v>
      </c>
      <c r="O584" s="7">
        <f t="shared" si="5"/>
        <v>2</v>
      </c>
      <c r="P584" s="8" t="str">
        <f t="shared" si="6"/>
        <v>Yes</v>
      </c>
    </row>
    <row r="585">
      <c r="A585" s="4" t="s">
        <v>16</v>
      </c>
      <c r="B585" s="4" t="s">
        <v>1682</v>
      </c>
      <c r="C585" s="5">
        <v>44978.0</v>
      </c>
      <c r="D585" s="10">
        <v>44991.0</v>
      </c>
      <c r="E585" s="4" t="s">
        <v>1683</v>
      </c>
      <c r="F585" s="4" t="s">
        <v>1684</v>
      </c>
      <c r="G585" s="6" t="str">
        <f>IFERROR(__xludf.DUMMYFUNCTION("REGEXREPLACE(LOWER(F585),""[^a-z\s]"","""")"),"petflow always has the best pricing and fast shipping auto ship is wonderful for never forgetting all your pets needs its also customizable would definitely recommend petflow")</f>
        <v>petflow always has the best pricing and fast shipping auto ship is wonderful for never forgetting all your pets needs its also customizable would definitely recommend petflow</v>
      </c>
      <c r="H585" s="4" t="str">
        <f t="shared" si="1"/>
        <v>petflow always has best pricing fast shipping auto ship wonderful never forgetting all your pets needs its also customizable would definitely recommend petflow</v>
      </c>
      <c r="I585" s="6">
        <f t="shared" si="2"/>
        <v>23</v>
      </c>
      <c r="J585" s="6">
        <f>IFERROR(__xludf.DUMMYFUNCTION("IF(H585="""","""",
SUM(
ARRAYFORMULA(
IF(
REGEXMATCH(
"" ""&amp;H585&amp;"" "",
"" ""&amp;Sentiment_Words!A$2:A3730&amp;"" ""
),
1,
0
)
)
)
)"),3.0)</f>
        <v>3</v>
      </c>
      <c r="K585" s="4">
        <f>IFERROR(__xludf.DUMMYFUNCTION("IF(H585="""","""",
SUM(
ARRAYFORMULA(
IF(
REGEXMATCH(
"" ""&amp;H585&amp;"" "",
"" ""&amp;Sentiment_Words!B$2:B3730&amp;"" ""
),
1,
0
)
)
)
)"),0.0)</f>
        <v>0</v>
      </c>
      <c r="L585" s="7" t="str">
        <f t="shared" si="3"/>
        <v>Other</v>
      </c>
      <c r="M585" s="7" t="str">
        <f t="shared" si="4"/>
        <v>Positive</v>
      </c>
      <c r="N585" s="7" t="str">
        <f>IFERROR(__xludf.DUMMYFUNCTION("LOWER(
TRIM(
REGEXREPLACE(B585,""[^a-zA-Z\s]"","""")
)
)
"),"sandra wagoner")</f>
        <v>sandra wagoner</v>
      </c>
      <c r="O585" s="7">
        <f t="shared" si="5"/>
        <v>1</v>
      </c>
      <c r="P585" s="8" t="str">
        <f t="shared" si="6"/>
        <v>No</v>
      </c>
    </row>
    <row r="586">
      <c r="A586" s="4" t="s">
        <v>16</v>
      </c>
      <c r="B586" s="4" t="s">
        <v>1685</v>
      </c>
      <c r="C586" s="5">
        <v>44978.0</v>
      </c>
      <c r="D586" s="10">
        <v>44991.0</v>
      </c>
      <c r="E586" s="4" t="s">
        <v>1686</v>
      </c>
      <c r="F586" s="4" t="s">
        <v>1687</v>
      </c>
      <c r="G586" s="6" t="str">
        <f>IFERROR(__xludf.DUMMYFUNCTION("REGEXREPLACE(LOWER(F586),""[^a-z\s]"","""")"),"great selection ontime shopping")</f>
        <v>great selection ontime shopping</v>
      </c>
      <c r="H586" s="4" t="str">
        <f t="shared" si="1"/>
        <v>great selection ontime shopping</v>
      </c>
      <c r="I586" s="6">
        <f t="shared" si="2"/>
        <v>4</v>
      </c>
      <c r="J586" s="6">
        <f>IFERROR(__xludf.DUMMYFUNCTION("IF(H586="""","""",
SUM(
ARRAYFORMULA(
IF(
REGEXMATCH(
"" ""&amp;H586&amp;"" "",
"" ""&amp;Sentiment_Words!A$2:A3730&amp;"" ""
),
1,
0
)
)
)
)"),1.0)</f>
        <v>1</v>
      </c>
      <c r="K586" s="4">
        <f>IFERROR(__xludf.DUMMYFUNCTION("IF(H586="""","""",
SUM(
ARRAYFORMULA(
IF(
REGEXMATCH(
"" ""&amp;H586&amp;"" "",
"" ""&amp;Sentiment_Words!B$2:B3730&amp;"" ""
),
1,
0
)
)
)
)"),0.0)</f>
        <v>0</v>
      </c>
      <c r="L586" s="7" t="str">
        <f t="shared" si="3"/>
        <v>Other</v>
      </c>
      <c r="M586" s="7" t="str">
        <f t="shared" si="4"/>
        <v>Positive</v>
      </c>
      <c r="N586" s="7" t="str">
        <f>IFERROR(__xludf.DUMMYFUNCTION("LOWER(
TRIM(
REGEXREPLACE(B586,""[^a-zA-Z\s]"","""")
)
)
"),"bergen county nj home buyer")</f>
        <v>bergen county nj home buyer</v>
      </c>
      <c r="O586" s="7">
        <f t="shared" si="5"/>
        <v>1</v>
      </c>
      <c r="P586" s="8" t="str">
        <f t="shared" si="6"/>
        <v>No</v>
      </c>
    </row>
    <row r="587">
      <c r="A587" s="4" t="s">
        <v>16</v>
      </c>
      <c r="B587" s="4" t="s">
        <v>1688</v>
      </c>
      <c r="C587" s="5">
        <v>44978.0</v>
      </c>
      <c r="D587" s="10">
        <v>44990.0</v>
      </c>
      <c r="E587" s="4" t="s">
        <v>1689</v>
      </c>
      <c r="F587" s="4" t="s">
        <v>1690</v>
      </c>
      <c r="G587" s="6" t="str">
        <f>IFERROR(__xludf.DUMMYFUNCTION("REGEXREPLACE(LOWER(F587),""[^a-z\s]"","""")"),"prices and speedy shipping is the best feeding hungry dogs is even better")</f>
        <v>prices and speedy shipping is the best feeding hungry dogs is even better</v>
      </c>
      <c r="H587" s="4" t="str">
        <f t="shared" si="1"/>
        <v>prices speedy shipping best feeding hungry dogs even better</v>
      </c>
      <c r="I587" s="6">
        <f t="shared" si="2"/>
        <v>9</v>
      </c>
      <c r="J587" s="6">
        <f>IFERROR(__xludf.DUMMYFUNCTION("IF(H587="""","""",
SUM(
ARRAYFORMULA(
IF(
REGEXMATCH(
"" ""&amp;H587&amp;"" "",
"" ""&amp;Sentiment_Words!A$2:A3730&amp;"" ""
),
1,
0
)
)
)
)"),0.0)</f>
        <v>0</v>
      </c>
      <c r="K587" s="4">
        <f>IFERROR(__xludf.DUMMYFUNCTION("IF(H587="""","""",
SUM(
ARRAYFORMULA(
IF(
REGEXMATCH(
"" ""&amp;H587&amp;"" "",
"" ""&amp;Sentiment_Words!B$2:B3730&amp;"" ""
),
1,
0
)
)
)
)"),0.0)</f>
        <v>0</v>
      </c>
      <c r="L587" s="7" t="str">
        <f t="shared" si="3"/>
        <v>Other</v>
      </c>
      <c r="M587" s="7" t="str">
        <f t="shared" si="4"/>
        <v>Neutral</v>
      </c>
      <c r="N587" s="7" t="str">
        <f>IFERROR(__xludf.DUMMYFUNCTION("LOWER(
TRIM(
REGEXREPLACE(B587,""[^a-zA-Z\s]"","""")
)
)
"),"rick cianflone")</f>
        <v>rick cianflone</v>
      </c>
      <c r="O587" s="7">
        <f t="shared" si="5"/>
        <v>1</v>
      </c>
      <c r="P587" s="8" t="str">
        <f t="shared" si="6"/>
        <v>No</v>
      </c>
    </row>
    <row r="588">
      <c r="A588" s="4" t="s">
        <v>16</v>
      </c>
      <c r="B588" s="4" t="s">
        <v>1691</v>
      </c>
      <c r="C588" s="5">
        <v>44976.0</v>
      </c>
      <c r="D588" s="10">
        <v>44990.0</v>
      </c>
      <c r="E588" s="4" t="s">
        <v>1692</v>
      </c>
      <c r="F588" s="4" t="s">
        <v>1693</v>
      </c>
      <c r="G588" s="6" t="str">
        <f>IFERROR(__xludf.DUMMYFUNCTION("REGEXREPLACE(LOWER(F588),""[^a-z\s]"","""")"),"prices are generally the same as amazon and service is better prefer to support a private company when possible and they sell fromm products")</f>
        <v>prices are generally the same as amazon and service is better prefer to support a private company when possible and they sell fromm products</v>
      </c>
      <c r="H588" s="4" t="str">
        <f t="shared" si="1"/>
        <v>prices are generally same as amazon service better prefer support a private company when possible they sell fromm products</v>
      </c>
      <c r="I588" s="6">
        <f t="shared" si="2"/>
        <v>19</v>
      </c>
      <c r="J588" s="6">
        <f>IFERROR(__xludf.DUMMYFUNCTION("IF(H588="""","""",
SUM(
ARRAYFORMULA(
IF(
REGEXMATCH(
"" ""&amp;H588&amp;"" "",
"" ""&amp;Sentiment_Words!A$2:A3730&amp;"" ""
),
1,
0
)
)
)
)"),1.0)</f>
        <v>1</v>
      </c>
      <c r="K588" s="4">
        <f>IFERROR(__xludf.DUMMYFUNCTION("IF(H588="""","""",
SUM(
ARRAYFORMULA(
IF(
REGEXMATCH(
"" ""&amp;H588&amp;"" "",
"" ""&amp;Sentiment_Words!B$2:B3730&amp;"" ""
),
1,
0
)
)
)
)"),0.0)</f>
        <v>0</v>
      </c>
      <c r="L588" s="7" t="str">
        <f t="shared" si="3"/>
        <v>Customer Support</v>
      </c>
      <c r="M588" s="7" t="str">
        <f t="shared" si="4"/>
        <v>Positive</v>
      </c>
      <c r="N588" s="7" t="str">
        <f>IFERROR(__xludf.DUMMYFUNCTION("LOWER(
TRIM(
REGEXREPLACE(B588,""[^a-zA-Z\s]"","""")
)
)
"),"shirley dufrane")</f>
        <v>shirley dufrane</v>
      </c>
      <c r="O588" s="7">
        <f t="shared" si="5"/>
        <v>1</v>
      </c>
      <c r="P588" s="8" t="str">
        <f t="shared" si="6"/>
        <v>No</v>
      </c>
    </row>
    <row r="589">
      <c r="A589" s="4" t="s">
        <v>16</v>
      </c>
      <c r="B589" s="4" t="s">
        <v>1694</v>
      </c>
      <c r="C589" s="5">
        <v>44978.0</v>
      </c>
      <c r="D589" s="10">
        <v>44990.0</v>
      </c>
      <c r="E589" s="4" t="s">
        <v>1695</v>
      </c>
      <c r="F589" s="4" t="s">
        <v>1696</v>
      </c>
      <c r="G589" s="6" t="str">
        <f>IFERROR(__xludf.DUMMYFUNCTION("REGEXREPLACE(LOWER(F589),""[^a-z\s]"","""")"),"petflow is a great place that offers the best bang for your buck
toys were as described and the pups were very happy")</f>
        <v>petflow is a great place that offers the best bang for your buck
toys were as described and the pups were very happy</v>
      </c>
      <c r="H589" s="4" t="str">
        <f t="shared" si="1"/>
        <v>petflow a great place that offers best bang your buck
toys were as described pups were very happy</v>
      </c>
      <c r="I589" s="6">
        <f t="shared" si="2"/>
        <v>17</v>
      </c>
      <c r="J589" s="6">
        <f>IFERROR(__xludf.DUMMYFUNCTION("IF(H589="""","""",
SUM(
ARRAYFORMULA(
IF(
REGEXMATCH(
"" ""&amp;H589&amp;"" "",
"" ""&amp;Sentiment_Words!A$2:A3730&amp;"" ""
),
1,
0
)
)
)
)"),2.0)</f>
        <v>2</v>
      </c>
      <c r="K589" s="4">
        <f>IFERROR(__xludf.DUMMYFUNCTION("IF(H589="""","""",
SUM(
ARRAYFORMULA(
IF(
REGEXMATCH(
"" ""&amp;H589&amp;"" "",
"" ""&amp;Sentiment_Words!B$2:B3730&amp;"" ""
),
1,
0
)
)
)
)"),0.0)</f>
        <v>0</v>
      </c>
      <c r="L589" s="7" t="str">
        <f t="shared" si="3"/>
        <v>Other</v>
      </c>
      <c r="M589" s="7" t="str">
        <f t="shared" si="4"/>
        <v>Positive</v>
      </c>
      <c r="N589" s="7" t="str">
        <f>IFERROR(__xludf.DUMMYFUNCTION("LOWER(
TRIM(
REGEXREPLACE(B589,""[^a-zA-Z\s]"","""")
)
)
"),"imran khan")</f>
        <v>imran khan</v>
      </c>
      <c r="O589" s="7">
        <f t="shared" si="5"/>
        <v>1</v>
      </c>
      <c r="P589" s="8" t="str">
        <f t="shared" si="6"/>
        <v>No</v>
      </c>
    </row>
    <row r="590">
      <c r="A590" s="4" t="s">
        <v>16</v>
      </c>
      <c r="B590" s="4" t="s">
        <v>1697</v>
      </c>
      <c r="C590" s="5">
        <v>44978.0</v>
      </c>
      <c r="D590" s="10">
        <v>44990.0</v>
      </c>
      <c r="E590" s="4" t="s">
        <v>1698</v>
      </c>
      <c r="F590" s="4" t="s">
        <v>1699</v>
      </c>
      <c r="G590" s="6" t="str">
        <f>IFERROR(__xludf.DUMMYFUNCTION("REGEXREPLACE(LOWER(F590),""[^a-z\s]"","""")"),"i screwed up my order and mikaila fixed it without a problem my items arrived quickly i appreciated the new customer discount as well")</f>
        <v>i screwed up my order and mikaila fixed it without a problem my items arrived quickly i appreciated the new customer discount as well</v>
      </c>
      <c r="H590" s="4" t="str">
        <f t="shared" si="1"/>
        <v>i screwed up my order mikaila fixed it without a problem my items arrived quickly i appreciated new customer discount as well</v>
      </c>
      <c r="I590" s="6">
        <f t="shared" si="2"/>
        <v>22</v>
      </c>
      <c r="J590" s="6">
        <f>IFERROR(__xludf.DUMMYFUNCTION("IF(H590="""","""",
SUM(
ARRAYFORMULA(
IF(
REGEXMATCH(
"" ""&amp;H590&amp;"" "",
"" ""&amp;Sentiment_Words!A$2:A3730&amp;"" ""
),
1,
0
)
)
)
)"),0.0)</f>
        <v>0</v>
      </c>
      <c r="K590" s="4">
        <f>IFERROR(__xludf.DUMMYFUNCTION("IF(H590="""","""",
SUM(
ARRAYFORMULA(
IF(
REGEXMATCH(
"" ""&amp;H590&amp;"" "",
"" ""&amp;Sentiment_Words!B$2:B3730&amp;"" ""
),
1,
0
)
)
)
)"),1.0)</f>
        <v>1</v>
      </c>
      <c r="L590" s="7" t="str">
        <f t="shared" si="3"/>
        <v>Other</v>
      </c>
      <c r="M590" s="7" t="str">
        <f t="shared" si="4"/>
        <v>Negative</v>
      </c>
      <c r="N590" s="7" t="str">
        <f>IFERROR(__xludf.DUMMYFUNCTION("LOWER(
TRIM(
REGEXREPLACE(B590,""[^a-zA-Z\s]"","""")
)
)
"),"william")</f>
        <v>william</v>
      </c>
      <c r="O590" s="7">
        <f t="shared" si="5"/>
        <v>2</v>
      </c>
      <c r="P590" s="8" t="str">
        <f t="shared" si="6"/>
        <v>Yes</v>
      </c>
    </row>
    <row r="591">
      <c r="A591" s="4" t="s">
        <v>16</v>
      </c>
      <c r="B591" s="4" t="s">
        <v>1700</v>
      </c>
      <c r="C591" s="5">
        <v>44978.0</v>
      </c>
      <c r="D591" s="10">
        <v>44990.0</v>
      </c>
      <c r="E591" s="4" t="s">
        <v>1701</v>
      </c>
      <c r="F591" s="4" t="s">
        <v>1702</v>
      </c>
      <c r="G591" s="6" t="str">
        <f>IFERROR(__xludf.DUMMYFUNCTION("REGEXREPLACE(LOWER(F591),""[^a-z\s]"","""")"),"we have used petflow for years through the course of many dogs and have always found them very informative caring and a company that we do buisness with monthy between petflow and chewy there is no better fullservice animal food etc provider")</f>
        <v>we have used petflow for years through the course of many dogs and have always found them very informative caring and a company that we do buisness with monthy between petflow and chewy there is no better fullservice animal food etc provider</v>
      </c>
      <c r="H591" s="4" t="str">
        <f t="shared" si="1"/>
        <v>we have used petflow years through course of many dogs have always found them very informative caring a company that we do buisness with monthy between petflow chewy there no better fullservice animal food etc provider</v>
      </c>
      <c r="I591" s="6">
        <f t="shared" si="2"/>
        <v>36</v>
      </c>
      <c r="J591" s="6">
        <f>IFERROR(__xludf.DUMMYFUNCTION("IF(H591="""","""",
SUM(
ARRAYFORMULA(
IF(
REGEXMATCH(
"" ""&amp;H591&amp;"" "",
"" ""&amp;Sentiment_Words!A$2:A3730&amp;"" ""
),
1,
0
)
)
)
)"),1.0)</f>
        <v>1</v>
      </c>
      <c r="K591" s="4">
        <f>IFERROR(__xludf.DUMMYFUNCTION("IF(H591="""","""",
SUM(
ARRAYFORMULA(
IF(
REGEXMATCH(
"" ""&amp;H591&amp;"" "",
"" ""&amp;Sentiment_Words!B$2:B3730&amp;"" ""
),
1,
0
)
)
)
)"),0.0)</f>
        <v>0</v>
      </c>
      <c r="L591" s="7" t="str">
        <f t="shared" si="3"/>
        <v>Customer Support</v>
      </c>
      <c r="M591" s="7" t="str">
        <f t="shared" si="4"/>
        <v>Positive</v>
      </c>
      <c r="N591" s="7" t="str">
        <f>IFERROR(__xludf.DUMMYFUNCTION("LOWER(
TRIM(
REGEXREPLACE(B591,""[^a-zA-Z\s]"","""")
)
)
"),"evan demarr")</f>
        <v>evan demarr</v>
      </c>
      <c r="O591" s="7">
        <f t="shared" si="5"/>
        <v>1</v>
      </c>
      <c r="P591" s="8" t="str">
        <f t="shared" si="6"/>
        <v>No</v>
      </c>
    </row>
    <row r="592">
      <c r="A592" s="4" t="s">
        <v>16</v>
      </c>
      <c r="B592" s="4" t="s">
        <v>1703</v>
      </c>
      <c r="C592" s="5">
        <v>44978.0</v>
      </c>
      <c r="D592" s="10">
        <v>44990.0</v>
      </c>
      <c r="E592" s="4" t="s">
        <v>1704</v>
      </c>
      <c r="F592" s="4" t="s">
        <v>1705</v>
      </c>
      <c r="G592" s="6" t="str">
        <f>IFERROR(__xludf.DUMMYFUNCTION("REGEXREPLACE(LOWER(F592),""[^a-z\s]"","""")"),"petflow is always responsive and great at filling our monthly auto ship order happy to do business with them")</f>
        <v>petflow is always responsive and great at filling our monthly auto ship order happy to do business with them</v>
      </c>
      <c r="H592" s="4" t="str">
        <f t="shared" si="1"/>
        <v>petflow always responsive great at filling our monthly auto ship order happy do business with them</v>
      </c>
      <c r="I592" s="6">
        <f t="shared" si="2"/>
        <v>16</v>
      </c>
      <c r="J592" s="6">
        <f>IFERROR(__xludf.DUMMYFUNCTION("IF(H592="""","""",
SUM(
ARRAYFORMULA(
IF(
REGEXMATCH(
"" ""&amp;H592&amp;"" "",
"" ""&amp;Sentiment_Words!A$2:A3730&amp;"" ""
),
1,
0
)
)
)
)"),3.0)</f>
        <v>3</v>
      </c>
      <c r="K592" s="4">
        <f>IFERROR(__xludf.DUMMYFUNCTION("IF(H592="""","""",
SUM(
ARRAYFORMULA(
IF(
REGEXMATCH(
"" ""&amp;H592&amp;"" "",
"" ""&amp;Sentiment_Words!B$2:B3730&amp;"" ""
),
1,
0
)
)
)
)"),0.0)</f>
        <v>0</v>
      </c>
      <c r="L592" s="7" t="str">
        <f t="shared" si="3"/>
        <v>Other</v>
      </c>
      <c r="M592" s="7" t="str">
        <f t="shared" si="4"/>
        <v>Positive</v>
      </c>
      <c r="N592" s="7" t="str">
        <f>IFERROR(__xludf.DUMMYFUNCTION("LOWER(
TRIM(
REGEXREPLACE(B592,""[^a-zA-Z\s]"","""")
)
)
"),"roberta workman")</f>
        <v>roberta workman</v>
      </c>
      <c r="O592" s="7">
        <f t="shared" si="5"/>
        <v>1</v>
      </c>
      <c r="P592" s="8" t="str">
        <f t="shared" si="6"/>
        <v>No</v>
      </c>
    </row>
    <row r="593">
      <c r="A593" s="4" t="s">
        <v>16</v>
      </c>
      <c r="B593" s="4" t="s">
        <v>1706</v>
      </c>
      <c r="C593" s="5">
        <v>44977.0</v>
      </c>
      <c r="D593" s="10">
        <v>44990.0</v>
      </c>
      <c r="E593" s="4" t="s">
        <v>1707</v>
      </c>
      <c r="F593" s="4" t="s">
        <v>1708</v>
      </c>
      <c r="G593" s="6" t="str">
        <f>IFERROR(__xludf.DUMMYFUNCTION("REGEXREPLACE(LOWER(F593),""[^a-z\s]"","""")"),"even though i have complained before petflow continues to package two lb bags of food on one box resulting in gedex the carrier to drop the box and the contents inside burst open")</f>
        <v>even though i have complained before petflow continues to package two lb bags of food on one box resulting in gedex the carrier to drop the box and the contents inside burst open</v>
      </c>
      <c r="H593" s="4" t="str">
        <f t="shared" si="1"/>
        <v>even though i have complained before petflow continues package two lb bags of food on one box resulting in gedex carrier drop box contents inside burst open</v>
      </c>
      <c r="I593" s="6">
        <f t="shared" si="2"/>
        <v>27</v>
      </c>
      <c r="J593" s="6">
        <f>IFERROR(__xludf.DUMMYFUNCTION("IF(H593="""","""",
SUM(
ARRAYFORMULA(
IF(
REGEXMATCH(
"" ""&amp;H593&amp;"" "",
"" ""&amp;Sentiment_Words!A$2:A3730&amp;"" ""
),
1,
0
)
)
)
)"),0.0)</f>
        <v>0</v>
      </c>
      <c r="K593" s="4">
        <f>IFERROR(__xludf.DUMMYFUNCTION("IF(H593="""","""",
SUM(
ARRAYFORMULA(
IF(
REGEXMATCH(
"" ""&amp;H593&amp;"" "",
"" ""&amp;Sentiment_Words!B$2:B3730&amp;"" ""
),
1,
0
)
)
)
)"),0.0)</f>
        <v>0</v>
      </c>
      <c r="L593" s="7" t="str">
        <f t="shared" si="3"/>
        <v>Other</v>
      </c>
      <c r="M593" s="7" t="str">
        <f t="shared" si="4"/>
        <v>Neutral</v>
      </c>
      <c r="N593" s="7" t="str">
        <f>IFERROR(__xludf.DUMMYFUNCTION("LOWER(
TRIM(
REGEXREPLACE(B593,""[^a-zA-Z\s]"","""")
)
)
"),"desert skies kennel")</f>
        <v>desert skies kennel</v>
      </c>
      <c r="O593" s="7">
        <f t="shared" si="5"/>
        <v>1</v>
      </c>
      <c r="P593" s="8" t="str">
        <f t="shared" si="6"/>
        <v>No</v>
      </c>
    </row>
    <row r="594">
      <c r="A594" s="4" t="s">
        <v>16</v>
      </c>
      <c r="B594" s="4" t="s">
        <v>1709</v>
      </c>
      <c r="C594" s="5">
        <v>44977.0</v>
      </c>
      <c r="D594" s="10">
        <v>44990.0</v>
      </c>
      <c r="E594" s="4" t="s">
        <v>1710</v>
      </c>
      <c r="F594" s="4" t="s">
        <v>1711</v>
      </c>
      <c r="G594" s="6" t="str">
        <f>IFERROR(__xludf.DUMMYFUNCTION("REGEXREPLACE(LOWER(F594),""[^a-z\s]"","""")"),"i got a great deal on a great product i was worried because i had never shopped with petflow before i received my order in a timely fashion and i received plenty of notification about the status of my order the particular dog feeder i was looking for was "&amp;"out of stock for other online retailers")</f>
        <v>i got a great deal on a great product i was worried because i had never shopped with petflow before i received my order in a timely fashion and i received plenty of notification about the status of my order the particular dog feeder i was looking for was out of stock for other online retailers</v>
      </c>
      <c r="H594" s="4" t="str">
        <f t="shared" si="1"/>
        <v>i got a great deal on a great product i was worried because i had never shopped with petflow before i received my order in a timely fashion i received plenty of notification about status of my order particular dog feeder i was looking was out of stock other online retailers</v>
      </c>
      <c r="I594" s="6">
        <f t="shared" si="2"/>
        <v>51</v>
      </c>
      <c r="J594" s="6">
        <f>IFERROR(__xludf.DUMMYFUNCTION("IF(H594="""","""",
SUM(
ARRAYFORMULA(
IF(
REGEXMATCH(
"" ""&amp;H594&amp;"" "",
"" ""&amp;Sentiment_Words!A$2:A3730&amp;"" ""
),
1,
0
)
)
)
)"),1.0)</f>
        <v>1</v>
      </c>
      <c r="K594" s="4">
        <f>IFERROR(__xludf.DUMMYFUNCTION("IF(H594="""","""",
SUM(
ARRAYFORMULA(
IF(
REGEXMATCH(
"" ""&amp;H594&amp;"" "",
"" ""&amp;Sentiment_Words!B$2:B3730&amp;"" ""
),
1,
0
)
)
)
)"),1.0)</f>
        <v>1</v>
      </c>
      <c r="L594" s="7" t="str">
        <f t="shared" si="3"/>
        <v>Availability</v>
      </c>
      <c r="M594" s="7" t="str">
        <f t="shared" si="4"/>
        <v>Neutral</v>
      </c>
      <c r="N594" s="7" t="str">
        <f>IFERROR(__xludf.DUMMYFUNCTION("LOWER(
TRIM(
REGEXREPLACE(B594,""[^a-zA-Z\s]"","""")
)
)
"),"jmr")</f>
        <v>jmr</v>
      </c>
      <c r="O594" s="7">
        <f t="shared" si="5"/>
        <v>1</v>
      </c>
      <c r="P594" s="8" t="str">
        <f t="shared" si="6"/>
        <v>No</v>
      </c>
    </row>
    <row r="595">
      <c r="A595" s="4" t="s">
        <v>16</v>
      </c>
      <c r="B595" s="4" t="s">
        <v>1712</v>
      </c>
      <c r="C595" s="5">
        <v>44977.0</v>
      </c>
      <c r="D595" s="10">
        <v>44990.0</v>
      </c>
      <c r="E595" s="4" t="s">
        <v>1713</v>
      </c>
      <c r="F595" s="4" t="s">
        <v>1714</v>
      </c>
      <c r="G595" s="6" t="str">
        <f>IFERROR(__xludf.DUMMYFUNCTION("REGEXREPLACE(LOWER(F595),""[^a-z\s]"","""")"),"easy ordering process my only complaint is that it would be more convenient to see past orders to order again or edit an order as having to go thru and search products needed my cat is on special diet and just need to be able to order his food in a quick "&amp;"and easy fashion")</f>
        <v>easy ordering process my only complaint is that it would be more convenient to see past orders to order again or edit an order as having to go thru and search products needed my cat is on special diet and just need to be able to order his food in a quick and easy fashion</v>
      </c>
      <c r="H595" s="4" t="str">
        <f t="shared" si="1"/>
        <v>easy ordering process my only complaint that it would be more convenient see past orders order again or edit an order as having go thru search products needed my cat on special diet just need be able order his food in a quick easy fashion</v>
      </c>
      <c r="I595" s="6">
        <f t="shared" si="2"/>
        <v>45</v>
      </c>
      <c r="J595" s="6">
        <f>IFERROR(__xludf.DUMMYFUNCTION("IF(H595="""","""",
SUM(
ARRAYFORMULA(
IF(
REGEXMATCH(
"" ""&amp;H595&amp;"" "",
"" ""&amp;Sentiment_Words!A$2:A3730&amp;"" ""
),
1,
0
)
)
)
)"),3.0)</f>
        <v>3</v>
      </c>
      <c r="K595" s="4">
        <f>IFERROR(__xludf.DUMMYFUNCTION("IF(H595="""","""",
SUM(
ARRAYFORMULA(
IF(
REGEXMATCH(
"" ""&amp;H595&amp;"" "",
"" ""&amp;Sentiment_Words!B$2:B3730&amp;"" ""
),
1,
0
)
)
)
)"),0.0)</f>
        <v>0</v>
      </c>
      <c r="L595" s="7" t="str">
        <f t="shared" si="3"/>
        <v>Value &amp; Convenience</v>
      </c>
      <c r="M595" s="7" t="str">
        <f t="shared" si="4"/>
        <v>Positive</v>
      </c>
      <c r="N595" s="7" t="str">
        <f>IFERROR(__xludf.DUMMYFUNCTION("LOWER(
TRIM(
REGEXREPLACE(B595,""[^a-zA-Z\s]"","""")
)
)
"),"richard rippon")</f>
        <v>richard rippon</v>
      </c>
      <c r="O595" s="7">
        <f t="shared" si="5"/>
        <v>1</v>
      </c>
      <c r="P595" s="8" t="str">
        <f t="shared" si="6"/>
        <v>No</v>
      </c>
    </row>
    <row r="596">
      <c r="A596" s="4" t="s">
        <v>16</v>
      </c>
      <c r="B596" s="4" t="s">
        <v>1715</v>
      </c>
      <c r="C596" s="5">
        <v>44977.0</v>
      </c>
      <c r="D596" s="10">
        <v>44990.0</v>
      </c>
      <c r="E596" s="4" t="s">
        <v>1716</v>
      </c>
      <c r="F596" s="4" t="s">
        <v>1717</v>
      </c>
      <c r="G596" s="6" t="str">
        <f>IFERROR(__xludf.DUMMYFUNCTION("REGEXREPLACE(LOWER(F596),""[^a-z\s]"","""")"),"easy fast and reasonable")</f>
        <v>easy fast and reasonable</v>
      </c>
      <c r="H596" s="4" t="str">
        <f t="shared" si="1"/>
        <v>easy fast reasonable</v>
      </c>
      <c r="I596" s="6">
        <f t="shared" si="2"/>
        <v>3</v>
      </c>
      <c r="J596" s="6">
        <f>IFERROR(__xludf.DUMMYFUNCTION("IF(H596="""","""",
SUM(
ARRAYFORMULA(
IF(
REGEXMATCH(
"" ""&amp;H596&amp;"" "",
"" ""&amp;Sentiment_Words!A$2:A3730&amp;"" ""
),
1,
0
)
)
)
)"),2.0)</f>
        <v>2</v>
      </c>
      <c r="K596" s="4">
        <f>IFERROR(__xludf.DUMMYFUNCTION("IF(H596="""","""",
SUM(
ARRAYFORMULA(
IF(
REGEXMATCH(
"" ""&amp;H596&amp;"" "",
"" ""&amp;Sentiment_Words!B$2:B3730&amp;"" ""
),
1,
0
)
)
)
)"),0.0)</f>
        <v>0</v>
      </c>
      <c r="L596" s="7" t="str">
        <f t="shared" si="3"/>
        <v>Other</v>
      </c>
      <c r="M596" s="7" t="str">
        <f t="shared" si="4"/>
        <v>Positive</v>
      </c>
      <c r="N596" s="7" t="str">
        <f>IFERROR(__xludf.DUMMYFUNCTION("LOWER(
TRIM(
REGEXREPLACE(B596,""[^a-zA-Z\s]"","""")
)
)
"),"nathaniel dearinger")</f>
        <v>nathaniel dearinger</v>
      </c>
      <c r="O596" s="7">
        <f t="shared" si="5"/>
        <v>1</v>
      </c>
      <c r="P596" s="8" t="str">
        <f t="shared" si="6"/>
        <v>No</v>
      </c>
    </row>
    <row r="597">
      <c r="A597" s="4" t="s">
        <v>16</v>
      </c>
      <c r="B597" s="4" t="s">
        <v>1718</v>
      </c>
      <c r="C597" s="5">
        <v>44977.0</v>
      </c>
      <c r="D597" s="10">
        <v>44990.0</v>
      </c>
      <c r="E597" s="4" t="s">
        <v>1719</v>
      </c>
      <c r="F597" s="4" t="s">
        <v>1720</v>
      </c>
      <c r="G597" s="6" t="str">
        <f>IFERROR(__xludf.DUMMYFUNCTION("REGEXREPLACE(LOWER(F597),""[^a-z\s]"","""")"),"easy to place order items arrived as described and when expected very happy with everything")</f>
        <v>easy to place order items arrived as described and when expected very happy with everything</v>
      </c>
      <c r="H597" s="4" t="str">
        <f t="shared" si="1"/>
        <v>easy place order items arrived as described when expected very happy with everything</v>
      </c>
      <c r="I597" s="6">
        <f t="shared" si="2"/>
        <v>13</v>
      </c>
      <c r="J597" s="6">
        <f>IFERROR(__xludf.DUMMYFUNCTION("IF(H597="""","""",
SUM(
ARRAYFORMULA(
IF(
REGEXMATCH(
"" ""&amp;H597&amp;"" "",
"" ""&amp;Sentiment_Words!A$2:A3730&amp;"" ""
),
1,
0
)
)
)
)"),2.0)</f>
        <v>2</v>
      </c>
      <c r="K597" s="4">
        <f>IFERROR(__xludf.DUMMYFUNCTION("IF(H597="""","""",
SUM(
ARRAYFORMULA(
IF(
REGEXMATCH(
"" ""&amp;H597&amp;"" "",
"" ""&amp;Sentiment_Words!B$2:B3730&amp;"" ""
),
1,
0
)
)
)
)"),0.0)</f>
        <v>0</v>
      </c>
      <c r="L597" s="7" t="str">
        <f t="shared" si="3"/>
        <v>Other</v>
      </c>
      <c r="M597" s="7" t="str">
        <f t="shared" si="4"/>
        <v>Positive</v>
      </c>
      <c r="N597" s="7" t="str">
        <f>IFERROR(__xludf.DUMMYFUNCTION("LOWER(
TRIM(
REGEXREPLACE(B597,""[^a-zA-Z\s]"","""")
)
)
"),"carol karvosky")</f>
        <v>carol karvosky</v>
      </c>
      <c r="O597" s="7">
        <f t="shared" si="5"/>
        <v>1</v>
      </c>
      <c r="P597" s="8" t="str">
        <f t="shared" si="6"/>
        <v>No</v>
      </c>
    </row>
    <row r="598">
      <c r="A598" s="4" t="s">
        <v>16</v>
      </c>
      <c r="B598" s="4" t="s">
        <v>1721</v>
      </c>
      <c r="C598" s="5">
        <v>44977.0</v>
      </c>
      <c r="D598" s="10">
        <v>44989.0</v>
      </c>
      <c r="E598" s="4" t="s">
        <v>1722</v>
      </c>
      <c r="F598" s="4" t="s">
        <v>1723</v>
      </c>
      <c r="G598" s="6" t="str">
        <f>IFERROR(__xludf.DUMMYFUNCTION("REGEXREPLACE(LOWER(F598),""[^a-z\s]"","""")"),"i love that you donate a meal to a homeless animal with my purchase its a wonderful way to help them to not forget them also your shipping is exemplary i wish more companies were like pet flow")</f>
        <v>i love that you donate a meal to a homeless animal with my purchase its a wonderful way to help them to not forget them also your shipping is exemplary i wish more companies were like pet flow</v>
      </c>
      <c r="H598" s="4" t="str">
        <f t="shared" si="1"/>
        <v>i love that you donate a meal a homeless animal with my purchase its a wonderful way help them not forget them also your shipping exemplary i wish more companies were like pet flow</v>
      </c>
      <c r="I598" s="6">
        <f t="shared" si="2"/>
        <v>34</v>
      </c>
      <c r="J598" s="6">
        <f>IFERROR(__xludf.DUMMYFUNCTION("IF(H598="""","""",
SUM(
ARRAYFORMULA(
IF(
REGEXMATCH(
"" ""&amp;H598&amp;"" "",
"" ""&amp;Sentiment_Words!A$2:A3730&amp;"" ""
),
1,
0
)
)
)
)"),2.0)</f>
        <v>2</v>
      </c>
      <c r="K598" s="4">
        <f>IFERROR(__xludf.DUMMYFUNCTION("IF(H598="""","""",
SUM(
ARRAYFORMULA(
IF(
REGEXMATCH(
"" ""&amp;H598&amp;"" "",
"" ""&amp;Sentiment_Words!B$2:B3730&amp;"" ""
),
1,
0
)
)
)
)"),0.0)</f>
        <v>0</v>
      </c>
      <c r="L598" s="7" t="str">
        <f t="shared" si="3"/>
        <v>Other</v>
      </c>
      <c r="M598" s="7" t="str">
        <f t="shared" si="4"/>
        <v>Positive</v>
      </c>
      <c r="N598" s="7" t="str">
        <f>IFERROR(__xludf.DUMMYFUNCTION("LOWER(
TRIM(
REGEXREPLACE(B598,""[^a-zA-Z\s]"","""")
)
)
"),"robert cook")</f>
        <v>robert cook</v>
      </c>
      <c r="O598" s="7">
        <f t="shared" si="5"/>
        <v>1</v>
      </c>
      <c r="P598" s="8" t="str">
        <f t="shared" si="6"/>
        <v>No</v>
      </c>
    </row>
    <row r="599">
      <c r="A599" s="4" t="s">
        <v>16</v>
      </c>
      <c r="B599" s="4" t="s">
        <v>1724</v>
      </c>
      <c r="C599" s="5">
        <v>44977.0</v>
      </c>
      <c r="D599" s="10">
        <v>44989.0</v>
      </c>
      <c r="E599" s="4" t="s">
        <v>536</v>
      </c>
      <c r="F599" s="4" t="s">
        <v>1725</v>
      </c>
      <c r="G599" s="6" t="str">
        <f>IFERROR(__xludf.DUMMYFUNCTION("REGEXREPLACE(LOWER(F599),""[^a-z\s]"","""")"),"petflows phone wraps are very pleasant and knowledgeable on how to help you my english cream golden retriever walter needs a veterinarian prescription dry dog food i used to get it through chewy but lately theyve been having a hard time keeping it stocked"&amp;" when it was taking a few days to come i called petflow they were happy to look into my account and reassured me everything was working on time")</f>
        <v>petflows phone wraps are very pleasant and knowledgeable on how to help you my english cream golden retriever walter needs a veterinarian prescription dry dog food i used to get it through chewy but lately theyve been having a hard time keeping it stocked when it was taking a few days to come i called petflow they were happy to look into my account and reassured me everything was working on time</v>
      </c>
      <c r="H599" s="4" t="str">
        <f t="shared" si="1"/>
        <v>petflows phone wraps are very pleasant knowledgeable on how help you my english cream golden retriever walter needs a veterinarian prescription dry dog food i used get it through chewy but lately theyve been having a hard time keeping it stocked when it was taking a few days come i called petflow they were happy look into my account reassured me everything was working on time</v>
      </c>
      <c r="I599" s="6">
        <f t="shared" si="2"/>
        <v>66</v>
      </c>
      <c r="J599" s="6">
        <f>IFERROR(__xludf.DUMMYFUNCTION("IF(H599="""","""",
SUM(
ARRAYFORMULA(
IF(
REGEXMATCH(
"" ""&amp;H599&amp;"" "",
"" ""&amp;Sentiment_Words!A$2:A3730&amp;"" ""
),
1,
0
)
)
)
)"),3.0)</f>
        <v>3</v>
      </c>
      <c r="K599" s="4">
        <f>IFERROR(__xludf.DUMMYFUNCTION("IF(H599="""","""",
SUM(
ARRAYFORMULA(
IF(
REGEXMATCH(
"" ""&amp;H599&amp;"" "",
"" ""&amp;Sentiment_Words!B$2:B3730&amp;"" ""
),
1,
0
)
)
)
)"),0.0)</f>
        <v>0</v>
      </c>
      <c r="L599" s="7" t="str">
        <f t="shared" si="3"/>
        <v>Fulfillment &amp; Shipping</v>
      </c>
      <c r="M599" s="7" t="str">
        <f t="shared" si="4"/>
        <v>Positive</v>
      </c>
      <c r="N599" s="7" t="str">
        <f>IFERROR(__xludf.DUMMYFUNCTION("LOWER(
TRIM(
REGEXREPLACE(B599,""[^a-zA-Z\s]"","""")
)
)
"),"lisa")</f>
        <v>lisa</v>
      </c>
      <c r="O599" s="7">
        <f t="shared" si="5"/>
        <v>8</v>
      </c>
      <c r="P599" s="8" t="str">
        <f t="shared" si="6"/>
        <v>Yes</v>
      </c>
    </row>
    <row r="600">
      <c r="A600" s="4" t="s">
        <v>16</v>
      </c>
      <c r="B600" s="4" t="s">
        <v>1726</v>
      </c>
      <c r="C600" s="5">
        <v>44977.0</v>
      </c>
      <c r="D600" s="10">
        <v>44989.0</v>
      </c>
      <c r="E600" s="4" t="s">
        <v>1727</v>
      </c>
      <c r="F600" s="4" t="s">
        <v>331</v>
      </c>
      <c r="G600" s="6" t="str">
        <f>IFERROR(__xludf.DUMMYFUNCTION("REGEXREPLACE(LOWER(F600),""[^a-z\s]"","""")"),"none")</f>
        <v>none</v>
      </c>
      <c r="H600" s="4" t="str">
        <f t="shared" si="1"/>
        <v>none</v>
      </c>
      <c r="I600" s="6">
        <f t="shared" si="2"/>
        <v>1</v>
      </c>
      <c r="J600" s="6">
        <f>IFERROR(__xludf.DUMMYFUNCTION("IF(H600="""","""",
SUM(
ARRAYFORMULA(
IF(
REGEXMATCH(
"" ""&amp;H600&amp;"" "",
"" ""&amp;Sentiment_Words!A$2:A3730&amp;"" ""
),
1,
0
)
)
)
)"),0.0)</f>
        <v>0</v>
      </c>
      <c r="K600" s="4">
        <f>IFERROR(__xludf.DUMMYFUNCTION("IF(H600="""","""",
SUM(
ARRAYFORMULA(
IF(
REGEXMATCH(
"" ""&amp;H600&amp;"" "",
"" ""&amp;Sentiment_Words!B$2:B3730&amp;"" ""
),
1,
0
)
)
)
)"),0.0)</f>
        <v>0</v>
      </c>
      <c r="L600" s="7" t="str">
        <f t="shared" si="3"/>
        <v>Other</v>
      </c>
      <c r="M600" s="7" t="str">
        <f t="shared" si="4"/>
        <v>Neutral</v>
      </c>
      <c r="N600" s="7" t="str">
        <f>IFERROR(__xludf.DUMMYFUNCTION("LOWER(
TRIM(
REGEXREPLACE(B600,""[^a-zA-Z\s]"","""")
)
)
"),"judith patterson")</f>
        <v>judith patterson</v>
      </c>
      <c r="O600" s="7">
        <f t="shared" si="5"/>
        <v>1</v>
      </c>
      <c r="P600" s="8" t="str">
        <f t="shared" si="6"/>
        <v>No</v>
      </c>
    </row>
    <row r="601">
      <c r="A601" s="4" t="s">
        <v>16</v>
      </c>
      <c r="B601" s="4" t="s">
        <v>1728</v>
      </c>
      <c r="C601" s="5">
        <v>44977.0</v>
      </c>
      <c r="D601" s="10">
        <v>44989.0</v>
      </c>
      <c r="E601" s="4" t="s">
        <v>1729</v>
      </c>
      <c r="F601" s="4" t="s">
        <v>331</v>
      </c>
      <c r="G601" s="6" t="str">
        <f>IFERROR(__xludf.DUMMYFUNCTION("REGEXREPLACE(LOWER(F601),""[^a-z\s]"","""")"),"none")</f>
        <v>none</v>
      </c>
      <c r="H601" s="4" t="str">
        <f t="shared" si="1"/>
        <v>none</v>
      </c>
      <c r="I601" s="6">
        <f t="shared" si="2"/>
        <v>1</v>
      </c>
      <c r="J601" s="6">
        <f>IFERROR(__xludf.DUMMYFUNCTION("IF(H601="""","""",
SUM(
ARRAYFORMULA(
IF(
REGEXMATCH(
"" ""&amp;H601&amp;"" "",
"" ""&amp;Sentiment_Words!A$2:A3730&amp;"" ""
),
1,
0
)
)
)
)"),0.0)</f>
        <v>0</v>
      </c>
      <c r="K601" s="4">
        <f>IFERROR(__xludf.DUMMYFUNCTION("IF(H601="""","""",
SUM(
ARRAYFORMULA(
IF(
REGEXMATCH(
"" ""&amp;H601&amp;"" "",
"" ""&amp;Sentiment_Words!B$2:B3730&amp;"" ""
),
1,
0
)
)
)
)"),0.0)</f>
        <v>0</v>
      </c>
      <c r="L601" s="7" t="str">
        <f t="shared" si="3"/>
        <v>Other</v>
      </c>
      <c r="M601" s="7" t="str">
        <f t="shared" si="4"/>
        <v>Neutral</v>
      </c>
      <c r="N601" s="7" t="str">
        <f>IFERROR(__xludf.DUMMYFUNCTION("LOWER(
TRIM(
REGEXREPLACE(B601,""[^a-zA-Z\s]"","""")
)
)
"),"nora baga")</f>
        <v>nora baga</v>
      </c>
      <c r="O601" s="7">
        <f t="shared" si="5"/>
        <v>1</v>
      </c>
      <c r="P601" s="8" t="str">
        <f t="shared" si="6"/>
        <v>No</v>
      </c>
    </row>
    <row r="602">
      <c r="A602" s="4" t="s">
        <v>16</v>
      </c>
      <c r="B602" s="4" t="s">
        <v>1730</v>
      </c>
      <c r="C602" s="5">
        <v>44977.0</v>
      </c>
      <c r="D602" s="4" t="s">
        <v>1731</v>
      </c>
      <c r="E602" s="4" t="s">
        <v>1732</v>
      </c>
      <c r="F602" s="4" t="s">
        <v>1733</v>
      </c>
      <c r="G602" s="6" t="str">
        <f>IFERROR(__xludf.DUMMYFUNCTION("REGEXREPLACE(LOWER(F602),""[^a-z\s]"","""")"),"order was cancelled i had to call and email for  weeks  calls and  emails
supposedly due to some unknown reason my account was flagged as fraudulent no real explanation
i was told a few times to reset my pw however my account has been disabled
i was to"&amp;"ld several times an email to reset was sent never received not in spam or junk mail
my pack is out of the product ive wasted hours trying to get this handled and shipped
i cannot tell you how frustrated and disappointed i am at this point
please make i"&amp;"t right i ordered  bags of ounce food
cathy karabetsos")</f>
        <v>order was cancelled i had to call and email for  weeks  calls and  emails
supposedly due to some unknown reason my account was flagged as fraudulent no real explanation
i was told a few times to reset my pw however my account has been disabled
i was told several times an email to reset was sent never received not in spam or junk mail
my pack is out of the product ive wasted hours trying to get this handled and shipped
i cannot tell you how frustrated and disappointed i am at this point
please make it right i ordered  bags of ounce food
cathy karabetsos</v>
      </c>
      <c r="H602" s="4" t="str">
        <f t="shared" si="1"/>
        <v>order was cancelled i had call email weeks calls emails
supposedly due some unknown reason my account was flagged as fraudulent no real explanation
i was told a few times reset my pw however my account has been disabled
i was told several times an email reset was sent never received not in spam or junk mail
my pack out of product ive wasted hours trying get this handled shipped
i cannot tell you how frustrated disappointed i am at this point
please make it right i ordered bags of ounce food
cathy karabetsos</v>
      </c>
      <c r="I602" s="6">
        <f t="shared" si="2"/>
        <v>87</v>
      </c>
      <c r="J602" s="6">
        <f>IFERROR(__xludf.DUMMYFUNCTION("IF(H602="""","""",
SUM(
ARRAYFORMULA(
IF(
REGEXMATCH(
"" ""&amp;H602&amp;"" "",
"" ""&amp;Sentiment_Words!A$2:A3730&amp;"" ""
),
1,
0
)
)
)
)"),0.0)</f>
        <v>0</v>
      </c>
      <c r="K602" s="4">
        <f>IFERROR(__xludf.DUMMYFUNCTION("IF(H602="""","""",
SUM(
ARRAYFORMULA(
IF(
REGEXMATCH(
"" ""&amp;H602&amp;"" "",
"" ""&amp;Sentiment_Words!B$2:B3730&amp;"" ""
),
1,
0
)
)
)
)"),1.0)</f>
        <v>1</v>
      </c>
      <c r="L602" s="7" t="str">
        <f t="shared" si="3"/>
        <v>Account &amp; Website</v>
      </c>
      <c r="M602" s="7" t="str">
        <f t="shared" si="4"/>
        <v>Negative</v>
      </c>
      <c r="N602" s="7" t="str">
        <f>IFERROR(__xludf.DUMMYFUNCTION("LOWER(
TRIM(
REGEXREPLACE(B602,""[^a-zA-Z\s]"","""")
)
)
"),"cathy karabetsos")</f>
        <v>cathy karabetsos</v>
      </c>
      <c r="O602" s="7">
        <f t="shared" si="5"/>
        <v>1</v>
      </c>
      <c r="P602" s="8" t="str">
        <f t="shared" si="6"/>
        <v>No</v>
      </c>
    </row>
    <row r="603">
      <c r="A603" s="4" t="s">
        <v>16</v>
      </c>
      <c r="B603" s="4" t="s">
        <v>1734</v>
      </c>
      <c r="C603" s="5">
        <v>44977.0</v>
      </c>
      <c r="D603" s="10">
        <v>44989.0</v>
      </c>
      <c r="E603" s="4" t="s">
        <v>1735</v>
      </c>
      <c r="F603" s="4" t="s">
        <v>1736</v>
      </c>
      <c r="G603" s="6" t="str">
        <f>IFERROR(__xludf.DUMMYFUNCTION("REGEXREPLACE(LOWER(F603),""[^a-z\s]"","""")"),"shipping seems to take a bit longer than it used to but i suppose its a common problem petflow does update their delivery date notifications though")</f>
        <v>shipping seems to take a bit longer than it used to but i suppose its a common problem petflow does update their delivery date notifications though</v>
      </c>
      <c r="H603" s="4" t="str">
        <f t="shared" si="1"/>
        <v>shipping seems take a bit longer than it used but i suppose its a common problem petflow does update their delivery date notifications though</v>
      </c>
      <c r="I603" s="6">
        <f t="shared" si="2"/>
        <v>24</v>
      </c>
      <c r="J603" s="6">
        <f>IFERROR(__xludf.DUMMYFUNCTION("IF(H603="""","""",
SUM(
ARRAYFORMULA(
IF(
REGEXMATCH(
"" ""&amp;H603&amp;"" "",
"" ""&amp;Sentiment_Words!A$2:A3730&amp;"" ""
),
1,
0
)
)
)
)"),0.0)</f>
        <v>0</v>
      </c>
      <c r="K603" s="4">
        <f>IFERROR(__xludf.DUMMYFUNCTION("IF(H603="""","""",
SUM(
ARRAYFORMULA(
IF(
REGEXMATCH(
"" ""&amp;H603&amp;"" "",
"" ""&amp;Sentiment_Words!B$2:B3730&amp;"" ""
),
1,
0
)
)
)
)"),1.0)</f>
        <v>1</v>
      </c>
      <c r="L603" s="7" t="str">
        <f t="shared" si="3"/>
        <v>Other</v>
      </c>
      <c r="M603" s="7" t="str">
        <f t="shared" si="4"/>
        <v>Negative</v>
      </c>
      <c r="N603" s="7" t="str">
        <f>IFERROR(__xludf.DUMMYFUNCTION("LOWER(
TRIM(
REGEXREPLACE(B603,""[^a-zA-Z\s]"","""")
)
)
"),"doodlebug")</f>
        <v>doodlebug</v>
      </c>
      <c r="O603" s="7">
        <f t="shared" si="5"/>
        <v>1</v>
      </c>
      <c r="P603" s="8" t="str">
        <f t="shared" si="6"/>
        <v>No</v>
      </c>
    </row>
    <row r="604">
      <c r="A604" s="4" t="s">
        <v>16</v>
      </c>
      <c r="B604" s="4" t="s">
        <v>1737</v>
      </c>
      <c r="C604" s="5">
        <v>44977.0</v>
      </c>
      <c r="D604" s="10">
        <v>44989.0</v>
      </c>
      <c r="E604" s="4" t="s">
        <v>1738</v>
      </c>
      <c r="F604" s="4" t="s">
        <v>1739</v>
      </c>
      <c r="G604" s="6" t="str">
        <f>IFERROR(__xludf.DUMMYFUNCTION("REGEXREPLACE(LOWER(F604),""[^a-z\s]"","""")"),"i live in florida my email was used to order twice the shipments went to texas probably using a stolen credit card i was not charged talked to petflo representative last week with information")</f>
        <v>i live in florida my email was used to order twice the shipments went to texas probably using a stolen credit card i was not charged talked to petflo representative last week with information</v>
      </c>
      <c r="H604" s="4" t="str">
        <f t="shared" si="1"/>
        <v>i live in florida my email was used order twice shipments went texas probably using a stolen credit card i was not charged talked petflo representative last week with information</v>
      </c>
      <c r="I604" s="6">
        <f t="shared" si="2"/>
        <v>30</v>
      </c>
      <c r="J604" s="6">
        <f>IFERROR(__xludf.DUMMYFUNCTION("IF(H604="""","""",
SUM(
ARRAYFORMULA(
IF(
REGEXMATCH(
"" ""&amp;H604&amp;"" "",
"" ""&amp;Sentiment_Words!A$2:A3730&amp;"" ""
),
1,
0
)
)
)
)"),0.0)</f>
        <v>0</v>
      </c>
      <c r="K604" s="4">
        <f>IFERROR(__xludf.DUMMYFUNCTION("IF(H604="""","""",
SUM(
ARRAYFORMULA(
IF(
REGEXMATCH(
"" ""&amp;H604&amp;"" "",
"" ""&amp;Sentiment_Words!B$2:B3730&amp;"" ""
),
1,
0
)
)
)
)"),0.0)</f>
        <v>0</v>
      </c>
      <c r="L604" s="7" t="str">
        <f t="shared" si="3"/>
        <v>Other</v>
      </c>
      <c r="M604" s="7" t="str">
        <f t="shared" si="4"/>
        <v>Neutral</v>
      </c>
      <c r="N604" s="7" t="str">
        <f>IFERROR(__xludf.DUMMYFUNCTION("LOWER(
TRIM(
REGEXREPLACE(B604,""[^a-zA-Z\s]"","""")
)
)
"),"ronald straub")</f>
        <v>ronald straub</v>
      </c>
      <c r="O604" s="7">
        <f t="shared" si="5"/>
        <v>1</v>
      </c>
      <c r="P604" s="8" t="str">
        <f t="shared" si="6"/>
        <v>No</v>
      </c>
    </row>
    <row r="605">
      <c r="A605" s="4" t="s">
        <v>16</v>
      </c>
      <c r="B605" s="4" t="s">
        <v>1740</v>
      </c>
      <c r="C605" s="5">
        <v>44977.0</v>
      </c>
      <c r="D605" s="10">
        <v>44989.0</v>
      </c>
      <c r="E605" s="4" t="s">
        <v>1741</v>
      </c>
      <c r="F605" s="4" t="s">
        <v>1742</v>
      </c>
      <c r="G605" s="6" t="str">
        <f>IFERROR(__xludf.DUMMYFUNCTION("REGEXREPLACE(LOWER(F605),""[^a-z\s]"","""")"),"im so glad you asked i will be back the process was simple professional and unbelievably fast thank you")</f>
        <v>im so glad you asked i will be back the process was simple professional and unbelievably fast thank you</v>
      </c>
      <c r="H605" s="4" t="str">
        <f t="shared" si="1"/>
        <v>im so glad you asked i will be back process was simple professional unbelievably fast thank you</v>
      </c>
      <c r="I605" s="6">
        <f t="shared" si="2"/>
        <v>17</v>
      </c>
      <c r="J605" s="6">
        <f>IFERROR(__xludf.DUMMYFUNCTION("IF(H605="""","""",
SUM(
ARRAYFORMULA(
IF(
REGEXMATCH(
"" ""&amp;H605&amp;"" "",
"" ""&amp;Sentiment_Words!A$2:A3730&amp;"" ""
),
1,
0
)
)
)
)"),1.0)</f>
        <v>1</v>
      </c>
      <c r="K605" s="4">
        <f>IFERROR(__xludf.DUMMYFUNCTION("IF(H605="""","""",
SUM(
ARRAYFORMULA(
IF(
REGEXMATCH(
"" ""&amp;H605&amp;"" "",
"" ""&amp;Sentiment_Words!B$2:B3730&amp;"" ""
),
1,
0
)
)
)
)"),0.0)</f>
        <v>0</v>
      </c>
      <c r="L605" s="7" t="str">
        <f t="shared" si="3"/>
        <v>Other</v>
      </c>
      <c r="M605" s="7" t="str">
        <f t="shared" si="4"/>
        <v>Positive</v>
      </c>
      <c r="N605" s="7" t="str">
        <f>IFERROR(__xludf.DUMMYFUNCTION("LOWER(
TRIM(
REGEXREPLACE(B605,""[^a-zA-Z\s]"","""")
)
)
"),"a wortham")</f>
        <v>a wortham</v>
      </c>
      <c r="O605" s="7">
        <f t="shared" si="5"/>
        <v>1</v>
      </c>
      <c r="P605" s="8" t="str">
        <f t="shared" si="6"/>
        <v>No</v>
      </c>
    </row>
    <row r="606">
      <c r="A606" s="4" t="s">
        <v>16</v>
      </c>
      <c r="B606" s="4" t="s">
        <v>1743</v>
      </c>
      <c r="C606" s="5">
        <v>44974.0</v>
      </c>
      <c r="D606" s="10">
        <v>44989.0</v>
      </c>
      <c r="E606" s="4" t="s">
        <v>1744</v>
      </c>
      <c r="F606" s="4" t="s">
        <v>1745</v>
      </c>
      <c r="G606" s="6" t="str">
        <f>IFERROR(__xludf.DUMMYFUNCTION("REGEXREPLACE(LOWER(F606),""[^a-z\s]"","""")"),"mallory was awesome
she deserves a raise
only issue is still waiting
been billed finally got notification it shipped possibly because it had to go to vet
anyway again i will ask for mallory next time")</f>
        <v>mallory was awesome
she deserves a raise
only issue is still waiting
been billed finally got notification it shipped possibly because it had to go to vet
anyway again i will ask for mallory next time</v>
      </c>
      <c r="H606" s="4" t="str">
        <f t="shared" si="1"/>
        <v>mallory was awesome
she deserves a raise
only issue still waiting
been billed finally got notification it shipped possibly because it had go vet
anyway again i will ask mallory next time</v>
      </c>
      <c r="I606" s="6">
        <f t="shared" si="2"/>
        <v>28</v>
      </c>
      <c r="J606" s="6">
        <f>IFERROR(__xludf.DUMMYFUNCTION("IF(H606="""","""",
SUM(
ARRAYFORMULA(
IF(
REGEXMATCH(
"" ""&amp;H606&amp;"" "",
"" ""&amp;Sentiment_Words!A$2:A3730&amp;"" ""
),
1,
0
)
)
)
)"),0.0)</f>
        <v>0</v>
      </c>
      <c r="K606" s="4">
        <f>IFERROR(__xludf.DUMMYFUNCTION("IF(H606="""","""",
SUM(
ARRAYFORMULA(
IF(
REGEXMATCH(
"" ""&amp;H606&amp;"" "",
"" ""&amp;Sentiment_Words!B$2:B3730&amp;"" ""
),
1,
0
)
)
)
)"),1.0)</f>
        <v>1</v>
      </c>
      <c r="L606" s="7" t="str">
        <f t="shared" si="3"/>
        <v>Other</v>
      </c>
      <c r="M606" s="7" t="str">
        <f t="shared" si="4"/>
        <v>Negative</v>
      </c>
      <c r="N606" s="7" t="str">
        <f>IFERROR(__xludf.DUMMYFUNCTION("LOWER(
TRIM(
REGEXREPLACE(B606,""[^a-zA-Z\s]"","""")
)
)
"),"jerri carroll")</f>
        <v>jerri carroll</v>
      </c>
      <c r="O606" s="7">
        <f t="shared" si="5"/>
        <v>1</v>
      </c>
      <c r="P606" s="8" t="str">
        <f t="shared" si="6"/>
        <v>No</v>
      </c>
    </row>
    <row r="607">
      <c r="A607" s="4" t="s">
        <v>16</v>
      </c>
      <c r="B607" s="4" t="s">
        <v>1746</v>
      </c>
      <c r="C607" s="5">
        <v>44976.0</v>
      </c>
      <c r="D607" s="10">
        <v>44989.0</v>
      </c>
      <c r="E607" s="4" t="s">
        <v>1747</v>
      </c>
      <c r="F607" s="4" t="s">
        <v>1748</v>
      </c>
      <c r="G607" s="6" t="str">
        <f>IFERROR(__xludf.DUMMYFUNCTION("REGEXREPLACE(LOWER(F607),""[^a-z\s]"","""")"),"this is the first time ive ordered from this outfit and i was totally pleased with the transaction their price for
the dogfood i ordered was reasonable they shipped quickly and rocco the dog is a happy camper")</f>
        <v>this is the first time ive ordered from this outfit and i was totally pleased with the transaction their price for
the dogfood i ordered was reasonable they shipped quickly and rocco the dog is a happy camper</v>
      </c>
      <c r="H607" s="4" t="str">
        <f t="shared" si="1"/>
        <v>this first time ive ordered from this outfit i was totally pleased with transaction their price for
the dogfood i ordered was reasonable they shipped quickly rocco dog a happy camper</v>
      </c>
      <c r="I607" s="6">
        <f t="shared" si="2"/>
        <v>30</v>
      </c>
      <c r="J607" s="6">
        <f>IFERROR(__xludf.DUMMYFUNCTION("IF(H607="""","""",
SUM(
ARRAYFORMULA(
IF(
REGEXMATCH(
"" ""&amp;H607&amp;"" "",
"" ""&amp;Sentiment_Words!A$2:A3730&amp;"" ""
),
1,
0
)
)
)
)"),2.0)</f>
        <v>2</v>
      </c>
      <c r="K607" s="4">
        <f>IFERROR(__xludf.DUMMYFUNCTION("IF(H607="""","""",
SUM(
ARRAYFORMULA(
IF(
REGEXMATCH(
"" ""&amp;H607&amp;"" "",
"" ""&amp;Sentiment_Words!B$2:B3730&amp;"" ""
),
1,
0
)
)
)
)"),0.0)</f>
        <v>0</v>
      </c>
      <c r="L607" s="7" t="str">
        <f t="shared" si="3"/>
        <v>Other</v>
      </c>
      <c r="M607" s="7" t="str">
        <f t="shared" si="4"/>
        <v>Positive</v>
      </c>
      <c r="N607" s="7" t="str">
        <f>IFERROR(__xludf.DUMMYFUNCTION("LOWER(
TRIM(
REGEXREPLACE(B607,""[^a-zA-Z\s]"","""")
)
)
"),"co sierra glass distributors")</f>
        <v>co sierra glass distributors</v>
      </c>
      <c r="O607" s="7">
        <f t="shared" si="5"/>
        <v>1</v>
      </c>
      <c r="P607" s="8" t="str">
        <f t="shared" si="6"/>
        <v>No</v>
      </c>
    </row>
    <row r="608">
      <c r="A608" s="4" t="s">
        <v>16</v>
      </c>
      <c r="B608" s="4" t="s">
        <v>1749</v>
      </c>
      <c r="C608" s="5">
        <v>44976.0</v>
      </c>
      <c r="D608" s="10">
        <v>44989.0</v>
      </c>
      <c r="E608" s="4" t="s">
        <v>1750</v>
      </c>
      <c r="F608" s="4" t="s">
        <v>1751</v>
      </c>
      <c r="G608" s="6" t="str">
        <f>IFERROR(__xludf.DUMMYFUNCTION("REGEXREPLACE(LOWER(F608),""[^a-z\s]"","""")"),"love the fact its cheaper comes right to my door and no shipping cost great deals")</f>
        <v>love the fact its cheaper comes right to my door and no shipping cost great deals</v>
      </c>
      <c r="H608" s="4" t="str">
        <f t="shared" si="1"/>
        <v>love fact its cheaper comes right my door no shipping cost great deals</v>
      </c>
      <c r="I608" s="6">
        <f t="shared" si="2"/>
        <v>13</v>
      </c>
      <c r="J608" s="6">
        <f>IFERROR(__xludf.DUMMYFUNCTION("IF(H608="""","""",
SUM(
ARRAYFORMULA(
IF(
REGEXMATCH(
"" ""&amp;H608&amp;"" "",
"" ""&amp;Sentiment_Words!A$2:A3730&amp;"" ""
),
1,
0
)
)
)
)"),3.0)</f>
        <v>3</v>
      </c>
      <c r="K608" s="4">
        <f>IFERROR(__xludf.DUMMYFUNCTION("IF(H608="""","""",
SUM(
ARRAYFORMULA(
IF(
REGEXMATCH(
"" ""&amp;H608&amp;"" "",
"" ""&amp;Sentiment_Words!B$2:B3730&amp;"" ""
),
1,
0
)
)
)
)"),0.0)</f>
        <v>0</v>
      </c>
      <c r="L608" s="7" t="str">
        <f t="shared" si="3"/>
        <v>Value &amp; Convenience</v>
      </c>
      <c r="M608" s="7" t="str">
        <f t="shared" si="4"/>
        <v>Positive</v>
      </c>
      <c r="N608" s="7" t="str">
        <f>IFERROR(__xludf.DUMMYFUNCTION("LOWER(
TRIM(
REGEXREPLACE(B608,""[^a-zA-Z\s]"","""")
)
)
"),"sonya robinson")</f>
        <v>sonya robinson</v>
      </c>
      <c r="O608" s="7">
        <f t="shared" si="5"/>
        <v>1</v>
      </c>
      <c r="P608" s="8" t="str">
        <f t="shared" si="6"/>
        <v>No</v>
      </c>
    </row>
    <row r="609">
      <c r="A609" s="4" t="s">
        <v>16</v>
      </c>
      <c r="B609" s="4" t="s">
        <v>1752</v>
      </c>
      <c r="C609" s="5">
        <v>44976.0</v>
      </c>
      <c r="D609" s="10">
        <v>44988.0</v>
      </c>
      <c r="E609" s="4" t="s">
        <v>1753</v>
      </c>
      <c r="F609" s="4" t="s">
        <v>1754</v>
      </c>
      <c r="G609" s="6" t="str">
        <f>IFERROR(__xludf.DUMMYFUNCTION("REGEXREPLACE(LOWER(F609),""[^a-z\s]"","""")"),"i was looking for that specific dog food for our new puppy and petflow was the only online store that i could find verus brand")</f>
        <v>i was looking for that specific dog food for our new puppy and petflow was the only online store that i could find verus brand</v>
      </c>
      <c r="H609" s="4" t="str">
        <f t="shared" si="1"/>
        <v>i was looking that specific dog food our new puppy petflow was only online store that i could find verus brand</v>
      </c>
      <c r="I609" s="6">
        <f t="shared" si="2"/>
        <v>21</v>
      </c>
      <c r="J609" s="6">
        <f>IFERROR(__xludf.DUMMYFUNCTION("IF(H609="""","""",
SUM(
ARRAYFORMULA(
IF(
REGEXMATCH(
"" ""&amp;H609&amp;"" "",
"" ""&amp;Sentiment_Words!A$2:A3730&amp;"" ""
),
1,
0
)
)
)
)"),0.0)</f>
        <v>0</v>
      </c>
      <c r="K609" s="4">
        <f>IFERROR(__xludf.DUMMYFUNCTION("IF(H609="""","""",
SUM(
ARRAYFORMULA(
IF(
REGEXMATCH(
"" ""&amp;H609&amp;"" "",
"" ""&amp;Sentiment_Words!B$2:B3730&amp;"" ""
),
1,
0
)
)
)
)"),0.0)</f>
        <v>0</v>
      </c>
      <c r="L609" s="7" t="str">
        <f t="shared" si="3"/>
        <v>Other</v>
      </c>
      <c r="M609" s="7" t="str">
        <f t="shared" si="4"/>
        <v>Neutral</v>
      </c>
      <c r="N609" s="7" t="str">
        <f>IFERROR(__xludf.DUMMYFUNCTION("LOWER(
TRIM(
REGEXREPLACE(B609,""[^a-zA-Z\s]"","""")
)
)
"),"erica")</f>
        <v>erica</v>
      </c>
      <c r="O609" s="7">
        <f t="shared" si="5"/>
        <v>1</v>
      </c>
      <c r="P609" s="8" t="str">
        <f t="shared" si="6"/>
        <v>No</v>
      </c>
    </row>
    <row r="610">
      <c r="A610" s="4" t="s">
        <v>16</v>
      </c>
      <c r="B610" s="4" t="s">
        <v>1755</v>
      </c>
      <c r="C610" s="5">
        <v>44976.0</v>
      </c>
      <c r="D610" s="10">
        <v>44988.0</v>
      </c>
      <c r="E610" s="4" t="s">
        <v>1756</v>
      </c>
      <c r="F610" s="4" t="s">
        <v>1757</v>
      </c>
      <c r="G610" s="6" t="str">
        <f>IFERROR(__xludf.DUMMYFUNCTION("REGEXREPLACE(LOWER(F610),""[^a-z\s]"","""")"),"i found the food i was looking for the price is high but industry standard i liked the option to purchase a large bag and  of them thanks")</f>
        <v>i found the food i was looking for the price is high but industry standard i liked the option to purchase a large bag and  of them thanks</v>
      </c>
      <c r="H610" s="4" t="str">
        <f t="shared" si="1"/>
        <v>i found food i was looking price high but industry standard i liked option purchase a large bag of them thanks</v>
      </c>
      <c r="I610" s="6">
        <f t="shared" si="2"/>
        <v>21</v>
      </c>
      <c r="J610" s="6">
        <f>IFERROR(__xludf.DUMMYFUNCTION("IF(H610="""","""",
SUM(
ARRAYFORMULA(
IF(
REGEXMATCH(
"" ""&amp;H610&amp;"" "",
"" ""&amp;Sentiment_Words!A$2:A3730&amp;"" ""
),
1,
0
)
)
)
)"),1.0)</f>
        <v>1</v>
      </c>
      <c r="K610" s="4">
        <f>IFERROR(__xludf.DUMMYFUNCTION("IF(H610="""","""",
SUM(
ARRAYFORMULA(
IF(
REGEXMATCH(
"" ""&amp;H610&amp;"" "",
"" ""&amp;Sentiment_Words!B$2:B3730&amp;"" ""
),
1,
0
)
)
)
)"),0.0)</f>
        <v>0</v>
      </c>
      <c r="L610" s="7" t="str">
        <f t="shared" si="3"/>
        <v>Other</v>
      </c>
      <c r="M610" s="7" t="str">
        <f t="shared" si="4"/>
        <v>Positive</v>
      </c>
      <c r="N610" s="7" t="str">
        <f>IFERROR(__xludf.DUMMYFUNCTION("LOWER(
TRIM(
REGEXREPLACE(B610,""[^a-zA-Z\s]"","""")
)
)
"),"laurie s")</f>
        <v>laurie s</v>
      </c>
      <c r="O610" s="7">
        <f t="shared" si="5"/>
        <v>1</v>
      </c>
      <c r="P610" s="8" t="str">
        <f t="shared" si="6"/>
        <v>No</v>
      </c>
    </row>
    <row r="611">
      <c r="A611" s="4" t="s">
        <v>16</v>
      </c>
      <c r="B611" s="4" t="s">
        <v>1758</v>
      </c>
      <c r="C611" s="5">
        <v>44976.0</v>
      </c>
      <c r="D611" s="10">
        <v>44988.0</v>
      </c>
      <c r="E611" s="4" t="s">
        <v>1759</v>
      </c>
      <c r="F611" s="4" t="s">
        <v>1760</v>
      </c>
      <c r="G611" s="6" t="str">
        <f>IFERROR(__xludf.DUMMYFUNCTION("REGEXREPLACE(LOWER(F611),""[^a-z\s]"","""")"),"pet flow is the way to go i order my fur baby food all the time from pet flow and my delivery is on time that is why they are the best
thank you to pet flow and all of the team that works there shadow said woof ")</f>
        <v>pet flow is the way to go i order my fur baby food all the time from pet flow and my delivery is on time that is why they are the best
thank you to pet flow and all of the team that works there shadow said woof </v>
      </c>
      <c r="H611" s="4" t="str">
        <f t="shared" si="1"/>
        <v>pet flow way go i order my fur baby food all time from pet flow my delivery on time that why they are best
thank you pet flow all of team that works there shadow said woof</v>
      </c>
      <c r="I611" s="6">
        <f t="shared" si="2"/>
        <v>36</v>
      </c>
      <c r="J611" s="6">
        <f>IFERROR(__xludf.DUMMYFUNCTION("IF(H611="""","""",
SUM(
ARRAYFORMULA(
IF(
REGEXMATCH(
"" ""&amp;H611&amp;"" "",
"" ""&amp;Sentiment_Words!A$2:A3730&amp;"" ""
),
1,
0
)
)
)
)"),2.0)</f>
        <v>2</v>
      </c>
      <c r="K611" s="4">
        <f>IFERROR(__xludf.DUMMYFUNCTION("IF(H611="""","""",
SUM(
ARRAYFORMULA(
IF(
REGEXMATCH(
"" ""&amp;H611&amp;"" "",
"" ""&amp;Sentiment_Words!B$2:B3730&amp;"" ""
),
1,
0
)
)
)
)"),0.0)</f>
        <v>0</v>
      </c>
      <c r="L611" s="7" t="str">
        <f t="shared" si="3"/>
        <v>Other</v>
      </c>
      <c r="M611" s="7" t="str">
        <f t="shared" si="4"/>
        <v>Positive</v>
      </c>
      <c r="N611" s="7" t="str">
        <f>IFERROR(__xludf.DUMMYFUNCTION("LOWER(
TRIM(
REGEXREPLACE(B611,""[^a-zA-Z\s]"","""")
)
)
"),"theresa")</f>
        <v>theresa</v>
      </c>
      <c r="O611" s="7">
        <f t="shared" si="5"/>
        <v>2</v>
      </c>
      <c r="P611" s="8" t="str">
        <f t="shared" si="6"/>
        <v>Yes</v>
      </c>
    </row>
    <row r="612">
      <c r="A612" s="4" t="s">
        <v>16</v>
      </c>
      <c r="B612" s="4" t="s">
        <v>1761</v>
      </c>
      <c r="C612" s="5">
        <v>44976.0</v>
      </c>
      <c r="D612" s="10">
        <v>44988.0</v>
      </c>
      <c r="E612" s="4" t="s">
        <v>1762</v>
      </c>
      <c r="F612" s="4" t="s">
        <v>1763</v>
      </c>
      <c r="G612" s="6" t="str">
        <f>IFERROR(__xludf.DUMMYFUNCTION("REGEXREPLACE(LOWER(F612),""[^a-z\s]"","""")"),"you send me a survey link yet i still havent received the items surely you know this the communication is terrible takes several days for any response hopefully ill get the items soon  and i understand the weather delay but my items have basically gone no"&amp;"where i ordered from another place  days later and got my shipment today")</f>
        <v>you send me a survey link yet i still havent received the items surely you know this the communication is terrible takes several days for any response hopefully ill get the items soon  and i understand the weather delay but my items have basically gone nowhere i ordered from another place  days later and got my shipment today</v>
      </c>
      <c r="H612" s="4" t="str">
        <f t="shared" si="1"/>
        <v>you send me a survey link yet i still havent received items surely you know this communication terrible takes several days any response hopefully ill get items soon i understand weather delay but my items have basically gone nowhere i ordered from another place days later got my shipment today</v>
      </c>
      <c r="I612" s="6">
        <f t="shared" si="2"/>
        <v>50</v>
      </c>
      <c r="J612" s="6">
        <f>IFERROR(__xludf.DUMMYFUNCTION("IF(H612="""","""",
SUM(
ARRAYFORMULA(
IF(
REGEXMATCH(
"" ""&amp;H612&amp;"" "",
"" ""&amp;Sentiment_Words!A$2:A3730&amp;"" ""
),
1,
0
)
)
)
)"),0.0)</f>
        <v>0</v>
      </c>
      <c r="K612" s="4">
        <f>IFERROR(__xludf.DUMMYFUNCTION("IF(H612="""","""",
SUM(
ARRAYFORMULA(
IF(
REGEXMATCH(
"" ""&amp;H612&amp;"" "",
"" ""&amp;Sentiment_Words!B$2:B3730&amp;"" ""
),
1,
0
)
)
)
)"),2.0)</f>
        <v>2</v>
      </c>
      <c r="L612" s="7" t="str">
        <f t="shared" si="3"/>
        <v>Fulfillment &amp; Shipping</v>
      </c>
      <c r="M612" s="7" t="str">
        <f t="shared" si="4"/>
        <v>Negative</v>
      </c>
      <c r="N612" s="7" t="str">
        <f>IFERROR(__xludf.DUMMYFUNCTION("LOWER(
TRIM(
REGEXREPLACE(B612,""[^a-zA-Z\s]"","""")
)
)
"),"libby allen")</f>
        <v>libby allen</v>
      </c>
      <c r="O612" s="7">
        <f t="shared" si="5"/>
        <v>1</v>
      </c>
      <c r="P612" s="8" t="str">
        <f t="shared" si="6"/>
        <v>No</v>
      </c>
    </row>
    <row r="613">
      <c r="A613" s="4" t="s">
        <v>16</v>
      </c>
      <c r="B613" s="4" t="s">
        <v>1764</v>
      </c>
      <c r="C613" s="5">
        <v>44975.0</v>
      </c>
      <c r="D613" s="10">
        <v>44988.0</v>
      </c>
      <c r="E613" s="4" t="s">
        <v>1765</v>
      </c>
      <c r="F613" s="4" t="s">
        <v>1766</v>
      </c>
      <c r="G613" s="6" t="str">
        <f>IFERROR(__xludf.DUMMYFUNCTION("REGEXREPLACE(LOWER(F613),""[^a-z\s]"","""")"),"while the prices at petflow may be good there are severe problems with having products in stock it seems that no matter what i order wet or dry cat food and cat litter its out of stock or has to come from a further away location it didnt use to be like th"&amp;"is petflow was very reliable now i have to follow up with calls to customer service because emails are ignored very disappointing i use chewy instead")</f>
        <v>while the prices at petflow may be good there are severe problems with having products in stock it seems that no matter what i order wet or dry cat food and cat litter its out of stock or has to come from a further away location it didnt use to be like this petflow was very reliable now i have to follow up with calls to customer service because emails are ignored very disappointing i use chewy instead</v>
      </c>
      <c r="H613" s="4" t="str">
        <f t="shared" si="1"/>
        <v>while prices at petflow may be good there are severe problems with having products in stock it seems that no matter what i order wet or dry cat food cat litter its out of stock or has come from a further away location it didnt use be like this petflow was very reliable now i have follow up with calls customer service because emails are ignored very disappointing i use chewy instead</v>
      </c>
      <c r="I613" s="6">
        <f t="shared" si="2"/>
        <v>72</v>
      </c>
      <c r="J613" s="6">
        <f>IFERROR(__xludf.DUMMYFUNCTION("IF(H613="""","""",
SUM(
ARRAYFORMULA(
IF(
REGEXMATCH(
"" ""&amp;H613&amp;"" "",
"" ""&amp;Sentiment_Words!A$2:A3730&amp;"" ""
),
1,
0
)
)
)
)"),2.0)</f>
        <v>2</v>
      </c>
      <c r="K613" s="4">
        <f>IFERROR(__xludf.DUMMYFUNCTION("IF(H613="""","""",
SUM(
ARRAYFORMULA(
IF(
REGEXMATCH(
"" ""&amp;H613&amp;"" "",
"" ""&amp;Sentiment_Words!B$2:B3730&amp;"" ""
),
1,
0
)
)
)
)"),3.0)</f>
        <v>3</v>
      </c>
      <c r="L613" s="7" t="str">
        <f t="shared" si="3"/>
        <v>Customer Support</v>
      </c>
      <c r="M613" s="7" t="str">
        <f t="shared" si="4"/>
        <v>Negative</v>
      </c>
      <c r="N613" s="7" t="str">
        <f>IFERROR(__xludf.DUMMYFUNCTION("LOWER(
TRIM(
REGEXREPLACE(B613,""[^a-zA-Z\s]"","""")
)
)
"),"janet tennison")</f>
        <v>janet tennison</v>
      </c>
      <c r="O613" s="7">
        <f t="shared" si="5"/>
        <v>1</v>
      </c>
      <c r="P613" s="8" t="str">
        <f t="shared" si="6"/>
        <v>No</v>
      </c>
    </row>
    <row r="614">
      <c r="A614" s="4" t="s">
        <v>16</v>
      </c>
      <c r="B614" s="4" t="s">
        <v>1767</v>
      </c>
      <c r="C614" s="5">
        <v>44976.0</v>
      </c>
      <c r="D614" s="10">
        <v>44988.0</v>
      </c>
      <c r="E614" s="4" t="s">
        <v>1768</v>
      </c>
      <c r="F614" s="4" t="s">
        <v>1769</v>
      </c>
      <c r="G614" s="6" t="str">
        <f>IFERROR(__xludf.DUMMYFUNCTION("REGEXREPLACE(LOWER(F614),""[^a-z\s]"","""")"),"reliable great choices")</f>
        <v>reliable great choices</v>
      </c>
      <c r="H614" s="4" t="str">
        <f t="shared" si="1"/>
        <v>reliable great choices</v>
      </c>
      <c r="I614" s="6">
        <f t="shared" si="2"/>
        <v>3</v>
      </c>
      <c r="J614" s="6">
        <f>IFERROR(__xludf.DUMMYFUNCTION("IF(H614="""","""",
SUM(
ARRAYFORMULA(
IF(
REGEXMATCH(
"" ""&amp;H614&amp;"" "",
"" ""&amp;Sentiment_Words!A$2:A3730&amp;"" ""
),
1,
0
)
)
)
)"),2.0)</f>
        <v>2</v>
      </c>
      <c r="K614" s="4">
        <f>IFERROR(__xludf.DUMMYFUNCTION("IF(H614="""","""",
SUM(
ARRAYFORMULA(
IF(
REGEXMATCH(
"" ""&amp;H614&amp;"" "",
"" ""&amp;Sentiment_Words!B$2:B3730&amp;"" ""
),
1,
0
)
)
)
)"),0.0)</f>
        <v>0</v>
      </c>
      <c r="L614" s="7" t="str">
        <f t="shared" si="3"/>
        <v>Other</v>
      </c>
      <c r="M614" s="7" t="str">
        <f t="shared" si="4"/>
        <v>Positive</v>
      </c>
      <c r="N614" s="7" t="str">
        <f>IFERROR(__xludf.DUMMYFUNCTION("LOWER(
TRIM(
REGEXREPLACE(B614,""[^a-zA-Z\s]"","""")
)
)
"),"patricia")</f>
        <v>patricia</v>
      </c>
      <c r="O614" s="7">
        <f t="shared" si="5"/>
        <v>5</v>
      </c>
      <c r="P614" s="8" t="str">
        <f t="shared" si="6"/>
        <v>Yes</v>
      </c>
    </row>
    <row r="615">
      <c r="A615" s="4" t="s">
        <v>16</v>
      </c>
      <c r="B615" s="4" t="s">
        <v>1770</v>
      </c>
      <c r="C615" s="5">
        <v>44976.0</v>
      </c>
      <c r="D615" s="10">
        <v>44988.0</v>
      </c>
      <c r="E615" s="4" t="s">
        <v>1771</v>
      </c>
      <c r="F615" s="4" t="s">
        <v>1772</v>
      </c>
      <c r="G615" s="6" t="str">
        <f>IFERROR(__xludf.DUMMYFUNCTION("REGEXREPLACE(LOWER(F615),""[^a-z\s]"","""")"),"everything i order was right and i get fast delivery")</f>
        <v>everything i order was right and i get fast delivery</v>
      </c>
      <c r="H615" s="4" t="str">
        <f t="shared" si="1"/>
        <v>everything i order was right i get fast delivery</v>
      </c>
      <c r="I615" s="6">
        <f t="shared" si="2"/>
        <v>9</v>
      </c>
      <c r="J615" s="6">
        <f>IFERROR(__xludf.DUMMYFUNCTION("IF(H615="""","""",
SUM(
ARRAYFORMULA(
IF(
REGEXMATCH(
"" ""&amp;H615&amp;"" "",
"" ""&amp;Sentiment_Words!A$2:A3730&amp;"" ""
),
1,
0
)
)
)
)"),2.0)</f>
        <v>2</v>
      </c>
      <c r="K615" s="4">
        <f>IFERROR(__xludf.DUMMYFUNCTION("IF(H615="""","""",
SUM(
ARRAYFORMULA(
IF(
REGEXMATCH(
"" ""&amp;H615&amp;"" "",
"" ""&amp;Sentiment_Words!B$2:B3730&amp;"" ""
),
1,
0
)
)
)
)"),0.0)</f>
        <v>0</v>
      </c>
      <c r="L615" s="7" t="str">
        <f t="shared" si="3"/>
        <v>Other</v>
      </c>
      <c r="M615" s="7" t="str">
        <f t="shared" si="4"/>
        <v>Positive</v>
      </c>
      <c r="N615" s="7" t="str">
        <f>IFERROR(__xludf.DUMMYFUNCTION("LOWER(
TRIM(
REGEXREPLACE(B615,""[^a-zA-Z\s]"","""")
)
)
"),"jay eldredge")</f>
        <v>jay eldredge</v>
      </c>
      <c r="O615" s="7">
        <f t="shared" si="5"/>
        <v>1</v>
      </c>
      <c r="P615" s="8" t="str">
        <f t="shared" si="6"/>
        <v>No</v>
      </c>
    </row>
    <row r="616">
      <c r="A616" s="4" t="s">
        <v>16</v>
      </c>
      <c r="B616" s="4" t="s">
        <v>1773</v>
      </c>
      <c r="C616" s="5">
        <v>44974.0</v>
      </c>
      <c r="D616" s="10">
        <v>44987.0</v>
      </c>
      <c r="E616" s="4" t="s">
        <v>1774</v>
      </c>
      <c r="F616" s="4" t="s">
        <v>1775</v>
      </c>
      <c r="G616" s="6" t="str">
        <f>IFERROR(__xludf.DUMMYFUNCTION("REGEXREPLACE(LOWER(F616),""[^a-z\s]"","""")"),"easy ordering fast delivery competitive prices
my only complaint is  too many texts and emails")</f>
        <v>easy ordering fast delivery competitive prices
my only complaint is  too many texts and emails</v>
      </c>
      <c r="H616" s="4" t="str">
        <f t="shared" si="1"/>
        <v>easy ordering fast delivery competitive prices
my only complaint too many texts emails</v>
      </c>
      <c r="I616" s="6">
        <f t="shared" si="2"/>
        <v>12</v>
      </c>
      <c r="J616" s="6">
        <f>IFERROR(__xludf.DUMMYFUNCTION("IF(H616="""","""",
SUM(
ARRAYFORMULA(
IF(
REGEXMATCH(
"" ""&amp;H616&amp;"" "",
"" ""&amp;Sentiment_Words!A$2:A3730&amp;"" ""
),
1,
0
)
)
)
)"),3.0)</f>
        <v>3</v>
      </c>
      <c r="K616" s="4">
        <f>IFERROR(__xludf.DUMMYFUNCTION("IF(H616="""","""",
SUM(
ARRAYFORMULA(
IF(
REGEXMATCH(
"" ""&amp;H616&amp;"" "",
"" ""&amp;Sentiment_Words!B$2:B3730&amp;"" ""
),
1,
0
)
)
)
)"),0.0)</f>
        <v>0</v>
      </c>
      <c r="L616" s="7" t="str">
        <f t="shared" si="3"/>
        <v>Other</v>
      </c>
      <c r="M616" s="7" t="str">
        <f t="shared" si="4"/>
        <v>Positive</v>
      </c>
      <c r="N616" s="7" t="str">
        <f>IFERROR(__xludf.DUMMYFUNCTION("LOWER(
TRIM(
REGEXREPLACE(B616,""[^a-zA-Z\s]"","""")
)
)
"),"mary madecosmtih")</f>
        <v>mary madecosmtih</v>
      </c>
      <c r="O616" s="7">
        <f t="shared" si="5"/>
        <v>1</v>
      </c>
      <c r="P616" s="8" t="str">
        <f t="shared" si="6"/>
        <v>No</v>
      </c>
    </row>
    <row r="617">
      <c r="A617" s="4" t="s">
        <v>16</v>
      </c>
      <c r="B617" s="4" t="s">
        <v>1776</v>
      </c>
      <c r="C617" s="5">
        <v>44975.0</v>
      </c>
      <c r="D617" s="10">
        <v>44987.0</v>
      </c>
      <c r="E617" s="4" t="s">
        <v>1777</v>
      </c>
      <c r="F617" s="4" t="s">
        <v>1778</v>
      </c>
      <c r="G617" s="6" t="str">
        <f>IFERROR(__xludf.DUMMYFUNCTION("REGEXREPLACE(LOWER(F617),""[^a-z\s]"","""")"),"i had recently ordered food from pat flow with no issue a couple of times my card was compromised and i had an issue with it and resolved it but recently for some reason no one will give me an explanation of why i am not able to order food from you even i"&amp;"f my card is uptodate no one can give me an explanation other than they cant do anything for me pretty unprofessional and i have started using another company")</f>
        <v>i had recently ordered food from pat flow with no issue a couple of times my card was compromised and i had an issue with it and resolved it but recently for some reason no one will give me an explanation of why i am not able to order food from you even if my card is uptodate no one can give me an explanation other than they cant do anything for me pretty unprofessional and i have started using another company</v>
      </c>
      <c r="H617" s="4" t="str">
        <f t="shared" si="1"/>
        <v>i had recently ordered food from pat flow with no issue a couple of times my card was compromised i had an issue with it resolved it but recently some reason no one will give me an explanation of why i am not able order food from you even if my card uptodate no one can give me an explanation other than they cant do anything me pretty unprofessional i have started using another company</v>
      </c>
      <c r="I617" s="6">
        <f t="shared" si="2"/>
        <v>75</v>
      </c>
      <c r="J617" s="6">
        <f>IFERROR(__xludf.DUMMYFUNCTION("IF(H617="""","""",
SUM(
ARRAYFORMULA(
IF(
REGEXMATCH(
"" ""&amp;H617&amp;"" "",
"" ""&amp;Sentiment_Words!A$2:A3730&amp;"" ""
),
1,
0
)
)
)
)"),2.0)</f>
        <v>2</v>
      </c>
      <c r="K617" s="4">
        <f>IFERROR(__xludf.DUMMYFUNCTION("IF(H617="""","""",
SUM(
ARRAYFORMULA(
IF(
REGEXMATCH(
"" ""&amp;H617&amp;"" "",
"" ""&amp;Sentiment_Words!B$2:B3730&amp;"" ""
),
1,
0
)
)
)
)"),1.0)</f>
        <v>1</v>
      </c>
      <c r="L617" s="7" t="str">
        <f t="shared" si="3"/>
        <v>Service Recovery</v>
      </c>
      <c r="M617" s="7" t="str">
        <f t="shared" si="4"/>
        <v>Positive</v>
      </c>
      <c r="N617" s="7" t="str">
        <f>IFERROR(__xludf.DUMMYFUNCTION("LOWER(
TRIM(
REGEXREPLACE(B617,""[^a-zA-Z\s]"","""")
)
)
"),"roberto rios ruiz")</f>
        <v>roberto rios ruiz</v>
      </c>
      <c r="O617" s="7">
        <f t="shared" si="5"/>
        <v>1</v>
      </c>
      <c r="P617" s="8" t="str">
        <f t="shared" si="6"/>
        <v>No</v>
      </c>
    </row>
    <row r="618">
      <c r="A618" s="4" t="s">
        <v>16</v>
      </c>
      <c r="B618" s="4" t="s">
        <v>1779</v>
      </c>
      <c r="C618" s="5">
        <v>44975.0</v>
      </c>
      <c r="D618" s="10">
        <v>44987.0</v>
      </c>
      <c r="E618" s="4" t="s">
        <v>1780</v>
      </c>
      <c r="F618" s="4" t="s">
        <v>1781</v>
      </c>
      <c r="G618" s="6" t="str">
        <f>IFERROR(__xludf.DUMMYFUNCTION("REGEXREPLACE(LOWER(F618),""[^a-z\s]"","""")"),"you carry the quality products i feed my  dogs and cat fromm annamaet and wellness in addition you deliver these foods in a timely fashion i am a very satisfied customer and i recommend you to all my animal stewards")</f>
        <v>you carry the quality products i feed my  dogs and cat fromm annamaet and wellness in addition you deliver these foods in a timely fashion i am a very satisfied customer and i recommend you to all my animal stewards</v>
      </c>
      <c r="H618" s="4" t="str">
        <f t="shared" si="1"/>
        <v>you carry quality products i feed my dogs cat fromm annamaet wellness in addition you deliver these foods in a timely fashion i am a very satisfied customer i recommend you all my animal stewards</v>
      </c>
      <c r="I618" s="6">
        <f t="shared" si="2"/>
        <v>35</v>
      </c>
      <c r="J618" s="6">
        <f>IFERROR(__xludf.DUMMYFUNCTION("IF(H618="""","""",
SUM(
ARRAYFORMULA(
IF(
REGEXMATCH(
"" ""&amp;H618&amp;"" "",
"" ""&amp;Sentiment_Words!A$2:A3730&amp;"" ""
),
1,
0
)
)
)
)"),1.0)</f>
        <v>1</v>
      </c>
      <c r="K618" s="4">
        <f>IFERROR(__xludf.DUMMYFUNCTION("IF(H618="""","""",
SUM(
ARRAYFORMULA(
IF(
REGEXMATCH(
"" ""&amp;H618&amp;"" "",
"" ""&amp;Sentiment_Words!B$2:B3730&amp;"" ""
),
1,
0
)
)
)
)"),0.0)</f>
        <v>0</v>
      </c>
      <c r="L618" s="7" t="str">
        <f t="shared" si="3"/>
        <v>Other</v>
      </c>
      <c r="M618" s="7" t="str">
        <f t="shared" si="4"/>
        <v>Positive</v>
      </c>
      <c r="N618" s="7" t="str">
        <f>IFERROR(__xludf.DUMMYFUNCTION("LOWER(
TRIM(
REGEXREPLACE(B618,""[^a-zA-Z\s]"","""")
)
)
"),"jenny drastura")</f>
        <v>jenny drastura</v>
      </c>
      <c r="O618" s="7">
        <f t="shared" si="5"/>
        <v>1</v>
      </c>
      <c r="P618" s="8" t="str">
        <f t="shared" si="6"/>
        <v>No</v>
      </c>
    </row>
    <row r="619">
      <c r="A619" s="4" t="s">
        <v>16</v>
      </c>
      <c r="B619" s="4" t="s">
        <v>1782</v>
      </c>
      <c r="C619" s="5">
        <v>44975.0</v>
      </c>
      <c r="D619" s="10">
        <v>44987.0</v>
      </c>
      <c r="E619" s="4" t="s">
        <v>1783</v>
      </c>
      <c r="F619" s="4" t="s">
        <v>1784</v>
      </c>
      <c r="G619" s="6" t="str">
        <f>IFERROR(__xludf.DUMMYFUNCTION("REGEXREPLACE(LOWER(F619),""[^a-z\s]"","""")"),"there is no option to cancel an auto ship so beware when you sign up for one i am still trying to cancel it there is only a pause option online and i can not get a support person to contact me")</f>
        <v>there is no option to cancel an auto ship so beware when you sign up for one i am still trying to cancel it there is only a pause option online and i can not get a support person to contact me</v>
      </c>
      <c r="H619" s="4" t="str">
        <f t="shared" si="1"/>
        <v>there no option cancel an auto ship so beware when you sign up one i am still trying cancel it there only a pause option online i can not get a support person contact me</v>
      </c>
      <c r="I619" s="6">
        <f t="shared" si="2"/>
        <v>35</v>
      </c>
      <c r="J619" s="6">
        <f>IFERROR(__xludf.DUMMYFUNCTION("IF(H619="""","""",
SUM(
ARRAYFORMULA(
IF(
REGEXMATCH(
"" ""&amp;H619&amp;"" "",
"" ""&amp;Sentiment_Words!A$2:A3730&amp;"" ""
),
1,
0
)
)
)
)"),1.0)</f>
        <v>1</v>
      </c>
      <c r="K619" s="4">
        <f>IFERROR(__xludf.DUMMYFUNCTION("IF(H619="""","""",
SUM(
ARRAYFORMULA(
IF(
REGEXMATCH(
"" ""&amp;H619&amp;"" "",
"" ""&amp;Sentiment_Words!B$2:B3730&amp;"" ""
),
1,
0
)
)
)
)"),0.0)</f>
        <v>0</v>
      </c>
      <c r="L619" s="7" t="str">
        <f t="shared" si="3"/>
        <v>Customer Support</v>
      </c>
      <c r="M619" s="7" t="str">
        <f t="shared" si="4"/>
        <v>Positive</v>
      </c>
      <c r="N619" s="7" t="str">
        <f>IFERROR(__xludf.DUMMYFUNCTION("LOWER(
TRIM(
REGEXREPLACE(B619,""[^a-zA-Z\s]"","""")
)
)
"),"robert short")</f>
        <v>robert short</v>
      </c>
      <c r="O619" s="7">
        <f t="shared" si="5"/>
        <v>1</v>
      </c>
      <c r="P619" s="8" t="str">
        <f t="shared" si="6"/>
        <v>No</v>
      </c>
    </row>
    <row r="620">
      <c r="A620" s="4" t="s">
        <v>16</v>
      </c>
      <c r="B620" s="4" t="s">
        <v>1785</v>
      </c>
      <c r="C620" s="5">
        <v>44975.0</v>
      </c>
      <c r="D620" s="4" t="s">
        <v>1786</v>
      </c>
      <c r="E620" s="4" t="s">
        <v>1787</v>
      </c>
      <c r="F620" s="4" t="s">
        <v>331</v>
      </c>
      <c r="G620" s="6" t="str">
        <f>IFERROR(__xludf.DUMMYFUNCTION("REGEXREPLACE(LOWER(F620),""[^a-z\s]"","""")"),"none")</f>
        <v>none</v>
      </c>
      <c r="H620" s="4" t="str">
        <f t="shared" si="1"/>
        <v>none</v>
      </c>
      <c r="I620" s="6">
        <f t="shared" si="2"/>
        <v>1</v>
      </c>
      <c r="J620" s="6">
        <f>IFERROR(__xludf.DUMMYFUNCTION("IF(H620="""","""",
SUM(
ARRAYFORMULA(
IF(
REGEXMATCH(
"" ""&amp;H620&amp;"" "",
"" ""&amp;Sentiment_Words!A$2:A3730&amp;"" ""
),
1,
0
)
)
)
)"),0.0)</f>
        <v>0</v>
      </c>
      <c r="K620" s="4">
        <f>IFERROR(__xludf.DUMMYFUNCTION("IF(H620="""","""",
SUM(
ARRAYFORMULA(
IF(
REGEXMATCH(
"" ""&amp;H620&amp;"" "",
"" ""&amp;Sentiment_Words!B$2:B3730&amp;"" ""
),
1,
0
)
)
)
)"),0.0)</f>
        <v>0</v>
      </c>
      <c r="L620" s="7" t="str">
        <f t="shared" si="3"/>
        <v>Other</v>
      </c>
      <c r="M620" s="7" t="str">
        <f t="shared" si="4"/>
        <v>Neutral</v>
      </c>
      <c r="N620" s="7" t="str">
        <f>IFERROR(__xludf.DUMMYFUNCTION("LOWER(
TRIM(
REGEXREPLACE(B620,""[^a-zA-Z\s]"","""")
)
)
"),"sherry hardwick thomas")</f>
        <v>sherry hardwick thomas</v>
      </c>
      <c r="O620" s="7">
        <f t="shared" si="5"/>
        <v>1</v>
      </c>
      <c r="P620" s="8" t="str">
        <f t="shared" si="6"/>
        <v>No</v>
      </c>
    </row>
    <row r="621">
      <c r="A621" s="4" t="s">
        <v>16</v>
      </c>
      <c r="B621" s="4" t="s">
        <v>1788</v>
      </c>
      <c r="C621" s="9">
        <v>44965.0</v>
      </c>
      <c r="D621" s="10">
        <v>44987.0</v>
      </c>
      <c r="E621" s="4" t="s">
        <v>1789</v>
      </c>
      <c r="F621" s="4" t="s">
        <v>331</v>
      </c>
      <c r="G621" s="6" t="str">
        <f>IFERROR(__xludf.DUMMYFUNCTION("REGEXREPLACE(LOWER(F621),""[^a-z\s]"","""")"),"none")</f>
        <v>none</v>
      </c>
      <c r="H621" s="4" t="str">
        <f t="shared" si="1"/>
        <v>none</v>
      </c>
      <c r="I621" s="6">
        <f t="shared" si="2"/>
        <v>1</v>
      </c>
      <c r="J621" s="6">
        <f>IFERROR(__xludf.DUMMYFUNCTION("IF(H621="""","""",
SUM(
ARRAYFORMULA(
IF(
REGEXMATCH(
"" ""&amp;H621&amp;"" "",
"" ""&amp;Sentiment_Words!A$2:A3730&amp;"" ""
),
1,
0
)
)
)
)"),0.0)</f>
        <v>0</v>
      </c>
      <c r="K621" s="4">
        <f>IFERROR(__xludf.DUMMYFUNCTION("IF(H621="""","""",
SUM(
ARRAYFORMULA(
IF(
REGEXMATCH(
"" ""&amp;H621&amp;"" "",
"" ""&amp;Sentiment_Words!B$2:B3730&amp;"" ""
),
1,
0
)
)
)
)"),0.0)</f>
        <v>0</v>
      </c>
      <c r="L621" s="7" t="str">
        <f t="shared" si="3"/>
        <v>Other</v>
      </c>
      <c r="M621" s="7" t="str">
        <f t="shared" si="4"/>
        <v>Neutral</v>
      </c>
      <c r="N621" s="7" t="str">
        <f>IFERROR(__xludf.DUMMYFUNCTION("LOWER(
TRIM(
REGEXREPLACE(B621,""[^a-zA-Z\s]"","""")
)
)
"),"lc")</f>
        <v>lc</v>
      </c>
      <c r="O621" s="7">
        <f t="shared" si="5"/>
        <v>1</v>
      </c>
      <c r="P621" s="8" t="str">
        <f t="shared" si="6"/>
        <v>No</v>
      </c>
    </row>
    <row r="622">
      <c r="A622" s="4" t="s">
        <v>16</v>
      </c>
      <c r="B622" s="4" t="s">
        <v>1790</v>
      </c>
      <c r="C622" s="5">
        <v>44974.0</v>
      </c>
      <c r="D622" s="10">
        <v>44986.0</v>
      </c>
      <c r="E622" s="4" t="s">
        <v>1791</v>
      </c>
      <c r="F622" s="4" t="s">
        <v>1792</v>
      </c>
      <c r="G622" s="6" t="str">
        <f>IFERROR(__xludf.DUMMYFUNCTION("REGEXREPLACE(LOWER(F622),""[^a-z\s]"","""")"),"your fast delivery customer service and packaging is excellent")</f>
        <v>your fast delivery customer service and packaging is excellent</v>
      </c>
      <c r="H622" s="4" t="str">
        <f t="shared" si="1"/>
        <v>your fast delivery customer service packaging excellent</v>
      </c>
      <c r="I622" s="6">
        <f t="shared" si="2"/>
        <v>7</v>
      </c>
      <c r="J622" s="6">
        <f>IFERROR(__xludf.DUMMYFUNCTION("IF(H622="""","""",
SUM(
ARRAYFORMULA(
IF(
REGEXMATCH(
"" ""&amp;H622&amp;"" "",
"" ""&amp;Sentiment_Words!A$2:A3730&amp;"" ""
),
1,
0
)
)
)
)"),2.0)</f>
        <v>2</v>
      </c>
      <c r="K622" s="4">
        <f>IFERROR(__xludf.DUMMYFUNCTION("IF(H622="""","""",
SUM(
ARRAYFORMULA(
IF(
REGEXMATCH(
"" ""&amp;H622&amp;"" "",
"" ""&amp;Sentiment_Words!B$2:B3730&amp;"" ""
),
1,
0
)
)
)
)"),1.0)</f>
        <v>1</v>
      </c>
      <c r="L622" s="7" t="str">
        <f t="shared" si="3"/>
        <v>Customer Support</v>
      </c>
      <c r="M622" s="7" t="str">
        <f t="shared" si="4"/>
        <v>Positive</v>
      </c>
      <c r="N622" s="7" t="str">
        <f>IFERROR(__xludf.DUMMYFUNCTION("LOWER(
TRIM(
REGEXREPLACE(B622,""[^a-zA-Z\s]"","""")
)
)
"),"a krutsch")</f>
        <v>a krutsch</v>
      </c>
      <c r="O622" s="7">
        <f t="shared" si="5"/>
        <v>1</v>
      </c>
      <c r="P622" s="8" t="str">
        <f t="shared" si="6"/>
        <v>No</v>
      </c>
    </row>
    <row r="623">
      <c r="A623" s="4" t="s">
        <v>16</v>
      </c>
      <c r="B623" s="4" t="s">
        <v>1793</v>
      </c>
      <c r="C623" s="5">
        <v>44974.0</v>
      </c>
      <c r="D623" s="10">
        <v>44986.0</v>
      </c>
      <c r="E623" s="4" t="s">
        <v>1794</v>
      </c>
      <c r="F623" s="4" t="s">
        <v>1795</v>
      </c>
      <c r="G623" s="6" t="str">
        <f>IFERROR(__xludf.DUMMYFUNCTION("REGEXREPLACE(LOWER(F623),""[^a-z\s]"","""")"),"my dog food that is on automatic order the size i usually get was out of stock so i was told unable to ship and received no food however that same dog food was available in a larger size and noone took the time to let me know that not very good customer s"&amp;"ervice")</f>
        <v>my dog food that is on automatic order the size i usually get was out of stock so i was told unable to ship and received no food however that same dog food was available in a larger size and noone took the time to let me know that not very good customer service</v>
      </c>
      <c r="H623" s="4" t="str">
        <f t="shared" si="1"/>
        <v>my dog food that on automatic order size i usually get was out of stock so i was told unable ship received no food however that same dog food was available in a larger size noone took time let me know that not very good customer service</v>
      </c>
      <c r="I623" s="6">
        <f t="shared" si="2"/>
        <v>47</v>
      </c>
      <c r="J623" s="6">
        <f>IFERROR(__xludf.DUMMYFUNCTION("IF(H623="""","""",
SUM(
ARRAYFORMULA(
IF(
REGEXMATCH(
"" ""&amp;H623&amp;"" "",
"" ""&amp;Sentiment_Words!A$2:A3730&amp;"" ""
),
1,
0
)
)
)
)"),2.0)</f>
        <v>2</v>
      </c>
      <c r="K623" s="4">
        <f>IFERROR(__xludf.DUMMYFUNCTION("IF(H623="""","""",
SUM(
ARRAYFORMULA(
IF(
REGEXMATCH(
"" ""&amp;H623&amp;"" "",
"" ""&amp;Sentiment_Words!B$2:B3730&amp;"" ""
),
1,
0
)
)
)
)"),2.0)</f>
        <v>2</v>
      </c>
      <c r="L623" s="7" t="str">
        <f t="shared" si="3"/>
        <v>Customer Support</v>
      </c>
      <c r="M623" s="7" t="str">
        <f t="shared" si="4"/>
        <v>Neutral</v>
      </c>
      <c r="N623" s="7" t="str">
        <f>IFERROR(__xludf.DUMMYFUNCTION("LOWER(
TRIM(
REGEXREPLACE(B623,""[^a-zA-Z\s]"","""")
)
)
"),"lori kiesow")</f>
        <v>lori kiesow</v>
      </c>
      <c r="O623" s="7">
        <f t="shared" si="5"/>
        <v>1</v>
      </c>
      <c r="P623" s="8" t="str">
        <f t="shared" si="6"/>
        <v>No</v>
      </c>
    </row>
    <row r="624">
      <c r="A624" s="4" t="s">
        <v>16</v>
      </c>
      <c r="B624" s="4" t="s">
        <v>1796</v>
      </c>
      <c r="C624" s="5">
        <v>44974.0</v>
      </c>
      <c r="D624" s="10">
        <v>44986.0</v>
      </c>
      <c r="E624" s="4" t="s">
        <v>1797</v>
      </c>
      <c r="F624" s="4" t="s">
        <v>1798</v>
      </c>
      <c r="G624" s="6" t="str">
        <f>IFERROR(__xludf.DUMMYFUNCTION("REGEXREPLACE(LOWER(F624),""[^a-z\s]"","""")"),"it took over one week to get my order delivered")</f>
        <v>it took over one week to get my order delivered</v>
      </c>
      <c r="H624" s="4" t="str">
        <f t="shared" si="1"/>
        <v>it took over one week get my order delivered</v>
      </c>
      <c r="I624" s="6">
        <f t="shared" si="2"/>
        <v>9</v>
      </c>
      <c r="J624" s="6">
        <f>IFERROR(__xludf.DUMMYFUNCTION("IF(H624="""","""",
SUM(
ARRAYFORMULA(
IF(
REGEXMATCH(
"" ""&amp;H624&amp;"" "",
"" ""&amp;Sentiment_Words!A$2:A3730&amp;"" ""
),
1,
0
)
)
)
)"),1.0)</f>
        <v>1</v>
      </c>
      <c r="K624" s="4">
        <f>IFERROR(__xludf.DUMMYFUNCTION("IF(H624="""","""",
SUM(
ARRAYFORMULA(
IF(
REGEXMATCH(
"" ""&amp;H624&amp;"" "",
"" ""&amp;Sentiment_Words!B$2:B3730&amp;"" ""
),
1,
0
)
)
)
)"),0.0)</f>
        <v>0</v>
      </c>
      <c r="L624" s="7" t="str">
        <f t="shared" si="3"/>
        <v>Other</v>
      </c>
      <c r="M624" s="7" t="str">
        <f t="shared" si="4"/>
        <v>Positive</v>
      </c>
      <c r="N624" s="7" t="str">
        <f>IFERROR(__xludf.DUMMYFUNCTION("LOWER(
TRIM(
REGEXREPLACE(B624,""[^a-zA-Z\s]"","""")
)
)
"),"peggy hitchings")</f>
        <v>peggy hitchings</v>
      </c>
      <c r="O624" s="7">
        <f t="shared" si="5"/>
        <v>1</v>
      </c>
      <c r="P624" s="8" t="str">
        <f t="shared" si="6"/>
        <v>No</v>
      </c>
    </row>
    <row r="625">
      <c r="A625" s="4" t="s">
        <v>16</v>
      </c>
      <c r="B625" s="4" t="s">
        <v>1799</v>
      </c>
      <c r="C625" s="5">
        <v>44974.0</v>
      </c>
      <c r="D625" s="10">
        <v>44986.0</v>
      </c>
      <c r="E625" s="4" t="s">
        <v>1800</v>
      </c>
      <c r="F625" s="4" t="s">
        <v>1801</v>
      </c>
      <c r="G625" s="6" t="str">
        <f>IFERROR(__xludf.DUMMYFUNCTION("REGEXREPLACE(LOWER(F625),""[^a-z\s]"","""")"),"i requested few times to add more selections of versele laga pigeon feeds and grits like gerrymandering champion black label ic start etc pls pls pls")</f>
        <v>i requested few times to add more selections of versele laga pigeon feeds and grits like gerrymandering champion black label ic start etc pls pls pls</v>
      </c>
      <c r="H625" s="4" t="str">
        <f t="shared" si="1"/>
        <v>i requested few times add more selections of versele laga pigeon feeds grits like gerrymandering champion black label ic start etc pls pls pls</v>
      </c>
      <c r="I625" s="6">
        <f t="shared" si="2"/>
        <v>24</v>
      </c>
      <c r="J625" s="6">
        <f>IFERROR(__xludf.DUMMYFUNCTION("IF(H625="""","""",
SUM(
ARRAYFORMULA(
IF(
REGEXMATCH(
"" ""&amp;H625&amp;"" "",
"" ""&amp;Sentiment_Words!A$2:A3730&amp;"" ""
),
1,
0
)
)
)
)"),0.0)</f>
        <v>0</v>
      </c>
      <c r="K625" s="4">
        <f>IFERROR(__xludf.DUMMYFUNCTION("IF(H625="""","""",
SUM(
ARRAYFORMULA(
IF(
REGEXMATCH(
"" ""&amp;H625&amp;"" "",
"" ""&amp;Sentiment_Words!B$2:B3730&amp;"" ""
),
1,
0
)
)
)
)"),0.0)</f>
        <v>0</v>
      </c>
      <c r="L625" s="7" t="str">
        <f t="shared" si="3"/>
        <v>Other</v>
      </c>
      <c r="M625" s="7" t="str">
        <f t="shared" si="4"/>
        <v>Neutral</v>
      </c>
      <c r="N625" s="7" t="str">
        <f>IFERROR(__xludf.DUMMYFUNCTION("LOWER(
TRIM(
REGEXREPLACE(B625,""[^a-zA-Z\s]"","""")
)
)
"),"joseph sobremonte")</f>
        <v>joseph sobremonte</v>
      </c>
      <c r="O625" s="7">
        <f t="shared" si="5"/>
        <v>1</v>
      </c>
      <c r="P625" s="8" t="str">
        <f t="shared" si="6"/>
        <v>No</v>
      </c>
    </row>
    <row r="626">
      <c r="A626" s="4" t="s">
        <v>16</v>
      </c>
      <c r="B626" s="4" t="s">
        <v>1802</v>
      </c>
      <c r="C626" s="5">
        <v>44974.0</v>
      </c>
      <c r="D626" s="10">
        <v>44986.0</v>
      </c>
      <c r="E626" s="4" t="s">
        <v>1440</v>
      </c>
      <c r="F626" s="4" t="s">
        <v>1803</v>
      </c>
      <c r="G626" s="6" t="str">
        <f>IFERROR(__xludf.DUMMYFUNCTION("REGEXREPLACE(LOWER(F626),""[^a-z\s]"","""")"),"very easy to order and products arrived quickly and in great shape thank you ")</f>
        <v>very easy to order and products arrived quickly and in great shape thank you </v>
      </c>
      <c r="H626" s="4" t="str">
        <f t="shared" si="1"/>
        <v>very easy order products arrived quickly in great shape thank you</v>
      </c>
      <c r="I626" s="6">
        <f t="shared" si="2"/>
        <v>11</v>
      </c>
      <c r="J626" s="6">
        <f>IFERROR(__xludf.DUMMYFUNCTION("IF(H626="""","""",
SUM(
ARRAYFORMULA(
IF(
REGEXMATCH(
"" ""&amp;H626&amp;"" "",
"" ""&amp;Sentiment_Words!A$2:A3730&amp;"" ""
),
1,
0
)
)
)
)"),2.0)</f>
        <v>2</v>
      </c>
      <c r="K626" s="4">
        <f>IFERROR(__xludf.DUMMYFUNCTION("IF(H626="""","""",
SUM(
ARRAYFORMULA(
IF(
REGEXMATCH(
"" ""&amp;H626&amp;"" "",
"" ""&amp;Sentiment_Words!B$2:B3730&amp;"" ""
),
1,
0
)
)
)
)"),0.0)</f>
        <v>0</v>
      </c>
      <c r="L626" s="7" t="str">
        <f t="shared" si="3"/>
        <v>Other</v>
      </c>
      <c r="M626" s="7" t="str">
        <f t="shared" si="4"/>
        <v>Positive</v>
      </c>
      <c r="N626" s="7" t="str">
        <f>IFERROR(__xludf.DUMMYFUNCTION("LOWER(
TRIM(
REGEXREPLACE(B626,""[^a-zA-Z\s]"","""")
)
)
"),"sandra halpin")</f>
        <v>sandra halpin</v>
      </c>
      <c r="O626" s="7">
        <f t="shared" si="5"/>
        <v>1</v>
      </c>
      <c r="P626" s="8" t="str">
        <f t="shared" si="6"/>
        <v>No</v>
      </c>
    </row>
    <row r="627">
      <c r="A627" s="4" t="s">
        <v>16</v>
      </c>
      <c r="B627" s="4" t="s">
        <v>56</v>
      </c>
      <c r="C627" s="5">
        <v>44971.0</v>
      </c>
      <c r="D627" s="10">
        <v>44986.0</v>
      </c>
      <c r="E627" s="4" t="s">
        <v>725</v>
      </c>
      <c r="F627" s="4" t="s">
        <v>1804</v>
      </c>
      <c r="G627" s="6" t="str">
        <f>IFERROR(__xludf.DUMMYFUNCTION("REGEXREPLACE(LOWER(F627),""[^a-z\s]"","""")"),"i experienced a problem with my order not their fault and customer service was so quick to help me fix it really appreciate the immediate response and care that was given my order then arrived safely and packed well")</f>
        <v>i experienced a problem with my order not their fault and customer service was so quick to help me fix it really appreciate the immediate response and care that was given my order then arrived safely and packed well</v>
      </c>
      <c r="H627" s="4" t="str">
        <f t="shared" si="1"/>
        <v>i experienced a problem with my order not their fault customer service was so quick help me fix it really appreciate immediate response care that was given my order then arrived safely packed well</v>
      </c>
      <c r="I627" s="6">
        <f t="shared" si="2"/>
        <v>34</v>
      </c>
      <c r="J627" s="6">
        <f>IFERROR(__xludf.DUMMYFUNCTION("IF(H627="""","""",
SUM(
ARRAYFORMULA(
IF(
REGEXMATCH(
"" ""&amp;H627&amp;"" "",
"" ""&amp;Sentiment_Words!A$2:A3730&amp;"" ""
),
1,
0
)
)
)
)"),0.0)</f>
        <v>0</v>
      </c>
      <c r="K627" s="4">
        <f>IFERROR(__xludf.DUMMYFUNCTION("IF(H627="""","""",
SUM(
ARRAYFORMULA(
IF(
REGEXMATCH(
"" ""&amp;H627&amp;"" "",
"" ""&amp;Sentiment_Words!B$2:B3730&amp;"" ""
),
1,
0
)
)
)
)"),2.0)</f>
        <v>2</v>
      </c>
      <c r="L627" s="7" t="str">
        <f t="shared" si="3"/>
        <v>Customer Support</v>
      </c>
      <c r="M627" s="7" t="str">
        <f t="shared" si="4"/>
        <v>Negative</v>
      </c>
      <c r="N627" s="7" t="str">
        <f>IFERROR(__xludf.DUMMYFUNCTION("LOWER(
TRIM(
REGEXREPLACE(B627,""[^a-zA-Z\s]"","""")
)
)
"),"customer")</f>
        <v>customer</v>
      </c>
      <c r="O627" s="7">
        <f t="shared" si="5"/>
        <v>54</v>
      </c>
      <c r="P627" s="8" t="str">
        <f t="shared" si="6"/>
        <v>Yes</v>
      </c>
    </row>
    <row r="628">
      <c r="A628" s="4" t="s">
        <v>16</v>
      </c>
      <c r="B628" s="4" t="s">
        <v>1805</v>
      </c>
      <c r="C628" s="5">
        <v>44973.0</v>
      </c>
      <c r="D628" s="10">
        <v>44985.0</v>
      </c>
      <c r="E628" s="4" t="s">
        <v>190</v>
      </c>
      <c r="F628" s="4" t="s">
        <v>1806</v>
      </c>
      <c r="G628" s="6" t="str">
        <f>IFERROR(__xludf.DUMMYFUNCTION("REGEXREPLACE(LOWER(F628),""[^a-z\s]"","""")"),"besides canned dog food i ordered  bags of rather fragile treats and they arrived a little crushed the company quickly shipped four new bags of the treats they arrived in very good condition i was impressed at how quickly and easily the customer service a"&amp;"gent handled this")</f>
        <v>besides canned dog food i ordered  bags of rather fragile treats and they arrived a little crushed the company quickly shipped four new bags of the treats they arrived in very good condition i was impressed at how quickly and easily the customer service agent handled this</v>
      </c>
      <c r="H628" s="4" t="str">
        <f t="shared" si="1"/>
        <v>besides canned dog food i ordered bags of rather fragile treats they arrived a little crushed company quickly shipped four new bags of treats they arrived in very good condition i was impressed at how quickly easily customer service agent handled this</v>
      </c>
      <c r="I628" s="6">
        <f t="shared" si="2"/>
        <v>42</v>
      </c>
      <c r="J628" s="6">
        <f>IFERROR(__xludf.DUMMYFUNCTION("IF(H628="""","""",
SUM(
ARRAYFORMULA(
IF(
REGEXMATCH(
"" ""&amp;H628&amp;"" "",
"" ""&amp;Sentiment_Words!A$2:A3730&amp;"" ""
),
1,
0
)
)
)
)"),2.0)</f>
        <v>2</v>
      </c>
      <c r="K628" s="4">
        <f>IFERROR(__xludf.DUMMYFUNCTION("IF(H628="""","""",
SUM(
ARRAYFORMULA(
IF(
REGEXMATCH(
"" ""&amp;H628&amp;"" "",
"" ""&amp;Sentiment_Words!B$2:B3730&amp;"" ""
),
1,
0
)
)
)
)"),1.0)</f>
        <v>1</v>
      </c>
      <c r="L628" s="7" t="str">
        <f t="shared" si="3"/>
        <v>Customer Support</v>
      </c>
      <c r="M628" s="7" t="str">
        <f t="shared" si="4"/>
        <v>Positive</v>
      </c>
      <c r="N628" s="7" t="str">
        <f>IFERROR(__xludf.DUMMYFUNCTION("LOWER(
TRIM(
REGEXREPLACE(B628,""[^a-zA-Z\s]"","""")
)
)
"),"katharyn s")</f>
        <v>katharyn s</v>
      </c>
      <c r="O628" s="7">
        <f t="shared" si="5"/>
        <v>1</v>
      </c>
      <c r="P628" s="8" t="str">
        <f t="shared" si="6"/>
        <v>No</v>
      </c>
    </row>
    <row r="629">
      <c r="A629" s="4" t="s">
        <v>16</v>
      </c>
      <c r="B629" s="4" t="s">
        <v>1807</v>
      </c>
      <c r="C629" s="5">
        <v>44973.0</v>
      </c>
      <c r="D629" s="10">
        <v>44985.0</v>
      </c>
      <c r="E629" s="4" t="s">
        <v>1808</v>
      </c>
      <c r="F629" s="4" t="s">
        <v>1809</v>
      </c>
      <c r="G629" s="6" t="str">
        <f>IFERROR(__xludf.DUMMYFUNCTION("REGEXREPLACE(LOWER(F629),""[^a-z\s]"","""")"),"still not delivered on the th
 days ago
terrible")</f>
        <v>still not delivered on the th
 days ago
terrible</v>
      </c>
      <c r="H629" s="4" t="str">
        <f t="shared" si="1"/>
        <v>still not delivered on th
 days ago
terrible</v>
      </c>
      <c r="I629" s="6">
        <f t="shared" si="2"/>
        <v>7</v>
      </c>
      <c r="J629" s="6">
        <f>IFERROR(__xludf.DUMMYFUNCTION("IF(H629="""","""",
SUM(
ARRAYFORMULA(
IF(
REGEXMATCH(
"" ""&amp;H629&amp;"" "",
"" ""&amp;Sentiment_Words!A$2:A3730&amp;"" ""
),
1,
0
)
)
)
)"),1.0)</f>
        <v>1</v>
      </c>
      <c r="K629" s="4">
        <f>IFERROR(__xludf.DUMMYFUNCTION("IF(H629="""","""",
SUM(
ARRAYFORMULA(
IF(
REGEXMATCH(
"" ""&amp;H629&amp;"" "",
"" ""&amp;Sentiment_Words!B$2:B3730&amp;"" ""
),
1,
0
)
)
)
)"),0.0)</f>
        <v>0</v>
      </c>
      <c r="L629" s="7" t="str">
        <f t="shared" si="3"/>
        <v>Other</v>
      </c>
      <c r="M629" s="7" t="str">
        <f t="shared" si="4"/>
        <v>Positive</v>
      </c>
      <c r="N629" s="7" t="str">
        <f>IFERROR(__xludf.DUMMYFUNCTION("LOWER(
TRIM(
REGEXREPLACE(B629,""[^a-zA-Z\s]"","""")
)
)
"),"richard weiss")</f>
        <v>richard weiss</v>
      </c>
      <c r="O629" s="7">
        <f t="shared" si="5"/>
        <v>1</v>
      </c>
      <c r="P629" s="8" t="str">
        <f t="shared" si="6"/>
        <v>No</v>
      </c>
    </row>
    <row r="630">
      <c r="A630" s="4" t="s">
        <v>16</v>
      </c>
      <c r="B630" s="4" t="s">
        <v>1810</v>
      </c>
      <c r="C630" s="5">
        <v>44973.0</v>
      </c>
      <c r="D630" s="10">
        <v>44985.0</v>
      </c>
      <c r="E630" s="4" t="s">
        <v>1811</v>
      </c>
      <c r="F630" s="4" t="s">
        <v>1812</v>
      </c>
      <c r="G630" s="6" t="str">
        <f>IFERROR(__xludf.DUMMYFUNCTION("REGEXREPLACE(LOWER(F630),""[^a-z\s]"","""")"),"i did not place this order i have already notified you about this what is going on with these correspondences")</f>
        <v>i did not place this order i have already notified you about this what is going on with these correspondences</v>
      </c>
      <c r="H630" s="4" t="str">
        <f t="shared" si="1"/>
        <v>i did not place this order i have already notified you about this what going on with these correspondences</v>
      </c>
      <c r="I630" s="6">
        <f t="shared" si="2"/>
        <v>19</v>
      </c>
      <c r="J630" s="6">
        <f>IFERROR(__xludf.DUMMYFUNCTION("IF(H630="""","""",
SUM(
ARRAYFORMULA(
IF(
REGEXMATCH(
"" ""&amp;H630&amp;"" "",
"" ""&amp;Sentiment_Words!A$2:A3730&amp;"" ""
),
1,
0
)
)
)
)"),0.0)</f>
        <v>0</v>
      </c>
      <c r="K630" s="4">
        <f>IFERROR(__xludf.DUMMYFUNCTION("IF(H630="""","""",
SUM(
ARRAYFORMULA(
IF(
REGEXMATCH(
"" ""&amp;H630&amp;"" "",
"" ""&amp;Sentiment_Words!B$2:B3730&amp;"" ""
),
1,
0
)
)
)
)"),0.0)</f>
        <v>0</v>
      </c>
      <c r="L630" s="7" t="str">
        <f t="shared" si="3"/>
        <v>Other</v>
      </c>
      <c r="M630" s="7" t="str">
        <f t="shared" si="4"/>
        <v>Neutral</v>
      </c>
      <c r="N630" s="7" t="str">
        <f>IFERROR(__xludf.DUMMYFUNCTION("LOWER(
TRIM(
REGEXREPLACE(B630,""[^a-zA-Z\s]"","""")
)
)
"),"jaqueline cormier")</f>
        <v>jaqueline cormier</v>
      </c>
      <c r="O630" s="7">
        <f t="shared" si="5"/>
        <v>1</v>
      </c>
      <c r="P630" s="8" t="str">
        <f t="shared" si="6"/>
        <v>No</v>
      </c>
    </row>
    <row r="631">
      <c r="A631" s="4" t="s">
        <v>16</v>
      </c>
      <c r="B631" s="4" t="s">
        <v>1813</v>
      </c>
      <c r="C631" s="5">
        <v>44972.0</v>
      </c>
      <c r="D631" s="10">
        <v>44985.0</v>
      </c>
      <c r="E631" s="4" t="s">
        <v>1814</v>
      </c>
      <c r="F631" s="4" t="s">
        <v>1815</v>
      </c>
      <c r="G631" s="6" t="str">
        <f>IFERROR(__xludf.DUMMYFUNCTION("REGEXREPLACE(LOWER(F631),""[^a-z\s]"","""")"),"quick shipping unfortunately  cans of the dog food were badly dented")</f>
        <v>quick shipping unfortunately  cans of the dog food were badly dented</v>
      </c>
      <c r="H631" s="4" t="str">
        <f t="shared" si="1"/>
        <v>quick shipping unfortunately cans of dog food were badly dented</v>
      </c>
      <c r="I631" s="6">
        <f t="shared" si="2"/>
        <v>10</v>
      </c>
      <c r="J631" s="6">
        <f>IFERROR(__xludf.DUMMYFUNCTION("IF(H631="""","""",
SUM(
ARRAYFORMULA(
IF(
REGEXMATCH(
"" ""&amp;H631&amp;"" "",
"" ""&amp;Sentiment_Words!A$2:A3730&amp;"" ""
),
1,
0
)
)
)
)"),0.0)</f>
        <v>0</v>
      </c>
      <c r="K631" s="4">
        <f>IFERROR(__xludf.DUMMYFUNCTION("IF(H631="""","""",
SUM(
ARRAYFORMULA(
IF(
REGEXMATCH(
"" ""&amp;H631&amp;"" "",
"" ""&amp;Sentiment_Words!B$2:B3730&amp;"" ""
),
1,
0
)
)
)
)"),1.0)</f>
        <v>1</v>
      </c>
      <c r="L631" s="7" t="str">
        <f t="shared" si="3"/>
        <v>Other</v>
      </c>
      <c r="M631" s="7" t="str">
        <f t="shared" si="4"/>
        <v>Negative</v>
      </c>
      <c r="N631" s="7" t="str">
        <f>IFERROR(__xludf.DUMMYFUNCTION("LOWER(
TRIM(
REGEXREPLACE(B631,""[^a-zA-Z\s]"","""")
)
)
"),"james")</f>
        <v>james</v>
      </c>
      <c r="O631" s="7">
        <f t="shared" si="5"/>
        <v>5</v>
      </c>
      <c r="P631" s="8" t="str">
        <f t="shared" si="6"/>
        <v>Yes</v>
      </c>
    </row>
    <row r="632">
      <c r="A632" s="4" t="s">
        <v>16</v>
      </c>
      <c r="B632" s="4" t="s">
        <v>1816</v>
      </c>
      <c r="C632" s="5">
        <v>44973.0</v>
      </c>
      <c r="D632" s="10">
        <v>44985.0</v>
      </c>
      <c r="E632" s="4" t="s">
        <v>1817</v>
      </c>
      <c r="F632" s="4" t="s">
        <v>1818</v>
      </c>
      <c r="G632" s="6" t="str">
        <f>IFERROR(__xludf.DUMMYFUNCTION("REGEXREPLACE(LOWER(F632),""[^a-z\s]"","""")"),"the shipping is so inconsistent took almost  days to receive my dog food this happens about every  months hard to foresee when i need to order leaving my pets without food so im forced to buy dog food elsewhere")</f>
        <v>the shipping is so inconsistent took almost  days to receive my dog food this happens about every  months hard to foresee when i need to order leaving my pets without food so im forced to buy dog food elsewhere</v>
      </c>
      <c r="H632" s="4" t="str">
        <f t="shared" si="1"/>
        <v>shipping so inconsistent took almost days receive my dog food this happens about every months hard foresee when i need order leaving my pets without food so im forced buy dog food elsewhere</v>
      </c>
      <c r="I632" s="6">
        <f t="shared" si="2"/>
        <v>33</v>
      </c>
      <c r="J632" s="6">
        <f>IFERROR(__xludf.DUMMYFUNCTION("IF(H632="""","""",
SUM(
ARRAYFORMULA(
IF(
REGEXMATCH(
"" ""&amp;H632&amp;"" "",
"" ""&amp;Sentiment_Words!A$2:A3730&amp;"" ""
),
1,
0
)
)
)
)"),0.0)</f>
        <v>0</v>
      </c>
      <c r="K632" s="4">
        <f>IFERROR(__xludf.DUMMYFUNCTION("IF(H632="""","""",
SUM(
ARRAYFORMULA(
IF(
REGEXMATCH(
"" ""&amp;H632&amp;"" "",
"" ""&amp;Sentiment_Words!B$2:B3730&amp;"" ""
),
1,
0
)
)
)
)"),0.0)</f>
        <v>0</v>
      </c>
      <c r="L632" s="7" t="str">
        <f t="shared" si="3"/>
        <v>Other</v>
      </c>
      <c r="M632" s="7" t="str">
        <f t="shared" si="4"/>
        <v>Neutral</v>
      </c>
      <c r="N632" s="7" t="str">
        <f>IFERROR(__xludf.DUMMYFUNCTION("LOWER(
TRIM(
REGEXREPLACE(B632,""[^a-zA-Z\s]"","""")
)
)
"),"catherine warner")</f>
        <v>catherine warner</v>
      </c>
      <c r="O632" s="7">
        <f t="shared" si="5"/>
        <v>1</v>
      </c>
      <c r="P632" s="8" t="str">
        <f t="shared" si="6"/>
        <v>No</v>
      </c>
    </row>
    <row r="633">
      <c r="A633" s="4" t="s">
        <v>16</v>
      </c>
      <c r="B633" s="4" t="s">
        <v>1819</v>
      </c>
      <c r="C633" s="5">
        <v>44973.0</v>
      </c>
      <c r="D633" s="10">
        <v>44985.0</v>
      </c>
      <c r="E633" s="4" t="s">
        <v>1820</v>
      </c>
      <c r="F633" s="4" t="s">
        <v>1821</v>
      </c>
      <c r="G633" s="6" t="str">
        <f>IFERROR(__xludf.DUMMYFUNCTION("REGEXREPLACE(LOWER(F633),""[^a-z\s]"","""")"),"canceled my  needed vet cat food order because email doesnt match when i literally called them asking them what was going on here wouldnt send out my cat food horrible service will look do business elsewhere unless they have some killer deals")</f>
        <v>canceled my  needed vet cat food order because email doesnt match when i literally called them asking them what was going on here wouldnt send out my cat food horrible service will look do business elsewhere unless they have some killer deals</v>
      </c>
      <c r="H633" s="4" t="str">
        <f t="shared" si="1"/>
        <v>canceled my needed vet cat food order because email doesnt match when i literally called them asking them what was going on here wouldnt send out my cat food horrible service will look do business elsewhere unless they have some killer deals</v>
      </c>
      <c r="I633" s="6">
        <f t="shared" si="2"/>
        <v>42</v>
      </c>
      <c r="J633" s="6">
        <f>IFERROR(__xludf.DUMMYFUNCTION("IF(H633="""","""",
SUM(
ARRAYFORMULA(
IF(
REGEXMATCH(
"" ""&amp;H633&amp;"" "",
"" ""&amp;Sentiment_Words!A$2:A3730&amp;"" ""
),
1,
0
)
)
)
)"),0.0)</f>
        <v>0</v>
      </c>
      <c r="K633" s="4">
        <f>IFERROR(__xludf.DUMMYFUNCTION("IF(H633="""","""",
SUM(
ARRAYFORMULA(
IF(
REGEXMATCH(
"" ""&amp;H633&amp;"" "",
"" ""&amp;Sentiment_Words!B$2:B3730&amp;"" ""
),
1,
0
)
)
)
)"),0.0)</f>
        <v>0</v>
      </c>
      <c r="L633" s="7" t="str">
        <f t="shared" si="3"/>
        <v>Customer Support</v>
      </c>
      <c r="M633" s="7" t="str">
        <f t="shared" si="4"/>
        <v>Neutral</v>
      </c>
      <c r="N633" s="7" t="str">
        <f>IFERROR(__xludf.DUMMYFUNCTION("LOWER(
TRIM(
REGEXREPLACE(B633,""[^a-zA-Z\s]"","""")
)
)
"),"shasta sowards")</f>
        <v>shasta sowards</v>
      </c>
      <c r="O633" s="7">
        <f t="shared" si="5"/>
        <v>1</v>
      </c>
      <c r="P633" s="8" t="str">
        <f t="shared" si="6"/>
        <v>No</v>
      </c>
    </row>
    <row r="634">
      <c r="A634" s="4" t="s">
        <v>16</v>
      </c>
      <c r="B634" s="4" t="s">
        <v>1822</v>
      </c>
      <c r="C634" s="5">
        <v>44971.0</v>
      </c>
      <c r="D634" s="10">
        <v>44985.0</v>
      </c>
      <c r="E634" s="4" t="s">
        <v>1823</v>
      </c>
      <c r="F634" s="4" t="s">
        <v>1824</v>
      </c>
      <c r="G634" s="6" t="str">
        <f>IFERROR(__xludf.DUMMYFUNCTION("REGEXREPLACE(LOWER(F634),""[^a-z\s]"","""")"),"this was our first time buying on here i found what i needed at a great price it was easy to order and arrived quickly thank you")</f>
        <v>this was our first time buying on here i found what i needed at a great price it was easy to order and arrived quickly thank you</v>
      </c>
      <c r="H634" s="4" t="str">
        <f t="shared" si="1"/>
        <v>this was our first time buying on here i found what i needed at a great price it was easy order arrived quickly thank you</v>
      </c>
      <c r="I634" s="6">
        <f t="shared" si="2"/>
        <v>25</v>
      </c>
      <c r="J634" s="6">
        <f>IFERROR(__xludf.DUMMYFUNCTION("IF(H634="""","""",
SUM(
ARRAYFORMULA(
IF(
REGEXMATCH(
"" ""&amp;H634&amp;"" "",
"" ""&amp;Sentiment_Words!A$2:A3730&amp;"" ""
),
1,
0
)
)
)
)"),3.0)</f>
        <v>3</v>
      </c>
      <c r="K634" s="4">
        <f>IFERROR(__xludf.DUMMYFUNCTION("IF(H634="""","""",
SUM(
ARRAYFORMULA(
IF(
REGEXMATCH(
"" ""&amp;H634&amp;"" "",
"" ""&amp;Sentiment_Words!B$2:B3730&amp;"" ""
),
1,
0
)
)
)
)"),0.0)</f>
        <v>0</v>
      </c>
      <c r="L634" s="7" t="str">
        <f t="shared" si="3"/>
        <v>Other</v>
      </c>
      <c r="M634" s="7" t="str">
        <f t="shared" si="4"/>
        <v>Positive</v>
      </c>
      <c r="N634" s="7" t="str">
        <f>IFERROR(__xludf.DUMMYFUNCTION("LOWER(
TRIM(
REGEXREPLACE(B634,""[^a-zA-Z\s]"","""")
)
)
"),"jonathan")</f>
        <v>jonathan</v>
      </c>
      <c r="O634" s="7">
        <f t="shared" si="5"/>
        <v>1</v>
      </c>
      <c r="P634" s="8" t="str">
        <f t="shared" si="6"/>
        <v>No</v>
      </c>
    </row>
    <row r="635">
      <c r="A635" s="4" t="s">
        <v>16</v>
      </c>
      <c r="B635" s="4" t="s">
        <v>1825</v>
      </c>
      <c r="C635" s="5">
        <v>44984.0</v>
      </c>
      <c r="D635" s="10">
        <v>44985.0</v>
      </c>
      <c r="E635" s="4" t="s">
        <v>1826</v>
      </c>
      <c r="F635" s="4" t="s">
        <v>1827</v>
      </c>
      <c r="G635" s="6" t="str">
        <f>IFERROR(__xludf.DUMMYFUNCTION("REGEXREPLACE(LOWER(F635),""[^a-z\s]"","""")"),"you had the product that i needed at a fair price plus your shipping was on time")</f>
        <v>you had the product that i needed at a fair price plus your shipping was on time</v>
      </c>
      <c r="H635" s="4" t="str">
        <f t="shared" si="1"/>
        <v>you had product that i needed at a fair price plus your shipping was on time</v>
      </c>
      <c r="I635" s="6">
        <f t="shared" si="2"/>
        <v>16</v>
      </c>
      <c r="J635" s="6">
        <f>IFERROR(__xludf.DUMMYFUNCTION("IF(H635="""","""",
SUM(
ARRAYFORMULA(
IF(
REGEXMATCH(
"" ""&amp;H635&amp;"" "",
"" ""&amp;Sentiment_Words!A$2:A3730&amp;"" ""
),
1,
0
)
)
)
)"),1.0)</f>
        <v>1</v>
      </c>
      <c r="K635" s="4">
        <f>IFERROR(__xludf.DUMMYFUNCTION("IF(H635="""","""",
SUM(
ARRAYFORMULA(
IF(
REGEXMATCH(
"" ""&amp;H635&amp;"" "",
"" ""&amp;Sentiment_Words!B$2:B3730&amp;"" ""
),
1,
0
)
)
)
)"),0.0)</f>
        <v>0</v>
      </c>
      <c r="L635" s="7" t="str">
        <f t="shared" si="3"/>
        <v>Other</v>
      </c>
      <c r="M635" s="7" t="str">
        <f t="shared" si="4"/>
        <v>Positive</v>
      </c>
      <c r="N635" s="7" t="str">
        <f>IFERROR(__xludf.DUMMYFUNCTION("LOWER(
TRIM(
REGEXREPLACE(B635,""[^a-zA-Z\s]"","""")
)
)
"),"festive")</f>
        <v>festive</v>
      </c>
      <c r="O635" s="7">
        <f t="shared" si="5"/>
        <v>1</v>
      </c>
      <c r="P635" s="8" t="str">
        <f t="shared" si="6"/>
        <v>No</v>
      </c>
    </row>
    <row r="636">
      <c r="A636" s="4" t="s">
        <v>16</v>
      </c>
      <c r="B636" s="4" t="s">
        <v>1828</v>
      </c>
      <c r="C636" s="5">
        <v>44972.0</v>
      </c>
      <c r="D636" s="10">
        <v>44985.0</v>
      </c>
      <c r="E636" s="4" t="s">
        <v>1829</v>
      </c>
      <c r="F636" s="4" t="s">
        <v>1830</v>
      </c>
      <c r="G636" s="6" t="str">
        <f>IFERROR(__xludf.DUMMYFUNCTION("REGEXREPLACE(LOWER(F636),""[^a-z\s]"","""")"),"fast shipping great product and even better price for what i purchased
i have made my second order and will continue to do so with petflow")</f>
        <v>fast shipping great product and even better price for what i purchased
i have made my second order and will continue to do so with petflow</v>
      </c>
      <c r="H636" s="4" t="str">
        <f t="shared" si="1"/>
        <v>fast shipping great product even better price what i purchased
i have made my second order will continue do so with petflow</v>
      </c>
      <c r="I636" s="6">
        <f t="shared" si="2"/>
        <v>21</v>
      </c>
      <c r="J636" s="6">
        <f>IFERROR(__xludf.DUMMYFUNCTION("IF(H636="""","""",
SUM(
ARRAYFORMULA(
IF(
REGEXMATCH(
"" ""&amp;H636&amp;"" "",
"" ""&amp;Sentiment_Words!A$2:A3730&amp;"" ""
),
1,
0
)
)
)
)"),2.0)</f>
        <v>2</v>
      </c>
      <c r="K636" s="4">
        <f>IFERROR(__xludf.DUMMYFUNCTION("IF(H636="""","""",
SUM(
ARRAYFORMULA(
IF(
REGEXMATCH(
"" ""&amp;H636&amp;"" "",
"" ""&amp;Sentiment_Words!B$2:B3730&amp;"" ""
),
1,
0
)
)
)
)"),0.0)</f>
        <v>0</v>
      </c>
      <c r="L636" s="7" t="str">
        <f t="shared" si="3"/>
        <v>Other</v>
      </c>
      <c r="M636" s="7" t="str">
        <f t="shared" si="4"/>
        <v>Positive</v>
      </c>
      <c r="N636" s="7" t="str">
        <f>IFERROR(__xludf.DUMMYFUNCTION("LOWER(
TRIM(
REGEXREPLACE(B636,""[^a-zA-Z\s]"","""")
)
)
"),"patty")</f>
        <v>patty</v>
      </c>
      <c r="O636" s="7">
        <f t="shared" si="5"/>
        <v>2</v>
      </c>
      <c r="P636" s="8" t="str">
        <f t="shared" si="6"/>
        <v>Yes</v>
      </c>
    </row>
    <row r="637">
      <c r="A637" s="4" t="s">
        <v>16</v>
      </c>
      <c r="B637" s="4" t="s">
        <v>1831</v>
      </c>
      <c r="C637" s="5">
        <v>44972.0</v>
      </c>
      <c r="D637" s="10">
        <v>44985.0</v>
      </c>
      <c r="E637" s="4" t="s">
        <v>1832</v>
      </c>
      <c r="F637" s="4" t="s">
        <v>1833</v>
      </c>
      <c r="G637" s="6" t="str">
        <f>IFERROR(__xludf.DUMMYFUNCTION("REGEXREPLACE(LOWER(F637),""[^a-z\s]"","""")"),"good selection of high quality products shipped promptly authentic product from approved distributor packaged securely for shipping")</f>
        <v>good selection of high quality products shipped promptly authentic product from approved distributor packaged securely for shipping</v>
      </c>
      <c r="H637" s="4" t="str">
        <f t="shared" si="1"/>
        <v>good selection of high quality products shipped promptly authentic product from approved distributor packaged securely shipping</v>
      </c>
      <c r="I637" s="6">
        <f t="shared" si="2"/>
        <v>16</v>
      </c>
      <c r="J637" s="6">
        <f>IFERROR(__xludf.DUMMYFUNCTION("IF(H637="""","""",
SUM(
ARRAYFORMULA(
IF(
REGEXMATCH(
"" ""&amp;H637&amp;"" "",
"" ""&amp;Sentiment_Words!A$2:A3730&amp;"" ""
),
1,
0
)
)
)
)"),1.0)</f>
        <v>1</v>
      </c>
      <c r="K637" s="4">
        <f>IFERROR(__xludf.DUMMYFUNCTION("IF(H637="""","""",
SUM(
ARRAYFORMULA(
IF(
REGEXMATCH(
"" ""&amp;H637&amp;"" "",
"" ""&amp;Sentiment_Words!B$2:B3730&amp;"" ""
),
1,
0
)
)
)
)"),0.0)</f>
        <v>0</v>
      </c>
      <c r="L637" s="7" t="str">
        <f t="shared" si="3"/>
        <v>Other</v>
      </c>
      <c r="M637" s="7" t="str">
        <f t="shared" si="4"/>
        <v>Positive</v>
      </c>
      <c r="N637" s="7" t="str">
        <f>IFERROR(__xludf.DUMMYFUNCTION("LOWER(
TRIM(
REGEXREPLACE(B637,""[^a-zA-Z\s]"","""")
)
)
"),"christian lewis")</f>
        <v>christian lewis</v>
      </c>
      <c r="O637" s="7">
        <f t="shared" si="5"/>
        <v>1</v>
      </c>
      <c r="P637" s="8" t="str">
        <f t="shared" si="6"/>
        <v>No</v>
      </c>
    </row>
    <row r="638">
      <c r="A638" s="4" t="s">
        <v>16</v>
      </c>
      <c r="B638" s="4" t="s">
        <v>1834</v>
      </c>
      <c r="C638" s="5">
        <v>44972.0</v>
      </c>
      <c r="D638" s="10">
        <v>44984.0</v>
      </c>
      <c r="E638" s="4" t="s">
        <v>54</v>
      </c>
      <c r="F638" s="4" t="s">
        <v>1835</v>
      </c>
      <c r="G638" s="6" t="str">
        <f>IFERROR(__xludf.DUMMYFUNCTION("REGEXREPLACE(LOWER(F638),""[^a-z\s]"","""")"),"great customer service
very prompt to fix slight problem")</f>
        <v>great customer service
very prompt to fix slight problem</v>
      </c>
      <c r="H638" s="4" t="str">
        <f t="shared" si="1"/>
        <v>great customer service
very prompt fix slight problem</v>
      </c>
      <c r="I638" s="6">
        <f t="shared" si="2"/>
        <v>7</v>
      </c>
      <c r="J638" s="6">
        <f>IFERROR(__xludf.DUMMYFUNCTION("IF(H638="""","""",
SUM(
ARRAYFORMULA(
IF(
REGEXMATCH(
"" ""&amp;H638&amp;"" "",
"" ""&amp;Sentiment_Words!A$2:A3730&amp;"" ""
),
1,
0
)
)
)
)"),2.0)</f>
        <v>2</v>
      </c>
      <c r="K638" s="4">
        <f>IFERROR(__xludf.DUMMYFUNCTION("IF(H638="""","""",
SUM(
ARRAYFORMULA(
IF(
REGEXMATCH(
"" ""&amp;H638&amp;"" "",
"" ""&amp;Sentiment_Words!B$2:B3730&amp;"" ""
),
1,
0
)
)
)
)"),1.0)</f>
        <v>1</v>
      </c>
      <c r="L638" s="7" t="str">
        <f t="shared" si="3"/>
        <v>Customer Support</v>
      </c>
      <c r="M638" s="7" t="str">
        <f t="shared" si="4"/>
        <v>Positive</v>
      </c>
      <c r="N638" s="7" t="str">
        <f>IFERROR(__xludf.DUMMYFUNCTION("LOWER(
TRIM(
REGEXREPLACE(B638,""[^a-zA-Z\s]"","""")
)
)
"),"susan wisz")</f>
        <v>susan wisz</v>
      </c>
      <c r="O638" s="7">
        <f t="shared" si="5"/>
        <v>1</v>
      </c>
      <c r="P638" s="8" t="str">
        <f t="shared" si="6"/>
        <v>No</v>
      </c>
    </row>
    <row r="639">
      <c r="A639" s="4" t="s">
        <v>16</v>
      </c>
      <c r="B639" s="4" t="s">
        <v>1836</v>
      </c>
      <c r="C639" s="5">
        <v>44972.0</v>
      </c>
      <c r="D639" s="10">
        <v>44984.0</v>
      </c>
      <c r="E639" s="4" t="s">
        <v>423</v>
      </c>
      <c r="F639" s="4" t="s">
        <v>331</v>
      </c>
      <c r="G639" s="6" t="str">
        <f>IFERROR(__xludf.DUMMYFUNCTION("REGEXREPLACE(LOWER(F639),""[^a-z\s]"","""")"),"none")</f>
        <v>none</v>
      </c>
      <c r="H639" s="4" t="str">
        <f t="shared" si="1"/>
        <v>none</v>
      </c>
      <c r="I639" s="6">
        <f t="shared" si="2"/>
        <v>1</v>
      </c>
      <c r="J639" s="6">
        <f>IFERROR(__xludf.DUMMYFUNCTION("IF(H639="""","""",
SUM(
ARRAYFORMULA(
IF(
REGEXMATCH(
"" ""&amp;H639&amp;"" "",
"" ""&amp;Sentiment_Words!A$2:A3730&amp;"" ""
),
1,
0
)
)
)
)"),0.0)</f>
        <v>0</v>
      </c>
      <c r="K639" s="4">
        <f>IFERROR(__xludf.DUMMYFUNCTION("IF(H639="""","""",
SUM(
ARRAYFORMULA(
IF(
REGEXMATCH(
"" ""&amp;H639&amp;"" "",
"" ""&amp;Sentiment_Words!B$2:B3730&amp;"" ""
),
1,
0
)
)
)
)"),0.0)</f>
        <v>0</v>
      </c>
      <c r="L639" s="7" t="str">
        <f t="shared" si="3"/>
        <v>Other</v>
      </c>
      <c r="M639" s="7" t="str">
        <f t="shared" si="4"/>
        <v>Neutral</v>
      </c>
      <c r="N639" s="7" t="str">
        <f>IFERROR(__xludf.DUMMYFUNCTION("LOWER(
TRIM(
REGEXREPLACE(B639,""[^a-zA-Z\s]"","""")
)
)
"),"amy k")</f>
        <v>amy k</v>
      </c>
      <c r="O639" s="7">
        <f t="shared" si="5"/>
        <v>1</v>
      </c>
      <c r="P639" s="8" t="str">
        <f t="shared" si="6"/>
        <v>No</v>
      </c>
    </row>
    <row r="640">
      <c r="A640" s="4" t="s">
        <v>16</v>
      </c>
      <c r="B640" s="4" t="s">
        <v>1837</v>
      </c>
      <c r="C640" s="5">
        <v>44972.0</v>
      </c>
      <c r="D640" s="10">
        <v>44984.0</v>
      </c>
      <c r="E640" s="4" t="s">
        <v>1838</v>
      </c>
      <c r="F640" s="4" t="s">
        <v>331</v>
      </c>
      <c r="G640" s="6" t="str">
        <f>IFERROR(__xludf.DUMMYFUNCTION("REGEXREPLACE(LOWER(F640),""[^a-z\s]"","""")"),"none")</f>
        <v>none</v>
      </c>
      <c r="H640" s="4" t="str">
        <f t="shared" si="1"/>
        <v>none</v>
      </c>
      <c r="I640" s="6">
        <f t="shared" si="2"/>
        <v>1</v>
      </c>
      <c r="J640" s="6">
        <f>IFERROR(__xludf.DUMMYFUNCTION("IF(H640="""","""",
SUM(
ARRAYFORMULA(
IF(
REGEXMATCH(
"" ""&amp;H640&amp;"" "",
"" ""&amp;Sentiment_Words!A$2:A3730&amp;"" ""
),
1,
0
)
)
)
)"),0.0)</f>
        <v>0</v>
      </c>
      <c r="K640" s="4">
        <f>IFERROR(__xludf.DUMMYFUNCTION("IF(H640="""","""",
SUM(
ARRAYFORMULA(
IF(
REGEXMATCH(
"" ""&amp;H640&amp;"" "",
"" ""&amp;Sentiment_Words!B$2:B3730&amp;"" ""
),
1,
0
)
)
)
)"),0.0)</f>
        <v>0</v>
      </c>
      <c r="L640" s="7" t="str">
        <f t="shared" si="3"/>
        <v>Other</v>
      </c>
      <c r="M640" s="7" t="str">
        <f t="shared" si="4"/>
        <v>Neutral</v>
      </c>
      <c r="N640" s="7" t="str">
        <f>IFERROR(__xludf.DUMMYFUNCTION("LOWER(
TRIM(
REGEXREPLACE(B640,""[^a-zA-Z\s]"","""")
)
)
"),"anon")</f>
        <v>anon</v>
      </c>
      <c r="O640" s="7">
        <f t="shared" si="5"/>
        <v>2</v>
      </c>
      <c r="P640" s="8" t="str">
        <f t="shared" si="6"/>
        <v>Yes</v>
      </c>
    </row>
    <row r="641">
      <c r="A641" s="4" t="s">
        <v>16</v>
      </c>
      <c r="B641" s="4" t="s">
        <v>1839</v>
      </c>
      <c r="C641" s="5">
        <v>44972.0</v>
      </c>
      <c r="D641" s="10">
        <v>44984.0</v>
      </c>
      <c r="E641" s="4" t="s">
        <v>190</v>
      </c>
      <c r="F641" s="4" t="s">
        <v>331</v>
      </c>
      <c r="G641" s="6" t="str">
        <f>IFERROR(__xludf.DUMMYFUNCTION("REGEXREPLACE(LOWER(F641),""[^a-z\s]"","""")"),"none")</f>
        <v>none</v>
      </c>
      <c r="H641" s="4" t="str">
        <f t="shared" si="1"/>
        <v>none</v>
      </c>
      <c r="I641" s="6">
        <f t="shared" si="2"/>
        <v>1</v>
      </c>
      <c r="J641" s="6">
        <f>IFERROR(__xludf.DUMMYFUNCTION("IF(H641="""","""",
SUM(
ARRAYFORMULA(
IF(
REGEXMATCH(
"" ""&amp;H641&amp;"" "",
"" ""&amp;Sentiment_Words!A$2:A3730&amp;"" ""
),
1,
0
)
)
)
)"),0.0)</f>
        <v>0</v>
      </c>
      <c r="K641" s="4">
        <f>IFERROR(__xludf.DUMMYFUNCTION("IF(H641="""","""",
SUM(
ARRAYFORMULA(
IF(
REGEXMATCH(
"" ""&amp;H641&amp;"" "",
"" ""&amp;Sentiment_Words!B$2:B3730&amp;"" ""
),
1,
0
)
)
)
)"),0.0)</f>
        <v>0</v>
      </c>
      <c r="L641" s="7" t="str">
        <f t="shared" si="3"/>
        <v>Other</v>
      </c>
      <c r="M641" s="7" t="str">
        <f t="shared" si="4"/>
        <v>Neutral</v>
      </c>
      <c r="N641" s="7" t="str">
        <f>IFERROR(__xludf.DUMMYFUNCTION("LOWER(
TRIM(
REGEXREPLACE(B641,""[^a-zA-Z\s]"","""")
)
)
"),"c santana")</f>
        <v>c santana</v>
      </c>
      <c r="O641" s="7">
        <f t="shared" si="5"/>
        <v>1</v>
      </c>
      <c r="P641" s="8" t="str">
        <f t="shared" si="6"/>
        <v>No</v>
      </c>
    </row>
    <row r="642">
      <c r="A642" s="4" t="s">
        <v>16</v>
      </c>
      <c r="B642" s="4" t="s">
        <v>1840</v>
      </c>
      <c r="C642" s="5">
        <v>44972.0</v>
      </c>
      <c r="D642" s="10">
        <v>44984.0</v>
      </c>
      <c r="E642" s="4" t="s">
        <v>1841</v>
      </c>
      <c r="F642" s="4" t="s">
        <v>1842</v>
      </c>
      <c r="G642" s="6" t="str">
        <f>IFERROR(__xludf.DUMMYFUNCTION("REGEXREPLACE(LOWER(F642),""[^a-z\s]"","""")"),"great as usual easy quick and reliable
thanks")</f>
        <v>great as usual easy quick and reliable
thanks</v>
      </c>
      <c r="H642" s="4" t="str">
        <f t="shared" si="1"/>
        <v>great as usual easy quick reliable
thanks</v>
      </c>
      <c r="I642" s="6">
        <f t="shared" si="2"/>
        <v>6</v>
      </c>
      <c r="J642" s="6">
        <f>IFERROR(__xludf.DUMMYFUNCTION("IF(H642="""","""",
SUM(
ARRAYFORMULA(
IF(
REGEXMATCH(
"" ""&amp;H642&amp;"" "",
"" ""&amp;Sentiment_Words!A$2:A3730&amp;"" ""
),
1,
0
)
)
)
)"),2.0)</f>
        <v>2</v>
      </c>
      <c r="K642" s="4">
        <f>IFERROR(__xludf.DUMMYFUNCTION("IF(H642="""","""",
SUM(
ARRAYFORMULA(
IF(
REGEXMATCH(
"" ""&amp;H642&amp;"" "",
"" ""&amp;Sentiment_Words!B$2:B3730&amp;"" ""
),
1,
0
)
)
)
)"),0.0)</f>
        <v>0</v>
      </c>
      <c r="L642" s="7" t="str">
        <f t="shared" si="3"/>
        <v>Other</v>
      </c>
      <c r="M642" s="7" t="str">
        <f t="shared" si="4"/>
        <v>Positive</v>
      </c>
      <c r="N642" s="7" t="str">
        <f>IFERROR(__xludf.DUMMYFUNCTION("LOWER(
TRIM(
REGEXREPLACE(B642,""[^a-zA-Z\s]"","""")
)
)
"),"susan manning")</f>
        <v>susan manning</v>
      </c>
      <c r="O642" s="7">
        <f t="shared" si="5"/>
        <v>1</v>
      </c>
      <c r="P642" s="8" t="str">
        <f t="shared" si="6"/>
        <v>No</v>
      </c>
    </row>
    <row r="643">
      <c r="A643" s="4" t="s">
        <v>16</v>
      </c>
      <c r="B643" s="4" t="s">
        <v>1843</v>
      </c>
      <c r="C643" s="5">
        <v>44977.0</v>
      </c>
      <c r="D643" s="10">
        <v>44984.0</v>
      </c>
      <c r="E643" s="4" t="s">
        <v>1844</v>
      </c>
      <c r="F643" s="4" t="s">
        <v>1845</v>
      </c>
      <c r="G643" s="6" t="str">
        <f>IFERROR(__xludf.DUMMYFUNCTION("REGEXREPLACE(LOWER(F643),""[^a-z\s]"","""")"),"i called because my order was delayed twice the gentleman i spoke with was very condescending i told him that nowhere on the website does it state how long or how your purchase will take or ve shipped i explained to him that i have  dogs and it is hard fo"&amp;"r me to get an exact time frame for having my dog food auto shipped he rudely told me  i am sorry you have a problem on when you need your dog food  i didnt appreciate it i tried to explain to them that maybe they should put this information on their webs"&amp;"ite along that it takes  days to ship
he say well i have no control over the website site")</f>
        <v>i called because my order was delayed twice the gentleman i spoke with was very condescending i told him that nowhere on the website does it state how long or how your purchase will take or ve shipped i explained to him that i have  dogs and it is hard for me to get an exact time frame for having my dog food auto shipped he rudely told me  i am sorry you have a problem on when you need your dog food  i didnt appreciate it i tried to explain to them that maybe they should put this information on their website along that it takes  days to ship
he say well i have no control over the website site</v>
      </c>
      <c r="H643" s="4" t="str">
        <f t="shared" si="1"/>
        <v>i called because my order was delayed twice gentleman i spoke with was very condescending i told him that nowhere on website does it state how long or how your purchase will take or ve shipped i explained him that i have dogs it hard me get an exact time frame having my dog food auto shipped he rudely told me i am sorry you have a problem on when you need your dog food i didnt appreciate it i tried explain them that maybe they should put this information on their website along that it takes days ship
he say well i have no control over website site</v>
      </c>
      <c r="I643" s="6">
        <f t="shared" si="2"/>
        <v>108</v>
      </c>
      <c r="J643" s="6">
        <f>IFERROR(__xludf.DUMMYFUNCTION("IF(H643="""","""",
SUM(
ARRAYFORMULA(
IF(
REGEXMATCH(
"" ""&amp;H643&amp;"" "",
"" ""&amp;Sentiment_Words!A$2:A3730&amp;"" ""
),
1,
0
)
)
)
)"),0.0)</f>
        <v>0</v>
      </c>
      <c r="K643" s="4">
        <f>IFERROR(__xludf.DUMMYFUNCTION("IF(H643="""","""",
SUM(
ARRAYFORMULA(
IF(
REGEXMATCH(
"" ""&amp;H643&amp;"" "",
"" ""&amp;Sentiment_Words!B$2:B3730&amp;"" ""
),
1,
0
)
)
)
)"),2.0)</f>
        <v>2</v>
      </c>
      <c r="L643" s="7" t="str">
        <f t="shared" si="3"/>
        <v>Fulfillment &amp; Shipping</v>
      </c>
      <c r="M643" s="7" t="str">
        <f t="shared" si="4"/>
        <v>Negative</v>
      </c>
      <c r="N643" s="7" t="str">
        <f>IFERROR(__xludf.DUMMYFUNCTION("LOWER(
TRIM(
REGEXREPLACE(B643,""[^a-zA-Z\s]"","""")
)
)
"),"kim bulkowski")</f>
        <v>kim bulkowski</v>
      </c>
      <c r="O643" s="7">
        <f t="shared" si="5"/>
        <v>1</v>
      </c>
      <c r="P643" s="8" t="str">
        <f t="shared" si="6"/>
        <v>No</v>
      </c>
    </row>
    <row r="644">
      <c r="A644" s="4" t="s">
        <v>16</v>
      </c>
      <c r="B644" s="4" t="s">
        <v>1846</v>
      </c>
      <c r="C644" s="5">
        <v>44972.0</v>
      </c>
      <c r="D644" s="10">
        <v>44984.0</v>
      </c>
      <c r="E644" s="4" t="s">
        <v>1847</v>
      </c>
      <c r="F644" s="4" t="s">
        <v>1848</v>
      </c>
      <c r="G644" s="6" t="str">
        <f>IFERROR(__xludf.DUMMYFUNCTION("REGEXREPLACE(LOWER(F644),""[^a-z\s]"","""")"),"after a little confusion on your website about autoship i was helped along by a pleasant customer svc lady smooth transaction great price on what i needed and usually purchased at chewy for more  came in  days in a roomy box that my senior cat vinnie play"&amp;"ed in for days first purchase but will be a continuing customer  ")</f>
        <v>after a little confusion on your website about autoship i was helped along by a pleasant customer svc lady smooth transaction great price on what i needed and usually purchased at chewy for more  came in  days in a roomy box that my senior cat vinnie played in for days first purchase but will be a continuing customer  </v>
      </c>
      <c r="H644" s="4" t="str">
        <f t="shared" si="1"/>
        <v>after a little confusion on your website about autoship i was helped along by a pleasant customer svc lady smooth transaction great price on what i needed usually purchased at chewy more came in days in a roomy box that my senior cat vinnie played in days first purchase but will be a continuing customer</v>
      </c>
      <c r="I644" s="6">
        <f t="shared" si="2"/>
        <v>55</v>
      </c>
      <c r="J644" s="6">
        <f>IFERROR(__xludf.DUMMYFUNCTION("IF(H644="""","""",
SUM(
ARRAYFORMULA(
IF(
REGEXMATCH(
"" ""&amp;H644&amp;"" "",
"" ""&amp;Sentiment_Words!A$2:A3730&amp;"" ""
),
1,
0
)
)
)
)"),1.0)</f>
        <v>1</v>
      </c>
      <c r="K644" s="4">
        <f>IFERROR(__xludf.DUMMYFUNCTION("IF(H644="""","""",
SUM(
ARRAYFORMULA(
IF(
REGEXMATCH(
"" ""&amp;H644&amp;"" "",
"" ""&amp;Sentiment_Words!B$2:B3730&amp;"" ""
),
1,
0
)
)
)
)"),0.0)</f>
        <v>0</v>
      </c>
      <c r="L644" s="7" t="str">
        <f t="shared" si="3"/>
        <v>Account &amp; Website</v>
      </c>
      <c r="M644" s="7" t="str">
        <f t="shared" si="4"/>
        <v>Positive</v>
      </c>
      <c r="N644" s="7" t="str">
        <f>IFERROR(__xludf.DUMMYFUNCTION("LOWER(
TRIM(
REGEXREPLACE(B644,""[^a-zA-Z\s]"","""")
)
)
"),"ginny bee")</f>
        <v>ginny bee</v>
      </c>
      <c r="O644" s="7">
        <f t="shared" si="5"/>
        <v>1</v>
      </c>
      <c r="P644" s="8" t="str">
        <f t="shared" si="6"/>
        <v>No</v>
      </c>
    </row>
    <row r="645">
      <c r="A645" s="4" t="s">
        <v>16</v>
      </c>
      <c r="B645" s="4" t="s">
        <v>1849</v>
      </c>
      <c r="C645" s="5">
        <v>44972.0</v>
      </c>
      <c r="D645" s="10">
        <v>44984.0</v>
      </c>
      <c r="E645" s="4" t="s">
        <v>1850</v>
      </c>
      <c r="F645" s="4" t="s">
        <v>1851</v>
      </c>
      <c r="G645" s="6" t="str">
        <f>IFERROR(__xludf.DUMMYFUNCTION("REGEXREPLACE(LOWER(F645),""[^a-z\s]"","""")"),"the experience with pet flow is always so great i love the customer service and how helpful everyone is")</f>
        <v>the experience with pet flow is always so great i love the customer service and how helpful everyone is</v>
      </c>
      <c r="H645" s="4" t="str">
        <f t="shared" si="1"/>
        <v>experience with pet flow always so great i love customer service how helpful everyone</v>
      </c>
      <c r="I645" s="6">
        <f t="shared" si="2"/>
        <v>14</v>
      </c>
      <c r="J645" s="6">
        <f>IFERROR(__xludf.DUMMYFUNCTION("IF(H645="""","""",
SUM(
ARRAYFORMULA(
IF(
REGEXMATCH(
"" ""&amp;H645&amp;"" "",
"" ""&amp;Sentiment_Words!A$2:A3730&amp;"" ""
),
1,
0
)
)
)
)"),3.0)</f>
        <v>3</v>
      </c>
      <c r="K645" s="4">
        <f>IFERROR(__xludf.DUMMYFUNCTION("IF(H645="""","""",
SUM(
ARRAYFORMULA(
IF(
REGEXMATCH(
"" ""&amp;H645&amp;"" "",
"" ""&amp;Sentiment_Words!B$2:B3730&amp;"" ""
),
1,
0
)
)
)
)"),1.0)</f>
        <v>1</v>
      </c>
      <c r="L645" s="7" t="str">
        <f t="shared" si="3"/>
        <v>Customer Support</v>
      </c>
      <c r="M645" s="7" t="str">
        <f t="shared" si="4"/>
        <v>Positive</v>
      </c>
      <c r="N645" s="7" t="str">
        <f>IFERROR(__xludf.DUMMYFUNCTION("LOWER(
TRIM(
REGEXREPLACE(B645,""[^a-zA-Z\s]"","""")
)
)
"),"michele sage")</f>
        <v>michele sage</v>
      </c>
      <c r="O645" s="7">
        <f t="shared" si="5"/>
        <v>1</v>
      </c>
      <c r="P645" s="8" t="str">
        <f t="shared" si="6"/>
        <v>No</v>
      </c>
    </row>
    <row r="646">
      <c r="A646" s="4" t="s">
        <v>16</v>
      </c>
      <c r="B646" s="4" t="s">
        <v>1852</v>
      </c>
      <c r="C646" s="5">
        <v>44971.0</v>
      </c>
      <c r="D646" s="10">
        <v>44983.0</v>
      </c>
      <c r="E646" s="4" t="s">
        <v>129</v>
      </c>
      <c r="F646" s="4" t="s">
        <v>1853</v>
      </c>
      <c r="G646" s="6" t="str">
        <f>IFERROR(__xludf.DUMMYFUNCTION("REGEXREPLACE(LOWER(F646),""[^a-z\s]"","""")"),"great service lots of dog food choices")</f>
        <v>great service lots of dog food choices</v>
      </c>
      <c r="H646" s="4" t="str">
        <f t="shared" si="1"/>
        <v>great service lots of dog food choices</v>
      </c>
      <c r="I646" s="6">
        <f t="shared" si="2"/>
        <v>7</v>
      </c>
      <c r="J646" s="6">
        <f>IFERROR(__xludf.DUMMYFUNCTION("IF(H646="""","""",
SUM(
ARRAYFORMULA(
IF(
REGEXMATCH(
"" ""&amp;H646&amp;"" "",
"" ""&amp;Sentiment_Words!A$2:A3730&amp;"" ""
),
1,
0
)
)
)
)"),1.0)</f>
        <v>1</v>
      </c>
      <c r="K646" s="4">
        <f>IFERROR(__xludf.DUMMYFUNCTION("IF(H646="""","""",
SUM(
ARRAYFORMULA(
IF(
REGEXMATCH(
"" ""&amp;H646&amp;"" "",
"" ""&amp;Sentiment_Words!B$2:B3730&amp;"" ""
),
1,
0
)
)
)
)"),0.0)</f>
        <v>0</v>
      </c>
      <c r="L646" s="7" t="str">
        <f t="shared" si="3"/>
        <v>Customer Support</v>
      </c>
      <c r="M646" s="7" t="str">
        <f t="shared" si="4"/>
        <v>Positive</v>
      </c>
      <c r="N646" s="7" t="str">
        <f>IFERROR(__xludf.DUMMYFUNCTION("LOWER(
TRIM(
REGEXREPLACE(B646,""[^a-zA-Z\s]"","""")
)
)
"),"brenda brendy pugs")</f>
        <v>brenda brendy pugs</v>
      </c>
      <c r="O646" s="7">
        <f t="shared" si="5"/>
        <v>1</v>
      </c>
      <c r="P646" s="8" t="str">
        <f t="shared" si="6"/>
        <v>No</v>
      </c>
    </row>
    <row r="647">
      <c r="A647" s="4" t="s">
        <v>16</v>
      </c>
      <c r="B647" s="4" t="s">
        <v>1854</v>
      </c>
      <c r="C647" s="5">
        <v>44971.0</v>
      </c>
      <c r="D647" s="10">
        <v>44983.0</v>
      </c>
      <c r="E647" s="4" t="s">
        <v>1855</v>
      </c>
      <c r="F647" s="4" t="s">
        <v>1856</v>
      </c>
      <c r="G647" s="6" t="str">
        <f>IFERROR(__xludf.DUMMYFUNCTION("REGEXREPLACE(LOWER(F647),""[^a-z\s]"","""")"),"ordering was easy and delivery was quick")</f>
        <v>ordering was easy and delivery was quick</v>
      </c>
      <c r="H647" s="4" t="str">
        <f t="shared" si="1"/>
        <v>ordering was easy delivery was quick</v>
      </c>
      <c r="I647" s="6">
        <f t="shared" si="2"/>
        <v>6</v>
      </c>
      <c r="J647" s="6">
        <f>IFERROR(__xludf.DUMMYFUNCTION("IF(H647="""","""",
SUM(
ARRAYFORMULA(
IF(
REGEXMATCH(
"" ""&amp;H647&amp;"" "",
"" ""&amp;Sentiment_Words!A$2:A3730&amp;"" ""
),
1,
0
)
)
)
)"),1.0)</f>
        <v>1</v>
      </c>
      <c r="K647" s="4">
        <f>IFERROR(__xludf.DUMMYFUNCTION("IF(H647="""","""",
SUM(
ARRAYFORMULA(
IF(
REGEXMATCH(
"" ""&amp;H647&amp;"" "",
"" ""&amp;Sentiment_Words!B$2:B3730&amp;"" ""
),
1,
0
)
)
)
)"),0.0)</f>
        <v>0</v>
      </c>
      <c r="L647" s="7" t="str">
        <f t="shared" si="3"/>
        <v>Other</v>
      </c>
      <c r="M647" s="7" t="str">
        <f t="shared" si="4"/>
        <v>Positive</v>
      </c>
      <c r="N647" s="7" t="str">
        <f>IFERROR(__xludf.DUMMYFUNCTION("LOWER(
TRIM(
REGEXREPLACE(B647,""[^a-zA-Z\s]"","""")
)
)
"),"samantha")</f>
        <v>samantha</v>
      </c>
      <c r="O647" s="7">
        <f t="shared" si="5"/>
        <v>1</v>
      </c>
      <c r="P647" s="8" t="str">
        <f t="shared" si="6"/>
        <v>No</v>
      </c>
    </row>
    <row r="648">
      <c r="A648" s="4" t="s">
        <v>16</v>
      </c>
      <c r="B648" s="4" t="s">
        <v>1857</v>
      </c>
      <c r="C648" s="5">
        <v>44971.0</v>
      </c>
      <c r="D648" s="10">
        <v>44983.0</v>
      </c>
      <c r="E648" s="4" t="s">
        <v>1858</v>
      </c>
      <c r="F648" s="4" t="s">
        <v>1859</v>
      </c>
      <c r="G648" s="6" t="str">
        <f>IFERROR(__xludf.DUMMYFUNCTION("REGEXREPLACE(LOWER(F648),""[^a-z\s]"","""")"),"they worked with me very well when my cat refused to eat the brand of prescription food id bought")</f>
        <v>they worked with me very well when my cat refused to eat the brand of prescription food id bought</v>
      </c>
      <c r="H648" s="4" t="str">
        <f t="shared" si="1"/>
        <v>they worked with me very well when my cat refused eat brand of prescription food id bought</v>
      </c>
      <c r="I648" s="6">
        <f t="shared" si="2"/>
        <v>17</v>
      </c>
      <c r="J648" s="6">
        <f>IFERROR(__xludf.DUMMYFUNCTION("IF(H648="""","""",
SUM(
ARRAYFORMULA(
IF(
REGEXMATCH(
"" ""&amp;H648&amp;"" "",
"" ""&amp;Sentiment_Words!A$2:A3730&amp;"" ""
),
1,
0
)
)
)
)"),1.0)</f>
        <v>1</v>
      </c>
      <c r="K648" s="4">
        <f>IFERROR(__xludf.DUMMYFUNCTION("IF(H648="""","""",
SUM(
ARRAYFORMULA(
IF(
REGEXMATCH(
"" ""&amp;H648&amp;"" "",
"" ""&amp;Sentiment_Words!B$2:B3730&amp;"" ""
),
1,
0
)
)
)
)"),0.0)</f>
        <v>0</v>
      </c>
      <c r="L648" s="7" t="str">
        <f t="shared" si="3"/>
        <v>Other</v>
      </c>
      <c r="M648" s="7" t="str">
        <f t="shared" si="4"/>
        <v>Positive</v>
      </c>
      <c r="N648" s="7" t="str">
        <f>IFERROR(__xludf.DUMMYFUNCTION("LOWER(
TRIM(
REGEXREPLACE(B648,""[^a-zA-Z\s]"","""")
)
)
"),"virginia welsh")</f>
        <v>virginia welsh</v>
      </c>
      <c r="O648" s="7">
        <f t="shared" si="5"/>
        <v>1</v>
      </c>
      <c r="P648" s="8" t="str">
        <f t="shared" si="6"/>
        <v>No</v>
      </c>
    </row>
    <row r="649">
      <c r="A649" s="4" t="s">
        <v>16</v>
      </c>
      <c r="B649" s="4" t="s">
        <v>1860</v>
      </c>
      <c r="C649" s="5">
        <v>44971.0</v>
      </c>
      <c r="D649" s="10">
        <v>44983.0</v>
      </c>
      <c r="E649" s="4" t="s">
        <v>1861</v>
      </c>
      <c r="F649" s="4" t="s">
        <v>1862</v>
      </c>
      <c r="G649" s="6" t="str">
        <f>IFERROR(__xludf.DUMMYFUNCTION("REGEXREPLACE(LOWER(F649),""[^a-z\s]"","""")"),"service was great and combined with the best price you cant go wrong")</f>
        <v>service was great and combined with the best price you cant go wrong</v>
      </c>
      <c r="H649" s="4" t="str">
        <f t="shared" si="1"/>
        <v>service was great combined with best price you cant go wrong</v>
      </c>
      <c r="I649" s="6">
        <f t="shared" si="2"/>
        <v>11</v>
      </c>
      <c r="J649" s="6">
        <f>IFERROR(__xludf.DUMMYFUNCTION("IF(H649="""","""",
SUM(
ARRAYFORMULA(
IF(
REGEXMATCH(
"" ""&amp;H649&amp;"" "",
"" ""&amp;Sentiment_Words!A$2:A3730&amp;"" ""
),
1,
0
)
)
)
)"),1.0)</f>
        <v>1</v>
      </c>
      <c r="K649" s="4">
        <f>IFERROR(__xludf.DUMMYFUNCTION("IF(H649="""","""",
SUM(
ARRAYFORMULA(
IF(
REGEXMATCH(
"" ""&amp;H649&amp;"" "",
"" ""&amp;Sentiment_Words!B$2:B3730&amp;"" ""
),
1,
0
)
)
)
)"),1.0)</f>
        <v>1</v>
      </c>
      <c r="L649" s="7" t="str">
        <f t="shared" si="3"/>
        <v>Customer Support</v>
      </c>
      <c r="M649" s="7" t="str">
        <f t="shared" si="4"/>
        <v>Neutral</v>
      </c>
      <c r="N649" s="7" t="str">
        <f>IFERROR(__xludf.DUMMYFUNCTION("LOWER(
TRIM(
REGEXREPLACE(B649,""[^a-zA-Z\s]"","""")
)
)
"),"shelley")</f>
        <v>shelley</v>
      </c>
      <c r="O649" s="7">
        <f t="shared" si="5"/>
        <v>1</v>
      </c>
      <c r="P649" s="8" t="str">
        <f t="shared" si="6"/>
        <v>No</v>
      </c>
    </row>
    <row r="650">
      <c r="A650" s="4" t="s">
        <v>16</v>
      </c>
      <c r="B650" s="4" t="s">
        <v>1863</v>
      </c>
      <c r="C650" s="5">
        <v>44971.0</v>
      </c>
      <c r="D650" s="10">
        <v>44983.0</v>
      </c>
      <c r="E650" s="4" t="s">
        <v>1864</v>
      </c>
      <c r="F650" s="4" t="s">
        <v>1865</v>
      </c>
      <c r="G650" s="6" t="str">
        <f>IFERROR(__xludf.DUMMYFUNCTION("REGEXREPLACE(LOWER(F650),""[^a-z\s]"","""")"),"i really appreciate that petflow carries fromm its difficult to get and petflow delivers quickly")</f>
        <v>i really appreciate that petflow carries fromm its difficult to get and petflow delivers quickly</v>
      </c>
      <c r="H650" s="4" t="str">
        <f t="shared" si="1"/>
        <v>i really appreciate that petflow carries fromm its difficult get petflow delivers quickly</v>
      </c>
      <c r="I650" s="6">
        <f t="shared" si="2"/>
        <v>13</v>
      </c>
      <c r="J650" s="6">
        <f>IFERROR(__xludf.DUMMYFUNCTION("IF(H650="""","""",
SUM(
ARRAYFORMULA(
IF(
REGEXMATCH(
"" ""&amp;H650&amp;"" "",
"" ""&amp;Sentiment_Words!A$2:A3730&amp;"" ""
),
1,
0
)
)
)
)"),0.0)</f>
        <v>0</v>
      </c>
      <c r="K650" s="4">
        <f>IFERROR(__xludf.DUMMYFUNCTION("IF(H650="""","""",
SUM(
ARRAYFORMULA(
IF(
REGEXMATCH(
"" ""&amp;H650&amp;"" "",
"" ""&amp;Sentiment_Words!B$2:B3730&amp;"" ""
),
1,
0
)
)
)
)"),0.0)</f>
        <v>0</v>
      </c>
      <c r="L650" s="7" t="str">
        <f t="shared" si="3"/>
        <v>Other</v>
      </c>
      <c r="M650" s="7" t="str">
        <f t="shared" si="4"/>
        <v>Neutral</v>
      </c>
      <c r="N650" s="7" t="str">
        <f>IFERROR(__xludf.DUMMYFUNCTION("LOWER(
TRIM(
REGEXREPLACE(B650,""[^a-zA-Z\s]"","""")
)
)
"),"christine whittinghill")</f>
        <v>christine whittinghill</v>
      </c>
      <c r="O650" s="7">
        <f t="shared" si="5"/>
        <v>1</v>
      </c>
      <c r="P650" s="8" t="str">
        <f t="shared" si="6"/>
        <v>No</v>
      </c>
    </row>
    <row r="651">
      <c r="A651" s="4" t="s">
        <v>16</v>
      </c>
      <c r="B651" s="4" t="s">
        <v>1866</v>
      </c>
      <c r="C651" s="5">
        <v>44971.0</v>
      </c>
      <c r="D651" s="10">
        <v>44983.0</v>
      </c>
      <c r="E651" s="4" t="s">
        <v>1867</v>
      </c>
      <c r="F651" s="4" t="s">
        <v>1868</v>
      </c>
      <c r="G651" s="6" t="str">
        <f>IFERROR(__xludf.DUMMYFUNCTION("REGEXREPLACE(LOWER(F651),""[^a-z\s]"","""")"),"i would give a  star for getting the dog food in a timely matter fedex is the worse by far ill have to find a local shop in my town to buy as the shipping rates a minus ")</f>
        <v>i would give a  star for getting the dog food in a timely matter fedex is the worse by far ill have to find a local shop in my town to buy as the shipping rates a minus </v>
      </c>
      <c r="H651" s="4" t="str">
        <f t="shared" si="1"/>
        <v>i would give a star getting dog food in a timely matter fedex worse by far ill have find a local shop in my town buy as shipping rates a minus</v>
      </c>
      <c r="I651" s="6">
        <f t="shared" si="2"/>
        <v>31</v>
      </c>
      <c r="J651" s="6">
        <f>IFERROR(__xludf.DUMMYFUNCTION("IF(H651="""","""",
SUM(
ARRAYFORMULA(
IF(
REGEXMATCH(
"" ""&amp;H651&amp;"" "",
"" ""&amp;Sentiment_Words!A$2:A3730&amp;"" ""
),
1,
0
)
)
)
)"),0.0)</f>
        <v>0</v>
      </c>
      <c r="K651" s="4">
        <f>IFERROR(__xludf.DUMMYFUNCTION("IF(H651="""","""",
SUM(
ARRAYFORMULA(
IF(
REGEXMATCH(
"" ""&amp;H651&amp;"" "",
"" ""&amp;Sentiment_Words!B$2:B3730&amp;"" ""
),
1,
0
)
)
)
)"),0.0)</f>
        <v>0</v>
      </c>
      <c r="L651" s="7" t="str">
        <f t="shared" si="3"/>
        <v>Other</v>
      </c>
      <c r="M651" s="7" t="str">
        <f t="shared" si="4"/>
        <v>Neutral</v>
      </c>
      <c r="N651" s="7" t="str">
        <f>IFERROR(__xludf.DUMMYFUNCTION("LOWER(
TRIM(
REGEXREPLACE(B651,""[^a-zA-Z\s]"","""")
)
)
"),"lynn huizinga")</f>
        <v>lynn huizinga</v>
      </c>
      <c r="O651" s="7">
        <f t="shared" si="5"/>
        <v>1</v>
      </c>
      <c r="P651" s="8" t="str">
        <f t="shared" si="6"/>
        <v>No</v>
      </c>
    </row>
    <row r="652">
      <c r="A652" s="4" t="s">
        <v>16</v>
      </c>
      <c r="B652" s="4" t="s">
        <v>1869</v>
      </c>
      <c r="C652" s="5">
        <v>44968.0</v>
      </c>
      <c r="D652" s="10">
        <v>44983.0</v>
      </c>
      <c r="E652" s="4" t="s">
        <v>1870</v>
      </c>
      <c r="F652" s="4" t="s">
        <v>1871</v>
      </c>
      <c r="G652" s="6" t="str">
        <f>IFERROR(__xludf.DUMMYFUNCTION("REGEXREPLACE(LOWER(F652),""[^a-z\s]"","""")"),"the company canceled my order  tines with no notification bad company bad customer service zero stars ill keep shopping with chewycom")</f>
        <v>the company canceled my order  tines with no notification bad company bad customer service zero stars ill keep shopping with chewycom</v>
      </c>
      <c r="H652" s="4" t="str">
        <f t="shared" si="1"/>
        <v>company canceled my order tines with no notification bad company bad customer service zero stars ill keep shopping with chewycom</v>
      </c>
      <c r="I652" s="6">
        <f t="shared" si="2"/>
        <v>20</v>
      </c>
      <c r="J652" s="6">
        <f>IFERROR(__xludf.DUMMYFUNCTION("IF(H652="""","""",
SUM(
ARRAYFORMULA(
IF(
REGEXMATCH(
"" ""&amp;H652&amp;"" "",
"" ""&amp;Sentiment_Words!A$2:A3730&amp;"" ""
),
1,
0
)
)
)
)"),0.0)</f>
        <v>0</v>
      </c>
      <c r="K652" s="4">
        <f>IFERROR(__xludf.DUMMYFUNCTION("IF(H652="""","""",
SUM(
ARRAYFORMULA(
IF(
REGEXMATCH(
"" ""&amp;H652&amp;"" "",
"" ""&amp;Sentiment_Words!B$2:B3730&amp;"" ""
),
1,
0
)
)
)
)"),1.0)</f>
        <v>1</v>
      </c>
      <c r="L652" s="7" t="str">
        <f t="shared" si="3"/>
        <v>Customer Support</v>
      </c>
      <c r="M652" s="7" t="str">
        <f t="shared" si="4"/>
        <v>Negative</v>
      </c>
      <c r="N652" s="7" t="str">
        <f>IFERROR(__xludf.DUMMYFUNCTION("LOWER(
TRIM(
REGEXREPLACE(B652,""[^a-zA-Z\s]"","""")
)
)
"),"denise kochick")</f>
        <v>denise kochick</v>
      </c>
      <c r="O652" s="7">
        <f t="shared" si="5"/>
        <v>1</v>
      </c>
      <c r="P652" s="8" t="str">
        <f t="shared" si="6"/>
        <v>No</v>
      </c>
    </row>
    <row r="653">
      <c r="A653" s="4" t="s">
        <v>16</v>
      </c>
      <c r="B653" s="4" t="s">
        <v>1872</v>
      </c>
      <c r="C653" s="5">
        <v>44970.0</v>
      </c>
      <c r="D653" s="10">
        <v>44982.0</v>
      </c>
      <c r="E653" s="4" t="s">
        <v>1873</v>
      </c>
      <c r="F653" s="4" t="s">
        <v>1874</v>
      </c>
      <c r="G653" s="6" t="str">
        <f>IFERROR(__xludf.DUMMYFUNCTION("REGEXREPLACE(LOWER(F653),""[^a-z\s]"","""")"),"my order went to the wrong address and wasnt delivered thank you for replacing it")</f>
        <v>my order went to the wrong address and wasnt delivered thank you for replacing it</v>
      </c>
      <c r="H653" s="4" t="str">
        <f t="shared" si="1"/>
        <v>my order went wrong address wasnt delivered thank you replacing it</v>
      </c>
      <c r="I653" s="6">
        <f t="shared" si="2"/>
        <v>11</v>
      </c>
      <c r="J653" s="6">
        <f>IFERROR(__xludf.DUMMYFUNCTION("IF(H653="""","""",
SUM(
ARRAYFORMULA(
IF(
REGEXMATCH(
"" ""&amp;H653&amp;"" "",
"" ""&amp;Sentiment_Words!A$2:A3730&amp;"" ""
),
1,
0
)
)
)
)"),1.0)</f>
        <v>1</v>
      </c>
      <c r="K653" s="4">
        <f>IFERROR(__xludf.DUMMYFUNCTION("IF(H653="""","""",
SUM(
ARRAYFORMULA(
IF(
REGEXMATCH(
"" ""&amp;H653&amp;"" "",
"" ""&amp;Sentiment_Words!B$2:B3730&amp;"" ""
),
1,
0
)
)
)
)"),1.0)</f>
        <v>1</v>
      </c>
      <c r="L653" s="7" t="str">
        <f t="shared" si="3"/>
        <v>Fulfillment &amp; Shipping</v>
      </c>
      <c r="M653" s="7" t="str">
        <f t="shared" si="4"/>
        <v>Neutral</v>
      </c>
      <c r="N653" s="7" t="str">
        <f>IFERROR(__xludf.DUMMYFUNCTION("LOWER(
TRIM(
REGEXREPLACE(B653,""[^a-zA-Z\s]"","""")
)
)
"),"daniel neumann")</f>
        <v>daniel neumann</v>
      </c>
      <c r="O653" s="7">
        <f t="shared" si="5"/>
        <v>1</v>
      </c>
      <c r="P653" s="8" t="str">
        <f t="shared" si="6"/>
        <v>No</v>
      </c>
    </row>
    <row r="654">
      <c r="A654" s="4" t="s">
        <v>16</v>
      </c>
      <c r="B654" s="4" t="s">
        <v>1875</v>
      </c>
      <c r="C654" s="5">
        <v>44970.0</v>
      </c>
      <c r="D654" s="10">
        <v>44982.0</v>
      </c>
      <c r="E654" s="4" t="s">
        <v>1876</v>
      </c>
      <c r="F654" s="4" t="s">
        <v>1877</v>
      </c>
      <c r="G654" s="6" t="str">
        <f>IFERROR(__xludf.DUMMYFUNCTION("REGEXREPLACE(LOWER(F654),""[^a-z\s]"","""")"),"excellent pet products at bargain prices")</f>
        <v>excellent pet products at bargain prices</v>
      </c>
      <c r="H654" s="4" t="str">
        <f t="shared" si="1"/>
        <v>excellent pet products at bargain prices</v>
      </c>
      <c r="I654" s="6">
        <f t="shared" si="2"/>
        <v>6</v>
      </c>
      <c r="J654" s="6">
        <f>IFERROR(__xludf.DUMMYFUNCTION("IF(H654="""","""",
SUM(
ARRAYFORMULA(
IF(
REGEXMATCH(
"" ""&amp;H654&amp;"" "",
"" ""&amp;Sentiment_Words!A$2:A3730&amp;"" ""
),
1,
0
)
)
)
)"),0.0)</f>
        <v>0</v>
      </c>
      <c r="K654" s="4">
        <f>IFERROR(__xludf.DUMMYFUNCTION("IF(H654="""","""",
SUM(
ARRAYFORMULA(
IF(
REGEXMATCH(
"" ""&amp;H654&amp;"" "",
"" ""&amp;Sentiment_Words!B$2:B3730&amp;"" ""
),
1,
0
)
)
)
)"),0.0)</f>
        <v>0</v>
      </c>
      <c r="L654" s="7" t="str">
        <f t="shared" si="3"/>
        <v>Other</v>
      </c>
      <c r="M654" s="7" t="str">
        <f t="shared" si="4"/>
        <v>Neutral</v>
      </c>
      <c r="N654" s="7" t="str">
        <f>IFERROR(__xludf.DUMMYFUNCTION("LOWER(
TRIM(
REGEXREPLACE(B654,""[^a-zA-Z\s]"","""")
)
)
"),"pamela")</f>
        <v>pamela</v>
      </c>
      <c r="O654" s="7">
        <f t="shared" si="5"/>
        <v>3</v>
      </c>
      <c r="P654" s="8" t="str">
        <f t="shared" si="6"/>
        <v>Yes</v>
      </c>
    </row>
    <row r="655">
      <c r="A655" s="4" t="s">
        <v>16</v>
      </c>
      <c r="B655" s="4" t="s">
        <v>1878</v>
      </c>
      <c r="C655" s="5">
        <v>44968.0</v>
      </c>
      <c r="D655" s="10">
        <v>44981.0</v>
      </c>
      <c r="E655" s="4" t="s">
        <v>1879</v>
      </c>
      <c r="F655" s="4" t="s">
        <v>1880</v>
      </c>
      <c r="G655" s="6" t="str">
        <f>IFERROR(__xludf.DUMMYFUNCTION("REGEXREPLACE(LOWER(F655),""[^a-z\s]"","""")"),"products were shipped quick and for a great price i was searching for bird toys budgie and there were plenty of toys to pick from on the site")</f>
        <v>products were shipped quick and for a great price i was searching for bird toys budgie and there were plenty of toys to pick from on the site</v>
      </c>
      <c r="H655" s="4" t="str">
        <f t="shared" si="1"/>
        <v>products were shipped quick a great price i was searching bird toys budgie there were plenty of toys pick from on site</v>
      </c>
      <c r="I655" s="6">
        <f t="shared" si="2"/>
        <v>22</v>
      </c>
      <c r="J655" s="6">
        <f>IFERROR(__xludf.DUMMYFUNCTION("IF(H655="""","""",
SUM(
ARRAYFORMULA(
IF(
REGEXMATCH(
"" ""&amp;H655&amp;"" "",
"" ""&amp;Sentiment_Words!A$2:A3730&amp;"" ""
),
1,
0
)
)
)
)"),1.0)</f>
        <v>1</v>
      </c>
      <c r="K655" s="4">
        <f>IFERROR(__xludf.DUMMYFUNCTION("IF(H655="""","""",
SUM(
ARRAYFORMULA(
IF(
REGEXMATCH(
"" ""&amp;H655&amp;"" "",
"" ""&amp;Sentiment_Words!B$2:B3730&amp;"" ""
),
1,
0
)
)
)
)"),0.0)</f>
        <v>0</v>
      </c>
      <c r="L655" s="7" t="str">
        <f t="shared" si="3"/>
        <v>Other</v>
      </c>
      <c r="M655" s="7" t="str">
        <f t="shared" si="4"/>
        <v>Positive</v>
      </c>
      <c r="N655" s="7" t="str">
        <f>IFERROR(__xludf.DUMMYFUNCTION("LOWER(
TRIM(
REGEXREPLACE(B655,""[^a-zA-Z\s]"","""")
)
)
"),"bradley serlis")</f>
        <v>bradley serlis</v>
      </c>
      <c r="O655" s="7">
        <f t="shared" si="5"/>
        <v>1</v>
      </c>
      <c r="P655" s="8" t="str">
        <f t="shared" si="6"/>
        <v>No</v>
      </c>
    </row>
    <row r="656">
      <c r="A656" s="4" t="s">
        <v>16</v>
      </c>
      <c r="B656" s="4" t="s">
        <v>1881</v>
      </c>
      <c r="C656" s="5">
        <v>44969.0</v>
      </c>
      <c r="D656" s="10">
        <v>44981.0</v>
      </c>
      <c r="E656" s="4" t="s">
        <v>1882</v>
      </c>
      <c r="F656" s="4" t="s">
        <v>1883</v>
      </c>
      <c r="G656" s="6" t="str">
        <f>IFERROR(__xludf.DUMMYFUNCTION("REGEXREPLACE(LOWER(F656),""[^a-z\s]"","""")"),"orders arrive on time and prices are good i recommend")</f>
        <v>orders arrive on time and prices are good i recommend</v>
      </c>
      <c r="H656" s="4" t="str">
        <f t="shared" si="1"/>
        <v>orders arrive on time prices are good i recommend</v>
      </c>
      <c r="I656" s="6">
        <f t="shared" si="2"/>
        <v>9</v>
      </c>
      <c r="J656" s="6">
        <f>IFERROR(__xludf.DUMMYFUNCTION("IF(H656="""","""",
SUM(
ARRAYFORMULA(
IF(
REGEXMATCH(
"" ""&amp;H656&amp;"" "",
"" ""&amp;Sentiment_Words!A$2:A3730&amp;"" ""
),
1,
0
)
)
)
)"),2.0)</f>
        <v>2</v>
      </c>
      <c r="K656" s="4">
        <f>IFERROR(__xludf.DUMMYFUNCTION("IF(H656="""","""",
SUM(
ARRAYFORMULA(
IF(
REGEXMATCH(
"" ""&amp;H656&amp;"" "",
"" ""&amp;Sentiment_Words!B$2:B3730&amp;"" ""
),
1,
0
)
)
)
)"),0.0)</f>
        <v>0</v>
      </c>
      <c r="L656" s="7" t="str">
        <f t="shared" si="3"/>
        <v>Other</v>
      </c>
      <c r="M656" s="7" t="str">
        <f t="shared" si="4"/>
        <v>Positive</v>
      </c>
      <c r="N656" s="7" t="str">
        <f>IFERROR(__xludf.DUMMYFUNCTION("LOWER(
TRIM(
REGEXREPLACE(B656,""[^a-zA-Z\s]"","""")
)
)
"),"skeeter")</f>
        <v>skeeter</v>
      </c>
      <c r="O656" s="7">
        <f t="shared" si="5"/>
        <v>1</v>
      </c>
      <c r="P656" s="8" t="str">
        <f t="shared" si="6"/>
        <v>No</v>
      </c>
    </row>
    <row r="657">
      <c r="A657" s="4" t="s">
        <v>16</v>
      </c>
      <c r="B657" s="4" t="s">
        <v>1884</v>
      </c>
      <c r="C657" s="5">
        <v>44969.0</v>
      </c>
      <c r="D657" s="10">
        <v>44981.0</v>
      </c>
      <c r="E657" s="4" t="s">
        <v>1885</v>
      </c>
      <c r="F657" s="4" t="s">
        <v>1886</v>
      </c>
      <c r="G657" s="6" t="str">
        <f>IFERROR(__xludf.DUMMYFUNCTION("REGEXREPLACE(LOWER(F657),""[^a-z\s]"","""")"),"my orders are always delivered within  days great service and price")</f>
        <v>my orders are always delivered within  days great service and price</v>
      </c>
      <c r="H657" s="4" t="str">
        <f t="shared" si="1"/>
        <v>my orders are always delivered within days great service price</v>
      </c>
      <c r="I657" s="6">
        <f t="shared" si="2"/>
        <v>10</v>
      </c>
      <c r="J657" s="6">
        <f>IFERROR(__xludf.DUMMYFUNCTION("IF(H657="""","""",
SUM(
ARRAYFORMULA(
IF(
REGEXMATCH(
"" ""&amp;H657&amp;"" "",
"" ""&amp;Sentiment_Words!A$2:A3730&amp;"" ""
),
1,
0
)
)
)
)"),2.0)</f>
        <v>2</v>
      </c>
      <c r="K657" s="4">
        <f>IFERROR(__xludf.DUMMYFUNCTION("IF(H657="""","""",
SUM(
ARRAYFORMULA(
IF(
REGEXMATCH(
"" ""&amp;H657&amp;"" "",
"" ""&amp;Sentiment_Words!B$2:B3730&amp;"" ""
),
1,
0
)
)
)
)"),0.0)</f>
        <v>0</v>
      </c>
      <c r="L657" s="7" t="str">
        <f t="shared" si="3"/>
        <v>Customer Support</v>
      </c>
      <c r="M657" s="7" t="str">
        <f t="shared" si="4"/>
        <v>Positive</v>
      </c>
      <c r="N657" s="7" t="str">
        <f>IFERROR(__xludf.DUMMYFUNCTION("LOWER(
TRIM(
REGEXREPLACE(B657,""[^a-zA-Z\s]"","""")
)
)
"),"mindy reed")</f>
        <v>mindy reed</v>
      </c>
      <c r="O657" s="7">
        <f t="shared" si="5"/>
        <v>1</v>
      </c>
      <c r="P657" s="8" t="str">
        <f t="shared" si="6"/>
        <v>No</v>
      </c>
    </row>
    <row r="658">
      <c r="A658" s="4" t="s">
        <v>16</v>
      </c>
      <c r="B658" s="4" t="s">
        <v>1887</v>
      </c>
      <c r="C658" s="5">
        <v>44968.0</v>
      </c>
      <c r="D658" s="10">
        <v>44981.0</v>
      </c>
      <c r="E658" s="4" t="s">
        <v>1888</v>
      </c>
      <c r="F658" s="4" t="s">
        <v>1889</v>
      </c>
      <c r="G658" s="6" t="str">
        <f>IFERROR(__xludf.DUMMYFUNCTION("REGEXREPLACE(LOWER(F658),""[^a-z\s]"","""")"),"they always have the items i am looking for and at a great price check out is easy and delivery is fast")</f>
        <v>they always have the items i am looking for and at a great price check out is easy and delivery is fast</v>
      </c>
      <c r="H658" s="4" t="str">
        <f t="shared" si="1"/>
        <v>they always have items i am looking at a great price check out easy delivery fast</v>
      </c>
      <c r="I658" s="6">
        <f t="shared" si="2"/>
        <v>16</v>
      </c>
      <c r="J658" s="6">
        <f>IFERROR(__xludf.DUMMYFUNCTION("IF(H658="""","""",
SUM(
ARRAYFORMULA(
IF(
REGEXMATCH(
"" ""&amp;H658&amp;"" "",
"" ""&amp;Sentiment_Words!A$2:A3730&amp;"" ""
),
1,
0
)
)
)
)"),3.0)</f>
        <v>3</v>
      </c>
      <c r="K658" s="4">
        <f>IFERROR(__xludf.DUMMYFUNCTION("IF(H658="""","""",
SUM(
ARRAYFORMULA(
IF(
REGEXMATCH(
"" ""&amp;H658&amp;"" "",
"" ""&amp;Sentiment_Words!B$2:B3730&amp;"" ""
),
1,
0
)
)
)
)"),0.0)</f>
        <v>0</v>
      </c>
      <c r="L658" s="7" t="str">
        <f t="shared" si="3"/>
        <v>Other</v>
      </c>
      <c r="M658" s="7" t="str">
        <f t="shared" si="4"/>
        <v>Positive</v>
      </c>
      <c r="N658" s="7" t="str">
        <f>IFERROR(__xludf.DUMMYFUNCTION("LOWER(
TRIM(
REGEXREPLACE(B658,""[^a-zA-Z\s]"","""")
)
)
"),"fabiola v")</f>
        <v>fabiola v</v>
      </c>
      <c r="O658" s="7">
        <f t="shared" si="5"/>
        <v>1</v>
      </c>
      <c r="P658" s="8" t="str">
        <f t="shared" si="6"/>
        <v>No</v>
      </c>
    </row>
    <row r="659">
      <c r="A659" s="4" t="s">
        <v>16</v>
      </c>
      <c r="B659" s="4" t="s">
        <v>1890</v>
      </c>
      <c r="C659" s="5">
        <v>44968.0</v>
      </c>
      <c r="D659" s="10">
        <v>44980.0</v>
      </c>
      <c r="E659" s="4" t="s">
        <v>1891</v>
      </c>
      <c r="F659" s="4" t="s">
        <v>1892</v>
      </c>
      <c r="G659" s="6" t="str">
        <f>IFERROR(__xludf.DUMMYFUNCTION("REGEXREPLACE(LOWER(F659),""[^a-z\s]"","""")"),"this company was awful to deal with they never sent my product and gave me a hard time about my refund")</f>
        <v>this company was awful to deal with they never sent my product and gave me a hard time about my refund</v>
      </c>
      <c r="H659" s="4" t="str">
        <f t="shared" si="1"/>
        <v>this company was awful deal with they never sent my product gave me a hard time about my refund</v>
      </c>
      <c r="I659" s="6">
        <f t="shared" si="2"/>
        <v>19</v>
      </c>
      <c r="J659" s="6">
        <f>IFERROR(__xludf.DUMMYFUNCTION("IF(H659="""","""",
SUM(
ARRAYFORMULA(
IF(
REGEXMATCH(
"" ""&amp;H659&amp;"" "",
"" ""&amp;Sentiment_Words!A$2:A3730&amp;"" ""
),
1,
0
)
)
)
)"),0.0)</f>
        <v>0</v>
      </c>
      <c r="K659" s="4">
        <f>IFERROR(__xludf.DUMMYFUNCTION("IF(H659="""","""",
SUM(
ARRAYFORMULA(
IF(
REGEXMATCH(
"" ""&amp;H659&amp;"" "",
"" ""&amp;Sentiment_Words!B$2:B3730&amp;"" ""
),
1,
0
)
)
)
)"),1.0)</f>
        <v>1</v>
      </c>
      <c r="L659" s="7" t="str">
        <f t="shared" si="3"/>
        <v>Other</v>
      </c>
      <c r="M659" s="7" t="str">
        <f t="shared" si="4"/>
        <v>Negative</v>
      </c>
      <c r="N659" s="7" t="str">
        <f>IFERROR(__xludf.DUMMYFUNCTION("LOWER(
TRIM(
REGEXREPLACE(B659,""[^a-zA-Z\s]"","""")
)
)
"),"kimberly guidi")</f>
        <v>kimberly guidi</v>
      </c>
      <c r="O659" s="7">
        <f t="shared" si="5"/>
        <v>1</v>
      </c>
      <c r="P659" s="8" t="str">
        <f t="shared" si="6"/>
        <v>No</v>
      </c>
    </row>
    <row r="660">
      <c r="A660" s="4" t="s">
        <v>16</v>
      </c>
      <c r="B660" s="4" t="s">
        <v>1893</v>
      </c>
      <c r="C660" s="5">
        <v>44967.0</v>
      </c>
      <c r="D660" s="10">
        <v>44980.0</v>
      </c>
      <c r="E660" s="4" t="s">
        <v>1894</v>
      </c>
      <c r="F660" s="4" t="s">
        <v>1895</v>
      </c>
      <c r="G660" s="6" t="str">
        <f>IFERROR(__xludf.DUMMYFUNCTION("REGEXREPLACE(LOWER(F660),""[^a-z\s]"","""")"),"although fedex is the most miserable pos low life carrier your agent putting deliver to porch actually worked they usually just kick it out the door on the way past ill buy from you again")</f>
        <v>although fedex is the most miserable pos low life carrier your agent putting deliver to porch actually worked they usually just kick it out the door on the way past ill buy from you again</v>
      </c>
      <c r="H660" s="4" t="str">
        <f t="shared" si="1"/>
        <v>although fedex most miserable pos low life carrier your agent putting deliver porch actually worked they usually just kick it out door on way past ill buy from you again</v>
      </c>
      <c r="I660" s="6">
        <f t="shared" si="2"/>
        <v>30</v>
      </c>
      <c r="J660" s="6">
        <f>IFERROR(__xludf.DUMMYFUNCTION("IF(H660="""","""",
SUM(
ARRAYFORMULA(
IF(
REGEXMATCH(
"" ""&amp;H660&amp;"" "",
"" ""&amp;Sentiment_Words!A$2:A3730&amp;"" ""
),
1,
0
)
)
)
)"),1.0)</f>
        <v>1</v>
      </c>
      <c r="K660" s="4">
        <f>IFERROR(__xludf.DUMMYFUNCTION("IF(H660="""","""",
SUM(
ARRAYFORMULA(
IF(
REGEXMATCH(
"" ""&amp;H660&amp;"" "",
"" ""&amp;Sentiment_Words!B$2:B3730&amp;"" ""
),
1,
0
)
)
)
)"),0.0)</f>
        <v>0</v>
      </c>
      <c r="L660" s="7" t="str">
        <f t="shared" si="3"/>
        <v>Other</v>
      </c>
      <c r="M660" s="7" t="str">
        <f t="shared" si="4"/>
        <v>Positive</v>
      </c>
      <c r="N660" s="7" t="str">
        <f>IFERROR(__xludf.DUMMYFUNCTION("LOWER(
TRIM(
REGEXREPLACE(B660,""[^a-zA-Z\s]"","""")
)
)
"),"valentine")</f>
        <v>valentine</v>
      </c>
      <c r="O660" s="7">
        <f t="shared" si="5"/>
        <v>1</v>
      </c>
      <c r="P660" s="8" t="str">
        <f t="shared" si="6"/>
        <v>No</v>
      </c>
    </row>
    <row r="661">
      <c r="A661" s="4" t="s">
        <v>16</v>
      </c>
      <c r="B661" s="4" t="s">
        <v>1896</v>
      </c>
      <c r="C661" s="5">
        <v>44968.0</v>
      </c>
      <c r="D661" s="10">
        <v>44980.0</v>
      </c>
      <c r="E661" s="4" t="s">
        <v>1897</v>
      </c>
      <c r="F661" s="4" t="s">
        <v>331</v>
      </c>
      <c r="G661" s="6" t="str">
        <f>IFERROR(__xludf.DUMMYFUNCTION("REGEXREPLACE(LOWER(F661),""[^a-z\s]"","""")"),"none")</f>
        <v>none</v>
      </c>
      <c r="H661" s="4" t="str">
        <f t="shared" si="1"/>
        <v>none</v>
      </c>
      <c r="I661" s="6">
        <f t="shared" si="2"/>
        <v>1</v>
      </c>
      <c r="J661" s="6">
        <f>IFERROR(__xludf.DUMMYFUNCTION("IF(H661="""","""",
SUM(
ARRAYFORMULA(
IF(
REGEXMATCH(
"" ""&amp;H661&amp;"" "",
"" ""&amp;Sentiment_Words!A$2:A3730&amp;"" ""
),
1,
0
)
)
)
)"),0.0)</f>
        <v>0</v>
      </c>
      <c r="K661" s="4">
        <f>IFERROR(__xludf.DUMMYFUNCTION("IF(H661="""","""",
SUM(
ARRAYFORMULA(
IF(
REGEXMATCH(
"" ""&amp;H661&amp;"" "",
"" ""&amp;Sentiment_Words!B$2:B3730&amp;"" ""
),
1,
0
)
)
)
)"),0.0)</f>
        <v>0</v>
      </c>
      <c r="L661" s="7" t="str">
        <f t="shared" si="3"/>
        <v>Other</v>
      </c>
      <c r="M661" s="7" t="str">
        <f t="shared" si="4"/>
        <v>Neutral</v>
      </c>
      <c r="N661" s="7" t="str">
        <f>IFERROR(__xludf.DUMMYFUNCTION("LOWER(
TRIM(
REGEXREPLACE(B661,""[^a-zA-Z\s]"","""")
)
)
"),"ron knight")</f>
        <v>ron knight</v>
      </c>
      <c r="O661" s="7">
        <f t="shared" si="5"/>
        <v>1</v>
      </c>
      <c r="P661" s="8" t="str">
        <f t="shared" si="6"/>
        <v>No</v>
      </c>
    </row>
    <row r="662">
      <c r="A662" s="4" t="s">
        <v>16</v>
      </c>
      <c r="B662" s="4" t="s">
        <v>1898</v>
      </c>
      <c r="C662" s="5">
        <v>44957.0</v>
      </c>
      <c r="D662" s="10">
        <v>44980.0</v>
      </c>
      <c r="E662" s="4" t="s">
        <v>1899</v>
      </c>
      <c r="F662" s="4" t="s">
        <v>1900</v>
      </c>
      <c r="G662" s="6" t="str">
        <f>IFERROR(__xludf.DUMMYFUNCTION("REGEXREPLACE(LOWER(F662),""[^a-z\s]"","""")"),"its nice to get a heads up before a shipment goes out in case i need to adjust the contents or timing shipping is always prompt and the selection of food treats etc is quite amazing")</f>
        <v>its nice to get a heads up before a shipment goes out in case i need to adjust the contents or timing shipping is always prompt and the selection of food treats etc is quite amazing</v>
      </c>
      <c r="H662" s="4" t="str">
        <f t="shared" si="1"/>
        <v>its nice get a heads up before a shipment goes out in case i need adjust contents or timing shipping always prompt selection of food treats etc quite amazing</v>
      </c>
      <c r="I662" s="6">
        <f t="shared" si="2"/>
        <v>29</v>
      </c>
      <c r="J662" s="6">
        <f>IFERROR(__xludf.DUMMYFUNCTION("IF(H662="""","""",
SUM(
ARRAYFORMULA(
IF(
REGEXMATCH(
"" ""&amp;H662&amp;"" "",
"" ""&amp;Sentiment_Words!A$2:A3730&amp;"" ""
),
1,
0
)
)
)
)"),1.0)</f>
        <v>1</v>
      </c>
      <c r="K662" s="4">
        <f>IFERROR(__xludf.DUMMYFUNCTION("IF(H662="""","""",
SUM(
ARRAYFORMULA(
IF(
REGEXMATCH(
"" ""&amp;H662&amp;"" "",
"" ""&amp;Sentiment_Words!B$2:B3730&amp;"" ""
),
1,
0
)
)
)
)"),0.0)</f>
        <v>0</v>
      </c>
      <c r="L662" s="7" t="str">
        <f t="shared" si="3"/>
        <v>Other</v>
      </c>
      <c r="M662" s="7" t="str">
        <f t="shared" si="4"/>
        <v>Positive</v>
      </c>
      <c r="N662" s="7" t="str">
        <f>IFERROR(__xludf.DUMMYFUNCTION("LOWER(
TRIM(
REGEXREPLACE(B662,""[^a-zA-Z\s]"","""")
)
)
"),"helen coryell")</f>
        <v>helen coryell</v>
      </c>
      <c r="O662" s="7">
        <f t="shared" si="5"/>
        <v>1</v>
      </c>
      <c r="P662" s="8" t="str">
        <f t="shared" si="6"/>
        <v>No</v>
      </c>
    </row>
    <row r="663">
      <c r="A663" s="4" t="s">
        <v>16</v>
      </c>
      <c r="B663" s="4" t="s">
        <v>1901</v>
      </c>
      <c r="C663" s="5">
        <v>44968.0</v>
      </c>
      <c r="D663" s="10">
        <v>44980.0</v>
      </c>
      <c r="E663" s="4" t="s">
        <v>1902</v>
      </c>
      <c r="F663" s="4" t="s">
        <v>1903</v>
      </c>
      <c r="G663" s="6" t="str">
        <f>IFERROR(__xludf.DUMMYFUNCTION("REGEXREPLACE(LOWER(F663),""[^a-z\s]"","""")"),"i ordered roaches and not one of them was dead everyone of them was alive and healthy
very fast shipping and very fair price
i will definitely be doing more business with petflow")</f>
        <v>i ordered roaches and not one of them was dead everyone of them was alive and healthy
very fast shipping and very fair price
i will definitely be doing more business with petflow</v>
      </c>
      <c r="H663" s="4" t="str">
        <f t="shared" si="1"/>
        <v>i ordered roaches not one of them was dead everyone of them was alive healthy
very fast shipping very fair price
i will definitely be doing more business with petflow</v>
      </c>
      <c r="I663" s="6">
        <f t="shared" si="2"/>
        <v>28</v>
      </c>
      <c r="J663" s="6">
        <f>IFERROR(__xludf.DUMMYFUNCTION("IF(H663="""","""",
SUM(
ARRAYFORMULA(
IF(
REGEXMATCH(
"" ""&amp;H663&amp;"" "",
"" ""&amp;Sentiment_Words!A$2:A3730&amp;"" ""
),
1,
0
)
)
)
)"),1.0)</f>
        <v>1</v>
      </c>
      <c r="K663" s="4">
        <f>IFERROR(__xludf.DUMMYFUNCTION("IF(H663="""","""",
SUM(
ARRAYFORMULA(
IF(
REGEXMATCH(
"" ""&amp;H663&amp;"" "",
"" ""&amp;Sentiment_Words!B$2:B3730&amp;"" ""
),
1,
0
)
)
)
)"),0.0)</f>
        <v>0</v>
      </c>
      <c r="L663" s="7" t="str">
        <f t="shared" si="3"/>
        <v>Other</v>
      </c>
      <c r="M663" s="7" t="str">
        <f t="shared" si="4"/>
        <v>Positive</v>
      </c>
      <c r="N663" s="7" t="str">
        <f>IFERROR(__xludf.DUMMYFUNCTION("LOWER(
TRIM(
REGEXREPLACE(B663,""[^a-zA-Z\s]"","""")
)
)
"),"brian ward")</f>
        <v>brian ward</v>
      </c>
      <c r="O663" s="7">
        <f t="shared" si="5"/>
        <v>1</v>
      </c>
      <c r="P663" s="8" t="str">
        <f t="shared" si="6"/>
        <v>No</v>
      </c>
    </row>
    <row r="664">
      <c r="A664" s="4" t="s">
        <v>16</v>
      </c>
      <c r="B664" s="4" t="s">
        <v>1904</v>
      </c>
      <c r="C664" s="5">
        <v>44968.0</v>
      </c>
      <c r="D664" s="10">
        <v>44980.0</v>
      </c>
      <c r="E664" s="4" t="s">
        <v>1905</v>
      </c>
      <c r="F664" s="4" t="s">
        <v>1906</v>
      </c>
      <c r="G664" s="6" t="str">
        <f>IFERROR(__xludf.DUMMYFUNCTION("REGEXREPLACE(LOWER(F664),""[^a-z\s]"","""")"),"great and plentiful selection of pet supplies prompt delivery and excellent customer service")</f>
        <v>great and plentiful selection of pet supplies prompt delivery and excellent customer service</v>
      </c>
      <c r="H664" s="4" t="str">
        <f t="shared" si="1"/>
        <v>great plentiful selection of pet supplies prompt delivery excellent customer service</v>
      </c>
      <c r="I664" s="6">
        <f t="shared" si="2"/>
        <v>11</v>
      </c>
      <c r="J664" s="6">
        <f>IFERROR(__xludf.DUMMYFUNCTION("IF(H664="""","""",
SUM(
ARRAYFORMULA(
IF(
REGEXMATCH(
"" ""&amp;H664&amp;"" "",
"" ""&amp;Sentiment_Words!A$2:A3730&amp;"" ""
),
1,
0
)
)
)
)"),2.0)</f>
        <v>2</v>
      </c>
      <c r="K664" s="4">
        <f>IFERROR(__xludf.DUMMYFUNCTION("IF(H664="""","""",
SUM(
ARRAYFORMULA(
IF(
REGEXMATCH(
"" ""&amp;H664&amp;"" "",
"" ""&amp;Sentiment_Words!B$2:B3730&amp;"" ""
),
1,
0
)
)
)
)"),1.0)</f>
        <v>1</v>
      </c>
      <c r="L664" s="7" t="str">
        <f t="shared" si="3"/>
        <v>Customer Support</v>
      </c>
      <c r="M664" s="7" t="str">
        <f t="shared" si="4"/>
        <v>Positive</v>
      </c>
      <c r="N664" s="7" t="str">
        <f>IFERROR(__xludf.DUMMYFUNCTION("LOWER(
TRIM(
REGEXREPLACE(B664,""[^a-zA-Z\s]"","""")
)
)
"),"willard d meyer")</f>
        <v>willard d meyer</v>
      </c>
      <c r="O664" s="7">
        <f t="shared" si="5"/>
        <v>1</v>
      </c>
      <c r="P664" s="8" t="str">
        <f t="shared" si="6"/>
        <v>No</v>
      </c>
    </row>
    <row r="665">
      <c r="A665" s="4" t="s">
        <v>16</v>
      </c>
      <c r="B665" s="4" t="s">
        <v>1907</v>
      </c>
      <c r="C665" s="5">
        <v>44968.0</v>
      </c>
      <c r="D665" s="10">
        <v>44980.0</v>
      </c>
      <c r="E665" s="4" t="s">
        <v>1908</v>
      </c>
      <c r="F665" s="4" t="s">
        <v>1909</v>
      </c>
      <c r="G665" s="6" t="str">
        <f>IFERROR(__xludf.DUMMYFUNCTION("REGEXREPLACE(LOWER(F665),""[^a-z\s]"","""")"),"website has alot of choices and the delivery was on time")</f>
        <v>website has alot of choices and the delivery was on time</v>
      </c>
      <c r="H665" s="4" t="str">
        <f t="shared" si="1"/>
        <v>website has alot of choices delivery was on time</v>
      </c>
      <c r="I665" s="6">
        <f t="shared" si="2"/>
        <v>9</v>
      </c>
      <c r="J665" s="6">
        <f>IFERROR(__xludf.DUMMYFUNCTION("IF(H665="""","""",
SUM(
ARRAYFORMULA(
IF(
REGEXMATCH(
"" ""&amp;H665&amp;"" "",
"" ""&amp;Sentiment_Words!A$2:A3730&amp;"" ""
),
1,
0
)
)
)
)"),1.0)</f>
        <v>1</v>
      </c>
      <c r="K665" s="4">
        <f>IFERROR(__xludf.DUMMYFUNCTION("IF(H665="""","""",
SUM(
ARRAYFORMULA(
IF(
REGEXMATCH(
"" ""&amp;H665&amp;"" "",
"" ""&amp;Sentiment_Words!B$2:B3730&amp;"" ""
),
1,
0
)
)
)
)"),0.0)</f>
        <v>0</v>
      </c>
      <c r="L665" s="7" t="str">
        <f t="shared" si="3"/>
        <v>Account &amp; Website</v>
      </c>
      <c r="M665" s="7" t="str">
        <f t="shared" si="4"/>
        <v>Positive</v>
      </c>
      <c r="N665" s="7" t="str">
        <f>IFERROR(__xludf.DUMMYFUNCTION("LOWER(
TRIM(
REGEXREPLACE(B665,""[^a-zA-Z\s]"","""")
)
)
"),"juan azcona")</f>
        <v>juan azcona</v>
      </c>
      <c r="O665" s="7">
        <f t="shared" si="5"/>
        <v>1</v>
      </c>
      <c r="P665" s="8" t="str">
        <f t="shared" si="6"/>
        <v>No</v>
      </c>
    </row>
    <row r="666">
      <c r="A666" s="4" t="s">
        <v>16</v>
      </c>
      <c r="B666" s="4" t="s">
        <v>1910</v>
      </c>
      <c r="C666" s="5">
        <v>44968.0</v>
      </c>
      <c r="D666" s="10">
        <v>44980.0</v>
      </c>
      <c r="E666" s="4" t="s">
        <v>1911</v>
      </c>
      <c r="F666" s="4" t="s">
        <v>1912</v>
      </c>
      <c r="G666" s="6" t="str">
        <f>IFERROR(__xludf.DUMMYFUNCTION("REGEXREPLACE(LOWER(F666),""[^a-z\s]"","""")"),"i mostly order kibble  bull sticks  i order  it always comes quickly")</f>
        <v>i mostly order kibble  bull sticks  i order  it always comes quickly</v>
      </c>
      <c r="H666" s="4" t="str">
        <f t="shared" si="1"/>
        <v>i mostly order kibble bull sticks i order it always comes quickly</v>
      </c>
      <c r="I666" s="6">
        <f t="shared" si="2"/>
        <v>12</v>
      </c>
      <c r="J666" s="6">
        <f>IFERROR(__xludf.DUMMYFUNCTION("IF(H666="""","""",
SUM(
ARRAYFORMULA(
IF(
REGEXMATCH(
"" ""&amp;H666&amp;"" "",
"" ""&amp;Sentiment_Words!A$2:A3730&amp;"" ""
),
1,
0
)
)
)
)"),0.0)</f>
        <v>0</v>
      </c>
      <c r="K666" s="4">
        <f>IFERROR(__xludf.DUMMYFUNCTION("IF(H666="""","""",
SUM(
ARRAYFORMULA(
IF(
REGEXMATCH(
"" ""&amp;H666&amp;"" "",
"" ""&amp;Sentiment_Words!B$2:B3730&amp;"" ""
),
1,
0
)
)
)
)"),0.0)</f>
        <v>0</v>
      </c>
      <c r="L666" s="7" t="str">
        <f t="shared" si="3"/>
        <v>Other</v>
      </c>
      <c r="M666" s="7" t="str">
        <f t="shared" si="4"/>
        <v>Neutral</v>
      </c>
      <c r="N666" s="7" t="str">
        <f>IFERROR(__xludf.DUMMYFUNCTION("LOWER(
TRIM(
REGEXREPLACE(B666,""[^a-zA-Z\s]"","""")
)
)
"),"diane")</f>
        <v>diane</v>
      </c>
      <c r="O666" s="7">
        <f t="shared" si="5"/>
        <v>7</v>
      </c>
      <c r="P666" s="8" t="str">
        <f t="shared" si="6"/>
        <v>Yes</v>
      </c>
    </row>
    <row r="667">
      <c r="A667" s="4" t="s">
        <v>16</v>
      </c>
      <c r="B667" s="4" t="s">
        <v>1913</v>
      </c>
      <c r="C667" s="5">
        <v>44968.0</v>
      </c>
      <c r="D667" s="10">
        <v>44980.0</v>
      </c>
      <c r="E667" s="4" t="s">
        <v>1914</v>
      </c>
      <c r="F667" s="4" t="s">
        <v>1915</v>
      </c>
      <c r="G667" s="6" t="str">
        <f>IFERROR(__xludf.DUMMYFUNCTION("REGEXREPLACE(LOWER(F667),""[^a-z\s]"","""")"),"petflow ships promptly every time we order our fromm dog food from them excellent customer service")</f>
        <v>petflow ships promptly every time we order our fromm dog food from them excellent customer service</v>
      </c>
      <c r="H667" s="4" t="str">
        <f t="shared" si="1"/>
        <v>petflow ships promptly every time we order our fromm dog food from them excellent customer service</v>
      </c>
      <c r="I667" s="6">
        <f t="shared" si="2"/>
        <v>16</v>
      </c>
      <c r="J667" s="6">
        <f>IFERROR(__xludf.DUMMYFUNCTION("IF(H667="""","""",
SUM(
ARRAYFORMULA(
IF(
REGEXMATCH(
"" ""&amp;H667&amp;"" "",
"" ""&amp;Sentiment_Words!A$2:A3730&amp;"" ""
),
1,
0
)
)
)
)"),0.0)</f>
        <v>0</v>
      </c>
      <c r="K667" s="4">
        <f>IFERROR(__xludf.DUMMYFUNCTION("IF(H667="""","""",
SUM(
ARRAYFORMULA(
IF(
REGEXMATCH(
"" ""&amp;H667&amp;"" "",
"" ""&amp;Sentiment_Words!B$2:B3730&amp;"" ""
),
1,
0
)
)
)
)"),1.0)</f>
        <v>1</v>
      </c>
      <c r="L667" s="7" t="str">
        <f t="shared" si="3"/>
        <v>Customer Support</v>
      </c>
      <c r="M667" s="7" t="str">
        <f t="shared" si="4"/>
        <v>Negative</v>
      </c>
      <c r="N667" s="7" t="str">
        <f>IFERROR(__xludf.DUMMYFUNCTION("LOWER(
TRIM(
REGEXREPLACE(B667,""[^a-zA-Z\s]"","""")
)
)
"),"crystalballing")</f>
        <v>crystalballing</v>
      </c>
      <c r="O667" s="7">
        <f t="shared" si="5"/>
        <v>1</v>
      </c>
      <c r="P667" s="8" t="str">
        <f t="shared" si="6"/>
        <v>No</v>
      </c>
    </row>
    <row r="668">
      <c r="A668" s="4" t="s">
        <v>16</v>
      </c>
      <c r="B668" s="4" t="s">
        <v>1916</v>
      </c>
      <c r="C668" s="9">
        <v>44964.0</v>
      </c>
      <c r="D668" s="10">
        <v>44980.0</v>
      </c>
      <c r="E668" s="4" t="s">
        <v>1917</v>
      </c>
      <c r="F668" s="4" t="s">
        <v>1918</v>
      </c>
      <c r="G668" s="6" t="str">
        <f>IFERROR(__xludf.DUMMYFUNCTION("REGEXREPLACE(LOWER(F668),""[^a-z\s]"","""")"),"i ordered cat food for my  fur babies and it always arrives on time petflow has great communication with its costumersi like the extra help if i cant find somethingnice people")</f>
        <v>i ordered cat food for my  fur babies and it always arrives on time petflow has great communication with its costumersi like the extra help if i cant find somethingnice people</v>
      </c>
      <c r="H668" s="4" t="str">
        <f t="shared" si="1"/>
        <v>i ordered cat food my fur babies it always arrives on time petflow has great communication with its costumersi like extra help if i cant find somethingnice people</v>
      </c>
      <c r="I668" s="6">
        <f t="shared" si="2"/>
        <v>28</v>
      </c>
      <c r="J668" s="6">
        <f>IFERROR(__xludf.DUMMYFUNCTION("IF(H668="""","""",
SUM(
ARRAYFORMULA(
IF(
REGEXMATCH(
"" ""&amp;H668&amp;"" "",
"" ""&amp;Sentiment_Words!A$2:A3730&amp;"" ""
),
1,
0
)
)
)
)"),2.0)</f>
        <v>2</v>
      </c>
      <c r="K668" s="4">
        <f>IFERROR(__xludf.DUMMYFUNCTION("IF(H668="""","""",
SUM(
ARRAYFORMULA(
IF(
REGEXMATCH(
"" ""&amp;H668&amp;"" "",
"" ""&amp;Sentiment_Words!B$2:B3730&amp;"" ""
),
1,
0
)
)
)
)"),0.0)</f>
        <v>0</v>
      </c>
      <c r="L668" s="7" t="str">
        <f t="shared" si="3"/>
        <v>Other</v>
      </c>
      <c r="M668" s="7" t="str">
        <f t="shared" si="4"/>
        <v>Positive</v>
      </c>
      <c r="N668" s="7" t="str">
        <f>IFERROR(__xludf.DUMMYFUNCTION("LOWER(
TRIM(
REGEXREPLACE(B668,""[^a-zA-Z\s]"","""")
)
)
"),"terresa holmes")</f>
        <v>terresa holmes</v>
      </c>
      <c r="O668" s="7">
        <f t="shared" si="5"/>
        <v>1</v>
      </c>
      <c r="P668" s="8" t="str">
        <f t="shared" si="6"/>
        <v>No</v>
      </c>
    </row>
    <row r="669">
      <c r="A669" s="4" t="s">
        <v>16</v>
      </c>
      <c r="B669" s="4" t="s">
        <v>1919</v>
      </c>
      <c r="C669" s="5">
        <v>44967.0</v>
      </c>
      <c r="D669" s="10">
        <v>44980.0</v>
      </c>
      <c r="E669" s="4" t="s">
        <v>1920</v>
      </c>
      <c r="F669" s="4" t="s">
        <v>1921</v>
      </c>
      <c r="G669" s="6" t="str">
        <f>IFERROR(__xludf.DUMMYFUNCTION("REGEXREPLACE(LOWER(F669),""[^a-z\s]"","""")"),"tried to place large order using  off  but ran into out of stock items making it difficult once order was finally placed got another out of stock notice if petflow is to be depended on to supply pet needs shouldnt they have items in stock")</f>
        <v>tried to place large order using  off  but ran into out of stock items making it difficult once order was finally placed got another out of stock notice if petflow is to be depended on to supply pet needs shouldnt they have items in stock</v>
      </c>
      <c r="H669" s="4" t="str">
        <f t="shared" si="1"/>
        <v>tried place large order using off but ran into out of stock items making it difficult once order was finally placed got another out of stock notice if petflow be depended on supply pet needs shouldnt they have items in stock</v>
      </c>
      <c r="I669" s="6">
        <f t="shared" si="2"/>
        <v>41</v>
      </c>
      <c r="J669" s="6">
        <f>IFERROR(__xludf.DUMMYFUNCTION("IF(H669="""","""",
SUM(
ARRAYFORMULA(
IF(
REGEXMATCH(
"" ""&amp;H669&amp;"" "",
"" ""&amp;Sentiment_Words!A$2:A3730&amp;"" ""
),
1,
0
)
)
)
)"),0.0)</f>
        <v>0</v>
      </c>
      <c r="K669" s="4">
        <f>IFERROR(__xludf.DUMMYFUNCTION("IF(H669="""","""",
SUM(
ARRAYFORMULA(
IF(
REGEXMATCH(
"" ""&amp;H669&amp;"" "",
"" ""&amp;Sentiment_Words!B$2:B3730&amp;"" ""
),
1,
0
)
)
)
)"),1.0)</f>
        <v>1</v>
      </c>
      <c r="L669" s="7" t="str">
        <f t="shared" si="3"/>
        <v>Availability</v>
      </c>
      <c r="M669" s="7" t="str">
        <f t="shared" si="4"/>
        <v>Negative</v>
      </c>
      <c r="N669" s="7" t="str">
        <f>IFERROR(__xludf.DUMMYFUNCTION("LOWER(
TRIM(
REGEXREPLACE(B669,""[^a-zA-Z\s]"","""")
)
)
"),"tmh")</f>
        <v>tmh</v>
      </c>
      <c r="O669" s="7">
        <f t="shared" si="5"/>
        <v>1</v>
      </c>
      <c r="P669" s="8" t="str">
        <f t="shared" si="6"/>
        <v>No</v>
      </c>
    </row>
    <row r="670">
      <c r="A670" s="4" t="s">
        <v>16</v>
      </c>
      <c r="B670" s="4" t="s">
        <v>1922</v>
      </c>
      <c r="C670" s="9">
        <v>44965.0</v>
      </c>
      <c r="D670" s="10">
        <v>44980.0</v>
      </c>
      <c r="E670" s="4" t="s">
        <v>1923</v>
      </c>
      <c r="F670" s="4" t="s">
        <v>1924</v>
      </c>
      <c r="G670" s="6" t="str">
        <f>IFERROR(__xludf.DUMMYFUNCTION("REGEXREPLACE(LOWER(F670),""[^a-z\s]"","""")"),"petflow has been good for me and my dog elsahappy with productsprice and shipping")</f>
        <v>petflow has been good for me and my dog elsahappy with productsprice and shipping</v>
      </c>
      <c r="H670" s="4" t="str">
        <f t="shared" si="1"/>
        <v>petflow has been good me my dog elsahappy with productsprice shipping</v>
      </c>
      <c r="I670" s="6">
        <f t="shared" si="2"/>
        <v>11</v>
      </c>
      <c r="J670" s="6">
        <f>IFERROR(__xludf.DUMMYFUNCTION("IF(H670="""","""",
SUM(
ARRAYFORMULA(
IF(
REGEXMATCH(
"" ""&amp;H670&amp;"" "",
"" ""&amp;Sentiment_Words!A$2:A3730&amp;"" ""
),
1,
0
)
)
)
)"),1.0)</f>
        <v>1</v>
      </c>
      <c r="K670" s="4">
        <f>IFERROR(__xludf.DUMMYFUNCTION("IF(H670="""","""",
SUM(
ARRAYFORMULA(
IF(
REGEXMATCH(
"" ""&amp;H670&amp;"" "",
"" ""&amp;Sentiment_Words!B$2:B3730&amp;"" ""
),
1,
0
)
)
)
)"),0.0)</f>
        <v>0</v>
      </c>
      <c r="L670" s="7" t="str">
        <f t="shared" si="3"/>
        <v>Other</v>
      </c>
      <c r="M670" s="7" t="str">
        <f t="shared" si="4"/>
        <v>Positive</v>
      </c>
      <c r="N670" s="7" t="str">
        <f>IFERROR(__xludf.DUMMYFUNCTION("LOWER(
TRIM(
REGEXREPLACE(B670,""[^a-zA-Z\s]"","""")
)
)
"),"tracy wight")</f>
        <v>tracy wight</v>
      </c>
      <c r="O670" s="7">
        <f t="shared" si="5"/>
        <v>1</v>
      </c>
      <c r="P670" s="8" t="str">
        <f t="shared" si="6"/>
        <v>No</v>
      </c>
    </row>
    <row r="671">
      <c r="A671" s="4" t="s">
        <v>16</v>
      </c>
      <c r="B671" s="4" t="s">
        <v>1925</v>
      </c>
      <c r="C671" s="5">
        <v>44967.0</v>
      </c>
      <c r="D671" s="10">
        <v>44979.0</v>
      </c>
      <c r="E671" s="4" t="s">
        <v>1926</v>
      </c>
      <c r="F671" s="4" t="s">
        <v>1927</v>
      </c>
      <c r="G671" s="6" t="str">
        <f>IFERROR(__xludf.DUMMYFUNCTION("REGEXREPLACE(LOWER(F671),""[^a-z\s]"","""")"),"great company to deal with they notify you when your next shipment is coming and you can adjust that date if needed good prices too")</f>
        <v>great company to deal with they notify you when your next shipment is coming and you can adjust that date if needed good prices too</v>
      </c>
      <c r="H671" s="4" t="str">
        <f t="shared" si="1"/>
        <v>great company deal with they notify you when your next shipment coming you can adjust that date if needed good prices too</v>
      </c>
      <c r="I671" s="6">
        <f t="shared" si="2"/>
        <v>22</v>
      </c>
      <c r="J671" s="6">
        <f>IFERROR(__xludf.DUMMYFUNCTION("IF(H671="""","""",
SUM(
ARRAYFORMULA(
IF(
REGEXMATCH(
"" ""&amp;H671&amp;"" "",
"" ""&amp;Sentiment_Words!A$2:A3730&amp;"" ""
),
1,
0
)
)
)
)"),2.0)</f>
        <v>2</v>
      </c>
      <c r="K671" s="4">
        <f>IFERROR(__xludf.DUMMYFUNCTION("IF(H671="""","""",
SUM(
ARRAYFORMULA(
IF(
REGEXMATCH(
"" ""&amp;H671&amp;"" "",
"" ""&amp;Sentiment_Words!B$2:B3730&amp;"" ""
),
1,
0
)
)
)
)"),0.0)</f>
        <v>0</v>
      </c>
      <c r="L671" s="7" t="str">
        <f t="shared" si="3"/>
        <v>Other</v>
      </c>
      <c r="M671" s="7" t="str">
        <f t="shared" si="4"/>
        <v>Positive</v>
      </c>
      <c r="N671" s="7" t="str">
        <f>IFERROR(__xludf.DUMMYFUNCTION("LOWER(
TRIM(
REGEXREPLACE(B671,""[^a-zA-Z\s]"","""")
)
)
"),"steven")</f>
        <v>steven</v>
      </c>
      <c r="O671" s="7">
        <f t="shared" si="5"/>
        <v>2</v>
      </c>
      <c r="P671" s="8" t="str">
        <f t="shared" si="6"/>
        <v>Yes</v>
      </c>
    </row>
    <row r="672">
      <c r="A672" s="4" t="s">
        <v>16</v>
      </c>
      <c r="B672" s="4" t="s">
        <v>1928</v>
      </c>
      <c r="C672" s="5">
        <v>44967.0</v>
      </c>
      <c r="D672" s="10">
        <v>44979.0</v>
      </c>
      <c r="E672" s="4" t="s">
        <v>1929</v>
      </c>
      <c r="F672" s="4" t="s">
        <v>1930</v>
      </c>
      <c r="G672" s="6" t="str">
        <f>IFERROR(__xludf.DUMMYFUNCTION("REGEXREPLACE(LOWER(F672),""[^a-z\s]"","""")"),"easy ordering quick shipping")</f>
        <v>easy ordering quick shipping</v>
      </c>
      <c r="H672" s="4" t="str">
        <f t="shared" si="1"/>
        <v>easy ordering quick shipping</v>
      </c>
      <c r="I672" s="6">
        <f t="shared" si="2"/>
        <v>4</v>
      </c>
      <c r="J672" s="6">
        <f>IFERROR(__xludf.DUMMYFUNCTION("IF(H672="""","""",
SUM(
ARRAYFORMULA(
IF(
REGEXMATCH(
"" ""&amp;H672&amp;"" "",
"" ""&amp;Sentiment_Words!A$2:A3730&amp;"" ""
),
1,
0
)
)
)
)"),1.0)</f>
        <v>1</v>
      </c>
      <c r="K672" s="4">
        <f>IFERROR(__xludf.DUMMYFUNCTION("IF(H672="""","""",
SUM(
ARRAYFORMULA(
IF(
REGEXMATCH(
"" ""&amp;H672&amp;"" "",
"" ""&amp;Sentiment_Words!B$2:B3730&amp;"" ""
),
1,
0
)
)
)
)"),0.0)</f>
        <v>0</v>
      </c>
      <c r="L672" s="7" t="str">
        <f t="shared" si="3"/>
        <v>Other</v>
      </c>
      <c r="M672" s="7" t="str">
        <f t="shared" si="4"/>
        <v>Positive</v>
      </c>
      <c r="N672" s="7" t="str">
        <f>IFERROR(__xludf.DUMMYFUNCTION("LOWER(
TRIM(
REGEXREPLACE(B672,""[^a-zA-Z\s]"","""")
)
)
"),"gail morrison")</f>
        <v>gail morrison</v>
      </c>
      <c r="O672" s="7">
        <f t="shared" si="5"/>
        <v>1</v>
      </c>
      <c r="P672" s="8" t="str">
        <f t="shared" si="6"/>
        <v>No</v>
      </c>
    </row>
    <row r="673">
      <c r="A673" s="4" t="s">
        <v>16</v>
      </c>
      <c r="B673" s="4" t="s">
        <v>1931</v>
      </c>
      <c r="C673" s="5">
        <v>44967.0</v>
      </c>
      <c r="D673" s="10">
        <v>44979.0</v>
      </c>
      <c r="E673" s="4" t="s">
        <v>1811</v>
      </c>
      <c r="F673" s="4" t="s">
        <v>1932</v>
      </c>
      <c r="G673" s="6" t="str">
        <f>IFERROR(__xludf.DUMMYFUNCTION("REGEXREPLACE(LOWER(F673),""[^a-z\s]"","""")"),"the products arrived undamaged with heavy cans that is great")</f>
        <v>the products arrived undamaged with heavy cans that is great</v>
      </c>
      <c r="H673" s="4" t="str">
        <f t="shared" si="1"/>
        <v>products arrived undamaged with heavy cans that great</v>
      </c>
      <c r="I673" s="6">
        <f t="shared" si="2"/>
        <v>8</v>
      </c>
      <c r="J673" s="6">
        <f>IFERROR(__xludf.DUMMYFUNCTION("IF(H673="""","""",
SUM(
ARRAYFORMULA(
IF(
REGEXMATCH(
"" ""&amp;H673&amp;"" "",
"" ""&amp;Sentiment_Words!A$2:A3730&amp;"" ""
),
1,
0
)
)
)
)"),1.0)</f>
        <v>1</v>
      </c>
      <c r="K673" s="4">
        <f>IFERROR(__xludf.DUMMYFUNCTION("IF(H673="""","""",
SUM(
ARRAYFORMULA(
IF(
REGEXMATCH(
"" ""&amp;H673&amp;"" "",
"" ""&amp;Sentiment_Words!B$2:B3730&amp;"" ""
),
1,
0
)
)
)
)"),0.0)</f>
        <v>0</v>
      </c>
      <c r="L673" s="7" t="str">
        <f t="shared" si="3"/>
        <v>Other</v>
      </c>
      <c r="M673" s="7" t="str">
        <f t="shared" si="4"/>
        <v>Positive</v>
      </c>
      <c r="N673" s="7" t="str">
        <f>IFERROR(__xludf.DUMMYFUNCTION("LOWER(
TRIM(
REGEXREPLACE(B673,""[^a-zA-Z\s]"","""")
)
)
"),"angie hutchins")</f>
        <v>angie hutchins</v>
      </c>
      <c r="O673" s="7">
        <f t="shared" si="5"/>
        <v>1</v>
      </c>
      <c r="P673" s="8" t="str">
        <f t="shared" si="6"/>
        <v>No</v>
      </c>
    </row>
    <row r="674">
      <c r="A674" s="4" t="s">
        <v>16</v>
      </c>
      <c r="B674" s="4" t="s">
        <v>1933</v>
      </c>
      <c r="C674" s="5">
        <v>44968.0</v>
      </c>
      <c r="D674" s="10">
        <v>44979.0</v>
      </c>
      <c r="E674" s="4" t="s">
        <v>1934</v>
      </c>
      <c r="F674" s="4" t="s">
        <v>1935</v>
      </c>
      <c r="G674" s="6" t="str">
        <f>IFERROR(__xludf.DUMMYFUNCTION("REGEXREPLACE(LOWER(F674),""[^a-z\s]"","""")"),"had the food in stock and promptly shipped")</f>
        <v>had the food in stock and promptly shipped</v>
      </c>
      <c r="H674" s="4" t="str">
        <f t="shared" si="1"/>
        <v>had food in stock promptly shipped</v>
      </c>
      <c r="I674" s="6">
        <f t="shared" si="2"/>
        <v>6</v>
      </c>
      <c r="J674" s="6">
        <f>IFERROR(__xludf.DUMMYFUNCTION("IF(H674="""","""",
SUM(
ARRAYFORMULA(
IF(
REGEXMATCH(
"" ""&amp;H674&amp;"" "",
"" ""&amp;Sentiment_Words!A$2:A3730&amp;"" ""
),
1,
0
)
)
)
)"),0.0)</f>
        <v>0</v>
      </c>
      <c r="K674" s="4">
        <f>IFERROR(__xludf.DUMMYFUNCTION("IF(H674="""","""",
SUM(
ARRAYFORMULA(
IF(
REGEXMATCH(
"" ""&amp;H674&amp;"" "",
"" ""&amp;Sentiment_Words!B$2:B3730&amp;"" ""
),
1,
0
)
)
)
)"),0.0)</f>
        <v>0</v>
      </c>
      <c r="L674" s="7" t="str">
        <f t="shared" si="3"/>
        <v>Other</v>
      </c>
      <c r="M674" s="7" t="str">
        <f t="shared" si="4"/>
        <v>Neutral</v>
      </c>
      <c r="N674" s="7" t="str">
        <f>IFERROR(__xludf.DUMMYFUNCTION("LOWER(
TRIM(
REGEXREPLACE(B674,""[^a-zA-Z\s]"","""")
)
)
"),"brian ohearn")</f>
        <v>brian ohearn</v>
      </c>
      <c r="O674" s="7">
        <f t="shared" si="5"/>
        <v>1</v>
      </c>
      <c r="P674" s="8" t="str">
        <f t="shared" si="6"/>
        <v>No</v>
      </c>
    </row>
    <row r="675">
      <c r="A675" s="4" t="s">
        <v>16</v>
      </c>
      <c r="B675" s="4" t="s">
        <v>1936</v>
      </c>
      <c r="C675" s="5">
        <v>44967.0</v>
      </c>
      <c r="D675" s="10">
        <v>44979.0</v>
      </c>
      <c r="E675" s="4" t="s">
        <v>1937</v>
      </c>
      <c r="F675" s="4" t="s">
        <v>1938</v>
      </c>
      <c r="G675" s="6" t="str">
        <f>IFERROR(__xludf.DUMMYFUNCTION("REGEXREPLACE(LOWER(F675),""[^a-z\s]"","""")"),"i received my first bully sticks from my dogs breeder when my bernese mountain dog treated them like candy the doc suggested i only order natures own grass feed steer service price and reliability have been excellent i am am auto ship customer now")</f>
        <v>i received my first bully sticks from my dogs breeder when my bernese mountain dog treated them like candy the doc suggested i only order natures own grass feed steer service price and reliability have been excellent i am am auto ship customer now</v>
      </c>
      <c r="H675" s="4" t="str">
        <f t="shared" si="1"/>
        <v>i received my first bully sticks from my dogs breeder when my bernese mountain dog treated them like candy doc suggested i only order natures own grass feed steer service price reliability have been excellent i am am auto ship customer now</v>
      </c>
      <c r="I675" s="6">
        <f t="shared" si="2"/>
        <v>42</v>
      </c>
      <c r="J675" s="6">
        <f>IFERROR(__xludf.DUMMYFUNCTION("IF(H675="""","""",
SUM(
ARRAYFORMULA(
IF(
REGEXMATCH(
"" ""&amp;H675&amp;"" "",
"" ""&amp;Sentiment_Words!A$2:A3730&amp;"" ""
),
1,
0
)
)
)
)"),1.0)</f>
        <v>1</v>
      </c>
      <c r="K675" s="4">
        <f>IFERROR(__xludf.DUMMYFUNCTION("IF(H675="""","""",
SUM(
ARRAYFORMULA(
IF(
REGEXMATCH(
"" ""&amp;H675&amp;"" "",
"" ""&amp;Sentiment_Words!B$2:B3730&amp;"" ""
),
1,
0
)
)
)
)"),0.0)</f>
        <v>0</v>
      </c>
      <c r="L675" s="7" t="str">
        <f t="shared" si="3"/>
        <v>Customer Support</v>
      </c>
      <c r="M675" s="7" t="str">
        <f t="shared" si="4"/>
        <v>Positive</v>
      </c>
      <c r="N675" s="7" t="str">
        <f>IFERROR(__xludf.DUMMYFUNCTION("LOWER(
TRIM(
REGEXREPLACE(B675,""[^a-zA-Z\s]"","""")
)
)
"),"john oroke")</f>
        <v>john oroke</v>
      </c>
      <c r="O675" s="7">
        <f t="shared" si="5"/>
        <v>1</v>
      </c>
      <c r="P675" s="8" t="str">
        <f t="shared" si="6"/>
        <v>No</v>
      </c>
    </row>
    <row r="676">
      <c r="A676" s="4" t="s">
        <v>16</v>
      </c>
      <c r="B676" s="4" t="s">
        <v>1939</v>
      </c>
      <c r="C676" s="5">
        <v>44967.0</v>
      </c>
      <c r="D676" s="10">
        <v>44979.0</v>
      </c>
      <c r="E676" s="4" t="s">
        <v>1940</v>
      </c>
      <c r="F676" s="4" t="s">
        <v>1941</v>
      </c>
      <c r="G676" s="6" t="str">
        <f>IFERROR(__xludf.DUMMYFUNCTION("REGEXREPLACE(LOWER(F676),""[^a-z\s]"","""")"),"i changed suppliers of canned dog food and got the same product for a substantially reduced price
im happy")</f>
        <v>i changed suppliers of canned dog food and got the same product for a substantially reduced price
im happy</v>
      </c>
      <c r="H676" s="4" t="str">
        <f t="shared" si="1"/>
        <v>i changed suppliers of canned dog food got same product a substantially reduced price
im happy</v>
      </c>
      <c r="I676" s="6">
        <f t="shared" si="2"/>
        <v>15</v>
      </c>
      <c r="J676" s="6">
        <f>IFERROR(__xludf.DUMMYFUNCTION("IF(H676="""","""",
SUM(
ARRAYFORMULA(
IF(
REGEXMATCH(
"" ""&amp;H676&amp;"" "",
"" ""&amp;Sentiment_Words!A$2:A3730&amp;"" ""
),
1,
0
)
)
)
)"),1.0)</f>
        <v>1</v>
      </c>
      <c r="K676" s="4">
        <f>IFERROR(__xludf.DUMMYFUNCTION("IF(H676="""","""",
SUM(
ARRAYFORMULA(
IF(
REGEXMATCH(
"" ""&amp;H676&amp;"" "",
"" ""&amp;Sentiment_Words!B$2:B3730&amp;"" ""
),
1,
0
)
)
)
)"),0.0)</f>
        <v>0</v>
      </c>
      <c r="L676" s="7" t="str">
        <f t="shared" si="3"/>
        <v>Other</v>
      </c>
      <c r="M676" s="7" t="str">
        <f t="shared" si="4"/>
        <v>Positive</v>
      </c>
      <c r="N676" s="7" t="str">
        <f>IFERROR(__xludf.DUMMYFUNCTION("LOWER(
TRIM(
REGEXREPLACE(B676,""[^a-zA-Z\s]"","""")
)
)
"),"jj")</f>
        <v>jj</v>
      </c>
      <c r="O676" s="7">
        <f t="shared" si="5"/>
        <v>2</v>
      </c>
      <c r="P676" s="8" t="str">
        <f t="shared" si="6"/>
        <v>Yes</v>
      </c>
    </row>
    <row r="677">
      <c r="A677" s="4" t="s">
        <v>16</v>
      </c>
      <c r="B677" s="4" t="s">
        <v>1942</v>
      </c>
      <c r="C677" s="5">
        <v>44967.0</v>
      </c>
      <c r="D677" s="10">
        <v>44979.0</v>
      </c>
      <c r="E677" s="4" t="s">
        <v>1943</v>
      </c>
      <c r="F677" s="4" t="s">
        <v>1944</v>
      </c>
      <c r="G677" s="6" t="str">
        <f>IFERROR(__xludf.DUMMYFUNCTION("REGEXREPLACE(LOWER(F677),""[^a-z\s]"","""")"),"great prices great service")</f>
        <v>great prices great service</v>
      </c>
      <c r="H677" s="4" t="str">
        <f t="shared" si="1"/>
        <v>great prices great service</v>
      </c>
      <c r="I677" s="6">
        <f t="shared" si="2"/>
        <v>4</v>
      </c>
      <c r="J677" s="6">
        <f>IFERROR(__xludf.DUMMYFUNCTION("IF(H677="""","""",
SUM(
ARRAYFORMULA(
IF(
REGEXMATCH(
"" ""&amp;H677&amp;"" "",
"" ""&amp;Sentiment_Words!A$2:A3730&amp;"" ""
),
1,
0
)
)
)
)"),1.0)</f>
        <v>1</v>
      </c>
      <c r="K677" s="4">
        <f>IFERROR(__xludf.DUMMYFUNCTION("IF(H677="""","""",
SUM(
ARRAYFORMULA(
IF(
REGEXMATCH(
"" ""&amp;H677&amp;"" "",
"" ""&amp;Sentiment_Words!B$2:B3730&amp;"" ""
),
1,
0
)
)
)
)"),0.0)</f>
        <v>0</v>
      </c>
      <c r="L677" s="7" t="str">
        <f t="shared" si="3"/>
        <v>Customer Support</v>
      </c>
      <c r="M677" s="7" t="str">
        <f t="shared" si="4"/>
        <v>Positive</v>
      </c>
      <c r="N677" s="7" t="str">
        <f>IFERROR(__xludf.DUMMYFUNCTION("LOWER(
TRIM(
REGEXREPLACE(B677,""[^a-zA-Z\s]"","""")
)
)
"),"spike cover")</f>
        <v>spike cover</v>
      </c>
      <c r="O677" s="7">
        <f t="shared" si="5"/>
        <v>1</v>
      </c>
      <c r="P677" s="8" t="str">
        <f t="shared" si="6"/>
        <v>No</v>
      </c>
    </row>
    <row r="678">
      <c r="A678" s="4" t="s">
        <v>16</v>
      </c>
      <c r="B678" s="4" t="s">
        <v>1945</v>
      </c>
      <c r="C678" s="5">
        <v>44967.0</v>
      </c>
      <c r="D678" s="10">
        <v>44979.0</v>
      </c>
      <c r="E678" s="4" t="s">
        <v>181</v>
      </c>
      <c r="F678" s="4" t="s">
        <v>1946</v>
      </c>
      <c r="G678" s="6" t="str">
        <f>IFERROR(__xludf.DUMMYFUNCTION("REGEXREPLACE(LOWER(F678),""[^a-z\s]"","""")"),"phone reps were great on both occasions this month they worked diligently to get my order dates changed and on the  lb bag of catfood for the ferals got it shipped out the same day")</f>
        <v>phone reps were great on both occasions this month they worked diligently to get my order dates changed and on the  lb bag of catfood for the ferals got it shipped out the same day</v>
      </c>
      <c r="H678" s="4" t="str">
        <f t="shared" si="1"/>
        <v>phone reps were great on both occasions this month they worked diligently get my order dates changed on lb bag of catfood ferals got it shipped out same day</v>
      </c>
      <c r="I678" s="6">
        <f t="shared" si="2"/>
        <v>29</v>
      </c>
      <c r="J678" s="6">
        <f>IFERROR(__xludf.DUMMYFUNCTION("IF(H678="""","""",
SUM(
ARRAYFORMULA(
IF(
REGEXMATCH(
"" ""&amp;H678&amp;"" "",
"" ""&amp;Sentiment_Words!A$2:A3730&amp;"" ""
),
1,
0
)
)
)
)"),2.0)</f>
        <v>2</v>
      </c>
      <c r="K678" s="4">
        <f>IFERROR(__xludf.DUMMYFUNCTION("IF(H678="""","""",
SUM(
ARRAYFORMULA(
IF(
REGEXMATCH(
"" ""&amp;H678&amp;"" "",
"" ""&amp;Sentiment_Words!B$2:B3730&amp;"" ""
),
1,
0
)
)
)
)"),0.0)</f>
        <v>0</v>
      </c>
      <c r="L678" s="7" t="str">
        <f t="shared" si="3"/>
        <v>Other</v>
      </c>
      <c r="M678" s="7" t="str">
        <f t="shared" si="4"/>
        <v>Positive</v>
      </c>
      <c r="N678" s="7" t="str">
        <f>IFERROR(__xludf.DUMMYFUNCTION("LOWER(
TRIM(
REGEXREPLACE(B678,""[^a-zA-Z\s]"","""")
)
)
"),"richard qq")</f>
        <v>richard qq</v>
      </c>
      <c r="O678" s="7">
        <f t="shared" si="5"/>
        <v>1</v>
      </c>
      <c r="P678" s="8" t="str">
        <f t="shared" si="6"/>
        <v>No</v>
      </c>
    </row>
    <row r="679">
      <c r="A679" s="4" t="s">
        <v>16</v>
      </c>
      <c r="B679" s="4" t="s">
        <v>1947</v>
      </c>
      <c r="C679" s="5">
        <v>44967.0</v>
      </c>
      <c r="D679" s="10">
        <v>44979.0</v>
      </c>
      <c r="E679" s="4" t="s">
        <v>1948</v>
      </c>
      <c r="F679" s="4" t="s">
        <v>1949</v>
      </c>
      <c r="G679" s="6" t="str">
        <f>IFERROR(__xludf.DUMMYFUNCTION("REGEXREPLACE(LOWER(F679),""[^a-z\s]"","""")"),"while the checkout experience was decent and i was able to save money with a coupon this all made me happy  once my package was delivered i was not happy i bought  bags of dog treats for my  boys and  of those bags  of same kindflavor all expire next mont"&amp;"h they will not be eaten by then and are therefore no good to me and a waste of money very dissatisfied those treats are expensive and i have wasted money now do you not check your products for expiration dates how is this ok")</f>
        <v>while the checkout experience was decent and i was able to save money with a coupon this all made me happy  once my package was delivered i was not happy i bought  bags of dog treats for my  boys and  of those bags  of same kindflavor all expire next month they will not be eaten by then and are therefore no good to me and a waste of money very dissatisfied those treats are expensive and i have wasted money now do you not check your products for expiration dates how is this ok</v>
      </c>
      <c r="H679" s="4" t="str">
        <f t="shared" si="1"/>
        <v>while checkout experience was decent i was able save money with a coupon this all made me happy once my package was delivered i was not happy i bought bags of dog treats my boys of those bags of same kindflavor all expire next month they will not be eaten by then are therefore no good me a waste of money very dissatisfied those treats are expensive i have wasted money now do you not check your products expiration dates how this ok</v>
      </c>
      <c r="I679" s="6">
        <f t="shared" si="2"/>
        <v>83</v>
      </c>
      <c r="J679" s="6">
        <f>IFERROR(__xludf.DUMMYFUNCTION("IF(H679="""","""",
SUM(
ARRAYFORMULA(
IF(
REGEXMATCH(
"" ""&amp;H679&amp;"" "",
"" ""&amp;Sentiment_Words!A$2:A3730&amp;"" ""
),
1,
0
)
)
)
)"),4.0)</f>
        <v>4</v>
      </c>
      <c r="K679" s="4">
        <f>IFERROR(__xludf.DUMMYFUNCTION("IF(H679="""","""",
SUM(
ARRAYFORMULA(
IF(
REGEXMATCH(
"" ""&amp;H679&amp;"" "",
"" ""&amp;Sentiment_Words!B$2:B3730&amp;"" ""
),
1,
0
)
)
)
)"),0.0)</f>
        <v>0</v>
      </c>
      <c r="L679" s="7" t="str">
        <f t="shared" si="3"/>
        <v>Other</v>
      </c>
      <c r="M679" s="7" t="str">
        <f t="shared" si="4"/>
        <v>Positive</v>
      </c>
      <c r="N679" s="7" t="str">
        <f>IFERROR(__xludf.DUMMYFUNCTION("LOWER(
TRIM(
REGEXREPLACE(B679,""[^a-zA-Z\s]"","""")
)
)
"),"david hansen")</f>
        <v>david hansen</v>
      </c>
      <c r="O679" s="7">
        <f t="shared" si="5"/>
        <v>1</v>
      </c>
      <c r="P679" s="8" t="str">
        <f t="shared" si="6"/>
        <v>No</v>
      </c>
    </row>
    <row r="680">
      <c r="A680" s="4" t="s">
        <v>16</v>
      </c>
      <c r="B680" s="4" t="s">
        <v>1950</v>
      </c>
      <c r="C680" s="9">
        <v>44966.0</v>
      </c>
      <c r="D680" s="10">
        <v>44979.0</v>
      </c>
      <c r="E680" s="4" t="s">
        <v>1951</v>
      </c>
      <c r="F680" s="4" t="s">
        <v>1952</v>
      </c>
      <c r="G680" s="6" t="str">
        <f>IFERROR(__xludf.DUMMYFUNCTION("REGEXREPLACE(LOWER(F680),""[^a-z\s]"","""")"),"you are reliable honest efficient and timely")</f>
        <v>you are reliable honest efficient and timely</v>
      </c>
      <c r="H680" s="4" t="str">
        <f t="shared" si="1"/>
        <v>you are reliable honest efficient timely</v>
      </c>
      <c r="I680" s="6">
        <f t="shared" si="2"/>
        <v>6</v>
      </c>
      <c r="J680" s="6">
        <f>IFERROR(__xludf.DUMMYFUNCTION("IF(H680="""","""",
SUM(
ARRAYFORMULA(
IF(
REGEXMATCH(
"" ""&amp;H680&amp;"" "",
"" ""&amp;Sentiment_Words!A$2:A3730&amp;"" ""
),
1,
0
)
)
)
)"),2.0)</f>
        <v>2</v>
      </c>
      <c r="K680" s="4">
        <f>IFERROR(__xludf.DUMMYFUNCTION("IF(H680="""","""",
SUM(
ARRAYFORMULA(
IF(
REGEXMATCH(
"" ""&amp;H680&amp;"" "",
"" ""&amp;Sentiment_Words!B$2:B3730&amp;"" ""
),
1,
0
)
)
)
)"),0.0)</f>
        <v>0</v>
      </c>
      <c r="L680" s="7" t="str">
        <f t="shared" si="3"/>
        <v>Other</v>
      </c>
      <c r="M680" s="7" t="str">
        <f t="shared" si="4"/>
        <v>Positive</v>
      </c>
      <c r="N680" s="7" t="str">
        <f>IFERROR(__xludf.DUMMYFUNCTION("LOWER(
TRIM(
REGEXREPLACE(B680,""[^a-zA-Z\s]"","""")
)
)
"),"cambrea hendricks")</f>
        <v>cambrea hendricks</v>
      </c>
      <c r="O680" s="7">
        <f t="shared" si="5"/>
        <v>1</v>
      </c>
      <c r="P680" s="8" t="str">
        <f t="shared" si="6"/>
        <v>No</v>
      </c>
    </row>
    <row r="681">
      <c r="A681" s="4" t="s">
        <v>16</v>
      </c>
      <c r="B681" s="4" t="s">
        <v>1953</v>
      </c>
      <c r="C681" s="9">
        <v>44965.0</v>
      </c>
      <c r="D681" s="10">
        <v>44979.0</v>
      </c>
      <c r="E681" s="4" t="s">
        <v>1954</v>
      </c>
      <c r="F681" s="4" t="s">
        <v>331</v>
      </c>
      <c r="G681" s="6" t="str">
        <f>IFERROR(__xludf.DUMMYFUNCTION("REGEXREPLACE(LOWER(F681),""[^a-z\s]"","""")"),"none")</f>
        <v>none</v>
      </c>
      <c r="H681" s="4" t="str">
        <f t="shared" si="1"/>
        <v>none</v>
      </c>
      <c r="I681" s="6">
        <f t="shared" si="2"/>
        <v>1</v>
      </c>
      <c r="J681" s="6">
        <f>IFERROR(__xludf.DUMMYFUNCTION("IF(H681="""","""",
SUM(
ARRAYFORMULA(
IF(
REGEXMATCH(
"" ""&amp;H681&amp;"" "",
"" ""&amp;Sentiment_Words!A$2:A3730&amp;"" ""
),
1,
0
)
)
)
)"),0.0)</f>
        <v>0</v>
      </c>
      <c r="K681" s="4">
        <f>IFERROR(__xludf.DUMMYFUNCTION("IF(H681="""","""",
SUM(
ARRAYFORMULA(
IF(
REGEXMATCH(
"" ""&amp;H681&amp;"" "",
"" ""&amp;Sentiment_Words!B$2:B3730&amp;"" ""
),
1,
0
)
)
)
)"),0.0)</f>
        <v>0</v>
      </c>
      <c r="L681" s="7" t="str">
        <f t="shared" si="3"/>
        <v>Other</v>
      </c>
      <c r="M681" s="7" t="str">
        <f t="shared" si="4"/>
        <v>Neutral</v>
      </c>
      <c r="N681" s="7" t="str">
        <f>IFERROR(__xludf.DUMMYFUNCTION("LOWER(
TRIM(
REGEXREPLACE(B681,""[^a-zA-Z\s]"","""")
)
)
"),"laurel long")</f>
        <v>laurel long</v>
      </c>
      <c r="O681" s="7">
        <f t="shared" si="5"/>
        <v>1</v>
      </c>
      <c r="P681" s="8" t="str">
        <f t="shared" si="6"/>
        <v>No</v>
      </c>
    </row>
    <row r="682">
      <c r="A682" s="4" t="s">
        <v>16</v>
      </c>
      <c r="B682" s="4" t="s">
        <v>1955</v>
      </c>
      <c r="C682" s="9">
        <v>44966.0</v>
      </c>
      <c r="D682" s="10">
        <v>44979.0</v>
      </c>
      <c r="E682" s="4" t="s">
        <v>1956</v>
      </c>
      <c r="F682" s="4" t="s">
        <v>1957</v>
      </c>
      <c r="G682" s="6" t="str">
        <f>IFERROR(__xludf.DUMMYFUNCTION("REGEXREPLACE(LOWER(F682),""[^a-z\s]"","""")"),"the filters and search were not fluid or user friendly so many items out of stock but that was not known making it time consuming i nearly gave up twice because of the experience not sure how the rest of the site is as i only searched for cat food and a d"&amp;"og bone")</f>
        <v>the filters and search were not fluid or user friendly so many items out of stock but that was not known making it time consuming i nearly gave up twice because of the experience not sure how the rest of the site is as i only searched for cat food and a dog bone</v>
      </c>
      <c r="H682" s="4" t="str">
        <f t="shared" si="1"/>
        <v>filters search were not fluid or user friendly so many items out of stock but that was not known making it time consuming i nearly gave up twice because of experience not sure how rest of site as i only searched cat food a dog bone</v>
      </c>
      <c r="I682" s="6">
        <f t="shared" si="2"/>
        <v>46</v>
      </c>
      <c r="J682" s="6">
        <f>IFERROR(__xludf.DUMMYFUNCTION("IF(H682="""","""",
SUM(
ARRAYFORMULA(
IF(
REGEXMATCH(
"" ""&amp;H682&amp;"" "",
"" ""&amp;Sentiment_Words!A$2:A3730&amp;"" ""
),
1,
0
)
)
)
)"),0.0)</f>
        <v>0</v>
      </c>
      <c r="K682" s="4">
        <f>IFERROR(__xludf.DUMMYFUNCTION("IF(H682="""","""",
SUM(
ARRAYFORMULA(
IF(
REGEXMATCH(
"" ""&amp;H682&amp;"" "",
"" ""&amp;Sentiment_Words!B$2:B3730&amp;"" ""
),
1,
0
)
)
)
)"),1.0)</f>
        <v>1</v>
      </c>
      <c r="L682" s="7" t="str">
        <f t="shared" si="3"/>
        <v>Availability</v>
      </c>
      <c r="M682" s="7" t="str">
        <f t="shared" si="4"/>
        <v>Negative</v>
      </c>
      <c r="N682" s="7" t="str">
        <f>IFERROR(__xludf.DUMMYFUNCTION("LOWER(
TRIM(
REGEXREPLACE(B682,""[^a-zA-Z\s]"","""")
)
)
"),"mhan")</f>
        <v>mhan</v>
      </c>
      <c r="O682" s="7">
        <f t="shared" si="5"/>
        <v>1</v>
      </c>
      <c r="P682" s="8" t="str">
        <f t="shared" si="6"/>
        <v>No</v>
      </c>
    </row>
    <row r="683">
      <c r="A683" s="4" t="s">
        <v>16</v>
      </c>
      <c r="B683" s="4" t="s">
        <v>1958</v>
      </c>
      <c r="C683" s="9">
        <v>44966.0</v>
      </c>
      <c r="D683" s="10">
        <v>44979.0</v>
      </c>
      <c r="E683" s="4" t="s">
        <v>1959</v>
      </c>
      <c r="F683" s="4" t="s">
        <v>1960</v>
      </c>
      <c r="G683" s="6" t="str">
        <f>IFERROR(__xludf.DUMMYFUNCTION("REGEXREPLACE(LOWER(F683),""[^a-z\s]"","""")"),"order process easy great service corresponding with our vet")</f>
        <v>order process easy great service corresponding with our vet</v>
      </c>
      <c r="H683" s="4" t="str">
        <f t="shared" si="1"/>
        <v>order process easy great service corresponding with our vet</v>
      </c>
      <c r="I683" s="6">
        <f t="shared" si="2"/>
        <v>9</v>
      </c>
      <c r="J683" s="6">
        <f>IFERROR(__xludf.DUMMYFUNCTION("IF(H683="""","""",
SUM(
ARRAYFORMULA(
IF(
REGEXMATCH(
"" ""&amp;H683&amp;"" "",
"" ""&amp;Sentiment_Words!A$2:A3730&amp;"" ""
),
1,
0
)
)
)
)"),2.0)</f>
        <v>2</v>
      </c>
      <c r="K683" s="4">
        <f>IFERROR(__xludf.DUMMYFUNCTION("IF(H683="""","""",
SUM(
ARRAYFORMULA(
IF(
REGEXMATCH(
"" ""&amp;H683&amp;"" "",
"" ""&amp;Sentiment_Words!B$2:B3730&amp;"" ""
),
1,
0
)
)
)
)"),0.0)</f>
        <v>0</v>
      </c>
      <c r="L683" s="7" t="str">
        <f t="shared" si="3"/>
        <v>Customer Support</v>
      </c>
      <c r="M683" s="7" t="str">
        <f t="shared" si="4"/>
        <v>Positive</v>
      </c>
      <c r="N683" s="7" t="str">
        <f>IFERROR(__xludf.DUMMYFUNCTION("LOWER(
TRIM(
REGEXREPLACE(B683,""[^a-zA-Z\s]"","""")
)
)
"),"customer ellen")</f>
        <v>customer ellen</v>
      </c>
      <c r="O683" s="7">
        <f t="shared" si="5"/>
        <v>1</v>
      </c>
      <c r="P683" s="8" t="str">
        <f t="shared" si="6"/>
        <v>No</v>
      </c>
    </row>
    <row r="684">
      <c r="A684" s="4" t="s">
        <v>16</v>
      </c>
      <c r="B684" s="4" t="s">
        <v>1961</v>
      </c>
      <c r="C684" s="9">
        <v>44965.0</v>
      </c>
      <c r="D684" s="10">
        <v>44978.0</v>
      </c>
      <c r="E684" s="4" t="s">
        <v>1962</v>
      </c>
      <c r="F684" s="4" t="s">
        <v>1963</v>
      </c>
      <c r="G684" s="6" t="str">
        <f>IFERROR(__xludf.DUMMYFUNCTION("REGEXREPLACE(LOWER(F684),""[^a-z\s]"","""")"),"easy to find what i needed at a good price
thanks")</f>
        <v>easy to find what i needed at a good price
thanks</v>
      </c>
      <c r="H684" s="4" t="str">
        <f t="shared" si="1"/>
        <v>easy find what i needed at a good price
thanks</v>
      </c>
      <c r="I684" s="6">
        <f t="shared" si="2"/>
        <v>9</v>
      </c>
      <c r="J684" s="6">
        <f>IFERROR(__xludf.DUMMYFUNCTION("IF(H684="""","""",
SUM(
ARRAYFORMULA(
IF(
REGEXMATCH(
"" ""&amp;H684&amp;"" "",
"" ""&amp;Sentiment_Words!A$2:A3730&amp;"" ""
),
1,
0
)
)
)
)"),2.0)</f>
        <v>2</v>
      </c>
      <c r="K684" s="4">
        <f>IFERROR(__xludf.DUMMYFUNCTION("IF(H684="""","""",
SUM(
ARRAYFORMULA(
IF(
REGEXMATCH(
"" ""&amp;H684&amp;"" "",
"" ""&amp;Sentiment_Words!B$2:B3730&amp;"" ""
),
1,
0
)
)
)
)"),0.0)</f>
        <v>0</v>
      </c>
      <c r="L684" s="7" t="str">
        <f t="shared" si="3"/>
        <v>Other</v>
      </c>
      <c r="M684" s="7" t="str">
        <f t="shared" si="4"/>
        <v>Positive</v>
      </c>
      <c r="N684" s="7" t="str">
        <f>IFERROR(__xludf.DUMMYFUNCTION("LOWER(
TRIM(
REGEXREPLACE(B684,""[^a-zA-Z\s]"","""")
)
)
"),"shelly g")</f>
        <v>shelly g</v>
      </c>
      <c r="O684" s="7">
        <f t="shared" si="5"/>
        <v>1</v>
      </c>
      <c r="P684" s="8" t="str">
        <f t="shared" si="6"/>
        <v>No</v>
      </c>
    </row>
    <row r="685">
      <c r="A685" s="4" t="s">
        <v>16</v>
      </c>
      <c r="B685" s="4" t="s">
        <v>1519</v>
      </c>
      <c r="C685" s="9">
        <v>44966.0</v>
      </c>
      <c r="D685" s="10">
        <v>44978.0</v>
      </c>
      <c r="E685" s="4" t="s">
        <v>1964</v>
      </c>
      <c r="F685" s="4" t="s">
        <v>1965</v>
      </c>
      <c r="G685" s="6" t="str">
        <f>IFERROR(__xludf.DUMMYFUNCTION("REGEXREPLACE(LOWER(F685),""[^a-z\s]"","""")"),"shipment always delayed and customer service never responds to email ")</f>
        <v>shipment always delayed and customer service never responds to email </v>
      </c>
      <c r="H685" s="4" t="str">
        <f t="shared" si="1"/>
        <v>shipment always delayed customer service never responds email</v>
      </c>
      <c r="I685" s="6">
        <f t="shared" si="2"/>
        <v>8</v>
      </c>
      <c r="J685" s="6">
        <f>IFERROR(__xludf.DUMMYFUNCTION("IF(H685="""","""",
SUM(
ARRAYFORMULA(
IF(
REGEXMATCH(
"" ""&amp;H685&amp;"" "",
"" ""&amp;Sentiment_Words!A$2:A3730&amp;"" ""
),
1,
0
)
)
)
)"),0.0)</f>
        <v>0</v>
      </c>
      <c r="K685" s="4">
        <f>IFERROR(__xludf.DUMMYFUNCTION("IF(H685="""","""",
SUM(
ARRAYFORMULA(
IF(
REGEXMATCH(
"" ""&amp;H685&amp;"" "",
"" ""&amp;Sentiment_Words!B$2:B3730&amp;"" ""
),
1,
0
)
)
)
)"),2.0)</f>
        <v>2</v>
      </c>
      <c r="L685" s="7" t="str">
        <f t="shared" si="3"/>
        <v>Customer Support</v>
      </c>
      <c r="M685" s="7" t="str">
        <f t="shared" si="4"/>
        <v>Negative</v>
      </c>
      <c r="N685" s="7" t="str">
        <f>IFERROR(__xludf.DUMMYFUNCTION("LOWER(
TRIM(
REGEXREPLACE(B685,""[^a-zA-Z\s]"","""")
)
)
"),"michael")</f>
        <v>michael</v>
      </c>
      <c r="O685" s="7">
        <f t="shared" si="5"/>
        <v>8</v>
      </c>
      <c r="P685" s="8" t="str">
        <f t="shared" si="6"/>
        <v>Yes</v>
      </c>
    </row>
    <row r="686">
      <c r="A686" s="4" t="s">
        <v>16</v>
      </c>
      <c r="B686" s="4" t="s">
        <v>1966</v>
      </c>
      <c r="C686" s="9">
        <v>44966.0</v>
      </c>
      <c r="D686" s="10">
        <v>44978.0</v>
      </c>
      <c r="E686" s="4" t="s">
        <v>1967</v>
      </c>
      <c r="F686" s="4" t="s">
        <v>1968</v>
      </c>
      <c r="G686" s="6" t="str">
        <f>IFERROR(__xludf.DUMMYFUNCTION("REGEXREPLACE(LOWER(F686),""[^a-z\s]"","""")"),"i ordered by wet dog food from pet flow for several reasons those being the price difference between a competing online dog food distributor the ease of ordering the friendliness and helpfulness of the agent i spoke with and the fast delivery of the produ"&amp;"ct
the price difference with or without the sale price is much lower than that pet flows online competitor")</f>
        <v>i ordered by wet dog food from pet flow for several reasons those being the price difference between a competing online dog food distributor the ease of ordering the friendliness and helpfulness of the agent i spoke with and the fast delivery of the product
the price difference with or without the sale price is much lower than that pet flows online competitor</v>
      </c>
      <c r="H686" s="4" t="str">
        <f t="shared" si="1"/>
        <v>i ordered by wet dog food from pet flow several reasons those being price difference between a competing online dog food distributor ease of ordering friendliness helpfulness of agent i spoke with fast delivery of product
the price difference with or without sale price much lower than that pet flows online competitor</v>
      </c>
      <c r="I686" s="6">
        <f t="shared" si="2"/>
        <v>51</v>
      </c>
      <c r="J686" s="6">
        <f>IFERROR(__xludf.DUMMYFUNCTION("IF(H686="""","""",
SUM(
ARRAYFORMULA(
IF(
REGEXMATCH(
"" ""&amp;H686&amp;"" "",
"" ""&amp;Sentiment_Words!A$2:A3730&amp;"" ""
),
1,
0
)
)
)
)"),2.0)</f>
        <v>2</v>
      </c>
      <c r="K686" s="4">
        <f>IFERROR(__xludf.DUMMYFUNCTION("IF(H686="""","""",
SUM(
ARRAYFORMULA(
IF(
REGEXMATCH(
"" ""&amp;H686&amp;"" "",
"" ""&amp;Sentiment_Words!B$2:B3730&amp;"" ""
),
1,
0
)
)
)
)"),0.0)</f>
        <v>0</v>
      </c>
      <c r="L686" s="7" t="str">
        <f t="shared" si="3"/>
        <v>Other</v>
      </c>
      <c r="M686" s="7" t="str">
        <f t="shared" si="4"/>
        <v>Positive</v>
      </c>
      <c r="N686" s="7" t="str">
        <f>IFERROR(__xludf.DUMMYFUNCTION("LOWER(
TRIM(
REGEXREPLACE(B686,""[^a-zA-Z\s]"","""")
)
)
"),"mohammad abdi")</f>
        <v>mohammad abdi</v>
      </c>
      <c r="O686" s="7">
        <f t="shared" si="5"/>
        <v>1</v>
      </c>
      <c r="P686" s="8" t="str">
        <f t="shared" si="6"/>
        <v>No</v>
      </c>
    </row>
    <row r="687">
      <c r="A687" s="4" t="s">
        <v>16</v>
      </c>
      <c r="B687" s="4" t="s">
        <v>1969</v>
      </c>
      <c r="C687" s="9">
        <v>44966.0</v>
      </c>
      <c r="D687" s="10">
        <v>44978.0</v>
      </c>
      <c r="E687" s="4" t="s">
        <v>1970</v>
      </c>
      <c r="F687" s="4" t="s">
        <v>1971</v>
      </c>
      <c r="G687" s="6" t="str">
        <f>IFERROR(__xludf.DUMMYFUNCTION("REGEXREPLACE(LOWER(F687),""[^a-z\s]"","""")"),"the item i needed was in stock the process was very easy i had my order within days and on time i will continue to order through petflow")</f>
        <v>the item i needed was in stock the process was very easy i had my order within days and on time i will continue to order through petflow</v>
      </c>
      <c r="H687" s="4" t="str">
        <f t="shared" si="1"/>
        <v>item i needed was in stock process was very easy i had my order within days on time i will continue order through petflow</v>
      </c>
      <c r="I687" s="6">
        <f t="shared" si="2"/>
        <v>24</v>
      </c>
      <c r="J687" s="6">
        <f>IFERROR(__xludf.DUMMYFUNCTION("IF(H687="""","""",
SUM(
ARRAYFORMULA(
IF(
REGEXMATCH(
"" ""&amp;H687&amp;"" "",
"" ""&amp;Sentiment_Words!A$2:A3730&amp;"" ""
),
1,
0
)
)
)
)"),2.0)</f>
        <v>2</v>
      </c>
      <c r="K687" s="4">
        <f>IFERROR(__xludf.DUMMYFUNCTION("IF(H687="""","""",
SUM(
ARRAYFORMULA(
IF(
REGEXMATCH(
"" ""&amp;H687&amp;"" "",
"" ""&amp;Sentiment_Words!B$2:B3730&amp;"" ""
),
1,
0
)
)
)
)"),0.0)</f>
        <v>0</v>
      </c>
      <c r="L687" s="7" t="str">
        <f t="shared" si="3"/>
        <v>Other</v>
      </c>
      <c r="M687" s="7" t="str">
        <f t="shared" si="4"/>
        <v>Positive</v>
      </c>
      <c r="N687" s="7" t="str">
        <f>IFERROR(__xludf.DUMMYFUNCTION("LOWER(
TRIM(
REGEXREPLACE(B687,""[^a-zA-Z\s]"","""")
)
)
"),"patrick valentine")</f>
        <v>patrick valentine</v>
      </c>
      <c r="O687" s="7">
        <f t="shared" si="5"/>
        <v>1</v>
      </c>
      <c r="P687" s="8" t="str">
        <f t="shared" si="6"/>
        <v>No</v>
      </c>
    </row>
    <row r="688">
      <c r="A688" s="4" t="s">
        <v>16</v>
      </c>
      <c r="B688" s="4" t="s">
        <v>1972</v>
      </c>
      <c r="C688" s="9">
        <v>44966.0</v>
      </c>
      <c r="D688" s="10">
        <v>44978.0</v>
      </c>
      <c r="E688" s="4" t="s">
        <v>1973</v>
      </c>
      <c r="F688" s="4" t="s">
        <v>1974</v>
      </c>
      <c r="G688" s="6" t="str">
        <f>IFERROR(__xludf.DUMMYFUNCTION("REGEXREPLACE(LOWER(F688),""[^a-z\s]"","""")"),"i was waiting for notification that my prescription had been verified by the vet andor that my order had been shipped after several days i contacted petflow to ask what was up i got an email saying the order was cancelled out of concern for fraud i was a "&amp;"longtime customer of petflow since my dog already required a special veterinary diet prior to starting this new medication i couldnt believe that petflow made no attempt to verify my details or determine that i am a legitimate customer placing a valid ord"&amp;"er customer service gave no information for how i should proceed they just cancelled my pets medication without any communication if i hadnt have reached out we would still be waiting i guess we are chewy customers now thanks for nothing")</f>
        <v>i was waiting for notification that my prescription had been verified by the vet andor that my order had been shipped after several days i contacted petflow to ask what was up i got an email saying the order was cancelled out of concern for fraud i was a longtime customer of petflow since my dog already required a special veterinary diet prior to starting this new medication i couldnt believe that petflow made no attempt to verify my details or determine that i am a legitimate customer placing a valid order customer service gave no information for how i should proceed they just cancelled my pets medication without any communication if i hadnt have reached out we would still be waiting i guess we are chewy customers now thanks for nothing</v>
      </c>
      <c r="H688" s="4" t="str">
        <f t="shared" si="1"/>
        <v>i was waiting notification that my prescription had been verified by vet andor that my order had been shipped after several days i contacted petflow ask what was up i got an email saying order was cancelled out of concern fraud i was a longtime customer of petflow since my dog already required a special veterinary diet prior starting this new medication i couldnt believe that petflow made no attempt verify my details or determine that i am a legitimate customer placing a valid order customer service gave no information how i should proceed they just cancelled my pets medication without any communication if i hadnt have reached out we would still be waiting i guess we are chewy customers now thanks nothing</v>
      </c>
      <c r="I688" s="6">
        <f t="shared" si="2"/>
        <v>123</v>
      </c>
      <c r="J688" s="6">
        <f>IFERROR(__xludf.DUMMYFUNCTION("IF(H688="""","""",
SUM(
ARRAYFORMULA(
IF(
REGEXMATCH(
"" ""&amp;H688&amp;"" "",
"" ""&amp;Sentiment_Words!A$2:A3730&amp;"" ""
),
1,
0
)
)
)
)"),0.0)</f>
        <v>0</v>
      </c>
      <c r="K688" s="4">
        <f>IFERROR(__xludf.DUMMYFUNCTION("IF(H688="""","""",
SUM(
ARRAYFORMULA(
IF(
REGEXMATCH(
"" ""&amp;H688&amp;"" "",
"" ""&amp;Sentiment_Words!B$2:B3730&amp;"" ""
),
1,
0
)
)
)
)"),2.0)</f>
        <v>2</v>
      </c>
      <c r="L688" s="7" t="str">
        <f t="shared" si="3"/>
        <v>Customer Support</v>
      </c>
      <c r="M688" s="7" t="str">
        <f t="shared" si="4"/>
        <v>Negative</v>
      </c>
      <c r="N688" s="7" t="str">
        <f>IFERROR(__xludf.DUMMYFUNCTION("LOWER(
TRIM(
REGEXREPLACE(B688,""[^a-zA-Z\s]"","""")
)
)
"),"j howe")</f>
        <v>j howe</v>
      </c>
      <c r="O688" s="7">
        <f t="shared" si="5"/>
        <v>1</v>
      </c>
      <c r="P688" s="8" t="str">
        <f t="shared" si="6"/>
        <v>No</v>
      </c>
    </row>
    <row r="689">
      <c r="A689" s="4" t="s">
        <v>16</v>
      </c>
      <c r="B689" s="4" t="s">
        <v>1975</v>
      </c>
      <c r="C689" s="9">
        <v>44966.0</v>
      </c>
      <c r="D689" s="10">
        <v>44978.0</v>
      </c>
      <c r="E689" s="4" t="s">
        <v>1976</v>
      </c>
      <c r="F689" s="4" t="s">
        <v>1977</v>
      </c>
      <c r="G689" s="6" t="str">
        <f>IFERROR(__xludf.DUMMYFUNCTION("REGEXREPLACE(LOWER(F689),""[^a-z\s]"","""")"),"my orders were cancelled without notification twice")</f>
        <v>my orders were cancelled without notification twice</v>
      </c>
      <c r="H689" s="4" t="str">
        <f t="shared" si="1"/>
        <v>my orders were cancelled without notification twice</v>
      </c>
      <c r="I689" s="6">
        <f t="shared" si="2"/>
        <v>7</v>
      </c>
      <c r="J689" s="6">
        <f>IFERROR(__xludf.DUMMYFUNCTION("IF(H689="""","""",
SUM(
ARRAYFORMULA(
IF(
REGEXMATCH(
"" ""&amp;H689&amp;"" "",
"" ""&amp;Sentiment_Words!A$2:A3730&amp;"" ""
),
1,
0
)
)
)
)"),0.0)</f>
        <v>0</v>
      </c>
      <c r="K689" s="4">
        <f>IFERROR(__xludf.DUMMYFUNCTION("IF(H689="""","""",
SUM(
ARRAYFORMULA(
IF(
REGEXMATCH(
"" ""&amp;H689&amp;"" "",
"" ""&amp;Sentiment_Words!B$2:B3730&amp;"" ""
),
1,
0
)
)
)
)"),1.0)</f>
        <v>1</v>
      </c>
      <c r="L689" s="7" t="str">
        <f t="shared" si="3"/>
        <v>Other</v>
      </c>
      <c r="M689" s="7" t="str">
        <f t="shared" si="4"/>
        <v>Negative</v>
      </c>
      <c r="N689" s="7" t="str">
        <f>IFERROR(__xludf.DUMMYFUNCTION("LOWER(
TRIM(
REGEXREPLACE(B689,""[^a-zA-Z\s]"","""")
)
)
"),"adriana culmone")</f>
        <v>adriana culmone</v>
      </c>
      <c r="O689" s="7">
        <f t="shared" si="5"/>
        <v>1</v>
      </c>
      <c r="P689" s="8" t="str">
        <f t="shared" si="6"/>
        <v>No</v>
      </c>
    </row>
    <row r="690">
      <c r="A690" s="4" t="s">
        <v>16</v>
      </c>
      <c r="B690" s="4" t="s">
        <v>1978</v>
      </c>
      <c r="C690" s="9">
        <v>44966.0</v>
      </c>
      <c r="D690" s="10">
        <v>44978.0</v>
      </c>
      <c r="E690" s="4" t="s">
        <v>1979</v>
      </c>
      <c r="F690" s="4" t="s">
        <v>1980</v>
      </c>
      <c r="G690" s="6" t="str">
        <f>IFERROR(__xludf.DUMMYFUNCTION("REGEXREPLACE(LOWER(F690),""[^a-z\s]"","""")"),"i have had a horrible experience which is still to date not resolved placed an order not a first time customer my vet was contacted and sent back approval for prescription food internal petflow issue isnt adjuticating the approval noone will help me or ca"&amp;"ll me back after me calling  times i had to make my way to the vet to get a written prescription email it in waiting an additional  hrs for a response which then said  more business days to validate my dog is out of food no representative will do anything"&amp;" other then send an email to other working groups within the organization again no call back after multiple requests i will be filing a complaint with the better business bureau")</f>
        <v>i have had a horrible experience which is still to date not resolved placed an order not a first time customer my vet was contacted and sent back approval for prescription food internal petflow issue isnt adjuticating the approval noone will help me or call me back after me calling  times i had to make my way to the vet to get a written prescription email it in waiting an additional  hrs for a response which then said  more business days to validate my dog is out of food no representative will do anything other then send an email to other working groups within the organization again no call back after multiple requests i will be filing a complaint with the better business bureau</v>
      </c>
      <c r="H690" s="4" t="str">
        <f t="shared" si="1"/>
        <v>i have had a horrible experience which still date not resolved placed an order not a first time customer my vet was contacted sent back approval prescription food internal petflow issue isnt adjuticating approval noone will help me or call me back after me calling times i had make my way vet get a written prescription email it in waiting an additional hrs a response which then said more business days validate my dog out of food no representative will do anything other then send an email other working groups within organization again no call back after multiple requests i will be filing a complaint with better business bureau</v>
      </c>
      <c r="I690" s="6">
        <f t="shared" si="2"/>
        <v>109</v>
      </c>
      <c r="J690" s="6">
        <f>IFERROR(__xludf.DUMMYFUNCTION("IF(H690="""","""",
SUM(
ARRAYFORMULA(
IF(
REGEXMATCH(
"" ""&amp;H690&amp;"" "",
"" ""&amp;Sentiment_Words!A$2:A3730&amp;"" ""
),
1,
0
)
)
)
)"),2.0)</f>
        <v>2</v>
      </c>
      <c r="K690" s="4">
        <f>IFERROR(__xludf.DUMMYFUNCTION("IF(H690="""","""",
SUM(
ARRAYFORMULA(
IF(
REGEXMATCH(
"" ""&amp;H690&amp;"" "",
"" ""&amp;Sentiment_Words!B$2:B3730&amp;"" ""
),
1,
0
)
)
)
)"),1.0)</f>
        <v>1</v>
      </c>
      <c r="L690" s="7" t="str">
        <f t="shared" si="3"/>
        <v>Service Recovery</v>
      </c>
      <c r="M690" s="7" t="str">
        <f t="shared" si="4"/>
        <v>Positive</v>
      </c>
      <c r="N690" s="7" t="str">
        <f>IFERROR(__xludf.DUMMYFUNCTION("LOWER(
TRIM(
REGEXREPLACE(B690,""[^a-zA-Z\s]"","""")
)
)
"),"olga intskirveli")</f>
        <v>olga intskirveli</v>
      </c>
      <c r="O690" s="7">
        <f t="shared" si="5"/>
        <v>1</v>
      </c>
      <c r="P690" s="8" t="str">
        <f t="shared" si="6"/>
        <v>No</v>
      </c>
    </row>
    <row r="691">
      <c r="A691" s="4" t="s">
        <v>16</v>
      </c>
      <c r="B691" s="4" t="s">
        <v>1139</v>
      </c>
      <c r="C691" s="9">
        <v>44966.0</v>
      </c>
      <c r="D691" s="10">
        <v>44978.0</v>
      </c>
      <c r="E691" s="4" t="s">
        <v>1981</v>
      </c>
      <c r="F691" s="4" t="s">
        <v>1982</v>
      </c>
      <c r="G691" s="6" t="str">
        <f>IFERROR(__xludf.DUMMYFUNCTION("REGEXREPLACE(LOWER(F691),""[^a-z\s]"","""")"),"easy to begin auto ship has the special dog food we were searching for that is highly rated for having ingredients important to long lives of optimal health shipment notices sent to keep us informed of when to expect order received order in timely manner "&amp;"with zero problems")</f>
        <v>easy to begin auto ship has the special dog food we were searching for that is highly rated for having ingredients important to long lives of optimal health shipment notices sent to keep us informed of when to expect order received order in timely manner with zero problems</v>
      </c>
      <c r="H691" s="4" t="str">
        <f t="shared" si="1"/>
        <v>easy begin auto ship has special dog food we were searching that highly rated having ingredients important long lives of optimal health shipment notices sent keep us informed of when expect order received order in timely manner with zero problems</v>
      </c>
      <c r="I691" s="6">
        <f t="shared" si="2"/>
        <v>40</v>
      </c>
      <c r="J691" s="6">
        <f>IFERROR(__xludf.DUMMYFUNCTION("IF(H691="""","""",
SUM(
ARRAYFORMULA(
IF(
REGEXMATCH(
"" ""&amp;H691&amp;"" "",
"" ""&amp;Sentiment_Words!A$2:A3730&amp;"" ""
),
1,
0
)
)
)
)"),2.0)</f>
        <v>2</v>
      </c>
      <c r="K691" s="4">
        <f>IFERROR(__xludf.DUMMYFUNCTION("IF(H691="""","""",
SUM(
ARRAYFORMULA(
IF(
REGEXMATCH(
"" ""&amp;H691&amp;"" "",
"" ""&amp;Sentiment_Words!B$2:B3730&amp;"" ""
),
1,
0
)
)
)
)"),0.0)</f>
        <v>0</v>
      </c>
      <c r="L691" s="7" t="str">
        <f t="shared" si="3"/>
        <v>Other</v>
      </c>
      <c r="M691" s="7" t="str">
        <f t="shared" si="4"/>
        <v>Positive</v>
      </c>
      <c r="N691" s="7" t="str">
        <f>IFERROR(__xludf.DUMMYFUNCTION("LOWER(
TRIM(
REGEXREPLACE(B691,""[^a-zA-Z\s]"","""")
)
)
"),"jeff")</f>
        <v>jeff</v>
      </c>
      <c r="O691" s="7">
        <f t="shared" si="5"/>
        <v>5</v>
      </c>
      <c r="P691" s="8" t="str">
        <f t="shared" si="6"/>
        <v>Yes</v>
      </c>
    </row>
    <row r="692">
      <c r="A692" s="4" t="s">
        <v>16</v>
      </c>
      <c r="B692" s="4" t="s">
        <v>1983</v>
      </c>
      <c r="C692" s="9">
        <v>44966.0</v>
      </c>
      <c r="D692" s="10">
        <v>44978.0</v>
      </c>
      <c r="E692" s="4" t="s">
        <v>1984</v>
      </c>
      <c r="F692" s="4" t="s">
        <v>1985</v>
      </c>
      <c r="G692" s="6" t="str">
        <f>IFERROR(__xludf.DUMMYFUNCTION("REGEXREPLACE(LOWER(F692),""[^a-z\s]"","""")"),"shipment was quick product was packaged well")</f>
        <v>shipment was quick product was packaged well</v>
      </c>
      <c r="H692" s="4" t="str">
        <f t="shared" si="1"/>
        <v>shipment was quick product was packaged well</v>
      </c>
      <c r="I692" s="6">
        <f t="shared" si="2"/>
        <v>7</v>
      </c>
      <c r="J692" s="6">
        <f>IFERROR(__xludf.DUMMYFUNCTION("IF(H692="""","""",
SUM(
ARRAYFORMULA(
IF(
REGEXMATCH(
"" ""&amp;H692&amp;"" "",
"" ""&amp;Sentiment_Words!A$2:A3730&amp;"" ""
),
1,
0
)
)
)
)"),0.0)</f>
        <v>0</v>
      </c>
      <c r="K692" s="4">
        <f>IFERROR(__xludf.DUMMYFUNCTION("IF(H692="""","""",
SUM(
ARRAYFORMULA(
IF(
REGEXMATCH(
"" ""&amp;H692&amp;"" "",
"" ""&amp;Sentiment_Words!B$2:B3730&amp;"" ""
),
1,
0
)
)
)
)"),0.0)</f>
        <v>0</v>
      </c>
      <c r="L692" s="7" t="str">
        <f t="shared" si="3"/>
        <v>Other</v>
      </c>
      <c r="M692" s="7" t="str">
        <f t="shared" si="4"/>
        <v>Neutral</v>
      </c>
      <c r="N692" s="7" t="str">
        <f>IFERROR(__xludf.DUMMYFUNCTION("LOWER(
TRIM(
REGEXREPLACE(B692,""[^a-zA-Z\s]"","""")
)
)
"),"pamela cooper")</f>
        <v>pamela cooper</v>
      </c>
      <c r="O692" s="7">
        <f t="shared" si="5"/>
        <v>1</v>
      </c>
      <c r="P692" s="8" t="str">
        <f t="shared" si="6"/>
        <v>No</v>
      </c>
    </row>
    <row r="693">
      <c r="A693" s="4" t="s">
        <v>16</v>
      </c>
      <c r="B693" s="4" t="s">
        <v>1986</v>
      </c>
      <c r="C693" s="9">
        <v>44966.0</v>
      </c>
      <c r="D693" s="10">
        <v>44978.0</v>
      </c>
      <c r="E693" s="4" t="s">
        <v>1987</v>
      </c>
      <c r="F693" s="4" t="s">
        <v>1988</v>
      </c>
      <c r="G693" s="6" t="str">
        <f>IFERROR(__xludf.DUMMYFUNCTION("REGEXREPLACE(LOWER(F693),""[^a-z\s]"","""")"),"solid reliable company to purchase from customer service seems supportive if anything beyond a typical order is needed")</f>
        <v>solid reliable company to purchase from customer service seems supportive if anything beyond a typical order is needed</v>
      </c>
      <c r="H693" s="4" t="str">
        <f t="shared" si="1"/>
        <v>solid reliable company purchase from customer service seems supportive if anything beyond a typical order needed</v>
      </c>
      <c r="I693" s="6">
        <f t="shared" si="2"/>
        <v>16</v>
      </c>
      <c r="J693" s="6">
        <f>IFERROR(__xludf.DUMMYFUNCTION("IF(H693="""","""",
SUM(
ARRAYFORMULA(
IF(
REGEXMATCH(
"" ""&amp;H693&amp;"" "",
"" ""&amp;Sentiment_Words!A$2:A3730&amp;"" ""
),
1,
0
)
)
)
)"),2.0)</f>
        <v>2</v>
      </c>
      <c r="K693" s="4">
        <f>IFERROR(__xludf.DUMMYFUNCTION("IF(H693="""","""",
SUM(
ARRAYFORMULA(
IF(
REGEXMATCH(
"" ""&amp;H693&amp;"" "",
"" ""&amp;Sentiment_Words!B$2:B3730&amp;"" ""
),
1,
0
)
)
)
)"),1.0)</f>
        <v>1</v>
      </c>
      <c r="L693" s="7" t="str">
        <f t="shared" si="3"/>
        <v>Customer Support</v>
      </c>
      <c r="M693" s="7" t="str">
        <f t="shared" si="4"/>
        <v>Positive</v>
      </c>
      <c r="N693" s="7" t="str">
        <f>IFERROR(__xludf.DUMMYFUNCTION("LOWER(
TRIM(
REGEXREPLACE(B693,""[^a-zA-Z\s]"","""")
)
)
"),"renea justice")</f>
        <v>renea justice</v>
      </c>
      <c r="O693" s="7">
        <f t="shared" si="5"/>
        <v>1</v>
      </c>
      <c r="P693" s="8" t="str">
        <f t="shared" si="6"/>
        <v>No</v>
      </c>
    </row>
    <row r="694">
      <c r="A694" s="4" t="s">
        <v>16</v>
      </c>
      <c r="B694" s="4" t="s">
        <v>1989</v>
      </c>
      <c r="C694" s="9">
        <v>44966.0</v>
      </c>
      <c r="D694" s="10">
        <v>44978.0</v>
      </c>
      <c r="E694" s="4" t="s">
        <v>1990</v>
      </c>
      <c r="F694" s="4" t="s">
        <v>1991</v>
      </c>
      <c r="G694" s="6" t="str">
        <f>IFERROR(__xludf.DUMMYFUNCTION("REGEXREPLACE(LOWER(F694),""[^a-z\s]"","""")"),"great website excellent prices and quick deliveries i will only get my dogs food from petflow going forward")</f>
        <v>great website excellent prices and quick deliveries i will only get my dogs food from petflow going forward</v>
      </c>
      <c r="H694" s="4" t="str">
        <f t="shared" si="1"/>
        <v>great website excellent prices quick deliveries i will only get my dogs food from petflow going forward</v>
      </c>
      <c r="I694" s="6">
        <f t="shared" si="2"/>
        <v>17</v>
      </c>
      <c r="J694" s="6">
        <f>IFERROR(__xludf.DUMMYFUNCTION("IF(H694="""","""",
SUM(
ARRAYFORMULA(
IF(
REGEXMATCH(
"" ""&amp;H694&amp;"" "",
"" ""&amp;Sentiment_Words!A$2:A3730&amp;"" ""
),
1,
0
)
)
)
)"),1.0)</f>
        <v>1</v>
      </c>
      <c r="K694" s="4">
        <f>IFERROR(__xludf.DUMMYFUNCTION("IF(H694="""","""",
SUM(
ARRAYFORMULA(
IF(
REGEXMATCH(
"" ""&amp;H694&amp;"" "",
"" ""&amp;Sentiment_Words!B$2:B3730&amp;"" ""
),
1,
0
)
)
)
)"),0.0)</f>
        <v>0</v>
      </c>
      <c r="L694" s="7" t="str">
        <f t="shared" si="3"/>
        <v>Account &amp; Website</v>
      </c>
      <c r="M694" s="7" t="str">
        <f t="shared" si="4"/>
        <v>Positive</v>
      </c>
      <c r="N694" s="7" t="str">
        <f>IFERROR(__xludf.DUMMYFUNCTION("LOWER(
TRIM(
REGEXREPLACE(B694,""[^a-zA-Z\s]"","""")
)
)
"),"jane getsla")</f>
        <v>jane getsla</v>
      </c>
      <c r="O694" s="7">
        <f t="shared" si="5"/>
        <v>1</v>
      </c>
      <c r="P694" s="8" t="str">
        <f t="shared" si="6"/>
        <v>No</v>
      </c>
    </row>
    <row r="695">
      <c r="A695" s="4" t="s">
        <v>16</v>
      </c>
      <c r="B695" s="4" t="s">
        <v>1992</v>
      </c>
      <c r="C695" s="9">
        <v>44966.0</v>
      </c>
      <c r="D695" s="10">
        <v>44978.0</v>
      </c>
      <c r="E695" s="4" t="s">
        <v>1993</v>
      </c>
      <c r="F695" s="4" t="s">
        <v>1994</v>
      </c>
      <c r="G695" s="6" t="str">
        <f>IFERROR(__xludf.DUMMYFUNCTION("REGEXREPLACE(LOWER(F695),""[^a-z\s]"","""")"),"best price fast shipping for my hungry dogs")</f>
        <v>best price fast shipping for my hungry dogs</v>
      </c>
      <c r="H695" s="4" t="str">
        <f t="shared" si="1"/>
        <v>best price fast shipping my hungry dogs</v>
      </c>
      <c r="I695" s="6">
        <f t="shared" si="2"/>
        <v>7</v>
      </c>
      <c r="J695" s="6">
        <f>IFERROR(__xludf.DUMMYFUNCTION("IF(H695="""","""",
SUM(
ARRAYFORMULA(
IF(
REGEXMATCH(
"" ""&amp;H695&amp;"" "",
"" ""&amp;Sentiment_Words!A$2:A3730&amp;"" ""
),
1,
0
)
)
)
)"),1.0)</f>
        <v>1</v>
      </c>
      <c r="K695" s="4">
        <f>IFERROR(__xludf.DUMMYFUNCTION("IF(H695="""","""",
SUM(
ARRAYFORMULA(
IF(
REGEXMATCH(
"" ""&amp;H695&amp;"" "",
"" ""&amp;Sentiment_Words!B$2:B3730&amp;"" ""
),
1,
0
)
)
)
)"),0.0)</f>
        <v>0</v>
      </c>
      <c r="L695" s="7" t="str">
        <f t="shared" si="3"/>
        <v>Other</v>
      </c>
      <c r="M695" s="7" t="str">
        <f t="shared" si="4"/>
        <v>Positive</v>
      </c>
      <c r="N695" s="7" t="str">
        <f>IFERROR(__xludf.DUMMYFUNCTION("LOWER(
TRIM(
REGEXREPLACE(B695,""[^a-zA-Z\s]"","""")
)
)
"),"erin murphy")</f>
        <v>erin murphy</v>
      </c>
      <c r="O695" s="7">
        <f t="shared" si="5"/>
        <v>1</v>
      </c>
      <c r="P695" s="8" t="str">
        <f t="shared" si="6"/>
        <v>No</v>
      </c>
    </row>
    <row r="696">
      <c r="A696" s="4" t="s">
        <v>16</v>
      </c>
      <c r="B696" s="4" t="s">
        <v>1995</v>
      </c>
      <c r="C696" s="9">
        <v>44965.0</v>
      </c>
      <c r="D696" s="10">
        <v>44978.0</v>
      </c>
      <c r="E696" s="4" t="s">
        <v>1996</v>
      </c>
      <c r="F696" s="4" t="s">
        <v>1997</v>
      </c>
      <c r="G696" s="6" t="str">
        <f>IFERROR(__xludf.DUMMYFUNCTION("REGEXREPLACE(LOWER(F696),""[^a-z\s]"","""")"),"had just what i needed at a great price very quick shipping had trouble getting the order through a couple of times but i persisted and am glad i did will definitely tell my local shelter about them i am a cat socializer and they might be interested in pu"&amp;"rchasing from pet flow too")</f>
        <v>had just what i needed at a great price very quick shipping had trouble getting the order through a couple of times but i persisted and am glad i did will definitely tell my local shelter about them i am a cat socializer and they might be interested in purchasing from pet flow too</v>
      </c>
      <c r="H696" s="4" t="str">
        <f t="shared" si="1"/>
        <v>had just what i needed at a great price very quick shipping had trouble getting order through a couple of times but i persisted am glad i did will definitely tell my local shelter about them i am a cat socializer they might be interested in purchasing from pet flow too</v>
      </c>
      <c r="I696" s="6">
        <f t="shared" si="2"/>
        <v>51</v>
      </c>
      <c r="J696" s="6">
        <f>IFERROR(__xludf.DUMMYFUNCTION("IF(H696="""","""",
SUM(
ARRAYFORMULA(
IF(
REGEXMATCH(
"" ""&amp;H696&amp;"" "",
"" ""&amp;Sentiment_Words!A$2:A3730&amp;"" ""
),
1,
0
)
)
)
)"),1.0)</f>
        <v>1</v>
      </c>
      <c r="K696" s="4">
        <f>IFERROR(__xludf.DUMMYFUNCTION("IF(H696="""","""",
SUM(
ARRAYFORMULA(
IF(
REGEXMATCH(
"" ""&amp;H696&amp;"" "",
"" ""&amp;Sentiment_Words!B$2:B3730&amp;"" ""
),
1,
0
)
)
)
)"),0.0)</f>
        <v>0</v>
      </c>
      <c r="L696" s="7" t="str">
        <f t="shared" si="3"/>
        <v>Other</v>
      </c>
      <c r="M696" s="7" t="str">
        <f t="shared" si="4"/>
        <v>Positive</v>
      </c>
      <c r="N696" s="7" t="str">
        <f>IFERROR(__xludf.DUMMYFUNCTION("LOWER(
TRIM(
REGEXREPLACE(B696,""[^a-zA-Z\s]"","""")
)
)
"),"katherine forbes")</f>
        <v>katherine forbes</v>
      </c>
      <c r="O696" s="7">
        <f t="shared" si="5"/>
        <v>1</v>
      </c>
      <c r="P696" s="8" t="str">
        <f t="shared" si="6"/>
        <v>No</v>
      </c>
    </row>
    <row r="697">
      <c r="A697" s="4" t="s">
        <v>16</v>
      </c>
      <c r="B697" s="4" t="s">
        <v>1998</v>
      </c>
      <c r="C697" s="9">
        <v>44965.0</v>
      </c>
      <c r="D697" s="10">
        <v>44978.0</v>
      </c>
      <c r="E697" s="4" t="s">
        <v>1999</v>
      </c>
      <c r="F697" s="4" t="s">
        <v>2000</v>
      </c>
      <c r="G697" s="6" t="str">
        <f>IFERROR(__xludf.DUMMYFUNCTION("REGEXREPLACE(LOWER(F697),""[^a-z\s]"","""")"),"awesome servicegreat packaginggreat pricesvery convenient")</f>
        <v>awesome servicegreat packaginggreat pricesvery convenient</v>
      </c>
      <c r="H697" s="4" t="str">
        <f t="shared" si="1"/>
        <v>awesome servicegreat packaginggreat pricesvery convenient</v>
      </c>
      <c r="I697" s="6">
        <f t="shared" si="2"/>
        <v>5</v>
      </c>
      <c r="J697" s="6">
        <f>IFERROR(__xludf.DUMMYFUNCTION("IF(H697="""","""",
SUM(
ARRAYFORMULA(
IF(
REGEXMATCH(
"" ""&amp;H697&amp;"" "",
"" ""&amp;Sentiment_Words!A$2:A3730&amp;"" ""
),
1,
0
)
)
)
)"),1.0)</f>
        <v>1</v>
      </c>
      <c r="K697" s="4">
        <f>IFERROR(__xludf.DUMMYFUNCTION("IF(H697="""","""",
SUM(
ARRAYFORMULA(
IF(
REGEXMATCH(
"" ""&amp;H697&amp;"" "",
"" ""&amp;Sentiment_Words!B$2:B3730&amp;"" ""
),
1,
0
)
)
)
)"),0.0)</f>
        <v>0</v>
      </c>
      <c r="L697" s="7" t="str">
        <f t="shared" si="3"/>
        <v>Customer Support</v>
      </c>
      <c r="M697" s="7" t="str">
        <f t="shared" si="4"/>
        <v>Positive</v>
      </c>
      <c r="N697" s="7" t="str">
        <f>IFERROR(__xludf.DUMMYFUNCTION("LOWER(
TRIM(
REGEXREPLACE(B697,""[^a-zA-Z\s]"","""")
)
)
"),"carl simonian")</f>
        <v>carl simonian</v>
      </c>
      <c r="O697" s="7">
        <f t="shared" si="5"/>
        <v>1</v>
      </c>
      <c r="P697" s="8" t="str">
        <f t="shared" si="6"/>
        <v>No</v>
      </c>
    </row>
    <row r="698">
      <c r="A698" s="4" t="s">
        <v>16</v>
      </c>
      <c r="B698" s="4" t="s">
        <v>2001</v>
      </c>
      <c r="C698" s="9">
        <v>44964.0</v>
      </c>
      <c r="D698" s="10">
        <v>44978.0</v>
      </c>
      <c r="E698" s="4" t="s">
        <v>2002</v>
      </c>
      <c r="F698" s="4" t="s">
        <v>2003</v>
      </c>
      <c r="G698" s="6" t="str">
        <f>IFERROR(__xludf.DUMMYFUNCTION("REGEXREPLACE(LOWER(F698),""[^a-z\s]"","""")"),"pleased with all my purchases people are helpful")</f>
        <v>pleased with all my purchases people are helpful</v>
      </c>
      <c r="H698" s="4" t="str">
        <f t="shared" si="1"/>
        <v>pleased with all my purchases people are helpful</v>
      </c>
      <c r="I698" s="6">
        <f t="shared" si="2"/>
        <v>8</v>
      </c>
      <c r="J698" s="6">
        <f>IFERROR(__xludf.DUMMYFUNCTION("IF(H698="""","""",
SUM(
ARRAYFORMULA(
IF(
REGEXMATCH(
"" ""&amp;H698&amp;"" "",
"" ""&amp;Sentiment_Words!A$2:A3730&amp;"" ""
),
1,
0
)
)
)
)"),1.0)</f>
        <v>1</v>
      </c>
      <c r="K698" s="4">
        <f>IFERROR(__xludf.DUMMYFUNCTION("IF(H698="""","""",
SUM(
ARRAYFORMULA(
IF(
REGEXMATCH(
"" ""&amp;H698&amp;"" "",
"" ""&amp;Sentiment_Words!B$2:B3730&amp;"" ""
),
1,
0
)
)
)
)"),0.0)</f>
        <v>0</v>
      </c>
      <c r="L698" s="7" t="str">
        <f t="shared" si="3"/>
        <v>Other</v>
      </c>
      <c r="M698" s="7" t="str">
        <f t="shared" si="4"/>
        <v>Positive</v>
      </c>
      <c r="N698" s="7" t="str">
        <f>IFERROR(__xludf.DUMMYFUNCTION("LOWER(
TRIM(
REGEXREPLACE(B698,""[^a-zA-Z\s]"","""")
)
)
"),"roscoe white")</f>
        <v>roscoe white</v>
      </c>
      <c r="O698" s="7">
        <f t="shared" si="5"/>
        <v>1</v>
      </c>
      <c r="P698" s="8" t="str">
        <f t="shared" si="6"/>
        <v>No</v>
      </c>
    </row>
    <row r="699">
      <c r="A699" s="4" t="s">
        <v>16</v>
      </c>
      <c r="B699" s="4" t="s">
        <v>2004</v>
      </c>
      <c r="C699" s="9">
        <v>44965.0</v>
      </c>
      <c r="D699" s="10">
        <v>44977.0</v>
      </c>
      <c r="E699" s="4" t="s">
        <v>2005</v>
      </c>
      <c r="F699" s="4" t="s">
        <v>331</v>
      </c>
      <c r="G699" s="6" t="str">
        <f>IFERROR(__xludf.DUMMYFUNCTION("REGEXREPLACE(LOWER(F699),""[^a-z\s]"","""")"),"none")</f>
        <v>none</v>
      </c>
      <c r="H699" s="4" t="str">
        <f t="shared" si="1"/>
        <v>none</v>
      </c>
      <c r="I699" s="6">
        <f t="shared" si="2"/>
        <v>1</v>
      </c>
      <c r="J699" s="6">
        <f>IFERROR(__xludf.DUMMYFUNCTION("IF(H699="""","""",
SUM(
ARRAYFORMULA(
IF(
REGEXMATCH(
"" ""&amp;H699&amp;"" "",
"" ""&amp;Sentiment_Words!A$2:A3730&amp;"" ""
),
1,
0
)
)
)
)"),0.0)</f>
        <v>0</v>
      </c>
      <c r="K699" s="4">
        <f>IFERROR(__xludf.DUMMYFUNCTION("IF(H699="""","""",
SUM(
ARRAYFORMULA(
IF(
REGEXMATCH(
"" ""&amp;H699&amp;"" "",
"" ""&amp;Sentiment_Words!B$2:B3730&amp;"" ""
),
1,
0
)
)
)
)"),0.0)</f>
        <v>0</v>
      </c>
      <c r="L699" s="7" t="str">
        <f t="shared" si="3"/>
        <v>Other</v>
      </c>
      <c r="M699" s="7" t="str">
        <f t="shared" si="4"/>
        <v>Neutral</v>
      </c>
      <c r="N699" s="7" t="str">
        <f>IFERROR(__xludf.DUMMYFUNCTION("LOWER(
TRIM(
REGEXREPLACE(B699,""[^a-zA-Z\s]"","""")
)
)
"),"linda hatcher")</f>
        <v>linda hatcher</v>
      </c>
      <c r="O699" s="7">
        <f t="shared" si="5"/>
        <v>1</v>
      </c>
      <c r="P699" s="8" t="str">
        <f t="shared" si="6"/>
        <v>No</v>
      </c>
    </row>
    <row r="700">
      <c r="A700" s="4" t="s">
        <v>16</v>
      </c>
      <c r="B700" s="4" t="s">
        <v>2006</v>
      </c>
      <c r="C700" s="9">
        <v>44965.0</v>
      </c>
      <c r="D700" s="10">
        <v>44977.0</v>
      </c>
      <c r="E700" s="4" t="s">
        <v>2007</v>
      </c>
      <c r="F700" s="4" t="s">
        <v>331</v>
      </c>
      <c r="G700" s="6" t="str">
        <f>IFERROR(__xludf.DUMMYFUNCTION("REGEXREPLACE(LOWER(F700),""[^a-z\s]"","""")"),"none")</f>
        <v>none</v>
      </c>
      <c r="H700" s="4" t="str">
        <f t="shared" si="1"/>
        <v>none</v>
      </c>
      <c r="I700" s="6">
        <f t="shared" si="2"/>
        <v>1</v>
      </c>
      <c r="J700" s="6">
        <f>IFERROR(__xludf.DUMMYFUNCTION("IF(H700="""","""",
SUM(
ARRAYFORMULA(
IF(
REGEXMATCH(
"" ""&amp;H700&amp;"" "",
"" ""&amp;Sentiment_Words!A$2:A3730&amp;"" ""
),
1,
0
)
)
)
)"),0.0)</f>
        <v>0</v>
      </c>
      <c r="K700" s="4">
        <f>IFERROR(__xludf.DUMMYFUNCTION("IF(H700="""","""",
SUM(
ARRAYFORMULA(
IF(
REGEXMATCH(
"" ""&amp;H700&amp;"" "",
"" ""&amp;Sentiment_Words!B$2:B3730&amp;"" ""
),
1,
0
)
)
)
)"),0.0)</f>
        <v>0</v>
      </c>
      <c r="L700" s="7" t="str">
        <f t="shared" si="3"/>
        <v>Other</v>
      </c>
      <c r="M700" s="7" t="str">
        <f t="shared" si="4"/>
        <v>Neutral</v>
      </c>
      <c r="N700" s="7" t="str">
        <f>IFERROR(__xludf.DUMMYFUNCTION("LOWER(
TRIM(
REGEXREPLACE(B700,""[^a-zA-Z\s]"","""")
)
)
"),"herb lowrance")</f>
        <v>herb lowrance</v>
      </c>
      <c r="O700" s="7">
        <f t="shared" si="5"/>
        <v>1</v>
      </c>
      <c r="P700" s="8" t="str">
        <f t="shared" si="6"/>
        <v>No</v>
      </c>
    </row>
    <row r="701">
      <c r="A701" s="4" t="s">
        <v>16</v>
      </c>
      <c r="B701" s="4" t="s">
        <v>2008</v>
      </c>
      <c r="C701" s="9">
        <v>44965.0</v>
      </c>
      <c r="D701" s="10">
        <v>44977.0</v>
      </c>
      <c r="E701" s="4" t="s">
        <v>2009</v>
      </c>
      <c r="F701" s="4" t="s">
        <v>331</v>
      </c>
      <c r="G701" s="6" t="str">
        <f>IFERROR(__xludf.DUMMYFUNCTION("REGEXREPLACE(LOWER(F701),""[^a-z\s]"","""")"),"none")</f>
        <v>none</v>
      </c>
      <c r="H701" s="4" t="str">
        <f t="shared" si="1"/>
        <v>none</v>
      </c>
      <c r="I701" s="6">
        <f t="shared" si="2"/>
        <v>1</v>
      </c>
      <c r="J701" s="6">
        <f>IFERROR(__xludf.DUMMYFUNCTION("IF(H701="""","""",
SUM(
ARRAYFORMULA(
IF(
REGEXMATCH(
"" ""&amp;H701&amp;"" "",
"" ""&amp;Sentiment_Words!A$2:A3730&amp;"" ""
),
1,
0
)
)
)
)"),0.0)</f>
        <v>0</v>
      </c>
      <c r="K701" s="4">
        <f>IFERROR(__xludf.DUMMYFUNCTION("IF(H701="""","""",
SUM(
ARRAYFORMULA(
IF(
REGEXMATCH(
"" ""&amp;H701&amp;"" "",
"" ""&amp;Sentiment_Words!B$2:B3730&amp;"" ""
),
1,
0
)
)
)
)"),0.0)</f>
        <v>0</v>
      </c>
      <c r="L701" s="7" t="str">
        <f t="shared" si="3"/>
        <v>Other</v>
      </c>
      <c r="M701" s="7" t="str">
        <f t="shared" si="4"/>
        <v>Neutral</v>
      </c>
      <c r="N701" s="7" t="str">
        <f>IFERROR(__xludf.DUMMYFUNCTION("LOWER(
TRIM(
REGEXREPLACE(B701,""[^a-zA-Z\s]"","""")
)
)
"),"nancy hough")</f>
        <v>nancy hough</v>
      </c>
      <c r="O701" s="7">
        <f t="shared" si="5"/>
        <v>1</v>
      </c>
      <c r="P701" s="8" t="str">
        <f t="shared" si="6"/>
        <v>No</v>
      </c>
    </row>
    <row r="702">
      <c r="A702" s="4" t="s">
        <v>16</v>
      </c>
      <c r="B702" s="4" t="s">
        <v>2010</v>
      </c>
      <c r="C702" s="5">
        <v>44972.0</v>
      </c>
      <c r="D702" s="10">
        <v>44977.0</v>
      </c>
      <c r="E702" s="4" t="s">
        <v>2011</v>
      </c>
      <c r="F702" s="4" t="s">
        <v>2012</v>
      </c>
      <c r="G702" s="6" t="str">
        <f>IFERROR(__xludf.DUMMYFUNCTION("REGEXREPLACE(LOWER(F702),""[^a-z\s]"","""")"),"auto ship does not work advance notice of order was supposed to come but does not auto ship does not take changed scheduled when modified days before shipment date will not use auto ship or this company again to order dog food")</f>
        <v>auto ship does not work advance notice of order was supposed to come but does not auto ship does not take changed scheduled when modified days before shipment date will not use auto ship or this company again to order dog food</v>
      </c>
      <c r="H702" s="4" t="str">
        <f t="shared" si="1"/>
        <v>auto ship does not work advance notice of order was supposed come but does not auto ship does not take changed scheduled when modified days before shipment date will not use auto ship or this company again order dog food</v>
      </c>
      <c r="I702" s="6">
        <f t="shared" si="2"/>
        <v>40</v>
      </c>
      <c r="J702" s="6">
        <f>IFERROR(__xludf.DUMMYFUNCTION("IF(H702="""","""",
SUM(
ARRAYFORMULA(
IF(
REGEXMATCH(
"" ""&amp;H702&amp;"" "",
"" ""&amp;Sentiment_Words!A$2:A3730&amp;"" ""
),
1,
0
)
)
)
)"),1.0)</f>
        <v>1</v>
      </c>
      <c r="K702" s="4">
        <f>IFERROR(__xludf.DUMMYFUNCTION("IF(H702="""","""",
SUM(
ARRAYFORMULA(
IF(
REGEXMATCH(
"" ""&amp;H702&amp;"" "",
"" ""&amp;Sentiment_Words!B$2:B3730&amp;"" ""
),
1,
0
)
)
)
)"),0.0)</f>
        <v>0</v>
      </c>
      <c r="L702" s="7" t="str">
        <f t="shared" si="3"/>
        <v>Other</v>
      </c>
      <c r="M702" s="7" t="str">
        <f t="shared" si="4"/>
        <v>Positive</v>
      </c>
      <c r="N702" s="7" t="str">
        <f>IFERROR(__xludf.DUMMYFUNCTION("LOWER(
TRIM(
REGEXREPLACE(B702,""[^a-zA-Z\s]"","""")
)
)
"),"rajan girdhar")</f>
        <v>rajan girdhar</v>
      </c>
      <c r="O702" s="7">
        <f t="shared" si="5"/>
        <v>1</v>
      </c>
      <c r="P702" s="8" t="str">
        <f t="shared" si="6"/>
        <v>No</v>
      </c>
    </row>
    <row r="703">
      <c r="A703" s="4" t="s">
        <v>16</v>
      </c>
      <c r="B703" s="4" t="s">
        <v>2013</v>
      </c>
      <c r="C703" s="9">
        <v>44965.0</v>
      </c>
      <c r="D703" s="10">
        <v>44977.0</v>
      </c>
      <c r="E703" s="4" t="s">
        <v>2014</v>
      </c>
      <c r="F703" s="4" t="s">
        <v>2015</v>
      </c>
      <c r="G703" s="6" t="str">
        <f>IFERROR(__xludf.DUMMYFUNCTION("REGEXREPLACE(LOWER(F703),""[^a-z\s]"","""")"),"my order was canceled and i was never notified i only discovered that it was cancelled after i logged onto my account to find out when my order would be delivered i called and was given no explanation for the cancellation or when the dog food would be del"&amp;"ivered never again")</f>
        <v>my order was canceled and i was never notified i only discovered that it was cancelled after i logged onto my account to find out when my order would be delivered i called and was given no explanation for the cancellation or when the dog food would be delivered never again</v>
      </c>
      <c r="H703" s="4" t="str">
        <f t="shared" si="1"/>
        <v>my order was canceled i was never notified i only discovered that it was cancelled after i logged onto my account find out when my order would be delivered i called was given no explanation cancellation or when dog food would be delivered never again</v>
      </c>
      <c r="I703" s="6">
        <f t="shared" si="2"/>
        <v>45</v>
      </c>
      <c r="J703" s="6">
        <f>IFERROR(__xludf.DUMMYFUNCTION("IF(H703="""","""",
SUM(
ARRAYFORMULA(
IF(
REGEXMATCH(
"" ""&amp;H703&amp;"" "",
"" ""&amp;Sentiment_Words!A$2:A3730&amp;"" ""
),
1,
0
)
)
)
)"),1.0)</f>
        <v>1</v>
      </c>
      <c r="K703" s="4">
        <f>IFERROR(__xludf.DUMMYFUNCTION("IF(H703="""","""",
SUM(
ARRAYFORMULA(
IF(
REGEXMATCH(
"" ""&amp;H703&amp;"" "",
"" ""&amp;Sentiment_Words!B$2:B3730&amp;"" ""
),
1,
0
)
)
)
)"),1.0)</f>
        <v>1</v>
      </c>
      <c r="L703" s="7" t="str">
        <f t="shared" si="3"/>
        <v>Account &amp; Website</v>
      </c>
      <c r="M703" s="7" t="str">
        <f t="shared" si="4"/>
        <v>Neutral</v>
      </c>
      <c r="N703" s="7" t="str">
        <f>IFERROR(__xludf.DUMMYFUNCTION("LOWER(
TRIM(
REGEXREPLACE(B703,""[^a-zA-Z\s]"","""")
)
)
"),"name withheld")</f>
        <v>name withheld</v>
      </c>
      <c r="O703" s="7">
        <f t="shared" si="5"/>
        <v>1</v>
      </c>
      <c r="P703" s="8" t="str">
        <f t="shared" si="6"/>
        <v>No</v>
      </c>
    </row>
    <row r="704">
      <c r="A704" s="4" t="s">
        <v>16</v>
      </c>
      <c r="B704" s="4" t="s">
        <v>2016</v>
      </c>
      <c r="C704" s="9">
        <v>44965.0</v>
      </c>
      <c r="D704" s="10">
        <v>44977.0</v>
      </c>
      <c r="E704" s="4" t="s">
        <v>2017</v>
      </c>
      <c r="F704" s="4" t="s">
        <v>2018</v>
      </c>
      <c r="G704" s="6" t="str">
        <f>IFERROR(__xludf.DUMMYFUNCTION("REGEXREPLACE(LOWER(F704),""[^a-z\s]"","""")"),"they are doing a great job left chewy for them and havent looked back since")</f>
        <v>they are doing a great job left chewy for them and havent looked back since</v>
      </c>
      <c r="H704" s="4" t="str">
        <f t="shared" si="1"/>
        <v>they are doing a great job left chewy them havent looked back since</v>
      </c>
      <c r="I704" s="6">
        <f t="shared" si="2"/>
        <v>13</v>
      </c>
      <c r="J704" s="6">
        <f>IFERROR(__xludf.DUMMYFUNCTION("IF(H704="""","""",
SUM(
ARRAYFORMULA(
IF(
REGEXMATCH(
"" ""&amp;H704&amp;"" "",
"" ""&amp;Sentiment_Words!A$2:A3730&amp;"" ""
),
1,
0
)
)
)
)"),1.0)</f>
        <v>1</v>
      </c>
      <c r="K704" s="4">
        <f>IFERROR(__xludf.DUMMYFUNCTION("IF(H704="""","""",
SUM(
ARRAYFORMULA(
IF(
REGEXMATCH(
"" ""&amp;H704&amp;"" "",
"" ""&amp;Sentiment_Words!B$2:B3730&amp;"" ""
),
1,
0
)
)
)
)"),0.0)</f>
        <v>0</v>
      </c>
      <c r="L704" s="7" t="str">
        <f t="shared" si="3"/>
        <v>Other</v>
      </c>
      <c r="M704" s="7" t="str">
        <f t="shared" si="4"/>
        <v>Positive</v>
      </c>
      <c r="N704" s="7" t="str">
        <f>IFERROR(__xludf.DUMMYFUNCTION("LOWER(
TRIM(
REGEXREPLACE(B704,""[^a-zA-Z\s]"","""")
)
)
"),"rossermond")</f>
        <v>rossermond</v>
      </c>
      <c r="O704" s="7">
        <f t="shared" si="5"/>
        <v>1</v>
      </c>
      <c r="P704" s="8" t="str">
        <f t="shared" si="6"/>
        <v>No</v>
      </c>
    </row>
    <row r="705">
      <c r="A705" s="4" t="s">
        <v>16</v>
      </c>
      <c r="B705" s="4" t="s">
        <v>2019</v>
      </c>
      <c r="C705" s="9">
        <v>44965.0</v>
      </c>
      <c r="D705" s="10">
        <v>44977.0</v>
      </c>
      <c r="E705" s="4" t="s">
        <v>2020</v>
      </c>
      <c r="F705" s="4" t="s">
        <v>2021</v>
      </c>
      <c r="G705" s="6" t="str">
        <f>IFERROR(__xludf.DUMMYFUNCTION("REGEXREPLACE(LOWER(F705),""[^a-z\s]"","""")"),"easy website for me always a pleasure to speak customer service if you need them auto ship is easy changing ship date and products is a breeze and you get a nice discount too")</f>
        <v>easy website for me always a pleasure to speak customer service if you need them auto ship is easy changing ship date and products is a breeze and you get a nice discount too</v>
      </c>
      <c r="H705" s="4" t="str">
        <f t="shared" si="1"/>
        <v>easy website me always a pleasure speak customer service if you need them auto ship easy changing ship date products a breeze you get a nice discount too</v>
      </c>
      <c r="I705" s="6">
        <f t="shared" si="2"/>
        <v>28</v>
      </c>
      <c r="J705" s="6">
        <f>IFERROR(__xludf.DUMMYFUNCTION("IF(H705="""","""",
SUM(
ARRAYFORMULA(
IF(
REGEXMATCH(
"" ""&amp;H705&amp;"" "",
"" ""&amp;Sentiment_Words!A$2:A3730&amp;"" ""
),
1,
0
)
)
)
)"),2.0)</f>
        <v>2</v>
      </c>
      <c r="K705" s="4">
        <f>IFERROR(__xludf.DUMMYFUNCTION("IF(H705="""","""",
SUM(
ARRAYFORMULA(
IF(
REGEXMATCH(
"" ""&amp;H705&amp;"" "",
"" ""&amp;Sentiment_Words!B$2:B3730&amp;"" ""
),
1,
0
)
)
)
)"),1.0)</f>
        <v>1</v>
      </c>
      <c r="L705" s="7" t="str">
        <f t="shared" si="3"/>
        <v>Customer Support</v>
      </c>
      <c r="M705" s="7" t="str">
        <f t="shared" si="4"/>
        <v>Positive</v>
      </c>
      <c r="N705" s="7" t="str">
        <f>IFERROR(__xludf.DUMMYFUNCTION("LOWER(
TRIM(
REGEXREPLACE(B705,""[^a-zA-Z\s]"","""")
)
)
"),"risa")</f>
        <v>risa</v>
      </c>
      <c r="O705" s="7">
        <f t="shared" si="5"/>
        <v>1</v>
      </c>
      <c r="P705" s="8" t="str">
        <f t="shared" si="6"/>
        <v>No</v>
      </c>
    </row>
    <row r="706">
      <c r="A706" s="4" t="s">
        <v>16</v>
      </c>
      <c r="B706" s="4" t="s">
        <v>2022</v>
      </c>
      <c r="C706" s="9">
        <v>44964.0</v>
      </c>
      <c r="D706" s="10">
        <v>44976.0</v>
      </c>
      <c r="E706" s="4" t="s">
        <v>81</v>
      </c>
      <c r="F706" s="4" t="s">
        <v>2023</v>
      </c>
      <c r="G706" s="6" t="str">
        <f>IFERROR(__xludf.DUMMYFUNCTION("REGEXREPLACE(LOWER(F706),""[^a-z\s]"","""")"),"quick shipping and competitive prices thank you")</f>
        <v>quick shipping and competitive prices thank you</v>
      </c>
      <c r="H706" s="4" t="str">
        <f t="shared" si="1"/>
        <v>quick shipping competitive prices thank you</v>
      </c>
      <c r="I706" s="6">
        <f t="shared" si="2"/>
        <v>6</v>
      </c>
      <c r="J706" s="6">
        <f>IFERROR(__xludf.DUMMYFUNCTION("IF(H706="""","""",
SUM(
ARRAYFORMULA(
IF(
REGEXMATCH(
"" ""&amp;H706&amp;"" "",
"" ""&amp;Sentiment_Words!A$2:A3730&amp;"" ""
),
1,
0
)
)
)
)"),0.0)</f>
        <v>0</v>
      </c>
      <c r="K706" s="4">
        <f>IFERROR(__xludf.DUMMYFUNCTION("IF(H706="""","""",
SUM(
ARRAYFORMULA(
IF(
REGEXMATCH(
"" ""&amp;H706&amp;"" "",
"" ""&amp;Sentiment_Words!B$2:B3730&amp;"" ""
),
1,
0
)
)
)
)"),0.0)</f>
        <v>0</v>
      </c>
      <c r="L706" s="7" t="str">
        <f t="shared" si="3"/>
        <v>Other</v>
      </c>
      <c r="M706" s="7" t="str">
        <f t="shared" si="4"/>
        <v>Neutral</v>
      </c>
      <c r="N706" s="7" t="str">
        <f>IFERROR(__xludf.DUMMYFUNCTION("LOWER(
TRIM(
REGEXREPLACE(B706,""[^a-zA-Z\s]"","""")
)
)
"),"mauricio")</f>
        <v>mauricio</v>
      </c>
      <c r="O706" s="7">
        <f t="shared" si="5"/>
        <v>1</v>
      </c>
      <c r="P706" s="8" t="str">
        <f t="shared" si="6"/>
        <v>No</v>
      </c>
    </row>
    <row r="707">
      <c r="A707" s="4" t="s">
        <v>16</v>
      </c>
      <c r="B707" s="4" t="s">
        <v>2024</v>
      </c>
      <c r="C707" s="9">
        <v>44963.0</v>
      </c>
      <c r="D707" s="10">
        <v>44976.0</v>
      </c>
      <c r="E707" s="4" t="s">
        <v>2025</v>
      </c>
      <c r="F707" s="4" t="s">
        <v>2026</v>
      </c>
      <c r="G707" s="6" t="str">
        <f>IFERROR(__xludf.DUMMYFUNCTION("REGEXREPLACE(LOWER(F707),""[^a-z\s]"","""")"),"shipping was faster than i expected best of all the items were in perfect condition no dented cans or boxes which has not always been the case so i especially appreciate it")</f>
        <v>shipping was faster than i expected best of all the items were in perfect condition no dented cans or boxes which has not always been the case so i especially appreciate it</v>
      </c>
      <c r="H707" s="4" t="str">
        <f t="shared" si="1"/>
        <v>shipping was faster than i expected best of all items were in perfect condition no dented cans or boxes which has not always been case so i especially appreciate it</v>
      </c>
      <c r="I707" s="6">
        <f t="shared" si="2"/>
        <v>30</v>
      </c>
      <c r="J707" s="6">
        <f>IFERROR(__xludf.DUMMYFUNCTION("IF(H707="""","""",
SUM(
ARRAYFORMULA(
IF(
REGEXMATCH(
"" ""&amp;H707&amp;"" "",
"" ""&amp;Sentiment_Words!A$2:A3730&amp;"" ""
),
1,
0
)
)
)
)"),0.0)</f>
        <v>0</v>
      </c>
      <c r="K707" s="4">
        <f>IFERROR(__xludf.DUMMYFUNCTION("IF(H707="""","""",
SUM(
ARRAYFORMULA(
IF(
REGEXMATCH(
"" ""&amp;H707&amp;"" "",
"" ""&amp;Sentiment_Words!B$2:B3730&amp;"" ""
),
1,
0
)
)
)
)"),0.0)</f>
        <v>0</v>
      </c>
      <c r="L707" s="7" t="str">
        <f t="shared" si="3"/>
        <v>Other</v>
      </c>
      <c r="M707" s="7" t="str">
        <f t="shared" si="4"/>
        <v>Neutral</v>
      </c>
      <c r="N707" s="7" t="str">
        <f>IFERROR(__xludf.DUMMYFUNCTION("LOWER(
TRIM(
REGEXREPLACE(B707,""[^a-zA-Z\s]"","""")
)
)
"),"sonja allen")</f>
        <v>sonja allen</v>
      </c>
      <c r="O707" s="7">
        <f t="shared" si="5"/>
        <v>1</v>
      </c>
      <c r="P707" s="8" t="str">
        <f t="shared" si="6"/>
        <v>No</v>
      </c>
    </row>
    <row r="708">
      <c r="A708" s="4" t="s">
        <v>16</v>
      </c>
      <c r="B708" s="4" t="s">
        <v>2027</v>
      </c>
      <c r="C708" s="9">
        <v>44964.0</v>
      </c>
      <c r="D708" s="10">
        <v>44976.0</v>
      </c>
      <c r="E708" s="4" t="s">
        <v>2028</v>
      </c>
      <c r="F708" s="4" t="s">
        <v>2029</v>
      </c>
      <c r="G708" s="6" t="str">
        <f>IFERROR(__xludf.DUMMYFUNCTION("REGEXREPLACE(LOWER(F708),""[^a-z\s]"","""")"),"product was in stock added to cart and quick checkout process meant i was in and out in less than five minutes")</f>
        <v>product was in stock added to cart and quick checkout process meant i was in and out in less than five minutes</v>
      </c>
      <c r="H708" s="4" t="str">
        <f t="shared" si="1"/>
        <v>product was in stock added cart quick checkout process meant i was in out in less than five minutes</v>
      </c>
      <c r="I708" s="6">
        <f t="shared" si="2"/>
        <v>19</v>
      </c>
      <c r="J708" s="6">
        <f>IFERROR(__xludf.DUMMYFUNCTION("IF(H708="""","""",
SUM(
ARRAYFORMULA(
IF(
REGEXMATCH(
"" ""&amp;H708&amp;"" "",
"" ""&amp;Sentiment_Words!A$2:A3730&amp;"" ""
),
1,
0
)
)
)
)"),0.0)</f>
        <v>0</v>
      </c>
      <c r="K708" s="4">
        <f>IFERROR(__xludf.DUMMYFUNCTION("IF(H708="""","""",
SUM(
ARRAYFORMULA(
IF(
REGEXMATCH(
"" ""&amp;H708&amp;"" "",
"" ""&amp;Sentiment_Words!B$2:B3730&amp;"" ""
),
1,
0
)
)
)
)"),0.0)</f>
        <v>0</v>
      </c>
      <c r="L708" s="7" t="str">
        <f t="shared" si="3"/>
        <v>Other</v>
      </c>
      <c r="M708" s="7" t="str">
        <f t="shared" si="4"/>
        <v>Neutral</v>
      </c>
      <c r="N708" s="7" t="str">
        <f>IFERROR(__xludf.DUMMYFUNCTION("LOWER(
TRIM(
REGEXREPLACE(B708,""[^a-zA-Z\s]"","""")
)
)
"),"frances drake")</f>
        <v>frances drake</v>
      </c>
      <c r="O708" s="7">
        <f t="shared" si="5"/>
        <v>1</v>
      </c>
      <c r="P708" s="8" t="str">
        <f t="shared" si="6"/>
        <v>No</v>
      </c>
    </row>
    <row r="709">
      <c r="A709" s="4" t="s">
        <v>16</v>
      </c>
      <c r="B709" s="4" t="s">
        <v>2030</v>
      </c>
      <c r="C709" s="9">
        <v>44964.0</v>
      </c>
      <c r="D709" s="10">
        <v>44976.0</v>
      </c>
      <c r="E709" s="4" t="s">
        <v>2031</v>
      </c>
      <c r="F709" s="4" t="s">
        <v>2032</v>
      </c>
      <c r="G709" s="6" t="str">
        <f>IFERROR(__xludf.DUMMYFUNCTION("REGEXREPLACE(LOWER(F709),""[^a-z\s]"","""")"),"i have now ordered a couple of times and i am  satisfied the orders are correct well packaged and on time if not early i will be ordering on a regular basis from this company i have nothing but praise for them excellent")</f>
        <v>i have now ordered a couple of times and i am  satisfied the orders are correct well packaged and on time if not early i will be ordering on a regular basis from this company i have nothing but praise for them excellent</v>
      </c>
      <c r="H709" s="4" t="str">
        <f t="shared" si="1"/>
        <v>i have now ordered a couple of times i am satisfied orders are correct well packaged on time if not early i will be ordering on a regular basis from this company i have nothing but praise them excellent</v>
      </c>
      <c r="I709" s="6">
        <f t="shared" si="2"/>
        <v>39</v>
      </c>
      <c r="J709" s="6">
        <f>IFERROR(__xludf.DUMMYFUNCTION("IF(H709="""","""",
SUM(
ARRAYFORMULA(
IF(
REGEXMATCH(
"" ""&amp;H709&amp;"" "",
"" ""&amp;Sentiment_Words!A$2:A3730&amp;"" ""
),
1,
0
)
)
)
)"),2.0)</f>
        <v>2</v>
      </c>
      <c r="K709" s="4">
        <f>IFERROR(__xludf.DUMMYFUNCTION("IF(H709="""","""",
SUM(
ARRAYFORMULA(
IF(
REGEXMATCH(
"" ""&amp;H709&amp;"" "",
"" ""&amp;Sentiment_Words!B$2:B3730&amp;"" ""
),
1,
0
)
)
)
)"),0.0)</f>
        <v>0</v>
      </c>
      <c r="L709" s="7" t="str">
        <f t="shared" si="3"/>
        <v>Other</v>
      </c>
      <c r="M709" s="7" t="str">
        <f t="shared" si="4"/>
        <v>Positive</v>
      </c>
      <c r="N709" s="7" t="str">
        <f>IFERROR(__xludf.DUMMYFUNCTION("LOWER(
TRIM(
REGEXREPLACE(B709,""[^a-zA-Z\s]"","""")
)
)
"),"aj bon")</f>
        <v>aj bon</v>
      </c>
      <c r="O709" s="7">
        <f t="shared" si="5"/>
        <v>1</v>
      </c>
      <c r="P709" s="8" t="str">
        <f t="shared" si="6"/>
        <v>No</v>
      </c>
    </row>
    <row r="710">
      <c r="A710" s="4" t="s">
        <v>16</v>
      </c>
      <c r="B710" s="4" t="s">
        <v>2033</v>
      </c>
      <c r="C710" s="9">
        <v>44964.0</v>
      </c>
      <c r="D710" s="10">
        <v>44976.0</v>
      </c>
      <c r="E710" s="4" t="s">
        <v>2034</v>
      </c>
      <c r="F710" s="4" t="s">
        <v>2035</v>
      </c>
      <c r="G710" s="6" t="str">
        <f>IFERROR(__xludf.DUMMYFUNCTION("REGEXREPLACE(LOWER(F710),""[^a-z\s]"","""")"),"i called customer service because my order had not shipped after several days the woman i spoke with in customer service was very polite and helpful and my order was shipped out the next day and i received notifications of the shipping status throughout t"&amp;"he process my order arrived in two seperate shipments but they were only days apart and i was notified that my particular item was out of stock at the time so the remainder of my order would soon follow and it did i was very pleased with customer service "&amp;"and their attention to detail thank you pet flow customer service for all your assistance")</f>
        <v>i called customer service because my order had not shipped after several days the woman i spoke with in customer service was very polite and helpful and my order was shipped out the next day and i received notifications of the shipping status throughout the process my order arrived in two seperate shipments but they were only days apart and i was notified that my particular item was out of stock at the time so the remainder of my order would soon follow and it did i was very pleased with customer service and their attention to detail thank you pet flow customer service for all your assistance</v>
      </c>
      <c r="H710" s="4" t="str">
        <f t="shared" si="1"/>
        <v>i called customer service because my order had not shipped after several days woman i spoke with in customer service was very polite helpful my order was shipped out next day i received notifications of shipping status throughout process my order arrived in two seperate shipments but they were only days apart i was notified that my particular item was out of stock at time so remainder of my order would soon follow it did i was very pleased with customer service their attention detail thank you pet flow customer service all your assistance</v>
      </c>
      <c r="I710" s="6">
        <f t="shared" si="2"/>
        <v>94</v>
      </c>
      <c r="J710" s="6">
        <f>IFERROR(__xludf.DUMMYFUNCTION("IF(H710="""","""",
SUM(
ARRAYFORMULA(
IF(
REGEXMATCH(
"" ""&amp;H710&amp;"" "",
"" ""&amp;Sentiment_Words!A$2:A3730&amp;"" ""
),
1,
0
)
)
)
)"),1.0)</f>
        <v>1</v>
      </c>
      <c r="K710" s="4">
        <f>IFERROR(__xludf.DUMMYFUNCTION("IF(H710="""","""",
SUM(
ARRAYFORMULA(
IF(
REGEXMATCH(
"" ""&amp;H710&amp;"" "",
"" ""&amp;Sentiment_Words!B$2:B3730&amp;"" ""
),
1,
0
)
)
)
)"),2.0)</f>
        <v>2</v>
      </c>
      <c r="L710" s="7" t="str">
        <f t="shared" si="3"/>
        <v>Customer Support</v>
      </c>
      <c r="M710" s="7" t="str">
        <f t="shared" si="4"/>
        <v>Negative</v>
      </c>
      <c r="N710" s="7" t="str">
        <f>IFERROR(__xludf.DUMMYFUNCTION("LOWER(
TRIM(
REGEXREPLACE(B710,""[^a-zA-Z\s]"","""")
)
)
"),"ap")</f>
        <v>ap</v>
      </c>
      <c r="O710" s="7">
        <f t="shared" si="5"/>
        <v>2</v>
      </c>
      <c r="P710" s="8" t="str">
        <f t="shared" si="6"/>
        <v>Yes</v>
      </c>
    </row>
    <row r="711">
      <c r="A711" s="4" t="s">
        <v>16</v>
      </c>
      <c r="B711" s="4" t="s">
        <v>2036</v>
      </c>
      <c r="C711" s="9">
        <v>44964.0</v>
      </c>
      <c r="D711" s="10">
        <v>44976.0</v>
      </c>
      <c r="E711" s="4" t="s">
        <v>2037</v>
      </c>
      <c r="F711" s="4" t="s">
        <v>2038</v>
      </c>
      <c r="G711" s="6" t="str">
        <f>IFERROR(__xludf.DUMMYFUNCTION("REGEXREPLACE(LOWER(F711),""[^a-z\s]"","""")"),"very fast shipping had my order in a few days i was able to saveoney as well great company")</f>
        <v>very fast shipping had my order in a few days i was able to saveoney as well great company</v>
      </c>
      <c r="H711" s="4" t="str">
        <f t="shared" si="1"/>
        <v>very fast shipping had my order in a few days i was able saveoney as well great company</v>
      </c>
      <c r="I711" s="6">
        <f t="shared" si="2"/>
        <v>18</v>
      </c>
      <c r="J711" s="6">
        <f>IFERROR(__xludf.DUMMYFUNCTION("IF(H711="""","""",
SUM(
ARRAYFORMULA(
IF(
REGEXMATCH(
"" ""&amp;H711&amp;"" "",
"" ""&amp;Sentiment_Words!A$2:A3730&amp;"" ""
),
1,
0
)
)
)
)"),3.0)</f>
        <v>3</v>
      </c>
      <c r="K711" s="4">
        <f>IFERROR(__xludf.DUMMYFUNCTION("IF(H711="""","""",
SUM(
ARRAYFORMULA(
IF(
REGEXMATCH(
"" ""&amp;H711&amp;"" "",
"" ""&amp;Sentiment_Words!B$2:B3730&amp;"" ""
),
1,
0
)
)
)
)"),0.0)</f>
        <v>0</v>
      </c>
      <c r="L711" s="7" t="str">
        <f t="shared" si="3"/>
        <v>Other</v>
      </c>
      <c r="M711" s="7" t="str">
        <f t="shared" si="4"/>
        <v>Positive</v>
      </c>
      <c r="N711" s="7" t="str">
        <f>IFERROR(__xludf.DUMMYFUNCTION("LOWER(
TRIM(
REGEXREPLACE(B711,""[^a-zA-Z\s]"","""")
)
)
"),"teresa brace")</f>
        <v>teresa brace</v>
      </c>
      <c r="O711" s="7">
        <f t="shared" si="5"/>
        <v>1</v>
      </c>
      <c r="P711" s="8" t="str">
        <f t="shared" si="6"/>
        <v>No</v>
      </c>
    </row>
    <row r="712">
      <c r="A712" s="4" t="s">
        <v>16</v>
      </c>
      <c r="B712" s="4" t="s">
        <v>2039</v>
      </c>
      <c r="C712" s="9">
        <v>44961.0</v>
      </c>
      <c r="D712" s="10">
        <v>44976.0</v>
      </c>
      <c r="E712" s="4" t="s">
        <v>2040</v>
      </c>
      <c r="F712" s="4" t="s">
        <v>2041</v>
      </c>
      <c r="G712" s="6" t="str">
        <f>IFERROR(__xludf.DUMMYFUNCTION("REGEXREPLACE(LOWER(F712),""[^a-z\s]"","""")"),"i placed an order and called three days later to make sure it was coming that day i was then told that my order was cancelled for possible fraud i was never notified by a phone call or email that this happened she couldnt place a new order because it woul"&amp;"d still go to fraud and she needed to find out from the fraud dept why this happened and she said they get back to her when they can i told her to email or call me when she found out and i never heard from her i was furious i will never try to order from "&amp;"pet flow again")</f>
        <v>i placed an order and called three days later to make sure it was coming that day i was then told that my order was cancelled for possible fraud i was never notified by a phone call or email that this happened she couldnt place a new order because it would still go to fraud and she needed to find out from the fraud dept why this happened and she said they get back to her when they can i told her to email or call me when she found out and i never heard from her i was furious i will never try to order from pet flow again</v>
      </c>
      <c r="H712" s="4" t="str">
        <f t="shared" si="1"/>
        <v>i placed an order called three days later make sure it was coming that day i was then told that my order was cancelled possible fraud i was never notified by a phone call or email that this happened she couldnt place a new order because it would still go fraud she needed find out from fraud dept why this happened she said they get back her when they can i told her email or call me when she found out i never heard from her i was furious i will never try order from pet flow again</v>
      </c>
      <c r="I712" s="6">
        <f t="shared" si="2"/>
        <v>98</v>
      </c>
      <c r="J712" s="6">
        <f>IFERROR(__xludf.DUMMYFUNCTION("IF(H712="""","""",
SUM(
ARRAYFORMULA(
IF(
REGEXMATCH(
"" ""&amp;H712&amp;"" "",
"" ""&amp;Sentiment_Words!A$2:A3730&amp;"" ""
),
1,
0
)
)
)
)"),1.0)</f>
        <v>1</v>
      </c>
      <c r="K712" s="4">
        <f>IFERROR(__xludf.DUMMYFUNCTION("IF(H712="""","""",
SUM(
ARRAYFORMULA(
IF(
REGEXMATCH(
"" ""&amp;H712&amp;"" "",
"" ""&amp;Sentiment_Words!B$2:B3730&amp;"" ""
),
1,
0
)
)
)
)"),1.0)</f>
        <v>1</v>
      </c>
      <c r="L712" s="7" t="str">
        <f t="shared" si="3"/>
        <v>Fulfillment &amp; Shipping</v>
      </c>
      <c r="M712" s="7" t="str">
        <f t="shared" si="4"/>
        <v>Neutral</v>
      </c>
      <c r="N712" s="7" t="str">
        <f>IFERROR(__xludf.DUMMYFUNCTION("LOWER(
TRIM(
REGEXREPLACE(B712,""[^a-zA-Z\s]"","""")
)
)
"),"christina kaelin")</f>
        <v>christina kaelin</v>
      </c>
      <c r="O712" s="7">
        <f t="shared" si="5"/>
        <v>1</v>
      </c>
      <c r="P712" s="8" t="str">
        <f t="shared" si="6"/>
        <v>No</v>
      </c>
    </row>
    <row r="713">
      <c r="A713" s="4" t="s">
        <v>16</v>
      </c>
      <c r="B713" s="4" t="s">
        <v>2042</v>
      </c>
      <c r="C713" s="9">
        <v>44961.0</v>
      </c>
      <c r="D713" s="10">
        <v>44976.0</v>
      </c>
      <c r="E713" s="4" t="s">
        <v>2043</v>
      </c>
      <c r="F713" s="4" t="s">
        <v>2044</v>
      </c>
      <c r="G713" s="6" t="str">
        <f>IFERROR(__xludf.DUMMYFUNCTION("REGEXREPLACE(LOWER(F713),""[^a-z\s]"","""")"),"prices are good and delivery is timely my problem has been with ordering from your website the system cannot seem to store my credit card information properly last time it was so bad i had to have one of your staff order for me")</f>
        <v>prices are good and delivery is timely my problem has been with ordering from your website the system cannot seem to store my credit card information properly last time it was so bad i had to have one of your staff order for me</v>
      </c>
      <c r="H713" s="4" t="str">
        <f t="shared" si="1"/>
        <v>prices are good delivery timely my problem has been with ordering from your website system cannot seem store my credit card information properly last time it was so bad i had have one of your staff order me</v>
      </c>
      <c r="I713" s="6">
        <f t="shared" si="2"/>
        <v>38</v>
      </c>
      <c r="J713" s="6">
        <f>IFERROR(__xludf.DUMMYFUNCTION("IF(H713="""","""",
SUM(
ARRAYFORMULA(
IF(
REGEXMATCH(
"" ""&amp;H713&amp;"" "",
"" ""&amp;Sentiment_Words!A$2:A3730&amp;"" ""
),
1,
0
)
)
)
)"),1.0)</f>
        <v>1</v>
      </c>
      <c r="K713" s="4">
        <f>IFERROR(__xludf.DUMMYFUNCTION("IF(H713="""","""",
SUM(
ARRAYFORMULA(
IF(
REGEXMATCH(
"" ""&amp;H713&amp;"" "",
"" ""&amp;Sentiment_Words!B$2:B3730&amp;"" ""
),
1,
0
)
)
)
)"),1.0)</f>
        <v>1</v>
      </c>
      <c r="L713" s="7" t="str">
        <f t="shared" si="3"/>
        <v>Account &amp; Website</v>
      </c>
      <c r="M713" s="7" t="str">
        <f t="shared" si="4"/>
        <v>Neutral</v>
      </c>
      <c r="N713" s="7" t="str">
        <f>IFERROR(__xludf.DUMMYFUNCTION("LOWER(
TRIM(
REGEXREPLACE(B713,""[^a-zA-Z\s]"","""")
)
)
"),"clifford heater")</f>
        <v>clifford heater</v>
      </c>
      <c r="O713" s="7">
        <f t="shared" si="5"/>
        <v>1</v>
      </c>
      <c r="P713" s="8" t="str">
        <f t="shared" si="6"/>
        <v>No</v>
      </c>
    </row>
    <row r="714">
      <c r="A714" s="4" t="s">
        <v>16</v>
      </c>
      <c r="B714" s="4" t="s">
        <v>2045</v>
      </c>
      <c r="C714" s="5">
        <v>44947.0</v>
      </c>
      <c r="D714" s="10">
        <v>44975.0</v>
      </c>
      <c r="E714" s="4" t="s">
        <v>2046</v>
      </c>
      <c r="F714" s="4" t="s">
        <v>2047</v>
      </c>
      <c r="G714" s="6" t="str">
        <f>IFERROR(__xludf.DUMMYFUNCTION("REGEXREPLACE(LOWER(F714),""[^a-z\s]"","""")"),"petflow reps are always helpful  make good on any issues you have")</f>
        <v>petflow reps are always helpful  make good on any issues you have</v>
      </c>
      <c r="H714" s="4" t="str">
        <f t="shared" si="1"/>
        <v>petflow reps are always helpful make good on any issues you have</v>
      </c>
      <c r="I714" s="6">
        <f t="shared" si="2"/>
        <v>12</v>
      </c>
      <c r="J714" s="6">
        <f>IFERROR(__xludf.DUMMYFUNCTION("IF(H714="""","""",
SUM(
ARRAYFORMULA(
IF(
REGEXMATCH(
"" ""&amp;H714&amp;"" "",
"" ""&amp;Sentiment_Words!A$2:A3730&amp;"" ""
),
1,
0
)
)
)
)"),2.0)</f>
        <v>2</v>
      </c>
      <c r="K714" s="4">
        <f>IFERROR(__xludf.DUMMYFUNCTION("IF(H714="""","""",
SUM(
ARRAYFORMULA(
IF(
REGEXMATCH(
"" ""&amp;H714&amp;"" "",
"" ""&amp;Sentiment_Words!B$2:B3730&amp;"" ""
),
1,
0
)
)
)
)"),0.0)</f>
        <v>0</v>
      </c>
      <c r="L714" s="7" t="str">
        <f t="shared" si="3"/>
        <v>Other</v>
      </c>
      <c r="M714" s="7" t="str">
        <f t="shared" si="4"/>
        <v>Positive</v>
      </c>
      <c r="N714" s="7" t="str">
        <f>IFERROR(__xludf.DUMMYFUNCTION("LOWER(
TRIM(
REGEXREPLACE(B714,""[^a-zA-Z\s]"","""")
)
)
"),"pamela doherty")</f>
        <v>pamela doherty</v>
      </c>
      <c r="O714" s="7">
        <f t="shared" si="5"/>
        <v>1</v>
      </c>
      <c r="P714" s="8" t="str">
        <f t="shared" si="6"/>
        <v>No</v>
      </c>
    </row>
    <row r="715">
      <c r="A715" s="4" t="s">
        <v>16</v>
      </c>
      <c r="B715" s="4" t="s">
        <v>2048</v>
      </c>
      <c r="C715" s="5">
        <v>44973.0</v>
      </c>
      <c r="D715" s="10">
        <v>44975.0</v>
      </c>
      <c r="E715" s="4" t="s">
        <v>2049</v>
      </c>
      <c r="F715" s="4" t="s">
        <v>2050</v>
      </c>
      <c r="G715" s="6" t="str">
        <f>IFERROR(__xludf.DUMMYFUNCTION("REGEXREPLACE(LOWER(F715),""[^a-z\s]"","""")"),"too long for shipment had to keep emailing when order would ship items were in stock dont know what the hold up was")</f>
        <v>too long for shipment had to keep emailing when order would ship items were in stock dont know what the hold up was</v>
      </c>
      <c r="H715" s="4" t="str">
        <f t="shared" si="1"/>
        <v>too long shipment had keep emailing when order would ship items were in stock dont know what hold up was</v>
      </c>
      <c r="I715" s="6">
        <f t="shared" si="2"/>
        <v>20</v>
      </c>
      <c r="J715" s="6">
        <f>IFERROR(__xludf.DUMMYFUNCTION("IF(H715="""","""",
SUM(
ARRAYFORMULA(
IF(
REGEXMATCH(
"" ""&amp;H715&amp;"" "",
"" ""&amp;Sentiment_Words!A$2:A3730&amp;"" ""
),
1,
0
)
)
)
)"),0.0)</f>
        <v>0</v>
      </c>
      <c r="K715" s="4">
        <f>IFERROR(__xludf.DUMMYFUNCTION("IF(H715="""","""",
SUM(
ARRAYFORMULA(
IF(
REGEXMATCH(
"" ""&amp;H715&amp;"" "",
"" ""&amp;Sentiment_Words!B$2:B3730&amp;"" ""
),
1,
0
)
)
)
)"),0.0)</f>
        <v>0</v>
      </c>
      <c r="L715" s="7" t="str">
        <f t="shared" si="3"/>
        <v>Other</v>
      </c>
      <c r="M715" s="7" t="str">
        <f t="shared" si="4"/>
        <v>Neutral</v>
      </c>
      <c r="N715" s="7" t="str">
        <f>IFERROR(__xludf.DUMMYFUNCTION("LOWER(
TRIM(
REGEXREPLACE(B715,""[^a-zA-Z\s]"","""")
)
)
"),"george crafts")</f>
        <v>george crafts</v>
      </c>
      <c r="O715" s="7">
        <f t="shared" si="5"/>
        <v>1</v>
      </c>
      <c r="P715" s="8" t="str">
        <f t="shared" si="6"/>
        <v>No</v>
      </c>
    </row>
    <row r="716">
      <c r="A716" s="4" t="s">
        <v>16</v>
      </c>
      <c r="B716" s="4" t="s">
        <v>2051</v>
      </c>
      <c r="C716" s="9">
        <v>44963.0</v>
      </c>
      <c r="D716" s="10">
        <v>44975.0</v>
      </c>
      <c r="E716" s="4" t="s">
        <v>2052</v>
      </c>
      <c r="F716" s="4" t="s">
        <v>2053</v>
      </c>
      <c r="G716" s="6" t="str">
        <f>IFERROR(__xludf.DUMMYFUNCTION("REGEXREPLACE(LOWER(F716),""[^a-z\s]"","""")"),"great company quick delivery have all the pet products we need")</f>
        <v>great company quick delivery have all the pet products we need</v>
      </c>
      <c r="H716" s="4" t="str">
        <f t="shared" si="1"/>
        <v>great company quick delivery have all pet products we need</v>
      </c>
      <c r="I716" s="6">
        <f t="shared" si="2"/>
        <v>10</v>
      </c>
      <c r="J716" s="6">
        <f>IFERROR(__xludf.DUMMYFUNCTION("IF(H716="""","""",
SUM(
ARRAYFORMULA(
IF(
REGEXMATCH(
"" ""&amp;H716&amp;"" "",
"" ""&amp;Sentiment_Words!A$2:A3730&amp;"" ""
),
1,
0
)
)
)
)"),2.0)</f>
        <v>2</v>
      </c>
      <c r="K716" s="4">
        <f>IFERROR(__xludf.DUMMYFUNCTION("IF(H716="""","""",
SUM(
ARRAYFORMULA(
IF(
REGEXMATCH(
"" ""&amp;H716&amp;"" "",
"" ""&amp;Sentiment_Words!B$2:B3730&amp;"" ""
),
1,
0
)
)
)
)"),0.0)</f>
        <v>0</v>
      </c>
      <c r="L716" s="7" t="str">
        <f t="shared" si="3"/>
        <v>Other</v>
      </c>
      <c r="M716" s="7" t="str">
        <f t="shared" si="4"/>
        <v>Positive</v>
      </c>
      <c r="N716" s="7" t="str">
        <f>IFERROR(__xludf.DUMMYFUNCTION("LOWER(
TRIM(
REGEXREPLACE(B716,""[^a-zA-Z\s]"","""")
)
)
"),"jean quigley")</f>
        <v>jean quigley</v>
      </c>
      <c r="O716" s="7">
        <f t="shared" si="5"/>
        <v>1</v>
      </c>
      <c r="P716" s="8" t="str">
        <f t="shared" si="6"/>
        <v>No</v>
      </c>
    </row>
    <row r="717">
      <c r="A717" s="4" t="s">
        <v>16</v>
      </c>
      <c r="B717" s="4" t="s">
        <v>2054</v>
      </c>
      <c r="C717" s="9">
        <v>44963.0</v>
      </c>
      <c r="D717" s="10">
        <v>44975.0</v>
      </c>
      <c r="E717" s="4" t="s">
        <v>2055</v>
      </c>
      <c r="F717" s="4" t="s">
        <v>2056</v>
      </c>
      <c r="G717" s="6" t="str">
        <f>IFERROR(__xludf.DUMMYFUNCTION("REGEXREPLACE(LOWER(F717),""[^a-z\s]"","""")"),"petflow had brands that i have difficulty obtaining elsewhere their prices are good and the food i ordered for my dog with allergies arrived in good condition")</f>
        <v>petflow had brands that i have difficulty obtaining elsewhere their prices are good and the food i ordered for my dog with allergies arrived in good condition</v>
      </c>
      <c r="H717" s="4" t="str">
        <f t="shared" si="1"/>
        <v>petflow had brands that i have difficulty obtaining elsewhere their prices are good food i ordered my dog with allergies arrived in good condition</v>
      </c>
      <c r="I717" s="6">
        <f t="shared" si="2"/>
        <v>24</v>
      </c>
      <c r="J717" s="6">
        <f>IFERROR(__xludf.DUMMYFUNCTION("IF(H717="""","""",
SUM(
ARRAYFORMULA(
IF(
REGEXMATCH(
"" ""&amp;H717&amp;"" "",
"" ""&amp;Sentiment_Words!A$2:A3730&amp;"" ""
),
1,
0
)
)
)
)"),1.0)</f>
        <v>1</v>
      </c>
      <c r="K717" s="4">
        <f>IFERROR(__xludf.DUMMYFUNCTION("IF(H717="""","""",
SUM(
ARRAYFORMULA(
IF(
REGEXMATCH(
"" ""&amp;H717&amp;"" "",
"" ""&amp;Sentiment_Words!B$2:B3730&amp;"" ""
),
1,
0
)
)
)
)"),0.0)</f>
        <v>0</v>
      </c>
      <c r="L717" s="7" t="str">
        <f t="shared" si="3"/>
        <v>Other</v>
      </c>
      <c r="M717" s="7" t="str">
        <f t="shared" si="4"/>
        <v>Positive</v>
      </c>
      <c r="N717" s="7" t="str">
        <f>IFERROR(__xludf.DUMMYFUNCTION("LOWER(
TRIM(
REGEXREPLACE(B717,""[^a-zA-Z\s]"","""")
)
)
"),"constance antonelli")</f>
        <v>constance antonelli</v>
      </c>
      <c r="O717" s="7">
        <f t="shared" si="5"/>
        <v>1</v>
      </c>
      <c r="P717" s="8" t="str">
        <f t="shared" si="6"/>
        <v>No</v>
      </c>
    </row>
    <row r="718">
      <c r="A718" s="4" t="s">
        <v>16</v>
      </c>
      <c r="B718" s="4" t="s">
        <v>2057</v>
      </c>
      <c r="C718" s="9">
        <v>44963.0</v>
      </c>
      <c r="D718" s="10">
        <v>44975.0</v>
      </c>
      <c r="E718" s="4" t="s">
        <v>2058</v>
      </c>
      <c r="F718" s="4" t="s">
        <v>2059</v>
      </c>
      <c r="G718" s="6" t="str">
        <f>IFERROR(__xludf.DUMMYFUNCTION("REGEXREPLACE(LOWER(F718),""[^a-z\s]"","""")"),"great price on the chinchilla food that purchased i always shop away and petflow had the best price and i received it super quick")</f>
        <v>great price on the chinchilla food that purchased i always shop away and petflow had the best price and i received it super quick</v>
      </c>
      <c r="H718" s="4" t="str">
        <f t="shared" si="1"/>
        <v>great price on chinchilla food that purchased i always shop away petflow had best price i received it super quick</v>
      </c>
      <c r="I718" s="6">
        <f t="shared" si="2"/>
        <v>20</v>
      </c>
      <c r="J718" s="6">
        <f>IFERROR(__xludf.DUMMYFUNCTION("IF(H718="""","""",
SUM(
ARRAYFORMULA(
IF(
REGEXMATCH(
"" ""&amp;H718&amp;"" "",
"" ""&amp;Sentiment_Words!A$2:A3730&amp;"" ""
),
1,
0
)
)
)
)"),1.0)</f>
        <v>1</v>
      </c>
      <c r="K718" s="4">
        <f>IFERROR(__xludf.DUMMYFUNCTION("IF(H718="""","""",
SUM(
ARRAYFORMULA(
IF(
REGEXMATCH(
"" ""&amp;H718&amp;"" "",
"" ""&amp;Sentiment_Words!B$2:B3730&amp;"" ""
),
1,
0
)
)
)
)"),0.0)</f>
        <v>0</v>
      </c>
      <c r="L718" s="7" t="str">
        <f t="shared" si="3"/>
        <v>Other</v>
      </c>
      <c r="M718" s="7" t="str">
        <f t="shared" si="4"/>
        <v>Positive</v>
      </c>
      <c r="N718" s="7" t="str">
        <f>IFERROR(__xludf.DUMMYFUNCTION("LOWER(
TRIM(
REGEXREPLACE(B718,""[^a-zA-Z\s]"","""")
)
)
"),"cnm")</f>
        <v>cnm</v>
      </c>
      <c r="O718" s="7">
        <f t="shared" si="5"/>
        <v>1</v>
      </c>
      <c r="P718" s="8" t="str">
        <f t="shared" si="6"/>
        <v>No</v>
      </c>
    </row>
    <row r="719">
      <c r="A719" s="4" t="s">
        <v>16</v>
      </c>
      <c r="B719" s="4" t="s">
        <v>2060</v>
      </c>
      <c r="C719" s="9">
        <v>44961.0</v>
      </c>
      <c r="D719" s="10">
        <v>44974.0</v>
      </c>
      <c r="E719" s="4" t="s">
        <v>2061</v>
      </c>
      <c r="F719" s="4" t="s">
        <v>2062</v>
      </c>
      <c r="G719" s="6" t="str">
        <f>IFERROR(__xludf.DUMMYFUNCTION("REGEXREPLACE(LOWER(F719),""[^a-z\s]"","""")"),"firsttime experience")</f>
        <v>firsttime experience</v>
      </c>
      <c r="H719" s="4" t="str">
        <f t="shared" si="1"/>
        <v>firsttime experience</v>
      </c>
      <c r="I719" s="6">
        <f t="shared" si="2"/>
        <v>2</v>
      </c>
      <c r="J719" s="6">
        <f>IFERROR(__xludf.DUMMYFUNCTION("IF(H719="""","""",
SUM(
ARRAYFORMULA(
IF(
REGEXMATCH(
"" ""&amp;H719&amp;"" "",
"" ""&amp;Sentiment_Words!A$2:A3730&amp;"" ""
),
1,
0
)
)
)
)"),0.0)</f>
        <v>0</v>
      </c>
      <c r="K719" s="4">
        <f>IFERROR(__xludf.DUMMYFUNCTION("IF(H719="""","""",
SUM(
ARRAYFORMULA(
IF(
REGEXMATCH(
"" ""&amp;H719&amp;"" "",
"" ""&amp;Sentiment_Words!B$2:B3730&amp;"" ""
),
1,
0
)
)
)
)"),0.0)</f>
        <v>0</v>
      </c>
      <c r="L719" s="7" t="str">
        <f t="shared" si="3"/>
        <v>Other</v>
      </c>
      <c r="M719" s="7" t="str">
        <f t="shared" si="4"/>
        <v>Neutral</v>
      </c>
      <c r="N719" s="7" t="str">
        <f>IFERROR(__xludf.DUMMYFUNCTION("LOWER(
TRIM(
REGEXREPLACE(B719,""[^a-zA-Z\s]"","""")
)
)
"),"kristin")</f>
        <v>kristin</v>
      </c>
      <c r="O719" s="7">
        <f t="shared" si="5"/>
        <v>3</v>
      </c>
      <c r="P719" s="8" t="str">
        <f t="shared" si="6"/>
        <v>Yes</v>
      </c>
    </row>
    <row r="720">
      <c r="A720" s="4" t="s">
        <v>16</v>
      </c>
      <c r="B720" s="4" t="s">
        <v>2063</v>
      </c>
      <c r="C720" s="9">
        <v>44962.0</v>
      </c>
      <c r="D720" s="10">
        <v>44974.0</v>
      </c>
      <c r="E720" s="4" t="s">
        <v>2064</v>
      </c>
      <c r="F720" s="4" t="s">
        <v>331</v>
      </c>
      <c r="G720" s="6" t="str">
        <f>IFERROR(__xludf.DUMMYFUNCTION("REGEXREPLACE(LOWER(F720),""[^a-z\s]"","""")"),"none")</f>
        <v>none</v>
      </c>
      <c r="H720" s="4" t="str">
        <f t="shared" si="1"/>
        <v>none</v>
      </c>
      <c r="I720" s="6">
        <f t="shared" si="2"/>
        <v>1</v>
      </c>
      <c r="J720" s="6">
        <f>IFERROR(__xludf.DUMMYFUNCTION("IF(H720="""","""",
SUM(
ARRAYFORMULA(
IF(
REGEXMATCH(
"" ""&amp;H720&amp;"" "",
"" ""&amp;Sentiment_Words!A$2:A3730&amp;"" ""
),
1,
0
)
)
)
)"),0.0)</f>
        <v>0</v>
      </c>
      <c r="K720" s="4">
        <f>IFERROR(__xludf.DUMMYFUNCTION("IF(H720="""","""",
SUM(
ARRAYFORMULA(
IF(
REGEXMATCH(
"" ""&amp;H720&amp;"" "",
"" ""&amp;Sentiment_Words!B$2:B3730&amp;"" ""
),
1,
0
)
)
)
)"),0.0)</f>
        <v>0</v>
      </c>
      <c r="L720" s="7" t="str">
        <f t="shared" si="3"/>
        <v>Other</v>
      </c>
      <c r="M720" s="7" t="str">
        <f t="shared" si="4"/>
        <v>Neutral</v>
      </c>
      <c r="N720" s="7" t="str">
        <f>IFERROR(__xludf.DUMMYFUNCTION("LOWER(
TRIM(
REGEXREPLACE(B720,""[^a-zA-Z\s]"","""")
)
)
"),"diane langlois")</f>
        <v>diane langlois</v>
      </c>
      <c r="O720" s="7">
        <f t="shared" si="5"/>
        <v>1</v>
      </c>
      <c r="P720" s="8" t="str">
        <f t="shared" si="6"/>
        <v>No</v>
      </c>
    </row>
    <row r="721">
      <c r="A721" s="4" t="s">
        <v>16</v>
      </c>
      <c r="B721" s="4" t="s">
        <v>2065</v>
      </c>
      <c r="C721" s="9">
        <v>44962.0</v>
      </c>
      <c r="D721" s="10">
        <v>44974.0</v>
      </c>
      <c r="E721" s="4" t="s">
        <v>2066</v>
      </c>
      <c r="F721" s="4" t="s">
        <v>331</v>
      </c>
      <c r="G721" s="6" t="str">
        <f>IFERROR(__xludf.DUMMYFUNCTION("REGEXREPLACE(LOWER(F721),""[^a-z\s]"","""")"),"none")</f>
        <v>none</v>
      </c>
      <c r="H721" s="4" t="str">
        <f t="shared" si="1"/>
        <v>none</v>
      </c>
      <c r="I721" s="6">
        <f t="shared" si="2"/>
        <v>1</v>
      </c>
      <c r="J721" s="6">
        <f>IFERROR(__xludf.DUMMYFUNCTION("IF(H721="""","""",
SUM(
ARRAYFORMULA(
IF(
REGEXMATCH(
"" ""&amp;H721&amp;"" "",
"" ""&amp;Sentiment_Words!A$2:A3730&amp;"" ""
),
1,
0
)
)
)
)"),0.0)</f>
        <v>0</v>
      </c>
      <c r="K721" s="4">
        <f>IFERROR(__xludf.DUMMYFUNCTION("IF(H721="""","""",
SUM(
ARRAYFORMULA(
IF(
REGEXMATCH(
"" ""&amp;H721&amp;"" "",
"" ""&amp;Sentiment_Words!B$2:B3730&amp;"" ""
),
1,
0
)
)
)
)"),0.0)</f>
        <v>0</v>
      </c>
      <c r="L721" s="7" t="str">
        <f t="shared" si="3"/>
        <v>Other</v>
      </c>
      <c r="M721" s="7" t="str">
        <f t="shared" si="4"/>
        <v>Neutral</v>
      </c>
      <c r="N721" s="7" t="str">
        <f>IFERROR(__xludf.DUMMYFUNCTION("LOWER(
TRIM(
REGEXREPLACE(B721,""[^a-zA-Z\s]"","""")
)
)
"),"ed coan")</f>
        <v>ed coan</v>
      </c>
      <c r="O721" s="7">
        <f t="shared" si="5"/>
        <v>1</v>
      </c>
      <c r="P721" s="8" t="str">
        <f t="shared" si="6"/>
        <v>No</v>
      </c>
    </row>
    <row r="722">
      <c r="A722" s="4" t="s">
        <v>16</v>
      </c>
      <c r="B722" s="4" t="s">
        <v>2067</v>
      </c>
      <c r="C722" s="9">
        <v>44962.0</v>
      </c>
      <c r="D722" s="10">
        <v>44974.0</v>
      </c>
      <c r="E722" s="4" t="s">
        <v>2068</v>
      </c>
      <c r="F722" s="4" t="s">
        <v>2069</v>
      </c>
      <c r="G722" s="6" t="str">
        <f>IFERROR(__xludf.DUMMYFUNCTION("REGEXREPLACE(LOWER(F722),""[^a-z\s]"","""")"),"i changed the address for delivery and it got mailed twice one went to the wrong address but i still had to pay for it")</f>
        <v>i changed the address for delivery and it got mailed twice one went to the wrong address but i still had to pay for it</v>
      </c>
      <c r="H722" s="4" t="str">
        <f t="shared" si="1"/>
        <v>i changed address delivery it got mailed twice one went wrong address but i still had pay it</v>
      </c>
      <c r="I722" s="6">
        <f t="shared" si="2"/>
        <v>18</v>
      </c>
      <c r="J722" s="6">
        <f>IFERROR(__xludf.DUMMYFUNCTION("IF(H722="""","""",
SUM(
ARRAYFORMULA(
IF(
REGEXMATCH(
"" ""&amp;H722&amp;"" "",
"" ""&amp;Sentiment_Words!A$2:A3730&amp;"" ""
),
1,
0
)
)
)
)"),0.0)</f>
        <v>0</v>
      </c>
      <c r="K722" s="4">
        <f>IFERROR(__xludf.DUMMYFUNCTION("IF(H722="""","""",
SUM(
ARRAYFORMULA(
IF(
REGEXMATCH(
"" ""&amp;H722&amp;"" "",
"" ""&amp;Sentiment_Words!B$2:B3730&amp;"" ""
),
1,
0
)
)
)
)"),1.0)</f>
        <v>1</v>
      </c>
      <c r="L722" s="7" t="str">
        <f t="shared" si="3"/>
        <v>Fulfillment &amp; Shipping</v>
      </c>
      <c r="M722" s="7" t="str">
        <f t="shared" si="4"/>
        <v>Negative</v>
      </c>
      <c r="N722" s="7" t="str">
        <f>IFERROR(__xludf.DUMMYFUNCTION("LOWER(
TRIM(
REGEXREPLACE(B722,""[^a-zA-Z\s]"","""")
)
)
"),"susan tashiro")</f>
        <v>susan tashiro</v>
      </c>
      <c r="O722" s="7">
        <f t="shared" si="5"/>
        <v>1</v>
      </c>
      <c r="P722" s="8" t="str">
        <f t="shared" si="6"/>
        <v>No</v>
      </c>
    </row>
    <row r="723">
      <c r="A723" s="4" t="s">
        <v>16</v>
      </c>
      <c r="B723" s="4" t="s">
        <v>2070</v>
      </c>
      <c r="C723" s="9">
        <v>44962.0</v>
      </c>
      <c r="D723" s="10">
        <v>44974.0</v>
      </c>
      <c r="E723" s="4" t="s">
        <v>2071</v>
      </c>
      <c r="F723" s="4" t="s">
        <v>2072</v>
      </c>
      <c r="G723" s="6" t="str">
        <f>IFERROR(__xludf.DUMMYFUNCTION("REGEXREPLACE(LOWER(F723),""[^a-z\s]"","""")"),"i ordered canned prescription royal canin wet food at a cost of  most of the cans were dented on top and bottom it could be bad for my cat to eat what a waste i usually order from chewycom but they were out of stock")</f>
        <v>i ordered canned prescription royal canin wet food at a cost of  most of the cans were dented on top and bottom it could be bad for my cat to eat what a waste i usually order from chewycom but they were out of stock</v>
      </c>
      <c r="H723" s="4" t="str">
        <f t="shared" si="1"/>
        <v>i ordered canned prescription royal canin wet food at a cost of most of cans were dented on top bottom it could be bad my cat eat what a waste i usually order from chewycom but they were out of stock</v>
      </c>
      <c r="I723" s="6">
        <f t="shared" si="2"/>
        <v>41</v>
      </c>
      <c r="J723" s="6">
        <f>IFERROR(__xludf.DUMMYFUNCTION("IF(H723="""","""",
SUM(
ARRAYFORMULA(
IF(
REGEXMATCH(
"" ""&amp;H723&amp;"" "",
"" ""&amp;Sentiment_Words!A$2:A3730&amp;"" ""
),
1,
0
)
)
)
)"),0.0)</f>
        <v>0</v>
      </c>
      <c r="K723" s="4">
        <f>IFERROR(__xludf.DUMMYFUNCTION("IF(H723="""","""",
SUM(
ARRAYFORMULA(
IF(
REGEXMATCH(
"" ""&amp;H723&amp;"" "",
"" ""&amp;Sentiment_Words!B$2:B3730&amp;"" ""
),
1,
0
)
)
)
)"),1.0)</f>
        <v>1</v>
      </c>
      <c r="L723" s="7" t="str">
        <f t="shared" si="3"/>
        <v>Availability</v>
      </c>
      <c r="M723" s="7" t="str">
        <f t="shared" si="4"/>
        <v>Negative</v>
      </c>
      <c r="N723" s="7" t="str">
        <f>IFERROR(__xludf.DUMMYFUNCTION("LOWER(
TRIM(
REGEXREPLACE(B723,""[^a-zA-Z\s]"","""")
)
)
"),"robert adams")</f>
        <v>robert adams</v>
      </c>
      <c r="O723" s="7">
        <f t="shared" si="5"/>
        <v>1</v>
      </c>
      <c r="P723" s="8" t="str">
        <f t="shared" si="6"/>
        <v>No</v>
      </c>
    </row>
    <row r="724">
      <c r="A724" s="4" t="s">
        <v>16</v>
      </c>
      <c r="B724" s="4" t="s">
        <v>2073</v>
      </c>
      <c r="C724" s="9">
        <v>44962.0</v>
      </c>
      <c r="D724" s="10">
        <v>44974.0</v>
      </c>
      <c r="E724" s="4" t="s">
        <v>2074</v>
      </c>
      <c r="F724" s="4" t="s">
        <v>2075</v>
      </c>
      <c r="G724" s="6" t="str">
        <f>IFERROR(__xludf.DUMMYFUNCTION("REGEXREPLACE(LOWER(F724),""[^a-z\s]"","""")"),"discovered petflow due to chewy being out of stock for several weeks of my dogs prescription canned dog food i got the name of petflow from a trusted dog friend food arrived quickly thank you")</f>
        <v>discovered petflow due to chewy being out of stock for several weeks of my dogs prescription canned dog food i got the name of petflow from a trusted dog friend food arrived quickly thank you</v>
      </c>
      <c r="H724" s="4" t="str">
        <f t="shared" si="1"/>
        <v>discovered petflow due chewy being out of stock several weeks of my dogs prescription canned dog food i got name of petflow from a trusted dog friend food arrived quickly thank you</v>
      </c>
      <c r="I724" s="6">
        <f t="shared" si="2"/>
        <v>32</v>
      </c>
      <c r="J724" s="6">
        <f>IFERROR(__xludf.DUMMYFUNCTION("IF(H724="""","""",
SUM(
ARRAYFORMULA(
IF(
REGEXMATCH(
"" ""&amp;H724&amp;"" "",
"" ""&amp;Sentiment_Words!A$2:A3730&amp;"" ""
),
1,
0
)
)
)
)"),0.0)</f>
        <v>0</v>
      </c>
      <c r="K724" s="4">
        <f>IFERROR(__xludf.DUMMYFUNCTION("IF(H724="""","""",
SUM(
ARRAYFORMULA(
IF(
REGEXMATCH(
"" ""&amp;H724&amp;"" "",
"" ""&amp;Sentiment_Words!B$2:B3730&amp;"" ""
),
1,
0
)
)
)
)"),1.0)</f>
        <v>1</v>
      </c>
      <c r="L724" s="7" t="str">
        <f t="shared" si="3"/>
        <v>Availability</v>
      </c>
      <c r="M724" s="7" t="str">
        <f t="shared" si="4"/>
        <v>Negative</v>
      </c>
      <c r="N724" s="7" t="str">
        <f>IFERROR(__xludf.DUMMYFUNCTION("LOWER(
TRIM(
REGEXREPLACE(B724,""[^a-zA-Z\s]"","""")
)
)
"),"botti")</f>
        <v>botti</v>
      </c>
      <c r="O724" s="7">
        <f t="shared" si="5"/>
        <v>1</v>
      </c>
      <c r="P724" s="8" t="str">
        <f t="shared" si="6"/>
        <v>No</v>
      </c>
    </row>
    <row r="725">
      <c r="A725" s="4" t="s">
        <v>16</v>
      </c>
      <c r="B725" s="4" t="s">
        <v>2076</v>
      </c>
      <c r="C725" s="9">
        <v>44962.0</v>
      </c>
      <c r="D725" s="10">
        <v>44974.0</v>
      </c>
      <c r="E725" s="4" t="s">
        <v>2077</v>
      </c>
      <c r="F725" s="4" t="s">
        <v>2078</v>
      </c>
      <c r="G725" s="6" t="str">
        <f>IFERROR(__xludf.DUMMYFUNCTION("REGEXREPLACE(LOWER(F725),""[^a-z\s]"","""")"),"willingness to help me through the ordering process for the first timei was having some technical difficulty")</f>
        <v>willingness to help me through the ordering process for the first timei was having some technical difficulty</v>
      </c>
      <c r="H725" s="4" t="str">
        <f t="shared" si="1"/>
        <v>willingness help me through ordering process first timei was having some technical difficulty</v>
      </c>
      <c r="I725" s="6">
        <f t="shared" si="2"/>
        <v>13</v>
      </c>
      <c r="J725" s="6">
        <f>IFERROR(__xludf.DUMMYFUNCTION("IF(H725="""","""",
SUM(
ARRAYFORMULA(
IF(
REGEXMATCH(
"" ""&amp;H725&amp;"" "",
"" ""&amp;Sentiment_Words!A$2:A3730&amp;"" ""
),
1,
0
)
)
)
)"),0.0)</f>
        <v>0</v>
      </c>
      <c r="K725" s="4">
        <f>IFERROR(__xludf.DUMMYFUNCTION("IF(H725="""","""",
SUM(
ARRAYFORMULA(
IF(
REGEXMATCH(
"" ""&amp;H725&amp;"" "",
"" ""&amp;Sentiment_Words!B$2:B3730&amp;"" ""
),
1,
0
)
)
)
)"),0.0)</f>
        <v>0</v>
      </c>
      <c r="L725" s="7" t="str">
        <f t="shared" si="3"/>
        <v>Other</v>
      </c>
      <c r="M725" s="7" t="str">
        <f t="shared" si="4"/>
        <v>Neutral</v>
      </c>
      <c r="N725" s="7" t="str">
        <f>IFERROR(__xludf.DUMMYFUNCTION("LOWER(
TRIM(
REGEXREPLACE(B725,""[^a-zA-Z\s]"","""")
)
)
"),"sharon hazelrigg")</f>
        <v>sharon hazelrigg</v>
      </c>
      <c r="O725" s="7">
        <f t="shared" si="5"/>
        <v>1</v>
      </c>
      <c r="P725" s="8" t="str">
        <f t="shared" si="6"/>
        <v>No</v>
      </c>
    </row>
    <row r="726">
      <c r="A726" s="4" t="s">
        <v>16</v>
      </c>
      <c r="B726" s="4" t="s">
        <v>2079</v>
      </c>
      <c r="C726" s="9">
        <v>44962.0</v>
      </c>
      <c r="D726" s="10">
        <v>44974.0</v>
      </c>
      <c r="E726" s="4" t="s">
        <v>2080</v>
      </c>
      <c r="F726" s="4" t="s">
        <v>2081</v>
      </c>
      <c r="G726" s="6" t="str">
        <f>IFERROR(__xludf.DUMMYFUNCTION("REGEXREPLACE(LOWER(F726),""[^a-z\s]"","""")"),"excellent service and very quick delivery")</f>
        <v>excellent service and very quick delivery</v>
      </c>
      <c r="H726" s="4" t="str">
        <f t="shared" si="1"/>
        <v>excellent service very quick delivery</v>
      </c>
      <c r="I726" s="6">
        <f t="shared" si="2"/>
        <v>5</v>
      </c>
      <c r="J726" s="6">
        <f>IFERROR(__xludf.DUMMYFUNCTION("IF(H726="""","""",
SUM(
ARRAYFORMULA(
IF(
REGEXMATCH(
"" ""&amp;H726&amp;"" "",
"" ""&amp;Sentiment_Words!A$2:A3730&amp;"" ""
),
1,
0
)
)
)
)"),1.0)</f>
        <v>1</v>
      </c>
      <c r="K726" s="4">
        <f>IFERROR(__xludf.DUMMYFUNCTION("IF(H726="""","""",
SUM(
ARRAYFORMULA(
IF(
REGEXMATCH(
"" ""&amp;H726&amp;"" "",
"" ""&amp;Sentiment_Words!B$2:B3730&amp;"" ""
),
1,
0
)
)
)
)"),0.0)</f>
        <v>0</v>
      </c>
      <c r="L726" s="7" t="str">
        <f t="shared" si="3"/>
        <v>Customer Support</v>
      </c>
      <c r="M726" s="7" t="str">
        <f t="shared" si="4"/>
        <v>Positive</v>
      </c>
      <c r="N726" s="7" t="str">
        <f>IFERROR(__xludf.DUMMYFUNCTION("LOWER(
TRIM(
REGEXREPLACE(B726,""[^a-zA-Z\s]"","""")
)
)
"),"jody warder newport dr naples fl")</f>
        <v>jody warder newport dr naples fl</v>
      </c>
      <c r="O726" s="7">
        <f t="shared" si="5"/>
        <v>1</v>
      </c>
      <c r="P726" s="8" t="str">
        <f t="shared" si="6"/>
        <v>No</v>
      </c>
    </row>
    <row r="727">
      <c r="A727" s="4" t="s">
        <v>16</v>
      </c>
      <c r="B727" s="4" t="s">
        <v>2082</v>
      </c>
      <c r="C727" s="5">
        <v>44970.0</v>
      </c>
      <c r="D727" s="10">
        <v>44974.0</v>
      </c>
      <c r="E727" s="4" t="s">
        <v>2083</v>
      </c>
      <c r="F727" s="4" t="s">
        <v>2084</v>
      </c>
      <c r="G727" s="6" t="str">
        <f>IFERROR(__xludf.DUMMYFUNCTION("REGEXREPLACE(LOWER(F727),""[^a-z\s]"","""")"),"never had a bad experience prices are extremely reasonable and customer services is awesome")</f>
        <v>never had a bad experience prices are extremely reasonable and customer services is awesome</v>
      </c>
      <c r="H727" s="4" t="str">
        <f t="shared" si="1"/>
        <v>never had a bad experience prices are extremely reasonable customer services awesome</v>
      </c>
      <c r="I727" s="6">
        <f t="shared" si="2"/>
        <v>12</v>
      </c>
      <c r="J727" s="6">
        <f>IFERROR(__xludf.DUMMYFUNCTION("IF(H727="""","""",
SUM(
ARRAYFORMULA(
IF(
REGEXMATCH(
"" ""&amp;H727&amp;"" "",
"" ""&amp;Sentiment_Words!A$2:A3730&amp;"" ""
),
1,
0
)
)
)
)"),0.0)</f>
        <v>0</v>
      </c>
      <c r="K727" s="4">
        <f>IFERROR(__xludf.DUMMYFUNCTION("IF(H727="""","""",
SUM(
ARRAYFORMULA(
IF(
REGEXMATCH(
"" ""&amp;H727&amp;"" "",
"" ""&amp;Sentiment_Words!B$2:B3730&amp;"" ""
),
1,
0
)
)
)
)"),0.0)</f>
        <v>0</v>
      </c>
      <c r="L727" s="7" t="str">
        <f t="shared" si="3"/>
        <v>Customer Support</v>
      </c>
      <c r="M727" s="7" t="str">
        <f t="shared" si="4"/>
        <v>Neutral</v>
      </c>
      <c r="N727" s="7" t="str">
        <f>IFERROR(__xludf.DUMMYFUNCTION("LOWER(
TRIM(
REGEXREPLACE(B727,""[^a-zA-Z\s]"","""")
)
)
"),"mary jane")</f>
        <v>mary jane</v>
      </c>
      <c r="O727" s="7">
        <f t="shared" si="5"/>
        <v>1</v>
      </c>
      <c r="P727" s="8" t="str">
        <f t="shared" si="6"/>
        <v>No</v>
      </c>
    </row>
    <row r="728">
      <c r="A728" s="4" t="s">
        <v>16</v>
      </c>
      <c r="B728" s="4" t="s">
        <v>2085</v>
      </c>
      <c r="C728" s="9">
        <v>44960.0</v>
      </c>
      <c r="D728" s="10">
        <v>44974.0</v>
      </c>
      <c r="E728" s="4" t="s">
        <v>2086</v>
      </c>
      <c r="F728" s="4" t="s">
        <v>2087</v>
      </c>
      <c r="G728" s="6" t="str">
        <f>IFERROR(__xludf.DUMMYFUNCTION("REGEXREPLACE(LOWER(F728),""[^a-z\s]"","""")"),"the customer service is extraordinary any problem ive had was corrected swiftly expertly and cheerfully these people seem genuinely interested in taking care of our pets")</f>
        <v>the customer service is extraordinary any problem ive had was corrected swiftly expertly and cheerfully these people seem genuinely interested in taking care of our pets</v>
      </c>
      <c r="H728" s="4" t="str">
        <f t="shared" si="1"/>
        <v>customer service extraordinary any problem ive had was corrected swiftly expertly cheerfully these people seem genuinely interested in taking care of our pets</v>
      </c>
      <c r="I728" s="6">
        <f t="shared" si="2"/>
        <v>23</v>
      </c>
      <c r="J728" s="6">
        <f>IFERROR(__xludf.DUMMYFUNCTION("IF(H728="""","""",
SUM(
ARRAYFORMULA(
IF(
REGEXMATCH(
"" ""&amp;H728&amp;"" "",
"" ""&amp;Sentiment_Words!A$2:A3730&amp;"" ""
),
1,
0
)
)
)
)"),0.0)</f>
        <v>0</v>
      </c>
      <c r="K728" s="4">
        <f>IFERROR(__xludf.DUMMYFUNCTION("IF(H728="""","""",
SUM(
ARRAYFORMULA(
IF(
REGEXMATCH(
"" ""&amp;H728&amp;"" "",
"" ""&amp;Sentiment_Words!B$2:B3730&amp;"" ""
),
1,
0
)
)
)
)"),2.0)</f>
        <v>2</v>
      </c>
      <c r="L728" s="7" t="str">
        <f t="shared" si="3"/>
        <v>Customer Support</v>
      </c>
      <c r="M728" s="7" t="str">
        <f t="shared" si="4"/>
        <v>Negative</v>
      </c>
      <c r="N728" s="7" t="str">
        <f>IFERROR(__xludf.DUMMYFUNCTION("LOWER(
TRIM(
REGEXREPLACE(B728,""[^a-zA-Z\s]"","""")
)
)
"),"denise fergusson")</f>
        <v>denise fergusson</v>
      </c>
      <c r="O728" s="7">
        <f t="shared" si="5"/>
        <v>1</v>
      </c>
      <c r="P728" s="8" t="str">
        <f t="shared" si="6"/>
        <v>No</v>
      </c>
    </row>
    <row r="729">
      <c r="A729" s="4" t="s">
        <v>16</v>
      </c>
      <c r="B729" s="4" t="s">
        <v>2088</v>
      </c>
      <c r="C729" s="9">
        <v>44961.0</v>
      </c>
      <c r="D729" s="10">
        <v>44973.0</v>
      </c>
      <c r="E729" s="4" t="s">
        <v>2089</v>
      </c>
      <c r="F729" s="4" t="s">
        <v>2090</v>
      </c>
      <c r="G729" s="6" t="str">
        <f>IFERROR(__xludf.DUMMYFUNCTION("REGEXREPLACE(LOWER(F729),""[^a-z\s]"","""")"),"good price fast service")</f>
        <v>good price fast service</v>
      </c>
      <c r="H729" s="4" t="str">
        <f t="shared" si="1"/>
        <v>good price fast service</v>
      </c>
      <c r="I729" s="6">
        <f t="shared" si="2"/>
        <v>4</v>
      </c>
      <c r="J729" s="6">
        <f>IFERROR(__xludf.DUMMYFUNCTION("IF(H729="""","""",
SUM(
ARRAYFORMULA(
IF(
REGEXMATCH(
"" ""&amp;H729&amp;"" "",
"" ""&amp;Sentiment_Words!A$2:A3730&amp;"" ""
),
1,
0
)
)
)
)"),2.0)</f>
        <v>2</v>
      </c>
      <c r="K729" s="4">
        <f>IFERROR(__xludf.DUMMYFUNCTION("IF(H729="""","""",
SUM(
ARRAYFORMULA(
IF(
REGEXMATCH(
"" ""&amp;H729&amp;"" "",
"" ""&amp;Sentiment_Words!B$2:B3730&amp;"" ""
),
1,
0
)
)
)
)"),0.0)</f>
        <v>0</v>
      </c>
      <c r="L729" s="7" t="str">
        <f t="shared" si="3"/>
        <v>Customer Support</v>
      </c>
      <c r="M729" s="7" t="str">
        <f t="shared" si="4"/>
        <v>Positive</v>
      </c>
      <c r="N729" s="7" t="str">
        <f>IFERROR(__xludf.DUMMYFUNCTION("LOWER(
TRIM(
REGEXREPLACE(B729,""[^a-zA-Z\s]"","""")
)
)
"),"stephen")</f>
        <v>stephen</v>
      </c>
      <c r="O729" s="7">
        <f t="shared" si="5"/>
        <v>4</v>
      </c>
      <c r="P729" s="8" t="str">
        <f t="shared" si="6"/>
        <v>Yes</v>
      </c>
    </row>
    <row r="730">
      <c r="A730" s="4" t="s">
        <v>16</v>
      </c>
      <c r="B730" s="4" t="s">
        <v>2091</v>
      </c>
      <c r="C730" s="9">
        <v>44961.0</v>
      </c>
      <c r="D730" s="10">
        <v>44973.0</v>
      </c>
      <c r="E730" s="4" t="s">
        <v>515</v>
      </c>
      <c r="F730" s="4" t="s">
        <v>2092</v>
      </c>
      <c r="G730" s="6" t="str">
        <f>IFERROR(__xludf.DUMMYFUNCTION("REGEXREPLACE(LOWER(F730),""[^a-z\s]"","""")"),"it was my first time ordering with this company and it will be my last one they canceled my order and didnt notify me when i called them they said it was flagged for fraud and had to be canceled i asked why they said they cant give me any additional info "&amp;"my order wasnt big but the item i bought was on sale i reported them to bbb and looks like a lot of people had the same issue as me")</f>
        <v>it was my first time ordering with this company and it will be my last one they canceled my order and didnt notify me when i called them they said it was flagged for fraud and had to be canceled i asked why they said they cant give me any additional info my order wasnt big but the item i bought was on sale i reported them to bbb and looks like a lot of people had the same issue as me</v>
      </c>
      <c r="H730" s="4" t="str">
        <f t="shared" si="1"/>
        <v>it was my first time ordering with this company it will be my last one they canceled my order didnt notify me when i called them they said it was flagged fraud had be canceled i asked why they said they cant give me any additional info my order wasnt big but item i bought was on sale i reported them bbb looks like a lot of people had same issue as me</v>
      </c>
      <c r="I730" s="6">
        <f t="shared" si="2"/>
        <v>73</v>
      </c>
      <c r="J730" s="6">
        <f>IFERROR(__xludf.DUMMYFUNCTION("IF(H730="""","""",
SUM(
ARRAYFORMULA(
IF(
REGEXMATCH(
"" ""&amp;H730&amp;"" "",
"" ""&amp;Sentiment_Words!A$2:A3730&amp;"" ""
),
1,
0
)
)
)
)"),0.0)</f>
        <v>0</v>
      </c>
      <c r="K730" s="4">
        <f>IFERROR(__xludf.DUMMYFUNCTION("IF(H730="""","""",
SUM(
ARRAYFORMULA(
IF(
REGEXMATCH(
"" ""&amp;H730&amp;"" "",
"" ""&amp;Sentiment_Words!B$2:B3730&amp;"" ""
),
1,
0
)
)
)
)"),1.0)</f>
        <v>1</v>
      </c>
      <c r="L730" s="7" t="str">
        <f t="shared" si="3"/>
        <v>Other</v>
      </c>
      <c r="M730" s="7" t="str">
        <f t="shared" si="4"/>
        <v>Negative</v>
      </c>
      <c r="N730" s="7" t="str">
        <f>IFERROR(__xludf.DUMMYFUNCTION("LOWER(
TRIM(
REGEXREPLACE(B730,""[^a-zA-Z\s]"","""")
)
)
"),"portland customer")</f>
        <v>portland customer</v>
      </c>
      <c r="O730" s="7">
        <f t="shared" si="5"/>
        <v>1</v>
      </c>
      <c r="P730" s="8" t="str">
        <f t="shared" si="6"/>
        <v>No</v>
      </c>
    </row>
    <row r="731">
      <c r="A731" s="4" t="s">
        <v>16</v>
      </c>
      <c r="B731" s="4" t="s">
        <v>2093</v>
      </c>
      <c r="C731" s="5">
        <v>44951.0</v>
      </c>
      <c r="D731" s="10">
        <v>44973.0</v>
      </c>
      <c r="E731" s="4" t="s">
        <v>2094</v>
      </c>
      <c r="F731" s="4" t="s">
        <v>2095</v>
      </c>
      <c r="G731" s="6" t="str">
        <f>IFERROR(__xludf.DUMMYFUNCTION("REGEXREPLACE(LOWER(F731),""[^a-z\s]"","""")"),"i didnt even place the order that triggered this review to pop up it was fraud and im still dealing with the canceling of my credit card because your website wasnt secure
also even on this page my name coming up as james shearer that is not my name hones"&amp;"tly im not going to give my name as from here on out im deleting anything else from your site")</f>
        <v>i didnt even place the order that triggered this review to pop up it was fraud and im still dealing with the canceling of my credit card because your website wasnt secure
also even on this page my name coming up as james shearer that is not my name honestly im not going to give my name as from here on out im deleting anything else from your site</v>
      </c>
      <c r="H731" s="4" t="str">
        <f t="shared" si="1"/>
        <v>i didnt even place order that triggered this review pop up it was fraud im still dealing with canceling of my credit card because your website wasnt secure
also even on this page my name coming up as james shearer that not my name honestly im not going give my name as from here on out im deleting anything else from your site</v>
      </c>
      <c r="I731" s="6">
        <f t="shared" si="2"/>
        <v>62</v>
      </c>
      <c r="J731" s="6">
        <f>IFERROR(__xludf.DUMMYFUNCTION("IF(H731="""","""",
SUM(
ARRAYFORMULA(
IF(
REGEXMATCH(
"" ""&amp;H731&amp;"" "",
"" ""&amp;Sentiment_Words!A$2:A3730&amp;"" ""
),
1,
0
)
)
)
)"),0.0)</f>
        <v>0</v>
      </c>
      <c r="K731" s="4">
        <f>IFERROR(__xludf.DUMMYFUNCTION("IF(H731="""","""",
SUM(
ARRAYFORMULA(
IF(
REGEXMATCH(
"" ""&amp;H731&amp;"" "",
"" ""&amp;Sentiment_Words!B$2:B3730&amp;"" ""
),
1,
0
)
)
)
)"),0.0)</f>
        <v>0</v>
      </c>
      <c r="L731" s="7" t="str">
        <f t="shared" si="3"/>
        <v>Account &amp; Website</v>
      </c>
      <c r="M731" s="7" t="str">
        <f t="shared" si="4"/>
        <v>Neutral</v>
      </c>
      <c r="N731" s="7" t="str">
        <f>IFERROR(__xludf.DUMMYFUNCTION("LOWER(
TRIM(
REGEXREPLACE(B731,""[^a-zA-Z\s]"","""")
)
)
"),"yulia b")</f>
        <v>yulia b</v>
      </c>
      <c r="O731" s="7">
        <f t="shared" si="5"/>
        <v>1</v>
      </c>
      <c r="P731" s="8" t="str">
        <f t="shared" si="6"/>
        <v>No</v>
      </c>
    </row>
    <row r="732">
      <c r="A732" s="4" t="s">
        <v>16</v>
      </c>
      <c r="B732" s="4" t="s">
        <v>2096</v>
      </c>
      <c r="C732" s="9">
        <v>44960.0</v>
      </c>
      <c r="D732" s="10">
        <v>44972.0</v>
      </c>
      <c r="E732" s="4" t="s">
        <v>2097</v>
      </c>
      <c r="F732" s="4" t="s">
        <v>2098</v>
      </c>
      <c r="G732" s="6" t="str">
        <f>IFERROR(__xludf.DUMMYFUNCTION("REGEXREPLACE(LOWER(F732),""[^a-z\s]"","""")"),"carries brand not found in most pet stores efficient fast delivery")</f>
        <v>carries brand not found in most pet stores efficient fast delivery</v>
      </c>
      <c r="H732" s="4" t="str">
        <f t="shared" si="1"/>
        <v>carries brand not found in most pet stores efficient fast delivery</v>
      </c>
      <c r="I732" s="6">
        <f t="shared" si="2"/>
        <v>11</v>
      </c>
      <c r="J732" s="6">
        <f>IFERROR(__xludf.DUMMYFUNCTION("IF(H732="""","""",
SUM(
ARRAYFORMULA(
IF(
REGEXMATCH(
"" ""&amp;H732&amp;"" "",
"" ""&amp;Sentiment_Words!A$2:A3730&amp;"" ""
),
1,
0
)
)
)
)"),4.0)</f>
        <v>4</v>
      </c>
      <c r="K732" s="4">
        <f>IFERROR(__xludf.DUMMYFUNCTION("IF(H732="""","""",
SUM(
ARRAYFORMULA(
IF(
REGEXMATCH(
"" ""&amp;H732&amp;"" "",
"" ""&amp;Sentiment_Words!B$2:B3730&amp;"" ""
),
1,
0
)
)
)
)"),0.0)</f>
        <v>0</v>
      </c>
      <c r="L732" s="7" t="str">
        <f t="shared" si="3"/>
        <v>Other</v>
      </c>
      <c r="M732" s="7" t="str">
        <f t="shared" si="4"/>
        <v>Positive</v>
      </c>
      <c r="N732" s="7" t="str">
        <f>IFERROR(__xludf.DUMMYFUNCTION("LOWER(
TRIM(
REGEXREPLACE(B732,""[^a-zA-Z\s]"","""")
)
)
"),"james shearer")</f>
        <v>james shearer</v>
      </c>
      <c r="O732" s="7">
        <f t="shared" si="5"/>
        <v>1</v>
      </c>
      <c r="P732" s="8" t="str">
        <f t="shared" si="6"/>
        <v>No</v>
      </c>
    </row>
    <row r="733">
      <c r="A733" s="4" t="s">
        <v>16</v>
      </c>
      <c r="B733" s="4" t="s">
        <v>2099</v>
      </c>
      <c r="C733" s="9">
        <v>44960.0</v>
      </c>
      <c r="D733" s="10">
        <v>44972.0</v>
      </c>
      <c r="E733" s="4" t="s">
        <v>2100</v>
      </c>
      <c r="F733" s="4" t="s">
        <v>2101</v>
      </c>
      <c r="G733" s="6" t="str">
        <f>IFERROR(__xludf.DUMMYFUNCTION("REGEXREPLACE(LOWER(F733),""[^a-z\s]"","""")"),"awesome professional support with timely shipping great prices as well")</f>
        <v>awesome professional support with timely shipping great prices as well</v>
      </c>
      <c r="H733" s="4" t="str">
        <f t="shared" si="1"/>
        <v>awesome professional support with timely shipping great prices as well</v>
      </c>
      <c r="I733" s="6">
        <f t="shared" si="2"/>
        <v>10</v>
      </c>
      <c r="J733" s="6">
        <f>IFERROR(__xludf.DUMMYFUNCTION("IF(H733="""","""",
SUM(
ARRAYFORMULA(
IF(
REGEXMATCH(
"" ""&amp;H733&amp;"" "",
"" ""&amp;Sentiment_Words!A$2:A3730&amp;"" ""
),
1,
0
)
)
)
)"),1.0)</f>
        <v>1</v>
      </c>
      <c r="K733" s="4">
        <f>IFERROR(__xludf.DUMMYFUNCTION("IF(H733="""","""",
SUM(
ARRAYFORMULA(
IF(
REGEXMATCH(
"" ""&amp;H733&amp;"" "",
"" ""&amp;Sentiment_Words!B$2:B3730&amp;"" ""
),
1,
0
)
)
)
)"),0.0)</f>
        <v>0</v>
      </c>
      <c r="L733" s="7" t="str">
        <f t="shared" si="3"/>
        <v>Customer Support</v>
      </c>
      <c r="M733" s="7" t="str">
        <f t="shared" si="4"/>
        <v>Positive</v>
      </c>
      <c r="N733" s="7" t="str">
        <f>IFERROR(__xludf.DUMMYFUNCTION("LOWER(
TRIM(
REGEXREPLACE(B733,""[^a-zA-Z\s]"","""")
)
)
"),"arden larsen")</f>
        <v>arden larsen</v>
      </c>
      <c r="O733" s="7">
        <f t="shared" si="5"/>
        <v>1</v>
      </c>
      <c r="P733" s="8" t="str">
        <f t="shared" si="6"/>
        <v>No</v>
      </c>
    </row>
    <row r="734">
      <c r="A734" s="4" t="s">
        <v>16</v>
      </c>
      <c r="B734" s="4" t="s">
        <v>2102</v>
      </c>
      <c r="C734" s="9">
        <v>44960.0</v>
      </c>
      <c r="D734" s="10">
        <v>44972.0</v>
      </c>
      <c r="E734" s="4" t="s">
        <v>2103</v>
      </c>
      <c r="F734" s="4" t="s">
        <v>2104</v>
      </c>
      <c r="G734" s="6" t="str">
        <f>IFERROR(__xludf.DUMMYFUNCTION("REGEXREPLACE(LOWER(F734),""[^a-z\s]"","""")"),"prompt response when i had a problem with my order they gave me a credit because my dog will not eat the food i ordered")</f>
        <v>prompt response when i had a problem with my order they gave me a credit because my dog will not eat the food i ordered</v>
      </c>
      <c r="H734" s="4" t="str">
        <f t="shared" si="1"/>
        <v>prompt response when i had a problem with my order they gave me a credit because my dog will not eat food i ordered</v>
      </c>
      <c r="I734" s="6">
        <f t="shared" si="2"/>
        <v>24</v>
      </c>
      <c r="J734" s="6">
        <f>IFERROR(__xludf.DUMMYFUNCTION("IF(H734="""","""",
SUM(
ARRAYFORMULA(
IF(
REGEXMATCH(
"" ""&amp;H734&amp;"" "",
"" ""&amp;Sentiment_Words!A$2:A3730&amp;"" ""
),
1,
0
)
)
)
)"),1.0)</f>
        <v>1</v>
      </c>
      <c r="K734" s="4">
        <f>IFERROR(__xludf.DUMMYFUNCTION("IF(H734="""","""",
SUM(
ARRAYFORMULA(
IF(
REGEXMATCH(
"" ""&amp;H734&amp;"" "",
"" ""&amp;Sentiment_Words!B$2:B3730&amp;"" ""
),
1,
0
)
)
)
)"),1.0)</f>
        <v>1</v>
      </c>
      <c r="L734" s="7" t="str">
        <f t="shared" si="3"/>
        <v>Other</v>
      </c>
      <c r="M734" s="7" t="str">
        <f t="shared" si="4"/>
        <v>Neutral</v>
      </c>
      <c r="N734" s="7" t="str">
        <f>IFERROR(__xludf.DUMMYFUNCTION("LOWER(
TRIM(
REGEXREPLACE(B734,""[^a-zA-Z\s]"","""")
)
)
"),"rob")</f>
        <v>rob</v>
      </c>
      <c r="O734" s="7">
        <f t="shared" si="5"/>
        <v>2</v>
      </c>
      <c r="P734" s="8" t="str">
        <f t="shared" si="6"/>
        <v>Yes</v>
      </c>
    </row>
    <row r="735">
      <c r="A735" s="4" t="s">
        <v>16</v>
      </c>
      <c r="B735" s="4" t="s">
        <v>1910</v>
      </c>
      <c r="C735" s="9">
        <v>44960.0</v>
      </c>
      <c r="D735" s="10">
        <v>44972.0</v>
      </c>
      <c r="E735" s="4" t="s">
        <v>2105</v>
      </c>
      <c r="F735" s="4" t="s">
        <v>2106</v>
      </c>
      <c r="G735" s="6" t="str">
        <f>IFERROR(__xludf.DUMMYFUNCTION("REGEXREPLACE(LOWER(F735),""[^a-z\s]"","""")"),"great experience on website and delivery")</f>
        <v>great experience on website and delivery</v>
      </c>
      <c r="H735" s="4" t="str">
        <f t="shared" si="1"/>
        <v>great experience on website delivery</v>
      </c>
      <c r="I735" s="6">
        <f t="shared" si="2"/>
        <v>5</v>
      </c>
      <c r="J735" s="6">
        <f>IFERROR(__xludf.DUMMYFUNCTION("IF(H735="""","""",
SUM(
ARRAYFORMULA(
IF(
REGEXMATCH(
"" ""&amp;H735&amp;"" "",
"" ""&amp;Sentiment_Words!A$2:A3730&amp;"" ""
),
1,
0
)
)
)
)"),1.0)</f>
        <v>1</v>
      </c>
      <c r="K735" s="4">
        <f>IFERROR(__xludf.DUMMYFUNCTION("IF(H735="""","""",
SUM(
ARRAYFORMULA(
IF(
REGEXMATCH(
"" ""&amp;H735&amp;"" "",
"" ""&amp;Sentiment_Words!B$2:B3730&amp;"" ""
),
1,
0
)
)
)
)"),0.0)</f>
        <v>0</v>
      </c>
      <c r="L735" s="7" t="str">
        <f t="shared" si="3"/>
        <v>Account &amp; Website</v>
      </c>
      <c r="M735" s="7" t="str">
        <f t="shared" si="4"/>
        <v>Positive</v>
      </c>
      <c r="N735" s="7" t="str">
        <f>IFERROR(__xludf.DUMMYFUNCTION("LOWER(
TRIM(
REGEXREPLACE(B735,""[^a-zA-Z\s]"","""")
)
)
"),"diane")</f>
        <v>diane</v>
      </c>
      <c r="O735" s="7">
        <f t="shared" si="5"/>
        <v>7</v>
      </c>
      <c r="P735" s="8" t="str">
        <f t="shared" si="6"/>
        <v>Yes</v>
      </c>
    </row>
    <row r="736">
      <c r="A736" s="4" t="s">
        <v>16</v>
      </c>
      <c r="B736" s="4" t="s">
        <v>2107</v>
      </c>
      <c r="C736" s="9">
        <v>44960.0</v>
      </c>
      <c r="D736" s="10">
        <v>44972.0</v>
      </c>
      <c r="E736" s="4" t="s">
        <v>2108</v>
      </c>
      <c r="F736" s="4" t="s">
        <v>2109</v>
      </c>
      <c r="G736" s="6" t="str">
        <f>IFERROR(__xludf.DUMMYFUNCTION("REGEXREPLACE(LOWER(F736),""[^a-z\s]"","""")"),"excellent pricing shipping notification and packing of order just wished they had more selection available")</f>
        <v>excellent pricing shipping notification and packing of order just wished they had more selection available</v>
      </c>
      <c r="H736" s="4" t="str">
        <f t="shared" si="1"/>
        <v>excellent pricing shipping notification packing of order just wished they had more selection available</v>
      </c>
      <c r="I736" s="6">
        <f t="shared" si="2"/>
        <v>14</v>
      </c>
      <c r="J736" s="6">
        <f>IFERROR(__xludf.DUMMYFUNCTION("IF(H736="""","""",
SUM(
ARRAYFORMULA(
IF(
REGEXMATCH(
"" ""&amp;H736&amp;"" "",
"" ""&amp;Sentiment_Words!A$2:A3730&amp;"" ""
),
1,
0
)
)
)
)"),1.0)</f>
        <v>1</v>
      </c>
      <c r="K736" s="4">
        <f>IFERROR(__xludf.DUMMYFUNCTION("IF(H736="""","""",
SUM(
ARRAYFORMULA(
IF(
REGEXMATCH(
"" ""&amp;H736&amp;"" "",
"" ""&amp;Sentiment_Words!B$2:B3730&amp;"" ""
),
1,
0
)
)
)
)"),0.0)</f>
        <v>0</v>
      </c>
      <c r="L736" s="7" t="str">
        <f t="shared" si="3"/>
        <v>Other</v>
      </c>
      <c r="M736" s="7" t="str">
        <f t="shared" si="4"/>
        <v>Positive</v>
      </c>
      <c r="N736" s="7" t="str">
        <f>IFERROR(__xludf.DUMMYFUNCTION("LOWER(
TRIM(
REGEXREPLACE(B736,""[^a-zA-Z\s]"","""")
)
)
"),"karen costello")</f>
        <v>karen costello</v>
      </c>
      <c r="O736" s="7">
        <f t="shared" si="5"/>
        <v>1</v>
      </c>
      <c r="P736" s="8" t="str">
        <f t="shared" si="6"/>
        <v>No</v>
      </c>
    </row>
    <row r="737">
      <c r="A737" s="4" t="s">
        <v>16</v>
      </c>
      <c r="B737" s="4" t="s">
        <v>2110</v>
      </c>
      <c r="C737" s="9">
        <v>44960.0</v>
      </c>
      <c r="D737" s="10">
        <v>44972.0</v>
      </c>
      <c r="E737" s="4" t="s">
        <v>2111</v>
      </c>
      <c r="F737" s="4" t="s">
        <v>2112</v>
      </c>
      <c r="G737" s="6" t="str">
        <f>IFERROR(__xludf.DUMMYFUNCTION("REGEXREPLACE(LOWER(F737),""[^a-z\s]"","""")"),"im was technologically inept on the computer and had to call the company to order my product the person who answered the phone was so courteous and helpful because of her i will continue to order my dogs food from petflow")</f>
        <v>im was technologically inept on the computer and had to call the company to order my product the person who answered the phone was so courteous and helpful because of her i will continue to order my dogs food from petflow</v>
      </c>
      <c r="H737" s="4" t="str">
        <f t="shared" si="1"/>
        <v>im was technologically inept on computer had call company order my product person who answered phone was so courteous helpful because of her i will continue order my dogs food from petflow</v>
      </c>
      <c r="I737" s="6">
        <f t="shared" si="2"/>
        <v>32</v>
      </c>
      <c r="J737" s="6">
        <f>IFERROR(__xludf.DUMMYFUNCTION("IF(H737="""","""",
SUM(
ARRAYFORMULA(
IF(
REGEXMATCH(
"" ""&amp;H737&amp;"" "",
"" ""&amp;Sentiment_Words!A$2:A3730&amp;"" ""
),
1,
0
)
)
)
)"),2.0)</f>
        <v>2</v>
      </c>
      <c r="K737" s="4">
        <f>IFERROR(__xludf.DUMMYFUNCTION("IF(H737="""","""",
SUM(
ARRAYFORMULA(
IF(
REGEXMATCH(
"" ""&amp;H737&amp;"" "",
"" ""&amp;Sentiment_Words!B$2:B3730&amp;"" ""
),
1,
0
)
)
)
)"),0.0)</f>
        <v>0</v>
      </c>
      <c r="L737" s="7" t="str">
        <f t="shared" si="3"/>
        <v>Other</v>
      </c>
      <c r="M737" s="7" t="str">
        <f t="shared" si="4"/>
        <v>Positive</v>
      </c>
      <c r="N737" s="7" t="str">
        <f>IFERROR(__xludf.DUMMYFUNCTION("LOWER(
TRIM(
REGEXREPLACE(B737,""[^a-zA-Z\s]"","""")
)
)
"),"amy")</f>
        <v>amy</v>
      </c>
      <c r="O737" s="7">
        <f t="shared" si="5"/>
        <v>4</v>
      </c>
      <c r="P737" s="8" t="str">
        <f t="shared" si="6"/>
        <v>Yes</v>
      </c>
    </row>
    <row r="738">
      <c r="A738" s="4" t="s">
        <v>16</v>
      </c>
      <c r="B738" s="4" t="s">
        <v>2113</v>
      </c>
      <c r="C738" s="9">
        <v>44959.0</v>
      </c>
      <c r="D738" s="10">
        <v>44972.0</v>
      </c>
      <c r="E738" s="4" t="s">
        <v>2114</v>
      </c>
      <c r="F738" s="4" t="s">
        <v>2115</v>
      </c>
      <c r="G738" s="6" t="str">
        <f>IFERROR(__xludf.DUMMYFUNCTION("REGEXREPLACE(LOWER(F738),""[^a-z\s]"","""")"),"everything i was looking for was in stock and delivery was quick")</f>
        <v>everything i was looking for was in stock and delivery was quick</v>
      </c>
      <c r="H738" s="4" t="str">
        <f t="shared" si="1"/>
        <v>everything i was looking was in stock delivery was quick</v>
      </c>
      <c r="I738" s="6">
        <f t="shared" si="2"/>
        <v>10</v>
      </c>
      <c r="J738" s="6">
        <f>IFERROR(__xludf.DUMMYFUNCTION("IF(H738="""","""",
SUM(
ARRAYFORMULA(
IF(
REGEXMATCH(
"" ""&amp;H738&amp;"" "",
"" ""&amp;Sentiment_Words!A$2:A3730&amp;"" ""
),
1,
0
)
)
)
)"),0.0)</f>
        <v>0</v>
      </c>
      <c r="K738" s="4">
        <f>IFERROR(__xludf.DUMMYFUNCTION("IF(H738="""","""",
SUM(
ARRAYFORMULA(
IF(
REGEXMATCH(
"" ""&amp;H738&amp;"" "",
"" ""&amp;Sentiment_Words!B$2:B3730&amp;"" ""
),
1,
0
)
)
)
)"),0.0)</f>
        <v>0</v>
      </c>
      <c r="L738" s="7" t="str">
        <f t="shared" si="3"/>
        <v>Other</v>
      </c>
      <c r="M738" s="7" t="str">
        <f t="shared" si="4"/>
        <v>Neutral</v>
      </c>
      <c r="N738" s="7" t="str">
        <f>IFERROR(__xludf.DUMMYFUNCTION("LOWER(
TRIM(
REGEXREPLACE(B738,""[^a-zA-Z\s]"","""")
)
)
"),"april woodruff")</f>
        <v>april woodruff</v>
      </c>
      <c r="O738" s="7">
        <f t="shared" si="5"/>
        <v>1</v>
      </c>
      <c r="P738" s="8" t="str">
        <f t="shared" si="6"/>
        <v>No</v>
      </c>
    </row>
    <row r="739">
      <c r="A739" s="4" t="s">
        <v>16</v>
      </c>
      <c r="B739" s="4" t="s">
        <v>2116</v>
      </c>
      <c r="C739" s="9">
        <v>44959.0</v>
      </c>
      <c r="D739" s="10">
        <v>44972.0</v>
      </c>
      <c r="E739" s="4" t="s">
        <v>2117</v>
      </c>
      <c r="F739" s="4" t="s">
        <v>2118</v>
      </c>
      <c r="G739" s="6" t="str">
        <f>IFERROR(__xludf.DUMMYFUNCTION("REGEXREPLACE(LOWER(F739),""[^a-z\s]"","""")"),"the whole process went smooth
fast shipping
very satisfied")</f>
        <v>the whole process went smooth
fast shipping
very satisfied</v>
      </c>
      <c r="H739" s="4" t="str">
        <f t="shared" si="1"/>
        <v>whole process went smooth
fast shipping
very satisfied</v>
      </c>
      <c r="I739" s="6">
        <f t="shared" si="2"/>
        <v>6</v>
      </c>
      <c r="J739" s="6">
        <f>IFERROR(__xludf.DUMMYFUNCTION("IF(H739="""","""",
SUM(
ARRAYFORMULA(
IF(
REGEXMATCH(
"" ""&amp;H739&amp;"" "",
"" ""&amp;Sentiment_Words!A$2:A3730&amp;"" ""
),
1,
0
)
)
)
)"),1.0)</f>
        <v>1</v>
      </c>
      <c r="K739" s="4">
        <f>IFERROR(__xludf.DUMMYFUNCTION("IF(H739="""","""",
SUM(
ARRAYFORMULA(
IF(
REGEXMATCH(
"" ""&amp;H739&amp;"" "",
"" ""&amp;Sentiment_Words!B$2:B3730&amp;"" ""
),
1,
0
)
)
)
)"),0.0)</f>
        <v>0</v>
      </c>
      <c r="L739" s="7" t="str">
        <f t="shared" si="3"/>
        <v>Other</v>
      </c>
      <c r="M739" s="7" t="str">
        <f t="shared" si="4"/>
        <v>Positive</v>
      </c>
      <c r="N739" s="7" t="str">
        <f>IFERROR(__xludf.DUMMYFUNCTION("LOWER(
TRIM(
REGEXREPLACE(B739,""[^a-zA-Z\s]"","""")
)
)
"),"marcelino")</f>
        <v>marcelino</v>
      </c>
      <c r="O739" s="7">
        <f t="shared" si="5"/>
        <v>1</v>
      </c>
      <c r="P739" s="8" t="str">
        <f t="shared" si="6"/>
        <v>No</v>
      </c>
    </row>
    <row r="740">
      <c r="A740" s="4" t="s">
        <v>16</v>
      </c>
      <c r="B740" s="4" t="s">
        <v>2119</v>
      </c>
      <c r="C740" s="9">
        <v>44959.0</v>
      </c>
      <c r="D740" s="10">
        <v>44971.0</v>
      </c>
      <c r="E740" s="4" t="s">
        <v>2120</v>
      </c>
      <c r="F740" s="4" t="s">
        <v>2121</v>
      </c>
      <c r="G740" s="6" t="str">
        <f>IFERROR(__xludf.DUMMYFUNCTION("REGEXREPLACE(LOWER(F740),""[^a-z\s]"","""")"),"using petflow was easy and i was able to find substrate for my tortoise that was not available near me i also ordered wet cat food it was the trouble with fedex that will make me reconsider using petflow again my catfood was shipped all over the place and"&amp;" arrived a week later than the substrate it was right here in colorado and was sent to bloomington ca then to utah and then back to co when i finally got the box it was partially open on the bottom and the cans of food were dented one was leaking getting "&amp;"answers from fedex was like pulling teeth this is why the  rating petflow was great but fedex ruined the experience")</f>
        <v>using petflow was easy and i was able to find substrate for my tortoise that was not available near me i also ordered wet cat food it was the trouble with fedex that will make me reconsider using petflow again my catfood was shipped all over the place and arrived a week later than the substrate it was right here in colorado and was sent to bloomington ca then to utah and then back to co when i finally got the box it was partially open on the bottom and the cans of food were dented one was leaking getting answers from fedex was like pulling teeth this is why the  rating petflow was great but fedex ruined the experience</v>
      </c>
      <c r="H740" s="4" t="str">
        <f t="shared" si="1"/>
        <v>using petflow was easy i was able find substrate my tortoise that was not available near me i also ordered wet cat food it was trouble with fedex that will make me reconsider using petflow again my catfood was shipped all over place arrived a week later than substrate it was right here in colorado was sent bloomington ca then utah then back co when i finally got box it was partially open on bottom cans of food were dented one was leaking getting answers from fedex was like pulling teeth this why rating petflow was great but fedex ruined experience</v>
      </c>
      <c r="I740" s="6">
        <f t="shared" si="2"/>
        <v>101</v>
      </c>
      <c r="J740" s="6">
        <f>IFERROR(__xludf.DUMMYFUNCTION("IF(H740="""","""",
SUM(
ARRAYFORMULA(
IF(
REGEXMATCH(
"" ""&amp;H740&amp;"" "",
"" ""&amp;Sentiment_Words!A$2:A3730&amp;"" ""
),
1,
0
)
)
)
)"),4.0)</f>
        <v>4</v>
      </c>
      <c r="K740" s="4">
        <f>IFERROR(__xludf.DUMMYFUNCTION("IF(H740="""","""",
SUM(
ARRAYFORMULA(
IF(
REGEXMATCH(
"" ""&amp;H740&amp;"" "",
"" ""&amp;Sentiment_Words!B$2:B3730&amp;"" ""
),
1,
0
)
)
)
)"),0.0)</f>
        <v>0</v>
      </c>
      <c r="L740" s="7" t="str">
        <f t="shared" si="3"/>
        <v>Fulfillment &amp; Shipping</v>
      </c>
      <c r="M740" s="7" t="str">
        <f t="shared" si="4"/>
        <v>Positive</v>
      </c>
      <c r="N740" s="7" t="str">
        <f>IFERROR(__xludf.DUMMYFUNCTION("LOWER(
TRIM(
REGEXREPLACE(B740,""[^a-zA-Z\s]"","""")
)
)
"),"gary fuller")</f>
        <v>gary fuller</v>
      </c>
      <c r="O740" s="7">
        <f t="shared" si="5"/>
        <v>1</v>
      </c>
      <c r="P740" s="8" t="str">
        <f t="shared" si="6"/>
        <v>No</v>
      </c>
    </row>
    <row r="741">
      <c r="A741" s="4" t="s">
        <v>16</v>
      </c>
      <c r="B741" s="4" t="s">
        <v>2122</v>
      </c>
      <c r="C741" s="9">
        <v>44959.0</v>
      </c>
      <c r="D741" s="10">
        <v>44971.0</v>
      </c>
      <c r="E741" s="4" t="s">
        <v>2123</v>
      </c>
      <c r="F741" s="4" t="s">
        <v>331</v>
      </c>
      <c r="G741" s="6" t="str">
        <f>IFERROR(__xludf.DUMMYFUNCTION("REGEXREPLACE(LOWER(F741),""[^a-z\s]"","""")"),"none")</f>
        <v>none</v>
      </c>
      <c r="H741" s="4" t="str">
        <f t="shared" si="1"/>
        <v>none</v>
      </c>
      <c r="I741" s="6">
        <f t="shared" si="2"/>
        <v>1</v>
      </c>
      <c r="J741" s="6">
        <f>IFERROR(__xludf.DUMMYFUNCTION("IF(H741="""","""",
SUM(
ARRAYFORMULA(
IF(
REGEXMATCH(
"" ""&amp;H741&amp;"" "",
"" ""&amp;Sentiment_Words!A$2:A3730&amp;"" ""
),
1,
0
)
)
)
)"),0.0)</f>
        <v>0</v>
      </c>
      <c r="K741" s="4">
        <f>IFERROR(__xludf.DUMMYFUNCTION("IF(H741="""","""",
SUM(
ARRAYFORMULA(
IF(
REGEXMATCH(
"" ""&amp;H741&amp;"" "",
"" ""&amp;Sentiment_Words!B$2:B3730&amp;"" ""
),
1,
0
)
)
)
)"),0.0)</f>
        <v>0</v>
      </c>
      <c r="L741" s="7" t="str">
        <f t="shared" si="3"/>
        <v>Other</v>
      </c>
      <c r="M741" s="7" t="str">
        <f t="shared" si="4"/>
        <v>Neutral</v>
      </c>
      <c r="N741" s="7" t="str">
        <f>IFERROR(__xludf.DUMMYFUNCTION("LOWER(
TRIM(
REGEXREPLACE(B741,""[^a-zA-Z\s]"","""")
)
)
"),"kg")</f>
        <v>kg</v>
      </c>
      <c r="O741" s="7">
        <f t="shared" si="5"/>
        <v>2</v>
      </c>
      <c r="P741" s="8" t="str">
        <f t="shared" si="6"/>
        <v>Yes</v>
      </c>
    </row>
    <row r="742">
      <c r="A742" s="4" t="s">
        <v>16</v>
      </c>
      <c r="B742" s="4" t="s">
        <v>2124</v>
      </c>
      <c r="C742" s="9">
        <v>44958.0</v>
      </c>
      <c r="D742" s="10">
        <v>44971.0</v>
      </c>
      <c r="E742" s="4" t="s">
        <v>2125</v>
      </c>
      <c r="F742" s="4" t="s">
        <v>2126</v>
      </c>
      <c r="G742" s="6" t="str">
        <f>IFERROR(__xludf.DUMMYFUNCTION("REGEXREPLACE(LOWER(F742),""[^a-z\s]"","""")"),"two reasons the terrific customer service and product pricing simply put they earned my business sometimes low pricing actually the best price i could find means low quality customer service but not at petflow my first order from petflow arrived damaged d"&amp;"ue to knife cut in dog food bag resulting in a significant amount of dog food loose in the shipping box  i could hear it even before i opened the box the professional handling and lightening quick replacement shipment arrived in less than a week from my f"&amp;"irst shipment nicely done")</f>
        <v>two reasons the terrific customer service and product pricing simply put they earned my business sometimes low pricing actually the best price i could find means low quality customer service but not at petflow my first order from petflow arrived damaged due to knife cut in dog food bag resulting in a significant amount of dog food loose in the shipping box  i could hear it even before i opened the box the professional handling and lightening quick replacement shipment arrived in less than a week from my first shipment nicely done</v>
      </c>
      <c r="H742" s="4" t="str">
        <f t="shared" si="1"/>
        <v>two reasons terrific customer service product pricing simply put they earned my business sometimes low pricing actually best price i could find means low quality customer service but not at petflow my first order from petflow arrived damaged due knife cut in dog food bag resulting in a significant amount of dog food loose in shipping box i could hear it even before i opened box professional handling lightening quick replacement shipment arrived in less than a week from my first shipment nicely done</v>
      </c>
      <c r="I742" s="6">
        <f t="shared" si="2"/>
        <v>84</v>
      </c>
      <c r="J742" s="6">
        <f>IFERROR(__xludf.DUMMYFUNCTION("IF(H742="""","""",
SUM(
ARRAYFORMULA(
IF(
REGEXMATCH(
"" ""&amp;H742&amp;"" "",
"" ""&amp;Sentiment_Words!A$2:A3730&amp;"" ""
),
1,
0
)
)
)
)"),0.0)</f>
        <v>0</v>
      </c>
      <c r="K742" s="4">
        <f>IFERROR(__xludf.DUMMYFUNCTION("IF(H742="""","""",
SUM(
ARRAYFORMULA(
IF(
REGEXMATCH(
"" ""&amp;H742&amp;"" "",
"" ""&amp;Sentiment_Words!B$2:B3730&amp;"" ""
),
1,
0
)
)
)
)"),1.0)</f>
        <v>1</v>
      </c>
      <c r="L742" s="7" t="str">
        <f t="shared" si="3"/>
        <v>Customer Support</v>
      </c>
      <c r="M742" s="7" t="str">
        <f t="shared" si="4"/>
        <v>Negative</v>
      </c>
      <c r="N742" s="7" t="str">
        <f>IFERROR(__xludf.DUMMYFUNCTION("LOWER(
TRIM(
REGEXREPLACE(B742,""[^a-zA-Z\s]"","""")
)
)
"),"kevin")</f>
        <v>kevin</v>
      </c>
      <c r="O742" s="7">
        <f t="shared" si="5"/>
        <v>2</v>
      </c>
      <c r="P742" s="8" t="str">
        <f t="shared" si="6"/>
        <v>Yes</v>
      </c>
    </row>
    <row r="743">
      <c r="A743" s="4" t="s">
        <v>16</v>
      </c>
      <c r="B743" s="4" t="s">
        <v>2127</v>
      </c>
      <c r="C743" s="9">
        <v>44959.0</v>
      </c>
      <c r="D743" s="10">
        <v>44971.0</v>
      </c>
      <c r="E743" s="4" t="s">
        <v>2128</v>
      </c>
      <c r="F743" s="4" t="s">
        <v>2129</v>
      </c>
      <c r="G743" s="6" t="str">
        <f>IFERROR(__xludf.DUMMYFUNCTION("REGEXREPLACE(LOWER(F743),""[^a-z\s]"","""")"),"ordered prescription dog food no email telling me you got the order i called and they said it would be coming out of a warehouse did not know from where or when still no email had to go buy food locally which i am disabled and it was alot of work and extr"&amp;"a money after about a week the food was delivered two days after delivery an email came saying the food was delivered had to spend money and energy to make sure my dog had food because no one knew when and where it was coming from no emails")</f>
        <v>ordered prescription dog food no email telling me you got the order i called and they said it would be coming out of a warehouse did not know from where or when still no email had to go buy food locally which i am disabled and it was alot of work and extra money after about a week the food was delivered two days after delivery an email came saying the food was delivered had to spend money and energy to make sure my dog had food because no one knew when and where it was coming from no emails</v>
      </c>
      <c r="H743" s="4" t="str">
        <f t="shared" si="1"/>
        <v>ordered prescription dog food no email telling me you got order i called they said it would be coming out of a warehouse did not know from where or when still no email had go buy food locally which i am disabled it was alot of work extra money after about a week food was delivered two days after delivery an email came saying food was delivered had spend money energy make sure my dog had food because no one knew when where it was coming from no emails</v>
      </c>
      <c r="I743" s="6">
        <f t="shared" si="2"/>
        <v>89</v>
      </c>
      <c r="J743" s="6">
        <f>IFERROR(__xludf.DUMMYFUNCTION("IF(H743="""","""",
SUM(
ARRAYFORMULA(
IF(
REGEXMATCH(
"" ""&amp;H743&amp;"" "",
"" ""&amp;Sentiment_Words!A$2:A3730&amp;"" ""
),
1,
0
)
)
)
)"),1.0)</f>
        <v>1</v>
      </c>
      <c r="K743" s="4">
        <f>IFERROR(__xludf.DUMMYFUNCTION("IF(H743="""","""",
SUM(
ARRAYFORMULA(
IF(
REGEXMATCH(
"" ""&amp;H743&amp;"" "",
"" ""&amp;Sentiment_Words!B$2:B3730&amp;"" ""
),
1,
0
)
)
)
)"),0.0)</f>
        <v>0</v>
      </c>
      <c r="L743" s="7" t="str">
        <f t="shared" si="3"/>
        <v>Other</v>
      </c>
      <c r="M743" s="7" t="str">
        <f t="shared" si="4"/>
        <v>Positive</v>
      </c>
      <c r="N743" s="7" t="str">
        <f>IFERROR(__xludf.DUMMYFUNCTION("LOWER(
TRIM(
REGEXREPLACE(B743,""[^a-zA-Z\s]"","""")
)
)
"),"linda lou")</f>
        <v>linda lou</v>
      </c>
      <c r="O743" s="7">
        <f t="shared" si="5"/>
        <v>1</v>
      </c>
      <c r="P743" s="8" t="str">
        <f t="shared" si="6"/>
        <v>No</v>
      </c>
    </row>
    <row r="744">
      <c r="A744" s="4" t="s">
        <v>16</v>
      </c>
      <c r="B744" s="4" t="s">
        <v>2130</v>
      </c>
      <c r="C744" s="9">
        <v>44959.0</v>
      </c>
      <c r="D744" s="10">
        <v>44971.0</v>
      </c>
      <c r="E744" s="4" t="s">
        <v>2131</v>
      </c>
      <c r="F744" s="4" t="s">
        <v>2132</v>
      </c>
      <c r="G744" s="6" t="str">
        <f>IFERROR(__xludf.DUMMYFUNCTION("REGEXREPLACE(LOWER(F744),""[^a-z\s]"","""")"),"i was looking for better pricing for my dogs food and that is how i found pet flow i want to feed them a better dog food than what is in most grocery stores i was happy to find pet flow they have good customer service and great prices with  dogs i need a "&amp;"good price i will be ordering my food from them from now on")</f>
        <v>i was looking for better pricing for my dogs food and that is how i found pet flow i want to feed them a better dog food than what is in most grocery stores i was happy to find pet flow they have good customer service and great prices with  dogs i need a good price i will be ordering my food from them from now on</v>
      </c>
      <c r="H744" s="4" t="str">
        <f t="shared" si="1"/>
        <v>i was looking better pricing my dogs food that how i found pet flow i want feed them a better dog food than what in most grocery stores i was happy find pet flow they have good customer service great prices with dogs i need a good price i will be ordering my food from them from now on</v>
      </c>
      <c r="I744" s="6">
        <f t="shared" si="2"/>
        <v>59</v>
      </c>
      <c r="J744" s="6">
        <f>IFERROR(__xludf.DUMMYFUNCTION("IF(H744="""","""",
SUM(
ARRAYFORMULA(
IF(
REGEXMATCH(
"" ""&amp;H744&amp;"" "",
"" ""&amp;Sentiment_Words!A$2:A3730&amp;"" ""
),
1,
0
)
)
)
)"),4.0)</f>
        <v>4</v>
      </c>
      <c r="K744" s="4">
        <f>IFERROR(__xludf.DUMMYFUNCTION("IF(H744="""","""",
SUM(
ARRAYFORMULA(
IF(
REGEXMATCH(
"" ""&amp;H744&amp;"" "",
"" ""&amp;Sentiment_Words!B$2:B3730&amp;"" ""
),
1,
0
)
)
)
)"),1.0)</f>
        <v>1</v>
      </c>
      <c r="L744" s="7" t="str">
        <f t="shared" si="3"/>
        <v>Customer Support</v>
      </c>
      <c r="M744" s="7" t="str">
        <f t="shared" si="4"/>
        <v>Positive</v>
      </c>
      <c r="N744" s="7" t="str">
        <f>IFERROR(__xludf.DUMMYFUNCTION("LOWER(
TRIM(
REGEXREPLACE(B744,""[^a-zA-Z\s]"","""")
)
)
"),"cynthia greene")</f>
        <v>cynthia greene</v>
      </c>
      <c r="O744" s="7">
        <f t="shared" si="5"/>
        <v>2</v>
      </c>
      <c r="P744" s="8" t="str">
        <f t="shared" si="6"/>
        <v>Yes</v>
      </c>
    </row>
    <row r="745">
      <c r="A745" s="4" t="s">
        <v>16</v>
      </c>
      <c r="B745" s="4" t="s">
        <v>2133</v>
      </c>
      <c r="C745" s="9">
        <v>44959.0</v>
      </c>
      <c r="D745" s="10">
        <v>44971.0</v>
      </c>
      <c r="E745" s="4" t="s">
        <v>2134</v>
      </c>
      <c r="F745" s="4" t="s">
        <v>2135</v>
      </c>
      <c r="G745" s="6" t="str">
        <f>IFERROR(__xludf.DUMMYFUNCTION("REGEXREPLACE(LOWER(F745),""[^a-z\s]"","""")"),"they always have what i am looking for at a fair price in particular i order fromms dog food they are one of few places that carry it shipping is quick as well")</f>
        <v>they always have what i am looking for at a fair price in particular i order fromms dog food they are one of few places that carry it shipping is quick as well</v>
      </c>
      <c r="H745" s="4" t="str">
        <f t="shared" si="1"/>
        <v>they always have what i am looking at a fair price in particular i order fromms dog food they are one of few places that carry it shipping quick as well</v>
      </c>
      <c r="I745" s="6">
        <f t="shared" si="2"/>
        <v>31</v>
      </c>
      <c r="J745" s="6">
        <f>IFERROR(__xludf.DUMMYFUNCTION("IF(H745="""","""",
SUM(
ARRAYFORMULA(
IF(
REGEXMATCH(
"" ""&amp;H745&amp;"" "",
"" ""&amp;Sentiment_Words!A$2:A3730&amp;"" ""
),
1,
0
)
)
)
)"),0.0)</f>
        <v>0</v>
      </c>
      <c r="K745" s="4">
        <f>IFERROR(__xludf.DUMMYFUNCTION("IF(H745="""","""",
SUM(
ARRAYFORMULA(
IF(
REGEXMATCH(
"" ""&amp;H745&amp;"" "",
"" ""&amp;Sentiment_Words!B$2:B3730&amp;"" ""
),
1,
0
)
)
)
)"),0.0)</f>
        <v>0</v>
      </c>
      <c r="L745" s="7" t="str">
        <f t="shared" si="3"/>
        <v>Other</v>
      </c>
      <c r="M745" s="7" t="str">
        <f t="shared" si="4"/>
        <v>Neutral</v>
      </c>
      <c r="N745" s="7" t="str">
        <f>IFERROR(__xludf.DUMMYFUNCTION("LOWER(
TRIM(
REGEXREPLACE(B745,""[^a-zA-Z\s]"","""")
)
)
"),"maryanne")</f>
        <v>maryanne</v>
      </c>
      <c r="O745" s="7">
        <f t="shared" si="5"/>
        <v>1</v>
      </c>
      <c r="P745" s="8" t="str">
        <f t="shared" si="6"/>
        <v>No</v>
      </c>
    </row>
    <row r="746">
      <c r="A746" s="4" t="s">
        <v>16</v>
      </c>
      <c r="B746" s="4" t="s">
        <v>219</v>
      </c>
      <c r="C746" s="9">
        <v>44959.0</v>
      </c>
      <c r="D746" s="10">
        <v>44971.0</v>
      </c>
      <c r="E746" s="4" t="s">
        <v>2136</v>
      </c>
      <c r="F746" s="4" t="s">
        <v>2137</v>
      </c>
      <c r="G746" s="6" t="str">
        <f>IFERROR(__xludf.DUMMYFUNCTION("REGEXREPLACE(LOWER(F746),""[^a-z\s]"","""")"),"easy awesome new pet products online orderdelivery company recommended to all pet parents ")</f>
        <v>easy awesome new pet products online orderdelivery company recommended to all pet parents </v>
      </c>
      <c r="H746" s="4" t="str">
        <f t="shared" si="1"/>
        <v>easy awesome new pet products online orderdelivery company recommended all pet parents</v>
      </c>
      <c r="I746" s="6">
        <f t="shared" si="2"/>
        <v>12</v>
      </c>
      <c r="J746" s="6">
        <f>IFERROR(__xludf.DUMMYFUNCTION("IF(H746="""","""",
SUM(
ARRAYFORMULA(
IF(
REGEXMATCH(
"" ""&amp;H746&amp;"" "",
"" ""&amp;Sentiment_Words!A$2:A3730&amp;"" ""
),
1,
0
)
)
)
)"),1.0)</f>
        <v>1</v>
      </c>
      <c r="K746" s="4">
        <f>IFERROR(__xludf.DUMMYFUNCTION("IF(H746="""","""",
SUM(
ARRAYFORMULA(
IF(
REGEXMATCH(
"" ""&amp;H746&amp;"" "",
"" ""&amp;Sentiment_Words!B$2:B3730&amp;"" ""
),
1,
0
)
)
)
)"),0.0)</f>
        <v>0</v>
      </c>
      <c r="L746" s="7" t="str">
        <f t="shared" si="3"/>
        <v>Other</v>
      </c>
      <c r="M746" s="7" t="str">
        <f t="shared" si="4"/>
        <v>Positive</v>
      </c>
      <c r="N746" s="7" t="str">
        <f>IFERROR(__xludf.DUMMYFUNCTION("LOWER(
TRIM(
REGEXREPLACE(B746,""[^a-zA-Z\s]"","""")
)
)
"),"linda")</f>
        <v>linda</v>
      </c>
      <c r="O746" s="7">
        <f t="shared" si="5"/>
        <v>10</v>
      </c>
      <c r="P746" s="8" t="str">
        <f t="shared" si="6"/>
        <v>Yes</v>
      </c>
    </row>
    <row r="747">
      <c r="A747" s="4" t="s">
        <v>16</v>
      </c>
      <c r="B747" s="4" t="s">
        <v>2138</v>
      </c>
      <c r="C747" s="5">
        <v>44949.0</v>
      </c>
      <c r="D747" s="10">
        <v>44971.0</v>
      </c>
      <c r="E747" s="4" t="s">
        <v>2139</v>
      </c>
      <c r="F747" s="4" t="s">
        <v>2140</v>
      </c>
      <c r="G747" s="6" t="str">
        <f>IFERROR(__xludf.DUMMYFUNCTION("REGEXREPLACE(LOWER(F747),""[^a-z\s]"","""")"),"they had what i needed in stock and it came fast")</f>
        <v>they had what i needed in stock and it came fast</v>
      </c>
      <c r="H747" s="4" t="str">
        <f t="shared" si="1"/>
        <v>they had what i needed in stock it came fast</v>
      </c>
      <c r="I747" s="6">
        <f t="shared" si="2"/>
        <v>10</v>
      </c>
      <c r="J747" s="6">
        <f>IFERROR(__xludf.DUMMYFUNCTION("IF(H747="""","""",
SUM(
ARRAYFORMULA(
IF(
REGEXMATCH(
"" ""&amp;H747&amp;"" "",
"" ""&amp;Sentiment_Words!A$2:A3730&amp;"" ""
),
1,
0
)
)
)
)"),1.0)</f>
        <v>1</v>
      </c>
      <c r="K747" s="4">
        <f>IFERROR(__xludf.DUMMYFUNCTION("IF(H747="""","""",
SUM(
ARRAYFORMULA(
IF(
REGEXMATCH(
"" ""&amp;H747&amp;"" "",
"" ""&amp;Sentiment_Words!B$2:B3730&amp;"" ""
),
1,
0
)
)
)
)"),0.0)</f>
        <v>0</v>
      </c>
      <c r="L747" s="7" t="str">
        <f t="shared" si="3"/>
        <v>Other</v>
      </c>
      <c r="M747" s="7" t="str">
        <f t="shared" si="4"/>
        <v>Positive</v>
      </c>
      <c r="N747" s="7" t="str">
        <f>IFERROR(__xludf.DUMMYFUNCTION("LOWER(
TRIM(
REGEXREPLACE(B747,""[^a-zA-Z\s]"","""")
)
)
"),"dennitta hill")</f>
        <v>dennitta hill</v>
      </c>
      <c r="O747" s="7">
        <f t="shared" si="5"/>
        <v>1</v>
      </c>
      <c r="P747" s="8" t="str">
        <f t="shared" si="6"/>
        <v>No</v>
      </c>
    </row>
    <row r="748">
      <c r="A748" s="4" t="s">
        <v>16</v>
      </c>
      <c r="B748" s="4" t="s">
        <v>2141</v>
      </c>
      <c r="C748" s="9">
        <v>44958.0</v>
      </c>
      <c r="D748" s="10">
        <v>44971.0</v>
      </c>
      <c r="E748" s="4" t="s">
        <v>2142</v>
      </c>
      <c r="F748" s="4" t="s">
        <v>2143</v>
      </c>
      <c r="G748" s="6" t="str">
        <f>IFERROR(__xludf.DUMMYFUNCTION("REGEXREPLACE(LOWER(F748),""[^a-z\s]"","""")"),"website was easy to navigate and shipping was fast compared prices and petflow was the best by far will definitely order again")</f>
        <v>website was easy to navigate and shipping was fast compared prices and petflow was the best by far will definitely order again</v>
      </c>
      <c r="H748" s="4" t="str">
        <f t="shared" si="1"/>
        <v>website was easy navigate shipping was fast compared prices petflow was best by far will definitely order again</v>
      </c>
      <c r="I748" s="6">
        <f t="shared" si="2"/>
        <v>18</v>
      </c>
      <c r="J748" s="6">
        <f>IFERROR(__xludf.DUMMYFUNCTION("IF(H748="""","""",
SUM(
ARRAYFORMULA(
IF(
REGEXMATCH(
"" ""&amp;H748&amp;"" "",
"" ""&amp;Sentiment_Words!A$2:A3730&amp;"" ""
),
1,
0
)
)
)
)"),2.0)</f>
        <v>2</v>
      </c>
      <c r="K748" s="4">
        <f>IFERROR(__xludf.DUMMYFUNCTION("IF(H748="""","""",
SUM(
ARRAYFORMULA(
IF(
REGEXMATCH(
"" ""&amp;H748&amp;"" "",
"" ""&amp;Sentiment_Words!B$2:B3730&amp;"" ""
),
1,
0
)
)
)
)"),0.0)</f>
        <v>0</v>
      </c>
      <c r="L748" s="7" t="str">
        <f t="shared" si="3"/>
        <v>Account &amp; Website</v>
      </c>
      <c r="M748" s="7" t="str">
        <f t="shared" si="4"/>
        <v>Positive</v>
      </c>
      <c r="N748" s="7" t="str">
        <f>IFERROR(__xludf.DUMMYFUNCTION("LOWER(
TRIM(
REGEXREPLACE(B748,""[^a-zA-Z\s]"","""")
)
)
"),"jill johnson")</f>
        <v>jill johnson</v>
      </c>
      <c r="O748" s="7">
        <f t="shared" si="5"/>
        <v>1</v>
      </c>
      <c r="P748" s="8" t="str">
        <f t="shared" si="6"/>
        <v>No</v>
      </c>
    </row>
    <row r="749">
      <c r="A749" s="4" t="s">
        <v>16</v>
      </c>
      <c r="B749" s="4" t="s">
        <v>2144</v>
      </c>
      <c r="C749" s="9">
        <v>44959.0</v>
      </c>
      <c r="D749" s="10">
        <v>44971.0</v>
      </c>
      <c r="E749" s="4" t="s">
        <v>2145</v>
      </c>
      <c r="F749" s="4" t="s">
        <v>2146</v>
      </c>
      <c r="G749" s="6" t="str">
        <f>IFERROR(__xludf.DUMMYFUNCTION("REGEXREPLACE(LOWER(F749),""[^a-z\s]"","""")"),"after deciding what brand of dog food i wanted for my new puppy i did a search for the best price
petflow had the best price")</f>
        <v>after deciding what brand of dog food i wanted for my new puppy i did a search for the best price
petflow had the best price</v>
      </c>
      <c r="H749" s="4" t="str">
        <f t="shared" si="1"/>
        <v>after deciding what brand of dog food i wanted my new puppy i did a search best price
petflow had best price</v>
      </c>
      <c r="I749" s="6">
        <f t="shared" si="2"/>
        <v>21</v>
      </c>
      <c r="J749" s="6">
        <f>IFERROR(__xludf.DUMMYFUNCTION("IF(H749="""","""",
SUM(
ARRAYFORMULA(
IF(
REGEXMATCH(
"" ""&amp;H749&amp;"" "",
"" ""&amp;Sentiment_Words!A$2:A3730&amp;"" ""
),
1,
0
)
)
)
)"),0.0)</f>
        <v>0</v>
      </c>
      <c r="K749" s="4">
        <f>IFERROR(__xludf.DUMMYFUNCTION("IF(H749="""","""",
SUM(
ARRAYFORMULA(
IF(
REGEXMATCH(
"" ""&amp;H749&amp;"" "",
"" ""&amp;Sentiment_Words!B$2:B3730&amp;"" ""
),
1,
0
)
)
)
)"),0.0)</f>
        <v>0</v>
      </c>
      <c r="L749" s="7" t="str">
        <f t="shared" si="3"/>
        <v>Other</v>
      </c>
      <c r="M749" s="7" t="str">
        <f t="shared" si="4"/>
        <v>Neutral</v>
      </c>
      <c r="N749" s="7" t="str">
        <f>IFERROR(__xludf.DUMMYFUNCTION("LOWER(
TRIM(
REGEXREPLACE(B749,""[^a-zA-Z\s]"","""")
)
)
"),"terri")</f>
        <v>terri</v>
      </c>
      <c r="O749" s="7">
        <f t="shared" si="5"/>
        <v>5</v>
      </c>
      <c r="P749" s="8" t="str">
        <f t="shared" si="6"/>
        <v>Yes</v>
      </c>
    </row>
    <row r="750">
      <c r="A750" s="4" t="s">
        <v>16</v>
      </c>
      <c r="B750" s="4" t="s">
        <v>2147</v>
      </c>
      <c r="C750" s="9">
        <v>44960.0</v>
      </c>
      <c r="D750" s="10">
        <v>44971.0</v>
      </c>
      <c r="E750" s="4" t="s">
        <v>2148</v>
      </c>
      <c r="F750" s="4" t="s">
        <v>2149</v>
      </c>
      <c r="G750" s="6" t="str">
        <f>IFERROR(__xludf.DUMMYFUNCTION("REGEXREPLACE(LOWER(F750),""[^a-z\s]"","""")"),"recieved the last product i ordered i called your company to let you know the product was damaged bent i told the person the box was not damaged so the product had to have been put in the box damaged
he didnt want to hear it and was really rude")</f>
        <v>recieved the last product i ordered i called your company to let you know the product was damaged bent i told the person the box was not damaged so the product had to have been put in the box damaged
he didnt want to hear it and was really rude</v>
      </c>
      <c r="H750" s="4" t="str">
        <f t="shared" si="1"/>
        <v>recieved last product i ordered i called your company let you know product was damaged bent i told person box was not damaged so product had have been put in box damaged
he didnt want hear it was really rude</v>
      </c>
      <c r="I750" s="6">
        <f t="shared" si="2"/>
        <v>39</v>
      </c>
      <c r="J750" s="6">
        <f>IFERROR(__xludf.DUMMYFUNCTION("IF(H750="""","""",
SUM(
ARRAYFORMULA(
IF(
REGEXMATCH(
"" ""&amp;H750&amp;"" "",
"" ""&amp;Sentiment_Words!A$2:A3730&amp;"" ""
),
1,
0
)
)
)
)"),0.0)</f>
        <v>0</v>
      </c>
      <c r="K750" s="4">
        <f>IFERROR(__xludf.DUMMYFUNCTION("IF(H750="""","""",
SUM(
ARRAYFORMULA(
IF(
REGEXMATCH(
"" ""&amp;H750&amp;"" "",
"" ""&amp;Sentiment_Words!B$2:B3730&amp;"" ""
),
1,
0
)
)
)
)"),0.0)</f>
        <v>0</v>
      </c>
      <c r="L750" s="7" t="str">
        <f t="shared" si="3"/>
        <v>Other</v>
      </c>
      <c r="M750" s="7" t="str">
        <f t="shared" si="4"/>
        <v>Neutral</v>
      </c>
      <c r="N750" s="7" t="str">
        <f>IFERROR(__xludf.DUMMYFUNCTION("LOWER(
TRIM(
REGEXREPLACE(B750,""[^a-zA-Z\s]"","""")
)
)
"),"greg bisi")</f>
        <v>greg bisi</v>
      </c>
      <c r="O750" s="7">
        <f t="shared" si="5"/>
        <v>1</v>
      </c>
      <c r="P750" s="8" t="str">
        <f t="shared" si="6"/>
        <v>No</v>
      </c>
    </row>
    <row r="751">
      <c r="A751" s="4" t="s">
        <v>16</v>
      </c>
      <c r="B751" s="4" t="s">
        <v>2150</v>
      </c>
      <c r="C751" s="9">
        <v>44959.0</v>
      </c>
      <c r="D751" s="10">
        <v>44971.0</v>
      </c>
      <c r="E751" s="4" t="s">
        <v>2151</v>
      </c>
      <c r="F751" s="4" t="s">
        <v>2152</v>
      </c>
      <c r="G751" s="6" t="str">
        <f>IFERROR(__xludf.DUMMYFUNCTION("REGEXREPLACE(LOWER(F751),""[^a-z\s]"","""")"),"this was a new company to me with a good buy on the products i needed so i decided to give them a try i am very disappointed  i never received an order confirmation email as stated checked my spam and was rather referred to my email provider immediately w"&amp;"ithout even offering to investigate on their end  when i tried to sign in to check the status there was no record of my order already charged to my bank account perhaps why i didnt get the confirmation via email and not the fault of microsoft hotmail who "&amp;"they blamed  multiple phone reps were quite rude and offered conflicting information regarding shippingdelivery that even varied from that which was available on their website when i asked for site direction in order to view details the rep was providing "&amp;"for clarity and assurance he was unable to do so  i do not even know at this point when or if i will get the paid for order now past the initial represented date for delivery and with no site record of the transaction i will pursue the reimbursement prote"&amp;"ction my financial institution offers me in these cases but it is not worth the trouble to have to go that route for just a few dollars saved on the merchandise and hence becoming too low on supply for my kitty with special needs for comfort this is the f"&amp;"irst time i have strayed from chewy and definitely will never do so again as they have a spotless and error free record over the course of my years of transactions live and learn and i hope this helps someone ")</f>
        <v>this was a new company to me with a good buy on the products i needed so i decided to give them a try i am very disappointed  i never received an order confirmation email as stated checked my spam and was rather referred to my email provider immediately without even offering to investigate on their end  when i tried to sign in to check the status there was no record of my order already charged to my bank account perhaps why i didnt get the confirmation via email and not the fault of microsoft hotmail who they blamed  multiple phone reps were quite rude and offered conflicting information regarding shippingdelivery that even varied from that which was available on their website when i asked for site direction in order to view details the rep was providing for clarity and assurance he was unable to do so  i do not even know at this point when or if i will get the paid for order now past the initial represented date for delivery and with no site record of the transaction i will pursue the reimbursement protection my financial institution offers me in these cases but it is not worth the trouble to have to go that route for just a few dollars saved on the merchandise and hence becoming too low on supply for my kitty with special needs for comfort this is the first time i have strayed from chewy and definitely will never do so again as they have a spotless and error free record over the course of my years of transactions live and learn and i hope this helps someone </v>
      </c>
      <c r="H751" s="4" t="str">
        <f t="shared" si="1"/>
        <v>this was a new company me with a good buy on products i needed so i decided give them a try i am very disappointed i never received an order confirmation email as stated checked my spam was rather referred my email provider immediately without even offering investigate on their end when i tried sign in check status there was no record of my order already charged my bank account perhaps why i didnt get confirmation via email not fault of microsoft hotmail who they blamed multiple phone reps were quite rude offered conflicting information regarding shippingdelivery that even varied from that which was available on their website when i asked site direction in order view details rep was providing clarity assurance he was unable do so i do not even know at this point when or if i will get paid order now past initial represented date delivery with no site record of transaction i will pursue reimbursement protection my financial institution offers me in these cases but it not worth trouble have go that route just a few dollars saved on merchandise hence becoming too low on supply my kitty with special needs comfort this first time i have strayed from chewy definitely will never do so again as they have a spotless error free record over course of my years of transactions live learn i hope this helps someone</v>
      </c>
      <c r="I751" s="6">
        <f t="shared" si="2"/>
        <v>232</v>
      </c>
      <c r="J751" s="6">
        <f>IFERROR(__xludf.DUMMYFUNCTION("IF(H751="""","""",
SUM(
ARRAYFORMULA(
IF(
REGEXMATCH(
"" ""&amp;H751&amp;"" "",
"" ""&amp;Sentiment_Words!A$2:A3730&amp;"" ""
),
1,
0
)
)
)
)"),4.0)</f>
        <v>4</v>
      </c>
      <c r="K751" s="4">
        <f>IFERROR(__xludf.DUMMYFUNCTION("IF(H751="""","""",
SUM(
ARRAYFORMULA(
IF(
REGEXMATCH(
"" ""&amp;H751&amp;"" "",
"" ""&amp;Sentiment_Words!B$2:B3730&amp;"" ""
),
1,
0
)
)
)
)"),0.0)</f>
        <v>0</v>
      </c>
      <c r="L751" s="7" t="str">
        <f t="shared" si="3"/>
        <v>Account &amp; Website</v>
      </c>
      <c r="M751" s="7" t="str">
        <f t="shared" si="4"/>
        <v>Positive</v>
      </c>
      <c r="N751" s="7" t="str">
        <f>IFERROR(__xludf.DUMMYFUNCTION("LOWER(
TRIM(
REGEXREPLACE(B751,""[^a-zA-Z\s]"","""")
)
)
"),"song lee")</f>
        <v>song lee</v>
      </c>
      <c r="O751" s="7">
        <f t="shared" si="5"/>
        <v>1</v>
      </c>
      <c r="P751" s="8" t="str">
        <f t="shared" si="6"/>
        <v>No</v>
      </c>
    </row>
    <row r="752">
      <c r="A752" s="4" t="s">
        <v>16</v>
      </c>
      <c r="B752" s="4" t="s">
        <v>2153</v>
      </c>
      <c r="C752" s="5">
        <v>44970.0</v>
      </c>
      <c r="D752" s="10">
        <v>44971.0</v>
      </c>
      <c r="E752" s="4" t="s">
        <v>2154</v>
      </c>
      <c r="F752" s="4" t="s">
        <v>2155</v>
      </c>
      <c r="G752" s="6" t="str">
        <f>IFERROR(__xludf.DUMMYFUNCTION("REGEXREPLACE(LOWER(F752),""[^a-z\s]"","""")"),"everything was quick and easy the custer service rep was knowledgeable professional and pleasant")</f>
        <v>everything was quick and easy the custer service rep was knowledgeable professional and pleasant</v>
      </c>
      <c r="H752" s="4" t="str">
        <f t="shared" si="1"/>
        <v>everything was quick easy custer service rep was knowledgeable professional pleasant</v>
      </c>
      <c r="I752" s="6">
        <f t="shared" si="2"/>
        <v>11</v>
      </c>
      <c r="J752" s="6">
        <f>IFERROR(__xludf.DUMMYFUNCTION("IF(H752="""","""",
SUM(
ARRAYFORMULA(
IF(
REGEXMATCH(
"" ""&amp;H752&amp;"" "",
"" ""&amp;Sentiment_Words!A$2:A3730&amp;"" ""
),
1,
0
)
)
)
)"),1.0)</f>
        <v>1</v>
      </c>
      <c r="K752" s="4">
        <f>IFERROR(__xludf.DUMMYFUNCTION("IF(H752="""","""",
SUM(
ARRAYFORMULA(
IF(
REGEXMATCH(
"" ""&amp;H752&amp;"" "",
"" ""&amp;Sentiment_Words!B$2:B3730&amp;"" ""
),
1,
0
)
)
)
)"),0.0)</f>
        <v>0</v>
      </c>
      <c r="L752" s="7" t="str">
        <f t="shared" si="3"/>
        <v>Customer Support</v>
      </c>
      <c r="M752" s="7" t="str">
        <f t="shared" si="4"/>
        <v>Positive</v>
      </c>
      <c r="N752" s="7" t="str">
        <f>IFERROR(__xludf.DUMMYFUNCTION("LOWER(
TRIM(
REGEXREPLACE(B752,""[^a-zA-Z\s]"","""")
)
)
"),"pauline hamasaki")</f>
        <v>pauline hamasaki</v>
      </c>
      <c r="O752" s="7">
        <f t="shared" si="5"/>
        <v>1</v>
      </c>
      <c r="P752" s="8" t="str">
        <f t="shared" si="6"/>
        <v>No</v>
      </c>
    </row>
    <row r="753">
      <c r="A753" s="4" t="s">
        <v>16</v>
      </c>
      <c r="B753" s="4" t="s">
        <v>2156</v>
      </c>
      <c r="C753" s="5">
        <v>44970.0</v>
      </c>
      <c r="D753" s="10">
        <v>44971.0</v>
      </c>
      <c r="E753" s="4" t="s">
        <v>2157</v>
      </c>
      <c r="F753" s="4" t="s">
        <v>2158</v>
      </c>
      <c r="G753" s="6" t="str">
        <f>IFERROR(__xludf.DUMMYFUNCTION("REGEXREPLACE(LOWER(F753),""[^a-z\s]"","""")"),"could not pay with paypal for some reason kept getting message problem with connection")</f>
        <v>could not pay with paypal for some reason kept getting message problem with connection</v>
      </c>
      <c r="H753" s="4" t="str">
        <f t="shared" si="1"/>
        <v>could not pay with paypal some reason kept getting message problem with connection</v>
      </c>
      <c r="I753" s="6">
        <f t="shared" si="2"/>
        <v>13</v>
      </c>
      <c r="J753" s="6">
        <f>IFERROR(__xludf.DUMMYFUNCTION("IF(H753="""","""",
SUM(
ARRAYFORMULA(
IF(
REGEXMATCH(
"" ""&amp;H753&amp;"" "",
"" ""&amp;Sentiment_Words!A$2:A3730&amp;"" ""
),
1,
0
)
)
)
)"),0.0)</f>
        <v>0</v>
      </c>
      <c r="K753" s="4">
        <f>IFERROR(__xludf.DUMMYFUNCTION("IF(H753="""","""",
SUM(
ARRAYFORMULA(
IF(
REGEXMATCH(
"" ""&amp;H753&amp;"" "",
"" ""&amp;Sentiment_Words!B$2:B3730&amp;"" ""
),
1,
0
)
)
)
)"),1.0)</f>
        <v>1</v>
      </c>
      <c r="L753" s="7" t="str">
        <f t="shared" si="3"/>
        <v>Other</v>
      </c>
      <c r="M753" s="7" t="str">
        <f t="shared" si="4"/>
        <v>Negative</v>
      </c>
      <c r="N753" s="7" t="str">
        <f>IFERROR(__xludf.DUMMYFUNCTION("LOWER(
TRIM(
REGEXREPLACE(B753,""[^a-zA-Z\s]"","""")
)
)
"),"last name ranney")</f>
        <v>last name ranney</v>
      </c>
      <c r="O753" s="7">
        <f t="shared" si="5"/>
        <v>1</v>
      </c>
      <c r="P753" s="8" t="str">
        <f t="shared" si="6"/>
        <v>No</v>
      </c>
    </row>
    <row r="754">
      <c r="A754" s="4" t="s">
        <v>16</v>
      </c>
      <c r="B754" s="4" t="s">
        <v>2159</v>
      </c>
      <c r="C754" s="9">
        <v>44958.0</v>
      </c>
      <c r="D754" s="10">
        <v>44971.0</v>
      </c>
      <c r="E754" s="4" t="s">
        <v>2160</v>
      </c>
      <c r="F754" s="4" t="s">
        <v>2161</v>
      </c>
      <c r="G754" s="6" t="str">
        <f>IFERROR(__xludf.DUMMYFUNCTION("REGEXREPLACE(LOWER(F754),""[^a-z\s]"","""")"),"i appreciate their communication with me in regards to orders and delivery")</f>
        <v>i appreciate their communication with me in regards to orders and delivery</v>
      </c>
      <c r="H754" s="4" t="str">
        <f t="shared" si="1"/>
        <v>i appreciate their communication with me in regards orders delivery</v>
      </c>
      <c r="I754" s="6">
        <f t="shared" si="2"/>
        <v>10</v>
      </c>
      <c r="J754" s="6">
        <f>IFERROR(__xludf.DUMMYFUNCTION("IF(H754="""","""",
SUM(
ARRAYFORMULA(
IF(
REGEXMATCH(
"" ""&amp;H754&amp;"" "",
"" ""&amp;Sentiment_Words!A$2:A3730&amp;"" ""
),
1,
0
)
)
)
)"),0.0)</f>
        <v>0</v>
      </c>
      <c r="K754" s="4">
        <f>IFERROR(__xludf.DUMMYFUNCTION("IF(H754="""","""",
SUM(
ARRAYFORMULA(
IF(
REGEXMATCH(
"" ""&amp;H754&amp;"" "",
"" ""&amp;Sentiment_Words!B$2:B3730&amp;"" ""
),
1,
0
)
)
)
)"),0.0)</f>
        <v>0</v>
      </c>
      <c r="L754" s="7" t="str">
        <f t="shared" si="3"/>
        <v>Other</v>
      </c>
      <c r="M754" s="7" t="str">
        <f t="shared" si="4"/>
        <v>Neutral</v>
      </c>
      <c r="N754" s="7" t="str">
        <f>IFERROR(__xludf.DUMMYFUNCTION("LOWER(
TRIM(
REGEXREPLACE(B754,""[^a-zA-Z\s]"","""")
)
)
"),"anita")</f>
        <v>anita</v>
      </c>
      <c r="O754" s="7">
        <f t="shared" si="5"/>
        <v>3</v>
      </c>
      <c r="P754" s="8" t="str">
        <f t="shared" si="6"/>
        <v>Yes</v>
      </c>
    </row>
    <row r="755">
      <c r="A755" s="4" t="s">
        <v>16</v>
      </c>
      <c r="B755" s="4" t="s">
        <v>2162</v>
      </c>
      <c r="C755" s="5">
        <v>44956.0</v>
      </c>
      <c r="D755" s="10">
        <v>44970.0</v>
      </c>
      <c r="E755" s="4" t="s">
        <v>2163</v>
      </c>
      <c r="F755" s="4" t="s">
        <v>2164</v>
      </c>
      <c r="G755" s="6" t="str">
        <f>IFERROR(__xludf.DUMMYFUNCTION("REGEXREPLACE(LOWER(F755),""[^a-z\s]"","""")"),"i can always find the products i want for my dogs at really good prices")</f>
        <v>i can always find the products i want for my dogs at really good prices</v>
      </c>
      <c r="H755" s="4" t="str">
        <f t="shared" si="1"/>
        <v>i can always find products i want my dogs at really good prices</v>
      </c>
      <c r="I755" s="6">
        <f t="shared" si="2"/>
        <v>13</v>
      </c>
      <c r="J755" s="6">
        <f>IFERROR(__xludf.DUMMYFUNCTION("IF(H755="""","""",
SUM(
ARRAYFORMULA(
IF(
REGEXMATCH(
"" ""&amp;H755&amp;"" "",
"" ""&amp;Sentiment_Words!A$2:A3730&amp;"" ""
),
1,
0
)
)
)
)"),1.0)</f>
        <v>1</v>
      </c>
      <c r="K755" s="4">
        <f>IFERROR(__xludf.DUMMYFUNCTION("IF(H755="""","""",
SUM(
ARRAYFORMULA(
IF(
REGEXMATCH(
"" ""&amp;H755&amp;"" "",
"" ""&amp;Sentiment_Words!B$2:B3730&amp;"" ""
),
1,
0
)
)
)
)"),0.0)</f>
        <v>0</v>
      </c>
      <c r="L755" s="7" t="str">
        <f t="shared" si="3"/>
        <v>Other</v>
      </c>
      <c r="M755" s="7" t="str">
        <f t="shared" si="4"/>
        <v>Positive</v>
      </c>
      <c r="N755" s="7" t="str">
        <f>IFERROR(__xludf.DUMMYFUNCTION("LOWER(
TRIM(
REGEXREPLACE(B755,""[^a-zA-Z\s]"","""")
)
)
"),"stephen beckett")</f>
        <v>stephen beckett</v>
      </c>
      <c r="O755" s="7">
        <f t="shared" si="5"/>
        <v>1</v>
      </c>
      <c r="P755" s="8" t="str">
        <f t="shared" si="6"/>
        <v>No</v>
      </c>
    </row>
    <row r="756">
      <c r="A756" s="4" t="s">
        <v>16</v>
      </c>
      <c r="B756" s="4" t="s">
        <v>2165</v>
      </c>
      <c r="C756" s="5">
        <v>44957.0</v>
      </c>
      <c r="D756" s="10">
        <v>44970.0</v>
      </c>
      <c r="E756" s="4" t="s">
        <v>2166</v>
      </c>
      <c r="F756" s="4" t="s">
        <v>2167</v>
      </c>
      <c r="G756" s="6" t="str">
        <f>IFERROR(__xludf.DUMMYFUNCTION("REGEXREPLACE(LOWER(F756),""[^a-z\s]"","""")"),"there was a delay in shipping and the order had to be split but throughout everything they kept me highly informed of everything going on best part for me the customer service representative who responded to my email was kind helpful and informative")</f>
        <v>there was a delay in shipping and the order had to be split but throughout everything they kept me highly informed of everything going on best part for me the customer service representative who responded to my email was kind helpful and informative</v>
      </c>
      <c r="H756" s="4" t="str">
        <f t="shared" si="1"/>
        <v>there was a delay in shipping order had be split but throughout everything they kept me highly informed of everything going on best part me customer service representative who responded my email was kind helpful informative</v>
      </c>
      <c r="I756" s="6">
        <f t="shared" si="2"/>
        <v>36</v>
      </c>
      <c r="J756" s="6">
        <f>IFERROR(__xludf.DUMMYFUNCTION("IF(H756="""","""",
SUM(
ARRAYFORMULA(
IF(
REGEXMATCH(
"" ""&amp;H756&amp;"" "",
"" ""&amp;Sentiment_Words!A$2:A3730&amp;"" ""
),
1,
0
)
)
)
)"),1.0)</f>
        <v>1</v>
      </c>
      <c r="K756" s="4">
        <f>IFERROR(__xludf.DUMMYFUNCTION("IF(H756="""","""",
SUM(
ARRAYFORMULA(
IF(
REGEXMATCH(
"" ""&amp;H756&amp;"" "",
"" ""&amp;Sentiment_Words!B$2:B3730&amp;"" ""
),
1,
0
)
)
)
)"),2.0)</f>
        <v>2</v>
      </c>
      <c r="L756" s="7" t="str">
        <f t="shared" si="3"/>
        <v>Customer Support</v>
      </c>
      <c r="M756" s="7" t="str">
        <f t="shared" si="4"/>
        <v>Negative</v>
      </c>
      <c r="N756" s="7" t="str">
        <f>IFERROR(__xludf.DUMMYFUNCTION("LOWER(
TRIM(
REGEXREPLACE(B756,""[^a-zA-Z\s]"","""")
)
)
"),"sara christy hanshew")</f>
        <v>sara christy hanshew</v>
      </c>
      <c r="O756" s="7">
        <f t="shared" si="5"/>
        <v>1</v>
      </c>
      <c r="P756" s="8" t="str">
        <f t="shared" si="6"/>
        <v>No</v>
      </c>
    </row>
    <row r="757">
      <c r="A757" s="4" t="s">
        <v>16</v>
      </c>
      <c r="B757" s="4" t="s">
        <v>2168</v>
      </c>
      <c r="C757" s="5">
        <v>44957.0</v>
      </c>
      <c r="D757" s="10">
        <v>44970.0</v>
      </c>
      <c r="E757" s="4" t="s">
        <v>2169</v>
      </c>
      <c r="F757" s="4" t="s">
        <v>2170</v>
      </c>
      <c r="G757" s="6" t="str">
        <f>IFERROR(__xludf.DUMMYFUNCTION("REGEXREPLACE(LOWER(F757),""[^a-z\s]"","""")"),"great and fast service and plenty of communication  you cant ask for more")</f>
        <v>great and fast service and plenty of communication  you cant ask for more</v>
      </c>
      <c r="H757" s="4" t="str">
        <f t="shared" si="1"/>
        <v>great fast service plenty of communication you cant ask more</v>
      </c>
      <c r="I757" s="6">
        <f t="shared" si="2"/>
        <v>10</v>
      </c>
      <c r="J757" s="6">
        <f>IFERROR(__xludf.DUMMYFUNCTION("IF(H757="""","""",
SUM(
ARRAYFORMULA(
IF(
REGEXMATCH(
"" ""&amp;H757&amp;"" "",
"" ""&amp;Sentiment_Words!A$2:A3730&amp;"" ""
),
1,
0
)
)
)
)"),2.0)</f>
        <v>2</v>
      </c>
      <c r="K757" s="4">
        <f>IFERROR(__xludf.DUMMYFUNCTION("IF(H757="""","""",
SUM(
ARRAYFORMULA(
IF(
REGEXMATCH(
"" ""&amp;H757&amp;"" "",
"" ""&amp;Sentiment_Words!B$2:B3730&amp;"" ""
),
1,
0
)
)
)
)"),0.0)</f>
        <v>0</v>
      </c>
      <c r="L757" s="7" t="str">
        <f t="shared" si="3"/>
        <v>Customer Support</v>
      </c>
      <c r="M757" s="7" t="str">
        <f t="shared" si="4"/>
        <v>Positive</v>
      </c>
      <c r="N757" s="7" t="str">
        <f>IFERROR(__xludf.DUMMYFUNCTION("LOWER(
TRIM(
REGEXREPLACE(B757,""[^a-zA-Z\s]"","""")
)
)
"),"olga abella")</f>
        <v>olga abella</v>
      </c>
      <c r="O757" s="7">
        <f t="shared" si="5"/>
        <v>1</v>
      </c>
      <c r="P757" s="8" t="str">
        <f t="shared" si="6"/>
        <v>No</v>
      </c>
    </row>
    <row r="758">
      <c r="A758" s="4" t="s">
        <v>16</v>
      </c>
      <c r="B758" s="4" t="s">
        <v>2171</v>
      </c>
      <c r="C758" s="9">
        <v>44958.0</v>
      </c>
      <c r="D758" s="10">
        <v>44970.0</v>
      </c>
      <c r="E758" s="4" t="s">
        <v>2172</v>
      </c>
      <c r="F758" s="4" t="s">
        <v>2173</v>
      </c>
      <c r="G758" s="6" t="str">
        <f>IFERROR(__xludf.DUMMYFUNCTION("REGEXREPLACE(LOWER(F758),""[^a-z\s]"","""")"),"i had to get a specialty cat food for our cat who has dietary restrictions i was unable to use a coupon that had been sent to me i called and immediately it was taken care of i was able to use that coupon they quickly confirmed prescription with our vet a"&amp;"nd delivered in a timely manner the only thing we did not get was a confirmation or tracking number but we were so pleased with the purchase that it wasnt a big deal thanks for a great experience")</f>
        <v>i had to get a specialty cat food for our cat who has dietary restrictions i was unable to use a coupon that had been sent to me i called and immediately it was taken care of i was able to use that coupon they quickly confirmed prescription with our vet and delivered in a timely manner the only thing we did not get was a confirmation or tracking number but we were so pleased with the purchase that it wasnt a big deal thanks for a great experience</v>
      </c>
      <c r="H758" s="4" t="str">
        <f t="shared" si="1"/>
        <v>i had get a specialty cat food our cat who has dietary restrictions i was unable use a coupon that had been sent me i called immediately it was taken care of i was able use that coupon they quickly confirmed prescription with our vet delivered in a timely manner only thing we did not get was a confirmation or tracking number but we were so pleased with purchase that it wasnt a big deal thanks a great experience</v>
      </c>
      <c r="I758" s="6">
        <f t="shared" si="2"/>
        <v>79</v>
      </c>
      <c r="J758" s="6">
        <f>IFERROR(__xludf.DUMMYFUNCTION("IF(H758="""","""",
SUM(
ARRAYFORMULA(
IF(
REGEXMATCH(
"" ""&amp;H758&amp;"" "",
"" ""&amp;Sentiment_Words!A$2:A3730&amp;"" ""
),
1,
0
)
)
)
)"),4.0)</f>
        <v>4</v>
      </c>
      <c r="K758" s="4">
        <f>IFERROR(__xludf.DUMMYFUNCTION("IF(H758="""","""",
SUM(
ARRAYFORMULA(
IF(
REGEXMATCH(
"" ""&amp;H758&amp;"" "",
"" ""&amp;Sentiment_Words!B$2:B3730&amp;"" ""
),
1,
0
)
)
)
)"),0.0)</f>
        <v>0</v>
      </c>
      <c r="L758" s="7" t="str">
        <f t="shared" si="3"/>
        <v>Other</v>
      </c>
      <c r="M758" s="7" t="str">
        <f t="shared" si="4"/>
        <v>Positive</v>
      </c>
      <c r="N758" s="7" t="str">
        <f>IFERROR(__xludf.DUMMYFUNCTION("LOWER(
TRIM(
REGEXREPLACE(B758,""[^a-zA-Z\s]"","""")
)
)
"),"shalene h")</f>
        <v>shalene h</v>
      </c>
      <c r="O758" s="7">
        <f t="shared" si="5"/>
        <v>1</v>
      </c>
      <c r="P758" s="8" t="str">
        <f t="shared" si="6"/>
        <v>No</v>
      </c>
    </row>
    <row r="759">
      <c r="A759" s="4" t="s">
        <v>16</v>
      </c>
      <c r="B759" s="4" t="s">
        <v>56</v>
      </c>
      <c r="C759" s="9">
        <v>44958.0</v>
      </c>
      <c r="D759" s="10">
        <v>44970.0</v>
      </c>
      <c r="E759" s="4" t="s">
        <v>2174</v>
      </c>
      <c r="F759" s="4" t="s">
        <v>331</v>
      </c>
      <c r="G759" s="6" t="str">
        <f>IFERROR(__xludf.DUMMYFUNCTION("REGEXREPLACE(LOWER(F759),""[^a-z\s]"","""")"),"none")</f>
        <v>none</v>
      </c>
      <c r="H759" s="4" t="str">
        <f t="shared" si="1"/>
        <v>none</v>
      </c>
      <c r="I759" s="6">
        <f t="shared" si="2"/>
        <v>1</v>
      </c>
      <c r="J759" s="6">
        <f>IFERROR(__xludf.DUMMYFUNCTION("IF(H759="""","""",
SUM(
ARRAYFORMULA(
IF(
REGEXMATCH(
"" ""&amp;H759&amp;"" "",
"" ""&amp;Sentiment_Words!A$2:A3730&amp;"" ""
),
1,
0
)
)
)
)"),0.0)</f>
        <v>0</v>
      </c>
      <c r="K759" s="4">
        <f>IFERROR(__xludf.DUMMYFUNCTION("IF(H759="""","""",
SUM(
ARRAYFORMULA(
IF(
REGEXMATCH(
"" ""&amp;H759&amp;"" "",
"" ""&amp;Sentiment_Words!B$2:B3730&amp;"" ""
),
1,
0
)
)
)
)"),0.0)</f>
        <v>0</v>
      </c>
      <c r="L759" s="7" t="str">
        <f t="shared" si="3"/>
        <v>Other</v>
      </c>
      <c r="M759" s="7" t="str">
        <f t="shared" si="4"/>
        <v>Neutral</v>
      </c>
      <c r="N759" s="7" t="str">
        <f>IFERROR(__xludf.DUMMYFUNCTION("LOWER(
TRIM(
REGEXREPLACE(B759,""[^a-zA-Z\s]"","""")
)
)
"),"customer")</f>
        <v>customer</v>
      </c>
      <c r="O759" s="7">
        <f t="shared" si="5"/>
        <v>54</v>
      </c>
      <c r="P759" s="8" t="str">
        <f t="shared" si="6"/>
        <v>Yes</v>
      </c>
    </row>
    <row r="760">
      <c r="A760" s="4" t="s">
        <v>16</v>
      </c>
      <c r="B760" s="4" t="s">
        <v>2175</v>
      </c>
      <c r="C760" s="9">
        <v>44958.0</v>
      </c>
      <c r="D760" s="10">
        <v>44970.0</v>
      </c>
      <c r="E760" s="4" t="s">
        <v>2176</v>
      </c>
      <c r="F760" s="4" t="s">
        <v>331</v>
      </c>
      <c r="G760" s="6" t="str">
        <f>IFERROR(__xludf.DUMMYFUNCTION("REGEXREPLACE(LOWER(F760),""[^a-z\s]"","""")"),"none")</f>
        <v>none</v>
      </c>
      <c r="H760" s="4" t="str">
        <f t="shared" si="1"/>
        <v>none</v>
      </c>
      <c r="I760" s="6">
        <f t="shared" si="2"/>
        <v>1</v>
      </c>
      <c r="J760" s="6">
        <f>IFERROR(__xludf.DUMMYFUNCTION("IF(H760="""","""",
SUM(
ARRAYFORMULA(
IF(
REGEXMATCH(
"" ""&amp;H760&amp;"" "",
"" ""&amp;Sentiment_Words!A$2:A3730&amp;"" ""
),
1,
0
)
)
)
)"),0.0)</f>
        <v>0</v>
      </c>
      <c r="K760" s="4">
        <f>IFERROR(__xludf.DUMMYFUNCTION("IF(H760="""","""",
SUM(
ARRAYFORMULA(
IF(
REGEXMATCH(
"" ""&amp;H760&amp;"" "",
"" ""&amp;Sentiment_Words!B$2:B3730&amp;"" ""
),
1,
0
)
)
)
)"),0.0)</f>
        <v>0</v>
      </c>
      <c r="L760" s="7" t="str">
        <f t="shared" si="3"/>
        <v>Other</v>
      </c>
      <c r="M760" s="7" t="str">
        <f t="shared" si="4"/>
        <v>Neutral</v>
      </c>
      <c r="N760" s="7" t="str">
        <f>IFERROR(__xludf.DUMMYFUNCTION("LOWER(
TRIM(
REGEXREPLACE(B760,""[^a-zA-Z\s]"","""")
)
)
"),"georgia")</f>
        <v>georgia</v>
      </c>
      <c r="O760" s="7">
        <f t="shared" si="5"/>
        <v>1</v>
      </c>
      <c r="P760" s="8" t="str">
        <f t="shared" si="6"/>
        <v>No</v>
      </c>
    </row>
    <row r="761">
      <c r="A761" s="4" t="s">
        <v>16</v>
      </c>
      <c r="B761" s="4" t="s">
        <v>2177</v>
      </c>
      <c r="C761" s="5">
        <v>44953.0</v>
      </c>
      <c r="D761" s="10">
        <v>44970.0</v>
      </c>
      <c r="E761" s="4" t="s">
        <v>2178</v>
      </c>
      <c r="F761" s="4" t="s">
        <v>331</v>
      </c>
      <c r="G761" s="6" t="str">
        <f>IFERROR(__xludf.DUMMYFUNCTION("REGEXREPLACE(LOWER(F761),""[^a-z\s]"","""")"),"none")</f>
        <v>none</v>
      </c>
      <c r="H761" s="4" t="str">
        <f t="shared" si="1"/>
        <v>none</v>
      </c>
      <c r="I761" s="6">
        <f t="shared" si="2"/>
        <v>1</v>
      </c>
      <c r="J761" s="6">
        <f>IFERROR(__xludf.DUMMYFUNCTION("IF(H761="""","""",
SUM(
ARRAYFORMULA(
IF(
REGEXMATCH(
"" ""&amp;H761&amp;"" "",
"" ""&amp;Sentiment_Words!A$2:A3730&amp;"" ""
),
1,
0
)
)
)
)"),0.0)</f>
        <v>0</v>
      </c>
      <c r="K761" s="4">
        <f>IFERROR(__xludf.DUMMYFUNCTION("IF(H761="""","""",
SUM(
ARRAYFORMULA(
IF(
REGEXMATCH(
"" ""&amp;H761&amp;"" "",
"" ""&amp;Sentiment_Words!B$2:B3730&amp;"" ""
),
1,
0
)
)
)
)"),0.0)</f>
        <v>0</v>
      </c>
      <c r="L761" s="7" t="str">
        <f t="shared" si="3"/>
        <v>Other</v>
      </c>
      <c r="M761" s="7" t="str">
        <f t="shared" si="4"/>
        <v>Neutral</v>
      </c>
      <c r="N761" s="7" t="str">
        <f>IFERROR(__xludf.DUMMYFUNCTION("LOWER(
TRIM(
REGEXREPLACE(B761,""[^a-zA-Z\s]"","""")
)
)
"),"heidi mccain")</f>
        <v>heidi mccain</v>
      </c>
      <c r="O761" s="7">
        <f t="shared" si="5"/>
        <v>1</v>
      </c>
      <c r="P761" s="8" t="str">
        <f t="shared" si="6"/>
        <v>No</v>
      </c>
    </row>
    <row r="762">
      <c r="A762" s="4" t="s">
        <v>16</v>
      </c>
      <c r="B762" s="4" t="s">
        <v>2179</v>
      </c>
      <c r="C762" s="5">
        <v>44955.0</v>
      </c>
      <c r="D762" s="10">
        <v>44969.0</v>
      </c>
      <c r="E762" s="4" t="s">
        <v>2180</v>
      </c>
      <c r="F762" s="4" t="s">
        <v>2181</v>
      </c>
      <c r="G762" s="6" t="str">
        <f>IFERROR(__xludf.DUMMYFUNCTION("REGEXREPLACE(LOWER(F762),""[^a-z\s]"","""")"),"easy to use fast and cheaper than other pet supply companies")</f>
        <v>easy to use fast and cheaper than other pet supply companies</v>
      </c>
      <c r="H762" s="4" t="str">
        <f t="shared" si="1"/>
        <v>easy use fast cheaper than other pet supply companies</v>
      </c>
      <c r="I762" s="6">
        <f t="shared" si="2"/>
        <v>9</v>
      </c>
      <c r="J762" s="6">
        <f>IFERROR(__xludf.DUMMYFUNCTION("IF(H762="""","""",
SUM(
ARRAYFORMULA(
IF(
REGEXMATCH(
"" ""&amp;H762&amp;"" "",
"" ""&amp;Sentiment_Words!A$2:A3730&amp;"" ""
),
1,
0
)
)
)
)"),3.0)</f>
        <v>3</v>
      </c>
      <c r="K762" s="4">
        <f>IFERROR(__xludf.DUMMYFUNCTION("IF(H762="""","""",
SUM(
ARRAYFORMULA(
IF(
REGEXMATCH(
"" ""&amp;H762&amp;"" "",
"" ""&amp;Sentiment_Words!B$2:B3730&amp;"" ""
),
1,
0
)
)
)
)"),0.0)</f>
        <v>0</v>
      </c>
      <c r="L762" s="7" t="str">
        <f t="shared" si="3"/>
        <v>Value &amp; Convenience</v>
      </c>
      <c r="M762" s="7" t="str">
        <f t="shared" si="4"/>
        <v>Positive</v>
      </c>
      <c r="N762" s="7" t="str">
        <f>IFERROR(__xludf.DUMMYFUNCTION("LOWER(
TRIM(
REGEXREPLACE(B762,""[^a-zA-Z\s]"","""")
)
)
"),"joy")</f>
        <v>joy</v>
      </c>
      <c r="O762" s="7">
        <f t="shared" si="5"/>
        <v>2</v>
      </c>
      <c r="P762" s="8" t="str">
        <f t="shared" si="6"/>
        <v>Yes</v>
      </c>
    </row>
    <row r="763">
      <c r="A763" s="4" t="s">
        <v>16</v>
      </c>
      <c r="B763" s="4" t="s">
        <v>2182</v>
      </c>
      <c r="C763" s="5">
        <v>44957.0</v>
      </c>
      <c r="D763" s="10">
        <v>44969.0</v>
      </c>
      <c r="E763" s="4" t="s">
        <v>2183</v>
      </c>
      <c r="F763" s="4" t="s">
        <v>2184</v>
      </c>
      <c r="G763" s="6" t="str">
        <f>IFERROR(__xludf.DUMMYFUNCTION("REGEXREPLACE(LOWER(F763),""[^a-z\s]"","""")"),"over the last year there has been significant shipping delays with my autoship order the issue seems to be primarily with the nj warehouse where they dont work night weekends etc there is a discconnect between product forecasting order entry and supply ch"&amp;"ain these operations are clearly not in sync there is no back up plan for order surges in addition the customer is never notified of shipping delays until the customer calls petflow needs to ensure that the product demands are met complete and on time the"&amp;"ir efficieny and on time delivery metrics must be terrible nothing seems to be done about it")</f>
        <v>over the last year there has been significant shipping delays with my autoship order the issue seems to be primarily with the nj warehouse where they dont work night weekends etc there is a discconnect between product forecasting order entry and supply chain these operations are clearly not in sync there is no back up plan for order surges in addition the customer is never notified of shipping delays until the customer calls petflow needs to ensure that the product demands are met complete and on time their efficieny and on time delivery metrics must be terrible nothing seems to be done about it</v>
      </c>
      <c r="H763" s="4" t="str">
        <f t="shared" si="1"/>
        <v>over last year there has been significant shipping delays with my autoship order issue seems be primarily with nj warehouse where they dont work night weekends etc there a discconnect between product forecasting order entry supply chain these operations are clearly not in sync there no back up plan order surges in addition customer never notified of shipping delays until customer calls petflow needs ensure that product demands are met complete on time their efficieny on time delivery metrics must be terrible nothing seems be done about it</v>
      </c>
      <c r="I763" s="6">
        <f t="shared" si="2"/>
        <v>88</v>
      </c>
      <c r="J763" s="6">
        <f>IFERROR(__xludf.DUMMYFUNCTION("IF(H763="""","""",
SUM(
ARRAYFORMULA(
IF(
REGEXMATCH(
"" ""&amp;H763&amp;"" "",
"" ""&amp;Sentiment_Words!A$2:A3730&amp;"" ""
),
1,
0
)
)
)
)"),1.0)</f>
        <v>1</v>
      </c>
      <c r="K763" s="4">
        <f>IFERROR(__xludf.DUMMYFUNCTION("IF(H763="""","""",
SUM(
ARRAYFORMULA(
IF(
REGEXMATCH(
"" ""&amp;H763&amp;"" "",
"" ""&amp;Sentiment_Words!B$2:B3730&amp;"" ""
),
1,
0
)
)
)
)"),2.0)</f>
        <v>2</v>
      </c>
      <c r="L763" s="7" t="str">
        <f t="shared" si="3"/>
        <v>Fulfillment &amp; Shipping</v>
      </c>
      <c r="M763" s="7" t="str">
        <f t="shared" si="4"/>
        <v>Negative</v>
      </c>
      <c r="N763" s="7" t="str">
        <f>IFERROR(__xludf.DUMMYFUNCTION("LOWER(
TRIM(
REGEXREPLACE(B763,""[^a-zA-Z\s]"","""")
)
)
"),"cb")</f>
        <v>cb</v>
      </c>
      <c r="O763" s="7">
        <f t="shared" si="5"/>
        <v>2</v>
      </c>
      <c r="P763" s="8" t="str">
        <f t="shared" si="6"/>
        <v>Yes</v>
      </c>
    </row>
    <row r="764">
      <c r="A764" s="4" t="s">
        <v>16</v>
      </c>
      <c r="B764" s="4" t="s">
        <v>2185</v>
      </c>
      <c r="C764" s="5">
        <v>44957.0</v>
      </c>
      <c r="D764" s="10">
        <v>44969.0</v>
      </c>
      <c r="E764" s="4" t="s">
        <v>2186</v>
      </c>
      <c r="F764" s="4" t="s">
        <v>2187</v>
      </c>
      <c r="G764" s="6" t="str">
        <f>IFERROR(__xludf.DUMMYFUNCTION("REGEXREPLACE(LOWER(F764),""[^a-z\s]"","""")"),"petflow always gets my order correct has great prices and i never have to worry about running out of food for my dogs and cats")</f>
        <v>petflow always gets my order correct has great prices and i never have to worry about running out of food for my dogs and cats</v>
      </c>
      <c r="H764" s="4" t="str">
        <f t="shared" si="1"/>
        <v>petflow always gets my order correct has great prices i never have worry about running out of food my dogs cats</v>
      </c>
      <c r="I764" s="6">
        <f t="shared" si="2"/>
        <v>21</v>
      </c>
      <c r="J764" s="6">
        <f>IFERROR(__xludf.DUMMYFUNCTION("IF(H764="""","""",
SUM(
ARRAYFORMULA(
IF(
REGEXMATCH(
"" ""&amp;H764&amp;"" "",
"" ""&amp;Sentiment_Words!A$2:A3730&amp;"" ""
),
1,
0
)
)
)
)"),1.0)</f>
        <v>1</v>
      </c>
      <c r="K764" s="4">
        <f>IFERROR(__xludf.DUMMYFUNCTION("IF(H764="""","""",
SUM(
ARRAYFORMULA(
IF(
REGEXMATCH(
"" ""&amp;H764&amp;"" "",
"" ""&amp;Sentiment_Words!B$2:B3730&amp;"" ""
),
1,
0
)
)
)
)"),0.0)</f>
        <v>0</v>
      </c>
      <c r="L764" s="7" t="str">
        <f t="shared" si="3"/>
        <v>Other</v>
      </c>
      <c r="M764" s="7" t="str">
        <f t="shared" si="4"/>
        <v>Positive</v>
      </c>
      <c r="N764" s="7" t="str">
        <f>IFERROR(__xludf.DUMMYFUNCTION("LOWER(
TRIM(
REGEXREPLACE(B764,""[^a-zA-Z\s]"","""")
)
)
"),"customermsmarianne")</f>
        <v>customermsmarianne</v>
      </c>
      <c r="O764" s="7">
        <f t="shared" si="5"/>
        <v>1</v>
      </c>
      <c r="P764" s="8" t="str">
        <f t="shared" si="6"/>
        <v>No</v>
      </c>
    </row>
    <row r="765">
      <c r="A765" s="4" t="s">
        <v>16</v>
      </c>
      <c r="B765" s="4" t="s">
        <v>2188</v>
      </c>
      <c r="C765" s="5">
        <v>44953.0</v>
      </c>
      <c r="D765" s="10">
        <v>44969.0</v>
      </c>
      <c r="E765" s="4" t="s">
        <v>2189</v>
      </c>
      <c r="F765" s="4" t="s">
        <v>2190</v>
      </c>
      <c r="G765" s="6" t="str">
        <f>IFERROR(__xludf.DUMMYFUNCTION("REGEXREPLACE(LOWER(F765),""[^a-z\s]"","""")"),"my cat would not eat several differert canned cat foods i tried the one for stomach and hair and she has not thrown up since you now have a returning customer thanks")</f>
        <v>my cat would not eat several differert canned cat foods i tried the one for stomach and hair and she has not thrown up since you now have a returning customer thanks</v>
      </c>
      <c r="H765" s="4" t="str">
        <f t="shared" si="1"/>
        <v>my cat would not eat several differert canned cat foods i tried one stomach hair she has not thrown up since you now have a returning customer thanks</v>
      </c>
      <c r="I765" s="6">
        <f t="shared" si="2"/>
        <v>28</v>
      </c>
      <c r="J765" s="6">
        <f>IFERROR(__xludf.DUMMYFUNCTION("IF(H765="""","""",
SUM(
ARRAYFORMULA(
IF(
REGEXMATCH(
"" ""&amp;H765&amp;"" "",
"" ""&amp;Sentiment_Words!A$2:A3730&amp;"" ""
),
1,
0
)
)
)
)"),0.0)</f>
        <v>0</v>
      </c>
      <c r="K765" s="4">
        <f>IFERROR(__xludf.DUMMYFUNCTION("IF(H765="""","""",
SUM(
ARRAYFORMULA(
IF(
REGEXMATCH(
"" ""&amp;H765&amp;"" "",
"" ""&amp;Sentiment_Words!B$2:B3730&amp;"" ""
),
1,
0
)
)
)
)"),0.0)</f>
        <v>0</v>
      </c>
      <c r="L765" s="7" t="str">
        <f t="shared" si="3"/>
        <v>Other</v>
      </c>
      <c r="M765" s="7" t="str">
        <f t="shared" si="4"/>
        <v>Neutral</v>
      </c>
      <c r="N765" s="7" t="str">
        <f>IFERROR(__xludf.DUMMYFUNCTION("LOWER(
TRIM(
REGEXREPLACE(B765,""[^a-zA-Z\s]"","""")
)
)
"),"julia johnson")</f>
        <v>julia johnson</v>
      </c>
      <c r="O765" s="7">
        <f t="shared" si="5"/>
        <v>1</v>
      </c>
      <c r="P765" s="8" t="str">
        <f t="shared" si="6"/>
        <v>No</v>
      </c>
    </row>
    <row r="766">
      <c r="A766" s="4" t="s">
        <v>16</v>
      </c>
      <c r="B766" s="4" t="s">
        <v>2191</v>
      </c>
      <c r="C766" s="5">
        <v>44956.0</v>
      </c>
      <c r="D766" s="10">
        <v>44968.0</v>
      </c>
      <c r="E766" s="4" t="s">
        <v>2192</v>
      </c>
      <c r="F766" s="4" t="s">
        <v>2193</v>
      </c>
      <c r="G766" s="6" t="str">
        <f>IFERROR(__xludf.DUMMYFUNCTION("REGEXREPLACE(LOWER(F766),""[^a-z\s]"","""")"),"shipment on time customer service great")</f>
        <v>shipment on time customer service great</v>
      </c>
      <c r="H766" s="4" t="str">
        <f t="shared" si="1"/>
        <v>shipment on time customer service great</v>
      </c>
      <c r="I766" s="6">
        <f t="shared" si="2"/>
        <v>6</v>
      </c>
      <c r="J766" s="6">
        <f>IFERROR(__xludf.DUMMYFUNCTION("IF(H766="""","""",
SUM(
ARRAYFORMULA(
IF(
REGEXMATCH(
"" ""&amp;H766&amp;"" "",
"" ""&amp;Sentiment_Words!A$2:A3730&amp;"" ""
),
1,
0
)
)
)
)"),2.0)</f>
        <v>2</v>
      </c>
      <c r="K766" s="4">
        <f>IFERROR(__xludf.DUMMYFUNCTION("IF(H766="""","""",
SUM(
ARRAYFORMULA(
IF(
REGEXMATCH(
"" ""&amp;H766&amp;"" "",
"" ""&amp;Sentiment_Words!B$2:B3730&amp;"" ""
),
1,
0
)
)
)
)"),1.0)</f>
        <v>1</v>
      </c>
      <c r="L766" s="7" t="str">
        <f t="shared" si="3"/>
        <v>Customer Support</v>
      </c>
      <c r="M766" s="7" t="str">
        <f t="shared" si="4"/>
        <v>Positive</v>
      </c>
      <c r="N766" s="7" t="str">
        <f>IFERROR(__xludf.DUMMYFUNCTION("LOWER(
TRIM(
REGEXREPLACE(B766,""[^a-zA-Z\s]"","""")
)
)
"),"gregory gigantiello")</f>
        <v>gregory gigantiello</v>
      </c>
      <c r="O766" s="7">
        <f t="shared" si="5"/>
        <v>1</v>
      </c>
      <c r="P766" s="8" t="str">
        <f t="shared" si="6"/>
        <v>No</v>
      </c>
    </row>
    <row r="767">
      <c r="A767" s="4" t="s">
        <v>16</v>
      </c>
      <c r="B767" s="4" t="s">
        <v>2194</v>
      </c>
      <c r="C767" s="5">
        <v>44956.0</v>
      </c>
      <c r="D767" s="10">
        <v>44968.0</v>
      </c>
      <c r="E767" s="4" t="s">
        <v>2195</v>
      </c>
      <c r="F767" s="4" t="s">
        <v>2196</v>
      </c>
      <c r="G767" s="6" t="str">
        <f>IFERROR(__xludf.DUMMYFUNCTION("REGEXREPLACE(LOWER(F767),""[^a-z\s]"","""")"),"not a good experience at all i choose your company because of a discount you offered me fir being a first time customer i never got the discount because your ad was misleading i was only going to get the discount if i signed up for auto refills that was n"&amp;"ot mentioned with the welcome discount
i still have not received my order which i placed over  weeks ago please keep the order and refund me my money i have already ordered from chewyand received my order  days ago")</f>
        <v>not a good experience at all i choose your company because of a discount you offered me fir being a first time customer i never got the discount because your ad was misleading i was only going to get the discount if i signed up for auto refills that was not mentioned with the welcome discount
i still have not received my order which i placed over  weeks ago please keep the order and refund me my money i have already ordered from chewyand received my order  days ago</v>
      </c>
      <c r="H767" s="4" t="str">
        <f t="shared" si="1"/>
        <v>not a good experience at all i choose your company because of a discount you offered me fir being a first time customer i never got discount because your ad was misleading i was only going get discount if i signed up auto refills that was not mentioned with welcome discount
i still have not received my order which i placed over weeks ago please keep order refund me my money i have already ordered from chewyand received my order days ago</v>
      </c>
      <c r="I767" s="6">
        <f t="shared" si="2"/>
        <v>81</v>
      </c>
      <c r="J767" s="6">
        <f>IFERROR(__xludf.DUMMYFUNCTION("IF(H767="""","""",
SUM(
ARRAYFORMULA(
IF(
REGEXMATCH(
"" ""&amp;H767&amp;"" "",
"" ""&amp;Sentiment_Words!A$2:A3730&amp;"" ""
),
1,
0
)
)
)
)"),1.0)</f>
        <v>1</v>
      </c>
      <c r="K767" s="4">
        <f>IFERROR(__xludf.DUMMYFUNCTION("IF(H767="""","""",
SUM(
ARRAYFORMULA(
IF(
REGEXMATCH(
"" ""&amp;H767&amp;"" "",
"" ""&amp;Sentiment_Words!B$2:B3730&amp;"" ""
),
1,
0
)
)
)
)"),1.0)</f>
        <v>1</v>
      </c>
      <c r="L767" s="7" t="str">
        <f t="shared" si="3"/>
        <v>Trust &amp; Experience</v>
      </c>
      <c r="M767" s="7" t="str">
        <f t="shared" si="4"/>
        <v>Neutral</v>
      </c>
      <c r="N767" s="7" t="str">
        <f>IFERROR(__xludf.DUMMYFUNCTION("LOWER(
TRIM(
REGEXREPLACE(B767,""[^a-zA-Z\s]"","""")
)
)
"),"christine robinson")</f>
        <v>christine robinson</v>
      </c>
      <c r="O767" s="7">
        <f t="shared" si="5"/>
        <v>1</v>
      </c>
      <c r="P767" s="8" t="str">
        <f t="shared" si="6"/>
        <v>No</v>
      </c>
    </row>
    <row r="768">
      <c r="A768" s="4" t="s">
        <v>16</v>
      </c>
      <c r="B768" s="4" t="s">
        <v>2197</v>
      </c>
      <c r="C768" s="5">
        <v>44956.0</v>
      </c>
      <c r="D768" s="10">
        <v>44968.0</v>
      </c>
      <c r="E768" s="4" t="s">
        <v>2198</v>
      </c>
      <c r="F768" s="4" t="s">
        <v>2199</v>
      </c>
      <c r="G768" s="6" t="str">
        <f>IFERROR(__xludf.DUMMYFUNCTION("REGEXREPLACE(LOWER(F768),""[^a-z\s]"","""")"),"fast shipping
had the food i needed happy to have a promo code as well 
great communication with shipping and delivery")</f>
        <v>fast shipping
had the food i needed happy to have a promo code as well 
great communication with shipping and delivery</v>
      </c>
      <c r="H768" s="4" t="str">
        <f t="shared" si="1"/>
        <v>fast shipping
had food i needed happy have a promo code as well 
great communication with shipping delivery</v>
      </c>
      <c r="I768" s="6">
        <f t="shared" si="2"/>
        <v>17</v>
      </c>
      <c r="J768" s="6">
        <f>IFERROR(__xludf.DUMMYFUNCTION("IF(H768="""","""",
SUM(
ARRAYFORMULA(
IF(
REGEXMATCH(
"" ""&amp;H768&amp;"" "",
"" ""&amp;Sentiment_Words!A$2:A3730&amp;"" ""
),
1,
0
)
)
)
)"),2.0)</f>
        <v>2</v>
      </c>
      <c r="K768" s="4">
        <f>IFERROR(__xludf.DUMMYFUNCTION("IF(H768="""","""",
SUM(
ARRAYFORMULA(
IF(
REGEXMATCH(
"" ""&amp;H768&amp;"" "",
"" ""&amp;Sentiment_Words!B$2:B3730&amp;"" ""
),
1,
0
)
)
)
)"),0.0)</f>
        <v>0</v>
      </c>
      <c r="L768" s="7" t="str">
        <f t="shared" si="3"/>
        <v>Account &amp; Website</v>
      </c>
      <c r="M768" s="7" t="str">
        <f t="shared" si="4"/>
        <v>Positive</v>
      </c>
      <c r="N768" s="7" t="str">
        <f>IFERROR(__xludf.DUMMYFUNCTION("LOWER(
TRIM(
REGEXREPLACE(B768,""[^a-zA-Z\s]"","""")
)
)
"),"marylou")</f>
        <v>marylou</v>
      </c>
      <c r="O768" s="7">
        <f t="shared" si="5"/>
        <v>1</v>
      </c>
      <c r="P768" s="8" t="str">
        <f t="shared" si="6"/>
        <v>No</v>
      </c>
    </row>
    <row r="769">
      <c r="A769" s="4" t="s">
        <v>16</v>
      </c>
      <c r="B769" s="4" t="s">
        <v>2200</v>
      </c>
      <c r="C769" s="5">
        <v>44956.0</v>
      </c>
      <c r="D769" s="10">
        <v>44968.0</v>
      </c>
      <c r="E769" s="4" t="s">
        <v>2201</v>
      </c>
      <c r="F769" s="4" t="s">
        <v>2202</v>
      </c>
      <c r="G769" s="6" t="str">
        <f>IFERROR(__xludf.DUMMYFUNCTION("REGEXREPLACE(LOWER(F769),""[^a-z\s]"","""")"),"the exact product i was buying locally at petsmart a prescription cat food but in a larger economy bag for about   less shipped free and on time ill be a regular customer now")</f>
        <v>the exact product i was buying locally at petsmart a prescription cat food but in a larger economy bag for about   less shipped free and on time ill be a regular customer now</v>
      </c>
      <c r="H769" s="4" t="str">
        <f t="shared" si="1"/>
        <v>exact product i was buying locally at petsmart a prescription cat food but in a larger economy bag about less shipped free on time ill be a regular customer now</v>
      </c>
      <c r="I769" s="6">
        <f t="shared" si="2"/>
        <v>30</v>
      </c>
      <c r="J769" s="6">
        <f>IFERROR(__xludf.DUMMYFUNCTION("IF(H769="""","""",
SUM(
ARRAYFORMULA(
IF(
REGEXMATCH(
"" ""&amp;H769&amp;"" "",
"" ""&amp;Sentiment_Words!A$2:A3730&amp;"" ""
),
1,
0
)
)
)
)"),1.0)</f>
        <v>1</v>
      </c>
      <c r="K769" s="4">
        <f>IFERROR(__xludf.DUMMYFUNCTION("IF(H769="""","""",
SUM(
ARRAYFORMULA(
IF(
REGEXMATCH(
"" ""&amp;H769&amp;"" "",
"" ""&amp;Sentiment_Words!B$2:B3730&amp;"" ""
),
1,
0
)
)
)
)"),0.0)</f>
        <v>0</v>
      </c>
      <c r="L769" s="7" t="str">
        <f t="shared" si="3"/>
        <v>Other</v>
      </c>
      <c r="M769" s="7" t="str">
        <f t="shared" si="4"/>
        <v>Positive</v>
      </c>
      <c r="N769" s="7" t="str">
        <f>IFERROR(__xludf.DUMMYFUNCTION("LOWER(
TRIM(
REGEXREPLACE(B769,""[^a-zA-Z\s]"","""")
)
)
"),"pam l")</f>
        <v>pam l</v>
      </c>
      <c r="O769" s="7">
        <f t="shared" si="5"/>
        <v>1</v>
      </c>
      <c r="P769" s="8" t="str">
        <f t="shared" si="6"/>
        <v>No</v>
      </c>
    </row>
    <row r="770">
      <c r="A770" s="4" t="s">
        <v>16</v>
      </c>
      <c r="B770" s="4" t="s">
        <v>2203</v>
      </c>
      <c r="C770" s="5">
        <v>44956.0</v>
      </c>
      <c r="D770" s="10">
        <v>44968.0</v>
      </c>
      <c r="E770" s="4" t="s">
        <v>2204</v>
      </c>
      <c r="F770" s="4" t="s">
        <v>2205</v>
      </c>
      <c r="G770" s="6" t="str">
        <f>IFERROR(__xludf.DUMMYFUNCTION("REGEXREPLACE(LOWER(F770),""[^a-z\s]"","""")"),"very happy with the product the way it was pack got it in the time frame i was told and whats more important my cat love it and you guys where the only place who have it in stock thank you so much")</f>
        <v>very happy with the product the way it was pack got it in the time frame i was told and whats more important my cat love it and you guys where the only place who have it in stock thank you so much</v>
      </c>
      <c r="H770" s="4" t="str">
        <f t="shared" si="1"/>
        <v>very happy with product way it was pack got it in time frame i was told whats more important my cat love it you guys where only place who have it in stock thank you so much</v>
      </c>
      <c r="I770" s="6">
        <f t="shared" si="2"/>
        <v>37</v>
      </c>
      <c r="J770" s="6">
        <f>IFERROR(__xludf.DUMMYFUNCTION("IF(H770="""","""",
SUM(
ARRAYFORMULA(
IF(
REGEXMATCH(
"" ""&amp;H770&amp;"" "",
"" ""&amp;Sentiment_Words!A$2:A3730&amp;"" ""
),
1,
0
)
)
)
)"),2.0)</f>
        <v>2</v>
      </c>
      <c r="K770" s="4">
        <f>IFERROR(__xludf.DUMMYFUNCTION("IF(H770="""","""",
SUM(
ARRAYFORMULA(
IF(
REGEXMATCH(
"" ""&amp;H770&amp;"" "",
"" ""&amp;Sentiment_Words!B$2:B3730&amp;"" ""
),
1,
0
)
)
)
)"),0.0)</f>
        <v>0</v>
      </c>
      <c r="L770" s="7" t="str">
        <f t="shared" si="3"/>
        <v>Other</v>
      </c>
      <c r="M770" s="7" t="str">
        <f t="shared" si="4"/>
        <v>Positive</v>
      </c>
      <c r="N770" s="7" t="str">
        <f>IFERROR(__xludf.DUMMYFUNCTION("LOWER(
TRIM(
REGEXREPLACE(B770,""[^a-zA-Z\s]"","""")
)
)
"),"jim damm")</f>
        <v>jim damm</v>
      </c>
      <c r="O770" s="7">
        <f t="shared" si="5"/>
        <v>1</v>
      </c>
      <c r="P770" s="8" t="str">
        <f t="shared" si="6"/>
        <v>No</v>
      </c>
    </row>
    <row r="771">
      <c r="A771" s="4" t="s">
        <v>16</v>
      </c>
      <c r="B771" s="4" t="s">
        <v>2206</v>
      </c>
      <c r="C771" s="5">
        <v>44955.0</v>
      </c>
      <c r="D771" s="10">
        <v>44968.0</v>
      </c>
      <c r="E771" s="4" t="s">
        <v>2207</v>
      </c>
      <c r="F771" s="4" t="s">
        <v>2208</v>
      </c>
      <c r="G771" s="6" t="str">
        <f>IFERROR(__xludf.DUMMYFUNCTION("REGEXREPLACE(LOWER(F771),""[^a-z\s]"","""")"),"ten business days after placing my order and being charged for the order the product has yet to ship  business days after placing the order i contacted customer service who indicated they would check with supplier and get back to me i was told it could ta"&amp;"ke up to  business days for my order to ship after  business days ive received no update and it appears my item hasnt shipped")</f>
        <v>ten business days after placing my order and being charged for the order the product has yet to ship  business days after placing the order i contacted customer service who indicated they would check with supplier and get back to me i was told it could take up to  business days for my order to ship after  business days ive received no update and it appears my item hasnt shipped</v>
      </c>
      <c r="H771" s="4" t="str">
        <f t="shared" si="1"/>
        <v>ten business days after placing my order being charged order product has yet ship business days after placing order i contacted customer service who indicated they would check with supplier get back me i was told it could take up business days my order ship after business days ive received no update it appears my item hasnt shipped</v>
      </c>
      <c r="I771" s="6">
        <f t="shared" si="2"/>
        <v>58</v>
      </c>
      <c r="J771" s="6">
        <f>IFERROR(__xludf.DUMMYFUNCTION("IF(H771="""","""",
SUM(
ARRAYFORMULA(
IF(
REGEXMATCH(
"" ""&amp;H771&amp;"" "",
"" ""&amp;Sentiment_Words!A$2:A3730&amp;"" ""
),
1,
0
)
)
)
)"),0.0)</f>
        <v>0</v>
      </c>
      <c r="K771" s="4">
        <f>IFERROR(__xludf.DUMMYFUNCTION("IF(H771="""","""",
SUM(
ARRAYFORMULA(
IF(
REGEXMATCH(
"" ""&amp;H771&amp;"" "",
"" ""&amp;Sentiment_Words!B$2:B3730&amp;"" ""
),
1,
0
)
)
)
)"),1.0)</f>
        <v>1</v>
      </c>
      <c r="L771" s="7" t="str">
        <f t="shared" si="3"/>
        <v>Customer Support</v>
      </c>
      <c r="M771" s="7" t="str">
        <f t="shared" si="4"/>
        <v>Negative</v>
      </c>
      <c r="N771" s="7" t="str">
        <f>IFERROR(__xludf.DUMMYFUNCTION("LOWER(
TRIM(
REGEXREPLACE(B771,""[^a-zA-Z\s]"","""")
)
)
"),"odalys cruz")</f>
        <v>odalys cruz</v>
      </c>
      <c r="O771" s="7">
        <f t="shared" si="5"/>
        <v>1</v>
      </c>
      <c r="P771" s="8" t="str">
        <f t="shared" si="6"/>
        <v>No</v>
      </c>
    </row>
    <row r="772">
      <c r="A772" s="4" t="s">
        <v>16</v>
      </c>
      <c r="B772" s="4" t="s">
        <v>2209</v>
      </c>
      <c r="C772" s="5">
        <v>44955.0</v>
      </c>
      <c r="D772" s="10">
        <v>44967.0</v>
      </c>
      <c r="E772" s="4" t="s">
        <v>2210</v>
      </c>
      <c r="F772" s="4" t="s">
        <v>2211</v>
      </c>
      <c r="G772" s="6" t="str">
        <f>IFERROR(__xludf.DUMMYFUNCTION("REGEXREPLACE(LOWER(F772),""[^a-z\s]"","""")"),"trouble free delivery arrived when expected as expected no complaints at all would recommend")</f>
        <v>trouble free delivery arrived when expected as expected no complaints at all would recommend</v>
      </c>
      <c r="H772" s="4" t="str">
        <f t="shared" si="1"/>
        <v>trouble free delivery arrived when expected as expected no complaints at all would recommend</v>
      </c>
      <c r="I772" s="6">
        <f t="shared" si="2"/>
        <v>14</v>
      </c>
      <c r="J772" s="6">
        <f>IFERROR(__xludf.DUMMYFUNCTION("IF(H772="""","""",
SUM(
ARRAYFORMULA(
IF(
REGEXMATCH(
"" ""&amp;H772&amp;"" "",
"" ""&amp;Sentiment_Words!A$2:A3730&amp;"" ""
),
1,
0
)
)
)
)"),0.0)</f>
        <v>0</v>
      </c>
      <c r="K772" s="4">
        <f>IFERROR(__xludf.DUMMYFUNCTION("IF(H772="""","""",
SUM(
ARRAYFORMULA(
IF(
REGEXMATCH(
"" ""&amp;H772&amp;"" "",
"" ""&amp;Sentiment_Words!B$2:B3730&amp;"" ""
),
1,
0
)
)
)
)"),0.0)</f>
        <v>0</v>
      </c>
      <c r="L772" s="7" t="str">
        <f t="shared" si="3"/>
        <v>Other</v>
      </c>
      <c r="M772" s="7" t="str">
        <f t="shared" si="4"/>
        <v>Neutral</v>
      </c>
      <c r="N772" s="7" t="str">
        <f>IFERROR(__xludf.DUMMYFUNCTION("LOWER(
TRIM(
REGEXREPLACE(B772,""[^a-zA-Z\s]"","""")
)
)
"),"jessica friedman")</f>
        <v>jessica friedman</v>
      </c>
      <c r="O772" s="7">
        <f t="shared" si="5"/>
        <v>1</v>
      </c>
      <c r="P772" s="8" t="str">
        <f t="shared" si="6"/>
        <v>No</v>
      </c>
    </row>
    <row r="773">
      <c r="A773" s="4" t="s">
        <v>16</v>
      </c>
      <c r="B773" s="4" t="s">
        <v>2212</v>
      </c>
      <c r="C773" s="5">
        <v>44955.0</v>
      </c>
      <c r="D773" s="10">
        <v>44967.0</v>
      </c>
      <c r="E773" s="4" t="s">
        <v>2213</v>
      </c>
      <c r="F773" s="4" t="s">
        <v>2214</v>
      </c>
      <c r="G773" s="6" t="str">
        <f>IFERROR(__xludf.DUMMYFUNCTION("REGEXREPLACE(LOWER(F773),""[^a-z\s]"","""")"),"tried ordering twiceboth times the orders got cancelled by their team neither time did they reach out to me to inform me they were cancelled it was just after waiting days for a shipping confirmation after getting an email they were fulfilling the order i"&amp;" had to reach out asking where my order was just to be told it got cancelled first because the payment team told them not to fulfill it even though my card on file and zip code were correcti figured whatever and replaced the order at the recommendation of"&amp;" the customer service person with a different card again verifying all the information wait for days for the shipping confirmationnothing email them and once again the order got cancelled because the fraud team this time flagged the order once again never"&amp;" was i messaged or informed there was anything wrongjust told they were fulfilling the order and then had to reach out to them to see what was going on was told i need to call in and go through a verification processcalled and was on hold so said screw th"&amp;"is way too much trouble for rat food that i can get elsewhere and not jump through  hoops for")</f>
        <v>tried ordering twiceboth times the orders got cancelled by their team neither time did they reach out to me to inform me they were cancelled it was just after waiting days for a shipping confirmation after getting an email they were fulfilling the order i had to reach out asking where my order was just to be told it got cancelled first because the payment team told them not to fulfill it even though my card on file and zip code were correcti figured whatever and replaced the order at the recommendation of the customer service person with a different card again verifying all the information wait for days for the shipping confirmationnothing email them and once again the order got cancelled because the fraud team this time flagged the order once again never was i messaged or informed there was anything wrongjust told they were fulfilling the order and then had to reach out to them to see what was going on was told i need to call in and go through a verification processcalled and was on hold so said screw this way too much trouble for rat food that i can get elsewhere and not jump through  hoops for</v>
      </c>
      <c r="H773" s="4" t="str">
        <f t="shared" si="1"/>
        <v>tried ordering twiceboth times orders got cancelled by their team neither time did they reach out me inform me they were cancelled it was just after waiting days a shipping confirmation after getting an email they were fulfilling order i had reach out asking where my order was just be told it got cancelled first because payment team told them not fulfill it even though my card on file zip code were correcti figured whatever replaced order at recommendation of customer service person with a different card again verifying all information wait days shipping confirmationnothing email them once again order got cancelled because fraud team this time flagged order once again never was i messaged or informed there was anything wrongjust told they were fulfilling order then had reach out them see what was going on was told i need call in go through a verification processcalled was on hold so said screw this way too much trouble rat food that i can get elsewhere not jump through hoops</v>
      </c>
      <c r="I773" s="6">
        <f t="shared" si="2"/>
        <v>169</v>
      </c>
      <c r="J773" s="6">
        <f>IFERROR(__xludf.DUMMYFUNCTION("IF(H773="""","""",
SUM(
ARRAYFORMULA(
IF(
REGEXMATCH(
"" ""&amp;H773&amp;"" "",
"" ""&amp;Sentiment_Words!A$2:A3730&amp;"" ""
),
1,
0
)
)
)
)"),0.0)</f>
        <v>0</v>
      </c>
      <c r="K773" s="4">
        <f>IFERROR(__xludf.DUMMYFUNCTION("IF(H773="""","""",
SUM(
ARRAYFORMULA(
IF(
REGEXMATCH(
"" ""&amp;H773&amp;"" "",
"" ""&amp;Sentiment_Words!B$2:B3730&amp;"" ""
),
1,
0
)
)
)
)"),2.0)</f>
        <v>2</v>
      </c>
      <c r="L773" s="7" t="str">
        <f t="shared" si="3"/>
        <v>Customer Support</v>
      </c>
      <c r="M773" s="7" t="str">
        <f t="shared" si="4"/>
        <v>Negative</v>
      </c>
      <c r="N773" s="7" t="str">
        <f>IFERROR(__xludf.DUMMYFUNCTION("LOWER(
TRIM(
REGEXREPLACE(B773,""[^a-zA-Z\s]"","""")
)
)
"),"tammy borell")</f>
        <v>tammy borell</v>
      </c>
      <c r="O773" s="7">
        <f t="shared" si="5"/>
        <v>1</v>
      </c>
      <c r="P773" s="8" t="str">
        <f t="shared" si="6"/>
        <v>No</v>
      </c>
    </row>
    <row r="774">
      <c r="A774" s="4" t="s">
        <v>16</v>
      </c>
      <c r="B774" s="4" t="s">
        <v>2215</v>
      </c>
      <c r="C774" s="5">
        <v>44955.0</v>
      </c>
      <c r="D774" s="10">
        <v>44967.0</v>
      </c>
      <c r="E774" s="4" t="s">
        <v>2216</v>
      </c>
      <c r="F774" s="4" t="s">
        <v>2217</v>
      </c>
      <c r="G774" s="6" t="str">
        <f>IFERROR(__xludf.DUMMYFUNCTION("REGEXREPLACE(LOWER(F774),""[^a-z\s]"","""")"),"got what i ordered and delivered quickly")</f>
        <v>got what i ordered and delivered quickly</v>
      </c>
      <c r="H774" s="4" t="str">
        <f t="shared" si="1"/>
        <v>got what i ordered delivered quickly</v>
      </c>
      <c r="I774" s="6">
        <f t="shared" si="2"/>
        <v>6</v>
      </c>
      <c r="J774" s="6">
        <f>IFERROR(__xludf.DUMMYFUNCTION("IF(H774="""","""",
SUM(
ARRAYFORMULA(
IF(
REGEXMATCH(
"" ""&amp;H774&amp;"" "",
"" ""&amp;Sentiment_Words!A$2:A3730&amp;"" ""
),
1,
0
)
)
)
)"),1.0)</f>
        <v>1</v>
      </c>
      <c r="K774" s="4">
        <f>IFERROR(__xludf.DUMMYFUNCTION("IF(H774="""","""",
SUM(
ARRAYFORMULA(
IF(
REGEXMATCH(
"" ""&amp;H774&amp;"" "",
"" ""&amp;Sentiment_Words!B$2:B3730&amp;"" ""
),
1,
0
)
)
)
)"),0.0)</f>
        <v>0</v>
      </c>
      <c r="L774" s="7" t="str">
        <f t="shared" si="3"/>
        <v>Other</v>
      </c>
      <c r="M774" s="7" t="str">
        <f t="shared" si="4"/>
        <v>Positive</v>
      </c>
      <c r="N774" s="7" t="str">
        <f>IFERROR(__xludf.DUMMYFUNCTION("LOWER(
TRIM(
REGEXREPLACE(B774,""[^a-zA-Z\s]"","""")
)
)
"),"nk")</f>
        <v>nk</v>
      </c>
      <c r="O774" s="7">
        <f t="shared" si="5"/>
        <v>1</v>
      </c>
      <c r="P774" s="8" t="str">
        <f t="shared" si="6"/>
        <v>No</v>
      </c>
    </row>
    <row r="775">
      <c r="A775" s="4" t="s">
        <v>16</v>
      </c>
      <c r="B775" s="4" t="s">
        <v>2218</v>
      </c>
      <c r="C775" s="5">
        <v>44954.0</v>
      </c>
      <c r="D775" s="10">
        <v>44967.0</v>
      </c>
      <c r="E775" s="4" t="s">
        <v>2219</v>
      </c>
      <c r="F775" s="4" t="s">
        <v>2220</v>
      </c>
      <c r="G775" s="6" t="str">
        <f>IFERROR(__xludf.DUMMYFUNCTION("REGEXREPLACE(LOWER(F775),""[^a-z\s]"","""")"),"although i had never purchased from petflow before they delivered quick and on time and the product was exactly as advertised")</f>
        <v>although i had never purchased from petflow before they delivered quick and on time and the product was exactly as advertised</v>
      </c>
      <c r="H775" s="4" t="str">
        <f t="shared" si="1"/>
        <v>although i had never purchased from petflow before they delivered quick on time product was exactly as advertised</v>
      </c>
      <c r="I775" s="6">
        <f t="shared" si="2"/>
        <v>18</v>
      </c>
      <c r="J775" s="6">
        <f>IFERROR(__xludf.DUMMYFUNCTION("IF(H775="""","""",
SUM(
ARRAYFORMULA(
IF(
REGEXMATCH(
"" ""&amp;H775&amp;"" "",
"" ""&amp;Sentiment_Words!A$2:A3730&amp;"" ""
),
1,
0
)
)
)
)"),2.0)</f>
        <v>2</v>
      </c>
      <c r="K775" s="4">
        <f>IFERROR(__xludf.DUMMYFUNCTION("IF(H775="""","""",
SUM(
ARRAYFORMULA(
IF(
REGEXMATCH(
"" ""&amp;H775&amp;"" "",
"" ""&amp;Sentiment_Words!B$2:B3730&amp;"" ""
),
1,
0
)
)
)
)"),0.0)</f>
        <v>0</v>
      </c>
      <c r="L775" s="7" t="str">
        <f t="shared" si="3"/>
        <v>Other</v>
      </c>
      <c r="M775" s="7" t="str">
        <f t="shared" si="4"/>
        <v>Positive</v>
      </c>
      <c r="N775" s="7" t="str">
        <f>IFERROR(__xludf.DUMMYFUNCTION("LOWER(
TRIM(
REGEXREPLACE(B775,""[^a-zA-Z\s]"","""")
)
)
"),"debbie lattin")</f>
        <v>debbie lattin</v>
      </c>
      <c r="O775" s="7">
        <f t="shared" si="5"/>
        <v>1</v>
      </c>
      <c r="P775" s="8" t="str">
        <f t="shared" si="6"/>
        <v>No</v>
      </c>
    </row>
    <row r="776">
      <c r="A776" s="4" t="s">
        <v>16</v>
      </c>
      <c r="B776" s="4" t="s">
        <v>2221</v>
      </c>
      <c r="C776" s="5">
        <v>44954.0</v>
      </c>
      <c r="D776" s="10">
        <v>44967.0</v>
      </c>
      <c r="E776" s="4" t="s">
        <v>2222</v>
      </c>
      <c r="F776" s="4" t="s">
        <v>2223</v>
      </c>
      <c r="G776" s="6" t="str">
        <f>IFERROR(__xludf.DUMMYFUNCTION("REGEXREPLACE(LOWER(F776),""[^a-z\s]"","""")"),"had dog food i used processed my order quickly and i received it quickly
only problem i had was box that it was shipped in was totally broken luckily dog food wasnt")</f>
        <v>had dog food i used processed my order quickly and i received it quickly
only problem i had was box that it was shipped in was totally broken luckily dog food wasnt</v>
      </c>
      <c r="H776" s="4" t="str">
        <f t="shared" si="1"/>
        <v>had dog food i used processed my order quickly i received it quickly
only problem i had was box that it was shipped in was totally broken luckily dog food wasnt</v>
      </c>
      <c r="I776" s="6">
        <f t="shared" si="2"/>
        <v>30</v>
      </c>
      <c r="J776" s="6">
        <f>IFERROR(__xludf.DUMMYFUNCTION("IF(H776="""","""",
SUM(
ARRAYFORMULA(
IF(
REGEXMATCH(
"" ""&amp;H776&amp;"" "",
"" ""&amp;Sentiment_Words!A$2:A3730&amp;"" ""
),
1,
0
)
)
)
)"),0.0)</f>
        <v>0</v>
      </c>
      <c r="K776" s="4">
        <f>IFERROR(__xludf.DUMMYFUNCTION("IF(H776="""","""",
SUM(
ARRAYFORMULA(
IF(
REGEXMATCH(
"" ""&amp;H776&amp;"" "",
"" ""&amp;Sentiment_Words!B$2:B3730&amp;"" ""
),
1,
0
)
)
)
)"),1.0)</f>
        <v>1</v>
      </c>
      <c r="L776" s="7" t="str">
        <f t="shared" si="3"/>
        <v>Other</v>
      </c>
      <c r="M776" s="7" t="str">
        <f t="shared" si="4"/>
        <v>Negative</v>
      </c>
      <c r="N776" s="7" t="str">
        <f>IFERROR(__xludf.DUMMYFUNCTION("LOWER(
TRIM(
REGEXREPLACE(B776,""[^a-zA-Z\s]"","""")
)
)
"),"matthew")</f>
        <v>matthew</v>
      </c>
      <c r="O776" s="7">
        <f t="shared" si="5"/>
        <v>1</v>
      </c>
      <c r="P776" s="8" t="str">
        <f t="shared" si="6"/>
        <v>No</v>
      </c>
    </row>
    <row r="777">
      <c r="A777" s="4" t="s">
        <v>16</v>
      </c>
      <c r="B777" s="4" t="s">
        <v>455</v>
      </c>
      <c r="C777" s="9">
        <v>44958.0</v>
      </c>
      <c r="D777" s="10">
        <v>44966.0</v>
      </c>
      <c r="E777" s="4" t="s">
        <v>2224</v>
      </c>
      <c r="F777" s="4" t="s">
        <v>2225</v>
      </c>
      <c r="G777" s="6" t="str">
        <f>IFERROR(__xludf.DUMMYFUNCTION("REGEXREPLACE(LOWER(F777),""[^a-z\s]"","""")"),"good selection of products pricing was very competitive and shipping was super fast")</f>
        <v>good selection of products pricing was very competitive and shipping was super fast</v>
      </c>
      <c r="H777" s="4" t="str">
        <f t="shared" si="1"/>
        <v>good selection of products pricing was very competitive shipping was super fast</v>
      </c>
      <c r="I777" s="6">
        <f t="shared" si="2"/>
        <v>12</v>
      </c>
      <c r="J777" s="6">
        <f>IFERROR(__xludf.DUMMYFUNCTION("IF(H777="""","""",
SUM(
ARRAYFORMULA(
IF(
REGEXMATCH(
"" ""&amp;H777&amp;"" "",
"" ""&amp;Sentiment_Words!A$2:A3730&amp;"" ""
),
1,
0
)
)
)
)"),2.0)</f>
        <v>2</v>
      </c>
      <c r="K777" s="4">
        <f>IFERROR(__xludf.DUMMYFUNCTION("IF(H777="""","""",
SUM(
ARRAYFORMULA(
IF(
REGEXMATCH(
"" ""&amp;H777&amp;"" "",
"" ""&amp;Sentiment_Words!B$2:B3730&amp;"" ""
),
1,
0
)
)
)
)"),0.0)</f>
        <v>0</v>
      </c>
      <c r="L777" s="7" t="str">
        <f t="shared" si="3"/>
        <v>Other</v>
      </c>
      <c r="M777" s="7" t="str">
        <f t="shared" si="4"/>
        <v>Positive</v>
      </c>
      <c r="N777" s="7" t="str">
        <f>IFERROR(__xludf.DUMMYFUNCTION("LOWER(
TRIM(
REGEXREPLACE(B777,""[^a-zA-Z\s]"","""")
)
)
"),"anonymous")</f>
        <v>anonymous</v>
      </c>
      <c r="O777" s="7">
        <f t="shared" si="5"/>
        <v>9</v>
      </c>
      <c r="P777" s="8" t="str">
        <f t="shared" si="6"/>
        <v>Yes</v>
      </c>
    </row>
    <row r="778">
      <c r="A778" s="4" t="s">
        <v>16</v>
      </c>
      <c r="B778" s="4" t="s">
        <v>2226</v>
      </c>
      <c r="C778" s="9">
        <v>44965.0</v>
      </c>
      <c r="D778" s="10">
        <v>44966.0</v>
      </c>
      <c r="E778" s="4" t="s">
        <v>2227</v>
      </c>
      <c r="F778" s="4" t="s">
        <v>2228</v>
      </c>
      <c r="G778" s="6" t="str">
        <f>IFERROR(__xludf.DUMMYFUNCTION("REGEXREPLACE(LOWER(F778),""[^a-z\s]"","""")"),"good service and competitive prices products arrive in good condition and in a timely manner")</f>
        <v>good service and competitive prices products arrive in good condition and in a timely manner</v>
      </c>
      <c r="H778" s="4" t="str">
        <f t="shared" si="1"/>
        <v>good service competitive prices products arrive in good condition in a timely manner</v>
      </c>
      <c r="I778" s="6">
        <f t="shared" si="2"/>
        <v>13</v>
      </c>
      <c r="J778" s="6">
        <f>IFERROR(__xludf.DUMMYFUNCTION("IF(H778="""","""",
SUM(
ARRAYFORMULA(
IF(
REGEXMATCH(
"" ""&amp;H778&amp;"" "",
"" ""&amp;Sentiment_Words!A$2:A3730&amp;"" ""
),
1,
0
)
)
)
)"),1.0)</f>
        <v>1</v>
      </c>
      <c r="K778" s="4">
        <f>IFERROR(__xludf.DUMMYFUNCTION("IF(H778="""","""",
SUM(
ARRAYFORMULA(
IF(
REGEXMATCH(
"" ""&amp;H778&amp;"" "",
"" ""&amp;Sentiment_Words!B$2:B3730&amp;"" ""
),
1,
0
)
)
)
)"),0.0)</f>
        <v>0</v>
      </c>
      <c r="L778" s="7" t="str">
        <f t="shared" si="3"/>
        <v>Customer Support</v>
      </c>
      <c r="M778" s="7" t="str">
        <f t="shared" si="4"/>
        <v>Positive</v>
      </c>
      <c r="N778" s="7" t="str">
        <f>IFERROR(__xludf.DUMMYFUNCTION("LOWER(
TRIM(
REGEXREPLACE(B778,""[^a-zA-Z\s]"","""")
)
)
"),"et")</f>
        <v>et</v>
      </c>
      <c r="O778" s="7">
        <f t="shared" si="5"/>
        <v>1</v>
      </c>
      <c r="P778" s="8" t="str">
        <f t="shared" si="6"/>
        <v>No</v>
      </c>
    </row>
    <row r="779">
      <c r="A779" s="4" t="s">
        <v>16</v>
      </c>
      <c r="B779" s="4" t="s">
        <v>2229</v>
      </c>
      <c r="C779" s="5">
        <v>44953.0</v>
      </c>
      <c r="D779" s="10">
        <v>44966.0</v>
      </c>
      <c r="E779" s="4" t="s">
        <v>2230</v>
      </c>
      <c r="F779" s="4" t="s">
        <v>2231</v>
      </c>
      <c r="G779" s="6" t="str">
        <f>IFERROR(__xludf.DUMMYFUNCTION("REGEXREPLACE(LOWER(F779),""[^a-z\s]"","""")"),"they went above and beyond the call to ensure satisfaction after the carrier had lost a shipment i highly recommend petflow to anyone looking for quality goods at a fair price")</f>
        <v>they went above and beyond the call to ensure satisfaction after the carrier had lost a shipment i highly recommend petflow to anyone looking for quality goods at a fair price</v>
      </c>
      <c r="H779" s="4" t="str">
        <f t="shared" si="1"/>
        <v>they went above beyond call ensure satisfaction after carrier had lost a shipment i highly recommend petflow anyone looking quality goods at a fair price</v>
      </c>
      <c r="I779" s="6">
        <f t="shared" si="2"/>
        <v>25</v>
      </c>
      <c r="J779" s="6">
        <f>IFERROR(__xludf.DUMMYFUNCTION("IF(H779="""","""",
SUM(
ARRAYFORMULA(
IF(
REGEXMATCH(
"" ""&amp;H779&amp;"" "",
"" ""&amp;Sentiment_Words!A$2:A3730&amp;"" ""
),
1,
0
)
)
)
)"),1.0)</f>
        <v>1</v>
      </c>
      <c r="K779" s="4">
        <f>IFERROR(__xludf.DUMMYFUNCTION("IF(H779="""","""",
SUM(
ARRAYFORMULA(
IF(
REGEXMATCH(
"" ""&amp;H779&amp;"" "",
"" ""&amp;Sentiment_Words!B$2:B3730&amp;"" ""
),
1,
0
)
)
)
)"),0.0)</f>
        <v>0</v>
      </c>
      <c r="L779" s="7" t="str">
        <f t="shared" si="3"/>
        <v>Other</v>
      </c>
      <c r="M779" s="7" t="str">
        <f t="shared" si="4"/>
        <v>Positive</v>
      </c>
      <c r="N779" s="7" t="str">
        <f>IFERROR(__xludf.DUMMYFUNCTION("LOWER(
TRIM(
REGEXREPLACE(B779,""[^a-zA-Z\s]"","""")
)
)
"),"steve w")</f>
        <v>steve w</v>
      </c>
      <c r="O779" s="7">
        <f t="shared" si="5"/>
        <v>1</v>
      </c>
      <c r="P779" s="8" t="str">
        <f t="shared" si="6"/>
        <v>No</v>
      </c>
    </row>
    <row r="780">
      <c r="A780" s="4" t="s">
        <v>16</v>
      </c>
      <c r="B780" s="4" t="s">
        <v>1468</v>
      </c>
      <c r="C780" s="9">
        <v>44961.0</v>
      </c>
      <c r="D780" s="10">
        <v>44965.0</v>
      </c>
      <c r="E780" s="4" t="s">
        <v>2232</v>
      </c>
      <c r="F780" s="4" t="s">
        <v>331</v>
      </c>
      <c r="G780" s="6" t="str">
        <f>IFERROR(__xludf.DUMMYFUNCTION("REGEXREPLACE(LOWER(F780),""[^a-z\s]"","""")"),"none")</f>
        <v>none</v>
      </c>
      <c r="H780" s="4" t="str">
        <f t="shared" si="1"/>
        <v>none</v>
      </c>
      <c r="I780" s="6">
        <f t="shared" si="2"/>
        <v>1</v>
      </c>
      <c r="J780" s="6">
        <f>IFERROR(__xludf.DUMMYFUNCTION("IF(H780="""","""",
SUM(
ARRAYFORMULA(
IF(
REGEXMATCH(
"" ""&amp;H780&amp;"" "",
"" ""&amp;Sentiment_Words!A$2:A3730&amp;"" ""
),
1,
0
)
)
)
)"),0.0)</f>
        <v>0</v>
      </c>
      <c r="K780" s="4">
        <f>IFERROR(__xludf.DUMMYFUNCTION("IF(H780="""","""",
SUM(
ARRAYFORMULA(
IF(
REGEXMATCH(
"" ""&amp;H780&amp;"" "",
"" ""&amp;Sentiment_Words!B$2:B3730&amp;"" ""
),
1,
0
)
)
)
)"),0.0)</f>
        <v>0</v>
      </c>
      <c r="L780" s="7" t="str">
        <f t="shared" si="3"/>
        <v>Other</v>
      </c>
      <c r="M780" s="7" t="str">
        <f t="shared" si="4"/>
        <v>Neutral</v>
      </c>
      <c r="N780" s="7" t="str">
        <f>IFERROR(__xludf.DUMMYFUNCTION("LOWER(
TRIM(
REGEXREPLACE(B780,""[^a-zA-Z\s]"","""")
)
)
"),"john")</f>
        <v>john</v>
      </c>
      <c r="O780" s="7">
        <f t="shared" si="5"/>
        <v>7</v>
      </c>
      <c r="P780" s="8" t="str">
        <f t="shared" si="6"/>
        <v>Yes</v>
      </c>
    </row>
    <row r="781">
      <c r="A781" s="4" t="s">
        <v>16</v>
      </c>
      <c r="B781" s="4" t="s">
        <v>2233</v>
      </c>
      <c r="C781" s="5">
        <v>44951.0</v>
      </c>
      <c r="D781" s="10">
        <v>44965.0</v>
      </c>
      <c r="E781" s="4" t="s">
        <v>2234</v>
      </c>
      <c r="F781" s="4" t="s">
        <v>331</v>
      </c>
      <c r="G781" s="6" t="str">
        <f>IFERROR(__xludf.DUMMYFUNCTION("REGEXREPLACE(LOWER(F781),""[^a-z\s]"","""")"),"none")</f>
        <v>none</v>
      </c>
      <c r="H781" s="4" t="str">
        <f t="shared" si="1"/>
        <v>none</v>
      </c>
      <c r="I781" s="6">
        <f t="shared" si="2"/>
        <v>1</v>
      </c>
      <c r="J781" s="6">
        <f>IFERROR(__xludf.DUMMYFUNCTION("IF(H781="""","""",
SUM(
ARRAYFORMULA(
IF(
REGEXMATCH(
"" ""&amp;H781&amp;"" "",
"" ""&amp;Sentiment_Words!A$2:A3730&amp;"" ""
),
1,
0
)
)
)
)"),0.0)</f>
        <v>0</v>
      </c>
      <c r="K781" s="4">
        <f>IFERROR(__xludf.DUMMYFUNCTION("IF(H781="""","""",
SUM(
ARRAYFORMULA(
IF(
REGEXMATCH(
"" ""&amp;H781&amp;"" "",
"" ""&amp;Sentiment_Words!B$2:B3730&amp;"" ""
),
1,
0
)
)
)
)"),0.0)</f>
        <v>0</v>
      </c>
      <c r="L781" s="7" t="str">
        <f t="shared" si="3"/>
        <v>Other</v>
      </c>
      <c r="M781" s="7" t="str">
        <f t="shared" si="4"/>
        <v>Neutral</v>
      </c>
      <c r="N781" s="7" t="str">
        <f>IFERROR(__xludf.DUMMYFUNCTION("LOWER(
TRIM(
REGEXREPLACE(B781,""[^a-zA-Z\s]"","""")
)
)
"),"scott bilot")</f>
        <v>scott bilot</v>
      </c>
      <c r="O781" s="7">
        <f t="shared" si="5"/>
        <v>1</v>
      </c>
      <c r="P781" s="8" t="str">
        <f t="shared" si="6"/>
        <v>No</v>
      </c>
    </row>
    <row r="782">
      <c r="A782" s="4" t="s">
        <v>16</v>
      </c>
      <c r="B782" s="4" t="s">
        <v>2235</v>
      </c>
      <c r="C782" s="9">
        <v>44958.0</v>
      </c>
      <c r="D782" s="10">
        <v>44965.0</v>
      </c>
      <c r="E782" s="4" t="s">
        <v>2236</v>
      </c>
      <c r="F782" s="4" t="s">
        <v>2237</v>
      </c>
      <c r="G782" s="6" t="str">
        <f>IFERROR(__xludf.DUMMYFUNCTION("REGEXREPLACE(LOWER(F782),""[^a-z\s]"","""")"),"could not buy cat food without a prescriptionlike what the hell is that about its all so veterinarians can get paid its total b absolutely uncalled for")</f>
        <v>could not buy cat food without a prescriptionlike what the hell is that about its all so veterinarians can get paid its total b absolutely uncalled for</v>
      </c>
      <c r="H782" s="4" t="str">
        <f t="shared" si="1"/>
        <v>could not buy cat food without a prescriptionlike what hell that about its all so veterinarians can get paid its total b absolutely uncalled</v>
      </c>
      <c r="I782" s="6">
        <f t="shared" si="2"/>
        <v>24</v>
      </c>
      <c r="J782" s="6">
        <f>IFERROR(__xludf.DUMMYFUNCTION("IF(H782="""","""",
SUM(
ARRAYFORMULA(
IF(
REGEXMATCH(
"" ""&amp;H782&amp;"" "",
"" ""&amp;Sentiment_Words!A$2:A3730&amp;"" ""
),
1,
0
)
)
)
)"),0.0)</f>
        <v>0</v>
      </c>
      <c r="K782" s="4">
        <f>IFERROR(__xludf.DUMMYFUNCTION("IF(H782="""","""",
SUM(
ARRAYFORMULA(
IF(
REGEXMATCH(
"" ""&amp;H782&amp;"" "",
"" ""&amp;Sentiment_Words!B$2:B3730&amp;"" ""
),
1,
0
)
)
)
)"),0.0)</f>
        <v>0</v>
      </c>
      <c r="L782" s="7" t="str">
        <f t="shared" si="3"/>
        <v>Other</v>
      </c>
      <c r="M782" s="7" t="str">
        <f t="shared" si="4"/>
        <v>Neutral</v>
      </c>
      <c r="N782" s="7" t="str">
        <f>IFERROR(__xludf.DUMMYFUNCTION("LOWER(
TRIM(
REGEXREPLACE(B782,""[^a-zA-Z\s]"","""")
)
)
"),"steven harrington")</f>
        <v>steven harrington</v>
      </c>
      <c r="O782" s="7">
        <f t="shared" si="5"/>
        <v>1</v>
      </c>
      <c r="P782" s="8" t="str">
        <f t="shared" si="6"/>
        <v>No</v>
      </c>
    </row>
    <row r="783">
      <c r="A783" s="4" t="s">
        <v>16</v>
      </c>
      <c r="B783" s="4" t="s">
        <v>2238</v>
      </c>
      <c r="C783" s="5">
        <v>44953.0</v>
      </c>
      <c r="D783" s="10">
        <v>44965.0</v>
      </c>
      <c r="E783" s="4" t="s">
        <v>2239</v>
      </c>
      <c r="F783" s="4" t="s">
        <v>2240</v>
      </c>
      <c r="G783" s="6" t="str">
        <f>IFERROR(__xludf.DUMMYFUNCTION("REGEXREPLACE(LOWER(F783),""[^a-z\s]"","""")"),"availability
good price
easy scheduling")</f>
        <v>availability
good price
easy scheduling</v>
      </c>
      <c r="H783" s="4" t="str">
        <f t="shared" si="1"/>
        <v>availability
good price
easy scheduling</v>
      </c>
      <c r="I783" s="6">
        <f t="shared" si="2"/>
        <v>3</v>
      </c>
      <c r="J783" s="6">
        <f>IFERROR(__xludf.DUMMYFUNCTION("IF(H783="""","""",
SUM(
ARRAYFORMULA(
IF(
REGEXMATCH(
"" ""&amp;H783&amp;"" "",
"" ""&amp;Sentiment_Words!A$2:A3730&amp;"" ""
),
1,
0
)
)
)
)"),0.0)</f>
        <v>0</v>
      </c>
      <c r="K783" s="4">
        <f>IFERROR(__xludf.DUMMYFUNCTION("IF(H783="""","""",
SUM(
ARRAYFORMULA(
IF(
REGEXMATCH(
"" ""&amp;H783&amp;"" "",
"" ""&amp;Sentiment_Words!B$2:B3730&amp;"" ""
),
1,
0
)
)
)
)"),0.0)</f>
        <v>0</v>
      </c>
      <c r="L783" s="7" t="str">
        <f t="shared" si="3"/>
        <v>Other</v>
      </c>
      <c r="M783" s="7" t="str">
        <f t="shared" si="4"/>
        <v>Neutral</v>
      </c>
      <c r="N783" s="7" t="str">
        <f>IFERROR(__xludf.DUMMYFUNCTION("LOWER(
TRIM(
REGEXREPLACE(B783,""[^a-zA-Z\s]"","""")
)
)
"),"roxanne m kitzman")</f>
        <v>roxanne m kitzman</v>
      </c>
      <c r="O783" s="7">
        <f t="shared" si="5"/>
        <v>1</v>
      </c>
      <c r="P783" s="8" t="str">
        <f t="shared" si="6"/>
        <v>No</v>
      </c>
    </row>
    <row r="784">
      <c r="A784" s="4" t="s">
        <v>16</v>
      </c>
      <c r="B784" s="4" t="s">
        <v>2241</v>
      </c>
      <c r="C784" s="9">
        <v>44959.0</v>
      </c>
      <c r="D784" s="10">
        <v>44965.0</v>
      </c>
      <c r="E784" s="4" t="s">
        <v>2242</v>
      </c>
      <c r="F784" s="4" t="s">
        <v>2243</v>
      </c>
      <c r="G784" s="6" t="str">
        <f>IFERROR(__xludf.DUMMYFUNCTION("REGEXREPLACE(LOWER(F784),""[^a-z\s]"","""")"),"good products quality excellent customer service")</f>
        <v>good products quality excellent customer service</v>
      </c>
      <c r="H784" s="4" t="str">
        <f t="shared" si="1"/>
        <v>good products quality excellent customer service</v>
      </c>
      <c r="I784" s="6">
        <f t="shared" si="2"/>
        <v>6</v>
      </c>
      <c r="J784" s="6">
        <f>IFERROR(__xludf.DUMMYFUNCTION("IF(H784="""","""",
SUM(
ARRAYFORMULA(
IF(
REGEXMATCH(
"" ""&amp;H784&amp;"" "",
"" ""&amp;Sentiment_Words!A$2:A3730&amp;"" ""
),
1,
0
)
)
)
)"),1.0)</f>
        <v>1</v>
      </c>
      <c r="K784" s="4">
        <f>IFERROR(__xludf.DUMMYFUNCTION("IF(H784="""","""",
SUM(
ARRAYFORMULA(
IF(
REGEXMATCH(
"" ""&amp;H784&amp;"" "",
"" ""&amp;Sentiment_Words!B$2:B3730&amp;"" ""
),
1,
0
)
)
)
)"),1.0)</f>
        <v>1</v>
      </c>
      <c r="L784" s="7" t="str">
        <f t="shared" si="3"/>
        <v>Customer Support</v>
      </c>
      <c r="M784" s="7" t="str">
        <f t="shared" si="4"/>
        <v>Neutral</v>
      </c>
      <c r="N784" s="7" t="str">
        <f>IFERROR(__xludf.DUMMYFUNCTION("LOWER(
TRIM(
REGEXREPLACE(B784,""[^a-zA-Z\s]"","""")
)
)
"),"diana l")</f>
        <v>diana l</v>
      </c>
      <c r="O784" s="7">
        <f t="shared" si="5"/>
        <v>1</v>
      </c>
      <c r="P784" s="8" t="str">
        <f t="shared" si="6"/>
        <v>No</v>
      </c>
    </row>
    <row r="785">
      <c r="A785" s="4" t="s">
        <v>16</v>
      </c>
      <c r="B785" s="4" t="s">
        <v>2244</v>
      </c>
      <c r="C785" s="9">
        <v>44963.0</v>
      </c>
      <c r="D785" s="10">
        <v>44965.0</v>
      </c>
      <c r="E785" s="4" t="s">
        <v>2245</v>
      </c>
      <c r="F785" s="4" t="s">
        <v>2246</v>
      </c>
      <c r="G785" s="6" t="str">
        <f>IFERROR(__xludf.DUMMYFUNCTION("REGEXREPLACE(LOWER(F785),""[^a-z\s]"","""")"),"ordering the needed vet diet for my dog has been easy more communication regarding the order and when it is shipped and will be delivered would make it a perfect transaction")</f>
        <v>ordering the needed vet diet for my dog has been easy more communication regarding the order and when it is shipped and will be delivered would make it a perfect transaction</v>
      </c>
      <c r="H785" s="4" t="str">
        <f t="shared" si="1"/>
        <v>ordering needed vet diet my dog has been easy more communication regarding order when it shipped will be delivered would make it a perfect transaction</v>
      </c>
      <c r="I785" s="6">
        <f t="shared" si="2"/>
        <v>25</v>
      </c>
      <c r="J785" s="6">
        <f>IFERROR(__xludf.DUMMYFUNCTION("IF(H785="""","""",
SUM(
ARRAYFORMULA(
IF(
REGEXMATCH(
"" ""&amp;H785&amp;"" "",
"" ""&amp;Sentiment_Words!A$2:A3730&amp;"" ""
),
1,
0
)
)
)
)"),2.0)</f>
        <v>2</v>
      </c>
      <c r="K785" s="4">
        <f>IFERROR(__xludf.DUMMYFUNCTION("IF(H785="""","""",
SUM(
ARRAYFORMULA(
IF(
REGEXMATCH(
"" ""&amp;H785&amp;"" "",
"" ""&amp;Sentiment_Words!B$2:B3730&amp;"" ""
),
1,
0
)
)
)
)"),0.0)</f>
        <v>0</v>
      </c>
      <c r="L785" s="7" t="str">
        <f t="shared" si="3"/>
        <v>Other</v>
      </c>
      <c r="M785" s="7" t="str">
        <f t="shared" si="4"/>
        <v>Positive</v>
      </c>
      <c r="N785" s="7" t="str">
        <f>IFERROR(__xludf.DUMMYFUNCTION("LOWER(
TRIM(
REGEXREPLACE(B785,""[^a-zA-Z\s]"","""")
)
)
"),"michael")</f>
        <v>michael</v>
      </c>
      <c r="O785" s="7">
        <f t="shared" si="5"/>
        <v>8</v>
      </c>
      <c r="P785" s="8" t="str">
        <f t="shared" si="6"/>
        <v>Yes</v>
      </c>
    </row>
    <row r="786">
      <c r="A786" s="4" t="s">
        <v>16</v>
      </c>
      <c r="B786" s="4" t="s">
        <v>2247</v>
      </c>
      <c r="C786" s="5">
        <v>44957.0</v>
      </c>
      <c r="D786" s="10">
        <v>44965.0</v>
      </c>
      <c r="E786" s="4" t="s">
        <v>2248</v>
      </c>
      <c r="F786" s="4" t="s">
        <v>2249</v>
      </c>
      <c r="G786" s="6" t="str">
        <f>IFERROR(__xludf.DUMMYFUNCTION("REGEXREPLACE(LOWER(F786),""[^a-z\s]"","""")"),"you falsely advertised an item you advertised the item was in stock then when it was supposed to ship i receive an email stating was out of stock but on your website it still to this day states it is in stock now i cant cancel the auto ship i can only del"&amp;"ay it and im unable to remove my account with my credit card information on it")</f>
        <v>you falsely advertised an item you advertised the item was in stock then when it was supposed to ship i receive an email stating was out of stock but on your website it still to this day states it is in stock now i cant cancel the auto ship i can only delay it and im unable to remove my account with my credit card information on it</v>
      </c>
      <c r="H786" s="4" t="str">
        <f t="shared" si="1"/>
        <v>you falsely advertised an item you advertised item was in stock then when it was supposed ship i receive an email stating was out of stock but on your website it still this day states it in stock now i cant cancel auto ship i can only delay it im unable remove my account with my credit card information on it</v>
      </c>
      <c r="I786" s="6">
        <f t="shared" si="2"/>
        <v>61</v>
      </c>
      <c r="J786" s="6">
        <f>IFERROR(__xludf.DUMMYFUNCTION("IF(H786="""","""",
SUM(
ARRAYFORMULA(
IF(
REGEXMATCH(
"" ""&amp;H786&amp;"" "",
"" ""&amp;Sentiment_Words!A$2:A3730&amp;"" ""
),
1,
0
)
)
)
)"),1.0)</f>
        <v>1</v>
      </c>
      <c r="K786" s="4">
        <f>IFERROR(__xludf.DUMMYFUNCTION("IF(H786="""","""",
SUM(
ARRAYFORMULA(
IF(
REGEXMATCH(
"" ""&amp;H786&amp;"" "",
"" ""&amp;Sentiment_Words!B$2:B3730&amp;"" ""
),
1,
0
)
)
)
)"),2.0)</f>
        <v>2</v>
      </c>
      <c r="L786" s="7" t="str">
        <f t="shared" si="3"/>
        <v>Fulfillment &amp; Shipping</v>
      </c>
      <c r="M786" s="7" t="str">
        <f t="shared" si="4"/>
        <v>Negative</v>
      </c>
      <c r="N786" s="7" t="str">
        <f>IFERROR(__xludf.DUMMYFUNCTION("LOWER(
TRIM(
REGEXREPLACE(B786,""[^a-zA-Z\s]"","""")
)
)
"),"unhappy member")</f>
        <v>unhappy member</v>
      </c>
      <c r="O786" s="7">
        <f t="shared" si="5"/>
        <v>1</v>
      </c>
      <c r="P786" s="8" t="str">
        <f t="shared" si="6"/>
        <v>No</v>
      </c>
    </row>
    <row r="787">
      <c r="A787" s="4" t="s">
        <v>16</v>
      </c>
      <c r="B787" s="4" t="s">
        <v>2250</v>
      </c>
      <c r="C787" s="9">
        <v>44964.0</v>
      </c>
      <c r="D787" s="10">
        <v>44965.0</v>
      </c>
      <c r="E787" s="4" t="s">
        <v>2251</v>
      </c>
      <c r="F787" s="4" t="s">
        <v>2252</v>
      </c>
      <c r="G787" s="6" t="str">
        <f>IFERROR(__xludf.DUMMYFUNCTION("REGEXREPLACE(LOWER(F787),""[^a-z\s]"","""")"),"extremely friendly and helpful customer service and quality items always available shipping is always quick and they donate a bowl of food with your order winwin")</f>
        <v>extremely friendly and helpful customer service and quality items always available shipping is always quick and they donate a bowl of food with your order winwin</v>
      </c>
      <c r="H787" s="4" t="str">
        <f t="shared" si="1"/>
        <v>extremely friendly helpful customer service quality items always available shipping always quick they donate a bowl of food with your order winwin</v>
      </c>
      <c r="I787" s="6">
        <f t="shared" si="2"/>
        <v>22</v>
      </c>
      <c r="J787" s="6">
        <f>IFERROR(__xludf.DUMMYFUNCTION("IF(H787="""","""",
SUM(
ARRAYFORMULA(
IF(
REGEXMATCH(
"" ""&amp;H787&amp;"" "",
"" ""&amp;Sentiment_Words!A$2:A3730&amp;"" ""
),
1,
0
)
)
)
)"),2.0)</f>
        <v>2</v>
      </c>
      <c r="K787" s="4">
        <f>IFERROR(__xludf.DUMMYFUNCTION("IF(H787="""","""",
SUM(
ARRAYFORMULA(
IF(
REGEXMATCH(
"" ""&amp;H787&amp;"" "",
"" ""&amp;Sentiment_Words!B$2:B3730&amp;"" ""
),
1,
0
)
)
)
)"),1.0)</f>
        <v>1</v>
      </c>
      <c r="L787" s="7" t="str">
        <f t="shared" si="3"/>
        <v>Customer Support</v>
      </c>
      <c r="M787" s="7" t="str">
        <f t="shared" si="4"/>
        <v>Positive</v>
      </c>
      <c r="N787" s="7" t="str">
        <f>IFERROR(__xludf.DUMMYFUNCTION("LOWER(
TRIM(
REGEXREPLACE(B787,""[^a-zA-Z\s]"","""")
)
)
"),"stephanie p")</f>
        <v>stephanie p</v>
      </c>
      <c r="O787" s="7">
        <f t="shared" si="5"/>
        <v>1</v>
      </c>
      <c r="P787" s="8" t="str">
        <f t="shared" si="6"/>
        <v>No</v>
      </c>
    </row>
    <row r="788">
      <c r="A788" s="4" t="s">
        <v>16</v>
      </c>
      <c r="B788" s="4" t="s">
        <v>2253</v>
      </c>
      <c r="C788" s="5">
        <v>44953.0</v>
      </c>
      <c r="D788" s="10">
        <v>44965.0</v>
      </c>
      <c r="E788" s="4" t="s">
        <v>2254</v>
      </c>
      <c r="F788" s="4" t="s">
        <v>2255</v>
      </c>
      <c r="G788" s="6" t="str">
        <f>IFERROR(__xludf.DUMMYFUNCTION("REGEXREPLACE(LOWER(F788),""[^a-z\s]"","""")"),"very happy i ordered the food one day and received it the next")</f>
        <v>very happy i ordered the food one day and received it the next</v>
      </c>
      <c r="H788" s="4" t="str">
        <f t="shared" si="1"/>
        <v>very happy i ordered food one day received it next</v>
      </c>
      <c r="I788" s="6">
        <f t="shared" si="2"/>
        <v>10</v>
      </c>
      <c r="J788" s="6">
        <f>IFERROR(__xludf.DUMMYFUNCTION("IF(H788="""","""",
SUM(
ARRAYFORMULA(
IF(
REGEXMATCH(
"" ""&amp;H788&amp;"" "",
"" ""&amp;Sentiment_Words!A$2:A3730&amp;"" ""
),
1,
0
)
)
)
)"),1.0)</f>
        <v>1</v>
      </c>
      <c r="K788" s="4">
        <f>IFERROR(__xludf.DUMMYFUNCTION("IF(H788="""","""",
SUM(
ARRAYFORMULA(
IF(
REGEXMATCH(
"" ""&amp;H788&amp;"" "",
"" ""&amp;Sentiment_Words!B$2:B3730&amp;"" ""
),
1,
0
)
)
)
)"),0.0)</f>
        <v>0</v>
      </c>
      <c r="L788" s="7" t="str">
        <f t="shared" si="3"/>
        <v>Other</v>
      </c>
      <c r="M788" s="7" t="str">
        <f t="shared" si="4"/>
        <v>Positive</v>
      </c>
      <c r="N788" s="7" t="str">
        <f>IFERROR(__xludf.DUMMYFUNCTION("LOWER(
TRIM(
REGEXREPLACE(B788,""[^a-zA-Z\s]"","""")
)
)
"),"jean silver")</f>
        <v>jean silver</v>
      </c>
      <c r="O788" s="7">
        <f t="shared" si="5"/>
        <v>1</v>
      </c>
      <c r="P788" s="8" t="str">
        <f t="shared" si="6"/>
        <v>No</v>
      </c>
    </row>
    <row r="789">
      <c r="A789" s="4" t="s">
        <v>16</v>
      </c>
      <c r="B789" s="4" t="s">
        <v>739</v>
      </c>
      <c r="C789" s="9">
        <v>44963.0</v>
      </c>
      <c r="D789" s="10">
        <v>44965.0</v>
      </c>
      <c r="E789" s="4" t="s">
        <v>2256</v>
      </c>
      <c r="F789" s="4" t="s">
        <v>2257</v>
      </c>
      <c r="G789" s="6" t="str">
        <f>IFERROR(__xludf.DUMMYFUNCTION("REGEXREPLACE(LOWER(F789),""[^a-z\s]"","""")"),"i have received my puppys food in a timely manner and he loves it thanks")</f>
        <v>i have received my puppys food in a timely manner and he loves it thanks</v>
      </c>
      <c r="H789" s="4" t="str">
        <f t="shared" si="1"/>
        <v>i have received my puppys food in a timely manner he loves it thanks</v>
      </c>
      <c r="I789" s="6">
        <f t="shared" si="2"/>
        <v>14</v>
      </c>
      <c r="J789" s="6">
        <f>IFERROR(__xludf.DUMMYFUNCTION("IF(H789="""","""",
SUM(
ARRAYFORMULA(
IF(
REGEXMATCH(
"" ""&amp;H789&amp;"" "",
"" ""&amp;Sentiment_Words!A$2:A3730&amp;"" ""
),
1,
0
)
)
)
)"),0.0)</f>
        <v>0</v>
      </c>
      <c r="K789" s="4">
        <f>IFERROR(__xludf.DUMMYFUNCTION("IF(H789="""","""",
SUM(
ARRAYFORMULA(
IF(
REGEXMATCH(
"" ""&amp;H789&amp;"" "",
"" ""&amp;Sentiment_Words!B$2:B3730&amp;"" ""
),
1,
0
)
)
)
)"),0.0)</f>
        <v>0</v>
      </c>
      <c r="L789" s="7" t="str">
        <f t="shared" si="3"/>
        <v>Other</v>
      </c>
      <c r="M789" s="7" t="str">
        <f t="shared" si="4"/>
        <v>Neutral</v>
      </c>
      <c r="N789" s="7" t="str">
        <f>IFERROR(__xludf.DUMMYFUNCTION("LOWER(
TRIM(
REGEXREPLACE(B789,""[^a-zA-Z\s]"","""")
)
)
"),"customer")</f>
        <v>customer</v>
      </c>
      <c r="O789" s="7">
        <f t="shared" si="5"/>
        <v>54</v>
      </c>
      <c r="P789" s="8" t="str">
        <f t="shared" si="6"/>
        <v>Yes</v>
      </c>
    </row>
    <row r="790">
      <c r="A790" s="4" t="s">
        <v>16</v>
      </c>
      <c r="B790" s="4" t="s">
        <v>2258</v>
      </c>
      <c r="C790" s="9">
        <v>44960.0</v>
      </c>
      <c r="D790" s="10">
        <v>44965.0</v>
      </c>
      <c r="E790" s="4" t="s">
        <v>2259</v>
      </c>
      <c r="F790" s="4" t="s">
        <v>2260</v>
      </c>
      <c r="G790" s="6" t="str">
        <f>IFERROR(__xludf.DUMMYFUNCTION("REGEXREPLACE(LOWER(F790),""[^a-z\s]"","""")")," of the cans were extremely dented one of the seven damaged cans was leaking")</f>
        <v> of the cans were extremely dented one of the seven damaged cans was leaking</v>
      </c>
      <c r="H790" s="4" t="str">
        <f t="shared" si="1"/>
        <v>of cans were extremely dented one of seven damaged cans was leaking</v>
      </c>
      <c r="I790" s="6">
        <f t="shared" si="2"/>
        <v>12</v>
      </c>
      <c r="J790" s="6">
        <f>IFERROR(__xludf.DUMMYFUNCTION("IF(H790="""","""",
SUM(
ARRAYFORMULA(
IF(
REGEXMATCH(
"" ""&amp;H790&amp;"" "",
"" ""&amp;Sentiment_Words!A$2:A3730&amp;"" ""
),
1,
0
)
)
)
)"),0.0)</f>
        <v>0</v>
      </c>
      <c r="K790" s="4">
        <f>IFERROR(__xludf.DUMMYFUNCTION("IF(H790="""","""",
SUM(
ARRAYFORMULA(
IF(
REGEXMATCH(
"" ""&amp;H790&amp;"" "",
"" ""&amp;Sentiment_Words!B$2:B3730&amp;"" ""
),
1,
0
)
)
)
)"),0.0)</f>
        <v>0</v>
      </c>
      <c r="L790" s="7" t="str">
        <f t="shared" si="3"/>
        <v>Other</v>
      </c>
      <c r="M790" s="7" t="str">
        <f t="shared" si="4"/>
        <v>Neutral</v>
      </c>
      <c r="N790" s="7" t="str">
        <f>IFERROR(__xludf.DUMMYFUNCTION("LOWER(
TRIM(
REGEXREPLACE(B790,""[^a-zA-Z\s]"","""")
)
)
"),"frank viola")</f>
        <v>frank viola</v>
      </c>
      <c r="O790" s="7">
        <f t="shared" si="5"/>
        <v>1</v>
      </c>
      <c r="P790" s="8" t="str">
        <f t="shared" si="6"/>
        <v>No</v>
      </c>
    </row>
    <row r="791">
      <c r="A791" s="4" t="s">
        <v>16</v>
      </c>
      <c r="B791" s="4" t="s">
        <v>2261</v>
      </c>
      <c r="C791" s="9">
        <v>44963.0</v>
      </c>
      <c r="D791" s="10">
        <v>44964.0</v>
      </c>
      <c r="E791" s="4" t="s">
        <v>2262</v>
      </c>
      <c r="F791" s="4" t="s">
        <v>2263</v>
      </c>
      <c r="G791" s="6" t="str">
        <f>IFERROR(__xludf.DUMMYFUNCTION("REGEXREPLACE(LOWER(F791),""[^a-z\s]"","""")"),"super quick response time when i accidently ordered a toy i didnt want
website is user friendly huge amount of items to choose from
i used to shop a chewy but i needed a prescription and it was easier to pick my vet from you list than going through all of"&amp;" chewys site also they dont even carry the prescription food
you carry everything i need so ill just stick with you the only thing i dont know is the turnaround time
i do wish i could have put my little girls liver vitamin on auto ship but i could not fig"&amp;"ure that out")</f>
        <v>super quick response time when i accidently ordered a toy i didnt want
website is user friendly huge amount of items to choose from
i used to shop a chewy but i needed a prescription and it was easier to pick my vet from you list than going through all of chewys site also they dont even carry the prescription food
you carry everything i need so ill just stick with you the only thing i dont know is the turnaround time
i do wish i could have put my little girls liver vitamin on auto ship but i could not figure that out</v>
      </c>
      <c r="H791" s="4" t="str">
        <f t="shared" si="1"/>
        <v>super quick response time when i accidently ordered a toy i didnt want
website user friendly huge amount of items choose from
i used shop a chewy but i needed a prescription it was easier pick my vet from you list than going through all of chewys site also they dont even carry prescription food
you carry everything i need so ill just stick with you only thing i dont know turnaround time
i do wish i could have put my little girls liver vitamin on auto ship but i could not figure that out</v>
      </c>
      <c r="I791" s="6">
        <f t="shared" si="2"/>
        <v>91</v>
      </c>
      <c r="J791" s="6">
        <f>IFERROR(__xludf.DUMMYFUNCTION("IF(H791="""","""",
SUM(
ARRAYFORMULA(
IF(
REGEXMATCH(
"" ""&amp;H791&amp;"" "",
"" ""&amp;Sentiment_Words!A$2:A3730&amp;"" ""
),
1,
0
)
)
)
)"),1.0)</f>
        <v>1</v>
      </c>
      <c r="K791" s="4">
        <f>IFERROR(__xludf.DUMMYFUNCTION("IF(H791="""","""",
SUM(
ARRAYFORMULA(
IF(
REGEXMATCH(
"" ""&amp;H791&amp;"" "",
"" ""&amp;Sentiment_Words!B$2:B3730&amp;"" ""
),
1,
0
)
)
)
)"),0.0)</f>
        <v>0</v>
      </c>
      <c r="L791" s="7" t="str">
        <f t="shared" si="3"/>
        <v>Account &amp; Website</v>
      </c>
      <c r="M791" s="7" t="str">
        <f t="shared" si="4"/>
        <v>Positive</v>
      </c>
      <c r="N791" s="7" t="str">
        <f>IFERROR(__xludf.DUMMYFUNCTION("LOWER(
TRIM(
REGEXREPLACE(B791,""[^a-zA-Z\s]"","""")
)
)
"),"julie waymire")</f>
        <v>julie waymire</v>
      </c>
      <c r="O791" s="7">
        <f t="shared" si="5"/>
        <v>1</v>
      </c>
      <c r="P791" s="8" t="str">
        <f t="shared" si="6"/>
        <v>No</v>
      </c>
    </row>
    <row r="792">
      <c r="A792" s="4" t="s">
        <v>16</v>
      </c>
      <c r="B792" s="4" t="s">
        <v>2264</v>
      </c>
      <c r="C792" s="9">
        <v>44959.0</v>
      </c>
      <c r="D792" s="10">
        <v>44964.0</v>
      </c>
      <c r="E792" s="4" t="s">
        <v>2265</v>
      </c>
      <c r="F792" s="4" t="s">
        <v>2266</v>
      </c>
      <c r="G792" s="6" t="str">
        <f>IFERROR(__xludf.DUMMYFUNCTION("REGEXREPLACE(LOWER(F792),""[^a-z\s]"","""")"),"petflow is wonderful many varieties of food for your pets my only gripe is that after placing an order i got a thank you email wa picture on it saying review yr item get  back they gave it to me for only one of my reviews  the very good sweet customer ser"&amp;"vice reps have never followed up on my other reviews")</f>
        <v>petflow is wonderful many varieties of food for your pets my only gripe is that after placing an order i got a thank you email wa picture on it saying review yr item get  back they gave it to me for only one of my reviews  the very good sweet customer service reps have never followed up on my other reviews</v>
      </c>
      <c r="H792" s="4" t="str">
        <f t="shared" si="1"/>
        <v>petflow wonderful many varieties of food your pets my only gripe that after placing an order i got a thank you email wa picture on it saying review yr item get back they gave it me only one of my reviews very good sweet customer service reps have never followed up on my other reviews</v>
      </c>
      <c r="I792" s="6">
        <f t="shared" si="2"/>
        <v>55</v>
      </c>
      <c r="J792" s="6">
        <f>IFERROR(__xludf.DUMMYFUNCTION("IF(H792="""","""",
SUM(
ARRAYFORMULA(
IF(
REGEXMATCH(
"" ""&amp;H792&amp;"" "",
"" ""&amp;Sentiment_Words!A$2:A3730&amp;"" ""
),
1,
0
)
)
)
)"),3.0)</f>
        <v>3</v>
      </c>
      <c r="K792" s="4">
        <f>IFERROR(__xludf.DUMMYFUNCTION("IF(H792="""","""",
SUM(
ARRAYFORMULA(
IF(
REGEXMATCH(
"" ""&amp;H792&amp;"" "",
"" ""&amp;Sentiment_Words!B$2:B3730&amp;"" ""
),
1,
0
)
)
)
)"),1.0)</f>
        <v>1</v>
      </c>
      <c r="L792" s="7" t="str">
        <f t="shared" si="3"/>
        <v>Customer Support</v>
      </c>
      <c r="M792" s="7" t="str">
        <f t="shared" si="4"/>
        <v>Positive</v>
      </c>
      <c r="N792" s="7" t="str">
        <f>IFERROR(__xludf.DUMMYFUNCTION("LOWER(
TRIM(
REGEXREPLACE(B792,""[^a-zA-Z\s]"","""")
)
)
"),"chanel silva")</f>
        <v>chanel silva</v>
      </c>
      <c r="O792" s="7">
        <f t="shared" si="5"/>
        <v>1</v>
      </c>
      <c r="P792" s="8" t="str">
        <f t="shared" si="6"/>
        <v>No</v>
      </c>
    </row>
    <row r="793">
      <c r="A793" s="4" t="s">
        <v>16</v>
      </c>
      <c r="B793" s="4" t="s">
        <v>2267</v>
      </c>
      <c r="C793" s="5">
        <v>44950.0</v>
      </c>
      <c r="D793" s="10">
        <v>44964.0</v>
      </c>
      <c r="E793" s="4" t="s">
        <v>2268</v>
      </c>
      <c r="F793" s="4" t="s">
        <v>2269</v>
      </c>
      <c r="G793" s="6" t="str">
        <f>IFERROR(__xludf.DUMMYFUNCTION("REGEXREPLACE(LOWER(F793),""[^a-z\s]"","""")"),"customer service has been great but shipping practices need work i have complained on multiple occasions that my shipment of canned dog food arrives damaged they pack too many flats of cans in the same box and dont use any packing materials to prevent aga"&amp;"inst damage i have brought this to their attention each time but nothing is ever done about it most recently they packed  cases of cans  cans in the same package it arrived with dented cans and the box was totally opened it was way too heavy for a senior "&amp;"citizen to lift without injury on each occasion petflow has made an accommodation for me either a discount or a new shipment which is very much appreciated however i would prefer that they ship it properly the first time one time the cans sent as a replac"&amp;"ement were also dented i still use petflow because customer services reps have been routinely nice each time i have had to contact them just wish their shipping department would change their practices")</f>
        <v>customer service has been great but shipping practices need work i have complained on multiple occasions that my shipment of canned dog food arrives damaged they pack too many flats of cans in the same box and dont use any packing materials to prevent against damage i have brought this to their attention each time but nothing is ever done about it most recently they packed  cases of cans  cans in the same package it arrived with dented cans and the box was totally opened it was way too heavy for a senior citizen to lift without injury on each occasion petflow has made an accommodation for me either a discount or a new shipment which is very much appreciated however i would prefer that they ship it properly the first time one time the cans sent as a replacement were also dented i still use petflow because customer services reps have been routinely nice each time i have had to contact them just wish their shipping department would change their practices</v>
      </c>
      <c r="H793" s="4" t="str">
        <f t="shared" si="1"/>
        <v>customer service has been great but shipping practices need work i have complained on multiple occasions that my shipment of canned dog food arrives damaged they pack too many flats of cans in same box dont use any packing materials prevent against damage i have brought this their attention each time but nothing ever done about it most recently they packed cases of cans cans in same package it arrived with dented cans box was totally opened it was way too heavy a senior citizen lift without injury on each occasion petflow has made an accommodation me either a discount or a new shipment which very much appreciated however i would prefer that they ship it properly first time one time cans sent as a replacement were also dented i still use petflow because customer services reps have been routinely nice each time i have had contact them just wish their shipping department would change their practices</v>
      </c>
      <c r="I793" s="6">
        <f t="shared" si="2"/>
        <v>157</v>
      </c>
      <c r="J793" s="6">
        <f>IFERROR(__xludf.DUMMYFUNCTION("IF(H793="""","""",
SUM(
ARRAYFORMULA(
IF(
REGEXMATCH(
"" ""&amp;H793&amp;"" "",
"" ""&amp;Sentiment_Words!A$2:A3730&amp;"" ""
),
1,
0
)
)
)
)"),2.0)</f>
        <v>2</v>
      </c>
      <c r="K793" s="4">
        <f>IFERROR(__xludf.DUMMYFUNCTION("IF(H793="""","""",
SUM(
ARRAYFORMULA(
IF(
REGEXMATCH(
"" ""&amp;H793&amp;"" "",
"" ""&amp;Sentiment_Words!B$2:B3730&amp;"" ""
),
1,
0
)
)
)
)"),1.0)</f>
        <v>1</v>
      </c>
      <c r="L793" s="7" t="str">
        <f t="shared" si="3"/>
        <v>Customer Support</v>
      </c>
      <c r="M793" s="7" t="str">
        <f t="shared" si="4"/>
        <v>Positive</v>
      </c>
      <c r="N793" s="7" t="str">
        <f>IFERROR(__xludf.DUMMYFUNCTION("LOWER(
TRIM(
REGEXREPLACE(B793,""[^a-zA-Z\s]"","""")
)
)
"),"robert naylis")</f>
        <v>robert naylis</v>
      </c>
      <c r="O793" s="7">
        <f t="shared" si="5"/>
        <v>1</v>
      </c>
      <c r="P793" s="8" t="str">
        <f t="shared" si="6"/>
        <v>No</v>
      </c>
    </row>
    <row r="794">
      <c r="A794" s="4" t="s">
        <v>16</v>
      </c>
      <c r="B794" s="4" t="s">
        <v>2270</v>
      </c>
      <c r="C794" s="5">
        <v>44949.0</v>
      </c>
      <c r="D794" s="10">
        <v>44964.0</v>
      </c>
      <c r="E794" s="4" t="s">
        <v>2271</v>
      </c>
      <c r="F794" s="4" t="s">
        <v>2272</v>
      </c>
      <c r="G794" s="6" t="str">
        <f>IFERROR(__xludf.DUMMYFUNCTION("REGEXREPLACE(LOWER(F794),""[^a-z\s]"","""")"),"after ordering i did not get a tracking number or shipping confirmation even after getting a notice that the food was shipped my paypal payment was taken right away
i also was put on autopay without my permission
i had to manually cancel an autopsy i didn"&amp;"t agree to")</f>
        <v>after ordering i did not get a tracking number or shipping confirmation even after getting a notice that the food was shipped my paypal payment was taken right away
i also was put on autopay without my permission
i had to manually cancel an autopsy i didnt agree to</v>
      </c>
      <c r="H794" s="4" t="str">
        <f t="shared" si="1"/>
        <v>after ordering i did not get a tracking number or shipping confirmation even after getting a notice that food was shipped my paypal payment was taken right away
i also was put on autopay without my permission
i had manually cancel an autopsy i didnt agree</v>
      </c>
      <c r="I794" s="6">
        <f t="shared" si="2"/>
        <v>44</v>
      </c>
      <c r="J794" s="6">
        <f>IFERROR(__xludf.DUMMYFUNCTION("IF(H794="""","""",
SUM(
ARRAYFORMULA(
IF(
REGEXMATCH(
"" ""&amp;H794&amp;"" "",
"" ""&amp;Sentiment_Words!A$2:A3730&amp;"" ""
),
1,
0
)
)
)
)"),0.0)</f>
        <v>0</v>
      </c>
      <c r="K794" s="4">
        <f>IFERROR(__xludf.DUMMYFUNCTION("IF(H794="""","""",
SUM(
ARRAYFORMULA(
IF(
REGEXMATCH(
"" ""&amp;H794&amp;"" "",
"" ""&amp;Sentiment_Words!B$2:B3730&amp;"" ""
),
1,
0
)
)
)
)"),0.0)</f>
        <v>0</v>
      </c>
      <c r="L794" s="7" t="str">
        <f t="shared" si="3"/>
        <v>Other</v>
      </c>
      <c r="M794" s="7" t="str">
        <f t="shared" si="4"/>
        <v>Neutral</v>
      </c>
      <c r="N794" s="7" t="str">
        <f>IFERROR(__xludf.DUMMYFUNCTION("LOWER(
TRIM(
REGEXREPLACE(B794,""[^a-zA-Z\s]"","""")
)
)
"),"kriss m")</f>
        <v>kriss m</v>
      </c>
      <c r="O794" s="7">
        <f t="shared" si="5"/>
        <v>1</v>
      </c>
      <c r="P794" s="8" t="str">
        <f t="shared" si="6"/>
        <v>No</v>
      </c>
    </row>
    <row r="795">
      <c r="A795" s="4" t="s">
        <v>16</v>
      </c>
      <c r="B795" s="4" t="s">
        <v>2273</v>
      </c>
      <c r="C795" s="9">
        <v>44958.0</v>
      </c>
      <c r="D795" s="10">
        <v>44963.0</v>
      </c>
      <c r="E795" s="4" t="s">
        <v>2274</v>
      </c>
      <c r="F795" s="4" t="s">
        <v>2275</v>
      </c>
      <c r="G795" s="6" t="str">
        <f>IFERROR(__xludf.DUMMYFUNCTION("REGEXREPLACE(LOWER(F795),""[^a-z\s]"","""")"),"ive been overcharged for my orders since mid august due to incorrect sales tax i informed company of this explaining why we were overcharged including documentation from the state proving the correct rate but was continuously blown off and disregarded i s"&amp;"houldnt have to prove my correct tax rate to begin with but then when i do and you still tell me you are charging the correct rate when i provide documentation you are not that is just bad business we will no longer support your business")</f>
        <v>ive been overcharged for my orders since mid august due to incorrect sales tax i informed company of this explaining why we were overcharged including documentation from the state proving the correct rate but was continuously blown off and disregarded i shouldnt have to prove my correct tax rate to begin with but then when i do and you still tell me you are charging the correct rate when i provide documentation you are not that is just bad business we will no longer support your business</v>
      </c>
      <c r="H795" s="4" t="str">
        <f t="shared" si="1"/>
        <v>ive been overcharged my orders since mid august due incorrect sales tax i informed company of this explaining why we were overcharged including documentation from state proving correct rate but was continuously blown off disregarded i shouldnt have prove my correct tax rate begin with but then when i do you still tell me you are charging correct rate when i provide documentation you are not that just bad business we will no longer support your business</v>
      </c>
      <c r="I795" s="6">
        <f t="shared" si="2"/>
        <v>77</v>
      </c>
      <c r="J795" s="6">
        <f>IFERROR(__xludf.DUMMYFUNCTION("IF(H795="""","""",
SUM(
ARRAYFORMULA(
IF(
REGEXMATCH(
"" ""&amp;H795&amp;"" "",
"" ""&amp;Sentiment_Words!A$2:A3730&amp;"" ""
),
1,
0
)
)
)
)"),0.0)</f>
        <v>0</v>
      </c>
      <c r="K795" s="4">
        <f>IFERROR(__xludf.DUMMYFUNCTION("IF(H795="""","""",
SUM(
ARRAYFORMULA(
IF(
REGEXMATCH(
"" ""&amp;H795&amp;"" "",
"" ""&amp;Sentiment_Words!B$2:B3730&amp;"" ""
),
1,
0
)
)
)
)"),1.0)</f>
        <v>1</v>
      </c>
      <c r="L795" s="7" t="str">
        <f t="shared" si="3"/>
        <v>Customer Support</v>
      </c>
      <c r="M795" s="7" t="str">
        <f t="shared" si="4"/>
        <v>Negative</v>
      </c>
      <c r="N795" s="7" t="str">
        <f>IFERROR(__xludf.DUMMYFUNCTION("LOWER(
TRIM(
REGEXREPLACE(B795,""[^a-zA-Z\s]"","""")
)
)
"),"grandma rink")</f>
        <v>grandma rink</v>
      </c>
      <c r="O795" s="7">
        <f t="shared" si="5"/>
        <v>1</v>
      </c>
      <c r="P795" s="8" t="str">
        <f t="shared" si="6"/>
        <v>No</v>
      </c>
    </row>
    <row r="796">
      <c r="A796" s="4" t="s">
        <v>16</v>
      </c>
      <c r="B796" s="4" t="s">
        <v>2276</v>
      </c>
      <c r="C796" s="9">
        <v>44962.0</v>
      </c>
      <c r="D796" s="10">
        <v>44963.0</v>
      </c>
      <c r="E796" s="4" t="s">
        <v>2277</v>
      </c>
      <c r="F796" s="4" t="s">
        <v>2278</v>
      </c>
      <c r="G796" s="6" t="str">
        <f>IFERROR(__xludf.DUMMYFUNCTION("REGEXREPLACE(LOWER(F796),""[^a-z\s]"","""")"),"concerned about the package that i ordered  weeks ago that still has not arrived im running out of the canned food for my dogs   ")</f>
        <v>concerned about the package that i ordered  weeks ago that still has not arrived im running out of the canned food for my dogs   </v>
      </c>
      <c r="H796" s="4" t="str">
        <f t="shared" si="1"/>
        <v>concerned about package that i ordered weeks ago that still has not arrived im running out of canned food my dogs</v>
      </c>
      <c r="I796" s="6">
        <f t="shared" si="2"/>
        <v>21</v>
      </c>
      <c r="J796" s="6">
        <f>IFERROR(__xludf.DUMMYFUNCTION("IF(H796="""","""",
SUM(
ARRAYFORMULA(
IF(
REGEXMATCH(
"" ""&amp;H796&amp;"" "",
"" ""&amp;Sentiment_Words!A$2:A3730&amp;"" ""
),
1,
0
)
)
)
)"),0.0)</f>
        <v>0</v>
      </c>
      <c r="K796" s="4">
        <f>IFERROR(__xludf.DUMMYFUNCTION("IF(H796="""","""",
SUM(
ARRAYFORMULA(
IF(
REGEXMATCH(
"" ""&amp;H796&amp;"" "",
"" ""&amp;Sentiment_Words!B$2:B3730&amp;"" ""
),
1,
0
)
)
)
)"),0.0)</f>
        <v>0</v>
      </c>
      <c r="L796" s="7" t="str">
        <f t="shared" si="3"/>
        <v>Other</v>
      </c>
      <c r="M796" s="7" t="str">
        <f t="shared" si="4"/>
        <v>Neutral</v>
      </c>
      <c r="N796" s="7" t="str">
        <f>IFERROR(__xludf.DUMMYFUNCTION("LOWER(
TRIM(
REGEXREPLACE(B796,""[^a-zA-Z\s]"","""")
)
)
"),"don peters")</f>
        <v>don peters</v>
      </c>
      <c r="O796" s="7">
        <f t="shared" si="5"/>
        <v>1</v>
      </c>
      <c r="P796" s="8" t="str">
        <f t="shared" si="6"/>
        <v>No</v>
      </c>
    </row>
    <row r="797">
      <c r="A797" s="4" t="s">
        <v>16</v>
      </c>
      <c r="B797" s="4" t="s">
        <v>2279</v>
      </c>
      <c r="C797" s="9">
        <v>44962.0</v>
      </c>
      <c r="D797" s="10">
        <v>44963.0</v>
      </c>
      <c r="E797" s="4" t="s">
        <v>2280</v>
      </c>
      <c r="F797" s="4" t="s">
        <v>2281</v>
      </c>
      <c r="G797" s="6" t="str">
        <f>IFERROR(__xludf.DUMMYFUNCTION("REGEXREPLACE(LOWER(F797),""[^a-z\s]"","""")"),"i have a recurring order and needed to modify tried and messed it up and ended up having two recurring orders called customer service and a very friendly person helped me navigate to delete one")</f>
        <v>i have a recurring order and needed to modify tried and messed it up and ended up having two recurring orders called customer service and a very friendly person helped me navigate to delete one</v>
      </c>
      <c r="H797" s="4" t="str">
        <f t="shared" si="1"/>
        <v>i have a recurring order needed modify tried messed it up ended up having two recurring orders called customer service a very friendly person helped me navigate delete one</v>
      </c>
      <c r="I797" s="6">
        <f t="shared" si="2"/>
        <v>29</v>
      </c>
      <c r="J797" s="6">
        <f>IFERROR(__xludf.DUMMYFUNCTION("IF(H797="""","""",
SUM(
ARRAYFORMULA(
IF(
REGEXMATCH(
"" ""&amp;H797&amp;"" "",
"" ""&amp;Sentiment_Words!A$2:A3730&amp;"" ""
),
1,
0
)
)
)
)"),0.0)</f>
        <v>0</v>
      </c>
      <c r="K797" s="4">
        <f>IFERROR(__xludf.DUMMYFUNCTION("IF(H797="""","""",
SUM(
ARRAYFORMULA(
IF(
REGEXMATCH(
"" ""&amp;H797&amp;"" "",
"" ""&amp;Sentiment_Words!B$2:B3730&amp;"" ""
),
1,
0
)
)
)
)"),1.0)</f>
        <v>1</v>
      </c>
      <c r="L797" s="7" t="str">
        <f t="shared" si="3"/>
        <v>Customer Support</v>
      </c>
      <c r="M797" s="7" t="str">
        <f t="shared" si="4"/>
        <v>Negative</v>
      </c>
      <c r="N797" s="7" t="str">
        <f>IFERROR(__xludf.DUMMYFUNCTION("LOWER(
TRIM(
REGEXREPLACE(B797,""[^a-zA-Z\s]"","""")
)
)
"),"leslie fearing")</f>
        <v>leslie fearing</v>
      </c>
      <c r="O797" s="7">
        <f t="shared" si="5"/>
        <v>1</v>
      </c>
      <c r="P797" s="8" t="str">
        <f t="shared" si="6"/>
        <v>No</v>
      </c>
    </row>
    <row r="798">
      <c r="A798" s="4" t="s">
        <v>16</v>
      </c>
      <c r="B798" s="4" t="s">
        <v>2282</v>
      </c>
      <c r="C798" s="5">
        <v>44956.0</v>
      </c>
      <c r="D798" s="10">
        <v>44963.0</v>
      </c>
      <c r="E798" s="4" t="s">
        <v>2283</v>
      </c>
      <c r="F798" s="4" t="s">
        <v>2284</v>
      </c>
      <c r="G798" s="6" t="str">
        <f>IFERROR(__xludf.DUMMYFUNCTION("REGEXREPLACE(LOWER(F798),""[^a-z\s]"","""")"),"overall a good experience i am not a fan of the website could be a bit more user friendly shipping takes too long orders take a while to process availability of products is ok pricessales could be better")</f>
        <v>overall a good experience i am not a fan of the website could be a bit more user friendly shipping takes too long orders take a while to process availability of products is ok pricessales could be better</v>
      </c>
      <c r="H798" s="4" t="str">
        <f t="shared" si="1"/>
        <v>overall a good experience i am not a fan of website could be a bit more user friendly shipping takes too long orders take a while process availability of products ok pricessales could be better</v>
      </c>
      <c r="I798" s="6">
        <f t="shared" si="2"/>
        <v>35</v>
      </c>
      <c r="J798" s="6">
        <f>IFERROR(__xludf.DUMMYFUNCTION("IF(H798="""","""",
SUM(
ARRAYFORMULA(
IF(
REGEXMATCH(
"" ""&amp;H798&amp;"" "",
"" ""&amp;Sentiment_Words!A$2:A3730&amp;"" ""
),
1,
0
)
)
)
)"),1.0)</f>
        <v>1</v>
      </c>
      <c r="K798" s="4">
        <f>IFERROR(__xludf.DUMMYFUNCTION("IF(H798="""","""",
SUM(
ARRAYFORMULA(
IF(
REGEXMATCH(
"" ""&amp;H798&amp;"" "",
"" ""&amp;Sentiment_Words!B$2:B3730&amp;"" ""
),
1,
0
)
)
)
)"),0.0)</f>
        <v>0</v>
      </c>
      <c r="L798" s="7" t="str">
        <f t="shared" si="3"/>
        <v>Account &amp; Website</v>
      </c>
      <c r="M798" s="7" t="str">
        <f t="shared" si="4"/>
        <v>Positive</v>
      </c>
      <c r="N798" s="7" t="str">
        <f>IFERROR(__xludf.DUMMYFUNCTION("LOWER(
TRIM(
REGEXREPLACE(B798,""[^a-zA-Z\s]"","""")
)
)
"),"deirdre santoscoy")</f>
        <v>deirdre santoscoy</v>
      </c>
      <c r="O798" s="7">
        <f t="shared" si="5"/>
        <v>1</v>
      </c>
      <c r="P798" s="8" t="str">
        <f t="shared" si="6"/>
        <v>No</v>
      </c>
    </row>
    <row r="799">
      <c r="A799" s="4" t="s">
        <v>16</v>
      </c>
      <c r="B799" s="4" t="s">
        <v>2285</v>
      </c>
      <c r="C799" s="9">
        <v>44958.0</v>
      </c>
      <c r="D799" s="10">
        <v>44963.0</v>
      </c>
      <c r="E799" s="4" t="s">
        <v>2286</v>
      </c>
      <c r="F799" s="4" t="s">
        <v>2287</v>
      </c>
      <c r="G799" s="6" t="str">
        <f>IFERROR(__xludf.DUMMYFUNCTION("REGEXREPLACE(LOWER(F799),""[^a-z\s]"","""")"),"first time ordering prescription food order for my pup and customer service was so helpful to track order to deliver as soon possible very helpful and trustworthy")</f>
        <v>first time ordering prescription food order for my pup and customer service was so helpful to track order to deliver as soon possible very helpful and trustworthy</v>
      </c>
      <c r="H799" s="4" t="str">
        <f t="shared" si="1"/>
        <v>first time ordering prescription food order my pup customer service was so helpful track order deliver as soon possible very helpful trustworthy</v>
      </c>
      <c r="I799" s="6">
        <f t="shared" si="2"/>
        <v>22</v>
      </c>
      <c r="J799" s="6">
        <f>IFERROR(__xludf.DUMMYFUNCTION("IF(H799="""","""",
SUM(
ARRAYFORMULA(
IF(
REGEXMATCH(
"" ""&amp;H799&amp;"" "",
"" ""&amp;Sentiment_Words!A$2:A3730&amp;"" ""
),
1,
0
)
)
)
)"),1.0)</f>
        <v>1</v>
      </c>
      <c r="K799" s="4">
        <f>IFERROR(__xludf.DUMMYFUNCTION("IF(H799="""","""",
SUM(
ARRAYFORMULA(
IF(
REGEXMATCH(
"" ""&amp;H799&amp;"" "",
"" ""&amp;Sentiment_Words!B$2:B3730&amp;"" ""
),
1,
0
)
)
)
)"),1.0)</f>
        <v>1</v>
      </c>
      <c r="L799" s="7" t="str">
        <f t="shared" si="3"/>
        <v>Customer Support</v>
      </c>
      <c r="M799" s="7" t="str">
        <f t="shared" si="4"/>
        <v>Neutral</v>
      </c>
      <c r="N799" s="7" t="str">
        <f>IFERROR(__xludf.DUMMYFUNCTION("LOWER(
TRIM(
REGEXREPLACE(B799,""[^a-zA-Z\s]"","""")
)
)
"),"linda")</f>
        <v>linda</v>
      </c>
      <c r="O799" s="7">
        <f t="shared" si="5"/>
        <v>10</v>
      </c>
      <c r="P799" s="8" t="str">
        <f t="shared" si="6"/>
        <v>Yes</v>
      </c>
    </row>
    <row r="800">
      <c r="A800" s="4" t="s">
        <v>16</v>
      </c>
      <c r="B800" s="4" t="s">
        <v>2288</v>
      </c>
      <c r="C800" s="9">
        <v>44958.0</v>
      </c>
      <c r="D800" s="10">
        <v>44962.0</v>
      </c>
      <c r="E800" s="4" t="s">
        <v>2289</v>
      </c>
      <c r="F800" s="4" t="s">
        <v>331</v>
      </c>
      <c r="G800" s="6" t="str">
        <f>IFERROR(__xludf.DUMMYFUNCTION("REGEXREPLACE(LOWER(F800),""[^a-z\s]"","""")"),"none")</f>
        <v>none</v>
      </c>
      <c r="H800" s="4" t="str">
        <f t="shared" si="1"/>
        <v>none</v>
      </c>
      <c r="I800" s="6">
        <f t="shared" si="2"/>
        <v>1</v>
      </c>
      <c r="J800" s="6">
        <f>IFERROR(__xludf.DUMMYFUNCTION("IF(H800="""","""",
SUM(
ARRAYFORMULA(
IF(
REGEXMATCH(
"" ""&amp;H800&amp;"" "",
"" ""&amp;Sentiment_Words!A$2:A3730&amp;"" ""
),
1,
0
)
)
)
)"),0.0)</f>
        <v>0</v>
      </c>
      <c r="K800" s="4">
        <f>IFERROR(__xludf.DUMMYFUNCTION("IF(H800="""","""",
SUM(
ARRAYFORMULA(
IF(
REGEXMATCH(
"" ""&amp;H800&amp;"" "",
"" ""&amp;Sentiment_Words!B$2:B3730&amp;"" ""
),
1,
0
)
)
)
)"),0.0)</f>
        <v>0</v>
      </c>
      <c r="L800" s="7" t="str">
        <f t="shared" si="3"/>
        <v>Other</v>
      </c>
      <c r="M800" s="7" t="str">
        <f t="shared" si="4"/>
        <v>Neutral</v>
      </c>
      <c r="N800" s="7" t="str">
        <f>IFERROR(__xludf.DUMMYFUNCTION("LOWER(
TRIM(
REGEXREPLACE(B800,""[^a-zA-Z\s]"","""")
)
)
"),"melonie eso")</f>
        <v>melonie eso</v>
      </c>
      <c r="O800" s="7">
        <f t="shared" si="5"/>
        <v>1</v>
      </c>
      <c r="P800" s="8" t="str">
        <f t="shared" si="6"/>
        <v>No</v>
      </c>
    </row>
    <row r="801">
      <c r="A801" s="4" t="s">
        <v>16</v>
      </c>
      <c r="B801" s="4" t="s">
        <v>2290</v>
      </c>
      <c r="C801" s="5">
        <v>44950.0</v>
      </c>
      <c r="D801" s="10">
        <v>44962.0</v>
      </c>
      <c r="E801" s="4" t="s">
        <v>2291</v>
      </c>
      <c r="F801" s="4" t="s">
        <v>331</v>
      </c>
      <c r="G801" s="6" t="str">
        <f>IFERROR(__xludf.DUMMYFUNCTION("REGEXREPLACE(LOWER(F801),""[^a-z\s]"","""")"),"none")</f>
        <v>none</v>
      </c>
      <c r="H801" s="4" t="str">
        <f t="shared" si="1"/>
        <v>none</v>
      </c>
      <c r="I801" s="6">
        <f t="shared" si="2"/>
        <v>1</v>
      </c>
      <c r="J801" s="6">
        <f>IFERROR(__xludf.DUMMYFUNCTION("IF(H801="""","""",
SUM(
ARRAYFORMULA(
IF(
REGEXMATCH(
"" ""&amp;H801&amp;"" "",
"" ""&amp;Sentiment_Words!A$2:A3730&amp;"" ""
),
1,
0
)
)
)
)"),0.0)</f>
        <v>0</v>
      </c>
      <c r="K801" s="4">
        <f>IFERROR(__xludf.DUMMYFUNCTION("IF(H801="""","""",
SUM(
ARRAYFORMULA(
IF(
REGEXMATCH(
"" ""&amp;H801&amp;"" "",
"" ""&amp;Sentiment_Words!B$2:B3730&amp;"" ""
),
1,
0
)
)
)
)"),0.0)</f>
        <v>0</v>
      </c>
      <c r="L801" s="7" t="str">
        <f t="shared" si="3"/>
        <v>Other</v>
      </c>
      <c r="M801" s="7" t="str">
        <f t="shared" si="4"/>
        <v>Neutral</v>
      </c>
      <c r="N801" s="7" t="str">
        <f>IFERROR(__xludf.DUMMYFUNCTION("LOWER(
TRIM(
REGEXREPLACE(B801,""[^a-zA-Z\s]"","""")
)
)
"),"donna ross")</f>
        <v>donna ross</v>
      </c>
      <c r="O801" s="7">
        <f t="shared" si="5"/>
        <v>1</v>
      </c>
      <c r="P801" s="8" t="str">
        <f t="shared" si="6"/>
        <v>No</v>
      </c>
    </row>
    <row r="802">
      <c r="A802" s="4" t="s">
        <v>16</v>
      </c>
      <c r="B802" s="4" t="s">
        <v>2292</v>
      </c>
      <c r="C802" s="5">
        <v>44953.0</v>
      </c>
      <c r="D802" s="10">
        <v>44962.0</v>
      </c>
      <c r="E802" s="4" t="s">
        <v>2293</v>
      </c>
      <c r="F802" s="4" t="s">
        <v>2294</v>
      </c>
      <c r="G802" s="6" t="str">
        <f>IFERROR(__xludf.DUMMYFUNCTION("REGEXREPLACE(LOWER(F802),""[^a-z\s]"","""")"),"as advertised product with timely service")</f>
        <v>as advertised product with timely service</v>
      </c>
      <c r="H802" s="4" t="str">
        <f t="shared" si="1"/>
        <v>as advertised product with timely service</v>
      </c>
      <c r="I802" s="6">
        <f t="shared" si="2"/>
        <v>6</v>
      </c>
      <c r="J802" s="6">
        <f>IFERROR(__xludf.DUMMYFUNCTION("IF(H802="""","""",
SUM(
ARRAYFORMULA(
IF(
REGEXMATCH(
"" ""&amp;H802&amp;"" "",
"" ""&amp;Sentiment_Words!A$2:A3730&amp;"" ""
),
1,
0
)
)
)
)"),0.0)</f>
        <v>0</v>
      </c>
      <c r="K802" s="4">
        <f>IFERROR(__xludf.DUMMYFUNCTION("IF(H802="""","""",
SUM(
ARRAYFORMULA(
IF(
REGEXMATCH(
"" ""&amp;H802&amp;"" "",
"" ""&amp;Sentiment_Words!B$2:B3730&amp;"" ""
),
1,
0
)
)
)
)"),0.0)</f>
        <v>0</v>
      </c>
      <c r="L802" s="7" t="str">
        <f t="shared" si="3"/>
        <v>Customer Support</v>
      </c>
      <c r="M802" s="7" t="str">
        <f t="shared" si="4"/>
        <v>Neutral</v>
      </c>
      <c r="N802" s="7" t="str">
        <f>IFERROR(__xludf.DUMMYFUNCTION("LOWER(
TRIM(
REGEXREPLACE(B802,""[^a-zA-Z\s]"","""")
)
)
"),"paul auger")</f>
        <v>paul auger</v>
      </c>
      <c r="O802" s="7">
        <f t="shared" si="5"/>
        <v>1</v>
      </c>
      <c r="P802" s="8" t="str">
        <f t="shared" si="6"/>
        <v>No</v>
      </c>
    </row>
    <row r="803">
      <c r="A803" s="4" t="s">
        <v>16</v>
      </c>
      <c r="B803" s="4" t="s">
        <v>2295</v>
      </c>
      <c r="C803" s="9">
        <v>44961.0</v>
      </c>
      <c r="D803" s="10">
        <v>44962.0</v>
      </c>
      <c r="E803" s="4" t="s">
        <v>2296</v>
      </c>
      <c r="F803" s="4" t="s">
        <v>2297</v>
      </c>
      <c r="G803" s="6" t="str">
        <f>IFERROR(__xludf.DUMMYFUNCTION("REGEXREPLACE(LOWER(F803),""[^a-z\s]"","""")"),"was on time and order is right thank you")</f>
        <v>was on time and order is right thank you</v>
      </c>
      <c r="H803" s="4" t="str">
        <f t="shared" si="1"/>
        <v>was on time order right thank you</v>
      </c>
      <c r="I803" s="6">
        <f t="shared" si="2"/>
        <v>7</v>
      </c>
      <c r="J803" s="6">
        <f>IFERROR(__xludf.DUMMYFUNCTION("IF(H803="""","""",
SUM(
ARRAYFORMULA(
IF(
REGEXMATCH(
"" ""&amp;H803&amp;"" "",
"" ""&amp;Sentiment_Words!A$2:A3730&amp;"" ""
),
1,
0
)
)
)
)"),1.0)</f>
        <v>1</v>
      </c>
      <c r="K803" s="4">
        <f>IFERROR(__xludf.DUMMYFUNCTION("IF(H803="""","""",
SUM(
ARRAYFORMULA(
IF(
REGEXMATCH(
"" ""&amp;H803&amp;"" "",
"" ""&amp;Sentiment_Words!B$2:B3730&amp;"" ""
),
1,
0
)
)
)
)"),0.0)</f>
        <v>0</v>
      </c>
      <c r="L803" s="7" t="str">
        <f t="shared" si="3"/>
        <v>Other</v>
      </c>
      <c r="M803" s="7" t="str">
        <f t="shared" si="4"/>
        <v>Positive</v>
      </c>
      <c r="N803" s="7" t="str">
        <f>IFERROR(__xludf.DUMMYFUNCTION("LOWER(
TRIM(
REGEXREPLACE(B803,""[^a-zA-Z\s]"","""")
)
)
"),"steve sell")</f>
        <v>steve sell</v>
      </c>
      <c r="O803" s="7">
        <f t="shared" si="5"/>
        <v>1</v>
      </c>
      <c r="P803" s="8" t="str">
        <f t="shared" si="6"/>
        <v>No</v>
      </c>
    </row>
    <row r="804">
      <c r="A804" s="4" t="s">
        <v>16</v>
      </c>
      <c r="B804" s="4" t="s">
        <v>2298</v>
      </c>
      <c r="C804" s="9">
        <v>44961.0</v>
      </c>
      <c r="D804" s="10">
        <v>44962.0</v>
      </c>
      <c r="E804" s="4" t="s">
        <v>2299</v>
      </c>
      <c r="F804" s="4" t="s">
        <v>2300</v>
      </c>
      <c r="G804" s="6" t="str">
        <f>IFERROR(__xludf.DUMMYFUNCTION("REGEXREPLACE(LOWER(F804),""[^a-z\s]"","""")"),"hi i live  mile off the county roadfed x is the only delivery outfit that will come up here in the winter you shipped my food with them so i got it in a short time way to go tim")</f>
        <v>hi i live  mile off the county roadfed x is the only delivery outfit that will come up here in the winter you shipped my food with them so i got it in a short time way to go tim</v>
      </c>
      <c r="H804" s="4" t="str">
        <f t="shared" si="1"/>
        <v>hi i live mile off county roadfed x only delivery outfit that will come up here in winter you shipped my food with them so i got it in a short time way go tim</v>
      </c>
      <c r="I804" s="6">
        <f t="shared" si="2"/>
        <v>35</v>
      </c>
      <c r="J804" s="6">
        <f>IFERROR(__xludf.DUMMYFUNCTION("IF(H804="""","""",
SUM(
ARRAYFORMULA(
IF(
REGEXMATCH(
"" ""&amp;H804&amp;"" "",
"" ""&amp;Sentiment_Words!A$2:A3730&amp;"" ""
),
1,
0
)
)
)
)"),0.0)</f>
        <v>0</v>
      </c>
      <c r="K804" s="4">
        <f>IFERROR(__xludf.DUMMYFUNCTION("IF(H804="""","""",
SUM(
ARRAYFORMULA(
IF(
REGEXMATCH(
"" ""&amp;H804&amp;"" "",
"" ""&amp;Sentiment_Words!B$2:B3730&amp;"" ""
),
1,
0
)
)
)
)"),0.0)</f>
        <v>0</v>
      </c>
      <c r="L804" s="7" t="str">
        <f t="shared" si="3"/>
        <v>Other</v>
      </c>
      <c r="M804" s="7" t="str">
        <f t="shared" si="4"/>
        <v>Neutral</v>
      </c>
      <c r="N804" s="7" t="str">
        <f>IFERROR(__xludf.DUMMYFUNCTION("LOWER(
TRIM(
REGEXREPLACE(B804,""[^a-zA-Z\s]"","""")
)
)
"),"michael ri")</f>
        <v>michael ri</v>
      </c>
      <c r="O804" s="7">
        <f t="shared" si="5"/>
        <v>1</v>
      </c>
      <c r="P804" s="8" t="str">
        <f t="shared" si="6"/>
        <v>No</v>
      </c>
    </row>
    <row r="805">
      <c r="A805" s="4" t="s">
        <v>16</v>
      </c>
      <c r="B805" s="4" t="s">
        <v>2301</v>
      </c>
      <c r="C805" s="9">
        <v>44960.0</v>
      </c>
      <c r="D805" s="10">
        <v>44961.0</v>
      </c>
      <c r="E805" s="4" t="s">
        <v>2302</v>
      </c>
      <c r="F805" s="4" t="s">
        <v>2303</v>
      </c>
      <c r="G805" s="6" t="str">
        <f>IFERROR(__xludf.DUMMYFUNCTION("REGEXREPLACE(LOWER(F805),""[^a-z\s]"","""")"),"need to tape top and bottom end edges just the middle is not enough on large bags")</f>
        <v>need to tape top and bottom end edges just the middle is not enough on large bags</v>
      </c>
      <c r="H805" s="4" t="str">
        <f t="shared" si="1"/>
        <v>need tape top bottom end edges just middle not enough on large bags</v>
      </c>
      <c r="I805" s="6">
        <f t="shared" si="2"/>
        <v>13</v>
      </c>
      <c r="J805" s="6">
        <f>IFERROR(__xludf.DUMMYFUNCTION("IF(H805="""","""",
SUM(
ARRAYFORMULA(
IF(
REGEXMATCH(
"" ""&amp;H805&amp;"" "",
"" ""&amp;Sentiment_Words!A$2:A3730&amp;"" ""
),
1,
0
)
)
)
)"),0.0)</f>
        <v>0</v>
      </c>
      <c r="K805" s="4">
        <f>IFERROR(__xludf.DUMMYFUNCTION("IF(H805="""","""",
SUM(
ARRAYFORMULA(
IF(
REGEXMATCH(
"" ""&amp;H805&amp;"" "",
"" ""&amp;Sentiment_Words!B$2:B3730&amp;"" ""
),
1,
0
)
)
)
)"),0.0)</f>
        <v>0</v>
      </c>
      <c r="L805" s="7" t="str">
        <f t="shared" si="3"/>
        <v>Other</v>
      </c>
      <c r="M805" s="7" t="str">
        <f t="shared" si="4"/>
        <v>Neutral</v>
      </c>
      <c r="N805" s="7" t="str">
        <f>IFERROR(__xludf.DUMMYFUNCTION("LOWER(
TRIM(
REGEXREPLACE(B805,""[^a-zA-Z\s]"","""")
)
)
"),"julie")</f>
        <v>julie</v>
      </c>
      <c r="O805" s="7">
        <f t="shared" si="5"/>
        <v>2</v>
      </c>
      <c r="P805" s="8" t="str">
        <f t="shared" si="6"/>
        <v>Yes</v>
      </c>
    </row>
    <row r="806">
      <c r="A806" s="4" t="s">
        <v>16</v>
      </c>
      <c r="B806" s="4" t="s">
        <v>2304</v>
      </c>
      <c r="C806" s="9">
        <v>44960.0</v>
      </c>
      <c r="D806" s="10">
        <v>44961.0</v>
      </c>
      <c r="E806" s="4" t="s">
        <v>81</v>
      </c>
      <c r="F806" s="4" t="s">
        <v>2305</v>
      </c>
      <c r="G806" s="6" t="str">
        <f>IFERROR(__xludf.DUMMYFUNCTION("REGEXREPLACE(LOWER(F806),""[^a-z\s]"","""")"),"its extremely easy to order anything
i really appreciate that its always on time when they say youll receive it
they also give you a tracking number so you can keep track of your order
its a great company and so easy ordering what you need ")</f>
        <v>its extremely easy to order anything
i really appreciate that its always on time when they say youll receive it
they also give you a tracking number so you can keep track of your order
its a great company and so easy ordering what you need </v>
      </c>
      <c r="H806" s="4" t="str">
        <f t="shared" si="1"/>
        <v>its extremely easy order anything
i really appreciate that its always on time when they say youll receive it
they also give you a tracking number so you can keep track of your order
its a great company so easy ordering what you need</v>
      </c>
      <c r="I806" s="6">
        <f t="shared" si="2"/>
        <v>41</v>
      </c>
      <c r="J806" s="6">
        <f>IFERROR(__xludf.DUMMYFUNCTION("IF(H806="""","""",
SUM(
ARRAYFORMULA(
IF(
REGEXMATCH(
"" ""&amp;H806&amp;"" "",
"" ""&amp;Sentiment_Words!A$2:A3730&amp;"" ""
),
1,
0
)
)
)
)"),3.0)</f>
        <v>3</v>
      </c>
      <c r="K806" s="4">
        <f>IFERROR(__xludf.DUMMYFUNCTION("IF(H806="""","""",
SUM(
ARRAYFORMULA(
IF(
REGEXMATCH(
"" ""&amp;H806&amp;"" "",
"" ""&amp;Sentiment_Words!B$2:B3730&amp;"" ""
),
1,
0
)
)
)
)"),0.0)</f>
        <v>0</v>
      </c>
      <c r="L806" s="7" t="str">
        <f t="shared" si="3"/>
        <v>Other</v>
      </c>
      <c r="M806" s="7" t="str">
        <f t="shared" si="4"/>
        <v>Positive</v>
      </c>
      <c r="N806" s="7" t="str">
        <f>IFERROR(__xludf.DUMMYFUNCTION("LOWER(
TRIM(
REGEXREPLACE(B806,""[^a-zA-Z\s]"","""")
)
)
"),"customer timothy")</f>
        <v>customer timothy</v>
      </c>
      <c r="O806" s="7">
        <f t="shared" si="5"/>
        <v>1</v>
      </c>
      <c r="P806" s="8" t="str">
        <f t="shared" si="6"/>
        <v>No</v>
      </c>
    </row>
    <row r="807">
      <c r="A807" s="4" t="s">
        <v>16</v>
      </c>
      <c r="B807" s="4" t="s">
        <v>2306</v>
      </c>
      <c r="C807" s="9">
        <v>44958.0</v>
      </c>
      <c r="D807" s="10">
        <v>44961.0</v>
      </c>
      <c r="E807" s="4" t="s">
        <v>2307</v>
      </c>
      <c r="F807" s="4" t="s">
        <v>2308</v>
      </c>
      <c r="G807" s="6" t="str">
        <f>IFERROR(__xludf.DUMMYFUNCTION("REGEXREPLACE(LOWER(F807),""[^a-z\s]"","""")"),"the deliveries arrive in good condition and on time")</f>
        <v>the deliveries arrive in good condition and on time</v>
      </c>
      <c r="H807" s="4" t="str">
        <f t="shared" si="1"/>
        <v>deliveries arrive in good condition on time</v>
      </c>
      <c r="I807" s="6">
        <f t="shared" si="2"/>
        <v>7</v>
      </c>
      <c r="J807" s="6">
        <f>IFERROR(__xludf.DUMMYFUNCTION("IF(H807="""","""",
SUM(
ARRAYFORMULA(
IF(
REGEXMATCH(
"" ""&amp;H807&amp;"" "",
"" ""&amp;Sentiment_Words!A$2:A3730&amp;"" ""
),
1,
0
)
)
)
)"),2.0)</f>
        <v>2</v>
      </c>
      <c r="K807" s="4">
        <f>IFERROR(__xludf.DUMMYFUNCTION("IF(H807="""","""",
SUM(
ARRAYFORMULA(
IF(
REGEXMATCH(
"" ""&amp;H807&amp;"" "",
"" ""&amp;Sentiment_Words!B$2:B3730&amp;"" ""
),
1,
0
)
)
)
)"),0.0)</f>
        <v>0</v>
      </c>
      <c r="L807" s="7" t="str">
        <f t="shared" si="3"/>
        <v>Other</v>
      </c>
      <c r="M807" s="7" t="str">
        <f t="shared" si="4"/>
        <v>Positive</v>
      </c>
      <c r="N807" s="7" t="str">
        <f>IFERROR(__xludf.DUMMYFUNCTION("LOWER(
TRIM(
REGEXREPLACE(B807,""[^a-zA-Z\s]"","""")
)
)
"),"bruce")</f>
        <v>bruce</v>
      </c>
      <c r="O807" s="7">
        <f t="shared" si="5"/>
        <v>3</v>
      </c>
      <c r="P807" s="8" t="str">
        <f t="shared" si="6"/>
        <v>Yes</v>
      </c>
    </row>
    <row r="808">
      <c r="A808" s="4" t="s">
        <v>16</v>
      </c>
      <c r="B808" s="4" t="s">
        <v>2309</v>
      </c>
      <c r="C808" s="9">
        <v>44959.0</v>
      </c>
      <c r="D808" s="10">
        <v>44960.0</v>
      </c>
      <c r="E808" s="4" t="s">
        <v>2310</v>
      </c>
      <c r="F808" s="4" t="s">
        <v>2311</v>
      </c>
      <c r="G808" s="6" t="str">
        <f>IFERROR(__xludf.DUMMYFUNCTION("REGEXREPLACE(LOWER(F808),""[^a-z\s]"","""")"),"petflow carries the particular brands of food for my pups that i are the most nutritious and made by family run companies in the us")</f>
        <v>petflow carries the particular brands of food for my pups that i are the most nutritious and made by family run companies in the us</v>
      </c>
      <c r="H808" s="4" t="str">
        <f t="shared" si="1"/>
        <v>petflow carries particular brands of food my pups that i are most nutritious made by family run companies in us</v>
      </c>
      <c r="I808" s="6">
        <f t="shared" si="2"/>
        <v>20</v>
      </c>
      <c r="J808" s="6">
        <f>IFERROR(__xludf.DUMMYFUNCTION("IF(H808="""","""",
SUM(
ARRAYFORMULA(
IF(
REGEXMATCH(
"" ""&amp;H808&amp;"" "",
"" ""&amp;Sentiment_Words!A$2:A3730&amp;"" ""
),
1,
0
)
)
)
)"),0.0)</f>
        <v>0</v>
      </c>
      <c r="K808" s="4">
        <f>IFERROR(__xludf.DUMMYFUNCTION("IF(H808="""","""",
SUM(
ARRAYFORMULA(
IF(
REGEXMATCH(
"" ""&amp;H808&amp;"" "",
"" ""&amp;Sentiment_Words!B$2:B3730&amp;"" ""
),
1,
0
)
)
)
)"),0.0)</f>
        <v>0</v>
      </c>
      <c r="L808" s="7" t="str">
        <f t="shared" si="3"/>
        <v>Other</v>
      </c>
      <c r="M808" s="7" t="str">
        <f t="shared" si="4"/>
        <v>Neutral</v>
      </c>
      <c r="N808" s="7" t="str">
        <f>IFERROR(__xludf.DUMMYFUNCTION("LOWER(
TRIM(
REGEXREPLACE(B808,""[^a-zA-Z\s]"","""")
)
)
"),"debbie reyes")</f>
        <v>debbie reyes</v>
      </c>
      <c r="O808" s="7">
        <f t="shared" si="5"/>
        <v>1</v>
      </c>
      <c r="P808" s="8" t="str">
        <f t="shared" si="6"/>
        <v>No</v>
      </c>
    </row>
    <row r="809">
      <c r="A809" s="4" t="s">
        <v>16</v>
      </c>
      <c r="B809" s="4" t="s">
        <v>2312</v>
      </c>
      <c r="C809" s="5">
        <v>44954.0</v>
      </c>
      <c r="D809" s="10">
        <v>44960.0</v>
      </c>
      <c r="E809" s="4" t="s">
        <v>2313</v>
      </c>
      <c r="F809" s="4" t="s">
        <v>2314</v>
      </c>
      <c r="G809" s="6" t="str">
        <f>IFERROR(__xludf.DUMMYFUNCTION("REGEXREPLACE(LOWER(F809),""[^a-z\s]"","""")"),"i have been using this service for over  years i have never had a bad experience with either the product or the customer service everyone i have dealt with has been friendly knowledgeable and professional")</f>
        <v>i have been using this service for over  years i have never had a bad experience with either the product or the customer service everyone i have dealt with has been friendly knowledgeable and professional</v>
      </c>
      <c r="H809" s="4" t="str">
        <f t="shared" si="1"/>
        <v>i have been using this service over years i have never had a bad experience with either product or customer service everyone i have dealt with has been friendly knowledgeable professional</v>
      </c>
      <c r="I809" s="6">
        <f t="shared" si="2"/>
        <v>31</v>
      </c>
      <c r="J809" s="6">
        <f>IFERROR(__xludf.DUMMYFUNCTION("IF(H809="""","""",
SUM(
ARRAYFORMULA(
IF(
REGEXMATCH(
"" ""&amp;H809&amp;"" "",
"" ""&amp;Sentiment_Words!A$2:A3730&amp;"" ""
),
1,
0
)
)
)
)"),0.0)</f>
        <v>0</v>
      </c>
      <c r="K809" s="4">
        <f>IFERROR(__xludf.DUMMYFUNCTION("IF(H809="""","""",
SUM(
ARRAYFORMULA(
IF(
REGEXMATCH(
"" ""&amp;H809&amp;"" "",
"" ""&amp;Sentiment_Words!B$2:B3730&amp;"" ""
),
1,
0
)
)
)
)"),1.0)</f>
        <v>1</v>
      </c>
      <c r="L809" s="7" t="str">
        <f t="shared" si="3"/>
        <v>Customer Support</v>
      </c>
      <c r="M809" s="7" t="str">
        <f t="shared" si="4"/>
        <v>Negative</v>
      </c>
      <c r="N809" s="7" t="str">
        <f>IFERROR(__xludf.DUMMYFUNCTION("LOWER(
TRIM(
REGEXREPLACE(B809,""[^a-zA-Z\s]"","""")
)
)
"),"kathyn")</f>
        <v>kathyn</v>
      </c>
      <c r="O809" s="7">
        <f t="shared" si="5"/>
        <v>1</v>
      </c>
      <c r="P809" s="8" t="str">
        <f t="shared" si="6"/>
        <v>No</v>
      </c>
    </row>
    <row r="810">
      <c r="A810" s="4" t="s">
        <v>16</v>
      </c>
      <c r="B810" s="4" t="s">
        <v>2315</v>
      </c>
      <c r="C810" s="5">
        <v>44951.0</v>
      </c>
      <c r="D810" s="10">
        <v>44960.0</v>
      </c>
      <c r="E810" s="4" t="s">
        <v>2316</v>
      </c>
      <c r="F810" s="4" t="s">
        <v>2317</v>
      </c>
      <c r="G810" s="6" t="str">
        <f>IFERROR(__xludf.DUMMYFUNCTION("REGEXREPLACE(LOWER(F810),""[^a-z\s]"","""")"),"shipment arrived torn from stem to stern and keel meager attempts at retaping most likely by the carrier packaging too light for the weight in the box amazed that all product was still in the box even tho box was near total destruction i notified pet flow"&amp;" and get zero response im thinking about seeking a new supplier this time pet flow was woefully under expectations")</f>
        <v>shipment arrived torn from stem to stern and keel meager attempts at retaping most likely by the carrier packaging too light for the weight in the box amazed that all product was still in the box even tho box was near total destruction i notified pet flow and get zero response im thinking about seeking a new supplier this time pet flow was woefully under expectations</v>
      </c>
      <c r="H810" s="4" t="str">
        <f t="shared" si="1"/>
        <v>shipment arrived torn from stem stern keel meager attempts at retaping most likely by carrier packaging too light weight in box amazed that all product was still in box even tho box was near total destruction i notified pet flow get zero response im thinking about seeking a new supplier this time pet flow was woefully under expectations</v>
      </c>
      <c r="I810" s="6">
        <f t="shared" si="2"/>
        <v>58</v>
      </c>
      <c r="J810" s="6">
        <f>IFERROR(__xludf.DUMMYFUNCTION("IF(H810="""","""",
SUM(
ARRAYFORMULA(
IF(
REGEXMATCH(
"" ""&amp;H810&amp;"" "",
"" ""&amp;Sentiment_Words!A$2:A3730&amp;"" ""
),
1,
0
)
)
)
)"),0.0)</f>
        <v>0</v>
      </c>
      <c r="K810" s="4">
        <f>IFERROR(__xludf.DUMMYFUNCTION("IF(H810="""","""",
SUM(
ARRAYFORMULA(
IF(
REGEXMATCH(
"" ""&amp;H810&amp;"" "",
"" ""&amp;Sentiment_Words!B$2:B3730&amp;"" ""
),
1,
0
)
)
)
)"),0.0)</f>
        <v>0</v>
      </c>
      <c r="L810" s="7" t="str">
        <f t="shared" si="3"/>
        <v>Other</v>
      </c>
      <c r="M810" s="7" t="str">
        <f t="shared" si="4"/>
        <v>Neutral</v>
      </c>
      <c r="N810" s="7" t="str">
        <f>IFERROR(__xludf.DUMMYFUNCTION("LOWER(
TRIM(
REGEXREPLACE(B810,""[^a-zA-Z\s]"","""")
)
)
"),"bubbleslatour")</f>
        <v>bubbleslatour</v>
      </c>
      <c r="O810" s="7">
        <f t="shared" si="5"/>
        <v>1</v>
      </c>
      <c r="P810" s="8" t="str">
        <f t="shared" si="6"/>
        <v>No</v>
      </c>
    </row>
    <row r="811">
      <c r="A811" s="4" t="s">
        <v>16</v>
      </c>
      <c r="B811" s="4" t="s">
        <v>2318</v>
      </c>
      <c r="C811" s="5">
        <v>44939.0</v>
      </c>
      <c r="D811" s="10">
        <v>44960.0</v>
      </c>
      <c r="E811" s="4" t="s">
        <v>2319</v>
      </c>
      <c r="F811" s="4" t="s">
        <v>2320</v>
      </c>
      <c r="G811" s="6" t="str">
        <f>IFERROR(__xludf.DUMMYFUNCTION("REGEXREPLACE(LOWER(F811),""[^a-z\s]"","""")"),"apparently when i placed my order the item was in stock my card was charged and i expected shipment soon a couple days later i got a refund of my purchase with no explanation the explanation came a couple days later that they were out of stock seems a bit"&amp;" odd that it was in stock i was charged and then all of a sudden its out of stock i guess they need a better inventory tracking system")</f>
        <v>apparently when i placed my order the item was in stock my card was charged and i expected shipment soon a couple days later i got a refund of my purchase with no explanation the explanation came a couple days later that they were out of stock seems a bit odd that it was in stock i was charged and then all of a sudden its out of stock i guess they need a better inventory tracking system</v>
      </c>
      <c r="H811" s="4" t="str">
        <f t="shared" si="1"/>
        <v>apparently when i placed my order item was in stock my card was charged i expected shipment soon a couple days later i got a refund of my purchase with no explanation explanation came a couple days later that they were out of stock seems a bit odd that it was in stock i was charged then all of a sudden its out of stock i guess they need a better inventory tracking system</v>
      </c>
      <c r="I811" s="6">
        <f t="shared" si="2"/>
        <v>74</v>
      </c>
      <c r="J811" s="6">
        <f>IFERROR(__xludf.DUMMYFUNCTION("IF(H811="""","""",
SUM(
ARRAYFORMULA(
IF(
REGEXMATCH(
"" ""&amp;H811&amp;"" "",
"" ""&amp;Sentiment_Words!A$2:A3730&amp;"" ""
),
1,
0
)
)
)
)"),0.0)</f>
        <v>0</v>
      </c>
      <c r="K811" s="4">
        <f>IFERROR(__xludf.DUMMYFUNCTION("IF(H811="""","""",
SUM(
ARRAYFORMULA(
IF(
REGEXMATCH(
"" ""&amp;H811&amp;"" "",
"" ""&amp;Sentiment_Words!B$2:B3730&amp;"" ""
),
1,
0
)
)
)
)"),2.0)</f>
        <v>2</v>
      </c>
      <c r="L811" s="7" t="str">
        <f t="shared" si="3"/>
        <v>Fulfillment &amp; Shipping</v>
      </c>
      <c r="M811" s="7" t="str">
        <f t="shared" si="4"/>
        <v>Negative</v>
      </c>
      <c r="N811" s="7" t="str">
        <f>IFERROR(__xludf.DUMMYFUNCTION("LOWER(
TRIM(
REGEXREPLACE(B811,""[^a-zA-Z\s]"","""")
)
)
"),"cheryl renshaw")</f>
        <v>cheryl renshaw</v>
      </c>
      <c r="O811" s="7">
        <f t="shared" si="5"/>
        <v>1</v>
      </c>
      <c r="P811" s="8" t="str">
        <f t="shared" si="6"/>
        <v>No</v>
      </c>
    </row>
    <row r="812">
      <c r="A812" s="4" t="s">
        <v>16</v>
      </c>
      <c r="B812" s="4" t="s">
        <v>2321</v>
      </c>
      <c r="C812" s="5">
        <v>44956.0</v>
      </c>
      <c r="D812" s="4" t="s">
        <v>2322</v>
      </c>
      <c r="E812" s="4" t="s">
        <v>2323</v>
      </c>
      <c r="F812" s="4" t="s">
        <v>2324</v>
      </c>
      <c r="G812" s="6" t="str">
        <f>IFERROR(__xludf.DUMMYFUNCTION("REGEXREPLACE(LOWER(F812),""[^a-z\s]"","""")"),"usually i dont have any issues this time the shipment of cat food was all over the place cans were not secure in the case and many were severely dented almost like someone just threw the case in the box")</f>
        <v>usually i dont have any issues this time the shipment of cat food was all over the place cans were not secure in the case and many were severely dented almost like someone just threw the case in the box</v>
      </c>
      <c r="H812" s="4" t="str">
        <f t="shared" si="1"/>
        <v>usually i dont have any issues this time shipment of cat food was all over place cans were not secure in case many were severely dented almost like someone just threw case in box</v>
      </c>
      <c r="I812" s="6">
        <f t="shared" si="2"/>
        <v>34</v>
      </c>
      <c r="J812" s="6">
        <f>IFERROR(__xludf.DUMMYFUNCTION("IF(H812="""","""",
SUM(
ARRAYFORMULA(
IF(
REGEXMATCH(
"" ""&amp;H812&amp;"" "",
"" ""&amp;Sentiment_Words!A$2:A3730&amp;"" ""
),
1,
0
)
)
)
)"),0.0)</f>
        <v>0</v>
      </c>
      <c r="K812" s="4">
        <f>IFERROR(__xludf.DUMMYFUNCTION("IF(H812="""","""",
SUM(
ARRAYFORMULA(
IF(
REGEXMATCH(
"" ""&amp;H812&amp;"" "",
"" ""&amp;Sentiment_Words!B$2:B3730&amp;"" ""
),
1,
0
)
)
)
)"),0.0)</f>
        <v>0</v>
      </c>
      <c r="L812" s="7" t="str">
        <f t="shared" si="3"/>
        <v>Other</v>
      </c>
      <c r="M812" s="7" t="str">
        <f t="shared" si="4"/>
        <v>Neutral</v>
      </c>
      <c r="N812" s="7" t="str">
        <f>IFERROR(__xludf.DUMMYFUNCTION("LOWER(
TRIM(
REGEXREPLACE(B812,""[^a-zA-Z\s]"","""")
)
)
"),"marilyn cole")</f>
        <v>marilyn cole</v>
      </c>
      <c r="O812" s="7">
        <f t="shared" si="5"/>
        <v>1</v>
      </c>
      <c r="P812" s="8" t="str">
        <f t="shared" si="6"/>
        <v>No</v>
      </c>
    </row>
    <row r="813">
      <c r="A813" s="4" t="s">
        <v>16</v>
      </c>
      <c r="B813" s="4" t="s">
        <v>2325</v>
      </c>
      <c r="C813" s="5">
        <v>44949.0</v>
      </c>
      <c r="D813" s="10">
        <v>44959.0</v>
      </c>
      <c r="E813" s="4" t="s">
        <v>2326</v>
      </c>
      <c r="F813" s="4" t="s">
        <v>2327</v>
      </c>
      <c r="G813" s="6" t="str">
        <f>IFERROR(__xludf.DUMMYFUNCTION("REGEXREPLACE(LOWER(F813),""[^a-z\s]"","""")"),"responsive customer support")</f>
        <v>responsive customer support</v>
      </c>
      <c r="H813" s="4" t="str">
        <f t="shared" si="1"/>
        <v>responsive customer support</v>
      </c>
      <c r="I813" s="6">
        <f t="shared" si="2"/>
        <v>3</v>
      </c>
      <c r="J813" s="6">
        <f>IFERROR(__xludf.DUMMYFUNCTION("IF(H813="""","""",
SUM(
ARRAYFORMULA(
IF(
REGEXMATCH(
"" ""&amp;H813&amp;"" "",
"" ""&amp;Sentiment_Words!A$2:A3730&amp;"" ""
),
1,
0
)
)
)
)"),0.0)</f>
        <v>0</v>
      </c>
      <c r="K813" s="4">
        <f>IFERROR(__xludf.DUMMYFUNCTION("IF(H813="""","""",
SUM(
ARRAYFORMULA(
IF(
REGEXMATCH(
"" ""&amp;H813&amp;"" "",
"" ""&amp;Sentiment_Words!B$2:B3730&amp;"" ""
),
1,
0
)
)
)
)"),0.0)</f>
        <v>0</v>
      </c>
      <c r="L813" s="7" t="str">
        <f t="shared" si="3"/>
        <v>Customer Support</v>
      </c>
      <c r="M813" s="7" t="str">
        <f t="shared" si="4"/>
        <v>Neutral</v>
      </c>
      <c r="N813" s="7" t="str">
        <f>IFERROR(__xludf.DUMMYFUNCTION("LOWER(
TRIM(
REGEXREPLACE(B813,""[^a-zA-Z\s]"","""")
)
)
"),"debora mcnamara")</f>
        <v>debora mcnamara</v>
      </c>
      <c r="O813" s="7">
        <f t="shared" si="5"/>
        <v>1</v>
      </c>
      <c r="P813" s="8" t="str">
        <f t="shared" si="6"/>
        <v>No</v>
      </c>
    </row>
    <row r="814">
      <c r="A814" s="4" t="s">
        <v>16</v>
      </c>
      <c r="B814" s="4" t="s">
        <v>2328</v>
      </c>
      <c r="C814" s="5">
        <v>44950.0</v>
      </c>
      <c r="D814" s="10">
        <v>44959.0</v>
      </c>
      <c r="E814" s="4" t="s">
        <v>2329</v>
      </c>
      <c r="F814" s="4" t="s">
        <v>2330</v>
      </c>
      <c r="G814" s="6" t="str">
        <f>IFERROR(__xludf.DUMMYFUNCTION("REGEXREPLACE(LOWER(F814),""[^a-z\s]"","""")"),"price and prompt delivery")</f>
        <v>price and prompt delivery</v>
      </c>
      <c r="H814" s="4" t="str">
        <f t="shared" si="1"/>
        <v>price prompt delivery</v>
      </c>
      <c r="I814" s="6">
        <f t="shared" si="2"/>
        <v>3</v>
      </c>
      <c r="J814" s="6">
        <f>IFERROR(__xludf.DUMMYFUNCTION("IF(H814="""","""",
SUM(
ARRAYFORMULA(
IF(
REGEXMATCH(
"" ""&amp;H814&amp;"" "",
"" ""&amp;Sentiment_Words!A$2:A3730&amp;"" ""
),
1,
0
)
)
)
)"),1.0)</f>
        <v>1</v>
      </c>
      <c r="K814" s="4">
        <f>IFERROR(__xludf.DUMMYFUNCTION("IF(H814="""","""",
SUM(
ARRAYFORMULA(
IF(
REGEXMATCH(
"" ""&amp;H814&amp;"" "",
"" ""&amp;Sentiment_Words!B$2:B3730&amp;"" ""
),
1,
0
)
)
)
)"),0.0)</f>
        <v>0</v>
      </c>
      <c r="L814" s="7" t="str">
        <f t="shared" si="3"/>
        <v>Other</v>
      </c>
      <c r="M814" s="7" t="str">
        <f t="shared" si="4"/>
        <v>Positive</v>
      </c>
      <c r="N814" s="7" t="str">
        <f>IFERROR(__xludf.DUMMYFUNCTION("LOWER(
TRIM(
REGEXREPLACE(B814,""[^a-zA-Z\s]"","""")
)
)
"),"nora wadeschultz")</f>
        <v>nora wadeschultz</v>
      </c>
      <c r="O814" s="7">
        <f t="shared" si="5"/>
        <v>1</v>
      </c>
      <c r="P814" s="8" t="str">
        <f t="shared" si="6"/>
        <v>No</v>
      </c>
    </row>
    <row r="815">
      <c r="A815" s="4" t="s">
        <v>16</v>
      </c>
      <c r="B815" s="4" t="s">
        <v>2331</v>
      </c>
      <c r="C815" s="5">
        <v>44951.0</v>
      </c>
      <c r="D815" s="10">
        <v>44959.0</v>
      </c>
      <c r="E815" s="4" t="s">
        <v>2332</v>
      </c>
      <c r="F815" s="4" t="s">
        <v>2333</v>
      </c>
      <c r="G815" s="6" t="str">
        <f>IFERROR(__xludf.DUMMYFUNCTION("REGEXREPLACE(LOWER(F815),""[^a-z\s]"","""")"),"i found this company online when the place i usually order from was out ordered three bags on saturday the product shipped on monday and arrived to my home on wednesday i live in a very rural area as well would definitely recommend")</f>
        <v>i found this company online when the place i usually order from was out ordered three bags on saturday the product shipped on monday and arrived to my home on wednesday i live in a very rural area as well would definitely recommend</v>
      </c>
      <c r="H815" s="4" t="str">
        <f t="shared" si="1"/>
        <v>i found this company online when place i usually order from was out ordered three bags on saturday product shipped on monday arrived my home on wednesday i live in a very rural area as well would definitely recommend</v>
      </c>
      <c r="I815" s="6">
        <f t="shared" si="2"/>
        <v>39</v>
      </c>
      <c r="J815" s="6">
        <f>IFERROR(__xludf.DUMMYFUNCTION("IF(H815="""","""",
SUM(
ARRAYFORMULA(
IF(
REGEXMATCH(
"" ""&amp;H815&amp;"" "",
"" ""&amp;Sentiment_Words!A$2:A3730&amp;"" ""
),
1,
0
)
)
)
)"),1.0)</f>
        <v>1</v>
      </c>
      <c r="K815" s="4">
        <f>IFERROR(__xludf.DUMMYFUNCTION("IF(H815="""","""",
SUM(
ARRAYFORMULA(
IF(
REGEXMATCH(
"" ""&amp;H815&amp;"" "",
"" ""&amp;Sentiment_Words!B$2:B3730&amp;"" ""
),
1,
0
)
)
)
)"),0.0)</f>
        <v>0</v>
      </c>
      <c r="L815" s="7" t="str">
        <f t="shared" si="3"/>
        <v>Other</v>
      </c>
      <c r="M815" s="7" t="str">
        <f t="shared" si="4"/>
        <v>Positive</v>
      </c>
      <c r="N815" s="7" t="str">
        <f>IFERROR(__xludf.DUMMYFUNCTION("LOWER(
TRIM(
REGEXREPLACE(B815,""[^a-zA-Z\s]"","""")
)
)
"),"a iannotta")</f>
        <v>a iannotta</v>
      </c>
      <c r="O815" s="7">
        <f t="shared" si="5"/>
        <v>1</v>
      </c>
      <c r="P815" s="8" t="str">
        <f t="shared" si="6"/>
        <v>No</v>
      </c>
    </row>
    <row r="816">
      <c r="A816" s="4" t="s">
        <v>16</v>
      </c>
      <c r="B816" s="4" t="s">
        <v>2334</v>
      </c>
      <c r="C816" s="5">
        <v>44945.0</v>
      </c>
      <c r="D816" s="10">
        <v>44959.0</v>
      </c>
      <c r="E816" s="4" t="s">
        <v>2335</v>
      </c>
      <c r="F816" s="4" t="s">
        <v>2336</v>
      </c>
      <c r="G816" s="6" t="str">
        <f>IFERROR(__xludf.DUMMYFUNCTION("REGEXREPLACE(LOWER(F816),""[^a-z\s]"","""")"),"quick shipping helpful customer support and quality cat food purchase best price too thank you")</f>
        <v>quick shipping helpful customer support and quality cat food purchase best price too thank you</v>
      </c>
      <c r="H816" s="4" t="str">
        <f t="shared" si="1"/>
        <v>quick shipping helpful customer support quality cat food purchase best price too thank you</v>
      </c>
      <c r="I816" s="6">
        <f t="shared" si="2"/>
        <v>14</v>
      </c>
      <c r="J816" s="6">
        <f>IFERROR(__xludf.DUMMYFUNCTION("IF(H816="""","""",
SUM(
ARRAYFORMULA(
IF(
REGEXMATCH(
"" ""&amp;H816&amp;"" "",
"" ""&amp;Sentiment_Words!A$2:A3730&amp;"" ""
),
1,
0
)
)
)
)"),1.0)</f>
        <v>1</v>
      </c>
      <c r="K816" s="4">
        <f>IFERROR(__xludf.DUMMYFUNCTION("IF(H816="""","""",
SUM(
ARRAYFORMULA(
IF(
REGEXMATCH(
"" ""&amp;H816&amp;"" "",
"" ""&amp;Sentiment_Words!B$2:B3730&amp;"" ""
),
1,
0
)
)
)
)"),0.0)</f>
        <v>0</v>
      </c>
      <c r="L816" s="7" t="str">
        <f t="shared" si="3"/>
        <v>Customer Support</v>
      </c>
      <c r="M816" s="7" t="str">
        <f t="shared" si="4"/>
        <v>Positive</v>
      </c>
      <c r="N816" s="7" t="str">
        <f>IFERROR(__xludf.DUMMYFUNCTION("LOWER(
TRIM(
REGEXREPLACE(B816,""[^a-zA-Z\s]"","""")
)
)
"),"mary hommel")</f>
        <v>mary hommel</v>
      </c>
      <c r="O816" s="7">
        <f t="shared" si="5"/>
        <v>1</v>
      </c>
      <c r="P816" s="8" t="str">
        <f t="shared" si="6"/>
        <v>No</v>
      </c>
    </row>
    <row r="817">
      <c r="A817" s="4" t="s">
        <v>16</v>
      </c>
      <c r="B817" s="4" t="s">
        <v>2337</v>
      </c>
      <c r="C817" s="5">
        <v>44947.0</v>
      </c>
      <c r="D817" s="10">
        <v>44959.0</v>
      </c>
      <c r="E817" s="4" t="s">
        <v>2338</v>
      </c>
      <c r="F817" s="4" t="s">
        <v>2339</v>
      </c>
      <c r="G817" s="6" t="str">
        <f>IFERROR(__xludf.DUMMYFUNCTION("REGEXREPLACE(LOWER(F817),""[^a-z\s]"","""")"),"there was a bit of confusion with the customer service rep when i called regarding the prescription diet food for my dog i had already sent the script to customer support but when i called to let them know it was there she said i needed to send it to cust"&amp;"omer support better listening would help but the product came quickly after they realized they had vet approval")</f>
        <v>there was a bit of confusion with the customer service rep when i called regarding the prescription diet food for my dog i had already sent the script to customer support but when i called to let them know it was there she said i needed to send it to customer support better listening would help but the product came quickly after they realized they had vet approval</v>
      </c>
      <c r="H817" s="4" t="str">
        <f t="shared" si="1"/>
        <v>there was a bit of confusion with customer service rep when i called regarding prescription diet food my dog i had already sent script customer support but when i called let them know it was there she said i needed send it customer support better listening would help but product came quickly after they realized they had vet approval</v>
      </c>
      <c r="I817" s="6">
        <f t="shared" si="2"/>
        <v>59</v>
      </c>
      <c r="J817" s="6">
        <f>IFERROR(__xludf.DUMMYFUNCTION("IF(H817="""","""",
SUM(
ARRAYFORMULA(
IF(
REGEXMATCH(
"" ""&amp;H817&amp;"" "",
"" ""&amp;Sentiment_Words!A$2:A3730&amp;"" ""
),
1,
0
)
)
)
)"),0.0)</f>
        <v>0</v>
      </c>
      <c r="K817" s="4">
        <f>IFERROR(__xludf.DUMMYFUNCTION("IF(H817="""","""",
SUM(
ARRAYFORMULA(
IF(
REGEXMATCH(
"" ""&amp;H817&amp;"" "",
"" ""&amp;Sentiment_Words!B$2:B3730&amp;"" ""
),
1,
0
)
)
)
)"),1.0)</f>
        <v>1</v>
      </c>
      <c r="L817" s="7" t="str">
        <f t="shared" si="3"/>
        <v>Customer Support</v>
      </c>
      <c r="M817" s="7" t="str">
        <f t="shared" si="4"/>
        <v>Negative</v>
      </c>
      <c r="N817" s="7" t="str">
        <f>IFERROR(__xludf.DUMMYFUNCTION("LOWER(
TRIM(
REGEXREPLACE(B817,""[^a-zA-Z\s]"","""")
)
)
"),"ross harrison")</f>
        <v>ross harrison</v>
      </c>
      <c r="O817" s="7">
        <f t="shared" si="5"/>
        <v>1</v>
      </c>
      <c r="P817" s="8" t="str">
        <f t="shared" si="6"/>
        <v>No</v>
      </c>
    </row>
    <row r="818">
      <c r="A818" s="4" t="s">
        <v>16</v>
      </c>
      <c r="B818" s="4" t="s">
        <v>2340</v>
      </c>
      <c r="C818" s="5">
        <v>44949.0</v>
      </c>
      <c r="D818" s="10">
        <v>44959.0</v>
      </c>
      <c r="E818" s="4" t="s">
        <v>2341</v>
      </c>
      <c r="F818" s="4" t="s">
        <v>2342</v>
      </c>
      <c r="G818" s="6" t="str">
        <f>IFERROR(__xludf.DUMMYFUNCTION("REGEXREPLACE(LOWER(F818),""[^a-z\s]"","""")"),"i ordered tetracolor xl tropical granules fish food and my fish thank you i got it just in time as i ran out of  days servings left speedy delivery for great price")</f>
        <v>i ordered tetracolor xl tropical granules fish food and my fish thank you i got it just in time as i ran out of  days servings left speedy delivery for great price</v>
      </c>
      <c r="H818" s="4" t="str">
        <f t="shared" si="1"/>
        <v>i ordered tetracolor xl tropical granules fish food my fish thank you i got it just in time as i ran out of days servings left speedy delivery great price</v>
      </c>
      <c r="I818" s="6">
        <f t="shared" si="2"/>
        <v>30</v>
      </c>
      <c r="J818" s="6">
        <f>IFERROR(__xludf.DUMMYFUNCTION("IF(H818="""","""",
SUM(
ARRAYFORMULA(
IF(
REGEXMATCH(
"" ""&amp;H818&amp;"" "",
"" ""&amp;Sentiment_Words!A$2:A3730&amp;"" ""
),
1,
0
)
)
)
)"),1.0)</f>
        <v>1</v>
      </c>
      <c r="K818" s="4">
        <f>IFERROR(__xludf.DUMMYFUNCTION("IF(H818="""","""",
SUM(
ARRAYFORMULA(
IF(
REGEXMATCH(
"" ""&amp;H818&amp;"" "",
"" ""&amp;Sentiment_Words!B$2:B3730&amp;"" ""
),
1,
0
)
)
)
)"),0.0)</f>
        <v>0</v>
      </c>
      <c r="L818" s="7" t="str">
        <f t="shared" si="3"/>
        <v>Other</v>
      </c>
      <c r="M818" s="7" t="str">
        <f t="shared" si="4"/>
        <v>Positive</v>
      </c>
      <c r="N818" s="7" t="str">
        <f>IFERROR(__xludf.DUMMYFUNCTION("LOWER(
TRIM(
REGEXREPLACE(B818,""[^a-zA-Z\s]"","""")
)
)
"),"richard wilson")</f>
        <v>richard wilson</v>
      </c>
      <c r="O818" s="7">
        <f t="shared" si="5"/>
        <v>1</v>
      </c>
      <c r="P818" s="8" t="str">
        <f t="shared" si="6"/>
        <v>No</v>
      </c>
    </row>
    <row r="819">
      <c r="A819" s="4" t="s">
        <v>16</v>
      </c>
      <c r="B819" s="4" t="s">
        <v>2343</v>
      </c>
      <c r="C819" s="5">
        <v>44948.0</v>
      </c>
      <c r="D819" s="10">
        <v>44958.0</v>
      </c>
      <c r="E819" s="4" t="s">
        <v>2344</v>
      </c>
      <c r="F819" s="4" t="s">
        <v>331</v>
      </c>
      <c r="G819" s="6" t="str">
        <f>IFERROR(__xludf.DUMMYFUNCTION("REGEXREPLACE(LOWER(F819),""[^a-z\s]"","""")"),"none")</f>
        <v>none</v>
      </c>
      <c r="H819" s="4" t="str">
        <f t="shared" si="1"/>
        <v>none</v>
      </c>
      <c r="I819" s="6">
        <f t="shared" si="2"/>
        <v>1</v>
      </c>
      <c r="J819" s="6">
        <f>IFERROR(__xludf.DUMMYFUNCTION("IF(H819="""","""",
SUM(
ARRAYFORMULA(
IF(
REGEXMATCH(
"" ""&amp;H819&amp;"" "",
"" ""&amp;Sentiment_Words!A$2:A3730&amp;"" ""
),
1,
0
)
)
)
)"),0.0)</f>
        <v>0</v>
      </c>
      <c r="K819" s="4">
        <f>IFERROR(__xludf.DUMMYFUNCTION("IF(H819="""","""",
SUM(
ARRAYFORMULA(
IF(
REGEXMATCH(
"" ""&amp;H819&amp;"" "",
"" ""&amp;Sentiment_Words!B$2:B3730&amp;"" ""
),
1,
0
)
)
)
)"),0.0)</f>
        <v>0</v>
      </c>
      <c r="L819" s="7" t="str">
        <f t="shared" si="3"/>
        <v>Other</v>
      </c>
      <c r="M819" s="7" t="str">
        <f t="shared" si="4"/>
        <v>Neutral</v>
      </c>
      <c r="N819" s="7" t="str">
        <f>IFERROR(__xludf.DUMMYFUNCTION("LOWER(
TRIM(
REGEXREPLACE(B819,""[^a-zA-Z\s]"","""")
)
)
"),"sue evans")</f>
        <v>sue evans</v>
      </c>
      <c r="O819" s="7">
        <f t="shared" si="5"/>
        <v>1</v>
      </c>
      <c r="P819" s="8" t="str">
        <f t="shared" si="6"/>
        <v>No</v>
      </c>
    </row>
    <row r="820">
      <c r="A820" s="4" t="s">
        <v>16</v>
      </c>
      <c r="B820" s="4" t="s">
        <v>2345</v>
      </c>
      <c r="C820" s="5">
        <v>44950.0</v>
      </c>
      <c r="D820" s="10">
        <v>44958.0</v>
      </c>
      <c r="E820" s="4" t="s">
        <v>2346</v>
      </c>
      <c r="F820" s="4" t="s">
        <v>331</v>
      </c>
      <c r="G820" s="6" t="str">
        <f>IFERROR(__xludf.DUMMYFUNCTION("REGEXREPLACE(LOWER(F820),""[^a-z\s]"","""")"),"none")</f>
        <v>none</v>
      </c>
      <c r="H820" s="4" t="str">
        <f t="shared" si="1"/>
        <v>none</v>
      </c>
      <c r="I820" s="6">
        <f t="shared" si="2"/>
        <v>1</v>
      </c>
      <c r="J820" s="6">
        <f>IFERROR(__xludf.DUMMYFUNCTION("IF(H820="""","""",
SUM(
ARRAYFORMULA(
IF(
REGEXMATCH(
"" ""&amp;H820&amp;"" "",
"" ""&amp;Sentiment_Words!A$2:A3730&amp;"" ""
),
1,
0
)
)
)
)"),0.0)</f>
        <v>0</v>
      </c>
      <c r="K820" s="4">
        <f>IFERROR(__xludf.DUMMYFUNCTION("IF(H820="""","""",
SUM(
ARRAYFORMULA(
IF(
REGEXMATCH(
"" ""&amp;H820&amp;"" "",
"" ""&amp;Sentiment_Words!B$2:B3730&amp;"" ""
),
1,
0
)
)
)
)"),0.0)</f>
        <v>0</v>
      </c>
      <c r="L820" s="7" t="str">
        <f t="shared" si="3"/>
        <v>Other</v>
      </c>
      <c r="M820" s="7" t="str">
        <f t="shared" si="4"/>
        <v>Neutral</v>
      </c>
      <c r="N820" s="7" t="str">
        <f>IFERROR(__xludf.DUMMYFUNCTION("LOWER(
TRIM(
REGEXREPLACE(B820,""[^a-zA-Z\s]"","""")
)
)
"),"suzanne")</f>
        <v>suzanne</v>
      </c>
      <c r="O820" s="7">
        <f t="shared" si="5"/>
        <v>3</v>
      </c>
      <c r="P820" s="8" t="str">
        <f t="shared" si="6"/>
        <v>Yes</v>
      </c>
    </row>
    <row r="821">
      <c r="A821" s="4" t="s">
        <v>16</v>
      </c>
      <c r="B821" s="4" t="s">
        <v>2347</v>
      </c>
      <c r="C821" s="5">
        <v>44947.0</v>
      </c>
      <c r="D821" s="10">
        <v>44958.0</v>
      </c>
      <c r="E821" s="4" t="s">
        <v>2348</v>
      </c>
      <c r="F821" s="4" t="s">
        <v>331</v>
      </c>
      <c r="G821" s="6" t="str">
        <f>IFERROR(__xludf.DUMMYFUNCTION("REGEXREPLACE(LOWER(F821),""[^a-z\s]"","""")"),"none")</f>
        <v>none</v>
      </c>
      <c r="H821" s="4" t="str">
        <f t="shared" si="1"/>
        <v>none</v>
      </c>
      <c r="I821" s="6">
        <f t="shared" si="2"/>
        <v>1</v>
      </c>
      <c r="J821" s="6">
        <f>IFERROR(__xludf.DUMMYFUNCTION("IF(H821="""","""",
SUM(
ARRAYFORMULA(
IF(
REGEXMATCH(
"" ""&amp;H821&amp;"" "",
"" ""&amp;Sentiment_Words!A$2:A3730&amp;"" ""
),
1,
0
)
)
)
)"),0.0)</f>
        <v>0</v>
      </c>
      <c r="K821" s="4">
        <f>IFERROR(__xludf.DUMMYFUNCTION("IF(H821="""","""",
SUM(
ARRAYFORMULA(
IF(
REGEXMATCH(
"" ""&amp;H821&amp;"" "",
"" ""&amp;Sentiment_Words!B$2:B3730&amp;"" ""
),
1,
0
)
)
)
)"),0.0)</f>
        <v>0</v>
      </c>
      <c r="L821" s="7" t="str">
        <f t="shared" si="3"/>
        <v>Other</v>
      </c>
      <c r="M821" s="7" t="str">
        <f t="shared" si="4"/>
        <v>Neutral</v>
      </c>
      <c r="N821" s="7" t="str">
        <f>IFERROR(__xludf.DUMMYFUNCTION("LOWER(
TRIM(
REGEXREPLACE(B821,""[^a-zA-Z\s]"","""")
)
)
"),"pa jo")</f>
        <v>pa jo</v>
      </c>
      <c r="O821" s="7">
        <f t="shared" si="5"/>
        <v>1</v>
      </c>
      <c r="P821" s="8" t="str">
        <f t="shared" si="6"/>
        <v>No</v>
      </c>
    </row>
    <row r="822">
      <c r="A822" s="4" t="s">
        <v>16</v>
      </c>
      <c r="B822" s="4" t="s">
        <v>2349</v>
      </c>
      <c r="C822" s="5">
        <v>44952.0</v>
      </c>
      <c r="D822" s="10">
        <v>44958.0</v>
      </c>
      <c r="E822" s="4" t="s">
        <v>2350</v>
      </c>
      <c r="F822" s="4" t="s">
        <v>2351</v>
      </c>
      <c r="G822" s="6" t="str">
        <f>IFERROR(__xludf.DUMMYFUNCTION("REGEXREPLACE(LOWER(F822),""[^a-z\s]"","""")"),"my package was delivered damaged and they quickly replaced it without questions")</f>
        <v>my package was delivered damaged and they quickly replaced it without questions</v>
      </c>
      <c r="H822" s="4" t="str">
        <f t="shared" si="1"/>
        <v>my package was delivered damaged they quickly replaced it without questions</v>
      </c>
      <c r="I822" s="6">
        <f t="shared" si="2"/>
        <v>11</v>
      </c>
      <c r="J822" s="6">
        <f>IFERROR(__xludf.DUMMYFUNCTION("IF(H822="""","""",
SUM(
ARRAYFORMULA(
IF(
REGEXMATCH(
"" ""&amp;H822&amp;"" "",
"" ""&amp;Sentiment_Words!A$2:A3730&amp;"" ""
),
1,
0
)
)
)
)"),1.0)</f>
        <v>1</v>
      </c>
      <c r="K822" s="4">
        <f>IFERROR(__xludf.DUMMYFUNCTION("IF(H822="""","""",
SUM(
ARRAYFORMULA(
IF(
REGEXMATCH(
"" ""&amp;H822&amp;"" "",
"" ""&amp;Sentiment_Words!B$2:B3730&amp;"" ""
),
1,
0
)
)
)
)"),0.0)</f>
        <v>0</v>
      </c>
      <c r="L822" s="7" t="str">
        <f t="shared" si="3"/>
        <v>Other</v>
      </c>
      <c r="M822" s="7" t="str">
        <f t="shared" si="4"/>
        <v>Positive</v>
      </c>
      <c r="N822" s="7" t="str">
        <f>IFERROR(__xludf.DUMMYFUNCTION("LOWER(
TRIM(
REGEXREPLACE(B822,""[^a-zA-Z\s]"","""")
)
)
"),"arizona customer")</f>
        <v>arizona customer</v>
      </c>
      <c r="O822" s="7">
        <f t="shared" si="5"/>
        <v>1</v>
      </c>
      <c r="P822" s="8" t="str">
        <f t="shared" si="6"/>
        <v>No</v>
      </c>
    </row>
    <row r="823">
      <c r="A823" s="4" t="s">
        <v>16</v>
      </c>
      <c r="B823" s="4" t="s">
        <v>2352</v>
      </c>
      <c r="C823" s="5">
        <v>44942.0</v>
      </c>
      <c r="D823" s="10">
        <v>44958.0</v>
      </c>
      <c r="E823" s="4" t="s">
        <v>2353</v>
      </c>
      <c r="F823" s="4" t="s">
        <v>2354</v>
      </c>
      <c r="G823" s="6" t="str">
        <f>IFERROR(__xludf.DUMMYFUNCTION("REGEXREPLACE(LOWER(F823),""[^a-z\s]"","""")"),"has what i needed and delivered it in good time")</f>
        <v>has what i needed and delivered it in good time</v>
      </c>
      <c r="H823" s="4" t="str">
        <f t="shared" si="1"/>
        <v>has what i needed delivered it in good time</v>
      </c>
      <c r="I823" s="6">
        <f t="shared" si="2"/>
        <v>9</v>
      </c>
      <c r="J823" s="6">
        <f>IFERROR(__xludf.DUMMYFUNCTION("IF(H823="""","""",
SUM(
ARRAYFORMULA(
IF(
REGEXMATCH(
"" ""&amp;H823&amp;"" "",
"" ""&amp;Sentiment_Words!A$2:A3730&amp;"" ""
),
1,
0
)
)
)
)"),2.0)</f>
        <v>2</v>
      </c>
      <c r="K823" s="4">
        <f>IFERROR(__xludf.DUMMYFUNCTION("IF(H823="""","""",
SUM(
ARRAYFORMULA(
IF(
REGEXMATCH(
"" ""&amp;H823&amp;"" "",
"" ""&amp;Sentiment_Words!B$2:B3730&amp;"" ""
),
1,
0
)
)
)
)"),0.0)</f>
        <v>0</v>
      </c>
      <c r="L823" s="7" t="str">
        <f t="shared" si="3"/>
        <v>Other</v>
      </c>
      <c r="M823" s="7" t="str">
        <f t="shared" si="4"/>
        <v>Positive</v>
      </c>
      <c r="N823" s="7" t="str">
        <f>IFERROR(__xludf.DUMMYFUNCTION("LOWER(
TRIM(
REGEXREPLACE(B823,""[^a-zA-Z\s]"","""")
)
)
"),"betty gibbs")</f>
        <v>betty gibbs</v>
      </c>
      <c r="O823" s="7">
        <f t="shared" si="5"/>
        <v>1</v>
      </c>
      <c r="P823" s="8" t="str">
        <f t="shared" si="6"/>
        <v>No</v>
      </c>
    </row>
    <row r="824">
      <c r="A824" s="4" t="s">
        <v>16</v>
      </c>
      <c r="B824" s="4" t="s">
        <v>2355</v>
      </c>
      <c r="C824" s="5">
        <v>44950.0</v>
      </c>
      <c r="D824" s="10">
        <v>44958.0</v>
      </c>
      <c r="E824" s="4" t="s">
        <v>2356</v>
      </c>
      <c r="F824" s="4" t="s">
        <v>2357</v>
      </c>
      <c r="G824" s="6" t="str">
        <f>IFERROR(__xludf.DUMMYFUNCTION("REGEXREPLACE(LOWER(F824),""[^a-z\s]"","""")"),"easy to navigate website found the dog food i was looking for and with discounts applied by petflow was able to get the lowest price i could find anywhere")</f>
        <v>easy to navigate website found the dog food i was looking for and with discounts applied by petflow was able to get the lowest price i could find anywhere</v>
      </c>
      <c r="H824" s="4" t="str">
        <f t="shared" si="1"/>
        <v>easy navigate website found dog food i was looking with discounts applied by petflow was able get lowest price i could find anywhere</v>
      </c>
      <c r="I824" s="6">
        <f t="shared" si="2"/>
        <v>23</v>
      </c>
      <c r="J824" s="6">
        <f>IFERROR(__xludf.DUMMYFUNCTION("IF(H824="""","""",
SUM(
ARRAYFORMULA(
IF(
REGEXMATCH(
"" ""&amp;H824&amp;"" "",
"" ""&amp;Sentiment_Words!A$2:A3730&amp;"" ""
),
1,
0
)
)
)
)"),3.0)</f>
        <v>3</v>
      </c>
      <c r="K824" s="4">
        <f>IFERROR(__xludf.DUMMYFUNCTION("IF(H824="""","""",
SUM(
ARRAYFORMULA(
IF(
REGEXMATCH(
"" ""&amp;H824&amp;"" "",
"" ""&amp;Sentiment_Words!B$2:B3730&amp;"" ""
),
1,
0
)
)
)
)"),0.0)</f>
        <v>0</v>
      </c>
      <c r="L824" s="7" t="str">
        <f t="shared" si="3"/>
        <v>Account &amp; Website</v>
      </c>
      <c r="M824" s="7" t="str">
        <f t="shared" si="4"/>
        <v>Positive</v>
      </c>
      <c r="N824" s="7" t="str">
        <f>IFERROR(__xludf.DUMMYFUNCTION("LOWER(
TRIM(
REGEXREPLACE(B824,""[^a-zA-Z\s]"","""")
)
)
"),"susan ostby")</f>
        <v>susan ostby</v>
      </c>
      <c r="O824" s="7">
        <f t="shared" si="5"/>
        <v>1</v>
      </c>
      <c r="P824" s="8" t="str">
        <f t="shared" si="6"/>
        <v>No</v>
      </c>
    </row>
    <row r="825">
      <c r="A825" s="4" t="s">
        <v>16</v>
      </c>
      <c r="B825" s="4" t="s">
        <v>2358</v>
      </c>
      <c r="C825" s="5">
        <v>44949.0</v>
      </c>
      <c r="D825" s="10">
        <v>44958.0</v>
      </c>
      <c r="E825" s="4" t="s">
        <v>2359</v>
      </c>
      <c r="F825" s="4" t="s">
        <v>2360</v>
      </c>
      <c r="G825" s="6" t="str">
        <f>IFERROR(__xludf.DUMMYFUNCTION("REGEXREPLACE(LOWER(F825),""[^a-z\s]"","""")"),"this was the first time i had shopped with petflow and found it to be very easy to find what i needed")</f>
        <v>this was the first time i had shopped with petflow and found it to be very easy to find what i needed</v>
      </c>
      <c r="H825" s="4" t="str">
        <f t="shared" si="1"/>
        <v>this was first time i had shopped with petflow found it be very easy find what i needed</v>
      </c>
      <c r="I825" s="6">
        <f t="shared" si="2"/>
        <v>18</v>
      </c>
      <c r="J825" s="6">
        <f>IFERROR(__xludf.DUMMYFUNCTION("IF(H825="""","""",
SUM(
ARRAYFORMULA(
IF(
REGEXMATCH(
"" ""&amp;H825&amp;"" "",
"" ""&amp;Sentiment_Words!A$2:A3730&amp;"" ""
),
1,
0
)
)
)
)"),2.0)</f>
        <v>2</v>
      </c>
      <c r="K825" s="4">
        <f>IFERROR(__xludf.DUMMYFUNCTION("IF(H825="""","""",
SUM(
ARRAYFORMULA(
IF(
REGEXMATCH(
"" ""&amp;H825&amp;"" "",
"" ""&amp;Sentiment_Words!B$2:B3730&amp;"" ""
),
1,
0
)
)
)
)"),0.0)</f>
        <v>0</v>
      </c>
      <c r="L825" s="7" t="str">
        <f t="shared" si="3"/>
        <v>Other</v>
      </c>
      <c r="M825" s="7" t="str">
        <f t="shared" si="4"/>
        <v>Positive</v>
      </c>
      <c r="N825" s="7" t="str">
        <f>IFERROR(__xludf.DUMMYFUNCTION("LOWER(
TRIM(
REGEXREPLACE(B825,""[^a-zA-Z\s]"","""")
)
)
"),"kvl")</f>
        <v>kvl</v>
      </c>
      <c r="O825" s="7">
        <f t="shared" si="5"/>
        <v>1</v>
      </c>
      <c r="P825" s="8" t="str">
        <f t="shared" si="6"/>
        <v>No</v>
      </c>
    </row>
    <row r="826">
      <c r="A826" s="4" t="s">
        <v>16</v>
      </c>
      <c r="B826" s="4" t="s">
        <v>2361</v>
      </c>
      <c r="C826" s="5">
        <v>44945.0</v>
      </c>
      <c r="D826" s="10">
        <v>44957.0</v>
      </c>
      <c r="E826" s="4" t="s">
        <v>2362</v>
      </c>
      <c r="F826" s="4" t="s">
        <v>2363</v>
      </c>
      <c r="G826" s="6" t="str">
        <f>IFERROR(__xludf.DUMMYFUNCTION("REGEXREPLACE(LOWER(F826),""[^a-z\s]"","""")"),"i will never order anything from this company again they do not have the food i ordered but its on back order now they are holding my credit card hostage and wont cancel my order")</f>
        <v>i will never order anything from this company again they do not have the food i ordered but its on back order now they are holding my credit card hostage and wont cancel my order</v>
      </c>
      <c r="H826" s="4" t="str">
        <f t="shared" si="1"/>
        <v>i will never order anything from this company again they do not have food i ordered but its on back order now they are holding my credit card hostage wont cancel my order</v>
      </c>
      <c r="I826" s="6">
        <f t="shared" si="2"/>
        <v>33</v>
      </c>
      <c r="J826" s="6">
        <f>IFERROR(__xludf.DUMMYFUNCTION("IF(H826="""","""",
SUM(
ARRAYFORMULA(
IF(
REGEXMATCH(
"" ""&amp;H826&amp;"" "",
"" ""&amp;Sentiment_Words!A$2:A3730&amp;"" ""
),
1,
0
)
)
)
)"),0.0)</f>
        <v>0</v>
      </c>
      <c r="K826" s="4">
        <f>IFERROR(__xludf.DUMMYFUNCTION("IF(H826="""","""",
SUM(
ARRAYFORMULA(
IF(
REGEXMATCH(
"" ""&amp;H826&amp;"" "",
"" ""&amp;Sentiment_Words!B$2:B3730&amp;"" ""
),
1,
0
)
)
)
)"),0.0)</f>
        <v>0</v>
      </c>
      <c r="L826" s="7" t="str">
        <f t="shared" si="3"/>
        <v>Other</v>
      </c>
      <c r="M826" s="7" t="str">
        <f t="shared" si="4"/>
        <v>Neutral</v>
      </c>
      <c r="N826" s="7" t="str">
        <f>IFERROR(__xludf.DUMMYFUNCTION("LOWER(
TRIM(
REGEXREPLACE(B826,""[^a-zA-Z\s]"","""")
)
)
"),"jody huth")</f>
        <v>jody huth</v>
      </c>
      <c r="O826" s="7">
        <f t="shared" si="5"/>
        <v>1</v>
      </c>
      <c r="P826" s="8" t="str">
        <f t="shared" si="6"/>
        <v>No</v>
      </c>
    </row>
    <row r="827">
      <c r="A827" s="4" t="s">
        <v>16</v>
      </c>
      <c r="B827" s="4" t="s">
        <v>2364</v>
      </c>
      <c r="C827" s="5">
        <v>44950.0</v>
      </c>
      <c r="D827" s="10">
        <v>44957.0</v>
      </c>
      <c r="E827" s="4" t="s">
        <v>2365</v>
      </c>
      <c r="F827" s="4" t="s">
        <v>2366</v>
      </c>
      <c r="G827" s="6" t="str">
        <f>IFERROR(__xludf.DUMMYFUNCTION("REGEXREPLACE(LOWER(F827),""[^a-z\s]"","""")"),"my orders are always punctual and good this time was especially essential that my order was expedited faster than usual as my dog sitter who was taking care of my dog during a family death over the holidays didnt tell me he was almost out of food thank yo"&amp;"u for sending so fast and making my pup happy the fromm brand is the only kind my dog can eat as he is allergic to chicken and do you know how hard it is to find treats or anything else without chicken products thank goodness for this fromm brand thanks a"&amp;"gain")</f>
        <v>my orders are always punctual and good this time was especially essential that my order was expedited faster than usual as my dog sitter who was taking care of my dog during a family death over the holidays didnt tell me he was almost out of food thank you for sending so fast and making my pup happy the fromm brand is the only kind my dog can eat as he is allergic to chicken and do you know how hard it is to find treats or anything else without chicken products thank goodness for this fromm brand thanks again</v>
      </c>
      <c r="H827" s="4" t="str">
        <f t="shared" si="1"/>
        <v>my orders are always punctual good this time was especially essential that my order was expedited faster than usual as my dog sitter who was taking care of my dog during a family death over holidays didnt tell me he was almost out of food thank you sending so fast making my pup happy fromm brand only kind my dog can eat as he allergic chicken do you know how hard it find treats or anything else without chicken products thank goodness this fromm brand thanks again</v>
      </c>
      <c r="I827" s="6">
        <f t="shared" si="2"/>
        <v>87</v>
      </c>
      <c r="J827" s="6">
        <f>IFERROR(__xludf.DUMMYFUNCTION("IF(H827="""","""",
SUM(
ARRAYFORMULA(
IF(
REGEXMATCH(
"" ""&amp;H827&amp;"" "",
"" ""&amp;Sentiment_Words!A$2:A3730&amp;"" ""
),
1,
0
)
)
)
)"),3.0)</f>
        <v>3</v>
      </c>
      <c r="K827" s="4">
        <f>IFERROR(__xludf.DUMMYFUNCTION("IF(H827="""","""",
SUM(
ARRAYFORMULA(
IF(
REGEXMATCH(
"" ""&amp;H827&amp;"" "",
"" ""&amp;Sentiment_Words!B$2:B3730&amp;"" ""
),
1,
0
)
)
)
)"),0.0)</f>
        <v>0</v>
      </c>
      <c r="L827" s="7" t="str">
        <f t="shared" si="3"/>
        <v>Other</v>
      </c>
      <c r="M827" s="7" t="str">
        <f t="shared" si="4"/>
        <v>Positive</v>
      </c>
      <c r="N827" s="7" t="str">
        <f>IFERROR(__xludf.DUMMYFUNCTION("LOWER(
TRIM(
REGEXREPLACE(B827,""[^a-zA-Z\s]"","""")
)
)
"),"diane campochiaro")</f>
        <v>diane campochiaro</v>
      </c>
      <c r="O827" s="7">
        <f t="shared" si="5"/>
        <v>1</v>
      </c>
      <c r="P827" s="8" t="str">
        <f t="shared" si="6"/>
        <v>No</v>
      </c>
    </row>
    <row r="828">
      <c r="A828" s="4" t="s">
        <v>16</v>
      </c>
      <c r="B828" s="4" t="s">
        <v>2367</v>
      </c>
      <c r="C828" s="5">
        <v>44946.0</v>
      </c>
      <c r="D828" s="10">
        <v>44957.0</v>
      </c>
      <c r="E828" s="4" t="s">
        <v>2368</v>
      </c>
      <c r="F828" s="4" t="s">
        <v>2369</v>
      </c>
      <c r="G828" s="6" t="str">
        <f>IFERROR(__xludf.DUMMYFUNCTION("REGEXREPLACE(LOWER(F828),""[^a-z\s]"","""")"),"my account showed a backorder order more product then got a bunch of products good for months")</f>
        <v>my account showed a backorder order more product then got a bunch of products good for months</v>
      </c>
      <c r="H828" s="4" t="str">
        <f t="shared" si="1"/>
        <v>my account showed a backorder order more product then got a bunch of products good months</v>
      </c>
      <c r="I828" s="6">
        <f t="shared" si="2"/>
        <v>16</v>
      </c>
      <c r="J828" s="6">
        <f>IFERROR(__xludf.DUMMYFUNCTION("IF(H828="""","""",
SUM(
ARRAYFORMULA(
IF(
REGEXMATCH(
"" ""&amp;H828&amp;"" "",
"" ""&amp;Sentiment_Words!A$2:A3730&amp;"" ""
),
1,
0
)
)
)
)"),1.0)</f>
        <v>1</v>
      </c>
      <c r="K828" s="4">
        <f>IFERROR(__xludf.DUMMYFUNCTION("IF(H828="""","""",
SUM(
ARRAYFORMULA(
IF(
REGEXMATCH(
"" ""&amp;H828&amp;"" "",
"" ""&amp;Sentiment_Words!B$2:B3730&amp;"" ""
),
1,
0
)
)
)
)"),0.0)</f>
        <v>0</v>
      </c>
      <c r="L828" s="7" t="str">
        <f t="shared" si="3"/>
        <v>Account &amp; Website</v>
      </c>
      <c r="M828" s="7" t="str">
        <f t="shared" si="4"/>
        <v>Positive</v>
      </c>
      <c r="N828" s="7" t="str">
        <f>IFERROR(__xludf.DUMMYFUNCTION("LOWER(
TRIM(
REGEXREPLACE(B828,""[^a-zA-Z\s]"","""")
)
)
"),"thomas smith")</f>
        <v>thomas smith</v>
      </c>
      <c r="O828" s="7">
        <f t="shared" si="5"/>
        <v>1</v>
      </c>
      <c r="P828" s="8" t="str">
        <f t="shared" si="6"/>
        <v>No</v>
      </c>
    </row>
    <row r="829">
      <c r="A829" s="4" t="s">
        <v>16</v>
      </c>
      <c r="B829" s="4" t="s">
        <v>56</v>
      </c>
      <c r="C829" s="5">
        <v>44956.0</v>
      </c>
      <c r="D829" s="10">
        <v>44957.0</v>
      </c>
      <c r="E829" s="4" t="s">
        <v>2370</v>
      </c>
      <c r="F829" s="4" t="s">
        <v>2371</v>
      </c>
      <c r="G829" s="6" t="str">
        <f>IFERROR(__xludf.DUMMYFUNCTION("REGEXREPLACE(LOWER(F829),""[^a-z\s]"","""")"),"i needed to find a specific prescription food for my diabetic dog and they had it along with some other options that my vet would approve if my dog didnt like this one they got in touch with my vet immediately to verify his prescription and shipped the fo"&amp;"od to me within  hours")</f>
        <v>i needed to find a specific prescription food for my diabetic dog and they had it along with some other options that my vet would approve if my dog didnt like this one they got in touch with my vet immediately to verify his prescription and shipped the food to me within  hours</v>
      </c>
      <c r="H829" s="4" t="str">
        <f t="shared" si="1"/>
        <v>i needed find a specific prescription food my diabetic dog they had it along with some other options that my vet would approve if my dog didnt like this one they got in touch with my vet immediately verify his prescription shipped food me within hours</v>
      </c>
      <c r="I829" s="6">
        <f t="shared" si="2"/>
        <v>46</v>
      </c>
      <c r="J829" s="6">
        <f>IFERROR(__xludf.DUMMYFUNCTION("IF(H829="""","""",
SUM(
ARRAYFORMULA(
IF(
REGEXMATCH(
"" ""&amp;H829&amp;"" "",
"" ""&amp;Sentiment_Words!A$2:A3730&amp;"" ""
),
1,
0
)
)
)
)"),1.0)</f>
        <v>1</v>
      </c>
      <c r="K829" s="4">
        <f>IFERROR(__xludf.DUMMYFUNCTION("IF(H829="""","""",
SUM(
ARRAYFORMULA(
IF(
REGEXMATCH(
"" ""&amp;H829&amp;"" "",
"" ""&amp;Sentiment_Words!B$2:B3730&amp;"" ""
),
1,
0
)
)
)
)"),0.0)</f>
        <v>0</v>
      </c>
      <c r="L829" s="7" t="str">
        <f t="shared" si="3"/>
        <v>Other</v>
      </c>
      <c r="M829" s="7" t="str">
        <f t="shared" si="4"/>
        <v>Positive</v>
      </c>
      <c r="N829" s="7" t="str">
        <f>IFERROR(__xludf.DUMMYFUNCTION("LOWER(
TRIM(
REGEXREPLACE(B829,""[^a-zA-Z\s]"","""")
)
)
"),"customer")</f>
        <v>customer</v>
      </c>
      <c r="O829" s="7">
        <f t="shared" si="5"/>
        <v>54</v>
      </c>
      <c r="P829" s="8" t="str">
        <f t="shared" si="6"/>
        <v>Yes</v>
      </c>
    </row>
    <row r="830">
      <c r="A830" s="4" t="s">
        <v>16</v>
      </c>
      <c r="B830" s="4" t="s">
        <v>2372</v>
      </c>
      <c r="C830" s="5">
        <v>44949.0</v>
      </c>
      <c r="D830" s="10">
        <v>44957.0</v>
      </c>
      <c r="E830" s="4" t="s">
        <v>2293</v>
      </c>
      <c r="F830" s="4" t="s">
        <v>2373</v>
      </c>
      <c r="G830" s="6" t="str">
        <f>IFERROR(__xludf.DUMMYFUNCTION("REGEXREPLACE(LOWER(F830),""[^a-z\s]"","""")"),"petflow has a great selection of products great prices and fast shipping i buy the nulo cod and lentils weight management dog food my guys love it")</f>
        <v>petflow has a great selection of products great prices and fast shipping i buy the nulo cod and lentils weight management dog food my guys love it</v>
      </c>
      <c r="H830" s="4" t="str">
        <f t="shared" si="1"/>
        <v>petflow has a great selection of products great prices fast shipping i buy nulo cod lentils weight management dog food my guys love it</v>
      </c>
      <c r="I830" s="6">
        <f t="shared" si="2"/>
        <v>24</v>
      </c>
      <c r="J830" s="6">
        <f>IFERROR(__xludf.DUMMYFUNCTION("IF(H830="""","""",
SUM(
ARRAYFORMULA(
IF(
REGEXMATCH(
"" ""&amp;H830&amp;"" "",
"" ""&amp;Sentiment_Words!A$2:A3730&amp;"" ""
),
1,
0
)
)
)
)"),3.0)</f>
        <v>3</v>
      </c>
      <c r="K830" s="4">
        <f>IFERROR(__xludf.DUMMYFUNCTION("IF(H830="""","""",
SUM(
ARRAYFORMULA(
IF(
REGEXMATCH(
"" ""&amp;H830&amp;"" "",
"" ""&amp;Sentiment_Words!B$2:B3730&amp;"" ""
),
1,
0
)
)
)
)"),0.0)</f>
        <v>0</v>
      </c>
      <c r="L830" s="7" t="str">
        <f t="shared" si="3"/>
        <v>Other</v>
      </c>
      <c r="M830" s="7" t="str">
        <f t="shared" si="4"/>
        <v>Positive</v>
      </c>
      <c r="N830" s="7" t="str">
        <f>IFERROR(__xludf.DUMMYFUNCTION("LOWER(
TRIM(
REGEXREPLACE(B830,""[^a-zA-Z\s]"","""")
)
)
"),"abbeys parents")</f>
        <v>abbeys parents</v>
      </c>
      <c r="O830" s="7">
        <f t="shared" si="5"/>
        <v>1</v>
      </c>
      <c r="P830" s="8" t="str">
        <f t="shared" si="6"/>
        <v>No</v>
      </c>
    </row>
    <row r="831">
      <c r="A831" s="4" t="s">
        <v>16</v>
      </c>
      <c r="B831" s="4" t="s">
        <v>2374</v>
      </c>
      <c r="C831" s="5">
        <v>44943.0</v>
      </c>
      <c r="D831" s="10">
        <v>44957.0</v>
      </c>
      <c r="E831" s="4" t="s">
        <v>2375</v>
      </c>
      <c r="F831" s="4" t="s">
        <v>2376</v>
      </c>
      <c r="G831" s="6" t="str">
        <f>IFERROR(__xludf.DUMMYFUNCTION("REGEXREPLACE(LOWER(F831),""[^a-z\s]"","""")"),"cheaper then other places fast shipping i was very pleased")</f>
        <v>cheaper then other places fast shipping i was very pleased</v>
      </c>
      <c r="H831" s="4" t="str">
        <f t="shared" si="1"/>
        <v>cheaper then other places fast shipping i was very pleased</v>
      </c>
      <c r="I831" s="6">
        <f t="shared" si="2"/>
        <v>10</v>
      </c>
      <c r="J831" s="6">
        <f>IFERROR(__xludf.DUMMYFUNCTION("IF(H831="""","""",
SUM(
ARRAYFORMULA(
IF(
REGEXMATCH(
"" ""&amp;H831&amp;"" "",
"" ""&amp;Sentiment_Words!A$2:A3730&amp;"" ""
),
1,
0
)
)
)
)"),2.0)</f>
        <v>2</v>
      </c>
      <c r="K831" s="4">
        <f>IFERROR(__xludf.DUMMYFUNCTION("IF(H831="""","""",
SUM(
ARRAYFORMULA(
IF(
REGEXMATCH(
"" ""&amp;H831&amp;"" "",
"" ""&amp;Sentiment_Words!B$2:B3730&amp;"" ""
),
1,
0
)
)
)
)"),0.0)</f>
        <v>0</v>
      </c>
      <c r="L831" s="7" t="str">
        <f t="shared" si="3"/>
        <v>Value &amp; Convenience</v>
      </c>
      <c r="M831" s="7" t="str">
        <f t="shared" si="4"/>
        <v>Positive</v>
      </c>
      <c r="N831" s="7" t="str">
        <f>IFERROR(__xludf.DUMMYFUNCTION("LOWER(
TRIM(
REGEXREPLACE(B831,""[^a-zA-Z\s]"","""")
)
)
"),"don urbielewicz")</f>
        <v>don urbielewicz</v>
      </c>
      <c r="O831" s="7">
        <f t="shared" si="5"/>
        <v>1</v>
      </c>
      <c r="P831" s="8" t="str">
        <f t="shared" si="6"/>
        <v>No</v>
      </c>
    </row>
    <row r="832">
      <c r="A832" s="4" t="s">
        <v>16</v>
      </c>
      <c r="B832" s="4" t="s">
        <v>2377</v>
      </c>
      <c r="C832" s="5">
        <v>44946.0</v>
      </c>
      <c r="D832" s="10">
        <v>44956.0</v>
      </c>
      <c r="E832" s="4" t="s">
        <v>2378</v>
      </c>
      <c r="F832" s="4" t="s">
        <v>2379</v>
      </c>
      <c r="G832" s="6" t="str">
        <f>IFERROR(__xludf.DUMMYFUNCTION("REGEXREPLACE(LOWER(F832),""[^a-z\s]"","""")"),"all of my dealings with pet have been positive my dog food is always delivered in a timely manner")</f>
        <v>all of my dealings with pet have been positive my dog food is always delivered in a timely manner</v>
      </c>
      <c r="H832" s="4" t="str">
        <f t="shared" si="1"/>
        <v>all of my dealings with pet have been positive my dog food always delivered in a timely manner</v>
      </c>
      <c r="I832" s="6">
        <f t="shared" si="2"/>
        <v>18</v>
      </c>
      <c r="J832" s="6">
        <f>IFERROR(__xludf.DUMMYFUNCTION("IF(H832="""","""",
SUM(
ARRAYFORMULA(
IF(
REGEXMATCH(
"" ""&amp;H832&amp;"" "",
"" ""&amp;Sentiment_Words!A$2:A3730&amp;"" ""
),
1,
0
)
)
)
)"),1.0)</f>
        <v>1</v>
      </c>
      <c r="K832" s="4">
        <f>IFERROR(__xludf.DUMMYFUNCTION("IF(H832="""","""",
SUM(
ARRAYFORMULA(
IF(
REGEXMATCH(
"" ""&amp;H832&amp;"" "",
"" ""&amp;Sentiment_Words!B$2:B3730&amp;"" ""
),
1,
0
)
)
)
)"),0.0)</f>
        <v>0</v>
      </c>
      <c r="L832" s="7" t="str">
        <f t="shared" si="3"/>
        <v>Other</v>
      </c>
      <c r="M832" s="7" t="str">
        <f t="shared" si="4"/>
        <v>Positive</v>
      </c>
      <c r="N832" s="7" t="str">
        <f>IFERROR(__xludf.DUMMYFUNCTION("LOWER(
TRIM(
REGEXREPLACE(B832,""[^a-zA-Z\s]"","""")
)
)
"),"kimberly jensen")</f>
        <v>kimberly jensen</v>
      </c>
      <c r="O832" s="7">
        <f t="shared" si="5"/>
        <v>1</v>
      </c>
      <c r="P832" s="8" t="str">
        <f t="shared" si="6"/>
        <v>No</v>
      </c>
    </row>
    <row r="833">
      <c r="A833" s="4" t="s">
        <v>16</v>
      </c>
      <c r="B833" s="4" t="s">
        <v>2380</v>
      </c>
      <c r="C833" s="5">
        <v>44948.0</v>
      </c>
      <c r="D833" s="10">
        <v>44956.0</v>
      </c>
      <c r="E833" s="4" t="s">
        <v>2381</v>
      </c>
      <c r="F833" s="4" t="s">
        <v>2382</v>
      </c>
      <c r="G833" s="6" t="str">
        <f>IFERROR(__xludf.DUMMYFUNCTION("REGEXREPLACE(LOWER(F833),""[^a-z\s]"","""")"),"easy to order competitive prices orders arrive fast")</f>
        <v>easy to order competitive prices orders arrive fast</v>
      </c>
      <c r="H833" s="4" t="str">
        <f t="shared" si="1"/>
        <v>easy order competitive prices orders arrive fast</v>
      </c>
      <c r="I833" s="6">
        <f t="shared" si="2"/>
        <v>7</v>
      </c>
      <c r="J833" s="6">
        <f>IFERROR(__xludf.DUMMYFUNCTION("IF(H833="""","""",
SUM(
ARRAYFORMULA(
IF(
REGEXMATCH(
"" ""&amp;H833&amp;"" "",
"" ""&amp;Sentiment_Words!A$2:A3730&amp;"" ""
),
1,
0
)
)
)
)"),2.0)</f>
        <v>2</v>
      </c>
      <c r="K833" s="4">
        <f>IFERROR(__xludf.DUMMYFUNCTION("IF(H833="""","""",
SUM(
ARRAYFORMULA(
IF(
REGEXMATCH(
"" ""&amp;H833&amp;"" "",
"" ""&amp;Sentiment_Words!B$2:B3730&amp;"" ""
),
1,
0
)
)
)
)"),0.0)</f>
        <v>0</v>
      </c>
      <c r="L833" s="7" t="str">
        <f t="shared" si="3"/>
        <v>Other</v>
      </c>
      <c r="M833" s="7" t="str">
        <f t="shared" si="4"/>
        <v>Positive</v>
      </c>
      <c r="N833" s="7" t="str">
        <f>IFERROR(__xludf.DUMMYFUNCTION("LOWER(
TRIM(
REGEXREPLACE(B833,""[^a-zA-Z\s]"","""")
)
)
"),"rhonda williams")</f>
        <v>rhonda williams</v>
      </c>
      <c r="O833" s="7">
        <f t="shared" si="5"/>
        <v>1</v>
      </c>
      <c r="P833" s="8" t="str">
        <f t="shared" si="6"/>
        <v>No</v>
      </c>
    </row>
    <row r="834">
      <c r="A834" s="4" t="s">
        <v>16</v>
      </c>
      <c r="B834" s="4" t="s">
        <v>2383</v>
      </c>
      <c r="C834" s="5">
        <v>44940.0</v>
      </c>
      <c r="D834" s="10">
        <v>44956.0</v>
      </c>
      <c r="E834" s="4" t="s">
        <v>2384</v>
      </c>
      <c r="F834" s="4" t="s">
        <v>2385</v>
      </c>
      <c r="G834" s="6" t="str">
        <f>IFERROR(__xludf.DUMMYFUNCTION("REGEXREPLACE(LOWER(F834),""[^a-z\s]"","""")"),"i purchased milk bone pill pockets this was a really good price and they shipped my order quick ill definitely be back")</f>
        <v>i purchased milk bone pill pockets this was a really good price and they shipped my order quick ill definitely be back</v>
      </c>
      <c r="H834" s="4" t="str">
        <f t="shared" si="1"/>
        <v>i purchased milk bone pill pockets this was a really good price they shipped my order quick ill definitely be back</v>
      </c>
      <c r="I834" s="6">
        <f t="shared" si="2"/>
        <v>21</v>
      </c>
      <c r="J834" s="6">
        <f>IFERROR(__xludf.DUMMYFUNCTION("IF(H834="""","""",
SUM(
ARRAYFORMULA(
IF(
REGEXMATCH(
"" ""&amp;H834&amp;"" "",
"" ""&amp;Sentiment_Words!A$2:A3730&amp;"" ""
),
1,
0
)
)
)
)"),1.0)</f>
        <v>1</v>
      </c>
      <c r="K834" s="4">
        <f>IFERROR(__xludf.DUMMYFUNCTION("IF(H834="""","""",
SUM(
ARRAYFORMULA(
IF(
REGEXMATCH(
"" ""&amp;H834&amp;"" "",
"" ""&amp;Sentiment_Words!B$2:B3730&amp;"" ""
),
1,
0
)
)
)
)"),0.0)</f>
        <v>0</v>
      </c>
      <c r="L834" s="7" t="str">
        <f t="shared" si="3"/>
        <v>Other</v>
      </c>
      <c r="M834" s="7" t="str">
        <f t="shared" si="4"/>
        <v>Positive</v>
      </c>
      <c r="N834" s="7" t="str">
        <f>IFERROR(__xludf.DUMMYFUNCTION("LOWER(
TRIM(
REGEXREPLACE(B834,""[^a-zA-Z\s]"","""")
)
)
"),"mamichellr")</f>
        <v>mamichellr</v>
      </c>
      <c r="O834" s="7">
        <f t="shared" si="5"/>
        <v>1</v>
      </c>
      <c r="P834" s="8" t="str">
        <f t="shared" si="6"/>
        <v>No</v>
      </c>
    </row>
    <row r="835">
      <c r="A835" s="4" t="s">
        <v>16</v>
      </c>
      <c r="B835" s="4" t="s">
        <v>2386</v>
      </c>
      <c r="C835" s="5">
        <v>44955.0</v>
      </c>
      <c r="D835" s="10">
        <v>44956.0</v>
      </c>
      <c r="E835" s="4" t="s">
        <v>2387</v>
      </c>
      <c r="F835" s="4" t="s">
        <v>2388</v>
      </c>
      <c r="G835" s="6" t="str">
        <f>IFERROR(__xludf.DUMMYFUNCTION("REGEXREPLACE(LOWER(F835),""[^a-z\s]"","""")"),"fast shipping and almost always have foods i am looking for in stock for immediate shipment")</f>
        <v>fast shipping and almost always have foods i am looking for in stock for immediate shipment</v>
      </c>
      <c r="H835" s="4" t="str">
        <f t="shared" si="1"/>
        <v>fast shipping almost always have foods i am looking in stock immediate shipment</v>
      </c>
      <c r="I835" s="6">
        <f t="shared" si="2"/>
        <v>13</v>
      </c>
      <c r="J835" s="6">
        <f>IFERROR(__xludf.DUMMYFUNCTION("IF(H835="""","""",
SUM(
ARRAYFORMULA(
IF(
REGEXMATCH(
"" ""&amp;H835&amp;"" "",
"" ""&amp;Sentiment_Words!A$2:A3730&amp;"" ""
),
1,
0
)
)
)
)"),1.0)</f>
        <v>1</v>
      </c>
      <c r="K835" s="4">
        <f>IFERROR(__xludf.DUMMYFUNCTION("IF(H835="""","""",
SUM(
ARRAYFORMULA(
IF(
REGEXMATCH(
"" ""&amp;H835&amp;"" "",
"" ""&amp;Sentiment_Words!B$2:B3730&amp;"" ""
),
1,
0
)
)
)
)"),0.0)</f>
        <v>0</v>
      </c>
      <c r="L835" s="7" t="str">
        <f t="shared" si="3"/>
        <v>Other</v>
      </c>
      <c r="M835" s="7" t="str">
        <f t="shared" si="4"/>
        <v>Positive</v>
      </c>
      <c r="N835" s="7" t="str">
        <f>IFERROR(__xludf.DUMMYFUNCTION("LOWER(
TRIM(
REGEXREPLACE(B835,""[^a-zA-Z\s]"","""")
)
)
"),"donna greene")</f>
        <v>donna greene</v>
      </c>
      <c r="O835" s="7">
        <f t="shared" si="5"/>
        <v>1</v>
      </c>
      <c r="P835" s="8" t="str">
        <f t="shared" si="6"/>
        <v>No</v>
      </c>
    </row>
    <row r="836">
      <c r="A836" s="4" t="s">
        <v>16</v>
      </c>
      <c r="B836" s="4" t="s">
        <v>2389</v>
      </c>
      <c r="C836" s="5">
        <v>44944.0</v>
      </c>
      <c r="D836" s="10">
        <v>44956.0</v>
      </c>
      <c r="E836" s="4" t="s">
        <v>431</v>
      </c>
      <c r="F836" s="4" t="s">
        <v>2390</v>
      </c>
      <c r="G836" s="6" t="str">
        <f>IFERROR(__xludf.DUMMYFUNCTION("REGEXREPLACE(LOWER(F836),""[^a-z\s]"","""")"),"quick service good packing good prices")</f>
        <v>quick service good packing good prices</v>
      </c>
      <c r="H836" s="4" t="str">
        <f t="shared" si="1"/>
        <v>quick service good packing good prices</v>
      </c>
      <c r="I836" s="6">
        <f t="shared" si="2"/>
        <v>6</v>
      </c>
      <c r="J836" s="6">
        <f>IFERROR(__xludf.DUMMYFUNCTION("IF(H836="""","""",
SUM(
ARRAYFORMULA(
IF(
REGEXMATCH(
"" ""&amp;H836&amp;"" "",
"" ""&amp;Sentiment_Words!A$2:A3730&amp;"" ""
),
1,
0
)
)
)
)"),1.0)</f>
        <v>1</v>
      </c>
      <c r="K836" s="4">
        <f>IFERROR(__xludf.DUMMYFUNCTION("IF(H836="""","""",
SUM(
ARRAYFORMULA(
IF(
REGEXMATCH(
"" ""&amp;H836&amp;"" "",
"" ""&amp;Sentiment_Words!B$2:B3730&amp;"" ""
),
1,
0
)
)
)
)"),0.0)</f>
        <v>0</v>
      </c>
      <c r="L836" s="7" t="str">
        <f t="shared" si="3"/>
        <v>Customer Support</v>
      </c>
      <c r="M836" s="7" t="str">
        <f t="shared" si="4"/>
        <v>Positive</v>
      </c>
      <c r="N836" s="7" t="str">
        <f>IFERROR(__xludf.DUMMYFUNCTION("LOWER(
TRIM(
REGEXREPLACE(B836,""[^a-zA-Z\s]"","""")
)
)
"),"txcjg")</f>
        <v>txcjg</v>
      </c>
      <c r="O836" s="7">
        <f t="shared" si="5"/>
        <v>1</v>
      </c>
      <c r="P836" s="8" t="str">
        <f t="shared" si="6"/>
        <v>No</v>
      </c>
    </row>
    <row r="837">
      <c r="A837" s="4" t="s">
        <v>16</v>
      </c>
      <c r="B837" s="4" t="s">
        <v>2391</v>
      </c>
      <c r="C837" s="5">
        <v>44949.0</v>
      </c>
      <c r="D837" s="10">
        <v>44955.0</v>
      </c>
      <c r="E837" s="4" t="s">
        <v>2392</v>
      </c>
      <c r="F837" s="4" t="s">
        <v>2393</v>
      </c>
      <c r="G837" s="6" t="str">
        <f>IFERROR(__xludf.DUMMYFUNCTION("REGEXREPLACE(LOWER(F837),""[^a-z\s]"","""")"),"cumbersome internet system caused two orders to register rather than one canceling the orders immediately still did not stop an extra bag of dog food from arriving causing multiple emails and finally return")</f>
        <v>cumbersome internet system caused two orders to register rather than one canceling the orders immediately still did not stop an extra bag of dog food from arriving causing multiple emails and finally return</v>
      </c>
      <c r="H837" s="4" t="str">
        <f t="shared" si="1"/>
        <v>cumbersome internet system caused two orders register rather than one canceling orders immediately still did not stop an extra bag of dog food from arriving causing multiple emails finally return</v>
      </c>
      <c r="I837" s="6">
        <f t="shared" si="2"/>
        <v>30</v>
      </c>
      <c r="J837" s="6">
        <f>IFERROR(__xludf.DUMMYFUNCTION("IF(H837="""","""",
SUM(
ARRAYFORMULA(
IF(
REGEXMATCH(
"" ""&amp;H837&amp;"" "",
"" ""&amp;Sentiment_Words!A$2:A3730&amp;"" ""
),
1,
0
)
)
)
)"),1.0)</f>
        <v>1</v>
      </c>
      <c r="K837" s="4">
        <f>IFERROR(__xludf.DUMMYFUNCTION("IF(H837="""","""",
SUM(
ARRAYFORMULA(
IF(
REGEXMATCH(
"" ""&amp;H837&amp;"" "",
"" ""&amp;Sentiment_Words!B$2:B3730&amp;"" ""
),
1,
0
)
)
)
)"),0.0)</f>
        <v>0</v>
      </c>
      <c r="L837" s="7" t="str">
        <f t="shared" si="3"/>
        <v>Other</v>
      </c>
      <c r="M837" s="7" t="str">
        <f t="shared" si="4"/>
        <v>Positive</v>
      </c>
      <c r="N837" s="7" t="str">
        <f>IFERROR(__xludf.DUMMYFUNCTION("LOWER(
TRIM(
REGEXREPLACE(B837,""[^a-zA-Z\s]"","""")
)
)
"),"elizabeth carter")</f>
        <v>elizabeth carter</v>
      </c>
      <c r="O837" s="7">
        <f t="shared" si="5"/>
        <v>1</v>
      </c>
      <c r="P837" s="8" t="str">
        <f t="shared" si="6"/>
        <v>No</v>
      </c>
    </row>
    <row r="838">
      <c r="A838" s="4" t="s">
        <v>16</v>
      </c>
      <c r="B838" s="4" t="s">
        <v>2394</v>
      </c>
      <c r="C838" s="5">
        <v>44950.0</v>
      </c>
      <c r="D838" s="10">
        <v>44955.0</v>
      </c>
      <c r="E838" s="4" t="s">
        <v>2395</v>
      </c>
      <c r="F838" s="4" t="s">
        <v>2396</v>
      </c>
      <c r="G838" s="6" t="str">
        <f>IFERROR(__xludf.DUMMYFUNCTION("REGEXREPLACE(LOWER(F838),""[^a-z\s]"","""")"),"i received this order so quickly which i really appreciated it surprised me it was so fast")</f>
        <v>i received this order so quickly which i really appreciated it surprised me it was so fast</v>
      </c>
      <c r="H838" s="4" t="str">
        <f t="shared" si="1"/>
        <v>i received this order so quickly which i really appreciated it surprised me it was so fast</v>
      </c>
      <c r="I838" s="6">
        <f t="shared" si="2"/>
        <v>17</v>
      </c>
      <c r="J838" s="6">
        <f>IFERROR(__xludf.DUMMYFUNCTION("IF(H838="""","""",
SUM(
ARRAYFORMULA(
IF(
REGEXMATCH(
"" ""&amp;H838&amp;"" "",
"" ""&amp;Sentiment_Words!A$2:A3730&amp;"" ""
),
1,
0
)
)
)
)"),1.0)</f>
        <v>1</v>
      </c>
      <c r="K838" s="4">
        <f>IFERROR(__xludf.DUMMYFUNCTION("IF(H838="""","""",
SUM(
ARRAYFORMULA(
IF(
REGEXMATCH(
"" ""&amp;H838&amp;"" "",
"" ""&amp;Sentiment_Words!B$2:B3730&amp;"" ""
),
1,
0
)
)
)
)"),0.0)</f>
        <v>0</v>
      </c>
      <c r="L838" s="7" t="str">
        <f t="shared" si="3"/>
        <v>Other</v>
      </c>
      <c r="M838" s="7" t="str">
        <f t="shared" si="4"/>
        <v>Positive</v>
      </c>
      <c r="N838" s="7" t="str">
        <f>IFERROR(__xludf.DUMMYFUNCTION("LOWER(
TRIM(
REGEXREPLACE(B838,""[^a-zA-Z\s]"","""")
)
)
"),"scott l")</f>
        <v>scott l</v>
      </c>
      <c r="O838" s="7">
        <f t="shared" si="5"/>
        <v>1</v>
      </c>
      <c r="P838" s="8" t="str">
        <f t="shared" si="6"/>
        <v>No</v>
      </c>
    </row>
    <row r="839">
      <c r="A839" s="4" t="s">
        <v>16</v>
      </c>
      <c r="B839" s="4" t="s">
        <v>2397</v>
      </c>
      <c r="C839" s="5">
        <v>44942.0</v>
      </c>
      <c r="D839" s="10">
        <v>44955.0</v>
      </c>
      <c r="E839" s="4" t="s">
        <v>2398</v>
      </c>
      <c r="F839" s="4" t="s">
        <v>331</v>
      </c>
      <c r="G839" s="6" t="str">
        <f>IFERROR(__xludf.DUMMYFUNCTION("REGEXREPLACE(LOWER(F839),""[^a-z\s]"","""")"),"none")</f>
        <v>none</v>
      </c>
      <c r="H839" s="4" t="str">
        <f t="shared" si="1"/>
        <v>none</v>
      </c>
      <c r="I839" s="6">
        <f t="shared" si="2"/>
        <v>1</v>
      </c>
      <c r="J839" s="6">
        <f>IFERROR(__xludf.DUMMYFUNCTION("IF(H839="""","""",
SUM(
ARRAYFORMULA(
IF(
REGEXMATCH(
"" ""&amp;H839&amp;"" "",
"" ""&amp;Sentiment_Words!A$2:A3730&amp;"" ""
),
1,
0
)
)
)
)"),0.0)</f>
        <v>0</v>
      </c>
      <c r="K839" s="4">
        <f>IFERROR(__xludf.DUMMYFUNCTION("IF(H839="""","""",
SUM(
ARRAYFORMULA(
IF(
REGEXMATCH(
"" ""&amp;H839&amp;"" "",
"" ""&amp;Sentiment_Words!B$2:B3730&amp;"" ""
),
1,
0
)
)
)
)"),0.0)</f>
        <v>0</v>
      </c>
      <c r="L839" s="7" t="str">
        <f t="shared" si="3"/>
        <v>Other</v>
      </c>
      <c r="M839" s="7" t="str">
        <f t="shared" si="4"/>
        <v>Neutral</v>
      </c>
      <c r="N839" s="7" t="str">
        <f>IFERROR(__xludf.DUMMYFUNCTION("LOWER(
TRIM(
REGEXREPLACE(B839,""[^a-zA-Z\s]"","""")
)
)
"),"travis")</f>
        <v>travis</v>
      </c>
      <c r="O839" s="7">
        <f t="shared" si="5"/>
        <v>1</v>
      </c>
      <c r="P839" s="8" t="str">
        <f t="shared" si="6"/>
        <v>No</v>
      </c>
    </row>
    <row r="840">
      <c r="A840" s="4" t="s">
        <v>16</v>
      </c>
      <c r="B840" s="4" t="s">
        <v>2399</v>
      </c>
      <c r="C840" s="5">
        <v>44952.0</v>
      </c>
      <c r="D840" s="10">
        <v>44955.0</v>
      </c>
      <c r="E840" s="4" t="s">
        <v>2400</v>
      </c>
      <c r="F840" s="4" t="s">
        <v>331</v>
      </c>
      <c r="G840" s="6" t="str">
        <f>IFERROR(__xludf.DUMMYFUNCTION("REGEXREPLACE(LOWER(F840),""[^a-z\s]"","""")"),"none")</f>
        <v>none</v>
      </c>
      <c r="H840" s="4" t="str">
        <f t="shared" si="1"/>
        <v>none</v>
      </c>
      <c r="I840" s="6">
        <f t="shared" si="2"/>
        <v>1</v>
      </c>
      <c r="J840" s="6">
        <f>IFERROR(__xludf.DUMMYFUNCTION("IF(H840="""","""",
SUM(
ARRAYFORMULA(
IF(
REGEXMATCH(
"" ""&amp;H840&amp;"" "",
"" ""&amp;Sentiment_Words!A$2:A3730&amp;"" ""
),
1,
0
)
)
)
)"),0.0)</f>
        <v>0</v>
      </c>
      <c r="K840" s="4">
        <f>IFERROR(__xludf.DUMMYFUNCTION("IF(H840="""","""",
SUM(
ARRAYFORMULA(
IF(
REGEXMATCH(
"" ""&amp;H840&amp;"" "",
"" ""&amp;Sentiment_Words!B$2:B3730&amp;"" ""
),
1,
0
)
)
)
)"),0.0)</f>
        <v>0</v>
      </c>
      <c r="L840" s="7" t="str">
        <f t="shared" si="3"/>
        <v>Other</v>
      </c>
      <c r="M840" s="7" t="str">
        <f t="shared" si="4"/>
        <v>Neutral</v>
      </c>
      <c r="N840" s="7" t="str">
        <f>IFERROR(__xludf.DUMMYFUNCTION("LOWER(
TRIM(
REGEXREPLACE(B840,""[^a-zA-Z\s]"","""")
)
)
"),"alan peters")</f>
        <v>alan peters</v>
      </c>
      <c r="O840" s="7">
        <f t="shared" si="5"/>
        <v>1</v>
      </c>
      <c r="P840" s="8" t="str">
        <f t="shared" si="6"/>
        <v>No</v>
      </c>
    </row>
    <row r="841">
      <c r="A841" s="4" t="s">
        <v>16</v>
      </c>
      <c r="B841" s="4" t="s">
        <v>2401</v>
      </c>
      <c r="C841" s="5">
        <v>44945.0</v>
      </c>
      <c r="D841" s="10">
        <v>44955.0</v>
      </c>
      <c r="E841" s="4" t="s">
        <v>2402</v>
      </c>
      <c r="F841" s="4" t="s">
        <v>331</v>
      </c>
      <c r="G841" s="6" t="str">
        <f>IFERROR(__xludf.DUMMYFUNCTION("REGEXREPLACE(LOWER(F841),""[^a-z\s]"","""")"),"none")</f>
        <v>none</v>
      </c>
      <c r="H841" s="4" t="str">
        <f t="shared" si="1"/>
        <v>none</v>
      </c>
      <c r="I841" s="6">
        <f t="shared" si="2"/>
        <v>1</v>
      </c>
      <c r="J841" s="6">
        <f>IFERROR(__xludf.DUMMYFUNCTION("IF(H841="""","""",
SUM(
ARRAYFORMULA(
IF(
REGEXMATCH(
"" ""&amp;H841&amp;"" "",
"" ""&amp;Sentiment_Words!A$2:A3730&amp;"" ""
),
1,
0
)
)
)
)"),0.0)</f>
        <v>0</v>
      </c>
      <c r="K841" s="4">
        <f>IFERROR(__xludf.DUMMYFUNCTION("IF(H841="""","""",
SUM(
ARRAYFORMULA(
IF(
REGEXMATCH(
"" ""&amp;H841&amp;"" "",
"" ""&amp;Sentiment_Words!B$2:B3730&amp;"" ""
),
1,
0
)
)
)
)"),0.0)</f>
        <v>0</v>
      </c>
      <c r="L841" s="7" t="str">
        <f t="shared" si="3"/>
        <v>Other</v>
      </c>
      <c r="M841" s="7" t="str">
        <f t="shared" si="4"/>
        <v>Neutral</v>
      </c>
      <c r="N841" s="7" t="str">
        <f>IFERROR(__xludf.DUMMYFUNCTION("LOWER(
TRIM(
REGEXREPLACE(B841,""[^a-zA-Z\s]"","""")
)
)
"),"delores beckettpastirchak")</f>
        <v>delores beckettpastirchak</v>
      </c>
      <c r="O841" s="7">
        <f t="shared" si="5"/>
        <v>1</v>
      </c>
      <c r="P841" s="8" t="str">
        <f t="shared" si="6"/>
        <v>No</v>
      </c>
    </row>
    <row r="842">
      <c r="A842" s="4" t="s">
        <v>16</v>
      </c>
      <c r="B842" s="4" t="s">
        <v>2403</v>
      </c>
      <c r="C842" s="5">
        <v>44954.0</v>
      </c>
      <c r="D842" s="10">
        <v>44955.0</v>
      </c>
      <c r="E842" s="4" t="s">
        <v>2404</v>
      </c>
      <c r="F842" s="4" t="s">
        <v>2405</v>
      </c>
      <c r="G842" s="6" t="str">
        <f>IFERROR(__xludf.DUMMYFUNCTION("REGEXREPLACE(LOWER(F842),""[^a-z\s]"","""")"),"took  days for order to arrive multiple erroneous ails re expected arrival had to go buy at store andorder was delivered after i left the area")</f>
        <v>took  days for order to arrive multiple erroneous ails re expected arrival had to go buy at store andorder was delivered after i left the area</v>
      </c>
      <c r="H842" s="4" t="str">
        <f t="shared" si="1"/>
        <v>took days order arrive multiple erroneous ails re expected arrival had go buy at store andorder was delivered after i left area</v>
      </c>
      <c r="I842" s="6">
        <f t="shared" si="2"/>
        <v>22</v>
      </c>
      <c r="J842" s="6">
        <f>IFERROR(__xludf.DUMMYFUNCTION("IF(H842="""","""",
SUM(
ARRAYFORMULA(
IF(
REGEXMATCH(
"" ""&amp;H842&amp;"" "",
"" ""&amp;Sentiment_Words!A$2:A3730&amp;"" ""
),
1,
0
)
)
)
)"),1.0)</f>
        <v>1</v>
      </c>
      <c r="K842" s="4">
        <f>IFERROR(__xludf.DUMMYFUNCTION("IF(H842="""","""",
SUM(
ARRAYFORMULA(
IF(
REGEXMATCH(
"" ""&amp;H842&amp;"" "",
"" ""&amp;Sentiment_Words!B$2:B3730&amp;"" ""
),
1,
0
)
)
)
)"),0.0)</f>
        <v>0</v>
      </c>
      <c r="L842" s="7" t="str">
        <f t="shared" si="3"/>
        <v>Other</v>
      </c>
      <c r="M842" s="7" t="str">
        <f t="shared" si="4"/>
        <v>Positive</v>
      </c>
      <c r="N842" s="7" t="str">
        <f>IFERROR(__xludf.DUMMYFUNCTION("LOWER(
TRIM(
REGEXREPLACE(B842,""[^a-zA-Z\s]"","""")
)
)
"),"mary russell")</f>
        <v>mary russell</v>
      </c>
      <c r="O842" s="7">
        <f t="shared" si="5"/>
        <v>1</v>
      </c>
      <c r="P842" s="8" t="str">
        <f t="shared" si="6"/>
        <v>No</v>
      </c>
    </row>
    <row r="843">
      <c r="A843" s="4" t="s">
        <v>16</v>
      </c>
      <c r="B843" s="4" t="s">
        <v>2406</v>
      </c>
      <c r="C843" s="5">
        <v>44954.0</v>
      </c>
      <c r="D843" s="10">
        <v>44955.0</v>
      </c>
      <c r="E843" s="4" t="s">
        <v>2407</v>
      </c>
      <c r="F843" s="4" t="s">
        <v>2408</v>
      </c>
      <c r="G843" s="6" t="str">
        <f>IFERROR(__xludf.DUMMYFUNCTION("REGEXREPLACE(LOWER(F843),""[^a-z\s]"","""")"),"this has to be my  th or more times that i have either purchased dog and cat food from petflow the delivery service is excellent also selection is wonderful and price is just the same or less than in the stores its so nice to come home and your fur babies"&amp;" food is here")</f>
        <v>this has to be my  th or more times that i have either purchased dog and cat food from petflow the delivery service is excellent also selection is wonderful and price is just the same or less than in the stores its so nice to come home and your fur babies food is here</v>
      </c>
      <c r="H843" s="4" t="str">
        <f t="shared" si="1"/>
        <v>this has be my th or more times that i have either purchased dog cat food from petflow delivery service excellent also selection wonderful price just same or less than in stores its so nice come home your fur babies food here</v>
      </c>
      <c r="I843" s="6">
        <f t="shared" si="2"/>
        <v>42</v>
      </c>
      <c r="J843" s="6">
        <f>IFERROR(__xludf.DUMMYFUNCTION("IF(H843="""","""",
SUM(
ARRAYFORMULA(
IF(
REGEXMATCH(
"" ""&amp;H843&amp;"" "",
"" ""&amp;Sentiment_Words!A$2:A3730&amp;"" ""
),
1,
0
)
)
)
)"),1.0)</f>
        <v>1</v>
      </c>
      <c r="K843" s="4">
        <f>IFERROR(__xludf.DUMMYFUNCTION("IF(H843="""","""",
SUM(
ARRAYFORMULA(
IF(
REGEXMATCH(
"" ""&amp;H843&amp;"" "",
"" ""&amp;Sentiment_Words!B$2:B3730&amp;"" ""
),
1,
0
)
)
)
)"),0.0)</f>
        <v>0</v>
      </c>
      <c r="L843" s="7" t="str">
        <f t="shared" si="3"/>
        <v>Customer Support</v>
      </c>
      <c r="M843" s="7" t="str">
        <f t="shared" si="4"/>
        <v>Positive</v>
      </c>
      <c r="N843" s="7" t="str">
        <f>IFERROR(__xludf.DUMMYFUNCTION("LOWER(
TRIM(
REGEXREPLACE(B843,""[^a-zA-Z\s]"","""")
)
)
"),"jane breyer")</f>
        <v>jane breyer</v>
      </c>
      <c r="O843" s="7">
        <f t="shared" si="5"/>
        <v>1</v>
      </c>
      <c r="P843" s="8" t="str">
        <f t="shared" si="6"/>
        <v>No</v>
      </c>
    </row>
    <row r="844">
      <c r="A844" s="4" t="s">
        <v>16</v>
      </c>
      <c r="B844" s="4" t="s">
        <v>739</v>
      </c>
      <c r="C844" s="5">
        <v>44941.0</v>
      </c>
      <c r="D844" s="10">
        <v>44955.0</v>
      </c>
      <c r="E844" s="4" t="s">
        <v>2409</v>
      </c>
      <c r="F844" s="4" t="s">
        <v>2410</v>
      </c>
      <c r="G844" s="6" t="str">
        <f>IFERROR(__xludf.DUMMYFUNCTION("REGEXREPLACE(LOWER(F844),""[^a-z\s]"","""")"),"was kept informed about items back ordered and other items shipped separately")</f>
        <v>was kept informed about items back ordered and other items shipped separately</v>
      </c>
      <c r="H844" s="4" t="str">
        <f t="shared" si="1"/>
        <v>was kept informed about items back ordered other items shipped separately</v>
      </c>
      <c r="I844" s="6">
        <f t="shared" si="2"/>
        <v>11</v>
      </c>
      <c r="J844" s="6">
        <f>IFERROR(__xludf.DUMMYFUNCTION("IF(H844="""","""",
SUM(
ARRAYFORMULA(
IF(
REGEXMATCH(
"" ""&amp;H844&amp;"" "",
"" ""&amp;Sentiment_Words!A$2:A3730&amp;"" ""
),
1,
0
)
)
)
)"),0.0)</f>
        <v>0</v>
      </c>
      <c r="K844" s="4">
        <f>IFERROR(__xludf.DUMMYFUNCTION("IF(H844="""","""",
SUM(
ARRAYFORMULA(
IF(
REGEXMATCH(
"" ""&amp;H844&amp;"" "",
"" ""&amp;Sentiment_Words!B$2:B3730&amp;"" ""
),
1,
0
)
)
)
)"),0.0)</f>
        <v>0</v>
      </c>
      <c r="L844" s="7" t="str">
        <f t="shared" si="3"/>
        <v>Other</v>
      </c>
      <c r="M844" s="7" t="str">
        <f t="shared" si="4"/>
        <v>Neutral</v>
      </c>
      <c r="N844" s="7" t="str">
        <f>IFERROR(__xludf.DUMMYFUNCTION("LOWER(
TRIM(
REGEXREPLACE(B844,""[^a-zA-Z\s]"","""")
)
)
"),"customer")</f>
        <v>customer</v>
      </c>
      <c r="O844" s="7">
        <f t="shared" si="5"/>
        <v>54</v>
      </c>
      <c r="P844" s="8" t="str">
        <f t="shared" si="6"/>
        <v>Yes</v>
      </c>
    </row>
    <row r="845">
      <c r="A845" s="4" t="s">
        <v>16</v>
      </c>
      <c r="B845" s="4" t="s">
        <v>2411</v>
      </c>
      <c r="C845" s="5">
        <v>44953.0</v>
      </c>
      <c r="D845" s="10">
        <v>44955.0</v>
      </c>
      <c r="E845" s="4" t="s">
        <v>2412</v>
      </c>
      <c r="F845" s="4" t="s">
        <v>2413</v>
      </c>
      <c r="G845" s="6" t="str">
        <f>IFERROR(__xludf.DUMMYFUNCTION("REGEXREPLACE(LOWER(F845),""[^a-z\s]"","""")"),"petflow is a great place for pet products at reasonable prices delivery is reliable as well")</f>
        <v>petflow is a great place for pet products at reasonable prices delivery is reliable as well</v>
      </c>
      <c r="H845" s="4" t="str">
        <f t="shared" si="1"/>
        <v>petflow a great place pet products at reasonable prices delivery reliable as well</v>
      </c>
      <c r="I845" s="6">
        <f t="shared" si="2"/>
        <v>13</v>
      </c>
      <c r="J845" s="6">
        <f>IFERROR(__xludf.DUMMYFUNCTION("IF(H845="""","""",
SUM(
ARRAYFORMULA(
IF(
REGEXMATCH(
"" ""&amp;H845&amp;"" "",
"" ""&amp;Sentiment_Words!A$2:A3730&amp;"" ""
),
1,
0
)
)
)
)"),2.0)</f>
        <v>2</v>
      </c>
      <c r="K845" s="4">
        <f>IFERROR(__xludf.DUMMYFUNCTION("IF(H845="""","""",
SUM(
ARRAYFORMULA(
IF(
REGEXMATCH(
"" ""&amp;H845&amp;"" "",
"" ""&amp;Sentiment_Words!B$2:B3730&amp;"" ""
),
1,
0
)
)
)
)"),0.0)</f>
        <v>0</v>
      </c>
      <c r="L845" s="7" t="str">
        <f t="shared" si="3"/>
        <v>Other</v>
      </c>
      <c r="M845" s="7" t="str">
        <f t="shared" si="4"/>
        <v>Positive</v>
      </c>
      <c r="N845" s="7" t="str">
        <f>IFERROR(__xludf.DUMMYFUNCTION("LOWER(
TRIM(
REGEXREPLACE(B845,""[^a-zA-Z\s]"","""")
)
)
"),"sheri gittinger")</f>
        <v>sheri gittinger</v>
      </c>
      <c r="O845" s="7">
        <f t="shared" si="5"/>
        <v>1</v>
      </c>
      <c r="P845" s="8" t="str">
        <f t="shared" si="6"/>
        <v>No</v>
      </c>
    </row>
    <row r="846">
      <c r="A846" s="4" t="s">
        <v>16</v>
      </c>
      <c r="B846" s="4" t="s">
        <v>2414</v>
      </c>
      <c r="C846" s="5">
        <v>44942.0</v>
      </c>
      <c r="D846" s="10">
        <v>44955.0</v>
      </c>
      <c r="E846" s="4" t="s">
        <v>2415</v>
      </c>
      <c r="F846" s="4" t="s">
        <v>2416</v>
      </c>
      <c r="G846" s="6" t="str">
        <f>IFERROR(__xludf.DUMMYFUNCTION("REGEXREPLACE(LOWER(F846),""[^a-z\s]"","""")"),"ive ordered bulk cat litter from petflow several times now they offer a great price great products and quick shipping will be ordering again")</f>
        <v>ive ordered bulk cat litter from petflow several times now they offer a great price great products and quick shipping will be ordering again</v>
      </c>
      <c r="H846" s="4" t="str">
        <f t="shared" si="1"/>
        <v>ive ordered bulk cat litter from petflow several times now they offer a great price great products quick shipping will be ordering again</v>
      </c>
      <c r="I846" s="6">
        <f t="shared" si="2"/>
        <v>23</v>
      </c>
      <c r="J846" s="6">
        <f>IFERROR(__xludf.DUMMYFUNCTION("IF(H846="""","""",
SUM(
ARRAYFORMULA(
IF(
REGEXMATCH(
"" ""&amp;H846&amp;"" "",
"" ""&amp;Sentiment_Words!A$2:A3730&amp;"" ""
),
1,
0
)
)
)
)"),1.0)</f>
        <v>1</v>
      </c>
      <c r="K846" s="4">
        <f>IFERROR(__xludf.DUMMYFUNCTION("IF(H846="""","""",
SUM(
ARRAYFORMULA(
IF(
REGEXMATCH(
"" ""&amp;H846&amp;"" "",
"" ""&amp;Sentiment_Words!B$2:B3730&amp;"" ""
),
1,
0
)
)
)
)"),0.0)</f>
        <v>0</v>
      </c>
      <c r="L846" s="7" t="str">
        <f t="shared" si="3"/>
        <v>Other</v>
      </c>
      <c r="M846" s="7" t="str">
        <f t="shared" si="4"/>
        <v>Positive</v>
      </c>
      <c r="N846" s="7" t="str">
        <f>IFERROR(__xludf.DUMMYFUNCTION("LOWER(
TRIM(
REGEXREPLACE(B846,""[^a-zA-Z\s]"","""")
)
)
"),"kayan eplett")</f>
        <v>kayan eplett</v>
      </c>
      <c r="O846" s="7">
        <f t="shared" si="5"/>
        <v>1</v>
      </c>
      <c r="P846" s="8" t="str">
        <f t="shared" si="6"/>
        <v>No</v>
      </c>
    </row>
    <row r="847">
      <c r="A847" s="4" t="s">
        <v>16</v>
      </c>
      <c r="B847" s="4" t="s">
        <v>2417</v>
      </c>
      <c r="C847" s="5">
        <v>44951.0</v>
      </c>
      <c r="D847" s="10">
        <v>44954.0</v>
      </c>
      <c r="E847" s="4" t="s">
        <v>2418</v>
      </c>
      <c r="F847" s="4" t="s">
        <v>2419</v>
      </c>
      <c r="G847" s="6" t="str">
        <f>IFERROR(__xludf.DUMMYFUNCTION("REGEXREPLACE(LOWER(F847),""[^a-z\s]"","""")"),"website was easy to navigate checkout was quick easy to track shipping delivery within a short period of time")</f>
        <v>website was easy to navigate checkout was quick easy to track shipping delivery within a short period of time</v>
      </c>
      <c r="H847" s="4" t="str">
        <f t="shared" si="1"/>
        <v>website was easy navigate checkout was quick easy track shipping delivery within a short period of time</v>
      </c>
      <c r="I847" s="6">
        <f t="shared" si="2"/>
        <v>17</v>
      </c>
      <c r="J847" s="6">
        <f>IFERROR(__xludf.DUMMYFUNCTION("IF(H847="""","""",
SUM(
ARRAYFORMULA(
IF(
REGEXMATCH(
"" ""&amp;H847&amp;"" "",
"" ""&amp;Sentiment_Words!A$2:A3730&amp;"" ""
),
1,
0
)
)
)
)"),1.0)</f>
        <v>1</v>
      </c>
      <c r="K847" s="4">
        <f>IFERROR(__xludf.DUMMYFUNCTION("IF(H847="""","""",
SUM(
ARRAYFORMULA(
IF(
REGEXMATCH(
"" ""&amp;H847&amp;"" "",
"" ""&amp;Sentiment_Words!B$2:B3730&amp;"" ""
),
1,
0
)
)
)
)"),0.0)</f>
        <v>0</v>
      </c>
      <c r="L847" s="7" t="str">
        <f t="shared" si="3"/>
        <v>Account &amp; Website</v>
      </c>
      <c r="M847" s="7" t="str">
        <f t="shared" si="4"/>
        <v>Positive</v>
      </c>
      <c r="N847" s="7" t="str">
        <f>IFERROR(__xludf.DUMMYFUNCTION("LOWER(
TRIM(
REGEXREPLACE(B847,""[^a-zA-Z\s]"","""")
)
)
"),"kathy k")</f>
        <v>kathy k</v>
      </c>
      <c r="O847" s="7">
        <f t="shared" si="5"/>
        <v>1</v>
      </c>
      <c r="P847" s="8" t="str">
        <f t="shared" si="6"/>
        <v>No</v>
      </c>
    </row>
    <row r="848">
      <c r="A848" s="4" t="s">
        <v>16</v>
      </c>
      <c r="B848" s="4" t="s">
        <v>2306</v>
      </c>
      <c r="C848" s="5">
        <v>44942.0</v>
      </c>
      <c r="D848" s="10">
        <v>44954.0</v>
      </c>
      <c r="E848" s="4" t="s">
        <v>2420</v>
      </c>
      <c r="F848" s="4" t="s">
        <v>2421</v>
      </c>
      <c r="G848" s="6" t="str">
        <f>IFERROR(__xludf.DUMMYFUNCTION("REGEXREPLACE(LOWER(F848),""[^a-z\s]"","""")"),"i can count on petflow to carry the food that my furry babies like")</f>
        <v>i can count on petflow to carry the food that my furry babies like</v>
      </c>
      <c r="H848" s="4" t="str">
        <f t="shared" si="1"/>
        <v>i can count on petflow carry food that my furry babies like</v>
      </c>
      <c r="I848" s="6">
        <f t="shared" si="2"/>
        <v>12</v>
      </c>
      <c r="J848" s="6">
        <f>IFERROR(__xludf.DUMMYFUNCTION("IF(H848="""","""",
SUM(
ARRAYFORMULA(
IF(
REGEXMATCH(
"" ""&amp;H848&amp;"" "",
"" ""&amp;Sentiment_Words!A$2:A3730&amp;"" ""
),
1,
0
)
)
)
)"),0.0)</f>
        <v>0</v>
      </c>
      <c r="K848" s="4">
        <f>IFERROR(__xludf.DUMMYFUNCTION("IF(H848="""","""",
SUM(
ARRAYFORMULA(
IF(
REGEXMATCH(
"" ""&amp;H848&amp;"" "",
"" ""&amp;Sentiment_Words!B$2:B3730&amp;"" ""
),
1,
0
)
)
)
)"),0.0)</f>
        <v>0</v>
      </c>
      <c r="L848" s="7" t="str">
        <f t="shared" si="3"/>
        <v>Other</v>
      </c>
      <c r="M848" s="7" t="str">
        <f t="shared" si="4"/>
        <v>Neutral</v>
      </c>
      <c r="N848" s="7" t="str">
        <f>IFERROR(__xludf.DUMMYFUNCTION("LOWER(
TRIM(
REGEXREPLACE(B848,""[^a-zA-Z\s]"","""")
)
)
"),"bruce")</f>
        <v>bruce</v>
      </c>
      <c r="O848" s="7">
        <f t="shared" si="5"/>
        <v>3</v>
      </c>
      <c r="P848" s="8" t="str">
        <f t="shared" si="6"/>
        <v>Yes</v>
      </c>
    </row>
    <row r="849">
      <c r="A849" s="4" t="s">
        <v>16</v>
      </c>
      <c r="B849" s="4" t="s">
        <v>2422</v>
      </c>
      <c r="C849" s="5">
        <v>44946.0</v>
      </c>
      <c r="D849" s="10">
        <v>44954.0</v>
      </c>
      <c r="E849" s="4" t="s">
        <v>2423</v>
      </c>
      <c r="F849" s="4" t="s">
        <v>2424</v>
      </c>
      <c r="G849" s="6" t="str">
        <f>IFERROR(__xludf.DUMMYFUNCTION("REGEXREPLACE(LOWER(F849),""[^a-z\s]"","""")"),"incredibly fast service perfect packaging everything absolutely wonderful")</f>
        <v>incredibly fast service perfect packaging everything absolutely wonderful</v>
      </c>
      <c r="H849" s="4" t="str">
        <f t="shared" si="1"/>
        <v>incredibly fast service perfect packaging everything absolutely wonderful</v>
      </c>
      <c r="I849" s="6">
        <f t="shared" si="2"/>
        <v>8</v>
      </c>
      <c r="J849" s="6">
        <f>IFERROR(__xludf.DUMMYFUNCTION("IF(H849="""","""",
SUM(
ARRAYFORMULA(
IF(
REGEXMATCH(
"" ""&amp;H849&amp;"" "",
"" ""&amp;Sentiment_Words!A$2:A3730&amp;"" ""
),
1,
0
)
)
)
)"),2.0)</f>
        <v>2</v>
      </c>
      <c r="K849" s="4">
        <f>IFERROR(__xludf.DUMMYFUNCTION("IF(H849="""","""",
SUM(
ARRAYFORMULA(
IF(
REGEXMATCH(
"" ""&amp;H849&amp;"" "",
"" ""&amp;Sentiment_Words!B$2:B3730&amp;"" ""
),
1,
0
)
)
)
)"),0.0)</f>
        <v>0</v>
      </c>
      <c r="L849" s="7" t="str">
        <f t="shared" si="3"/>
        <v>Customer Support</v>
      </c>
      <c r="M849" s="7" t="str">
        <f t="shared" si="4"/>
        <v>Positive</v>
      </c>
      <c r="N849" s="7" t="str">
        <f>IFERROR(__xludf.DUMMYFUNCTION("LOWER(
TRIM(
REGEXREPLACE(B849,""[^a-zA-Z\s]"","""")
)
)
"),"wanda kling")</f>
        <v>wanda kling</v>
      </c>
      <c r="O849" s="7">
        <f t="shared" si="5"/>
        <v>1</v>
      </c>
      <c r="P849" s="8" t="str">
        <f t="shared" si="6"/>
        <v>No</v>
      </c>
    </row>
    <row r="850">
      <c r="A850" s="4" t="s">
        <v>16</v>
      </c>
      <c r="B850" s="4" t="s">
        <v>2425</v>
      </c>
      <c r="C850" s="5">
        <v>44951.0</v>
      </c>
      <c r="D850" s="10">
        <v>44954.0</v>
      </c>
      <c r="E850" s="4" t="s">
        <v>2426</v>
      </c>
      <c r="F850" s="4" t="s">
        <v>2427</v>
      </c>
      <c r="G850" s="6" t="str">
        <f>IFERROR(__xludf.DUMMYFUNCTION("REGEXREPLACE(LOWER(F850),""[^a-z\s]"","""")"),"i love petflow there are always so helpful and easy to order i love how i get free shipping and theyre always on time customer service is great and i have definitely recommended petflow to friends and family")</f>
        <v>i love petflow there are always so helpful and easy to order i love how i get free shipping and theyre always on time customer service is great and i have definitely recommended petflow to friends and family</v>
      </c>
      <c r="H850" s="4" t="str">
        <f t="shared" si="1"/>
        <v>i love petflow there are always so helpful easy order i love how i get free shipping theyre always on time customer service great i have definitely recommended petflow friends family</v>
      </c>
      <c r="I850" s="6">
        <f t="shared" si="2"/>
        <v>31</v>
      </c>
      <c r="J850" s="6">
        <f>IFERROR(__xludf.DUMMYFUNCTION("IF(H850="""","""",
SUM(
ARRAYFORMULA(
IF(
REGEXMATCH(
"" ""&amp;H850&amp;"" "",
"" ""&amp;Sentiment_Words!A$2:A3730&amp;"" ""
),
1,
0
)
)
)
)"),5.0)</f>
        <v>5</v>
      </c>
      <c r="K850" s="4">
        <f>IFERROR(__xludf.DUMMYFUNCTION("IF(H850="""","""",
SUM(
ARRAYFORMULA(
IF(
REGEXMATCH(
"" ""&amp;H850&amp;"" "",
"" ""&amp;Sentiment_Words!B$2:B3730&amp;"" ""
),
1,
0
)
)
)
)"),1.0)</f>
        <v>1</v>
      </c>
      <c r="L850" s="7" t="str">
        <f t="shared" si="3"/>
        <v>Customer Support</v>
      </c>
      <c r="M850" s="7" t="str">
        <f t="shared" si="4"/>
        <v>Positive</v>
      </c>
      <c r="N850" s="7" t="str">
        <f>IFERROR(__xludf.DUMMYFUNCTION("LOWER(
TRIM(
REGEXREPLACE(B850,""[^a-zA-Z\s]"","""")
)
)
"),"carol greenberg")</f>
        <v>carol greenberg</v>
      </c>
      <c r="O850" s="7">
        <f t="shared" si="5"/>
        <v>1</v>
      </c>
      <c r="P850" s="8" t="str">
        <f t="shared" si="6"/>
        <v>No</v>
      </c>
    </row>
    <row r="851">
      <c r="A851" s="4" t="s">
        <v>16</v>
      </c>
      <c r="B851" s="4" t="s">
        <v>2428</v>
      </c>
      <c r="C851" s="5">
        <v>44951.0</v>
      </c>
      <c r="D851" s="10">
        <v>44954.0</v>
      </c>
      <c r="E851" s="4" t="s">
        <v>2429</v>
      </c>
      <c r="F851" s="4" t="s">
        <v>2430</v>
      </c>
      <c r="G851" s="6" t="str">
        <f>IFERROR(__xludf.DUMMYFUNCTION("REGEXREPLACE(LOWER(F851),""[^a-z\s]"","""")"),"i have ordered from petflow several times and my items always arrived without issues the prices are the lowest in every store and online site that i could find i had a small issue and it was taken care of immediately customer service was quick to assist s"&amp;"uper friendly and helpful")</f>
        <v>i have ordered from petflow several times and my items always arrived without issues the prices are the lowest in every store and online site that i could find i had a small issue and it was taken care of immediately customer service was quick to assist super friendly and helpful</v>
      </c>
      <c r="H851" s="4" t="str">
        <f t="shared" si="1"/>
        <v>i have ordered from petflow several times my items always arrived without issues prices are lowest in every store online site that i could find i had a small issue it was taken care of immediately customer service was quick assist super friendly helpful</v>
      </c>
      <c r="I851" s="6">
        <f t="shared" si="2"/>
        <v>44</v>
      </c>
      <c r="J851" s="6">
        <f>IFERROR(__xludf.DUMMYFUNCTION("IF(H851="""","""",
SUM(
ARRAYFORMULA(
IF(
REGEXMATCH(
"" ""&amp;H851&amp;"" "",
"" ""&amp;Sentiment_Words!A$2:A3730&amp;"" ""
),
1,
0
)
)
)
)"),2.0)</f>
        <v>2</v>
      </c>
      <c r="K851" s="4">
        <f>IFERROR(__xludf.DUMMYFUNCTION("IF(H851="""","""",
SUM(
ARRAYFORMULA(
IF(
REGEXMATCH(
"" ""&amp;H851&amp;"" "",
"" ""&amp;Sentiment_Words!B$2:B3730&amp;"" ""
),
1,
0
)
)
)
)"),2.0)</f>
        <v>2</v>
      </c>
      <c r="L851" s="7" t="str">
        <f t="shared" si="3"/>
        <v>Customer Support</v>
      </c>
      <c r="M851" s="7" t="str">
        <f t="shared" si="4"/>
        <v>Neutral</v>
      </c>
      <c r="N851" s="7" t="str">
        <f>IFERROR(__xludf.DUMMYFUNCTION("LOWER(
TRIM(
REGEXREPLACE(B851,""[^a-zA-Z\s]"","""")
)
)
"),"christopher weaver")</f>
        <v>christopher weaver</v>
      </c>
      <c r="O851" s="7">
        <f t="shared" si="5"/>
        <v>1</v>
      </c>
      <c r="P851" s="8" t="str">
        <f t="shared" si="6"/>
        <v>No</v>
      </c>
    </row>
    <row r="852">
      <c r="A852" s="4" t="s">
        <v>16</v>
      </c>
      <c r="B852" s="4" t="s">
        <v>2431</v>
      </c>
      <c r="C852" s="5">
        <v>44944.0</v>
      </c>
      <c r="D852" s="10">
        <v>44953.0</v>
      </c>
      <c r="E852" s="4" t="s">
        <v>2432</v>
      </c>
      <c r="F852" s="4" t="s">
        <v>2433</v>
      </c>
      <c r="G852" s="6" t="str">
        <f>IFERROR(__xludf.DUMMYFUNCTION("REGEXREPLACE(LOWER(F852),""[^a-z\s]"","""")"),"offer quality dog food and treats
fast order filling and shipping
reasonable prices great clearances")</f>
        <v>offer quality dog food and treats
fast order filling and shipping
reasonable prices great clearances</v>
      </c>
      <c r="H852" s="4" t="str">
        <f t="shared" si="1"/>
        <v>offer quality dog food treats
fast order filling shipping
reasonable prices great clearances</v>
      </c>
      <c r="I852" s="6">
        <f t="shared" si="2"/>
        <v>11</v>
      </c>
      <c r="J852" s="6">
        <f>IFERROR(__xludf.DUMMYFUNCTION("IF(H852="""","""",
SUM(
ARRAYFORMULA(
IF(
REGEXMATCH(
"" ""&amp;H852&amp;"" "",
"" ""&amp;Sentiment_Words!A$2:A3730&amp;"" ""
),
1,
0
)
)
)
)"),1.0)</f>
        <v>1</v>
      </c>
      <c r="K852" s="4">
        <f>IFERROR(__xludf.DUMMYFUNCTION("IF(H852="""","""",
SUM(
ARRAYFORMULA(
IF(
REGEXMATCH(
"" ""&amp;H852&amp;"" "",
"" ""&amp;Sentiment_Words!B$2:B3730&amp;"" ""
),
1,
0
)
)
)
)"),0.0)</f>
        <v>0</v>
      </c>
      <c r="L852" s="7" t="str">
        <f t="shared" si="3"/>
        <v>Other</v>
      </c>
      <c r="M852" s="7" t="str">
        <f t="shared" si="4"/>
        <v>Positive</v>
      </c>
      <c r="N852" s="7" t="str">
        <f>IFERROR(__xludf.DUMMYFUNCTION("LOWER(
TRIM(
REGEXREPLACE(B852,""[^a-zA-Z\s]"","""")
)
)
"),"paula godina")</f>
        <v>paula godina</v>
      </c>
      <c r="O852" s="7">
        <f t="shared" si="5"/>
        <v>1</v>
      </c>
      <c r="P852" s="8" t="str">
        <f t="shared" si="6"/>
        <v>No</v>
      </c>
    </row>
    <row r="853">
      <c r="A853" s="4" t="s">
        <v>16</v>
      </c>
      <c r="B853" s="4" t="s">
        <v>2434</v>
      </c>
      <c r="C853" s="5">
        <v>44949.0</v>
      </c>
      <c r="D853" s="10">
        <v>44953.0</v>
      </c>
      <c r="E853" s="4" t="s">
        <v>2435</v>
      </c>
      <c r="F853" s="4" t="s">
        <v>2436</v>
      </c>
      <c r="G853" s="6" t="str">
        <f>IFERROR(__xludf.DUMMYFUNCTION("REGEXREPLACE(LOWER(F853),""[^a-z\s]"","""")"),"ease of ordering product better than described costs are reasonable very prompt shipping")</f>
        <v>ease of ordering product better than described costs are reasonable very prompt shipping</v>
      </c>
      <c r="H853" s="4" t="str">
        <f t="shared" si="1"/>
        <v>ease of ordering product better than described costs are reasonable very prompt shipping</v>
      </c>
      <c r="I853" s="6">
        <f t="shared" si="2"/>
        <v>13</v>
      </c>
      <c r="J853" s="6">
        <f>IFERROR(__xludf.DUMMYFUNCTION("IF(H853="""","""",
SUM(
ARRAYFORMULA(
IF(
REGEXMATCH(
"" ""&amp;H853&amp;"" "",
"" ""&amp;Sentiment_Words!A$2:A3730&amp;"" ""
),
1,
0
)
)
)
)"),1.0)</f>
        <v>1</v>
      </c>
      <c r="K853" s="4">
        <f>IFERROR(__xludf.DUMMYFUNCTION("IF(H853="""","""",
SUM(
ARRAYFORMULA(
IF(
REGEXMATCH(
"" ""&amp;H853&amp;"" "",
"" ""&amp;Sentiment_Words!B$2:B3730&amp;"" ""
),
1,
0
)
)
)
)"),0.0)</f>
        <v>0</v>
      </c>
      <c r="L853" s="7" t="str">
        <f t="shared" si="3"/>
        <v>Other</v>
      </c>
      <c r="M853" s="7" t="str">
        <f t="shared" si="4"/>
        <v>Positive</v>
      </c>
      <c r="N853" s="7" t="str">
        <f>IFERROR(__xludf.DUMMYFUNCTION("LOWER(
TRIM(
REGEXREPLACE(B853,""[^a-zA-Z\s]"","""")
)
)
"),"dee")</f>
        <v>dee</v>
      </c>
      <c r="O853" s="7">
        <f t="shared" si="5"/>
        <v>1</v>
      </c>
      <c r="P853" s="8" t="str">
        <f t="shared" si="6"/>
        <v>No</v>
      </c>
    </row>
    <row r="854">
      <c r="A854" s="4" t="s">
        <v>16</v>
      </c>
      <c r="B854" s="4" t="s">
        <v>2437</v>
      </c>
      <c r="C854" s="5">
        <v>44946.0</v>
      </c>
      <c r="D854" s="10">
        <v>44953.0</v>
      </c>
      <c r="E854" s="4" t="s">
        <v>2438</v>
      </c>
      <c r="F854" s="4" t="s">
        <v>2439</v>
      </c>
      <c r="G854" s="6" t="str">
        <f>IFERROR(__xludf.DUMMYFUNCTION("REGEXREPLACE(LOWER(F854),""[^a-z\s]"","""")"),"petflow delivers the treats my dog prefers with the pandemic we werent always able to get her treats at the store  thats how we found petflow yay")</f>
        <v>petflow delivers the treats my dog prefers with the pandemic we werent always able to get her treats at the store  thats how we found petflow yay</v>
      </c>
      <c r="H854" s="4" t="str">
        <f t="shared" si="1"/>
        <v>petflow delivers treats my dog prefers with pandemic we werent always able get her treats at store thats how we found petflow yay</v>
      </c>
      <c r="I854" s="6">
        <f t="shared" si="2"/>
        <v>23</v>
      </c>
      <c r="J854" s="6">
        <f>IFERROR(__xludf.DUMMYFUNCTION("IF(H854="""","""",
SUM(
ARRAYFORMULA(
IF(
REGEXMATCH(
"" ""&amp;H854&amp;"" "",
"" ""&amp;Sentiment_Words!A$2:A3730&amp;"" ""
),
1,
0
)
)
)
)"),2.0)</f>
        <v>2</v>
      </c>
      <c r="K854" s="4">
        <f>IFERROR(__xludf.DUMMYFUNCTION("IF(H854="""","""",
SUM(
ARRAYFORMULA(
IF(
REGEXMATCH(
"" ""&amp;H854&amp;"" "",
"" ""&amp;Sentiment_Words!B$2:B3730&amp;"" ""
),
1,
0
)
)
)
)"),0.0)</f>
        <v>0</v>
      </c>
      <c r="L854" s="7" t="str">
        <f t="shared" si="3"/>
        <v>Other</v>
      </c>
      <c r="M854" s="7" t="str">
        <f t="shared" si="4"/>
        <v>Positive</v>
      </c>
      <c r="N854" s="7" t="str">
        <f>IFERROR(__xludf.DUMMYFUNCTION("LOWER(
TRIM(
REGEXREPLACE(B854,""[^a-zA-Z\s]"","""")
)
)
"),"suzanne hilltripp")</f>
        <v>suzanne hilltripp</v>
      </c>
      <c r="O854" s="7">
        <f t="shared" si="5"/>
        <v>1</v>
      </c>
      <c r="P854" s="8" t="str">
        <f t="shared" si="6"/>
        <v>No</v>
      </c>
    </row>
    <row r="855">
      <c r="A855" s="4" t="s">
        <v>16</v>
      </c>
      <c r="B855" s="4" t="s">
        <v>2440</v>
      </c>
      <c r="C855" s="5">
        <v>44942.0</v>
      </c>
      <c r="D855" s="10">
        <v>44953.0</v>
      </c>
      <c r="E855" s="4" t="s">
        <v>2441</v>
      </c>
      <c r="F855" s="4" t="s">
        <v>2442</v>
      </c>
      <c r="G855" s="6" t="str">
        <f>IFERROR(__xludf.DUMMYFUNCTION("REGEXREPLACE(LOWER(F855),""[^a-z\s]"","""")"),"always have great order takers fast and efficient")</f>
        <v>always have great order takers fast and efficient</v>
      </c>
      <c r="H855" s="4" t="str">
        <f t="shared" si="1"/>
        <v>always have great order takers fast efficient</v>
      </c>
      <c r="I855" s="6">
        <f t="shared" si="2"/>
        <v>7</v>
      </c>
      <c r="J855" s="6">
        <f>IFERROR(__xludf.DUMMYFUNCTION("IF(H855="""","""",
SUM(
ARRAYFORMULA(
IF(
REGEXMATCH(
"" ""&amp;H855&amp;"" "",
"" ""&amp;Sentiment_Words!A$2:A3730&amp;"" ""
),
1,
0
)
)
)
)"),3.0)</f>
        <v>3</v>
      </c>
      <c r="K855" s="4">
        <f>IFERROR(__xludf.DUMMYFUNCTION("IF(H855="""","""",
SUM(
ARRAYFORMULA(
IF(
REGEXMATCH(
"" ""&amp;H855&amp;"" "",
"" ""&amp;Sentiment_Words!B$2:B3730&amp;"" ""
),
1,
0
)
)
)
)"),0.0)</f>
        <v>0</v>
      </c>
      <c r="L855" s="7" t="str">
        <f t="shared" si="3"/>
        <v>Other</v>
      </c>
      <c r="M855" s="7" t="str">
        <f t="shared" si="4"/>
        <v>Positive</v>
      </c>
      <c r="N855" s="7" t="str">
        <f>IFERROR(__xludf.DUMMYFUNCTION("LOWER(
TRIM(
REGEXREPLACE(B855,""[^a-zA-Z\s]"","""")
)
)
"),"mrj")</f>
        <v>mrj</v>
      </c>
      <c r="O855" s="7">
        <f t="shared" si="5"/>
        <v>1</v>
      </c>
      <c r="P855" s="8" t="str">
        <f t="shared" si="6"/>
        <v>No</v>
      </c>
    </row>
    <row r="856">
      <c r="A856" s="4" t="s">
        <v>16</v>
      </c>
      <c r="B856" s="4" t="s">
        <v>2443</v>
      </c>
      <c r="C856" s="5">
        <v>44952.0</v>
      </c>
      <c r="D856" s="10">
        <v>44952.0</v>
      </c>
      <c r="E856" s="4" t="s">
        <v>2444</v>
      </c>
      <c r="F856" s="4" t="s">
        <v>2445</v>
      </c>
      <c r="G856" s="6" t="str">
        <f>IFERROR(__xludf.DUMMYFUNCTION("REGEXREPLACE(LOWER(F856),""[^a-z\s]"","""")"),"confirmed my order for dog food and did not ship it nor contact me i ran out of food for my dog unacceptable to harm my dog or anyones pet will never do business with a company that disregards the health of their real customers apparently this issue is no"&amp;"t isolated to my experience per other reviews of petflow")</f>
        <v>confirmed my order for dog food and did not ship it nor contact me i ran out of food for my dog unacceptable to harm my dog or anyones pet will never do business with a company that disregards the health of their real customers apparently this issue is not isolated to my experience per other reviews of petflow</v>
      </c>
      <c r="H856" s="4" t="str">
        <f t="shared" si="1"/>
        <v>confirmed my order dog food did not ship it nor contact me i ran out of food my dog unacceptable harm my dog or anyones pet will never do business with a company that disregards health of their real customers apparently this issue not isolated my experience per other reviews of petflow</v>
      </c>
      <c r="I856" s="6">
        <f t="shared" si="2"/>
        <v>52</v>
      </c>
      <c r="J856" s="6">
        <f>IFERROR(__xludf.DUMMYFUNCTION("IF(H856="""","""",
SUM(
ARRAYFORMULA(
IF(
REGEXMATCH(
"" ""&amp;H856&amp;"" "",
"" ""&amp;Sentiment_Words!A$2:A3730&amp;"" ""
),
1,
0
)
)
)
)"),0.0)</f>
        <v>0</v>
      </c>
      <c r="K856" s="4">
        <f>IFERROR(__xludf.DUMMYFUNCTION("IF(H856="""","""",
SUM(
ARRAYFORMULA(
IF(
REGEXMATCH(
"" ""&amp;H856&amp;"" "",
"" ""&amp;Sentiment_Words!B$2:B3730&amp;"" ""
),
1,
0
)
)
)
)"),1.0)</f>
        <v>1</v>
      </c>
      <c r="L856" s="7" t="str">
        <f t="shared" si="3"/>
        <v>Fulfillment &amp; Shipping</v>
      </c>
      <c r="M856" s="7" t="str">
        <f t="shared" si="4"/>
        <v>Negative</v>
      </c>
      <c r="N856" s="7" t="str">
        <f>IFERROR(__xludf.DUMMYFUNCTION("LOWER(
TRIM(
REGEXREPLACE(B856,""[^a-zA-Z\s]"","""")
)
)
"),"suzann")</f>
        <v>suzann</v>
      </c>
      <c r="O856" s="7">
        <f t="shared" si="5"/>
        <v>1</v>
      </c>
      <c r="P856" s="8" t="str">
        <f t="shared" si="6"/>
        <v>No</v>
      </c>
    </row>
    <row r="857">
      <c r="A857" s="4" t="s">
        <v>16</v>
      </c>
      <c r="B857" s="4" t="s">
        <v>2446</v>
      </c>
      <c r="C857" s="5">
        <v>44946.0</v>
      </c>
      <c r="D857" s="10">
        <v>44952.0</v>
      </c>
      <c r="E857" s="4" t="s">
        <v>2447</v>
      </c>
      <c r="F857" s="4" t="s">
        <v>2448</v>
      </c>
      <c r="G857" s="6" t="str">
        <f>IFERROR(__xludf.DUMMYFUNCTION("REGEXREPLACE(LOWER(F857),""[^a-z\s]"","""")"),"website was easy to use and checkout was quick")</f>
        <v>website was easy to use and checkout was quick</v>
      </c>
      <c r="H857" s="4" t="str">
        <f t="shared" si="1"/>
        <v>website was easy use checkout was quick</v>
      </c>
      <c r="I857" s="6">
        <f t="shared" si="2"/>
        <v>7</v>
      </c>
      <c r="J857" s="6">
        <f>IFERROR(__xludf.DUMMYFUNCTION("IF(H857="""","""",
SUM(
ARRAYFORMULA(
IF(
REGEXMATCH(
"" ""&amp;H857&amp;"" "",
"" ""&amp;Sentiment_Words!A$2:A3730&amp;"" ""
),
1,
0
)
)
)
)"),1.0)</f>
        <v>1</v>
      </c>
      <c r="K857" s="4">
        <f>IFERROR(__xludf.DUMMYFUNCTION("IF(H857="""","""",
SUM(
ARRAYFORMULA(
IF(
REGEXMATCH(
"" ""&amp;H857&amp;"" "",
"" ""&amp;Sentiment_Words!B$2:B3730&amp;"" ""
),
1,
0
)
)
)
)"),0.0)</f>
        <v>0</v>
      </c>
      <c r="L857" s="7" t="str">
        <f t="shared" si="3"/>
        <v>Account &amp; Website</v>
      </c>
      <c r="M857" s="7" t="str">
        <f t="shared" si="4"/>
        <v>Positive</v>
      </c>
      <c r="N857" s="7" t="str">
        <f>IFERROR(__xludf.DUMMYFUNCTION("LOWER(
TRIM(
REGEXREPLACE(B857,""[^a-zA-Z\s]"","""")
)
)
"),"marilyn sharp")</f>
        <v>marilyn sharp</v>
      </c>
      <c r="O857" s="7">
        <f t="shared" si="5"/>
        <v>1</v>
      </c>
      <c r="P857" s="8" t="str">
        <f t="shared" si="6"/>
        <v>No</v>
      </c>
    </row>
    <row r="858">
      <c r="A858" s="4" t="s">
        <v>16</v>
      </c>
      <c r="B858" s="4" t="s">
        <v>2449</v>
      </c>
      <c r="C858" s="5">
        <v>44941.0</v>
      </c>
      <c r="D858" s="4" t="s">
        <v>2450</v>
      </c>
      <c r="E858" s="4" t="s">
        <v>2451</v>
      </c>
      <c r="F858" s="4" t="s">
        <v>2452</v>
      </c>
      <c r="G858" s="6" t="str">
        <f>IFERROR(__xludf.DUMMYFUNCTION("REGEXREPLACE(LOWER(F858),""[^a-z\s]"","""")"),"easy ordering very fast delivery")</f>
        <v>easy ordering very fast delivery</v>
      </c>
      <c r="H858" s="4" t="str">
        <f t="shared" si="1"/>
        <v>easy ordering very fast delivery</v>
      </c>
      <c r="I858" s="6">
        <f t="shared" si="2"/>
        <v>5</v>
      </c>
      <c r="J858" s="6">
        <f>IFERROR(__xludf.DUMMYFUNCTION("IF(H858="""","""",
SUM(
ARRAYFORMULA(
IF(
REGEXMATCH(
"" ""&amp;H858&amp;"" "",
"" ""&amp;Sentiment_Words!A$2:A3730&amp;"" ""
),
1,
0
)
)
)
)"),3.0)</f>
        <v>3</v>
      </c>
      <c r="K858" s="4">
        <f>IFERROR(__xludf.DUMMYFUNCTION("IF(H858="""","""",
SUM(
ARRAYFORMULA(
IF(
REGEXMATCH(
"" ""&amp;H858&amp;"" "",
"" ""&amp;Sentiment_Words!B$2:B3730&amp;"" ""
),
1,
0
)
)
)
)"),0.0)</f>
        <v>0</v>
      </c>
      <c r="L858" s="7" t="str">
        <f t="shared" si="3"/>
        <v>Other</v>
      </c>
      <c r="M858" s="7" t="str">
        <f t="shared" si="4"/>
        <v>Positive</v>
      </c>
      <c r="N858" s="7" t="str">
        <f>IFERROR(__xludf.DUMMYFUNCTION("LOWER(
TRIM(
REGEXREPLACE(B858,""[^a-zA-Z\s]"","""")
)
)
"),"ziva")</f>
        <v>ziva</v>
      </c>
      <c r="O858" s="7">
        <f t="shared" si="5"/>
        <v>1</v>
      </c>
      <c r="P858" s="8" t="str">
        <f t="shared" si="6"/>
        <v>No</v>
      </c>
    </row>
    <row r="859">
      <c r="A859" s="4" t="s">
        <v>16</v>
      </c>
      <c r="B859" s="4" t="s">
        <v>2453</v>
      </c>
      <c r="C859" s="5">
        <v>44944.0</v>
      </c>
      <c r="D859" s="10">
        <v>44952.0</v>
      </c>
      <c r="E859" s="4" t="s">
        <v>2454</v>
      </c>
      <c r="F859" s="4" t="s">
        <v>2455</v>
      </c>
      <c r="G859" s="6" t="str">
        <f>IFERROR(__xludf.DUMMYFUNCTION("REGEXREPLACE(LOWER(F859),""[^a-z\s]"","""")"),"great product and quick service will definitely buy from them again")</f>
        <v>great product and quick service will definitely buy from them again</v>
      </c>
      <c r="H859" s="4" t="str">
        <f t="shared" si="1"/>
        <v>great product quick service will definitely buy from them again</v>
      </c>
      <c r="I859" s="6">
        <f t="shared" si="2"/>
        <v>10</v>
      </c>
      <c r="J859" s="6">
        <f>IFERROR(__xludf.DUMMYFUNCTION("IF(H859="""","""",
SUM(
ARRAYFORMULA(
IF(
REGEXMATCH(
"" ""&amp;H859&amp;"" "",
"" ""&amp;Sentiment_Words!A$2:A3730&amp;"" ""
),
1,
0
)
)
)
)"),1.0)</f>
        <v>1</v>
      </c>
      <c r="K859" s="4">
        <f>IFERROR(__xludf.DUMMYFUNCTION("IF(H859="""","""",
SUM(
ARRAYFORMULA(
IF(
REGEXMATCH(
"" ""&amp;H859&amp;"" "",
"" ""&amp;Sentiment_Words!B$2:B3730&amp;"" ""
),
1,
0
)
)
)
)"),0.0)</f>
        <v>0</v>
      </c>
      <c r="L859" s="7" t="str">
        <f t="shared" si="3"/>
        <v>Customer Support</v>
      </c>
      <c r="M859" s="7" t="str">
        <f t="shared" si="4"/>
        <v>Positive</v>
      </c>
      <c r="N859" s="7" t="str">
        <f>IFERROR(__xludf.DUMMYFUNCTION("LOWER(
TRIM(
REGEXREPLACE(B859,""[^a-zA-Z\s]"","""")
)
)
"),"peter tedone")</f>
        <v>peter tedone</v>
      </c>
      <c r="O859" s="7">
        <f t="shared" si="5"/>
        <v>1</v>
      </c>
      <c r="P859" s="8" t="str">
        <f t="shared" si="6"/>
        <v>No</v>
      </c>
    </row>
    <row r="860">
      <c r="A860" s="4" t="s">
        <v>16</v>
      </c>
      <c r="B860" s="4" t="s">
        <v>2456</v>
      </c>
      <c r="C860" s="5">
        <v>44944.0</v>
      </c>
      <c r="D860" s="10">
        <v>44952.0</v>
      </c>
      <c r="E860" s="4" t="s">
        <v>1780</v>
      </c>
      <c r="F860" s="4" t="s">
        <v>331</v>
      </c>
      <c r="G860" s="6" t="str">
        <f>IFERROR(__xludf.DUMMYFUNCTION("REGEXREPLACE(LOWER(F860),""[^a-z\s]"","""")"),"none")</f>
        <v>none</v>
      </c>
      <c r="H860" s="4" t="str">
        <f t="shared" si="1"/>
        <v>none</v>
      </c>
      <c r="I860" s="6">
        <f t="shared" si="2"/>
        <v>1</v>
      </c>
      <c r="J860" s="6">
        <f>IFERROR(__xludf.DUMMYFUNCTION("IF(H860="""","""",
SUM(
ARRAYFORMULA(
IF(
REGEXMATCH(
"" ""&amp;H860&amp;"" "",
"" ""&amp;Sentiment_Words!A$2:A3730&amp;"" ""
),
1,
0
)
)
)
)"),0.0)</f>
        <v>0</v>
      </c>
      <c r="K860" s="4">
        <f>IFERROR(__xludf.DUMMYFUNCTION("IF(H860="""","""",
SUM(
ARRAYFORMULA(
IF(
REGEXMATCH(
"" ""&amp;H860&amp;"" "",
"" ""&amp;Sentiment_Words!B$2:B3730&amp;"" ""
),
1,
0
)
)
)
)"),0.0)</f>
        <v>0</v>
      </c>
      <c r="L860" s="7" t="str">
        <f t="shared" si="3"/>
        <v>Other</v>
      </c>
      <c r="M860" s="7" t="str">
        <f t="shared" si="4"/>
        <v>Neutral</v>
      </c>
      <c r="N860" s="7" t="str">
        <f>IFERROR(__xludf.DUMMYFUNCTION("LOWER(
TRIM(
REGEXREPLACE(B860,""[^a-zA-Z\s]"","""")
)
)
"),"angela")</f>
        <v>angela</v>
      </c>
      <c r="O860" s="7">
        <f t="shared" si="5"/>
        <v>3</v>
      </c>
      <c r="P860" s="8" t="str">
        <f t="shared" si="6"/>
        <v>Yes</v>
      </c>
    </row>
    <row r="861">
      <c r="A861" s="4" t="s">
        <v>16</v>
      </c>
      <c r="B861" s="4" t="s">
        <v>2457</v>
      </c>
      <c r="C861" s="5">
        <v>44942.0</v>
      </c>
      <c r="D861" s="10">
        <v>44952.0</v>
      </c>
      <c r="E861" s="4" t="s">
        <v>2458</v>
      </c>
      <c r="F861" s="4" t="s">
        <v>331</v>
      </c>
      <c r="G861" s="6" t="str">
        <f>IFERROR(__xludf.DUMMYFUNCTION("REGEXREPLACE(LOWER(F861),""[^a-z\s]"","""")"),"none")</f>
        <v>none</v>
      </c>
      <c r="H861" s="4" t="str">
        <f t="shared" si="1"/>
        <v>none</v>
      </c>
      <c r="I861" s="6">
        <f t="shared" si="2"/>
        <v>1</v>
      </c>
      <c r="J861" s="6">
        <f>IFERROR(__xludf.DUMMYFUNCTION("IF(H861="""","""",
SUM(
ARRAYFORMULA(
IF(
REGEXMATCH(
"" ""&amp;H861&amp;"" "",
"" ""&amp;Sentiment_Words!A$2:A3730&amp;"" ""
),
1,
0
)
)
)
)"),0.0)</f>
        <v>0</v>
      </c>
      <c r="K861" s="4">
        <f>IFERROR(__xludf.DUMMYFUNCTION("IF(H861="""","""",
SUM(
ARRAYFORMULA(
IF(
REGEXMATCH(
"" ""&amp;H861&amp;"" "",
"" ""&amp;Sentiment_Words!B$2:B3730&amp;"" ""
),
1,
0
)
)
)
)"),0.0)</f>
        <v>0</v>
      </c>
      <c r="L861" s="7" t="str">
        <f t="shared" si="3"/>
        <v>Other</v>
      </c>
      <c r="M861" s="7" t="str">
        <f t="shared" si="4"/>
        <v>Neutral</v>
      </c>
      <c r="N861" s="7" t="str">
        <f>IFERROR(__xludf.DUMMYFUNCTION("LOWER(
TRIM(
REGEXREPLACE(B861,""[^a-zA-Z\s]"","""")
)
)
"),"kristen mullin")</f>
        <v>kristen mullin</v>
      </c>
      <c r="O861" s="7">
        <f t="shared" si="5"/>
        <v>1</v>
      </c>
      <c r="P861" s="8" t="str">
        <f t="shared" si="6"/>
        <v>No</v>
      </c>
    </row>
    <row r="862">
      <c r="A862" s="4" t="s">
        <v>16</v>
      </c>
      <c r="B862" s="4" t="s">
        <v>2459</v>
      </c>
      <c r="C862" s="5">
        <v>44951.0</v>
      </c>
      <c r="D862" s="10">
        <v>44952.0</v>
      </c>
      <c r="E862" s="4" t="s">
        <v>2460</v>
      </c>
      <c r="F862" s="4" t="s">
        <v>2461</v>
      </c>
      <c r="G862" s="6" t="str">
        <f>IFERROR(__xludf.DUMMYFUNCTION("REGEXREPLACE(LOWER(F862),""[^a-z\s]"","""")"),"timely delivery large selection of products notification of products arrival that had been out of stock great web thank you petflow")</f>
        <v>timely delivery large selection of products notification of products arrival that had been out of stock great web thank you petflow</v>
      </c>
      <c r="H862" s="4" t="str">
        <f t="shared" si="1"/>
        <v>timely delivery large selection of products notification of products arrival that had been out of stock great web thank you petflow</v>
      </c>
      <c r="I862" s="6">
        <f t="shared" si="2"/>
        <v>21</v>
      </c>
      <c r="J862" s="6">
        <f>IFERROR(__xludf.DUMMYFUNCTION("IF(H862="""","""",
SUM(
ARRAYFORMULA(
IF(
REGEXMATCH(
"" ""&amp;H862&amp;"" "",
"" ""&amp;Sentiment_Words!A$2:A3730&amp;"" ""
),
1,
0
)
)
)
)"),1.0)</f>
        <v>1</v>
      </c>
      <c r="K862" s="4">
        <f>IFERROR(__xludf.DUMMYFUNCTION("IF(H862="""","""",
SUM(
ARRAYFORMULA(
IF(
REGEXMATCH(
"" ""&amp;H862&amp;"" "",
"" ""&amp;Sentiment_Words!B$2:B3730&amp;"" ""
),
1,
0
)
)
)
)"),1.0)</f>
        <v>1</v>
      </c>
      <c r="L862" s="7" t="str">
        <f t="shared" si="3"/>
        <v>Availability</v>
      </c>
      <c r="M862" s="7" t="str">
        <f t="shared" si="4"/>
        <v>Neutral</v>
      </c>
      <c r="N862" s="7" t="str">
        <f>IFERROR(__xludf.DUMMYFUNCTION("LOWER(
TRIM(
REGEXREPLACE(B862,""[^a-zA-Z\s]"","""")
)
)
"),"donna")</f>
        <v>donna</v>
      </c>
      <c r="O862" s="7">
        <f t="shared" si="5"/>
        <v>5</v>
      </c>
      <c r="P862" s="8" t="str">
        <f t="shared" si="6"/>
        <v>Yes</v>
      </c>
    </row>
    <row r="863">
      <c r="A863" s="4" t="s">
        <v>16</v>
      </c>
      <c r="B863" s="4" t="s">
        <v>2462</v>
      </c>
      <c r="C863" s="5">
        <v>44946.0</v>
      </c>
      <c r="D863" s="10">
        <v>44952.0</v>
      </c>
      <c r="E863" s="4" t="s">
        <v>2463</v>
      </c>
      <c r="F863" s="4" t="s">
        <v>2464</v>
      </c>
      <c r="G863" s="6" t="str">
        <f>IFERROR(__xludf.DUMMYFUNCTION("REGEXREPLACE(LOWER(F863),""[^a-z\s]"","""")"),"i ordered  trays of special vet approved canned dog food  it arrived quickly and well packaged no delays even though they had to confirm with vet")</f>
        <v>i ordered  trays of special vet approved canned dog food  it arrived quickly and well packaged no delays even though they had to confirm with vet</v>
      </c>
      <c r="H863" s="4" t="str">
        <f t="shared" si="1"/>
        <v>i ordered trays of special vet approved canned dog food it arrived quickly well packaged no delays even though they had confirm with vet</v>
      </c>
      <c r="I863" s="6">
        <f t="shared" si="2"/>
        <v>24</v>
      </c>
      <c r="J863" s="6">
        <f>IFERROR(__xludf.DUMMYFUNCTION("IF(H863="""","""",
SUM(
ARRAYFORMULA(
IF(
REGEXMATCH(
"" ""&amp;H863&amp;"" "",
"" ""&amp;Sentiment_Words!A$2:A3730&amp;"" ""
),
1,
0
)
)
)
)"),0.0)</f>
        <v>0</v>
      </c>
      <c r="K863" s="4">
        <f>IFERROR(__xludf.DUMMYFUNCTION("IF(H863="""","""",
SUM(
ARRAYFORMULA(
IF(
REGEXMATCH(
"" ""&amp;H863&amp;"" "",
"" ""&amp;Sentiment_Words!B$2:B3730&amp;"" ""
),
1,
0
)
)
)
)"),0.0)</f>
        <v>0</v>
      </c>
      <c r="L863" s="7" t="str">
        <f t="shared" si="3"/>
        <v>Fulfillment &amp; Shipping</v>
      </c>
      <c r="M863" s="7" t="str">
        <f t="shared" si="4"/>
        <v>Neutral</v>
      </c>
      <c r="N863" s="7" t="str">
        <f>IFERROR(__xludf.DUMMYFUNCTION("LOWER(
TRIM(
REGEXREPLACE(B863,""[^a-zA-Z\s]"","""")
)
)
"),"teds mom")</f>
        <v>teds mom</v>
      </c>
      <c r="O863" s="7">
        <f t="shared" si="5"/>
        <v>1</v>
      </c>
      <c r="P863" s="8" t="str">
        <f t="shared" si="6"/>
        <v>No</v>
      </c>
    </row>
    <row r="864">
      <c r="A864" s="4" t="s">
        <v>16</v>
      </c>
      <c r="B864" s="4" t="s">
        <v>2465</v>
      </c>
      <c r="C864" s="5">
        <v>44939.0</v>
      </c>
      <c r="D864" s="10">
        <v>44952.0</v>
      </c>
      <c r="E864" s="4" t="s">
        <v>2466</v>
      </c>
      <c r="F864" s="4" t="s">
        <v>2467</v>
      </c>
      <c r="G864" s="6" t="str">
        <f>IFERROR(__xludf.DUMMYFUNCTION("REGEXREPLACE(LOWER(F864),""[^a-z\s]"","""")"),"more often than not my dogs food is backordered so then i have to scramble to find her food then days later the backordered item ships i then have  bags of  food that i didnt budget for")</f>
        <v>more often than not my dogs food is backordered so then i have to scramble to find her food then days later the backordered item ships i then have  bags of  food that i didnt budget for</v>
      </c>
      <c r="H864" s="4" t="str">
        <f t="shared" si="1"/>
        <v>more often than not my dogs food backordered so then i have scramble find her food then days later backordered item ships i then have bags of food that i didnt budget</v>
      </c>
      <c r="I864" s="6">
        <f t="shared" si="2"/>
        <v>32</v>
      </c>
      <c r="J864" s="6">
        <f>IFERROR(__xludf.DUMMYFUNCTION("IF(H864="""","""",
SUM(
ARRAYFORMULA(
IF(
REGEXMATCH(
"" ""&amp;H864&amp;"" "",
"" ""&amp;Sentiment_Words!A$2:A3730&amp;"" ""
),
1,
0
)
)
)
)"),0.0)</f>
        <v>0</v>
      </c>
      <c r="K864" s="4">
        <f>IFERROR(__xludf.DUMMYFUNCTION("IF(H864="""","""",
SUM(
ARRAYFORMULA(
IF(
REGEXMATCH(
"" ""&amp;H864&amp;"" "",
"" ""&amp;Sentiment_Words!B$2:B3730&amp;"" ""
),
1,
0
)
)
)
)"),0.0)</f>
        <v>0</v>
      </c>
      <c r="L864" s="7" t="str">
        <f t="shared" si="3"/>
        <v>Fulfillment &amp; Shipping</v>
      </c>
      <c r="M864" s="7" t="str">
        <f t="shared" si="4"/>
        <v>Neutral</v>
      </c>
      <c r="N864" s="7" t="str">
        <f>IFERROR(__xludf.DUMMYFUNCTION("LOWER(
TRIM(
REGEXREPLACE(B864,""[^a-zA-Z\s]"","""")
)
)
"),"monica moore")</f>
        <v>monica moore</v>
      </c>
      <c r="O864" s="7">
        <f t="shared" si="5"/>
        <v>1</v>
      </c>
      <c r="P864" s="8" t="str">
        <f t="shared" si="6"/>
        <v>No</v>
      </c>
    </row>
    <row r="865">
      <c r="A865" s="4" t="s">
        <v>16</v>
      </c>
      <c r="B865" s="4" t="s">
        <v>2468</v>
      </c>
      <c r="C865" s="5">
        <v>44936.0</v>
      </c>
      <c r="D865" s="10">
        <v>44952.0</v>
      </c>
      <c r="E865" s="4" t="s">
        <v>2469</v>
      </c>
      <c r="F865" s="4" t="s">
        <v>2470</v>
      </c>
      <c r="G865" s="6" t="str">
        <f>IFERROR(__xludf.DUMMYFUNCTION("REGEXREPLACE(LOWER(F865),""[^a-z\s]"","""")"),"i have used petflow for a few years every order has been filled accurately and timely communications regarding order status has been excellent i would give a five star rating except for the minimum order size and shipping costs")</f>
        <v>i have used petflow for a few years every order has been filled accurately and timely communications regarding order status has been excellent i would give a five star rating except for the minimum order size and shipping costs</v>
      </c>
      <c r="H865" s="4" t="str">
        <f t="shared" si="1"/>
        <v>i have used petflow a few years every order has been filled accurately timely communications regarding order status has been excellent i would give a five star rating except minimum order size shipping costs</v>
      </c>
      <c r="I865" s="6">
        <f t="shared" si="2"/>
        <v>34</v>
      </c>
      <c r="J865" s="6">
        <f>IFERROR(__xludf.DUMMYFUNCTION("IF(H865="""","""",
SUM(
ARRAYFORMULA(
IF(
REGEXMATCH(
"" ""&amp;H865&amp;"" "",
"" ""&amp;Sentiment_Words!A$2:A3730&amp;"" ""
),
1,
0
)
)
)
)"),0.0)</f>
        <v>0</v>
      </c>
      <c r="K865" s="4">
        <f>IFERROR(__xludf.DUMMYFUNCTION("IF(H865="""","""",
SUM(
ARRAYFORMULA(
IF(
REGEXMATCH(
"" ""&amp;H865&amp;"" "",
"" ""&amp;Sentiment_Words!B$2:B3730&amp;"" ""
),
1,
0
)
)
)
)"),0.0)</f>
        <v>0</v>
      </c>
      <c r="L865" s="7" t="str">
        <f t="shared" si="3"/>
        <v>Other</v>
      </c>
      <c r="M865" s="7" t="str">
        <f t="shared" si="4"/>
        <v>Neutral</v>
      </c>
      <c r="N865" s="7" t="str">
        <f>IFERROR(__xludf.DUMMYFUNCTION("LOWER(
TRIM(
REGEXREPLACE(B865,""[^a-zA-Z\s]"","""")
)
)
"),"steven kimpton")</f>
        <v>steven kimpton</v>
      </c>
      <c r="O865" s="7">
        <f t="shared" si="5"/>
        <v>1</v>
      </c>
      <c r="P865" s="8" t="str">
        <f t="shared" si="6"/>
        <v>No</v>
      </c>
    </row>
    <row r="866">
      <c r="A866" s="4" t="s">
        <v>16</v>
      </c>
      <c r="B866" s="4" t="s">
        <v>2471</v>
      </c>
      <c r="C866" s="5">
        <v>44939.0</v>
      </c>
      <c r="D866" s="10">
        <v>44951.0</v>
      </c>
      <c r="E866" s="4" t="s">
        <v>2472</v>
      </c>
      <c r="F866" s="4" t="s">
        <v>2473</v>
      </c>
      <c r="G866" s="6" t="str">
        <f>IFERROR(__xludf.DUMMYFUNCTION("REGEXREPLACE(LOWER(F866),""[^a-z\s]"","""")"),"i love the products i feel the shipping takes a long time much longer than other companies i buy from")</f>
        <v>i love the products i feel the shipping takes a long time much longer than other companies i buy from</v>
      </c>
      <c r="H866" s="4" t="str">
        <f t="shared" si="1"/>
        <v>i love products i feel shipping takes a long time much longer than other companies i buy from</v>
      </c>
      <c r="I866" s="6">
        <f t="shared" si="2"/>
        <v>18</v>
      </c>
      <c r="J866" s="6">
        <f>IFERROR(__xludf.DUMMYFUNCTION("IF(H866="""","""",
SUM(
ARRAYFORMULA(
IF(
REGEXMATCH(
"" ""&amp;H866&amp;"" "",
"" ""&amp;Sentiment_Words!A$2:A3730&amp;"" ""
),
1,
0
)
)
)
)"),1.0)</f>
        <v>1</v>
      </c>
      <c r="K866" s="4">
        <f>IFERROR(__xludf.DUMMYFUNCTION("IF(H866="""","""",
SUM(
ARRAYFORMULA(
IF(
REGEXMATCH(
"" ""&amp;H866&amp;"" "",
"" ""&amp;Sentiment_Words!B$2:B3730&amp;"" ""
),
1,
0
)
)
)
)"),0.0)</f>
        <v>0</v>
      </c>
      <c r="L866" s="7" t="str">
        <f t="shared" si="3"/>
        <v>Other</v>
      </c>
      <c r="M866" s="7" t="str">
        <f t="shared" si="4"/>
        <v>Positive</v>
      </c>
      <c r="N866" s="7" t="str">
        <f>IFERROR(__xludf.DUMMYFUNCTION("LOWER(
TRIM(
REGEXREPLACE(B866,""[^a-zA-Z\s]"","""")
)
)
"),"terence shubeck")</f>
        <v>terence shubeck</v>
      </c>
      <c r="O866" s="7">
        <f t="shared" si="5"/>
        <v>1</v>
      </c>
      <c r="P866" s="8" t="str">
        <f t="shared" si="6"/>
        <v>No</v>
      </c>
    </row>
    <row r="867">
      <c r="A867" s="4" t="s">
        <v>16</v>
      </c>
      <c r="B867" s="4" t="s">
        <v>2474</v>
      </c>
      <c r="C867" s="5">
        <v>44938.0</v>
      </c>
      <c r="D867" s="10">
        <v>44951.0</v>
      </c>
      <c r="E867" s="4" t="s">
        <v>2475</v>
      </c>
      <c r="F867" s="4" t="s">
        <v>2476</v>
      </c>
      <c r="G867" s="6" t="str">
        <f>IFERROR(__xludf.DUMMYFUNCTION("REGEXREPLACE(LOWER(F867),""[^a-z\s]"","""")"),"awesome website and many brands to choose from easy ordering and the dog food canine cuisine is loved by all furry friends definitely recommend petflowcom")</f>
        <v>awesome website and many brands to choose from easy ordering and the dog food canine cuisine is loved by all furry friends definitely recommend petflowcom</v>
      </c>
      <c r="H867" s="4" t="str">
        <f t="shared" si="1"/>
        <v>awesome website many brands choose from easy ordering dog food canine cuisine loved by all furry friends definitely recommend petflowcom</v>
      </c>
      <c r="I867" s="6">
        <f t="shared" si="2"/>
        <v>20</v>
      </c>
      <c r="J867" s="6">
        <f>IFERROR(__xludf.DUMMYFUNCTION("IF(H867="""","""",
SUM(
ARRAYFORMULA(
IF(
REGEXMATCH(
"" ""&amp;H867&amp;"" "",
"" ""&amp;Sentiment_Words!A$2:A3730&amp;"" ""
),
1,
0
)
)
)
)"),1.0)</f>
        <v>1</v>
      </c>
      <c r="K867" s="4">
        <f>IFERROR(__xludf.DUMMYFUNCTION("IF(H867="""","""",
SUM(
ARRAYFORMULA(
IF(
REGEXMATCH(
"" ""&amp;H867&amp;"" "",
"" ""&amp;Sentiment_Words!B$2:B3730&amp;"" ""
),
1,
0
)
)
)
)"),0.0)</f>
        <v>0</v>
      </c>
      <c r="L867" s="7" t="str">
        <f t="shared" si="3"/>
        <v>Account &amp; Website</v>
      </c>
      <c r="M867" s="7" t="str">
        <f t="shared" si="4"/>
        <v>Positive</v>
      </c>
      <c r="N867" s="7" t="str">
        <f>IFERROR(__xludf.DUMMYFUNCTION("LOWER(
TRIM(
REGEXREPLACE(B867,""[^a-zA-Z\s]"","""")
)
)
"),"mark kelley")</f>
        <v>mark kelley</v>
      </c>
      <c r="O867" s="7">
        <f t="shared" si="5"/>
        <v>1</v>
      </c>
      <c r="P867" s="8" t="str">
        <f t="shared" si="6"/>
        <v>No</v>
      </c>
    </row>
    <row r="868">
      <c r="A868" s="4" t="s">
        <v>16</v>
      </c>
      <c r="B868" s="4" t="s">
        <v>2477</v>
      </c>
      <c r="C868" s="5">
        <v>44942.0</v>
      </c>
      <c r="D868" s="10">
        <v>44951.0</v>
      </c>
      <c r="E868" s="4" t="s">
        <v>2478</v>
      </c>
      <c r="F868" s="4" t="s">
        <v>2479</v>
      </c>
      <c r="G868" s="6" t="str">
        <f>IFERROR(__xludf.DUMMYFUNCTION("REGEXREPLACE(LOWER(F868),""[^a-z\s]"","""")"),"i dont like that  orders were placed only  charged for and i still dont have either of the orders")</f>
        <v>i dont like that  orders were placed only  charged for and i still dont have either of the orders</v>
      </c>
      <c r="H868" s="4" t="str">
        <f t="shared" si="1"/>
        <v>i dont like that orders were placed only charged i still dont have either of orders</v>
      </c>
      <c r="I868" s="6">
        <f t="shared" si="2"/>
        <v>16</v>
      </c>
      <c r="J868" s="6">
        <f>IFERROR(__xludf.DUMMYFUNCTION("IF(H868="""","""",
SUM(
ARRAYFORMULA(
IF(
REGEXMATCH(
"" ""&amp;H868&amp;"" "",
"" ""&amp;Sentiment_Words!A$2:A3730&amp;"" ""
),
1,
0
)
)
)
)"),0.0)</f>
        <v>0</v>
      </c>
      <c r="K868" s="4">
        <f>IFERROR(__xludf.DUMMYFUNCTION("IF(H868="""","""",
SUM(
ARRAYFORMULA(
IF(
REGEXMATCH(
"" ""&amp;H868&amp;"" "",
"" ""&amp;Sentiment_Words!B$2:B3730&amp;"" ""
),
1,
0
)
)
)
)"),0.0)</f>
        <v>0</v>
      </c>
      <c r="L868" s="7" t="str">
        <f t="shared" si="3"/>
        <v>Other</v>
      </c>
      <c r="M868" s="7" t="str">
        <f t="shared" si="4"/>
        <v>Neutral</v>
      </c>
      <c r="N868" s="7" t="str">
        <f>IFERROR(__xludf.DUMMYFUNCTION("LOWER(
TRIM(
REGEXREPLACE(B868,""[^a-zA-Z\s]"","""")
)
)
"),"eve stangor")</f>
        <v>eve stangor</v>
      </c>
      <c r="O868" s="7">
        <f t="shared" si="5"/>
        <v>1</v>
      </c>
      <c r="P868" s="8" t="str">
        <f t="shared" si="6"/>
        <v>No</v>
      </c>
    </row>
    <row r="869">
      <c r="A869" s="4" t="s">
        <v>16</v>
      </c>
      <c r="B869" s="4" t="s">
        <v>2480</v>
      </c>
      <c r="C869" s="5">
        <v>44918.0</v>
      </c>
      <c r="D869" s="10">
        <v>44951.0</v>
      </c>
      <c r="E869" s="4" t="s">
        <v>2481</v>
      </c>
      <c r="F869" s="4" t="s">
        <v>2482</v>
      </c>
      <c r="G869" s="6" t="str">
        <f>IFERROR(__xludf.DUMMYFUNCTION("REGEXREPLACE(LOWER(F869),""[^a-z\s]"","""")"),"easy to make a order and a good delivery")</f>
        <v>easy to make a order and a good delivery</v>
      </c>
      <c r="H869" s="4" t="str">
        <f t="shared" si="1"/>
        <v>easy make a order a good delivery</v>
      </c>
      <c r="I869" s="6">
        <f t="shared" si="2"/>
        <v>7</v>
      </c>
      <c r="J869" s="6">
        <f>IFERROR(__xludf.DUMMYFUNCTION("IF(H869="""","""",
SUM(
ARRAYFORMULA(
IF(
REGEXMATCH(
"" ""&amp;H869&amp;"" "",
"" ""&amp;Sentiment_Words!A$2:A3730&amp;"" ""
),
1,
0
)
)
)
)"),2.0)</f>
        <v>2</v>
      </c>
      <c r="K869" s="4">
        <f>IFERROR(__xludf.DUMMYFUNCTION("IF(H869="""","""",
SUM(
ARRAYFORMULA(
IF(
REGEXMATCH(
"" ""&amp;H869&amp;"" "",
"" ""&amp;Sentiment_Words!B$2:B3730&amp;"" ""
),
1,
0
)
)
)
)"),0.0)</f>
        <v>0</v>
      </c>
      <c r="L869" s="7" t="str">
        <f t="shared" si="3"/>
        <v>Other</v>
      </c>
      <c r="M869" s="7" t="str">
        <f t="shared" si="4"/>
        <v>Positive</v>
      </c>
      <c r="N869" s="7" t="str">
        <f>IFERROR(__xludf.DUMMYFUNCTION("LOWER(
TRIM(
REGEXREPLACE(B869,""[^a-zA-Z\s]"","""")
)
)
"),"ana ramos")</f>
        <v>ana ramos</v>
      </c>
      <c r="O869" s="7">
        <f t="shared" si="5"/>
        <v>1</v>
      </c>
      <c r="P869" s="8" t="str">
        <f t="shared" si="6"/>
        <v>No</v>
      </c>
    </row>
    <row r="870">
      <c r="A870" s="4" t="s">
        <v>16</v>
      </c>
      <c r="B870" s="4" t="s">
        <v>2483</v>
      </c>
      <c r="C870" s="5">
        <v>44945.0</v>
      </c>
      <c r="D870" s="10">
        <v>44951.0</v>
      </c>
      <c r="E870" s="4" t="s">
        <v>2484</v>
      </c>
      <c r="F870" s="4" t="s">
        <v>2485</v>
      </c>
      <c r="G870" s="6" t="str">
        <f>IFERROR(__xludf.DUMMYFUNCTION("REGEXREPLACE(LOWER(F870),""[^a-z\s]"","""")"),"the shipping used to be very quick but now it seems although the items show in stock it takes a week for the items to ship it is disappointing as i grew accustomed to the fast service")</f>
        <v>the shipping used to be very quick but now it seems although the items show in stock it takes a week for the items to ship it is disappointing as i grew accustomed to the fast service</v>
      </c>
      <c r="H870" s="4" t="str">
        <f t="shared" si="1"/>
        <v>shipping used be very quick but now it seems although items show in stock it takes a week items ship it disappointing as i grew accustomed fast service</v>
      </c>
      <c r="I870" s="6">
        <f t="shared" si="2"/>
        <v>28</v>
      </c>
      <c r="J870" s="6">
        <f>IFERROR(__xludf.DUMMYFUNCTION("IF(H870="""","""",
SUM(
ARRAYFORMULA(
IF(
REGEXMATCH(
"" ""&amp;H870&amp;"" "",
"" ""&amp;Sentiment_Words!A$2:A3730&amp;"" ""
),
1,
0
)
)
)
)"),1.0)</f>
        <v>1</v>
      </c>
      <c r="K870" s="4">
        <f>IFERROR(__xludf.DUMMYFUNCTION("IF(H870="""","""",
SUM(
ARRAYFORMULA(
IF(
REGEXMATCH(
"" ""&amp;H870&amp;"" "",
"" ""&amp;Sentiment_Words!B$2:B3730&amp;"" ""
),
1,
0
)
)
)
)"),0.0)</f>
        <v>0</v>
      </c>
      <c r="L870" s="7" t="str">
        <f t="shared" si="3"/>
        <v>Customer Support</v>
      </c>
      <c r="M870" s="7" t="str">
        <f t="shared" si="4"/>
        <v>Positive</v>
      </c>
      <c r="N870" s="7" t="str">
        <f>IFERROR(__xludf.DUMMYFUNCTION("LOWER(
TRIM(
REGEXREPLACE(B870,""[^a-zA-Z\s]"","""")
)
)
"),"safr")</f>
        <v>safr</v>
      </c>
      <c r="O870" s="7">
        <f t="shared" si="5"/>
        <v>1</v>
      </c>
      <c r="P870" s="8" t="str">
        <f t="shared" si="6"/>
        <v>No</v>
      </c>
    </row>
    <row r="871">
      <c r="A871" s="4" t="s">
        <v>16</v>
      </c>
      <c r="B871" s="4" t="s">
        <v>219</v>
      </c>
      <c r="C871" s="5">
        <v>44944.0</v>
      </c>
      <c r="D871" s="10">
        <v>44951.0</v>
      </c>
      <c r="E871" s="4" t="s">
        <v>2486</v>
      </c>
      <c r="F871" s="4" t="s">
        <v>2487</v>
      </c>
      <c r="G871" s="6" t="str">
        <f>IFERROR(__xludf.DUMMYFUNCTION("REGEXREPLACE(LOWER(F871),""[^a-z\s]"","""")"),"i was able to find what i needed at a good price shipping and delivery was very timely too")</f>
        <v>i was able to find what i needed at a good price shipping and delivery was very timely too</v>
      </c>
      <c r="H871" s="4" t="str">
        <f t="shared" si="1"/>
        <v>i was able find what i needed at a good price shipping delivery was very timely too</v>
      </c>
      <c r="I871" s="6">
        <f t="shared" si="2"/>
        <v>17</v>
      </c>
      <c r="J871" s="6">
        <f>IFERROR(__xludf.DUMMYFUNCTION("IF(H871="""","""",
SUM(
ARRAYFORMULA(
IF(
REGEXMATCH(
"" ""&amp;H871&amp;"" "",
"" ""&amp;Sentiment_Words!A$2:A3730&amp;"" ""
),
1,
0
)
)
)
)"),2.0)</f>
        <v>2</v>
      </c>
      <c r="K871" s="4">
        <f>IFERROR(__xludf.DUMMYFUNCTION("IF(H871="""","""",
SUM(
ARRAYFORMULA(
IF(
REGEXMATCH(
"" ""&amp;H871&amp;"" "",
"" ""&amp;Sentiment_Words!B$2:B3730&amp;"" ""
),
1,
0
)
)
)
)"),0.0)</f>
        <v>0</v>
      </c>
      <c r="L871" s="7" t="str">
        <f t="shared" si="3"/>
        <v>Other</v>
      </c>
      <c r="M871" s="7" t="str">
        <f t="shared" si="4"/>
        <v>Positive</v>
      </c>
      <c r="N871" s="7" t="str">
        <f>IFERROR(__xludf.DUMMYFUNCTION("LOWER(
TRIM(
REGEXREPLACE(B871,""[^a-zA-Z\s]"","""")
)
)
"),"linda")</f>
        <v>linda</v>
      </c>
      <c r="O871" s="7">
        <f t="shared" si="5"/>
        <v>10</v>
      </c>
      <c r="P871" s="8" t="str">
        <f t="shared" si="6"/>
        <v>Yes</v>
      </c>
    </row>
    <row r="872">
      <c r="A872" s="4" t="s">
        <v>16</v>
      </c>
      <c r="B872" s="4" t="s">
        <v>2488</v>
      </c>
      <c r="C872" s="5">
        <v>44943.0</v>
      </c>
      <c r="D872" s="10">
        <v>44950.0</v>
      </c>
      <c r="E872" s="4" t="s">
        <v>2489</v>
      </c>
      <c r="F872" s="4" t="s">
        <v>2490</v>
      </c>
      <c r="G872" s="6" t="str">
        <f>IFERROR(__xludf.DUMMYFUNCTION("REGEXREPLACE(LOWER(F872),""[^a-z\s]"","""")"),"petflow has consistently met my expectations even when having to ship from nevada what normally ships from new jersey")</f>
        <v>petflow has consistently met my expectations even when having to ship from nevada what normally ships from new jersey</v>
      </c>
      <c r="H872" s="4" t="str">
        <f t="shared" si="1"/>
        <v>petflow has consistently met my expectations even when having ship from nevada what normally ships from new jersey</v>
      </c>
      <c r="I872" s="6">
        <f t="shared" si="2"/>
        <v>18</v>
      </c>
      <c r="J872" s="6">
        <f>IFERROR(__xludf.DUMMYFUNCTION("IF(H872="""","""",
SUM(
ARRAYFORMULA(
IF(
REGEXMATCH(
"" ""&amp;H872&amp;"" "",
"" ""&amp;Sentiment_Words!A$2:A3730&amp;"" ""
),
1,
0
)
)
)
)"),0.0)</f>
        <v>0</v>
      </c>
      <c r="K872" s="4">
        <f>IFERROR(__xludf.DUMMYFUNCTION("IF(H872="""","""",
SUM(
ARRAYFORMULA(
IF(
REGEXMATCH(
"" ""&amp;H872&amp;"" "",
"" ""&amp;Sentiment_Words!B$2:B3730&amp;"" ""
),
1,
0
)
)
)
)"),0.0)</f>
        <v>0</v>
      </c>
      <c r="L872" s="7" t="str">
        <f t="shared" si="3"/>
        <v>Other</v>
      </c>
      <c r="M872" s="7" t="str">
        <f t="shared" si="4"/>
        <v>Neutral</v>
      </c>
      <c r="N872" s="7" t="str">
        <f>IFERROR(__xludf.DUMMYFUNCTION("LOWER(
TRIM(
REGEXREPLACE(B872,""[^a-zA-Z\s]"","""")
)
)
"),"andrea paquette")</f>
        <v>andrea paquette</v>
      </c>
      <c r="O872" s="7">
        <f t="shared" si="5"/>
        <v>1</v>
      </c>
      <c r="P872" s="8" t="str">
        <f t="shared" si="6"/>
        <v>No</v>
      </c>
    </row>
    <row r="873">
      <c r="A873" s="4" t="s">
        <v>16</v>
      </c>
      <c r="B873" s="4" t="s">
        <v>2491</v>
      </c>
      <c r="C873" s="5">
        <v>44944.0</v>
      </c>
      <c r="D873" s="10">
        <v>44950.0</v>
      </c>
      <c r="E873" s="4" t="s">
        <v>2492</v>
      </c>
      <c r="F873" s="4" t="s">
        <v>2493</v>
      </c>
      <c r="G873" s="6" t="str">
        <f>IFERROR(__xludf.DUMMYFUNCTION("REGEXREPLACE(LOWER(F873),""[^a-z\s]"","""")"),"first time purchasing from pet flow ordered dr martys small breed food and a bag of treats great fast shipping and my dog likes the food")</f>
        <v>first time purchasing from pet flow ordered dr martys small breed food and a bag of treats great fast shipping and my dog likes the food</v>
      </c>
      <c r="H873" s="4" t="str">
        <f t="shared" si="1"/>
        <v>first time purchasing from pet flow ordered dr martys small breed food a bag of treats great fast shipping my dog likes food</v>
      </c>
      <c r="I873" s="6">
        <f t="shared" si="2"/>
        <v>23</v>
      </c>
      <c r="J873" s="6">
        <f>IFERROR(__xludf.DUMMYFUNCTION("IF(H873="""","""",
SUM(
ARRAYFORMULA(
IF(
REGEXMATCH(
"" ""&amp;H873&amp;"" "",
"" ""&amp;Sentiment_Words!A$2:A3730&amp;"" ""
),
1,
0
)
)
)
)"),2.0)</f>
        <v>2</v>
      </c>
      <c r="K873" s="4">
        <f>IFERROR(__xludf.DUMMYFUNCTION("IF(H873="""","""",
SUM(
ARRAYFORMULA(
IF(
REGEXMATCH(
"" ""&amp;H873&amp;"" "",
"" ""&amp;Sentiment_Words!B$2:B3730&amp;"" ""
),
1,
0
)
)
)
)"),0.0)</f>
        <v>0</v>
      </c>
      <c r="L873" s="7" t="str">
        <f t="shared" si="3"/>
        <v>Other</v>
      </c>
      <c r="M873" s="7" t="str">
        <f t="shared" si="4"/>
        <v>Positive</v>
      </c>
      <c r="N873" s="7" t="str">
        <f>IFERROR(__xludf.DUMMYFUNCTION("LOWER(
TRIM(
REGEXREPLACE(B873,""[^a-zA-Z\s]"","""")
)
)
"),"kathleen smith")</f>
        <v>kathleen smith</v>
      </c>
      <c r="O873" s="7">
        <f t="shared" si="5"/>
        <v>1</v>
      </c>
      <c r="P873" s="8" t="str">
        <f t="shared" si="6"/>
        <v>No</v>
      </c>
    </row>
    <row r="874">
      <c r="A874" s="4" t="s">
        <v>16</v>
      </c>
      <c r="B874" s="4" t="s">
        <v>2494</v>
      </c>
      <c r="C874" s="5">
        <v>44941.0</v>
      </c>
      <c r="D874" s="10">
        <v>44950.0</v>
      </c>
      <c r="E874" s="4" t="s">
        <v>2495</v>
      </c>
      <c r="F874" s="4" t="s">
        <v>2496</v>
      </c>
      <c r="G874" s="6" t="str">
        <f>IFERROR(__xludf.DUMMYFUNCTION("REGEXREPLACE(LOWER(F874),""[^a-z\s]"","""")"),"all online ordered prescribed cat food they took care of rest they confirmed with vet and bam  day later the food was at my door")</f>
        <v>all online ordered prescribed cat food they took care of rest they confirmed with vet and bam  day later the food was at my door</v>
      </c>
      <c r="H874" s="4" t="str">
        <f t="shared" si="1"/>
        <v>all online ordered prescribed cat food they took care of rest they confirmed with vet bam day later food was at my door</v>
      </c>
      <c r="I874" s="6">
        <f t="shared" si="2"/>
        <v>23</v>
      </c>
      <c r="J874" s="6">
        <f>IFERROR(__xludf.DUMMYFUNCTION("IF(H874="""","""",
SUM(
ARRAYFORMULA(
IF(
REGEXMATCH(
"" ""&amp;H874&amp;"" "",
"" ""&amp;Sentiment_Words!A$2:A3730&amp;"" ""
),
1,
0
)
)
)
)"),0.0)</f>
        <v>0</v>
      </c>
      <c r="K874" s="4">
        <f>IFERROR(__xludf.DUMMYFUNCTION("IF(H874="""","""",
SUM(
ARRAYFORMULA(
IF(
REGEXMATCH(
"" ""&amp;H874&amp;"" "",
"" ""&amp;Sentiment_Words!B$2:B3730&amp;"" ""
),
1,
0
)
)
)
)"),0.0)</f>
        <v>0</v>
      </c>
      <c r="L874" s="7" t="str">
        <f t="shared" si="3"/>
        <v>Fulfillment &amp; Shipping</v>
      </c>
      <c r="M874" s="7" t="str">
        <f t="shared" si="4"/>
        <v>Neutral</v>
      </c>
      <c r="N874" s="7" t="str">
        <f>IFERROR(__xludf.DUMMYFUNCTION("LOWER(
TRIM(
REGEXREPLACE(B874,""[^a-zA-Z\s]"","""")
)
)
"),"mattman")</f>
        <v>mattman</v>
      </c>
      <c r="O874" s="7">
        <f t="shared" si="5"/>
        <v>1</v>
      </c>
      <c r="P874" s="8" t="str">
        <f t="shared" si="6"/>
        <v>No</v>
      </c>
    </row>
    <row r="875">
      <c r="A875" s="4" t="s">
        <v>16</v>
      </c>
      <c r="B875" s="4" t="s">
        <v>2497</v>
      </c>
      <c r="C875" s="5">
        <v>44948.0</v>
      </c>
      <c r="D875" s="10">
        <v>44950.0</v>
      </c>
      <c r="E875" s="4" t="s">
        <v>2498</v>
      </c>
      <c r="F875" s="4" t="s">
        <v>2499</v>
      </c>
      <c r="G875" s="6" t="str">
        <f>IFERROR(__xludf.DUMMYFUNCTION("REGEXREPLACE(LOWER(F875),""[^a-z\s]"","""")"),"the representative was super friendly easy to work with and quick to resolve my issue ")</f>
        <v>the representative was super friendly easy to work with and quick to resolve my issue </v>
      </c>
      <c r="H875" s="4" t="str">
        <f t="shared" si="1"/>
        <v>representative was super friendly easy work with quick resolve my issue</v>
      </c>
      <c r="I875" s="6">
        <f t="shared" si="2"/>
        <v>11</v>
      </c>
      <c r="J875" s="6">
        <f>IFERROR(__xludf.DUMMYFUNCTION("IF(H875="""","""",
SUM(
ARRAYFORMULA(
IF(
REGEXMATCH(
"" ""&amp;H875&amp;"" "",
"" ""&amp;Sentiment_Words!A$2:A3730&amp;"" ""
),
1,
0
)
)
)
)"),1.0)</f>
        <v>1</v>
      </c>
      <c r="K875" s="4">
        <f>IFERROR(__xludf.DUMMYFUNCTION("IF(H875="""","""",
SUM(
ARRAYFORMULA(
IF(
REGEXMATCH(
"" ""&amp;H875&amp;"" "",
"" ""&amp;Sentiment_Words!B$2:B3730&amp;"" ""
),
1,
0
)
)
)
)"),1.0)</f>
        <v>1</v>
      </c>
      <c r="L875" s="7" t="str">
        <f t="shared" si="3"/>
        <v>Other</v>
      </c>
      <c r="M875" s="7" t="str">
        <f t="shared" si="4"/>
        <v>Neutral</v>
      </c>
      <c r="N875" s="7" t="str">
        <f>IFERROR(__xludf.DUMMYFUNCTION("LOWER(
TRIM(
REGEXREPLACE(B875,""[^a-zA-Z\s]"","""")
)
)
"),"sarah")</f>
        <v>sarah</v>
      </c>
      <c r="O875" s="7">
        <f t="shared" si="5"/>
        <v>4</v>
      </c>
      <c r="P875" s="8" t="str">
        <f t="shared" si="6"/>
        <v>Yes</v>
      </c>
    </row>
    <row r="876">
      <c r="A876" s="4" t="s">
        <v>16</v>
      </c>
      <c r="B876" s="4" t="s">
        <v>2500</v>
      </c>
      <c r="C876" s="5">
        <v>44944.0</v>
      </c>
      <c r="D876" s="10">
        <v>44950.0</v>
      </c>
      <c r="E876" s="4" t="s">
        <v>2501</v>
      </c>
      <c r="F876" s="4" t="s">
        <v>2502</v>
      </c>
      <c r="G876" s="6" t="str">
        <f>IFERROR(__xludf.DUMMYFUNCTION("REGEXREPLACE(LOWER(F876),""[^a-z\s]"","""")"),"great price very quick shipping and great to talk to")</f>
        <v>great price very quick shipping and great to talk to</v>
      </c>
      <c r="H876" s="4" t="str">
        <f t="shared" si="1"/>
        <v>great price very quick shipping great talk</v>
      </c>
      <c r="I876" s="6">
        <f t="shared" si="2"/>
        <v>7</v>
      </c>
      <c r="J876" s="6">
        <f>IFERROR(__xludf.DUMMYFUNCTION("IF(H876="""","""",
SUM(
ARRAYFORMULA(
IF(
REGEXMATCH(
"" ""&amp;H876&amp;"" "",
"" ""&amp;Sentiment_Words!A$2:A3730&amp;"" ""
),
1,
0
)
)
)
)"),1.0)</f>
        <v>1</v>
      </c>
      <c r="K876" s="4">
        <f>IFERROR(__xludf.DUMMYFUNCTION("IF(H876="""","""",
SUM(
ARRAYFORMULA(
IF(
REGEXMATCH(
"" ""&amp;H876&amp;"" "",
"" ""&amp;Sentiment_Words!B$2:B3730&amp;"" ""
),
1,
0
)
)
)
)"),0.0)</f>
        <v>0</v>
      </c>
      <c r="L876" s="7" t="str">
        <f t="shared" si="3"/>
        <v>Other</v>
      </c>
      <c r="M876" s="7" t="str">
        <f t="shared" si="4"/>
        <v>Positive</v>
      </c>
      <c r="N876" s="7" t="str">
        <f>IFERROR(__xludf.DUMMYFUNCTION("LOWER(
TRIM(
REGEXREPLACE(B876,""[^a-zA-Z\s]"","""")
)
)
"),"owlen scaggs")</f>
        <v>owlen scaggs</v>
      </c>
      <c r="O876" s="7">
        <f t="shared" si="5"/>
        <v>1</v>
      </c>
      <c r="P876" s="8" t="str">
        <f t="shared" si="6"/>
        <v>No</v>
      </c>
    </row>
    <row r="877">
      <c r="A877" s="4" t="s">
        <v>16</v>
      </c>
      <c r="B877" s="4" t="s">
        <v>2503</v>
      </c>
      <c r="C877" s="5">
        <v>44949.0</v>
      </c>
      <c r="D877" s="10">
        <v>44950.0</v>
      </c>
      <c r="E877" s="4" t="s">
        <v>2504</v>
      </c>
      <c r="F877" s="4" t="s">
        <v>2505</v>
      </c>
      <c r="G877" s="6" t="str">
        <f>IFERROR(__xludf.DUMMYFUNCTION("REGEXREPLACE(LOWER(F877),""[^a-z\s]"","""")"),"everything was so easy
placing the order shipment just delivery time was a bit slower than chewy")</f>
        <v>everything was so easy
placing the order shipment just delivery time was a bit slower than chewy</v>
      </c>
      <c r="H877" s="4" t="str">
        <f t="shared" si="1"/>
        <v>everything was so easy
placing order shipment just delivery time was a bit slower than chewy</v>
      </c>
      <c r="I877" s="6">
        <f t="shared" si="2"/>
        <v>15</v>
      </c>
      <c r="J877" s="6">
        <f>IFERROR(__xludf.DUMMYFUNCTION("IF(H877="""","""",
SUM(
ARRAYFORMULA(
IF(
REGEXMATCH(
"" ""&amp;H877&amp;"" "",
"" ""&amp;Sentiment_Words!A$2:A3730&amp;"" ""
),
1,
0
)
)
)
)"),0.0)</f>
        <v>0</v>
      </c>
      <c r="K877" s="4">
        <f>IFERROR(__xludf.DUMMYFUNCTION("IF(H877="""","""",
SUM(
ARRAYFORMULA(
IF(
REGEXMATCH(
"" ""&amp;H877&amp;"" "",
"" ""&amp;Sentiment_Words!B$2:B3730&amp;"" ""
),
1,
0
)
)
)
)"),0.0)</f>
        <v>0</v>
      </c>
      <c r="L877" s="7" t="str">
        <f t="shared" si="3"/>
        <v>Other</v>
      </c>
      <c r="M877" s="7" t="str">
        <f t="shared" si="4"/>
        <v>Neutral</v>
      </c>
      <c r="N877" s="7" t="str">
        <f>IFERROR(__xludf.DUMMYFUNCTION("LOWER(
TRIM(
REGEXREPLACE(B877,""[^a-zA-Z\s]"","""")
)
)
"),"eileen portelli")</f>
        <v>eileen portelli</v>
      </c>
      <c r="O877" s="7">
        <f t="shared" si="5"/>
        <v>1</v>
      </c>
      <c r="P877" s="8" t="str">
        <f t="shared" si="6"/>
        <v>No</v>
      </c>
    </row>
    <row r="878">
      <c r="A878" s="4" t="s">
        <v>16</v>
      </c>
      <c r="B878" s="4" t="s">
        <v>2506</v>
      </c>
      <c r="C878" s="5">
        <v>44945.0</v>
      </c>
      <c r="D878" s="10">
        <v>44950.0</v>
      </c>
      <c r="E878" s="4" t="s">
        <v>2507</v>
      </c>
      <c r="F878" s="4" t="s">
        <v>2508</v>
      </c>
      <c r="G878" s="6" t="str">
        <f>IFERROR(__xludf.DUMMYFUNCTION("REGEXREPLACE(LOWER(F878),""[^a-z\s]"","""")"),"i never received a notification that i had an upcoming subscription order being processed i was unable to edit the delivery date when i reached out to customer service several times i got zero response
the day i was notified i had this order being process"&amp;"ed within hours i got the shipment notice still to this day i havent received anything back from customer care
i have since cancelled my subscription order")</f>
        <v>i never received a notification that i had an upcoming subscription order being processed i was unable to edit the delivery date when i reached out to customer service several times i got zero response
the day i was notified i had this order being processed within hours i got the shipment notice still to this day i havent received anything back from customer care
i have since cancelled my subscription order</v>
      </c>
      <c r="H878" s="4" t="str">
        <f t="shared" si="1"/>
        <v>i never received a notification that i had an upcoming subscription order being processed i was unable edit delivery date when i reached out customer service several times i got zero response
the day i was notified i had this order being processed within hours i got shipment notice still this day i havent received anything back from customer care
i have since cancelled my subscription order</v>
      </c>
      <c r="I878" s="6">
        <f t="shared" si="2"/>
        <v>65</v>
      </c>
      <c r="J878" s="6">
        <f>IFERROR(__xludf.DUMMYFUNCTION("IF(H878="""","""",
SUM(
ARRAYFORMULA(
IF(
REGEXMATCH(
"" ""&amp;H878&amp;"" "",
"" ""&amp;Sentiment_Words!A$2:A3730&amp;"" ""
),
1,
0
)
)
)
)"),0.0)</f>
        <v>0</v>
      </c>
      <c r="K878" s="4">
        <f>IFERROR(__xludf.DUMMYFUNCTION("IF(H878="""","""",
SUM(
ARRAYFORMULA(
IF(
REGEXMATCH(
"" ""&amp;H878&amp;"" "",
"" ""&amp;Sentiment_Words!B$2:B3730&amp;"" ""
),
1,
0
)
)
)
)"),2.0)</f>
        <v>2</v>
      </c>
      <c r="L878" s="7" t="str">
        <f t="shared" si="3"/>
        <v>Customer Support</v>
      </c>
      <c r="M878" s="7" t="str">
        <f t="shared" si="4"/>
        <v>Negative</v>
      </c>
      <c r="N878" s="7" t="str">
        <f>IFERROR(__xludf.DUMMYFUNCTION("LOWER(
TRIM(
REGEXREPLACE(B878,""[^a-zA-Z\s]"","""")
)
)
"),"hf")</f>
        <v>hf</v>
      </c>
      <c r="O878" s="7">
        <f t="shared" si="5"/>
        <v>1</v>
      </c>
      <c r="P878" s="8" t="str">
        <f t="shared" si="6"/>
        <v>No</v>
      </c>
    </row>
    <row r="879">
      <c r="A879" s="4" t="s">
        <v>16</v>
      </c>
      <c r="B879" s="4" t="s">
        <v>2509</v>
      </c>
      <c r="C879" s="5">
        <v>44936.0</v>
      </c>
      <c r="D879" s="10">
        <v>44949.0</v>
      </c>
      <c r="E879" s="4" t="s">
        <v>2510</v>
      </c>
      <c r="F879" s="4" t="s">
        <v>2511</v>
      </c>
      <c r="G879" s="6" t="str">
        <f>IFERROR(__xludf.DUMMYFUNCTION("REGEXREPLACE(LOWER(F879),""[^a-z\s]"","""")"),"your prices were the best we could find quick delivery")</f>
        <v>your prices were the best we could find quick delivery</v>
      </c>
      <c r="H879" s="4" t="str">
        <f t="shared" si="1"/>
        <v>your prices were best we could find quick delivery</v>
      </c>
      <c r="I879" s="6">
        <f t="shared" si="2"/>
        <v>9</v>
      </c>
      <c r="J879" s="6">
        <f>IFERROR(__xludf.DUMMYFUNCTION("IF(H879="""","""",
SUM(
ARRAYFORMULA(
IF(
REGEXMATCH(
"" ""&amp;H879&amp;"" "",
"" ""&amp;Sentiment_Words!A$2:A3730&amp;"" ""
),
1,
0
)
)
)
)"),1.0)</f>
        <v>1</v>
      </c>
      <c r="K879" s="4">
        <f>IFERROR(__xludf.DUMMYFUNCTION("IF(H879="""","""",
SUM(
ARRAYFORMULA(
IF(
REGEXMATCH(
"" ""&amp;H879&amp;"" "",
"" ""&amp;Sentiment_Words!B$2:B3730&amp;"" ""
),
1,
0
)
)
)
)"),0.0)</f>
        <v>0</v>
      </c>
      <c r="L879" s="7" t="str">
        <f t="shared" si="3"/>
        <v>Other</v>
      </c>
      <c r="M879" s="7" t="str">
        <f t="shared" si="4"/>
        <v>Positive</v>
      </c>
      <c r="N879" s="7" t="str">
        <f>IFERROR(__xludf.DUMMYFUNCTION("LOWER(
TRIM(
REGEXREPLACE(B879,""[^a-zA-Z\s]"","""")
)
)
"),"donna kenny")</f>
        <v>donna kenny</v>
      </c>
      <c r="O879" s="7">
        <f t="shared" si="5"/>
        <v>1</v>
      </c>
      <c r="P879" s="8" t="str">
        <f t="shared" si="6"/>
        <v>No</v>
      </c>
    </row>
    <row r="880">
      <c r="A880" s="4" t="s">
        <v>16</v>
      </c>
      <c r="B880" s="4" t="s">
        <v>2512</v>
      </c>
      <c r="C880" s="5">
        <v>44944.0</v>
      </c>
      <c r="D880" s="10">
        <v>44949.0</v>
      </c>
      <c r="E880" s="4" t="s">
        <v>2513</v>
      </c>
      <c r="F880" s="4" t="s">
        <v>2514</v>
      </c>
      <c r="G880" s="6" t="str">
        <f>IFERROR(__xludf.DUMMYFUNCTION("REGEXREPLACE(LOWER(F880),""[^a-z\s]"","""")"),"i had trouble finding verus dog food anywhere else but petfow had it and delivered at a good price")</f>
        <v>i had trouble finding verus dog food anywhere else but petfow had it and delivered at a good price</v>
      </c>
      <c r="H880" s="4" t="str">
        <f t="shared" si="1"/>
        <v>i had trouble finding verus dog food anywhere else but petfow had it delivered at a good price</v>
      </c>
      <c r="I880" s="6">
        <f t="shared" si="2"/>
        <v>18</v>
      </c>
      <c r="J880" s="6">
        <f>IFERROR(__xludf.DUMMYFUNCTION("IF(H880="""","""",
SUM(
ARRAYFORMULA(
IF(
REGEXMATCH(
"" ""&amp;H880&amp;"" "",
"" ""&amp;Sentiment_Words!A$2:A3730&amp;"" ""
),
1,
0
)
)
)
)"),2.0)</f>
        <v>2</v>
      </c>
      <c r="K880" s="4">
        <f>IFERROR(__xludf.DUMMYFUNCTION("IF(H880="""","""",
SUM(
ARRAYFORMULA(
IF(
REGEXMATCH(
"" ""&amp;H880&amp;"" "",
"" ""&amp;Sentiment_Words!B$2:B3730&amp;"" ""
),
1,
0
)
)
)
)"),0.0)</f>
        <v>0</v>
      </c>
      <c r="L880" s="7" t="str">
        <f t="shared" si="3"/>
        <v>Other</v>
      </c>
      <c r="M880" s="7" t="str">
        <f t="shared" si="4"/>
        <v>Positive</v>
      </c>
      <c r="N880" s="7" t="str">
        <f>IFERROR(__xludf.DUMMYFUNCTION("LOWER(
TRIM(
REGEXREPLACE(B880,""[^a-zA-Z\s]"","""")
)
)
"),"dustin murdock")</f>
        <v>dustin murdock</v>
      </c>
      <c r="O880" s="7">
        <f t="shared" si="5"/>
        <v>1</v>
      </c>
      <c r="P880" s="8" t="str">
        <f t="shared" si="6"/>
        <v>No</v>
      </c>
    </row>
    <row r="881">
      <c r="A881" s="4" t="s">
        <v>16</v>
      </c>
      <c r="B881" s="4" t="s">
        <v>2515</v>
      </c>
      <c r="C881" s="5">
        <v>44939.0</v>
      </c>
      <c r="D881" s="10">
        <v>44949.0</v>
      </c>
      <c r="E881" s="4" t="s">
        <v>1780</v>
      </c>
      <c r="F881" s="4" t="s">
        <v>2516</v>
      </c>
      <c r="G881" s="6" t="str">
        <f>IFERROR(__xludf.DUMMYFUNCTION("REGEXREPLACE(LOWER(F881),""[^a-z\s]"","""")"),"easy ordering product in stock and for cheapest price among other sales outlets reliable shipping and delivery")</f>
        <v>easy ordering product in stock and for cheapest price among other sales outlets reliable shipping and delivery</v>
      </c>
      <c r="H881" s="4" t="str">
        <f t="shared" si="1"/>
        <v>easy ordering product in stock cheapest price among other sales outlets reliable shipping delivery</v>
      </c>
      <c r="I881" s="6">
        <f t="shared" si="2"/>
        <v>14</v>
      </c>
      <c r="J881" s="6">
        <f>IFERROR(__xludf.DUMMYFUNCTION("IF(H881="""","""",
SUM(
ARRAYFORMULA(
IF(
REGEXMATCH(
"" ""&amp;H881&amp;"" "",
"" ""&amp;Sentiment_Words!A$2:A3730&amp;"" ""
),
1,
0
)
)
)
)"),2.0)</f>
        <v>2</v>
      </c>
      <c r="K881" s="4">
        <f>IFERROR(__xludf.DUMMYFUNCTION("IF(H881="""","""",
SUM(
ARRAYFORMULA(
IF(
REGEXMATCH(
"" ""&amp;H881&amp;"" "",
"" ""&amp;Sentiment_Words!B$2:B3730&amp;"" ""
),
1,
0
)
)
)
)"),0.0)</f>
        <v>0</v>
      </c>
      <c r="L881" s="7" t="str">
        <f t="shared" si="3"/>
        <v>Other</v>
      </c>
      <c r="M881" s="7" t="str">
        <f t="shared" si="4"/>
        <v>Positive</v>
      </c>
      <c r="N881" s="7" t="str">
        <f>IFERROR(__xludf.DUMMYFUNCTION("LOWER(
TRIM(
REGEXREPLACE(B881,""[^a-zA-Z\s]"","""")
)
)
"),"mp")</f>
        <v>mp</v>
      </c>
      <c r="O881" s="7">
        <f t="shared" si="5"/>
        <v>1</v>
      </c>
      <c r="P881" s="8" t="str">
        <f t="shared" si="6"/>
        <v>No</v>
      </c>
    </row>
    <row r="882">
      <c r="A882" s="4" t="s">
        <v>16</v>
      </c>
      <c r="B882" s="4" t="s">
        <v>2517</v>
      </c>
      <c r="C882" s="5">
        <v>44937.0</v>
      </c>
      <c r="D882" s="10">
        <v>44949.0</v>
      </c>
      <c r="E882" s="4" t="s">
        <v>2518</v>
      </c>
      <c r="F882" s="4" t="s">
        <v>2519</v>
      </c>
      <c r="G882" s="6" t="str">
        <f>IFERROR(__xludf.DUMMYFUNCTION("REGEXREPLACE(LOWER(F882),""[^a-z\s]"","""")"),"ive placed multiple orders with petflow and each time its delivered really fast with great prices an excellent service")</f>
        <v>ive placed multiple orders with petflow and each time its delivered really fast with great prices an excellent service</v>
      </c>
      <c r="H882" s="4" t="str">
        <f t="shared" si="1"/>
        <v>ive placed multiple orders with petflow each time its delivered really fast with great prices an excellent service</v>
      </c>
      <c r="I882" s="6">
        <f t="shared" si="2"/>
        <v>18</v>
      </c>
      <c r="J882" s="6">
        <f>IFERROR(__xludf.DUMMYFUNCTION("IF(H882="""","""",
SUM(
ARRAYFORMULA(
IF(
REGEXMATCH(
"" ""&amp;H882&amp;"" "",
"" ""&amp;Sentiment_Words!A$2:A3730&amp;"" ""
),
1,
0
)
)
)
)"),3.0)</f>
        <v>3</v>
      </c>
      <c r="K882" s="4">
        <f>IFERROR(__xludf.DUMMYFUNCTION("IF(H882="""","""",
SUM(
ARRAYFORMULA(
IF(
REGEXMATCH(
"" ""&amp;H882&amp;"" "",
"" ""&amp;Sentiment_Words!B$2:B3730&amp;"" ""
),
1,
0
)
)
)
)"),0.0)</f>
        <v>0</v>
      </c>
      <c r="L882" s="7" t="str">
        <f t="shared" si="3"/>
        <v>Customer Support</v>
      </c>
      <c r="M882" s="7" t="str">
        <f t="shared" si="4"/>
        <v>Positive</v>
      </c>
      <c r="N882" s="7" t="str">
        <f>IFERROR(__xludf.DUMMYFUNCTION("LOWER(
TRIM(
REGEXREPLACE(B882,""[^a-zA-Z\s]"","""")
)
)
"),"meshelle eicher")</f>
        <v>meshelle eicher</v>
      </c>
      <c r="O882" s="7">
        <f t="shared" si="5"/>
        <v>1</v>
      </c>
      <c r="P882" s="8" t="str">
        <f t="shared" si="6"/>
        <v>No</v>
      </c>
    </row>
    <row r="883">
      <c r="A883" s="4" t="s">
        <v>16</v>
      </c>
      <c r="B883" s="4" t="s">
        <v>2520</v>
      </c>
      <c r="C883" s="5">
        <v>44939.0</v>
      </c>
      <c r="D883" s="10">
        <v>44948.0</v>
      </c>
      <c r="E883" s="4" t="s">
        <v>2521</v>
      </c>
      <c r="F883" s="4" t="s">
        <v>2522</v>
      </c>
      <c r="G883" s="6" t="str">
        <f>IFERROR(__xludf.DUMMYFUNCTION("REGEXREPLACE(LOWER(F883),""[^a-z\s]"","""")"),"my order never arrived i ordered the tear stain tablets and two different treats please send me my order or credit my account ")</f>
        <v>my order never arrived i ordered the tear stain tablets and two different treats please send me my order or credit my account </v>
      </c>
      <c r="H883" s="4" t="str">
        <f t="shared" si="1"/>
        <v>my order never arrived i ordered tear stain tablets two different treats please send me my order or credit my account</v>
      </c>
      <c r="I883" s="6">
        <f t="shared" si="2"/>
        <v>21</v>
      </c>
      <c r="J883" s="6">
        <f>IFERROR(__xludf.DUMMYFUNCTION("IF(H883="""","""",
SUM(
ARRAYFORMULA(
IF(
REGEXMATCH(
"" ""&amp;H883&amp;"" "",
"" ""&amp;Sentiment_Words!A$2:A3730&amp;"" ""
),
1,
0
)
)
)
)"),0.0)</f>
        <v>0</v>
      </c>
      <c r="K883" s="4">
        <f>IFERROR(__xludf.DUMMYFUNCTION("IF(H883="""","""",
SUM(
ARRAYFORMULA(
IF(
REGEXMATCH(
"" ""&amp;H883&amp;"" "",
"" ""&amp;Sentiment_Words!B$2:B3730&amp;"" ""
),
1,
0
)
)
)
)"),0.0)</f>
        <v>0</v>
      </c>
      <c r="L883" s="7" t="str">
        <f t="shared" si="3"/>
        <v>Account &amp; Website</v>
      </c>
      <c r="M883" s="7" t="str">
        <f t="shared" si="4"/>
        <v>Neutral</v>
      </c>
      <c r="N883" s="7" t="str">
        <f>IFERROR(__xludf.DUMMYFUNCTION("LOWER(
TRIM(
REGEXREPLACE(B883,""[^a-zA-Z\s]"","""")
)
)
"),"diane amono")</f>
        <v>diane amono</v>
      </c>
      <c r="O883" s="7">
        <f t="shared" si="5"/>
        <v>1</v>
      </c>
      <c r="P883" s="8" t="str">
        <f t="shared" si="6"/>
        <v>No</v>
      </c>
    </row>
    <row r="884">
      <c r="A884" s="4" t="s">
        <v>16</v>
      </c>
      <c r="B884" s="4" t="s">
        <v>2523</v>
      </c>
      <c r="C884" s="5">
        <v>44943.0</v>
      </c>
      <c r="D884" s="10">
        <v>44948.0</v>
      </c>
      <c r="E884" s="4" t="s">
        <v>2524</v>
      </c>
      <c r="F884" s="4" t="s">
        <v>2525</v>
      </c>
      <c r="G884" s="6" t="str">
        <f>IFERROR(__xludf.DUMMYFUNCTION("REGEXREPLACE(LOWER(F884),""[^a-z\s]"","""")"),"on time delivery")</f>
        <v>on time delivery</v>
      </c>
      <c r="H884" s="4" t="str">
        <f t="shared" si="1"/>
        <v>on time delivery</v>
      </c>
      <c r="I884" s="6">
        <f t="shared" si="2"/>
        <v>3</v>
      </c>
      <c r="J884" s="6">
        <f>IFERROR(__xludf.DUMMYFUNCTION("IF(H884="""","""",
SUM(
ARRAYFORMULA(
IF(
REGEXMATCH(
"" ""&amp;H884&amp;"" "",
"" ""&amp;Sentiment_Words!A$2:A3730&amp;"" ""
),
1,
0
)
)
)
)"),1.0)</f>
        <v>1</v>
      </c>
      <c r="K884" s="4">
        <f>IFERROR(__xludf.DUMMYFUNCTION("IF(H884="""","""",
SUM(
ARRAYFORMULA(
IF(
REGEXMATCH(
"" ""&amp;H884&amp;"" "",
"" ""&amp;Sentiment_Words!B$2:B3730&amp;"" ""
),
1,
0
)
)
)
)"),0.0)</f>
        <v>0</v>
      </c>
      <c r="L884" s="7" t="str">
        <f t="shared" si="3"/>
        <v>Other</v>
      </c>
      <c r="M884" s="7" t="str">
        <f t="shared" si="4"/>
        <v>Positive</v>
      </c>
      <c r="N884" s="7" t="str">
        <f>IFERROR(__xludf.DUMMYFUNCTION("LOWER(
TRIM(
REGEXREPLACE(B884,""[^a-zA-Z\s]"","""")
)
)
"),"arthur buckley")</f>
        <v>arthur buckley</v>
      </c>
      <c r="O884" s="7">
        <f t="shared" si="5"/>
        <v>1</v>
      </c>
      <c r="P884" s="8" t="str">
        <f t="shared" si="6"/>
        <v>No</v>
      </c>
    </row>
    <row r="885">
      <c r="A885" s="4" t="s">
        <v>16</v>
      </c>
      <c r="B885" s="4" t="s">
        <v>2526</v>
      </c>
      <c r="C885" s="9">
        <v>44932.0</v>
      </c>
      <c r="D885" s="10">
        <v>44948.0</v>
      </c>
      <c r="E885" s="4" t="s">
        <v>2527</v>
      </c>
      <c r="F885" s="4" t="s">
        <v>2528</v>
      </c>
      <c r="G885" s="6" t="str">
        <f>IFERROR(__xludf.DUMMYFUNCTION("REGEXREPLACE(LOWER(F885),""[^a-z\s]"","""")"),"pet flow was fast with shipping and delivered when promised merchandise was is excellent condition and exactly as pictured very pleased")</f>
        <v>pet flow was fast with shipping and delivered when promised merchandise was is excellent condition and exactly as pictured very pleased</v>
      </c>
      <c r="H885" s="4" t="str">
        <f t="shared" si="1"/>
        <v>pet flow was fast with shipping delivered when promised merchandise was excellent condition exactly as pictured very pleased</v>
      </c>
      <c r="I885" s="6">
        <f t="shared" si="2"/>
        <v>18</v>
      </c>
      <c r="J885" s="6">
        <f>IFERROR(__xludf.DUMMYFUNCTION("IF(H885="""","""",
SUM(
ARRAYFORMULA(
IF(
REGEXMATCH(
"" ""&amp;H885&amp;"" "",
"" ""&amp;Sentiment_Words!A$2:A3730&amp;"" ""
),
1,
0
)
)
)
)"),2.0)</f>
        <v>2</v>
      </c>
      <c r="K885" s="4">
        <f>IFERROR(__xludf.DUMMYFUNCTION("IF(H885="""","""",
SUM(
ARRAYFORMULA(
IF(
REGEXMATCH(
"" ""&amp;H885&amp;"" "",
"" ""&amp;Sentiment_Words!B$2:B3730&amp;"" ""
),
1,
0
)
)
)
)"),0.0)</f>
        <v>0</v>
      </c>
      <c r="L885" s="7" t="str">
        <f t="shared" si="3"/>
        <v>Other</v>
      </c>
      <c r="M885" s="7" t="str">
        <f t="shared" si="4"/>
        <v>Positive</v>
      </c>
      <c r="N885" s="7" t="str">
        <f>IFERROR(__xludf.DUMMYFUNCTION("LOWER(
TRIM(
REGEXREPLACE(B885,""[^a-zA-Z\s]"","""")
)
)
"),"mommawinks")</f>
        <v>mommawinks</v>
      </c>
      <c r="O885" s="7">
        <f t="shared" si="5"/>
        <v>1</v>
      </c>
      <c r="P885" s="8" t="str">
        <f t="shared" si="6"/>
        <v>No</v>
      </c>
    </row>
    <row r="886">
      <c r="A886" s="4" t="s">
        <v>16</v>
      </c>
      <c r="B886" s="4" t="s">
        <v>2529</v>
      </c>
      <c r="C886" s="5">
        <v>44938.0</v>
      </c>
      <c r="D886" s="10">
        <v>44948.0</v>
      </c>
      <c r="E886" s="4" t="s">
        <v>2530</v>
      </c>
      <c r="F886" s="4" t="s">
        <v>2531</v>
      </c>
      <c r="G886" s="6" t="str">
        <f>IFERROR(__xludf.DUMMYFUNCTION("REGEXREPLACE(LOWER(F886),""[^a-z\s]"","""")"),"the greatest part was the followup when my package got damaged and you all replaced it my only criticism is that your tape doesnt hold especially in the harsh rain")</f>
        <v>the greatest part was the followup when my package got damaged and you all replaced it my only criticism is that your tape doesnt hold especially in the harsh rain</v>
      </c>
      <c r="H886" s="4" t="str">
        <f t="shared" si="1"/>
        <v>greatest part was followup when my package got damaged you all replaced it my only criticism that your tape doesnt hold especially in harsh rain</v>
      </c>
      <c r="I886" s="6">
        <f t="shared" si="2"/>
        <v>25</v>
      </c>
      <c r="J886" s="6">
        <f>IFERROR(__xludf.DUMMYFUNCTION("IF(H886="""","""",
SUM(
ARRAYFORMULA(
IF(
REGEXMATCH(
"" ""&amp;H886&amp;"" "",
"" ""&amp;Sentiment_Words!A$2:A3730&amp;"" ""
),
1,
0
)
)
)
)"),0.0)</f>
        <v>0</v>
      </c>
      <c r="K886" s="4">
        <f>IFERROR(__xludf.DUMMYFUNCTION("IF(H886="""","""",
SUM(
ARRAYFORMULA(
IF(
REGEXMATCH(
"" ""&amp;H886&amp;"" "",
"" ""&amp;Sentiment_Words!B$2:B3730&amp;"" ""
),
1,
0
)
)
)
)"),0.0)</f>
        <v>0</v>
      </c>
      <c r="L886" s="7" t="str">
        <f t="shared" si="3"/>
        <v>Other</v>
      </c>
      <c r="M886" s="7" t="str">
        <f t="shared" si="4"/>
        <v>Neutral</v>
      </c>
      <c r="N886" s="7" t="str">
        <f>IFERROR(__xludf.DUMMYFUNCTION("LOWER(
TRIM(
REGEXREPLACE(B886,""[^a-zA-Z\s]"","""")
)
)
"),"karen sharkey")</f>
        <v>karen sharkey</v>
      </c>
      <c r="O886" s="7">
        <f t="shared" si="5"/>
        <v>1</v>
      </c>
      <c r="P886" s="8" t="str">
        <f t="shared" si="6"/>
        <v>No</v>
      </c>
    </row>
    <row r="887">
      <c r="A887" s="4" t="s">
        <v>16</v>
      </c>
      <c r="B887" s="4" t="s">
        <v>2532</v>
      </c>
      <c r="C887" s="5">
        <v>44946.0</v>
      </c>
      <c r="D887" s="10">
        <v>44948.0</v>
      </c>
      <c r="E887" s="4" t="s">
        <v>2533</v>
      </c>
      <c r="F887" s="4" t="s">
        <v>2534</v>
      </c>
      <c r="G887" s="6" t="str">
        <f>IFERROR(__xludf.DUMMYFUNCTION("REGEXREPLACE(LOWER(F887),""[^a-z\s]"","""")"),"ordering was easy delivery was prompt customer service is exemplary")</f>
        <v>ordering was easy delivery was prompt customer service is exemplary</v>
      </c>
      <c r="H887" s="4" t="str">
        <f t="shared" si="1"/>
        <v>ordering was easy delivery was prompt customer service exemplary</v>
      </c>
      <c r="I887" s="6">
        <f t="shared" si="2"/>
        <v>9</v>
      </c>
      <c r="J887" s="6">
        <f>IFERROR(__xludf.DUMMYFUNCTION("IF(H887="""","""",
SUM(
ARRAYFORMULA(
IF(
REGEXMATCH(
"" ""&amp;H887&amp;"" "",
"" ""&amp;Sentiment_Words!A$2:A3730&amp;"" ""
),
1,
0
)
)
)
)"),2.0)</f>
        <v>2</v>
      </c>
      <c r="K887" s="4">
        <f>IFERROR(__xludf.DUMMYFUNCTION("IF(H887="""","""",
SUM(
ARRAYFORMULA(
IF(
REGEXMATCH(
"" ""&amp;H887&amp;"" "",
"" ""&amp;Sentiment_Words!B$2:B3730&amp;"" ""
),
1,
0
)
)
)
)"),1.0)</f>
        <v>1</v>
      </c>
      <c r="L887" s="7" t="str">
        <f t="shared" si="3"/>
        <v>Customer Support</v>
      </c>
      <c r="M887" s="7" t="str">
        <f t="shared" si="4"/>
        <v>Positive</v>
      </c>
      <c r="N887" s="7" t="str">
        <f>IFERROR(__xludf.DUMMYFUNCTION("LOWER(
TRIM(
REGEXREPLACE(B887,""[^a-zA-Z\s]"","""")
)
)
"),"tom wieck")</f>
        <v>tom wieck</v>
      </c>
      <c r="O887" s="7">
        <f t="shared" si="5"/>
        <v>1</v>
      </c>
      <c r="P887" s="8" t="str">
        <f t="shared" si="6"/>
        <v>No</v>
      </c>
    </row>
    <row r="888">
      <c r="A888" s="4" t="s">
        <v>16</v>
      </c>
      <c r="B888" s="4" t="s">
        <v>2535</v>
      </c>
      <c r="C888" s="5">
        <v>44938.0</v>
      </c>
      <c r="D888" s="10">
        <v>44947.0</v>
      </c>
      <c r="E888" s="4" t="s">
        <v>2536</v>
      </c>
      <c r="F888" s="4" t="s">
        <v>2537</v>
      </c>
      <c r="G888" s="6" t="str">
        <f>IFERROR(__xludf.DUMMYFUNCTION("REGEXREPLACE(LOWER(F888),""[^a-z\s]"","""")"),"my product order was in stock and i received in a timely fashion")</f>
        <v>my product order was in stock and i received in a timely fashion</v>
      </c>
      <c r="H888" s="4" t="str">
        <f t="shared" si="1"/>
        <v>my product order was in stock i received in a timely fashion</v>
      </c>
      <c r="I888" s="6">
        <f t="shared" si="2"/>
        <v>12</v>
      </c>
      <c r="J888" s="6">
        <f>IFERROR(__xludf.DUMMYFUNCTION("IF(H888="""","""",
SUM(
ARRAYFORMULA(
IF(
REGEXMATCH(
"" ""&amp;H888&amp;"" "",
"" ""&amp;Sentiment_Words!A$2:A3730&amp;"" ""
),
1,
0
)
)
)
)"),0.0)</f>
        <v>0</v>
      </c>
      <c r="K888" s="4">
        <f>IFERROR(__xludf.DUMMYFUNCTION("IF(H888="""","""",
SUM(
ARRAYFORMULA(
IF(
REGEXMATCH(
"" ""&amp;H888&amp;"" "",
"" ""&amp;Sentiment_Words!B$2:B3730&amp;"" ""
),
1,
0
)
)
)
)"),0.0)</f>
        <v>0</v>
      </c>
      <c r="L888" s="7" t="str">
        <f t="shared" si="3"/>
        <v>Other</v>
      </c>
      <c r="M888" s="7" t="str">
        <f t="shared" si="4"/>
        <v>Neutral</v>
      </c>
      <c r="N888" s="7" t="str">
        <f>IFERROR(__xludf.DUMMYFUNCTION("LOWER(
TRIM(
REGEXREPLACE(B888,""[^a-zA-Z\s]"","""")
)
)
"),"kathleen holmes")</f>
        <v>kathleen holmes</v>
      </c>
      <c r="O888" s="7">
        <f t="shared" si="5"/>
        <v>1</v>
      </c>
      <c r="P888" s="8" t="str">
        <f t="shared" si="6"/>
        <v>No</v>
      </c>
    </row>
    <row r="889">
      <c r="A889" s="4" t="s">
        <v>16</v>
      </c>
      <c r="B889" s="4" t="s">
        <v>2538</v>
      </c>
      <c r="C889" s="9">
        <v>44935.0</v>
      </c>
      <c r="D889" s="10">
        <v>44947.0</v>
      </c>
      <c r="E889" s="4" t="s">
        <v>2539</v>
      </c>
      <c r="F889" s="4" t="s">
        <v>2540</v>
      </c>
      <c r="G889" s="6" t="str">
        <f>IFERROR(__xludf.DUMMYFUNCTION("REGEXREPLACE(LOWER(F889),""[^a-z\s]"","""")"),"i ordered a product on january  and still have not received it ive written to petflow inquiring about this and never received a response")</f>
        <v>i ordered a product on january  and still have not received it ive written to petflow inquiring about this and never received a response</v>
      </c>
      <c r="H889" s="4" t="str">
        <f t="shared" si="1"/>
        <v>i ordered a product on january still have not received it ive written petflow inquiring about this never received a response</v>
      </c>
      <c r="I889" s="6">
        <f t="shared" si="2"/>
        <v>21</v>
      </c>
      <c r="J889" s="6">
        <f>IFERROR(__xludf.DUMMYFUNCTION("IF(H889="""","""",
SUM(
ARRAYFORMULA(
IF(
REGEXMATCH(
"" ""&amp;H889&amp;"" "",
"" ""&amp;Sentiment_Words!A$2:A3730&amp;"" ""
),
1,
0
)
)
)
)"),0.0)</f>
        <v>0</v>
      </c>
      <c r="K889" s="4">
        <f>IFERROR(__xludf.DUMMYFUNCTION("IF(H889="""","""",
SUM(
ARRAYFORMULA(
IF(
REGEXMATCH(
"" ""&amp;H889&amp;"" "",
"" ""&amp;Sentiment_Words!B$2:B3730&amp;"" ""
),
1,
0
)
)
)
)"),0.0)</f>
        <v>0</v>
      </c>
      <c r="L889" s="7" t="str">
        <f t="shared" si="3"/>
        <v>Other</v>
      </c>
      <c r="M889" s="7" t="str">
        <f t="shared" si="4"/>
        <v>Neutral</v>
      </c>
      <c r="N889" s="7" t="str">
        <f>IFERROR(__xludf.DUMMYFUNCTION("LOWER(
TRIM(
REGEXREPLACE(B889,""[^a-zA-Z\s]"","""")
)
)
"),"customernancy ullrich")</f>
        <v>customernancy ullrich</v>
      </c>
      <c r="O889" s="7">
        <f t="shared" si="5"/>
        <v>1</v>
      </c>
      <c r="P889" s="8" t="str">
        <f t="shared" si="6"/>
        <v>No</v>
      </c>
    </row>
    <row r="890">
      <c r="A890" s="4" t="s">
        <v>16</v>
      </c>
      <c r="B890" s="4" t="s">
        <v>2541</v>
      </c>
      <c r="C890" s="5">
        <v>44939.0</v>
      </c>
      <c r="D890" s="10">
        <v>44947.0</v>
      </c>
      <c r="E890" s="4" t="s">
        <v>2542</v>
      </c>
      <c r="F890" s="4" t="s">
        <v>2543</v>
      </c>
      <c r="G890" s="6" t="str">
        <f>IFERROR(__xludf.DUMMYFUNCTION("REGEXREPLACE(LOWER(F890),""[^a-z\s]"","""")"),"i can always count on my pet food delivery to be on time and well packaged")</f>
        <v>i can always count on my pet food delivery to be on time and well packaged</v>
      </c>
      <c r="H890" s="4" t="str">
        <f t="shared" si="1"/>
        <v>i can always count on my pet food delivery be on time well packaged</v>
      </c>
      <c r="I890" s="6">
        <f t="shared" si="2"/>
        <v>14</v>
      </c>
      <c r="J890" s="6">
        <f>IFERROR(__xludf.DUMMYFUNCTION("IF(H890="""","""",
SUM(
ARRAYFORMULA(
IF(
REGEXMATCH(
"" ""&amp;H890&amp;"" "",
"" ""&amp;Sentiment_Words!A$2:A3730&amp;"" ""
),
1,
0
)
)
)
)"),1.0)</f>
        <v>1</v>
      </c>
      <c r="K890" s="4">
        <f>IFERROR(__xludf.DUMMYFUNCTION("IF(H890="""","""",
SUM(
ARRAYFORMULA(
IF(
REGEXMATCH(
"" ""&amp;H890&amp;"" "",
"" ""&amp;Sentiment_Words!B$2:B3730&amp;"" ""
),
1,
0
)
)
)
)"),0.0)</f>
        <v>0</v>
      </c>
      <c r="L890" s="7" t="str">
        <f t="shared" si="3"/>
        <v>Other</v>
      </c>
      <c r="M890" s="7" t="str">
        <f t="shared" si="4"/>
        <v>Positive</v>
      </c>
      <c r="N890" s="7" t="str">
        <f>IFERROR(__xludf.DUMMYFUNCTION("LOWER(
TRIM(
REGEXREPLACE(B890,""[^a-zA-Z\s]"","""")
)
)
"),"nancy lewis")</f>
        <v>nancy lewis</v>
      </c>
      <c r="O890" s="7">
        <f t="shared" si="5"/>
        <v>1</v>
      </c>
      <c r="P890" s="8" t="str">
        <f t="shared" si="6"/>
        <v>No</v>
      </c>
    </row>
    <row r="891">
      <c r="A891" s="4" t="s">
        <v>16</v>
      </c>
      <c r="B891" s="4" t="s">
        <v>2544</v>
      </c>
      <c r="C891" s="5">
        <v>44939.0</v>
      </c>
      <c r="D891" s="10">
        <v>44947.0</v>
      </c>
      <c r="E891" s="4" t="s">
        <v>2545</v>
      </c>
      <c r="F891" s="4" t="s">
        <v>2546</v>
      </c>
      <c r="G891" s="6" t="str">
        <f>IFERROR(__xludf.DUMMYFUNCTION("REGEXREPLACE(LOWER(F891),""[^a-z\s]"","""")"),"in the last year service has gone from fantastic to spectacularly frustrating my last interactions have been frustrating to the point of closing my account i have a hospitalized friend in another state i was purchasing food for his dogs and having petflow"&amp;" deliver it to his home twice they canceled the order without communicating with me the last time i placed the order with a rep on the phone who was quite rude only to have the order get canceled again without cause simply ridiculous so sad to see a fanta"&amp;"stic company become such a mess")</f>
        <v>in the last year service has gone from fantastic to spectacularly frustrating my last interactions have been frustrating to the point of closing my account i have a hospitalized friend in another state i was purchasing food for his dogs and having petflow deliver it to his home twice they canceled the order without communicating with me the last time i placed the order with a rep on the phone who was quite rude only to have the order get canceled again without cause simply ridiculous so sad to see a fantastic company become such a mess</v>
      </c>
      <c r="H891" s="4" t="str">
        <f t="shared" si="1"/>
        <v>in last year service has gone from fantastic spectacularly frustrating my last interactions have been frustrating point of closing my account i have a hospitalized friend in another state i was purchasing food his dogs having petflow deliver it his home twice they canceled order without communicating with me last time i placed order with a rep on phone who was quite rude only have order get canceled again without cause simply ridiculous so sad see a fantastic company become such a mess</v>
      </c>
      <c r="I891" s="6">
        <f t="shared" si="2"/>
        <v>83</v>
      </c>
      <c r="J891" s="6">
        <f>IFERROR(__xludf.DUMMYFUNCTION("IF(H891="""","""",
SUM(
ARRAYFORMULA(
IF(
REGEXMATCH(
"" ""&amp;H891&amp;"" "",
"" ""&amp;Sentiment_Words!A$2:A3730&amp;"" ""
),
1,
0
)
)
)
)"),0.0)</f>
        <v>0</v>
      </c>
      <c r="K891" s="4">
        <f>IFERROR(__xludf.DUMMYFUNCTION("IF(H891="""","""",
SUM(
ARRAYFORMULA(
IF(
REGEXMATCH(
"" ""&amp;H891&amp;"" "",
"" ""&amp;Sentiment_Words!B$2:B3730&amp;"" ""
),
1,
0
)
)
)
)"),1.0)</f>
        <v>1</v>
      </c>
      <c r="L891" s="7" t="str">
        <f t="shared" si="3"/>
        <v>Customer Support</v>
      </c>
      <c r="M891" s="7" t="str">
        <f t="shared" si="4"/>
        <v>Negative</v>
      </c>
      <c r="N891" s="7" t="str">
        <f>IFERROR(__xludf.DUMMYFUNCTION("LOWER(
TRIM(
REGEXREPLACE(B891,""[^a-zA-Z\s]"","""")
)
)
"),"tina spring")</f>
        <v>tina spring</v>
      </c>
      <c r="O891" s="7">
        <f t="shared" si="5"/>
        <v>1</v>
      </c>
      <c r="P891" s="8" t="str">
        <f t="shared" si="6"/>
        <v>No</v>
      </c>
    </row>
    <row r="892">
      <c r="A892" s="4" t="s">
        <v>16</v>
      </c>
      <c r="B892" s="4" t="s">
        <v>2547</v>
      </c>
      <c r="C892" s="5">
        <v>44942.0</v>
      </c>
      <c r="D892" s="10">
        <v>44947.0</v>
      </c>
      <c r="E892" s="4" t="s">
        <v>2548</v>
      </c>
      <c r="F892" s="4" t="s">
        <v>2549</v>
      </c>
      <c r="G892" s="6" t="str">
        <f>IFERROR(__xludf.DUMMYFUNCTION("REGEXREPLACE(LOWER(F892),""[^a-z\s]"","""")"),"love the carrier it was easy to get my cat in through the top door and was just the right size will fit my  pound cat as well had it within a few days of ordering it")</f>
        <v>love the carrier it was easy to get my cat in through the top door and was just the right size will fit my  pound cat as well had it within a few days of ordering it</v>
      </c>
      <c r="H892" s="4" t="str">
        <f t="shared" si="1"/>
        <v>love carrier it was easy get my cat in through top door was just right size will fit my pound cat as well had it within a few days of ordering it</v>
      </c>
      <c r="I892" s="6">
        <f t="shared" si="2"/>
        <v>32</v>
      </c>
      <c r="J892" s="6">
        <f>IFERROR(__xludf.DUMMYFUNCTION("IF(H892="""","""",
SUM(
ARRAYFORMULA(
IF(
REGEXMATCH(
"" ""&amp;H892&amp;"" "",
"" ""&amp;Sentiment_Words!A$2:A3730&amp;"" ""
),
1,
0
)
)
)
)"),2.0)</f>
        <v>2</v>
      </c>
      <c r="K892" s="4">
        <f>IFERROR(__xludf.DUMMYFUNCTION("IF(H892="""","""",
SUM(
ARRAYFORMULA(
IF(
REGEXMATCH(
"" ""&amp;H892&amp;"" "",
"" ""&amp;Sentiment_Words!B$2:B3730&amp;"" ""
),
1,
0
)
)
)
)"),0.0)</f>
        <v>0</v>
      </c>
      <c r="L892" s="7" t="str">
        <f t="shared" si="3"/>
        <v>Other</v>
      </c>
      <c r="M892" s="7" t="str">
        <f t="shared" si="4"/>
        <v>Positive</v>
      </c>
      <c r="N892" s="7" t="str">
        <f>IFERROR(__xludf.DUMMYFUNCTION("LOWER(
TRIM(
REGEXREPLACE(B892,""[^a-zA-Z\s]"","""")
)
)
"),"margaret")</f>
        <v>margaret</v>
      </c>
      <c r="O892" s="7">
        <f t="shared" si="5"/>
        <v>2</v>
      </c>
      <c r="P892" s="8" t="str">
        <f t="shared" si="6"/>
        <v>Yes</v>
      </c>
    </row>
    <row r="893">
      <c r="A893" s="4" t="s">
        <v>16</v>
      </c>
      <c r="B893" s="4" t="s">
        <v>739</v>
      </c>
      <c r="C893" s="5">
        <v>44946.0</v>
      </c>
      <c r="D893" s="10">
        <v>44947.0</v>
      </c>
      <c r="E893" s="4" t="s">
        <v>2550</v>
      </c>
      <c r="F893" s="4" t="s">
        <v>2551</v>
      </c>
      <c r="G893" s="6" t="str">
        <f>IFERROR(__xludf.DUMMYFUNCTION("REGEXREPLACE(LOWER(F893),""[^a-z\s]"","""")"),"cancelled my order and claimed it was fraud and refused to sell to me")</f>
        <v>cancelled my order and claimed it was fraud and refused to sell to me</v>
      </c>
      <c r="H893" s="4" t="str">
        <f t="shared" si="1"/>
        <v>cancelled my order claimed it was fraud refused sell me</v>
      </c>
      <c r="I893" s="6">
        <f t="shared" si="2"/>
        <v>10</v>
      </c>
      <c r="J893" s="6">
        <f>IFERROR(__xludf.DUMMYFUNCTION("IF(H893="""","""",
SUM(
ARRAYFORMULA(
IF(
REGEXMATCH(
"" ""&amp;H893&amp;"" "",
"" ""&amp;Sentiment_Words!A$2:A3730&amp;"" ""
),
1,
0
)
)
)
)"),0.0)</f>
        <v>0</v>
      </c>
      <c r="K893" s="4">
        <f>IFERROR(__xludf.DUMMYFUNCTION("IF(H893="""","""",
SUM(
ARRAYFORMULA(
IF(
REGEXMATCH(
"" ""&amp;H893&amp;"" "",
"" ""&amp;Sentiment_Words!B$2:B3730&amp;"" ""
),
1,
0
)
)
)
)"),1.0)</f>
        <v>1</v>
      </c>
      <c r="L893" s="7" t="str">
        <f t="shared" si="3"/>
        <v>Other</v>
      </c>
      <c r="M893" s="7" t="str">
        <f t="shared" si="4"/>
        <v>Negative</v>
      </c>
      <c r="N893" s="7" t="str">
        <f>IFERROR(__xludf.DUMMYFUNCTION("LOWER(
TRIM(
REGEXREPLACE(B893,""[^a-zA-Z\s]"","""")
)
)
"),"customer")</f>
        <v>customer</v>
      </c>
      <c r="O893" s="7">
        <f t="shared" si="5"/>
        <v>54</v>
      </c>
      <c r="P893" s="8" t="str">
        <f t="shared" si="6"/>
        <v>Yes</v>
      </c>
    </row>
    <row r="894">
      <c r="A894" s="4" t="s">
        <v>16</v>
      </c>
      <c r="B894" s="4" t="s">
        <v>2552</v>
      </c>
      <c r="C894" s="9">
        <v>44935.0</v>
      </c>
      <c r="D894" s="10">
        <v>44947.0</v>
      </c>
      <c r="E894" s="4" t="s">
        <v>2553</v>
      </c>
      <c r="F894" s="4" t="s">
        <v>2554</v>
      </c>
      <c r="G894" s="6" t="str">
        <f>IFERROR(__xludf.DUMMYFUNCTION("REGEXREPLACE(LOWER(F894),""[^a-z\s]"","""")"),"you carry my product but took awhile to arrive ")</f>
        <v>you carry my product but took awhile to arrive </v>
      </c>
      <c r="H894" s="4" t="str">
        <f t="shared" si="1"/>
        <v>you carry my product but took awhile arrive</v>
      </c>
      <c r="I894" s="6">
        <f t="shared" si="2"/>
        <v>8</v>
      </c>
      <c r="J894" s="6">
        <f>IFERROR(__xludf.DUMMYFUNCTION("IF(H894="""","""",
SUM(
ARRAYFORMULA(
IF(
REGEXMATCH(
"" ""&amp;H894&amp;"" "",
"" ""&amp;Sentiment_Words!A$2:A3730&amp;"" ""
),
1,
0
)
)
)
)"),0.0)</f>
        <v>0</v>
      </c>
      <c r="K894" s="4">
        <f>IFERROR(__xludf.DUMMYFUNCTION("IF(H894="""","""",
SUM(
ARRAYFORMULA(
IF(
REGEXMATCH(
"" ""&amp;H894&amp;"" "",
"" ""&amp;Sentiment_Words!B$2:B3730&amp;"" ""
),
1,
0
)
)
)
)"),0.0)</f>
        <v>0</v>
      </c>
      <c r="L894" s="7" t="str">
        <f t="shared" si="3"/>
        <v>Other</v>
      </c>
      <c r="M894" s="7" t="str">
        <f t="shared" si="4"/>
        <v>Neutral</v>
      </c>
      <c r="N894" s="7" t="str">
        <f>IFERROR(__xludf.DUMMYFUNCTION("LOWER(
TRIM(
REGEXREPLACE(B894,""[^a-zA-Z\s]"","""")
)
)
"),"susan latcham")</f>
        <v>susan latcham</v>
      </c>
      <c r="O894" s="7">
        <f t="shared" si="5"/>
        <v>1</v>
      </c>
      <c r="P894" s="8" t="str">
        <f t="shared" si="6"/>
        <v>No</v>
      </c>
    </row>
    <row r="895">
      <c r="A895" s="4" t="s">
        <v>16</v>
      </c>
      <c r="B895" s="4" t="s">
        <v>2306</v>
      </c>
      <c r="C895" s="5">
        <v>44938.0</v>
      </c>
      <c r="D895" s="10">
        <v>44946.0</v>
      </c>
      <c r="E895" s="4" t="s">
        <v>2555</v>
      </c>
      <c r="F895" s="4" t="s">
        <v>2556</v>
      </c>
      <c r="G895" s="6" t="str">
        <f>IFERROR(__xludf.DUMMYFUNCTION("REGEXREPLACE(LOWER(F895),""[^a-z\s]"","""")"),"the product i ordered was out of stock yet the system still allowed me to order it even though it was out of stock i cannot trust the system to give me the correct stocking of this item")</f>
        <v>the product i ordered was out of stock yet the system still allowed me to order it even though it was out of stock i cannot trust the system to give me the correct stocking of this item</v>
      </c>
      <c r="H895" s="4" t="str">
        <f t="shared" si="1"/>
        <v>product i ordered was out of stock yet system still allowed me order it even though it was out of stock i cannot trust system give me correct stocking of this item</v>
      </c>
      <c r="I895" s="6">
        <f t="shared" si="2"/>
        <v>32</v>
      </c>
      <c r="J895" s="6">
        <f>IFERROR(__xludf.DUMMYFUNCTION("IF(H895="""","""",
SUM(
ARRAYFORMULA(
IF(
REGEXMATCH(
"" ""&amp;H895&amp;"" "",
"" ""&amp;Sentiment_Words!A$2:A3730&amp;"" ""
),
1,
0
)
)
)
)"),0.0)</f>
        <v>0</v>
      </c>
      <c r="K895" s="4">
        <f>IFERROR(__xludf.DUMMYFUNCTION("IF(H895="""","""",
SUM(
ARRAYFORMULA(
IF(
REGEXMATCH(
"" ""&amp;H895&amp;"" "",
"" ""&amp;Sentiment_Words!B$2:B3730&amp;"" ""
),
1,
0
)
)
)
)"),1.0)</f>
        <v>1</v>
      </c>
      <c r="L895" s="7" t="str">
        <f t="shared" si="3"/>
        <v>Availability</v>
      </c>
      <c r="M895" s="7" t="str">
        <f t="shared" si="4"/>
        <v>Negative</v>
      </c>
      <c r="N895" s="7" t="str">
        <f>IFERROR(__xludf.DUMMYFUNCTION("LOWER(
TRIM(
REGEXREPLACE(B895,""[^a-zA-Z\s]"","""")
)
)
"),"bruce")</f>
        <v>bruce</v>
      </c>
      <c r="O895" s="7">
        <f t="shared" si="5"/>
        <v>3</v>
      </c>
      <c r="P895" s="8" t="str">
        <f t="shared" si="6"/>
        <v>Yes</v>
      </c>
    </row>
    <row r="896">
      <c r="A896" s="4" t="s">
        <v>16</v>
      </c>
      <c r="B896" s="4" t="s">
        <v>2557</v>
      </c>
      <c r="C896" s="9">
        <v>44935.0</v>
      </c>
      <c r="D896" s="10">
        <v>44946.0</v>
      </c>
      <c r="E896" s="4" t="s">
        <v>2558</v>
      </c>
      <c r="F896" s="4" t="s">
        <v>2559</v>
      </c>
      <c r="G896" s="6" t="str">
        <f>IFERROR(__xludf.DUMMYFUNCTION("REGEXREPLACE(LOWER(F896),""[^a-z\s]"","""")"),"shipping was fast i saved a lot with the coupon they sent for a first time shopper got  heated mats for our dogs")</f>
        <v>shipping was fast i saved a lot with the coupon they sent for a first time shopper got  heated mats for our dogs</v>
      </c>
      <c r="H896" s="4" t="str">
        <f t="shared" si="1"/>
        <v>shipping was fast i saved a lot with coupon they sent a first time shopper got heated mats our dogs</v>
      </c>
      <c r="I896" s="6">
        <f t="shared" si="2"/>
        <v>20</v>
      </c>
      <c r="J896" s="6">
        <f>IFERROR(__xludf.DUMMYFUNCTION("IF(H896="""","""",
SUM(
ARRAYFORMULA(
IF(
REGEXMATCH(
"" ""&amp;H896&amp;"" "",
"" ""&amp;Sentiment_Words!A$2:A3730&amp;"" ""
),
1,
0
)
)
)
)"),1.0)</f>
        <v>1</v>
      </c>
      <c r="K896" s="4">
        <f>IFERROR(__xludf.DUMMYFUNCTION("IF(H896="""","""",
SUM(
ARRAYFORMULA(
IF(
REGEXMATCH(
"" ""&amp;H896&amp;"" "",
"" ""&amp;Sentiment_Words!B$2:B3730&amp;"" ""
),
1,
0
)
)
)
)"),0.0)</f>
        <v>0</v>
      </c>
      <c r="L896" s="7" t="str">
        <f t="shared" si="3"/>
        <v>Other</v>
      </c>
      <c r="M896" s="7" t="str">
        <f t="shared" si="4"/>
        <v>Positive</v>
      </c>
      <c r="N896" s="7" t="str">
        <f>IFERROR(__xludf.DUMMYFUNCTION("LOWER(
TRIM(
REGEXREPLACE(B896,""[^a-zA-Z\s]"","""")
)
)
"),"renee breeden")</f>
        <v>renee breeden</v>
      </c>
      <c r="O896" s="7">
        <f t="shared" si="5"/>
        <v>1</v>
      </c>
      <c r="P896" s="8" t="str">
        <f t="shared" si="6"/>
        <v>No</v>
      </c>
    </row>
    <row r="897">
      <c r="A897" s="4" t="s">
        <v>16</v>
      </c>
      <c r="B897" s="4" t="s">
        <v>2560</v>
      </c>
      <c r="C897" s="5">
        <v>44945.0</v>
      </c>
      <c r="D897" s="10">
        <v>44946.0</v>
      </c>
      <c r="E897" s="4" t="s">
        <v>2561</v>
      </c>
      <c r="F897" s="4" t="s">
        <v>2562</v>
      </c>
      <c r="G897" s="6" t="str">
        <f>IFERROR(__xludf.DUMMYFUNCTION("REGEXREPLACE(LOWER(F897),""[^a-z\s]"","""")"),"pet flow is a great place for your pet needs we have been very satisfied")</f>
        <v>pet flow is a great place for your pet needs we have been very satisfied</v>
      </c>
      <c r="H897" s="4" t="str">
        <f t="shared" si="1"/>
        <v>pet flow a great place your pet needs we have been very satisfied</v>
      </c>
      <c r="I897" s="6">
        <f t="shared" si="2"/>
        <v>13</v>
      </c>
      <c r="J897" s="6">
        <f>IFERROR(__xludf.DUMMYFUNCTION("IF(H897="""","""",
SUM(
ARRAYFORMULA(
IF(
REGEXMATCH(
"" ""&amp;H897&amp;"" "",
"" ""&amp;Sentiment_Words!A$2:A3730&amp;"" ""
),
1,
0
)
)
)
)"),2.0)</f>
        <v>2</v>
      </c>
      <c r="K897" s="4">
        <f>IFERROR(__xludf.DUMMYFUNCTION("IF(H897="""","""",
SUM(
ARRAYFORMULA(
IF(
REGEXMATCH(
"" ""&amp;H897&amp;"" "",
"" ""&amp;Sentiment_Words!B$2:B3730&amp;"" ""
),
1,
0
)
)
)
)"),0.0)</f>
        <v>0</v>
      </c>
      <c r="L897" s="7" t="str">
        <f t="shared" si="3"/>
        <v>Other</v>
      </c>
      <c r="M897" s="7" t="str">
        <f t="shared" si="4"/>
        <v>Positive</v>
      </c>
      <c r="N897" s="7" t="str">
        <f>IFERROR(__xludf.DUMMYFUNCTION("LOWER(
TRIM(
REGEXREPLACE(B897,""[^a-zA-Z\s]"","""")
)
)
"),"ronald stout")</f>
        <v>ronald stout</v>
      </c>
      <c r="O897" s="7">
        <f t="shared" si="5"/>
        <v>1</v>
      </c>
      <c r="P897" s="8" t="str">
        <f t="shared" si="6"/>
        <v>No</v>
      </c>
    </row>
    <row r="898">
      <c r="A898" s="4" t="s">
        <v>16</v>
      </c>
      <c r="B898" s="4" t="s">
        <v>739</v>
      </c>
      <c r="C898" s="5">
        <v>44945.0</v>
      </c>
      <c r="D898" s="10">
        <v>44946.0</v>
      </c>
      <c r="E898" s="4" t="s">
        <v>2563</v>
      </c>
      <c r="F898" s="4" t="s">
        <v>2564</v>
      </c>
      <c r="G898" s="6" t="str">
        <f>IFERROR(__xludf.DUMMYFUNCTION("REGEXREPLACE(LOWER(F898),""[^a-z\s]"","""")"),"flagged my purchases as fraud and then refused to allow me to repurchase")</f>
        <v>flagged my purchases as fraud and then refused to allow me to repurchase</v>
      </c>
      <c r="H898" s="4" t="str">
        <f t="shared" si="1"/>
        <v>flagged my purchases as fraud then refused allow me repurchase</v>
      </c>
      <c r="I898" s="6">
        <f t="shared" si="2"/>
        <v>10</v>
      </c>
      <c r="J898" s="6">
        <f>IFERROR(__xludf.DUMMYFUNCTION("IF(H898="""","""",
SUM(
ARRAYFORMULA(
IF(
REGEXMATCH(
"" ""&amp;H898&amp;"" "",
"" ""&amp;Sentiment_Words!A$2:A3730&amp;"" ""
),
1,
0
)
)
)
)"),0.0)</f>
        <v>0</v>
      </c>
      <c r="K898" s="4">
        <f>IFERROR(__xludf.DUMMYFUNCTION("IF(H898="""","""",
SUM(
ARRAYFORMULA(
IF(
REGEXMATCH(
"" ""&amp;H898&amp;"" "",
"" ""&amp;Sentiment_Words!B$2:B3730&amp;"" ""
),
1,
0
)
)
)
)"),0.0)</f>
        <v>0</v>
      </c>
      <c r="L898" s="7" t="str">
        <f t="shared" si="3"/>
        <v>Other</v>
      </c>
      <c r="M898" s="7" t="str">
        <f t="shared" si="4"/>
        <v>Neutral</v>
      </c>
      <c r="N898" s="7" t="str">
        <f>IFERROR(__xludf.DUMMYFUNCTION("LOWER(
TRIM(
REGEXREPLACE(B898,""[^a-zA-Z\s]"","""")
)
)
"),"customer")</f>
        <v>customer</v>
      </c>
      <c r="O898" s="7">
        <f t="shared" si="5"/>
        <v>54</v>
      </c>
      <c r="P898" s="8" t="str">
        <f t="shared" si="6"/>
        <v>Yes</v>
      </c>
    </row>
    <row r="899">
      <c r="A899" s="4" t="s">
        <v>16</v>
      </c>
      <c r="B899" s="4" t="s">
        <v>2565</v>
      </c>
      <c r="C899" s="5">
        <v>44895.0</v>
      </c>
      <c r="D899" s="10">
        <v>44946.0</v>
      </c>
      <c r="E899" s="4" t="s">
        <v>2566</v>
      </c>
      <c r="F899" s="4" t="s">
        <v>2567</v>
      </c>
      <c r="G899" s="6" t="str">
        <f>IFERROR(__xludf.DUMMYFUNCTION("REGEXREPLACE(LOWER(F899),""[^a-z\s]"","""")"),"we were counting on our fromm dog food autoship order to be shipped on the date that petflow said they would ship according to them they got very busy during the holidays and this order did not ship until the following week as a result we had just enough "&amp;"food to mixswitch to another brand that was available in our area in our opinion the autoship customers should have taken precedence and shipped on time and as scheduled because this order was in their system for many weeks we have purchased other items f"&amp;"rom petflow since just not items that we need to ship on time the competition is able to get their autoship orders out on time and delivered in  days")</f>
        <v>we were counting on our fromm dog food autoship order to be shipped on the date that petflow said they would ship according to them they got very busy during the holidays and this order did not ship until the following week as a result we had just enough food to mixswitch to another brand that was available in our area in our opinion the autoship customers should have taken precedence and shipped on time and as scheduled because this order was in their system for many weeks we have purchased other items from petflow since just not items that we need to ship on time the competition is able to get their autoship orders out on time and delivered in  days</v>
      </c>
      <c r="H899" s="4" t="str">
        <f t="shared" si="1"/>
        <v>we were counting on our fromm dog food autoship order be shipped on date that petflow said they would ship according them they got very busy during holidays this order did not ship until following week as a result we had just enough food mixswitch another brand that was available in our area in our opinion autoship customers should have taken precedence shipped on time as scheduled because this order was in their system many weeks we have purchased other items from petflow since just not items that we need ship on time competition able get their autoship orders out on time delivered in days</v>
      </c>
      <c r="I899" s="6">
        <f t="shared" si="2"/>
        <v>105</v>
      </c>
      <c r="J899" s="6">
        <f>IFERROR(__xludf.DUMMYFUNCTION("IF(H899="""","""",
SUM(
ARRAYFORMULA(
IF(
REGEXMATCH(
"" ""&amp;H899&amp;"" "",
"" ""&amp;Sentiment_Words!A$2:A3730&amp;"" ""
),
1,
0
)
)
)
)"),4.0)</f>
        <v>4</v>
      </c>
      <c r="K899" s="4">
        <f>IFERROR(__xludf.DUMMYFUNCTION("IF(H899="""","""",
SUM(
ARRAYFORMULA(
IF(
REGEXMATCH(
"" ""&amp;H899&amp;"" "",
"" ""&amp;Sentiment_Words!B$2:B3730&amp;"" ""
),
1,
0
)
)
)
)"),0.0)</f>
        <v>0</v>
      </c>
      <c r="L899" s="7" t="str">
        <f t="shared" si="3"/>
        <v>Other</v>
      </c>
      <c r="M899" s="7" t="str">
        <f t="shared" si="4"/>
        <v>Positive</v>
      </c>
      <c r="N899" s="7" t="str">
        <f>IFERROR(__xludf.DUMMYFUNCTION("LOWER(
TRIM(
REGEXREPLACE(B899,""[^a-zA-Z\s]"","""")
)
)
"),"linda wutz")</f>
        <v>linda wutz</v>
      </c>
      <c r="O899" s="7">
        <f t="shared" si="5"/>
        <v>1</v>
      </c>
      <c r="P899" s="8" t="str">
        <f t="shared" si="6"/>
        <v>No</v>
      </c>
    </row>
    <row r="900">
      <c r="A900" s="4" t="s">
        <v>16</v>
      </c>
      <c r="B900" s="4" t="s">
        <v>2568</v>
      </c>
      <c r="C900" s="9">
        <v>44935.0</v>
      </c>
      <c r="D900" s="10">
        <v>44946.0</v>
      </c>
      <c r="E900" s="4" t="s">
        <v>2569</v>
      </c>
      <c r="F900" s="4" t="s">
        <v>2570</v>
      </c>
      <c r="G900" s="6" t="str">
        <f>IFERROR(__xludf.DUMMYFUNCTION("REGEXREPLACE(LOWER(F900),""[^a-z\s]"","""")"),"product was in stock and order was filled correctly and quickly")</f>
        <v>product was in stock and order was filled correctly and quickly</v>
      </c>
      <c r="H900" s="4" t="str">
        <f t="shared" si="1"/>
        <v>product was in stock order was filled correctly quickly</v>
      </c>
      <c r="I900" s="6">
        <f t="shared" si="2"/>
        <v>9</v>
      </c>
      <c r="J900" s="6">
        <f>IFERROR(__xludf.DUMMYFUNCTION("IF(H900="""","""",
SUM(
ARRAYFORMULA(
IF(
REGEXMATCH(
"" ""&amp;H900&amp;"" "",
"" ""&amp;Sentiment_Words!A$2:A3730&amp;"" ""
),
1,
0
)
)
)
)"),0.0)</f>
        <v>0</v>
      </c>
      <c r="K900" s="4">
        <f>IFERROR(__xludf.DUMMYFUNCTION("IF(H900="""","""",
SUM(
ARRAYFORMULA(
IF(
REGEXMATCH(
"" ""&amp;H900&amp;"" "",
"" ""&amp;Sentiment_Words!B$2:B3730&amp;"" ""
),
1,
0
)
)
)
)"),0.0)</f>
        <v>0</v>
      </c>
      <c r="L900" s="7" t="str">
        <f t="shared" si="3"/>
        <v>Other</v>
      </c>
      <c r="M900" s="7" t="str">
        <f t="shared" si="4"/>
        <v>Neutral</v>
      </c>
      <c r="N900" s="7" t="str">
        <f>IFERROR(__xludf.DUMMYFUNCTION("LOWER(
TRIM(
REGEXREPLACE(B900,""[^a-zA-Z\s]"","""")
)
)
"),"kim")</f>
        <v>kim</v>
      </c>
      <c r="O900" s="7">
        <f t="shared" si="5"/>
        <v>1</v>
      </c>
      <c r="P900" s="8" t="str">
        <f t="shared" si="6"/>
        <v>No</v>
      </c>
    </row>
    <row r="901">
      <c r="A901" s="4" t="s">
        <v>16</v>
      </c>
      <c r="B901" s="4" t="s">
        <v>2571</v>
      </c>
      <c r="C901" s="5">
        <v>44936.0</v>
      </c>
      <c r="D901" s="10">
        <v>44946.0</v>
      </c>
      <c r="E901" s="4" t="s">
        <v>2572</v>
      </c>
      <c r="F901" s="4" t="s">
        <v>2573</v>
      </c>
      <c r="G901" s="6" t="str">
        <f>IFERROR(__xludf.DUMMYFUNCTION("REGEXREPLACE(LOWER(F901),""[^a-z\s]"","""")"),"delivery was on time and at a better cost than other merchants")</f>
        <v>delivery was on time and at a better cost than other merchants</v>
      </c>
      <c r="H901" s="4" t="str">
        <f t="shared" si="1"/>
        <v>delivery was on time at a better cost than other merchants</v>
      </c>
      <c r="I901" s="6">
        <f t="shared" si="2"/>
        <v>11</v>
      </c>
      <c r="J901" s="6">
        <f>IFERROR(__xludf.DUMMYFUNCTION("IF(H901="""","""",
SUM(
ARRAYFORMULA(
IF(
REGEXMATCH(
"" ""&amp;H901&amp;"" "",
"" ""&amp;Sentiment_Words!A$2:A3730&amp;"" ""
),
1,
0
)
)
)
)"),1.0)</f>
        <v>1</v>
      </c>
      <c r="K901" s="4">
        <f>IFERROR(__xludf.DUMMYFUNCTION("IF(H901="""","""",
SUM(
ARRAYFORMULA(
IF(
REGEXMATCH(
"" ""&amp;H901&amp;"" "",
"" ""&amp;Sentiment_Words!B$2:B3730&amp;"" ""
),
1,
0
)
)
)
)"),0.0)</f>
        <v>0</v>
      </c>
      <c r="L901" s="7" t="str">
        <f t="shared" si="3"/>
        <v>Other</v>
      </c>
      <c r="M901" s="7" t="str">
        <f t="shared" si="4"/>
        <v>Positive</v>
      </c>
      <c r="N901" s="7" t="str">
        <f>IFERROR(__xludf.DUMMYFUNCTION("LOWER(
TRIM(
REGEXREPLACE(B901,""[^a-zA-Z\s]"","""")
)
)
"),"guest")</f>
        <v>guest</v>
      </c>
      <c r="O901" s="7">
        <f t="shared" si="5"/>
        <v>1</v>
      </c>
      <c r="P901" s="8" t="str">
        <f t="shared" si="6"/>
        <v>No</v>
      </c>
    </row>
    <row r="902">
      <c r="A902" s="4" t="s">
        <v>16</v>
      </c>
      <c r="B902" s="4" t="s">
        <v>2574</v>
      </c>
      <c r="C902" s="5">
        <v>44940.0</v>
      </c>
      <c r="D902" s="10">
        <v>44946.0</v>
      </c>
      <c r="E902" s="4" t="s">
        <v>2575</v>
      </c>
      <c r="F902" s="4" t="s">
        <v>2576</v>
      </c>
      <c r="G902" s="6" t="str">
        <f>IFERROR(__xludf.DUMMYFUNCTION("REGEXREPLACE(LOWER(F902),""[^a-z\s]"","""")"),"dog food was delivered to family members home it arrived quickly and in good condition")</f>
        <v>dog food was delivered to family members home it arrived quickly and in good condition</v>
      </c>
      <c r="H902" s="4" t="str">
        <f t="shared" si="1"/>
        <v>dog food was delivered family members home it arrived quickly in good condition</v>
      </c>
      <c r="I902" s="6">
        <f t="shared" si="2"/>
        <v>13</v>
      </c>
      <c r="J902" s="6">
        <f>IFERROR(__xludf.DUMMYFUNCTION("IF(H902="""","""",
SUM(
ARRAYFORMULA(
IF(
REGEXMATCH(
"" ""&amp;H902&amp;"" "",
"" ""&amp;Sentiment_Words!A$2:A3730&amp;"" ""
),
1,
0
)
)
)
)"),2.0)</f>
        <v>2</v>
      </c>
      <c r="K902" s="4">
        <f>IFERROR(__xludf.DUMMYFUNCTION("IF(H902="""","""",
SUM(
ARRAYFORMULA(
IF(
REGEXMATCH(
"" ""&amp;H902&amp;"" "",
"" ""&amp;Sentiment_Words!B$2:B3730&amp;"" ""
),
1,
0
)
)
)
)"),0.0)</f>
        <v>0</v>
      </c>
      <c r="L902" s="7" t="str">
        <f t="shared" si="3"/>
        <v>Other</v>
      </c>
      <c r="M902" s="7" t="str">
        <f t="shared" si="4"/>
        <v>Positive</v>
      </c>
      <c r="N902" s="7" t="str">
        <f>IFERROR(__xludf.DUMMYFUNCTION("LOWER(
TRIM(
REGEXREPLACE(B902,""[^a-zA-Z\s]"","""")
)
)
"),"maureen doran kocka")</f>
        <v>maureen doran kocka</v>
      </c>
      <c r="O902" s="7">
        <f t="shared" si="5"/>
        <v>1</v>
      </c>
      <c r="P902" s="8" t="str">
        <f t="shared" si="6"/>
        <v>No</v>
      </c>
    </row>
    <row r="903">
      <c r="A903" s="4" t="s">
        <v>16</v>
      </c>
      <c r="B903" s="4" t="s">
        <v>2577</v>
      </c>
      <c r="C903" s="5">
        <v>44940.0</v>
      </c>
      <c r="D903" s="10">
        <v>44945.0</v>
      </c>
      <c r="E903" s="4" t="s">
        <v>2578</v>
      </c>
      <c r="F903" s="4" t="s">
        <v>2579</v>
      </c>
      <c r="G903" s="6" t="str">
        <f>IFERROR(__xludf.DUMMYFUNCTION("REGEXREPLACE(LOWER(F903),""[^a-z\s]"","""")"),"i placed my order online easily i did receive an email stating the shipping would be delayed but they kept communication open it was only delayed by  days and i received my items as expected")</f>
        <v>i placed my order online easily i did receive an email stating the shipping would be delayed but they kept communication open it was only delayed by  days and i received my items as expected</v>
      </c>
      <c r="H903" s="4" t="str">
        <f t="shared" si="1"/>
        <v>i placed my order online easily i did receive an email stating shipping would be delayed but they kept communication open it was only delayed by days i received my items as expected</v>
      </c>
      <c r="I903" s="6">
        <f t="shared" si="2"/>
        <v>33</v>
      </c>
      <c r="J903" s="6">
        <f>IFERROR(__xludf.DUMMYFUNCTION("IF(H903="""","""",
SUM(
ARRAYFORMULA(
IF(
REGEXMATCH(
"" ""&amp;H903&amp;"" "",
"" ""&amp;Sentiment_Words!A$2:A3730&amp;"" ""
),
1,
0
)
)
)
)"),0.0)</f>
        <v>0</v>
      </c>
      <c r="K903" s="4">
        <f>IFERROR(__xludf.DUMMYFUNCTION("IF(H903="""","""",
SUM(
ARRAYFORMULA(
IF(
REGEXMATCH(
"" ""&amp;H903&amp;"" "",
"" ""&amp;Sentiment_Words!B$2:B3730&amp;"" ""
),
1,
0
)
)
)
)"),1.0)</f>
        <v>1</v>
      </c>
      <c r="L903" s="7" t="str">
        <f t="shared" si="3"/>
        <v>Fulfillment &amp; Shipping</v>
      </c>
      <c r="M903" s="7" t="str">
        <f t="shared" si="4"/>
        <v>Negative</v>
      </c>
      <c r="N903" s="7" t="str">
        <f>IFERROR(__xludf.DUMMYFUNCTION("LOWER(
TRIM(
REGEXREPLACE(B903,""[^a-zA-Z\s]"","""")
)
)
"),"em")</f>
        <v>em</v>
      </c>
      <c r="O903" s="7">
        <f t="shared" si="5"/>
        <v>2</v>
      </c>
      <c r="P903" s="8" t="str">
        <f t="shared" si="6"/>
        <v>Yes</v>
      </c>
    </row>
    <row r="904">
      <c r="A904" s="4" t="s">
        <v>16</v>
      </c>
      <c r="B904" s="4" t="s">
        <v>2580</v>
      </c>
      <c r="C904" s="5">
        <v>44938.0</v>
      </c>
      <c r="D904" s="10">
        <v>44945.0</v>
      </c>
      <c r="E904" s="4" t="s">
        <v>2581</v>
      </c>
      <c r="F904" s="4" t="s">
        <v>2582</v>
      </c>
      <c r="G904" s="6" t="str">
        <f>IFERROR(__xludf.DUMMYFUNCTION("REGEXREPLACE(LOWER(F904),""[^a-z\s]"","""")"),"the company delivered when promised with the exact items ordered my only complaint and its a little one is that it was difficult to follow the order once it was in the system so that i could see where it stood")</f>
        <v>the company delivered when promised with the exact items ordered my only complaint and its a little one is that it was difficult to follow the order once it was in the system so that i could see where it stood</v>
      </c>
      <c r="H904" s="4" t="str">
        <f t="shared" si="1"/>
        <v>company delivered when promised with exact items ordered my only complaint its a little one that it was difficult follow order once it was in system so that i could see where it stood</v>
      </c>
      <c r="I904" s="6">
        <f t="shared" si="2"/>
        <v>34</v>
      </c>
      <c r="J904" s="6">
        <f>IFERROR(__xludf.DUMMYFUNCTION("IF(H904="""","""",
SUM(
ARRAYFORMULA(
IF(
REGEXMATCH(
"" ""&amp;H904&amp;"" "",
"" ""&amp;Sentiment_Words!A$2:A3730&amp;"" ""
),
1,
0
)
)
)
)"),1.0)</f>
        <v>1</v>
      </c>
      <c r="K904" s="4">
        <f>IFERROR(__xludf.DUMMYFUNCTION("IF(H904="""","""",
SUM(
ARRAYFORMULA(
IF(
REGEXMATCH(
"" ""&amp;H904&amp;"" "",
"" ""&amp;Sentiment_Words!B$2:B3730&amp;"" ""
),
1,
0
)
)
)
)"),0.0)</f>
        <v>0</v>
      </c>
      <c r="L904" s="7" t="str">
        <f t="shared" si="3"/>
        <v>Other</v>
      </c>
      <c r="M904" s="7" t="str">
        <f t="shared" si="4"/>
        <v>Positive</v>
      </c>
      <c r="N904" s="7" t="str">
        <f>IFERROR(__xludf.DUMMYFUNCTION("LOWER(
TRIM(
REGEXREPLACE(B904,""[^a-zA-Z\s]"","""")
)
)
"),"scouter")</f>
        <v>scouter</v>
      </c>
      <c r="O904" s="7">
        <f t="shared" si="5"/>
        <v>1</v>
      </c>
      <c r="P904" s="8" t="str">
        <f t="shared" si="6"/>
        <v>No</v>
      </c>
    </row>
    <row r="905">
      <c r="A905" s="4" t="s">
        <v>16</v>
      </c>
      <c r="B905" s="4" t="s">
        <v>2583</v>
      </c>
      <c r="C905" s="5">
        <v>44945.0</v>
      </c>
      <c r="D905" s="10">
        <v>44945.0</v>
      </c>
      <c r="E905" s="4" t="s">
        <v>2584</v>
      </c>
      <c r="F905" s="4" t="s">
        <v>2585</v>
      </c>
      <c r="G905" s="6" t="str">
        <f>IFERROR(__xludf.DUMMYFUNCTION("REGEXREPLACE(LOWER(F905),""[^a-z\s]"","""")"),"overall petflow has good service and competitive pricing for the products they handle the website could be much more user friendly  to adjust an order or make changes to a saved order can be very confusing")</f>
        <v>overall petflow has good service and competitive pricing for the products they handle the website could be much more user friendly  to adjust an order or make changes to a saved order can be very confusing</v>
      </c>
      <c r="H905" s="4" t="str">
        <f t="shared" si="1"/>
        <v>overall petflow has good service competitive pricing products they handle website could be much more user friendly adjust an order or make changes a saved order can be very confusing</v>
      </c>
      <c r="I905" s="6">
        <f t="shared" si="2"/>
        <v>30</v>
      </c>
      <c r="J905" s="6">
        <f>IFERROR(__xludf.DUMMYFUNCTION("IF(H905="""","""",
SUM(
ARRAYFORMULA(
IF(
REGEXMATCH(
"" ""&amp;H905&amp;"" "",
"" ""&amp;Sentiment_Words!A$2:A3730&amp;"" ""
),
1,
0
)
)
)
)"),1.0)</f>
        <v>1</v>
      </c>
      <c r="K905" s="4">
        <f>IFERROR(__xludf.DUMMYFUNCTION("IF(H905="""","""",
SUM(
ARRAYFORMULA(
IF(
REGEXMATCH(
"" ""&amp;H905&amp;"" "",
"" ""&amp;Sentiment_Words!B$2:B3730&amp;"" ""
),
1,
0
)
)
)
)"),0.0)</f>
        <v>0</v>
      </c>
      <c r="L905" s="7" t="str">
        <f t="shared" si="3"/>
        <v>Customer Support</v>
      </c>
      <c r="M905" s="7" t="str">
        <f t="shared" si="4"/>
        <v>Positive</v>
      </c>
      <c r="N905" s="7" t="str">
        <f>IFERROR(__xludf.DUMMYFUNCTION("LOWER(
TRIM(
REGEXREPLACE(B905,""[^a-zA-Z\s]"","""")
)
)
"),"tom lindemann")</f>
        <v>tom lindemann</v>
      </c>
      <c r="O905" s="7">
        <f t="shared" si="5"/>
        <v>1</v>
      </c>
      <c r="P905" s="8" t="str">
        <f t="shared" si="6"/>
        <v>No</v>
      </c>
    </row>
    <row r="906">
      <c r="A906" s="4" t="s">
        <v>16</v>
      </c>
      <c r="B906" s="4" t="s">
        <v>2586</v>
      </c>
      <c r="C906" s="5">
        <v>44942.0</v>
      </c>
      <c r="D906" s="10">
        <v>44945.0</v>
      </c>
      <c r="E906" s="4" t="s">
        <v>2587</v>
      </c>
      <c r="F906" s="4" t="s">
        <v>2588</v>
      </c>
      <c r="G906" s="6" t="str">
        <f>IFERROR(__xludf.DUMMYFUNCTION("REGEXREPLACE(LOWER(F906),""[^a-z\s]"","""")"),"carry brand i was seeking")</f>
        <v>carry brand i was seeking</v>
      </c>
      <c r="H906" s="4" t="str">
        <f t="shared" si="1"/>
        <v>carry brand i was seeking</v>
      </c>
      <c r="I906" s="6">
        <f t="shared" si="2"/>
        <v>5</v>
      </c>
      <c r="J906" s="6">
        <f>IFERROR(__xludf.DUMMYFUNCTION("IF(H906="""","""",
SUM(
ARRAYFORMULA(
IF(
REGEXMATCH(
"" ""&amp;H906&amp;"" "",
"" ""&amp;Sentiment_Words!A$2:A3730&amp;"" ""
),
1,
0
)
)
)
)"),0.0)</f>
        <v>0</v>
      </c>
      <c r="K906" s="4">
        <f>IFERROR(__xludf.DUMMYFUNCTION("IF(H906="""","""",
SUM(
ARRAYFORMULA(
IF(
REGEXMATCH(
"" ""&amp;H906&amp;"" "",
"" ""&amp;Sentiment_Words!B$2:B3730&amp;"" ""
),
1,
0
)
)
)
)"),0.0)</f>
        <v>0</v>
      </c>
      <c r="L906" s="7" t="str">
        <f t="shared" si="3"/>
        <v>Other</v>
      </c>
      <c r="M906" s="7" t="str">
        <f t="shared" si="4"/>
        <v>Neutral</v>
      </c>
      <c r="N906" s="7" t="str">
        <f>IFERROR(__xludf.DUMMYFUNCTION("LOWER(
TRIM(
REGEXREPLACE(B906,""[^a-zA-Z\s]"","""")
)
)
"),"lois ferguson smith")</f>
        <v>lois ferguson smith</v>
      </c>
      <c r="O906" s="7">
        <f t="shared" si="5"/>
        <v>1</v>
      </c>
      <c r="P906" s="8" t="str">
        <f t="shared" si="6"/>
        <v>No</v>
      </c>
    </row>
    <row r="907">
      <c r="A907" s="4" t="s">
        <v>16</v>
      </c>
      <c r="B907" s="4" t="s">
        <v>2589</v>
      </c>
      <c r="C907" s="5">
        <v>44938.0</v>
      </c>
      <c r="D907" s="10">
        <v>44945.0</v>
      </c>
      <c r="E907" s="4" t="s">
        <v>2590</v>
      </c>
      <c r="F907" s="4" t="s">
        <v>2591</v>
      </c>
      <c r="G907" s="6" t="str">
        <f>IFERROR(__xludf.DUMMYFUNCTION("REGEXREPLACE(LOWER(F907),""[^a-z\s]"","""")"),"i was low on food for my dog because i forgot to order so it got here pretty quickly i was down pretty low and i called to see when it was going to arrive and spoke to a very lovely and helpful woman in their customer service")</f>
        <v>i was low on food for my dog because i forgot to order so it got here pretty quickly i was down pretty low and i called to see when it was going to arrive and spoke to a very lovely and helpful woman in their customer service</v>
      </c>
      <c r="H907" s="4" t="str">
        <f t="shared" si="1"/>
        <v>i was low on food my dog because i forgot order so it got here pretty quickly i was down pretty low i called see when it was going arrive spoke a very lovely helpful woman in their customer service</v>
      </c>
      <c r="I907" s="6">
        <f t="shared" si="2"/>
        <v>40</v>
      </c>
      <c r="J907" s="6">
        <f>IFERROR(__xludf.DUMMYFUNCTION("IF(H907="""","""",
SUM(
ARRAYFORMULA(
IF(
REGEXMATCH(
"" ""&amp;H907&amp;"" "",
"" ""&amp;Sentiment_Words!A$2:A3730&amp;"" ""
),
1,
0
)
)
)
)"),1.0)</f>
        <v>1</v>
      </c>
      <c r="K907" s="4">
        <f>IFERROR(__xludf.DUMMYFUNCTION("IF(H907="""","""",
SUM(
ARRAYFORMULA(
IF(
REGEXMATCH(
"" ""&amp;H907&amp;"" "",
"" ""&amp;Sentiment_Words!B$2:B3730&amp;"" ""
),
1,
0
)
)
)
)"),1.0)</f>
        <v>1</v>
      </c>
      <c r="L907" s="7" t="str">
        <f t="shared" si="3"/>
        <v>Customer Support</v>
      </c>
      <c r="M907" s="7" t="str">
        <f t="shared" si="4"/>
        <v>Neutral</v>
      </c>
      <c r="N907" s="7" t="str">
        <f>IFERROR(__xludf.DUMMYFUNCTION("LOWER(
TRIM(
REGEXREPLACE(B907,""[^a-zA-Z\s]"","""")
)
)
"),"debbie thompson")</f>
        <v>debbie thompson</v>
      </c>
      <c r="O907" s="7">
        <f t="shared" si="5"/>
        <v>1</v>
      </c>
      <c r="P907" s="8" t="str">
        <f t="shared" si="6"/>
        <v>No</v>
      </c>
    </row>
    <row r="908">
      <c r="A908" s="4" t="s">
        <v>16</v>
      </c>
      <c r="B908" s="4" t="s">
        <v>2592</v>
      </c>
      <c r="C908" s="5">
        <v>44939.0</v>
      </c>
      <c r="D908" s="10">
        <v>44945.0</v>
      </c>
      <c r="E908" s="4" t="s">
        <v>2593</v>
      </c>
      <c r="F908" s="4" t="s">
        <v>2594</v>
      </c>
      <c r="G908" s="6" t="str">
        <f>IFERROR(__xludf.DUMMYFUNCTION("REGEXREPLACE(LOWER(F908),""[^a-z\s]"","""")"),"a large variety of pet food products to choose from package arrives intact an animal gets a bowl of food with my purchase
thank you")</f>
        <v>a large variety of pet food products to choose from package arrives intact an animal gets a bowl of food with my purchase
thank you</v>
      </c>
      <c r="H908" s="4" t="str">
        <f t="shared" si="1"/>
        <v>a large variety of pet food products choose from package arrives intact an animal gets a bowl of food with my purchase
thank you</v>
      </c>
      <c r="I908" s="6">
        <f t="shared" si="2"/>
        <v>23</v>
      </c>
      <c r="J908" s="6">
        <f>IFERROR(__xludf.DUMMYFUNCTION("IF(H908="""","""",
SUM(
ARRAYFORMULA(
IF(
REGEXMATCH(
"" ""&amp;H908&amp;"" "",
"" ""&amp;Sentiment_Words!A$2:A3730&amp;"" ""
),
1,
0
)
)
)
)"),0.0)</f>
        <v>0</v>
      </c>
      <c r="K908" s="4">
        <f>IFERROR(__xludf.DUMMYFUNCTION("IF(H908="""","""",
SUM(
ARRAYFORMULA(
IF(
REGEXMATCH(
"" ""&amp;H908&amp;"" "",
"" ""&amp;Sentiment_Words!B$2:B3730&amp;"" ""
),
1,
0
)
)
)
)"),0.0)</f>
        <v>0</v>
      </c>
      <c r="L908" s="7" t="str">
        <f t="shared" si="3"/>
        <v>Other</v>
      </c>
      <c r="M908" s="7" t="str">
        <f t="shared" si="4"/>
        <v>Neutral</v>
      </c>
      <c r="N908" s="7" t="str">
        <f>IFERROR(__xludf.DUMMYFUNCTION("LOWER(
TRIM(
REGEXREPLACE(B908,""[^a-zA-Z\s]"","""")
)
)
"),"lourdes")</f>
        <v>lourdes</v>
      </c>
      <c r="O908" s="7">
        <f t="shared" si="5"/>
        <v>1</v>
      </c>
      <c r="P908" s="8" t="str">
        <f t="shared" si="6"/>
        <v>No</v>
      </c>
    </row>
    <row r="909">
      <c r="A909" s="4" t="s">
        <v>16</v>
      </c>
      <c r="B909" s="4" t="s">
        <v>2595</v>
      </c>
      <c r="C909" s="9">
        <v>44932.0</v>
      </c>
      <c r="D909" s="10">
        <v>44944.0</v>
      </c>
      <c r="E909" s="4" t="s">
        <v>2596</v>
      </c>
      <c r="F909" s="4" t="s">
        <v>2597</v>
      </c>
      <c r="G909" s="6" t="str">
        <f>IFERROR(__xludf.DUMMYFUNCTION("REGEXREPLACE(LOWER(F909),""[^a-z\s]"","""")"),"they were very friendly they would take your phone calls if your computer wasnt working and the delivery was always on time and i appreciate that thank you")</f>
        <v>they were very friendly they would take your phone calls if your computer wasnt working and the delivery was always on time and i appreciate that thank you</v>
      </c>
      <c r="H909" s="4" t="str">
        <f t="shared" si="1"/>
        <v>they were very friendly they would take your phone calls if your computer wasnt working delivery was always on time i appreciate that thank you</v>
      </c>
      <c r="I909" s="6">
        <f t="shared" si="2"/>
        <v>25</v>
      </c>
      <c r="J909" s="6">
        <f>IFERROR(__xludf.DUMMYFUNCTION("IF(H909="""","""",
SUM(
ARRAYFORMULA(
IF(
REGEXMATCH(
"" ""&amp;H909&amp;"" "",
"" ""&amp;Sentiment_Words!A$2:A3730&amp;"" ""
),
1,
0
)
)
)
)"),2.0)</f>
        <v>2</v>
      </c>
      <c r="K909" s="4">
        <f>IFERROR(__xludf.DUMMYFUNCTION("IF(H909="""","""",
SUM(
ARRAYFORMULA(
IF(
REGEXMATCH(
"" ""&amp;H909&amp;"" "",
"" ""&amp;Sentiment_Words!B$2:B3730&amp;"" ""
),
1,
0
)
)
)
)"),0.0)</f>
        <v>0</v>
      </c>
      <c r="L909" s="7" t="str">
        <f t="shared" si="3"/>
        <v>Other</v>
      </c>
      <c r="M909" s="7" t="str">
        <f t="shared" si="4"/>
        <v>Positive</v>
      </c>
      <c r="N909" s="7" t="str">
        <f>IFERROR(__xludf.DUMMYFUNCTION("LOWER(
TRIM(
REGEXREPLACE(B909,""[^a-zA-Z\s]"","""")
)
)
"),"susan")</f>
        <v>susan</v>
      </c>
      <c r="O909" s="7">
        <f t="shared" si="5"/>
        <v>5</v>
      </c>
      <c r="P909" s="8" t="str">
        <f t="shared" si="6"/>
        <v>Yes</v>
      </c>
    </row>
    <row r="910">
      <c r="A910" s="4" t="s">
        <v>16</v>
      </c>
      <c r="B910" s="4" t="s">
        <v>2598</v>
      </c>
      <c r="C910" s="9">
        <v>44931.0</v>
      </c>
      <c r="D910" s="10">
        <v>44944.0</v>
      </c>
      <c r="E910" s="4" t="s">
        <v>2599</v>
      </c>
      <c r="F910" s="4" t="s">
        <v>2600</v>
      </c>
      <c r="G910" s="6" t="str">
        <f>IFERROR(__xludf.DUMMYFUNCTION("REGEXREPLACE(LOWER(F910),""[^a-z\s]"","""")"),"the quality of the pet food the fact that you carry fromm cant get it many places and its a trusted brand by me and my family")</f>
        <v>the quality of the pet food the fact that you carry fromm cant get it many places and its a trusted brand by me and my family</v>
      </c>
      <c r="H910" s="4" t="str">
        <f t="shared" si="1"/>
        <v>quality of pet food fact that you carry fromm cant get it many places its a trusted brand by me my family</v>
      </c>
      <c r="I910" s="6">
        <f t="shared" si="2"/>
        <v>22</v>
      </c>
      <c r="J910" s="6">
        <f>IFERROR(__xludf.DUMMYFUNCTION("IF(H910="""","""",
SUM(
ARRAYFORMULA(
IF(
REGEXMATCH(
"" ""&amp;H910&amp;"" "",
"" ""&amp;Sentiment_Words!A$2:A3730&amp;"" ""
),
1,
0
)
)
)
)"),0.0)</f>
        <v>0</v>
      </c>
      <c r="K910" s="4">
        <f>IFERROR(__xludf.DUMMYFUNCTION("IF(H910="""","""",
SUM(
ARRAYFORMULA(
IF(
REGEXMATCH(
"" ""&amp;H910&amp;"" "",
"" ""&amp;Sentiment_Words!B$2:B3730&amp;"" ""
),
1,
0
)
)
)
)"),0.0)</f>
        <v>0</v>
      </c>
      <c r="L910" s="7" t="str">
        <f t="shared" si="3"/>
        <v>Trust &amp; Experience</v>
      </c>
      <c r="M910" s="7" t="str">
        <f t="shared" si="4"/>
        <v>Neutral</v>
      </c>
      <c r="N910" s="7" t="str">
        <f>IFERROR(__xludf.DUMMYFUNCTION("LOWER(
TRIM(
REGEXREPLACE(B910,""[^a-zA-Z\s]"","""")
)
)
"),"robert nelson")</f>
        <v>robert nelson</v>
      </c>
      <c r="O910" s="7">
        <f t="shared" si="5"/>
        <v>1</v>
      </c>
      <c r="P910" s="8" t="str">
        <f t="shared" si="6"/>
        <v>No</v>
      </c>
    </row>
    <row r="911">
      <c r="A911" s="4" t="s">
        <v>16</v>
      </c>
      <c r="B911" s="4" t="s">
        <v>2601</v>
      </c>
      <c r="C911" s="9">
        <v>44935.0</v>
      </c>
      <c r="D911" s="10">
        <v>44944.0</v>
      </c>
      <c r="E911" s="4" t="s">
        <v>2043</v>
      </c>
      <c r="F911" s="4" t="s">
        <v>2602</v>
      </c>
      <c r="G911" s="6" t="str">
        <f>IFERROR(__xludf.DUMMYFUNCTION("REGEXREPLACE(LOWER(F911),""[^a-z\s]"","""")"),"competitive prices shipped well with no damage")</f>
        <v>competitive prices shipped well with no damage</v>
      </c>
      <c r="H911" s="4" t="str">
        <f t="shared" si="1"/>
        <v>competitive prices shipped well with no damage</v>
      </c>
      <c r="I911" s="6">
        <f t="shared" si="2"/>
        <v>7</v>
      </c>
      <c r="J911" s="6">
        <f>IFERROR(__xludf.DUMMYFUNCTION("IF(H911="""","""",
SUM(
ARRAYFORMULA(
IF(
REGEXMATCH(
"" ""&amp;H911&amp;"" "",
"" ""&amp;Sentiment_Words!A$2:A3730&amp;"" ""
),
1,
0
)
)
)
)"),0.0)</f>
        <v>0</v>
      </c>
      <c r="K911" s="4">
        <f>IFERROR(__xludf.DUMMYFUNCTION("IF(H911="""","""",
SUM(
ARRAYFORMULA(
IF(
REGEXMATCH(
"" ""&amp;H911&amp;"" "",
"" ""&amp;Sentiment_Words!B$2:B3730&amp;"" ""
),
1,
0
)
)
)
)"),0.0)</f>
        <v>0</v>
      </c>
      <c r="L911" s="7" t="str">
        <f t="shared" si="3"/>
        <v>Other</v>
      </c>
      <c r="M911" s="7" t="str">
        <f t="shared" si="4"/>
        <v>Neutral</v>
      </c>
      <c r="N911" s="7" t="str">
        <f>IFERROR(__xludf.DUMMYFUNCTION("LOWER(
TRIM(
REGEXREPLACE(B911,""[^a-zA-Z\s]"","""")
)
)
"),"tina")</f>
        <v>tina</v>
      </c>
      <c r="O911" s="7">
        <f t="shared" si="5"/>
        <v>1</v>
      </c>
      <c r="P911" s="8" t="str">
        <f t="shared" si="6"/>
        <v>No</v>
      </c>
    </row>
    <row r="912">
      <c r="A912" s="4" t="s">
        <v>16</v>
      </c>
      <c r="B912" s="4" t="s">
        <v>2603</v>
      </c>
      <c r="C912" s="5">
        <v>44936.0</v>
      </c>
      <c r="D912" s="10">
        <v>44944.0</v>
      </c>
      <c r="E912" s="4" t="s">
        <v>2604</v>
      </c>
      <c r="F912" s="4" t="s">
        <v>2605</v>
      </c>
      <c r="G912" s="6" t="str">
        <f>IFERROR(__xludf.DUMMYFUNCTION("REGEXREPLACE(LOWER(F912),""[^a-z\s]"","""")"),"petflow is the only online source that seems to be able to maintain stock of the particular taste of the wild canned variety that we prefer to feed to our guys shipping is free above  or so and since we get multiple cases no problem shipping is fedex so o"&amp;"rder is traceable too we have ordered multiple times from petflow and have found this company to be very reliable")</f>
        <v>petflow is the only online source that seems to be able to maintain stock of the particular taste of the wild canned variety that we prefer to feed to our guys shipping is free above  or so and since we get multiple cases no problem shipping is fedex so order is traceable too we have ordered multiple times from petflow and have found this company to be very reliable</v>
      </c>
      <c r="H912" s="4" t="str">
        <f t="shared" si="1"/>
        <v>petflow only online source that seems be able maintain stock of particular taste of wild canned variety that we prefer feed our guys shipping free above or so since we get multiple cases no problem shipping fedex so order traceable too we have ordered multiple times from petflow have found this company be very reliable</v>
      </c>
      <c r="I912" s="6">
        <f t="shared" si="2"/>
        <v>55</v>
      </c>
      <c r="J912" s="6">
        <f>IFERROR(__xludf.DUMMYFUNCTION("IF(H912="""","""",
SUM(
ARRAYFORMULA(
IF(
REGEXMATCH(
"" ""&amp;H912&amp;"" "",
"" ""&amp;Sentiment_Words!A$2:A3730&amp;"" ""
),
1,
0
)
)
)
)"),4.0)</f>
        <v>4</v>
      </c>
      <c r="K912" s="4">
        <f>IFERROR(__xludf.DUMMYFUNCTION("IF(H912="""","""",
SUM(
ARRAYFORMULA(
IF(
REGEXMATCH(
"" ""&amp;H912&amp;"" "",
"" ""&amp;Sentiment_Words!B$2:B3730&amp;"" ""
),
1,
0
)
)
)
)"),1.0)</f>
        <v>1</v>
      </c>
      <c r="L912" s="7" t="str">
        <f t="shared" si="3"/>
        <v>Other</v>
      </c>
      <c r="M912" s="7" t="str">
        <f t="shared" si="4"/>
        <v>Positive</v>
      </c>
      <c r="N912" s="7" t="str">
        <f>IFERROR(__xludf.DUMMYFUNCTION("LOWER(
TRIM(
REGEXREPLACE(B912,""[^a-zA-Z\s]"","""")
)
)
"),"kim phillips")</f>
        <v>kim phillips</v>
      </c>
      <c r="O912" s="7">
        <f t="shared" si="5"/>
        <v>1</v>
      </c>
      <c r="P912" s="8" t="str">
        <f t="shared" si="6"/>
        <v>No</v>
      </c>
    </row>
    <row r="913">
      <c r="A913" s="4" t="s">
        <v>16</v>
      </c>
      <c r="B913" s="4" t="s">
        <v>2606</v>
      </c>
      <c r="C913" s="5">
        <v>44939.0</v>
      </c>
      <c r="D913" s="10">
        <v>44944.0</v>
      </c>
      <c r="E913" s="4" t="s">
        <v>2607</v>
      </c>
      <c r="F913" s="4" t="s">
        <v>2608</v>
      </c>
      <c r="G913" s="6" t="str">
        <f>IFERROR(__xludf.DUMMYFUNCTION("REGEXREPLACE(LOWER(F913),""[^a-z\s]"","""")"),"where to begin first inventory on their site isnt real in my case the veterinary dog food i ordered was to be shipped from the manufacturer who was out of stock second rather than them inform me i called for order status three times the first two i was to"&amp;"ld the orders processing third call and a week later they came clean obviously i told them to cancel the order they said they couldnt because its processing four days later i got a boiler plate out of stock email never again for me")</f>
        <v>where to begin first inventory on their site isnt real in my case the veterinary dog food i ordered was to be shipped from the manufacturer who was out of stock second rather than them inform me i called for order status three times the first two i was told the orders processing third call and a week later they came clean obviously i told them to cancel the order they said they couldnt because its processing four days later i got a boiler plate out of stock email never again for me</v>
      </c>
      <c r="H913" s="4" t="str">
        <f t="shared" si="1"/>
        <v>where begin first inventory on their site isnt real in my case veterinary dog food i ordered was be shipped from manufacturer who was out of stock second rather than them inform me i called order status three times first two i was told orders processing third call a week later they came clean obviously i told them cancel order they said they couldnt because its processing four days later i got a boiler plate out of stock email never again me</v>
      </c>
      <c r="I913" s="6">
        <f t="shared" si="2"/>
        <v>82</v>
      </c>
      <c r="J913" s="6">
        <f>IFERROR(__xludf.DUMMYFUNCTION("IF(H913="""","""",
SUM(
ARRAYFORMULA(
IF(
REGEXMATCH(
"" ""&amp;H913&amp;"" "",
"" ""&amp;Sentiment_Words!A$2:A3730&amp;"" ""
),
1,
0
)
)
)
)"),1.0)</f>
        <v>1</v>
      </c>
      <c r="K913" s="4">
        <f>IFERROR(__xludf.DUMMYFUNCTION("IF(H913="""","""",
SUM(
ARRAYFORMULA(
IF(
REGEXMATCH(
"" ""&amp;H913&amp;"" "",
"" ""&amp;Sentiment_Words!B$2:B3730&amp;"" ""
),
1,
0
)
)
)
)"),1.0)</f>
        <v>1</v>
      </c>
      <c r="L913" s="7" t="str">
        <f t="shared" si="3"/>
        <v>Fulfillment &amp; Shipping</v>
      </c>
      <c r="M913" s="7" t="str">
        <f t="shared" si="4"/>
        <v>Neutral</v>
      </c>
      <c r="N913" s="7" t="str">
        <f>IFERROR(__xludf.DUMMYFUNCTION("LOWER(
TRIM(
REGEXREPLACE(B913,""[^a-zA-Z\s]"","""")
)
)
"),"ellenp")</f>
        <v>ellenp</v>
      </c>
      <c r="O913" s="7">
        <f t="shared" si="5"/>
        <v>1</v>
      </c>
      <c r="P913" s="8" t="str">
        <f t="shared" si="6"/>
        <v>No</v>
      </c>
    </row>
    <row r="914">
      <c r="A914" s="4" t="s">
        <v>16</v>
      </c>
      <c r="B914" s="4" t="s">
        <v>2609</v>
      </c>
      <c r="C914" s="5">
        <v>44942.0</v>
      </c>
      <c r="D914" s="10">
        <v>44944.0</v>
      </c>
      <c r="E914" s="4" t="s">
        <v>2610</v>
      </c>
      <c r="F914" s="4" t="s">
        <v>2611</v>
      </c>
      <c r="G914" s="6" t="str">
        <f>IFERROR(__xludf.DUMMYFUNCTION("REGEXREPLACE(LOWER(F914),""[^a-z\s]"","""")"),"i didnt make an order someone hacked my account and tried to set up an auto ship order to an address that is not mine")</f>
        <v>i didnt make an order someone hacked my account and tried to set up an auto ship order to an address that is not mine</v>
      </c>
      <c r="H914" s="4" t="str">
        <f t="shared" si="1"/>
        <v>i didnt make an order someone hacked my account tried set up an auto ship order an address that not mine</v>
      </c>
      <c r="I914" s="6">
        <f t="shared" si="2"/>
        <v>21</v>
      </c>
      <c r="J914" s="6">
        <f>IFERROR(__xludf.DUMMYFUNCTION("IF(H914="""","""",
SUM(
ARRAYFORMULA(
IF(
REGEXMATCH(
"" ""&amp;H914&amp;"" "",
"" ""&amp;Sentiment_Words!A$2:A3730&amp;"" ""
),
1,
0
)
)
)
)"),1.0)</f>
        <v>1</v>
      </c>
      <c r="K914" s="4">
        <f>IFERROR(__xludf.DUMMYFUNCTION("IF(H914="""","""",
SUM(
ARRAYFORMULA(
IF(
REGEXMATCH(
"" ""&amp;H914&amp;"" "",
"" ""&amp;Sentiment_Words!B$2:B3730&amp;"" ""
),
1,
0
)
)
)
)"),0.0)</f>
        <v>0</v>
      </c>
      <c r="L914" s="7" t="str">
        <f t="shared" si="3"/>
        <v>Account &amp; Website</v>
      </c>
      <c r="M914" s="7" t="str">
        <f t="shared" si="4"/>
        <v>Positive</v>
      </c>
      <c r="N914" s="7" t="str">
        <f>IFERROR(__xludf.DUMMYFUNCTION("LOWER(
TRIM(
REGEXREPLACE(B914,""[^a-zA-Z\s]"","""")
)
)
"),"chuck")</f>
        <v>chuck</v>
      </c>
      <c r="O914" s="7">
        <f t="shared" si="5"/>
        <v>1</v>
      </c>
      <c r="P914" s="8" t="str">
        <f t="shared" si="6"/>
        <v>No</v>
      </c>
    </row>
    <row r="915">
      <c r="A915" s="4" t="s">
        <v>16</v>
      </c>
      <c r="B915" s="4" t="s">
        <v>2612</v>
      </c>
      <c r="C915" s="5">
        <v>44943.0</v>
      </c>
      <c r="D915" s="10">
        <v>44944.0</v>
      </c>
      <c r="E915" s="4" t="s">
        <v>2613</v>
      </c>
      <c r="F915" s="4" t="s">
        <v>2614</v>
      </c>
      <c r="G915" s="6" t="str">
        <f>IFERROR(__xludf.DUMMYFUNCTION("REGEXREPLACE(LOWER(F915),""[^a-z\s]"","""")"),"this was my first order from petflow i found out my dog has some pretty extensive allergies and with each passing day i had no choice but to feed him the stuff he was allergic to until my new food arrived from petflow i regret switching from my usual prov"&amp;"ider i was giving petflow a chance but my food didnt even leave their warehouse for a week and it took a few days beyond that for my order to arrive i appreciated being able to text customer service which i did regularly but got a whole bunch of let me ch"&amp;"eck on that i ended up going out and buying the food from a local provider so my dog wouldnt suffer the petflow order showed up many days later with no apology or remedy from the company im not impressed")</f>
        <v>this was my first order from petflow i found out my dog has some pretty extensive allergies and with each passing day i had no choice but to feed him the stuff he was allergic to until my new food arrived from petflow i regret switching from my usual provider i was giving petflow a chance but my food didnt even leave their warehouse for a week and it took a few days beyond that for my order to arrive i appreciated being able to text customer service which i did regularly but got a whole bunch of let me check on that i ended up going out and buying the food from a local provider so my dog wouldnt suffer the petflow order showed up many days later with no apology or remedy from the company im not impressed</v>
      </c>
      <c r="H915" s="4" t="str">
        <f t="shared" si="1"/>
        <v>this was my first order from petflow i found out my dog has some pretty extensive allergies with each passing day i had no choice but feed him stuff he was allergic until my new food arrived from petflow i regret switching from my usual provider i was giving petflow a chance but my food didnt even leave their warehouse a week it took a few days beyond that my order arrive i appreciated being able text customer service which i did regularly but got a whole bunch of let me check on that i ended up going out buying food from a local provider so my dog wouldnt suffer petflow order showed up many days later with no apology or remedy from company im not impressed</v>
      </c>
      <c r="I915" s="6">
        <f t="shared" si="2"/>
        <v>127</v>
      </c>
      <c r="J915" s="6">
        <f>IFERROR(__xludf.DUMMYFUNCTION("IF(H915="""","""",
SUM(
ARRAYFORMULA(
IF(
REGEXMATCH(
"" ""&amp;H915&amp;"" "",
"" ""&amp;Sentiment_Words!A$2:A3730&amp;"" ""
),
1,
0
)
)
)
)"),5.0)</f>
        <v>5</v>
      </c>
      <c r="K915" s="4">
        <f>IFERROR(__xludf.DUMMYFUNCTION("IF(H915="""","""",
SUM(
ARRAYFORMULA(
IF(
REGEXMATCH(
"" ""&amp;H915&amp;"" "",
"" ""&amp;Sentiment_Words!B$2:B3730&amp;"" ""
),
1,
0
)
)
)
)"),1.0)</f>
        <v>1</v>
      </c>
      <c r="L915" s="7" t="str">
        <f t="shared" si="3"/>
        <v>Customer Support</v>
      </c>
      <c r="M915" s="7" t="str">
        <f t="shared" si="4"/>
        <v>Positive</v>
      </c>
      <c r="N915" s="7" t="str">
        <f>IFERROR(__xludf.DUMMYFUNCTION("LOWER(
TRIM(
REGEXREPLACE(B915,""[^a-zA-Z\s]"","""")
)
)
"),"barry h")</f>
        <v>barry h</v>
      </c>
      <c r="O915" s="7">
        <f t="shared" si="5"/>
        <v>1</v>
      </c>
      <c r="P915" s="8" t="str">
        <f t="shared" si="6"/>
        <v>No</v>
      </c>
    </row>
    <row r="916">
      <c r="A916" s="4" t="s">
        <v>16</v>
      </c>
      <c r="B916" s="4" t="s">
        <v>2615</v>
      </c>
      <c r="C916" s="9">
        <v>44931.0</v>
      </c>
      <c r="D916" s="10">
        <v>44944.0</v>
      </c>
      <c r="E916" s="4" t="s">
        <v>2616</v>
      </c>
      <c r="F916" s="4" t="s">
        <v>2617</v>
      </c>
      <c r="G916" s="6" t="str">
        <f>IFERROR(__xludf.DUMMYFUNCTION("REGEXREPLACE(LOWER(F916),""[^a-z\s]"","""")"),"i was told when i ordered  days for arrival it took  days i have a kennel of puppies and needed the food
will never order again from you it has happened several times")</f>
        <v>i was told when i ordered  days for arrival it took  days i have a kennel of puppies and needed the food
will never order again from you it has happened several times</v>
      </c>
      <c r="H916" s="4" t="str">
        <f t="shared" si="1"/>
        <v>i was told when i ordered days arrival it took days i have a kennel of puppies needed food
will never order again from you it has happened several times</v>
      </c>
      <c r="I916" s="6">
        <f t="shared" si="2"/>
        <v>29</v>
      </c>
      <c r="J916" s="6">
        <f>IFERROR(__xludf.DUMMYFUNCTION("IF(H916="""","""",
SUM(
ARRAYFORMULA(
IF(
REGEXMATCH(
"" ""&amp;H916&amp;"" "",
"" ""&amp;Sentiment_Words!A$2:A3730&amp;"" ""
),
1,
0
)
)
)
)"),0.0)</f>
        <v>0</v>
      </c>
      <c r="K916" s="4">
        <f>IFERROR(__xludf.DUMMYFUNCTION("IF(H916="""","""",
SUM(
ARRAYFORMULA(
IF(
REGEXMATCH(
"" ""&amp;H916&amp;"" "",
"" ""&amp;Sentiment_Words!B$2:B3730&amp;"" ""
),
1,
0
)
)
)
)"),0.0)</f>
        <v>0</v>
      </c>
      <c r="L916" s="7" t="str">
        <f t="shared" si="3"/>
        <v>Other</v>
      </c>
      <c r="M916" s="7" t="str">
        <f t="shared" si="4"/>
        <v>Neutral</v>
      </c>
      <c r="N916" s="7" t="str">
        <f>IFERROR(__xludf.DUMMYFUNCTION("LOWER(
TRIM(
REGEXREPLACE(B916,""[^a-zA-Z\s]"","""")
)
)
"),"tyson steigers")</f>
        <v>tyson steigers</v>
      </c>
      <c r="O916" s="7">
        <f t="shared" si="5"/>
        <v>1</v>
      </c>
      <c r="P916" s="8" t="str">
        <f t="shared" si="6"/>
        <v>No</v>
      </c>
    </row>
    <row r="917">
      <c r="A917" s="4" t="s">
        <v>16</v>
      </c>
      <c r="B917" s="4" t="s">
        <v>2618</v>
      </c>
      <c r="C917" s="5">
        <v>44937.0</v>
      </c>
      <c r="D917" s="10">
        <v>44943.0</v>
      </c>
      <c r="E917" s="4" t="s">
        <v>2619</v>
      </c>
      <c r="F917" s="4" t="s">
        <v>2620</v>
      </c>
      <c r="G917" s="6" t="str">
        <f>IFERROR(__xludf.DUMMYFUNCTION("REGEXREPLACE(LOWER(F917),""[^a-z\s]"","""")"),"everything went smooth i had to ask for help using the sight and received it well")</f>
        <v>everything went smooth i had to ask for help using the sight and received it well</v>
      </c>
      <c r="H917" s="4" t="str">
        <f t="shared" si="1"/>
        <v>everything went smooth i had ask help using sight received it well</v>
      </c>
      <c r="I917" s="6">
        <f t="shared" si="2"/>
        <v>12</v>
      </c>
      <c r="J917" s="6">
        <f>IFERROR(__xludf.DUMMYFUNCTION("IF(H917="""","""",
SUM(
ARRAYFORMULA(
IF(
REGEXMATCH(
"" ""&amp;H917&amp;"" "",
"" ""&amp;Sentiment_Words!A$2:A3730&amp;"" ""
),
1,
0
)
)
)
)"),0.0)</f>
        <v>0</v>
      </c>
      <c r="K917" s="4">
        <f>IFERROR(__xludf.DUMMYFUNCTION("IF(H917="""","""",
SUM(
ARRAYFORMULA(
IF(
REGEXMATCH(
"" ""&amp;H917&amp;"" "",
"" ""&amp;Sentiment_Words!B$2:B3730&amp;"" ""
),
1,
0
)
)
)
)"),0.0)</f>
        <v>0</v>
      </c>
      <c r="L917" s="7" t="str">
        <f t="shared" si="3"/>
        <v>Other</v>
      </c>
      <c r="M917" s="7" t="str">
        <f t="shared" si="4"/>
        <v>Neutral</v>
      </c>
      <c r="N917" s="7" t="str">
        <f>IFERROR(__xludf.DUMMYFUNCTION("LOWER(
TRIM(
REGEXREPLACE(B917,""[^a-zA-Z\s]"","""")
)
)
"),"christina l")</f>
        <v>christina l</v>
      </c>
      <c r="O917" s="7">
        <f t="shared" si="5"/>
        <v>1</v>
      </c>
      <c r="P917" s="8" t="str">
        <f t="shared" si="6"/>
        <v>No</v>
      </c>
    </row>
    <row r="918">
      <c r="A918" s="4" t="s">
        <v>16</v>
      </c>
      <c r="B918" s="4" t="s">
        <v>56</v>
      </c>
      <c r="C918" s="5">
        <v>44938.0</v>
      </c>
      <c r="D918" s="10">
        <v>44943.0</v>
      </c>
      <c r="E918" s="4" t="s">
        <v>2621</v>
      </c>
      <c r="F918" s="4" t="s">
        <v>2622</v>
      </c>
      <c r="G918" s="6" t="str">
        <f>IFERROR(__xludf.DUMMYFUNCTION("REGEXREPLACE(LOWER(F918),""[^a-z\s]"","""")"),"the petflow website is easy to navigate and their autoship is easy too i appreciate getting the notices that it will be shipping and that i need to make changes if any by a certain date i also get emails keeping me up to date on my orders")</f>
        <v>the petflow website is easy to navigate and their autoship is easy too i appreciate getting the notices that it will be shipping and that i need to make changes if any by a certain date i also get emails keeping me up to date on my orders</v>
      </c>
      <c r="H918" s="4" t="str">
        <f t="shared" si="1"/>
        <v>petflow website easy navigate their autoship easy too i appreciate getting notices that it will be shipping that i need make changes if any by a certain date i also get emails keeping me up date on my orders</v>
      </c>
      <c r="I918" s="6">
        <f t="shared" si="2"/>
        <v>39</v>
      </c>
      <c r="J918" s="6">
        <f>IFERROR(__xludf.DUMMYFUNCTION("IF(H918="""","""",
SUM(
ARRAYFORMULA(
IF(
REGEXMATCH(
"" ""&amp;H918&amp;"" "",
"" ""&amp;Sentiment_Words!A$2:A3730&amp;"" ""
),
1,
0
)
)
)
)"),1.0)</f>
        <v>1</v>
      </c>
      <c r="K918" s="4">
        <f>IFERROR(__xludf.DUMMYFUNCTION("IF(H918="""","""",
SUM(
ARRAYFORMULA(
IF(
REGEXMATCH(
"" ""&amp;H918&amp;"" "",
"" ""&amp;Sentiment_Words!B$2:B3730&amp;"" ""
),
1,
0
)
)
)
)"),0.0)</f>
        <v>0</v>
      </c>
      <c r="L918" s="7" t="str">
        <f t="shared" si="3"/>
        <v>Account &amp; Website</v>
      </c>
      <c r="M918" s="7" t="str">
        <f t="shared" si="4"/>
        <v>Positive</v>
      </c>
      <c r="N918" s="7" t="str">
        <f>IFERROR(__xludf.DUMMYFUNCTION("LOWER(
TRIM(
REGEXREPLACE(B918,""[^a-zA-Z\s]"","""")
)
)
"),"customer")</f>
        <v>customer</v>
      </c>
      <c r="O918" s="7">
        <f t="shared" si="5"/>
        <v>54</v>
      </c>
      <c r="P918" s="8" t="str">
        <f t="shared" si="6"/>
        <v>Yes</v>
      </c>
    </row>
    <row r="919">
      <c r="A919" s="4" t="s">
        <v>16</v>
      </c>
      <c r="B919" s="4" t="s">
        <v>2623</v>
      </c>
      <c r="C919" s="5">
        <v>44915.0</v>
      </c>
      <c r="D919" s="10">
        <v>44942.0</v>
      </c>
      <c r="E919" s="4" t="s">
        <v>2624</v>
      </c>
      <c r="F919" s="4" t="s">
        <v>2625</v>
      </c>
      <c r="G919" s="6" t="str">
        <f>IFERROR(__xludf.DUMMYFUNCTION("REGEXREPLACE(LOWER(F919),""[^a-z\s]"","""")"),"didnt help at all basically said i can not order the item and move on")</f>
        <v>didnt help at all basically said i can not order the item and move on</v>
      </c>
      <c r="H919" s="4" t="str">
        <f t="shared" si="1"/>
        <v>didnt help at all basically said i can not order item move on</v>
      </c>
      <c r="I919" s="6">
        <f t="shared" si="2"/>
        <v>13</v>
      </c>
      <c r="J919" s="6">
        <f>IFERROR(__xludf.DUMMYFUNCTION("IF(H919="""","""",
SUM(
ARRAYFORMULA(
IF(
REGEXMATCH(
"" ""&amp;H919&amp;"" "",
"" ""&amp;Sentiment_Words!A$2:A3730&amp;"" ""
),
1,
0
)
)
)
)"),0.0)</f>
        <v>0</v>
      </c>
      <c r="K919" s="4">
        <f>IFERROR(__xludf.DUMMYFUNCTION("IF(H919="""","""",
SUM(
ARRAYFORMULA(
IF(
REGEXMATCH(
"" ""&amp;H919&amp;"" "",
"" ""&amp;Sentiment_Words!B$2:B3730&amp;"" ""
),
1,
0
)
)
)
)"),0.0)</f>
        <v>0</v>
      </c>
      <c r="L919" s="7" t="str">
        <f t="shared" si="3"/>
        <v>Other</v>
      </c>
      <c r="M919" s="7" t="str">
        <f t="shared" si="4"/>
        <v>Neutral</v>
      </c>
      <c r="N919" s="7" t="str">
        <f>IFERROR(__xludf.DUMMYFUNCTION("LOWER(
TRIM(
REGEXREPLACE(B919,""[^a-zA-Z\s]"","""")
)
)
"),"munroe chapin")</f>
        <v>munroe chapin</v>
      </c>
      <c r="O919" s="7">
        <f t="shared" si="5"/>
        <v>1</v>
      </c>
      <c r="P919" s="8" t="str">
        <f t="shared" si="6"/>
        <v>No</v>
      </c>
    </row>
    <row r="920">
      <c r="A920" s="4" t="s">
        <v>16</v>
      </c>
      <c r="B920" s="4" t="s">
        <v>2626</v>
      </c>
      <c r="C920" s="9">
        <v>44931.0</v>
      </c>
      <c r="D920" s="10">
        <v>44942.0</v>
      </c>
      <c r="E920" s="4" t="s">
        <v>2627</v>
      </c>
      <c r="F920" s="4" t="s">
        <v>331</v>
      </c>
      <c r="G920" s="6" t="str">
        <f>IFERROR(__xludf.DUMMYFUNCTION("REGEXREPLACE(LOWER(F920),""[^a-z\s]"","""")"),"none")</f>
        <v>none</v>
      </c>
      <c r="H920" s="4" t="str">
        <f t="shared" si="1"/>
        <v>none</v>
      </c>
      <c r="I920" s="6">
        <f t="shared" si="2"/>
        <v>1</v>
      </c>
      <c r="J920" s="6">
        <f>IFERROR(__xludf.DUMMYFUNCTION("IF(H920="""","""",
SUM(
ARRAYFORMULA(
IF(
REGEXMATCH(
"" ""&amp;H920&amp;"" "",
"" ""&amp;Sentiment_Words!A$2:A3730&amp;"" ""
),
1,
0
)
)
)
)"),0.0)</f>
        <v>0</v>
      </c>
      <c r="K920" s="4">
        <f>IFERROR(__xludf.DUMMYFUNCTION("IF(H920="""","""",
SUM(
ARRAYFORMULA(
IF(
REGEXMATCH(
"" ""&amp;H920&amp;"" "",
"" ""&amp;Sentiment_Words!B$2:B3730&amp;"" ""
),
1,
0
)
)
)
)"),0.0)</f>
        <v>0</v>
      </c>
      <c r="L920" s="7" t="str">
        <f t="shared" si="3"/>
        <v>Other</v>
      </c>
      <c r="M920" s="7" t="str">
        <f t="shared" si="4"/>
        <v>Neutral</v>
      </c>
      <c r="N920" s="7" t="str">
        <f>IFERROR(__xludf.DUMMYFUNCTION("LOWER(
TRIM(
REGEXREPLACE(B920,""[^a-zA-Z\s]"","""")
)
)
"),"rebecca smith")</f>
        <v>rebecca smith</v>
      </c>
      <c r="O920" s="7">
        <f t="shared" si="5"/>
        <v>1</v>
      </c>
      <c r="P920" s="8" t="str">
        <f t="shared" si="6"/>
        <v>No</v>
      </c>
    </row>
    <row r="921">
      <c r="A921" s="4" t="s">
        <v>16</v>
      </c>
      <c r="B921" s="4" t="s">
        <v>2628</v>
      </c>
      <c r="C921" s="9">
        <v>44930.0</v>
      </c>
      <c r="D921" s="10">
        <v>44942.0</v>
      </c>
      <c r="E921" s="4" t="s">
        <v>2629</v>
      </c>
      <c r="F921" s="4" t="s">
        <v>331</v>
      </c>
      <c r="G921" s="6" t="str">
        <f>IFERROR(__xludf.DUMMYFUNCTION("REGEXREPLACE(LOWER(F921),""[^a-z\s]"","""")"),"none")</f>
        <v>none</v>
      </c>
      <c r="H921" s="4" t="str">
        <f t="shared" si="1"/>
        <v>none</v>
      </c>
      <c r="I921" s="6">
        <f t="shared" si="2"/>
        <v>1</v>
      </c>
      <c r="J921" s="6">
        <f>IFERROR(__xludf.DUMMYFUNCTION("IF(H921="""","""",
SUM(
ARRAYFORMULA(
IF(
REGEXMATCH(
"" ""&amp;H921&amp;"" "",
"" ""&amp;Sentiment_Words!A$2:A3730&amp;"" ""
),
1,
0
)
)
)
)"),0.0)</f>
        <v>0</v>
      </c>
      <c r="K921" s="4">
        <f>IFERROR(__xludf.DUMMYFUNCTION("IF(H921="""","""",
SUM(
ARRAYFORMULA(
IF(
REGEXMATCH(
"" ""&amp;H921&amp;"" "",
"" ""&amp;Sentiment_Words!B$2:B3730&amp;"" ""
),
1,
0
)
)
)
)"),0.0)</f>
        <v>0</v>
      </c>
      <c r="L921" s="7" t="str">
        <f t="shared" si="3"/>
        <v>Other</v>
      </c>
      <c r="M921" s="7" t="str">
        <f t="shared" si="4"/>
        <v>Neutral</v>
      </c>
      <c r="N921" s="7" t="str">
        <f>IFERROR(__xludf.DUMMYFUNCTION("LOWER(
TRIM(
REGEXREPLACE(B921,""[^a-zA-Z\s]"","""")
)
)
"),"carolyn w shaffer")</f>
        <v>carolyn w shaffer</v>
      </c>
      <c r="O921" s="7">
        <f t="shared" si="5"/>
        <v>1</v>
      </c>
      <c r="P921" s="8" t="str">
        <f t="shared" si="6"/>
        <v>No</v>
      </c>
    </row>
    <row r="922">
      <c r="A922" s="4" t="s">
        <v>16</v>
      </c>
      <c r="B922" s="4" t="s">
        <v>2630</v>
      </c>
      <c r="C922" s="5">
        <v>44880.0</v>
      </c>
      <c r="D922" s="10">
        <v>44942.0</v>
      </c>
      <c r="E922" s="4" t="s">
        <v>2631</v>
      </c>
      <c r="F922" s="4" t="s">
        <v>2632</v>
      </c>
      <c r="G922" s="6" t="str">
        <f>IFERROR(__xludf.DUMMYFUNCTION("REGEXREPLACE(LOWER(F922),""[^a-z\s]"","""")"),"reasonable prices very good communication and notification system the only con is that some products are not always available and back ordered")</f>
        <v>reasonable prices very good communication and notification system the only con is that some products are not always available and back ordered</v>
      </c>
      <c r="H922" s="4" t="str">
        <f t="shared" si="1"/>
        <v>reasonable prices very good communication notification system only con that some products are not always available back ordered</v>
      </c>
      <c r="I922" s="6">
        <f t="shared" si="2"/>
        <v>18</v>
      </c>
      <c r="J922" s="6">
        <f>IFERROR(__xludf.DUMMYFUNCTION("IF(H922="""","""",
SUM(
ARRAYFORMULA(
IF(
REGEXMATCH(
"" ""&amp;H922&amp;"" "",
"" ""&amp;Sentiment_Words!A$2:A3730&amp;"" ""
),
1,
0
)
)
)
)"),2.0)</f>
        <v>2</v>
      </c>
      <c r="K922" s="4">
        <f>IFERROR(__xludf.DUMMYFUNCTION("IF(H922="""","""",
SUM(
ARRAYFORMULA(
IF(
REGEXMATCH(
"" ""&amp;H922&amp;"" "",
"" ""&amp;Sentiment_Words!B$2:B3730&amp;"" ""
),
1,
0
)
)
)
)"),0.0)</f>
        <v>0</v>
      </c>
      <c r="L922" s="7" t="str">
        <f t="shared" si="3"/>
        <v>Other</v>
      </c>
      <c r="M922" s="7" t="str">
        <f t="shared" si="4"/>
        <v>Positive</v>
      </c>
      <c r="N922" s="7" t="str">
        <f>IFERROR(__xludf.DUMMYFUNCTION("LOWER(
TRIM(
REGEXREPLACE(B922,""[^a-zA-Z\s]"","""")
)
)
"),"roix")</f>
        <v>roix</v>
      </c>
      <c r="O922" s="7">
        <f t="shared" si="5"/>
        <v>1</v>
      </c>
      <c r="P922" s="8" t="str">
        <f t="shared" si="6"/>
        <v>No</v>
      </c>
    </row>
    <row r="923">
      <c r="A923" s="4" t="s">
        <v>16</v>
      </c>
      <c r="B923" s="4" t="s">
        <v>2633</v>
      </c>
      <c r="C923" s="5">
        <v>44941.0</v>
      </c>
      <c r="D923" s="10">
        <v>44942.0</v>
      </c>
      <c r="E923" s="4" t="s">
        <v>2634</v>
      </c>
      <c r="F923" s="4" t="s">
        <v>2635</v>
      </c>
      <c r="G923" s="6" t="str">
        <f>IFERROR(__xludf.DUMMYFUNCTION("REGEXREPLACE(LOWER(F923),""[^a-z\s]"","""")"),"petflow is great because they sell the dry food i feed my cat and it isnt around anywhere else i also want to say thank you for receiving my order  days after i ordered it often it can take up to a week")</f>
        <v>petflow is great because they sell the dry food i feed my cat and it isnt around anywhere else i also want to say thank you for receiving my order  days after i ordered it often it can take up to a week</v>
      </c>
      <c r="H923" s="4" t="str">
        <f t="shared" si="1"/>
        <v>petflow great because they sell dry food i feed my cat it isnt around anywhere else i also want say thank you receiving my order days after i ordered it often it can take up a week</v>
      </c>
      <c r="I923" s="6">
        <f t="shared" si="2"/>
        <v>37</v>
      </c>
      <c r="J923" s="6">
        <f>IFERROR(__xludf.DUMMYFUNCTION("IF(H923="""","""",
SUM(
ARRAYFORMULA(
IF(
REGEXMATCH(
"" ""&amp;H923&amp;"" "",
"" ""&amp;Sentiment_Words!A$2:A3730&amp;"" ""
),
1,
0
)
)
)
)"),1.0)</f>
        <v>1</v>
      </c>
      <c r="K923" s="4">
        <f>IFERROR(__xludf.DUMMYFUNCTION("IF(H923="""","""",
SUM(
ARRAYFORMULA(
IF(
REGEXMATCH(
"" ""&amp;H923&amp;"" "",
"" ""&amp;Sentiment_Words!B$2:B3730&amp;"" ""
),
1,
0
)
)
)
)"),0.0)</f>
        <v>0</v>
      </c>
      <c r="L923" s="7" t="str">
        <f t="shared" si="3"/>
        <v>Other</v>
      </c>
      <c r="M923" s="7" t="str">
        <f t="shared" si="4"/>
        <v>Positive</v>
      </c>
      <c r="N923" s="7" t="str">
        <f>IFERROR(__xludf.DUMMYFUNCTION("LOWER(
TRIM(
REGEXREPLACE(B923,""[^a-zA-Z\s]"","""")
)
)
"),"jeanette g")</f>
        <v>jeanette g</v>
      </c>
      <c r="O923" s="7">
        <f t="shared" si="5"/>
        <v>1</v>
      </c>
      <c r="P923" s="8" t="str">
        <f t="shared" si="6"/>
        <v>No</v>
      </c>
    </row>
    <row r="924">
      <c r="A924" s="4" t="s">
        <v>16</v>
      </c>
      <c r="B924" s="4" t="s">
        <v>2636</v>
      </c>
      <c r="C924" s="5">
        <v>44888.0</v>
      </c>
      <c r="D924" s="10">
        <v>44941.0</v>
      </c>
      <c r="E924" s="4" t="s">
        <v>2637</v>
      </c>
      <c r="F924" s="4" t="s">
        <v>2638</v>
      </c>
      <c r="G924" s="6" t="str">
        <f>IFERROR(__xludf.DUMMYFUNCTION("REGEXREPLACE(LOWER(F924),""[^a-z\s]"","""")"),"great company great service and great products")</f>
        <v>great company great service and great products</v>
      </c>
      <c r="H924" s="4" t="str">
        <f t="shared" si="1"/>
        <v>great company great service great products</v>
      </c>
      <c r="I924" s="6">
        <f t="shared" si="2"/>
        <v>6</v>
      </c>
      <c r="J924" s="6">
        <f>IFERROR(__xludf.DUMMYFUNCTION("IF(H924="""","""",
SUM(
ARRAYFORMULA(
IF(
REGEXMATCH(
"" ""&amp;H924&amp;"" "",
"" ""&amp;Sentiment_Words!A$2:A3730&amp;"" ""
),
1,
0
)
)
)
)"),1.0)</f>
        <v>1</v>
      </c>
      <c r="K924" s="4">
        <f>IFERROR(__xludf.DUMMYFUNCTION("IF(H924="""","""",
SUM(
ARRAYFORMULA(
IF(
REGEXMATCH(
"" ""&amp;H924&amp;"" "",
"" ""&amp;Sentiment_Words!B$2:B3730&amp;"" ""
),
1,
0
)
)
)
)"),0.0)</f>
        <v>0</v>
      </c>
      <c r="L924" s="7" t="str">
        <f t="shared" si="3"/>
        <v>Customer Support</v>
      </c>
      <c r="M924" s="7" t="str">
        <f t="shared" si="4"/>
        <v>Positive</v>
      </c>
      <c r="N924" s="7" t="str">
        <f>IFERROR(__xludf.DUMMYFUNCTION("LOWER(
TRIM(
REGEXREPLACE(B924,""[^a-zA-Z\s]"","""")
)
)
"),"al larson")</f>
        <v>al larson</v>
      </c>
      <c r="O924" s="7">
        <f t="shared" si="5"/>
        <v>1</v>
      </c>
      <c r="P924" s="8" t="str">
        <f t="shared" si="6"/>
        <v>No</v>
      </c>
    </row>
    <row r="925">
      <c r="A925" s="4" t="s">
        <v>16</v>
      </c>
      <c r="B925" s="4" t="s">
        <v>2639</v>
      </c>
      <c r="C925" s="9">
        <v>44927.0</v>
      </c>
      <c r="D925" s="10">
        <v>44941.0</v>
      </c>
      <c r="E925" s="4" t="s">
        <v>2640</v>
      </c>
      <c r="F925" s="4" t="s">
        <v>2641</v>
      </c>
      <c r="G925" s="6" t="str">
        <f>IFERROR(__xludf.DUMMYFUNCTION("REGEXREPLACE(LOWER(F925),""[^a-z\s]"","""")"),"i couldnt access my account because i couldnt remember my password your account recovery system is not very good at all")</f>
        <v>i couldnt access my account because i couldnt remember my password your account recovery system is not very good at all</v>
      </c>
      <c r="H925" s="4" t="str">
        <f t="shared" si="1"/>
        <v>i couldnt access my account because i couldnt remember my password your account recovery system not very good at all</v>
      </c>
      <c r="I925" s="6">
        <f t="shared" si="2"/>
        <v>20</v>
      </c>
      <c r="J925" s="6">
        <f>IFERROR(__xludf.DUMMYFUNCTION("IF(H925="""","""",
SUM(
ARRAYFORMULA(
IF(
REGEXMATCH(
"" ""&amp;H925&amp;"" "",
"" ""&amp;Sentiment_Words!A$2:A3730&amp;"" ""
),
1,
0
)
)
)
)"),1.0)</f>
        <v>1</v>
      </c>
      <c r="K925" s="4">
        <f>IFERROR(__xludf.DUMMYFUNCTION("IF(H925="""","""",
SUM(
ARRAYFORMULA(
IF(
REGEXMATCH(
"" ""&amp;H925&amp;"" "",
"" ""&amp;Sentiment_Words!B$2:B3730&amp;"" ""
),
1,
0
)
)
)
)"),0.0)</f>
        <v>0</v>
      </c>
      <c r="L925" s="7" t="str">
        <f t="shared" si="3"/>
        <v>Account &amp; Website</v>
      </c>
      <c r="M925" s="7" t="str">
        <f t="shared" si="4"/>
        <v>Positive</v>
      </c>
      <c r="N925" s="7" t="str">
        <f>IFERROR(__xludf.DUMMYFUNCTION("LOWER(
TRIM(
REGEXREPLACE(B925,""[^a-zA-Z\s]"","""")
)
)
"),"april")</f>
        <v>april</v>
      </c>
      <c r="O925" s="7">
        <f t="shared" si="5"/>
        <v>1</v>
      </c>
      <c r="P925" s="8" t="str">
        <f t="shared" si="6"/>
        <v>No</v>
      </c>
    </row>
    <row r="926">
      <c r="A926" s="4" t="s">
        <v>16</v>
      </c>
      <c r="B926" s="4" t="s">
        <v>2642</v>
      </c>
      <c r="C926" s="9">
        <v>44935.0</v>
      </c>
      <c r="D926" s="10">
        <v>44941.0</v>
      </c>
      <c r="E926" s="4" t="s">
        <v>2643</v>
      </c>
      <c r="F926" s="4" t="s">
        <v>2644</v>
      </c>
      <c r="G926" s="6" t="str">
        <f>IFERROR(__xludf.DUMMYFUNCTION("REGEXREPLACE(LOWER(F926),""[^a-z\s]"","""")"),"the order was wrong i called and the young lady that answered was very professional and efficient she took care of the problem and i could hear the smile in her voice")</f>
        <v>the order was wrong i called and the young lady that answered was very professional and efficient she took care of the problem and i could hear the smile in her voice</v>
      </c>
      <c r="H926" s="4" t="str">
        <f t="shared" si="1"/>
        <v>order was wrong i called young lady that answered was very professional efficient she took care of problem i could hear smile in her voice</v>
      </c>
      <c r="I926" s="6">
        <f t="shared" si="2"/>
        <v>25</v>
      </c>
      <c r="J926" s="6">
        <f>IFERROR(__xludf.DUMMYFUNCTION("IF(H926="""","""",
SUM(
ARRAYFORMULA(
IF(
REGEXMATCH(
"" ""&amp;H926&amp;"" "",
"" ""&amp;Sentiment_Words!A$2:A3730&amp;"" ""
),
1,
0
)
)
)
)"),1.0)</f>
        <v>1</v>
      </c>
      <c r="K926" s="4">
        <f>IFERROR(__xludf.DUMMYFUNCTION("IF(H926="""","""",
SUM(
ARRAYFORMULA(
IF(
REGEXMATCH(
"" ""&amp;H926&amp;"" "",
"" ""&amp;Sentiment_Words!B$2:B3730&amp;"" ""
),
1,
0
)
)
)
)"),2.0)</f>
        <v>2</v>
      </c>
      <c r="L926" s="7" t="str">
        <f t="shared" si="3"/>
        <v>Fulfillment &amp; Shipping</v>
      </c>
      <c r="M926" s="7" t="str">
        <f t="shared" si="4"/>
        <v>Negative</v>
      </c>
      <c r="N926" s="7" t="str">
        <f>IFERROR(__xludf.DUMMYFUNCTION("LOWER(
TRIM(
REGEXREPLACE(B926,""[^a-zA-Z\s]"","""")
)
)
"),"judy smith")</f>
        <v>judy smith</v>
      </c>
      <c r="O926" s="7">
        <f t="shared" si="5"/>
        <v>1</v>
      </c>
      <c r="P926" s="8" t="str">
        <f t="shared" si="6"/>
        <v>No</v>
      </c>
    </row>
    <row r="927">
      <c r="A927" s="4" t="s">
        <v>16</v>
      </c>
      <c r="B927" s="4" t="s">
        <v>2645</v>
      </c>
      <c r="C927" s="5">
        <v>44936.0</v>
      </c>
      <c r="D927" s="10">
        <v>44941.0</v>
      </c>
      <c r="E927" s="4" t="s">
        <v>2646</v>
      </c>
      <c r="F927" s="4" t="s">
        <v>2647</v>
      </c>
      <c r="G927" s="6" t="str">
        <f>IFERROR(__xludf.DUMMYFUNCTION("REGEXREPLACE(LOWER(F927),""[^a-z\s]"","""")"),"order took almost a week to reach me when i called to check where it was i was told you were experiencing delays it would have been good customer service to tell me that via email before i called")</f>
        <v>order took almost a week to reach me when i called to check where it was i was told you were experiencing delays it would have been good customer service to tell me that via email before i called</v>
      </c>
      <c r="H927" s="4" t="str">
        <f t="shared" si="1"/>
        <v>order took almost a week reach me when i called check where it was i was told you were experiencing delays it would have been good customer service tell me that via email before i called</v>
      </c>
      <c r="I927" s="6">
        <f t="shared" si="2"/>
        <v>36</v>
      </c>
      <c r="J927" s="6">
        <f>IFERROR(__xludf.DUMMYFUNCTION("IF(H927="""","""",
SUM(
ARRAYFORMULA(
IF(
REGEXMATCH(
"" ""&amp;H927&amp;"" "",
"" ""&amp;Sentiment_Words!A$2:A3730&amp;"" ""
),
1,
0
)
)
)
)"),1.0)</f>
        <v>1</v>
      </c>
      <c r="K927" s="4">
        <f>IFERROR(__xludf.DUMMYFUNCTION("IF(H927="""","""",
SUM(
ARRAYFORMULA(
IF(
REGEXMATCH(
"" ""&amp;H927&amp;"" "",
"" ""&amp;Sentiment_Words!B$2:B3730&amp;"" ""
),
1,
0
)
)
)
)"),1.0)</f>
        <v>1</v>
      </c>
      <c r="L927" s="7" t="str">
        <f t="shared" si="3"/>
        <v>Customer Support</v>
      </c>
      <c r="M927" s="7" t="str">
        <f t="shared" si="4"/>
        <v>Neutral</v>
      </c>
      <c r="N927" s="7" t="str">
        <f>IFERROR(__xludf.DUMMYFUNCTION("LOWER(
TRIM(
REGEXREPLACE(B927,""[^a-zA-Z\s]"","""")
)
)
"),"susan love")</f>
        <v>susan love</v>
      </c>
      <c r="O927" s="7">
        <f t="shared" si="5"/>
        <v>1</v>
      </c>
      <c r="P927" s="8" t="str">
        <f t="shared" si="6"/>
        <v>No</v>
      </c>
    </row>
    <row r="928">
      <c r="A928" s="4" t="s">
        <v>16</v>
      </c>
      <c r="B928" s="4" t="s">
        <v>2648</v>
      </c>
      <c r="C928" s="9">
        <v>44935.0</v>
      </c>
      <c r="D928" s="10">
        <v>44941.0</v>
      </c>
      <c r="E928" s="4" t="s">
        <v>2649</v>
      </c>
      <c r="F928" s="4" t="s">
        <v>2650</v>
      </c>
      <c r="G928" s="6" t="str">
        <f>IFERROR(__xludf.DUMMYFUNCTION("REGEXREPLACE(LOWER(F928),""[^a-z\s]"","""")"),"i absolutely love petflow i am thankful for fast shipping and the fact they work so well with my vet to get my diabetic dog the food she needs")</f>
        <v>i absolutely love petflow i am thankful for fast shipping and the fact they work so well with my vet to get my diabetic dog the food she needs</v>
      </c>
      <c r="H928" s="4" t="str">
        <f t="shared" si="1"/>
        <v>i absolutely love petflow i am thankful fast shipping fact they work so well with my vet get my diabetic dog food she needs</v>
      </c>
      <c r="I928" s="6">
        <f t="shared" si="2"/>
        <v>24</v>
      </c>
      <c r="J928" s="6">
        <f>IFERROR(__xludf.DUMMYFUNCTION("IF(H928="""","""",
SUM(
ARRAYFORMULA(
IF(
REGEXMATCH(
"" ""&amp;H928&amp;"" "",
"" ""&amp;Sentiment_Words!A$2:A3730&amp;"" ""
),
1,
0
)
)
)
)"),2.0)</f>
        <v>2</v>
      </c>
      <c r="K928" s="4">
        <f>IFERROR(__xludf.DUMMYFUNCTION("IF(H928="""","""",
SUM(
ARRAYFORMULA(
IF(
REGEXMATCH(
"" ""&amp;H928&amp;"" "",
"" ""&amp;Sentiment_Words!B$2:B3730&amp;"" ""
),
1,
0
)
)
)
)"),0.0)</f>
        <v>0</v>
      </c>
      <c r="L928" s="7" t="str">
        <f t="shared" si="3"/>
        <v>Other</v>
      </c>
      <c r="M928" s="7" t="str">
        <f t="shared" si="4"/>
        <v>Positive</v>
      </c>
      <c r="N928" s="7" t="str">
        <f>IFERROR(__xludf.DUMMYFUNCTION("LOWER(
TRIM(
REGEXREPLACE(B928,""[^a-zA-Z\s]"","""")
)
)
"),"crystal riley")</f>
        <v>crystal riley</v>
      </c>
      <c r="O928" s="7">
        <f t="shared" si="5"/>
        <v>1</v>
      </c>
      <c r="P928" s="8" t="str">
        <f t="shared" si="6"/>
        <v>No</v>
      </c>
    </row>
    <row r="929">
      <c r="A929" s="4" t="s">
        <v>16</v>
      </c>
      <c r="B929" s="4" t="s">
        <v>2651</v>
      </c>
      <c r="C929" s="5">
        <v>44940.0</v>
      </c>
      <c r="D929" s="10">
        <v>44941.0</v>
      </c>
      <c r="E929" s="4" t="s">
        <v>2652</v>
      </c>
      <c r="F929" s="4" t="s">
        <v>2653</v>
      </c>
      <c r="G929" s="6" t="str">
        <f>IFERROR(__xludf.DUMMYFUNCTION("REGEXREPLACE(LOWER(F929),""[^a-z\s]"","""")"),"i ordered  lb bags of dog food one bag was damaged on arrival and they replaced entire order sending  replacement bags more than made up for it one thing is the replacement boxes actually had more packaging material to hold up better in shipment that the "&amp;"first shipment with damaged bag did not have short wait times on call and was polite and professional")</f>
        <v>i ordered  lb bags of dog food one bag was damaged on arrival and they replaced entire order sending  replacement bags more than made up for it one thing is the replacement boxes actually had more packaging material to hold up better in shipment that the first shipment with damaged bag did not have short wait times on call and was polite and professional</v>
      </c>
      <c r="H929" s="4" t="str">
        <f t="shared" si="1"/>
        <v>i ordered lb bags of dog food one bag was damaged on arrival they replaced entire order sending replacement bags more than made up it one thing replacement boxes actually had more packaging material hold up better in shipment that first shipment with damaged bag did not have short wait times on call was polite professional</v>
      </c>
      <c r="I929" s="6">
        <f t="shared" si="2"/>
        <v>56</v>
      </c>
      <c r="J929" s="6">
        <f>IFERROR(__xludf.DUMMYFUNCTION("IF(H929="""","""",
SUM(
ARRAYFORMULA(
IF(
REGEXMATCH(
"" ""&amp;H929&amp;"" "",
"" ""&amp;Sentiment_Words!A$2:A3730&amp;"" ""
),
1,
0
)
)
)
)"),0.0)</f>
        <v>0</v>
      </c>
      <c r="K929" s="4">
        <f>IFERROR(__xludf.DUMMYFUNCTION("IF(H929="""","""",
SUM(
ARRAYFORMULA(
IF(
REGEXMATCH(
"" ""&amp;H929&amp;"" "",
"" ""&amp;Sentiment_Words!B$2:B3730&amp;"" ""
),
1,
0
)
)
)
)"),0.0)</f>
        <v>0</v>
      </c>
      <c r="L929" s="7" t="str">
        <f t="shared" si="3"/>
        <v>Other</v>
      </c>
      <c r="M929" s="7" t="str">
        <f t="shared" si="4"/>
        <v>Neutral</v>
      </c>
      <c r="N929" s="7" t="str">
        <f>IFERROR(__xludf.DUMMYFUNCTION("LOWER(
TRIM(
REGEXREPLACE(B929,""[^a-zA-Z\s]"","""")
)
)
"),"nick")</f>
        <v>nick</v>
      </c>
      <c r="O929" s="7">
        <f t="shared" si="5"/>
        <v>2</v>
      </c>
      <c r="P929" s="8" t="str">
        <f t="shared" si="6"/>
        <v>Yes</v>
      </c>
    </row>
    <row r="930">
      <c r="A930" s="4" t="s">
        <v>16</v>
      </c>
      <c r="B930" s="4" t="s">
        <v>2654</v>
      </c>
      <c r="C930" s="9">
        <v>44929.0</v>
      </c>
      <c r="D930" s="10">
        <v>44941.0</v>
      </c>
      <c r="E930" s="4" t="s">
        <v>2655</v>
      </c>
      <c r="F930" s="4" t="s">
        <v>2656</v>
      </c>
      <c r="G930" s="6" t="str">
        <f>IFERROR(__xludf.DUMMYFUNCTION("REGEXREPLACE(LOWER(F930),""[^a-z\s]"","""")"),"impossible website entry customer service didnt answer my questions delivery is late  i dont have my shipment yet")</f>
        <v>impossible website entry customer service didnt answer my questions delivery is late  i dont have my shipment yet</v>
      </c>
      <c r="H930" s="4" t="str">
        <f t="shared" si="1"/>
        <v>impossible website entry customer service didnt answer my questions delivery late i dont have my shipment yet</v>
      </c>
      <c r="I930" s="6">
        <f t="shared" si="2"/>
        <v>17</v>
      </c>
      <c r="J930" s="6">
        <f>IFERROR(__xludf.DUMMYFUNCTION("IF(H930="""","""",
SUM(
ARRAYFORMULA(
IF(
REGEXMATCH(
"" ""&amp;H930&amp;"" "",
"" ""&amp;Sentiment_Words!A$2:A3730&amp;"" ""
),
1,
0
)
)
)
)"),0.0)</f>
        <v>0</v>
      </c>
      <c r="K930" s="4">
        <f>IFERROR(__xludf.DUMMYFUNCTION("IF(H930="""","""",
SUM(
ARRAYFORMULA(
IF(
REGEXMATCH(
"" ""&amp;H930&amp;"" "",
"" ""&amp;Sentiment_Words!B$2:B3730&amp;"" ""
),
1,
0
)
)
)
)"),1.0)</f>
        <v>1</v>
      </c>
      <c r="L930" s="7" t="str">
        <f t="shared" si="3"/>
        <v>Customer Support</v>
      </c>
      <c r="M930" s="7" t="str">
        <f t="shared" si="4"/>
        <v>Negative</v>
      </c>
      <c r="N930" s="7" t="str">
        <f>IFERROR(__xludf.DUMMYFUNCTION("LOWER(
TRIM(
REGEXREPLACE(B930,""[^a-zA-Z\s]"","""")
)
)
"),"hilary burns")</f>
        <v>hilary burns</v>
      </c>
      <c r="O930" s="7">
        <f t="shared" si="5"/>
        <v>1</v>
      </c>
      <c r="P930" s="8" t="str">
        <f t="shared" si="6"/>
        <v>No</v>
      </c>
    </row>
    <row r="931">
      <c r="A931" s="4" t="s">
        <v>16</v>
      </c>
      <c r="B931" s="4" t="s">
        <v>2657</v>
      </c>
      <c r="C931" s="5">
        <v>44926.0</v>
      </c>
      <c r="D931" s="4" t="s">
        <v>2658</v>
      </c>
      <c r="E931" s="4" t="s">
        <v>2659</v>
      </c>
      <c r="F931" s="4" t="s">
        <v>2660</v>
      </c>
      <c r="G931" s="6" t="str">
        <f>IFERROR(__xludf.DUMMYFUNCTION("REGEXREPLACE(LOWER(F931),""[^a-z\s]"","""")"),"i have ordered from petflow for a few years nownever had a problem my last order was a total nightmare dealing with your customer service reps rude condescending passive aggressive emails sent to me when all i asked was wheres my dog food i ordered on dec"&amp;" st fully aware that there would be a delay in shipping due to the jan st holiday  days later still no dog food first i was given every excuse short of climate change then i was just about accused of being a christmas grinch for expecting petflow employee"&amp;"s to work through the holidaysagain i ordered on the st way past christmas and expected a delay by the th of jan i had given up hope of receiving my dog food so i requested a refund with that request i received another nasty email with a link to print up "&amp;"a mailing label to send the dog food back before i could receive a refund i live in a rural town where the nearest fed ex is  miles away so  miles round trip to return a bag of dog food that i still never received petflow did offer me a  credit towards my"&amp;" next order to which i told them to donate it to feed homeless pets well your customer reps did not like that response i finally did get my refund from omnipet and then received the dog food following day with that i received one last email from a rep tel"&amp;"ling me my dog food arrived which it had and then telling me to take that bag of dog food and donate it it to a shelter wow just wowi never expected something for nothing again a final insult from a customer service rep your company lost a really good cus"&amp;"tomer i orderordered  different bags of dog food bi monthly but never again i kept all correspondence and would be happy to forward it all to you")</f>
        <v>i have ordered from petflow for a few years nownever had a problem my last order was a total nightmare dealing with your customer service reps rude condescending passive aggressive emails sent to me when all i asked was wheres my dog food i ordered on dec st fully aware that there would be a delay in shipping due to the jan st holiday  days later still no dog food first i was given every excuse short of climate change then i was just about accused of being a christmas grinch for expecting petflow employees to work through the holidaysagain i ordered on the st way past christmas and expected a delay by the th of jan i had given up hope of receiving my dog food so i requested a refund with that request i received another nasty email with a link to print up a mailing label to send the dog food back before i could receive a refund i live in a rural town where the nearest fed ex is  miles away so  miles round trip to return a bag of dog food that i still never received petflow did offer me a  credit towards my next order to which i told them to donate it to feed homeless pets well your customer reps did not like that response i finally did get my refund from omnipet and then received the dog food following day with that i received one last email from a rep telling me my dog food arrived which it had and then telling me to take that bag of dog food and donate it it to a shelter wow just wowi never expected something for nothing again a final insult from a customer service rep your company lost a really good customer i orderordered  different bags of dog food bi monthly but never again i kept all correspondence and would be happy to forward it all to you</v>
      </c>
      <c r="H931" s="4" t="str">
        <f t="shared" si="1"/>
        <v>i have ordered from petflow a few years nownever had a problem my last order was a total nightmare dealing with your customer service reps rude condescending passive aggressive emails sent me when all i asked was wheres my dog food i ordered on dec st fully aware that there would be a delay in shipping due jan st holiday days later still no dog food first i was given every excuse short of climate change then i was just about accused of being a christmas grinch expecting petflow employees work through holidaysagain i ordered on st way past christmas expected a delay by th of jan i had given up hope of receiving my dog food so i requested a refund with that request i received another nasty email with a link print up a mailing label send dog food back before i could receive a refund i live in a rural town where nearest fed ex miles away so miles round trip return a bag of dog food that i still never received petflow did offer me a credit towards my next order which i told them donate it feed homeless pets well your customer reps did not like that response i finally did get my refund from omnipet then received dog food following day with that i received one last email from a rep telling me my dog food arrived which it had then telling me take that bag of dog food donate it it a shelter wow just wowi never expected something nothing again a final insult from a customer service rep your company lost a really good customer i orderordered different bags of dog food bi monthly but never again i kept all correspondence would be happy forward it all you</v>
      </c>
      <c r="I931" s="6">
        <f t="shared" si="2"/>
        <v>296</v>
      </c>
      <c r="J931" s="6">
        <f>IFERROR(__xludf.DUMMYFUNCTION("IF(H931="""","""",
SUM(
ARRAYFORMULA(
IF(
REGEXMATCH(
"" ""&amp;H931&amp;"" "",
"" ""&amp;Sentiment_Words!A$2:A3730&amp;"" ""
),
1,
0
)
)
)
)"),2.0)</f>
        <v>2</v>
      </c>
      <c r="K931" s="4">
        <f>IFERROR(__xludf.DUMMYFUNCTION("IF(H931="""","""",
SUM(
ARRAYFORMULA(
IF(
REGEXMATCH(
"" ""&amp;H931&amp;"" "",
"" ""&amp;Sentiment_Words!B$2:B3730&amp;"" ""
),
1,
0
)
)
)
)"),4.0)</f>
        <v>4</v>
      </c>
      <c r="L931" s="7" t="str">
        <f t="shared" si="3"/>
        <v>Customer Support</v>
      </c>
      <c r="M931" s="7" t="str">
        <f t="shared" si="4"/>
        <v>Negative</v>
      </c>
      <c r="N931" s="7" t="str">
        <f>IFERROR(__xludf.DUMMYFUNCTION("LOWER(
TRIM(
REGEXREPLACE(B931,""[^a-zA-Z\s]"","""")
)
)
"),"bko")</f>
        <v>bko</v>
      </c>
      <c r="O931" s="7">
        <f t="shared" si="5"/>
        <v>1</v>
      </c>
      <c r="P931" s="8" t="str">
        <f t="shared" si="6"/>
        <v>No</v>
      </c>
    </row>
    <row r="932">
      <c r="A932" s="4" t="s">
        <v>16</v>
      </c>
      <c r="B932" s="4" t="s">
        <v>2661</v>
      </c>
      <c r="C932" s="9">
        <v>44930.0</v>
      </c>
      <c r="D932" s="10">
        <v>44941.0</v>
      </c>
      <c r="E932" s="4" t="s">
        <v>2662</v>
      </c>
      <c r="F932" s="4" t="s">
        <v>2663</v>
      </c>
      <c r="G932" s="6" t="str">
        <f>IFERROR(__xludf.DUMMYFUNCTION("REGEXREPLACE(LOWER(F932),""[^a-z\s]"","""")"),"i have used these folks for a couple of years they have the best price for the product i buy delivery is quite prompt")</f>
        <v>i have used these folks for a couple of years they have the best price for the product i buy delivery is quite prompt</v>
      </c>
      <c r="H932" s="4" t="str">
        <f t="shared" si="1"/>
        <v>i have used these folks a couple of years they have best price product i buy delivery quite prompt</v>
      </c>
      <c r="I932" s="6">
        <f t="shared" si="2"/>
        <v>19</v>
      </c>
      <c r="J932" s="6">
        <f>IFERROR(__xludf.DUMMYFUNCTION("IF(H932="""","""",
SUM(
ARRAYFORMULA(
IF(
REGEXMATCH(
"" ""&amp;H932&amp;"" "",
"" ""&amp;Sentiment_Words!A$2:A3730&amp;"" ""
),
1,
0
)
)
)
)"),1.0)</f>
        <v>1</v>
      </c>
      <c r="K932" s="4">
        <f>IFERROR(__xludf.DUMMYFUNCTION("IF(H932="""","""",
SUM(
ARRAYFORMULA(
IF(
REGEXMATCH(
"" ""&amp;H932&amp;"" "",
"" ""&amp;Sentiment_Words!B$2:B3730&amp;"" ""
),
1,
0
)
)
)
)"),0.0)</f>
        <v>0</v>
      </c>
      <c r="L932" s="7" t="str">
        <f t="shared" si="3"/>
        <v>Other</v>
      </c>
      <c r="M932" s="7" t="str">
        <f t="shared" si="4"/>
        <v>Positive</v>
      </c>
      <c r="N932" s="7" t="str">
        <f>IFERROR(__xludf.DUMMYFUNCTION("LOWER(
TRIM(
REGEXREPLACE(B932,""[^a-zA-Z\s]"","""")
)
)
"),"gil g")</f>
        <v>gil g</v>
      </c>
      <c r="O932" s="7">
        <f t="shared" si="5"/>
        <v>1</v>
      </c>
      <c r="P932" s="8" t="str">
        <f t="shared" si="6"/>
        <v>No</v>
      </c>
    </row>
    <row r="933">
      <c r="A933" s="4" t="s">
        <v>16</v>
      </c>
      <c r="B933" s="4" t="s">
        <v>2664</v>
      </c>
      <c r="C933" s="9">
        <v>44931.0</v>
      </c>
      <c r="D933" s="10">
        <v>44941.0</v>
      </c>
      <c r="E933" s="4" t="s">
        <v>2665</v>
      </c>
      <c r="F933" s="4" t="s">
        <v>2666</v>
      </c>
      <c r="G933" s="6" t="str">
        <f>IFERROR(__xludf.DUMMYFUNCTION("REGEXREPLACE(LOWER(F933),""[^a-z\s]"","""")"),"to slow on getting the order outhard to understand the ordering system")</f>
        <v>to slow on getting the order outhard to understand the ordering system</v>
      </c>
      <c r="H933" s="4" t="str">
        <f t="shared" si="1"/>
        <v>slow on getting order outhard understand ordering system</v>
      </c>
      <c r="I933" s="6">
        <f t="shared" si="2"/>
        <v>8</v>
      </c>
      <c r="J933" s="6">
        <f>IFERROR(__xludf.DUMMYFUNCTION("IF(H933="""","""",
SUM(
ARRAYFORMULA(
IF(
REGEXMATCH(
"" ""&amp;H933&amp;"" "",
"" ""&amp;Sentiment_Words!A$2:A3730&amp;"" ""
),
1,
0
)
)
)
)"),0.0)</f>
        <v>0</v>
      </c>
      <c r="K933" s="4">
        <f>IFERROR(__xludf.DUMMYFUNCTION("IF(H933="""","""",
SUM(
ARRAYFORMULA(
IF(
REGEXMATCH(
"" ""&amp;H933&amp;"" "",
"" ""&amp;Sentiment_Words!B$2:B3730&amp;"" ""
),
1,
0
)
)
)
)"),0.0)</f>
        <v>0</v>
      </c>
      <c r="L933" s="7" t="str">
        <f t="shared" si="3"/>
        <v>Other</v>
      </c>
      <c r="M933" s="7" t="str">
        <f t="shared" si="4"/>
        <v>Neutral</v>
      </c>
      <c r="N933" s="7" t="str">
        <f>IFERROR(__xludf.DUMMYFUNCTION("LOWER(
TRIM(
REGEXREPLACE(B933,""[^a-zA-Z\s]"","""")
)
)
"),"tim freytag")</f>
        <v>tim freytag</v>
      </c>
      <c r="O933" s="7">
        <f t="shared" si="5"/>
        <v>1</v>
      </c>
      <c r="P933" s="8" t="str">
        <f t="shared" si="6"/>
        <v>No</v>
      </c>
    </row>
    <row r="934">
      <c r="A934" s="4" t="s">
        <v>16</v>
      </c>
      <c r="B934" s="4" t="s">
        <v>2667</v>
      </c>
      <c r="C934" s="5">
        <v>44936.0</v>
      </c>
      <c r="D934" s="10">
        <v>44941.0</v>
      </c>
      <c r="E934" s="4" t="s">
        <v>2668</v>
      </c>
      <c r="F934" s="4" t="s">
        <v>2669</v>
      </c>
      <c r="G934" s="6" t="str">
        <f>IFERROR(__xludf.DUMMYFUNCTION("REGEXREPLACE(LOWER(F934),""[^a-z\s]"","""")"),"easy to use and find items with quick delivery")</f>
        <v>easy to use and find items with quick delivery</v>
      </c>
      <c r="H934" s="4" t="str">
        <f t="shared" si="1"/>
        <v>easy use find items with quick delivery</v>
      </c>
      <c r="I934" s="6">
        <f t="shared" si="2"/>
        <v>7</v>
      </c>
      <c r="J934" s="6">
        <f>IFERROR(__xludf.DUMMYFUNCTION("IF(H934="""","""",
SUM(
ARRAYFORMULA(
IF(
REGEXMATCH(
"" ""&amp;H934&amp;"" "",
"" ""&amp;Sentiment_Words!A$2:A3730&amp;"" ""
),
1,
0
)
)
)
)"),2.0)</f>
        <v>2</v>
      </c>
      <c r="K934" s="4">
        <f>IFERROR(__xludf.DUMMYFUNCTION("IF(H934="""","""",
SUM(
ARRAYFORMULA(
IF(
REGEXMATCH(
"" ""&amp;H934&amp;"" "",
"" ""&amp;Sentiment_Words!B$2:B3730&amp;"" ""
),
1,
0
)
)
)
)"),0.0)</f>
        <v>0</v>
      </c>
      <c r="L934" s="7" t="str">
        <f t="shared" si="3"/>
        <v>Other</v>
      </c>
      <c r="M934" s="7" t="str">
        <f t="shared" si="4"/>
        <v>Positive</v>
      </c>
      <c r="N934" s="7" t="str">
        <f>IFERROR(__xludf.DUMMYFUNCTION("LOWER(
TRIM(
REGEXREPLACE(B934,""[^a-zA-Z\s]"","""")
)
)
"),"gail")</f>
        <v>gail</v>
      </c>
      <c r="O934" s="7">
        <f t="shared" si="5"/>
        <v>4</v>
      </c>
      <c r="P934" s="8" t="str">
        <f t="shared" si="6"/>
        <v>Yes</v>
      </c>
    </row>
    <row r="935">
      <c r="A935" s="4" t="s">
        <v>16</v>
      </c>
      <c r="B935" s="4" t="s">
        <v>2670</v>
      </c>
      <c r="C935" s="9">
        <v>44935.0</v>
      </c>
      <c r="D935" s="10">
        <v>44940.0</v>
      </c>
      <c r="E935" s="4" t="s">
        <v>2671</v>
      </c>
      <c r="F935" s="4" t="s">
        <v>2672</v>
      </c>
      <c r="G935" s="6" t="str">
        <f>IFERROR(__xludf.DUMMYFUNCTION("REGEXREPLACE(LOWER(F935),""[^a-z\s]"","""")"),"intuitive site allows me to easily order and reorder the dog food varieties i need good electronic notifications confirming orders tracking shipping and projected order arrivals i like easy")</f>
        <v>intuitive site allows me to easily order and reorder the dog food varieties i need good electronic notifications confirming orders tracking shipping and projected order arrivals i like easy</v>
      </c>
      <c r="H935" s="4" t="str">
        <f t="shared" si="1"/>
        <v>intuitive site allows me easily order reorder dog food varieties i need good electronic notifications confirming orders tracking shipping projected order arrivals i like easy</v>
      </c>
      <c r="I935" s="6">
        <f t="shared" si="2"/>
        <v>25</v>
      </c>
      <c r="J935" s="6">
        <f>IFERROR(__xludf.DUMMYFUNCTION("IF(H935="""","""",
SUM(
ARRAYFORMULA(
IF(
REGEXMATCH(
"" ""&amp;H935&amp;"" "",
"" ""&amp;Sentiment_Words!A$2:A3730&amp;"" ""
),
1,
0
)
)
)
)"),2.0)</f>
        <v>2</v>
      </c>
      <c r="K935" s="4">
        <f>IFERROR(__xludf.DUMMYFUNCTION("IF(H935="""","""",
SUM(
ARRAYFORMULA(
IF(
REGEXMATCH(
"" ""&amp;H935&amp;"" "",
"" ""&amp;Sentiment_Words!B$2:B3730&amp;"" ""
),
1,
0
)
)
)
)"),0.0)</f>
        <v>0</v>
      </c>
      <c r="L935" s="7" t="str">
        <f t="shared" si="3"/>
        <v>Other</v>
      </c>
      <c r="M935" s="7" t="str">
        <f t="shared" si="4"/>
        <v>Positive</v>
      </c>
      <c r="N935" s="7" t="str">
        <f>IFERROR(__xludf.DUMMYFUNCTION("LOWER(
TRIM(
REGEXREPLACE(B935,""[^a-zA-Z\s]"","""")
)
)
"),"casey fletcher")</f>
        <v>casey fletcher</v>
      </c>
      <c r="O935" s="7">
        <f t="shared" si="5"/>
        <v>1</v>
      </c>
      <c r="P935" s="8" t="str">
        <f t="shared" si="6"/>
        <v>No</v>
      </c>
    </row>
    <row r="936">
      <c r="A936" s="4" t="s">
        <v>16</v>
      </c>
      <c r="B936" s="4" t="s">
        <v>2673</v>
      </c>
      <c r="C936" s="9">
        <v>44930.0</v>
      </c>
      <c r="D936" s="10">
        <v>44940.0</v>
      </c>
      <c r="E936" s="4" t="s">
        <v>2674</v>
      </c>
      <c r="F936" s="4" t="s">
        <v>2675</v>
      </c>
      <c r="G936" s="6" t="str">
        <f>IFERROR(__xludf.DUMMYFUNCTION("REGEXREPLACE(LOWER(F936),""[^a-z\s]"","""")"),"it took a little long to receive the items due to product availability this is not the st timewhen i did receive it tge order was fine")</f>
        <v>it took a little long to receive the items due to product availability this is not the st timewhen i did receive it tge order was fine</v>
      </c>
      <c r="H936" s="4" t="str">
        <f t="shared" si="1"/>
        <v>it took a little long receive items due product availability this not st timewhen i did receive it tge order was fine</v>
      </c>
      <c r="I936" s="6">
        <f t="shared" si="2"/>
        <v>22</v>
      </c>
      <c r="J936" s="6">
        <f>IFERROR(__xludf.DUMMYFUNCTION("IF(H936="""","""",
SUM(
ARRAYFORMULA(
IF(
REGEXMATCH(
"" ""&amp;H936&amp;"" "",
"" ""&amp;Sentiment_Words!A$2:A3730&amp;"" ""
),
1,
0
)
)
)
)"),0.0)</f>
        <v>0</v>
      </c>
      <c r="K936" s="4">
        <f>IFERROR(__xludf.DUMMYFUNCTION("IF(H936="""","""",
SUM(
ARRAYFORMULA(
IF(
REGEXMATCH(
"" ""&amp;H936&amp;"" "",
"" ""&amp;Sentiment_Words!B$2:B3730&amp;"" ""
),
1,
0
)
)
)
)"),0.0)</f>
        <v>0</v>
      </c>
      <c r="L936" s="7" t="str">
        <f t="shared" si="3"/>
        <v>Other</v>
      </c>
      <c r="M936" s="7" t="str">
        <f t="shared" si="4"/>
        <v>Neutral</v>
      </c>
      <c r="N936" s="7" t="str">
        <f>IFERROR(__xludf.DUMMYFUNCTION("LOWER(
TRIM(
REGEXREPLACE(B936,""[^a-zA-Z\s]"","""")
)
)
"),"jonathan luecke")</f>
        <v>jonathan luecke</v>
      </c>
      <c r="O936" s="7">
        <f t="shared" si="5"/>
        <v>1</v>
      </c>
      <c r="P936" s="8" t="str">
        <f t="shared" si="6"/>
        <v>No</v>
      </c>
    </row>
    <row r="937">
      <c r="A937" s="4" t="s">
        <v>16</v>
      </c>
      <c r="B937" s="4" t="s">
        <v>2676</v>
      </c>
      <c r="C937" s="5">
        <v>44936.0</v>
      </c>
      <c r="D937" s="10">
        <v>44940.0</v>
      </c>
      <c r="E937" s="4" t="s">
        <v>2677</v>
      </c>
      <c r="F937" s="4" t="s">
        <v>2678</v>
      </c>
      <c r="G937" s="6" t="str">
        <f>IFERROR(__xludf.DUMMYFUNCTION("REGEXREPLACE(LOWER(F937),""[^a-z\s]"","""")"),"always get a great deal with coupons and the food arrives exactly when they told you will be ordering again soon")</f>
        <v>always get a great deal with coupons and the food arrives exactly when they told you will be ordering again soon</v>
      </c>
      <c r="H937" s="4" t="str">
        <f t="shared" si="1"/>
        <v>always get a great deal with coupons food arrives exactly when they told you will be ordering again soon</v>
      </c>
      <c r="I937" s="6">
        <f t="shared" si="2"/>
        <v>19</v>
      </c>
      <c r="J937" s="6">
        <f>IFERROR(__xludf.DUMMYFUNCTION("IF(H937="""","""",
SUM(
ARRAYFORMULA(
IF(
REGEXMATCH(
"" ""&amp;H937&amp;"" "",
"" ""&amp;Sentiment_Words!A$2:A3730&amp;"" ""
),
1,
0
)
)
)
)"),1.0)</f>
        <v>1</v>
      </c>
      <c r="K937" s="4">
        <f>IFERROR(__xludf.DUMMYFUNCTION("IF(H937="""","""",
SUM(
ARRAYFORMULA(
IF(
REGEXMATCH(
"" ""&amp;H937&amp;"" "",
"" ""&amp;Sentiment_Words!B$2:B3730&amp;"" ""
),
1,
0
)
)
)
)"),0.0)</f>
        <v>0</v>
      </c>
      <c r="L937" s="7" t="str">
        <f t="shared" si="3"/>
        <v>Other</v>
      </c>
      <c r="M937" s="7" t="str">
        <f t="shared" si="4"/>
        <v>Positive</v>
      </c>
      <c r="N937" s="7" t="str">
        <f>IFERROR(__xludf.DUMMYFUNCTION("LOWER(
TRIM(
REGEXREPLACE(B937,""[^a-zA-Z\s]"","""")
)
)
"),"ddbrown")</f>
        <v>ddbrown</v>
      </c>
      <c r="O937" s="7">
        <f t="shared" si="5"/>
        <v>1</v>
      </c>
      <c r="P937" s="8" t="str">
        <f t="shared" si="6"/>
        <v>No</v>
      </c>
    </row>
    <row r="938">
      <c r="A938" s="4" t="s">
        <v>16</v>
      </c>
      <c r="B938" s="4" t="s">
        <v>56</v>
      </c>
      <c r="C938" s="9">
        <v>44896.0</v>
      </c>
      <c r="D938" s="10">
        <v>44940.0</v>
      </c>
      <c r="E938" s="4" t="s">
        <v>2679</v>
      </c>
      <c r="F938" s="4" t="s">
        <v>2680</v>
      </c>
      <c r="G938" s="6" t="str">
        <f>IFERROR(__xludf.DUMMYFUNCTION("REGEXREPLACE(LOWER(F938),""[^a-z\s]"","""")"),"customer service is terrible i will not order from you again")</f>
        <v>customer service is terrible i will not order from you again</v>
      </c>
      <c r="H938" s="4" t="str">
        <f t="shared" si="1"/>
        <v>customer service terrible i will not order from you again</v>
      </c>
      <c r="I938" s="6">
        <f t="shared" si="2"/>
        <v>10</v>
      </c>
      <c r="J938" s="6">
        <f>IFERROR(__xludf.DUMMYFUNCTION("IF(H938="""","""",
SUM(
ARRAYFORMULA(
IF(
REGEXMATCH(
"" ""&amp;H938&amp;"" "",
"" ""&amp;Sentiment_Words!A$2:A3730&amp;"" ""
),
1,
0
)
)
)
)"),0.0)</f>
        <v>0</v>
      </c>
      <c r="K938" s="4">
        <f>IFERROR(__xludf.DUMMYFUNCTION("IF(H938="""","""",
SUM(
ARRAYFORMULA(
IF(
REGEXMATCH(
"" ""&amp;H938&amp;"" "",
"" ""&amp;Sentiment_Words!B$2:B3730&amp;"" ""
),
1,
0
)
)
)
)"),2.0)</f>
        <v>2</v>
      </c>
      <c r="L938" s="7" t="str">
        <f t="shared" si="3"/>
        <v>Customer Support</v>
      </c>
      <c r="M938" s="7" t="str">
        <f t="shared" si="4"/>
        <v>Negative</v>
      </c>
      <c r="N938" s="7" t="str">
        <f>IFERROR(__xludf.DUMMYFUNCTION("LOWER(
TRIM(
REGEXREPLACE(B938,""[^a-zA-Z\s]"","""")
)
)
"),"customer")</f>
        <v>customer</v>
      </c>
      <c r="O938" s="7">
        <f t="shared" si="5"/>
        <v>54</v>
      </c>
      <c r="P938" s="8" t="str">
        <f t="shared" si="6"/>
        <v>Yes</v>
      </c>
    </row>
    <row r="939">
      <c r="A939" s="4" t="s">
        <v>16</v>
      </c>
      <c r="B939" s="4" t="s">
        <v>2681</v>
      </c>
      <c r="C939" s="5">
        <v>44937.0</v>
      </c>
      <c r="D939" s="10">
        <v>44940.0</v>
      </c>
      <c r="E939" s="4" t="s">
        <v>2682</v>
      </c>
      <c r="F939" s="4" t="s">
        <v>2683</v>
      </c>
      <c r="G939" s="6" t="str">
        <f>IFERROR(__xludf.DUMMYFUNCTION("REGEXREPLACE(LOWER(F939),""[^a-z\s]"","""")"),"i loved petflow  they used to be really good with getting my orders out right away i placed an order on  called a few days later as my order still was not sent out customer service said they were noting that my items needed to be sent out asap  still were"&amp;" not shipped by  so i canceled my order i will no longer be using petflow because of this experience")</f>
        <v>i loved petflow  they used to be really good with getting my orders out right away i placed an order on  called a few days later as my order still was not sent out customer service said they were noting that my items needed to be sent out asap  still were not shipped by  so i canceled my order i will no longer be using petflow because of this experience</v>
      </c>
      <c r="H939" s="4" t="str">
        <f t="shared" si="1"/>
        <v>i loved petflow they used be really good with getting my orders out right away i placed an order on called a few days later as my order still was not sent out customer service said they were noting that my items needed be sent out asap still were not shipped by so i canceled my order i will no longer be using petflow because of this experience</v>
      </c>
      <c r="I939" s="6">
        <f t="shared" si="2"/>
        <v>68</v>
      </c>
      <c r="J939" s="6">
        <f>IFERROR(__xludf.DUMMYFUNCTION("IF(H939="""","""",
SUM(
ARRAYFORMULA(
IF(
REGEXMATCH(
"" ""&amp;H939&amp;"" "",
"" ""&amp;Sentiment_Words!A$2:A3730&amp;"" ""
),
1,
0
)
)
)
)"),1.0)</f>
        <v>1</v>
      </c>
      <c r="K939" s="4">
        <f>IFERROR(__xludf.DUMMYFUNCTION("IF(H939="""","""",
SUM(
ARRAYFORMULA(
IF(
REGEXMATCH(
"" ""&amp;H939&amp;"" "",
"" ""&amp;Sentiment_Words!B$2:B3730&amp;"" ""
),
1,
0
)
)
)
)"),1.0)</f>
        <v>1</v>
      </c>
      <c r="L939" s="7" t="str">
        <f t="shared" si="3"/>
        <v>Customer Support</v>
      </c>
      <c r="M939" s="7" t="str">
        <f t="shared" si="4"/>
        <v>Neutral</v>
      </c>
      <c r="N939" s="7" t="str">
        <f>IFERROR(__xludf.DUMMYFUNCTION("LOWER(
TRIM(
REGEXREPLACE(B939,""[^a-zA-Z\s]"","""")
)
)
"),"j hamu")</f>
        <v>j hamu</v>
      </c>
      <c r="O939" s="7">
        <f t="shared" si="5"/>
        <v>1</v>
      </c>
      <c r="P939" s="8" t="str">
        <f t="shared" si="6"/>
        <v>No</v>
      </c>
    </row>
    <row r="940">
      <c r="A940" s="4" t="s">
        <v>16</v>
      </c>
      <c r="B940" s="4" t="s">
        <v>2684</v>
      </c>
      <c r="C940" s="9">
        <v>44932.0</v>
      </c>
      <c r="D940" s="10">
        <v>44939.0</v>
      </c>
      <c r="E940" s="4" t="s">
        <v>2685</v>
      </c>
      <c r="F940" s="4" t="s">
        <v>2686</v>
      </c>
      <c r="G940" s="6" t="str">
        <f>IFERROR(__xludf.DUMMYFUNCTION("REGEXREPLACE(LOWER(F940),""[^a-z\s]"","""")"),"communication regarding shipping was lacking in the past ship dates and estimated arrival times were closer to reality")</f>
        <v>communication regarding shipping was lacking in the past ship dates and estimated arrival times were closer to reality</v>
      </c>
      <c r="H940" s="4" t="str">
        <f t="shared" si="1"/>
        <v>communication regarding shipping was lacking in past ship dates estimated arrival times were closer reality</v>
      </c>
      <c r="I940" s="6">
        <f t="shared" si="2"/>
        <v>15</v>
      </c>
      <c r="J940" s="6">
        <f>IFERROR(__xludf.DUMMYFUNCTION("IF(H940="""","""",
SUM(
ARRAYFORMULA(
IF(
REGEXMATCH(
"" ""&amp;H940&amp;"" "",
"" ""&amp;Sentiment_Words!A$2:A3730&amp;"" ""
),
1,
0
)
)
)
)"),0.0)</f>
        <v>0</v>
      </c>
      <c r="K940" s="4">
        <f>IFERROR(__xludf.DUMMYFUNCTION("IF(H940="""","""",
SUM(
ARRAYFORMULA(
IF(
REGEXMATCH(
"" ""&amp;H940&amp;"" "",
"" ""&amp;Sentiment_Words!B$2:B3730&amp;"" ""
),
1,
0
)
)
)
)"),0.0)</f>
        <v>0</v>
      </c>
      <c r="L940" s="7" t="str">
        <f t="shared" si="3"/>
        <v>Other</v>
      </c>
      <c r="M940" s="7" t="str">
        <f t="shared" si="4"/>
        <v>Neutral</v>
      </c>
      <c r="N940" s="7" t="str">
        <f>IFERROR(__xludf.DUMMYFUNCTION("LOWER(
TRIM(
REGEXREPLACE(B940,""[^a-zA-Z\s]"","""")
)
)
"),"alexa")</f>
        <v>alexa</v>
      </c>
      <c r="O940" s="7">
        <f t="shared" si="5"/>
        <v>1</v>
      </c>
      <c r="P940" s="8" t="str">
        <f t="shared" si="6"/>
        <v>No</v>
      </c>
    </row>
    <row r="941">
      <c r="A941" s="4" t="s">
        <v>16</v>
      </c>
      <c r="B941" s="4" t="s">
        <v>2687</v>
      </c>
      <c r="C941" s="9">
        <v>44933.0</v>
      </c>
      <c r="D941" s="10">
        <v>44939.0</v>
      </c>
      <c r="E941" s="4" t="s">
        <v>2688</v>
      </c>
      <c r="F941" s="4" t="s">
        <v>331</v>
      </c>
      <c r="G941" s="6" t="str">
        <f>IFERROR(__xludf.DUMMYFUNCTION("REGEXREPLACE(LOWER(F941),""[^a-z\s]"","""")"),"none")</f>
        <v>none</v>
      </c>
      <c r="H941" s="4" t="str">
        <f t="shared" si="1"/>
        <v>none</v>
      </c>
      <c r="I941" s="6">
        <f t="shared" si="2"/>
        <v>1</v>
      </c>
      <c r="J941" s="6">
        <f>IFERROR(__xludf.DUMMYFUNCTION("IF(H941="""","""",
SUM(
ARRAYFORMULA(
IF(
REGEXMATCH(
"" ""&amp;H941&amp;"" "",
"" ""&amp;Sentiment_Words!A$2:A3730&amp;"" ""
),
1,
0
)
)
)
)"),0.0)</f>
        <v>0</v>
      </c>
      <c r="K941" s="4">
        <f>IFERROR(__xludf.DUMMYFUNCTION("IF(H941="""","""",
SUM(
ARRAYFORMULA(
IF(
REGEXMATCH(
"" ""&amp;H941&amp;"" "",
"" ""&amp;Sentiment_Words!B$2:B3730&amp;"" ""
),
1,
0
)
)
)
)"),0.0)</f>
        <v>0</v>
      </c>
      <c r="L941" s="7" t="str">
        <f t="shared" si="3"/>
        <v>Other</v>
      </c>
      <c r="M941" s="7" t="str">
        <f t="shared" si="4"/>
        <v>Neutral</v>
      </c>
      <c r="N941" s="7" t="str">
        <f>IFERROR(__xludf.DUMMYFUNCTION("LOWER(
TRIM(
REGEXREPLACE(B941,""[^a-zA-Z\s]"","""")
)
)
"),"david eichorn")</f>
        <v>david eichorn</v>
      </c>
      <c r="O941" s="7">
        <f t="shared" si="5"/>
        <v>1</v>
      </c>
      <c r="P941" s="8" t="str">
        <f t="shared" si="6"/>
        <v>No</v>
      </c>
    </row>
    <row r="942">
      <c r="A942" s="4" t="s">
        <v>16</v>
      </c>
      <c r="B942" s="4" t="s">
        <v>2689</v>
      </c>
      <c r="C942" s="5">
        <v>44916.0</v>
      </c>
      <c r="D942" s="10">
        <v>44939.0</v>
      </c>
      <c r="E942" s="4" t="s">
        <v>2690</v>
      </c>
      <c r="F942" s="4" t="s">
        <v>2691</v>
      </c>
      <c r="G942" s="6" t="str">
        <f>IFERROR(__xludf.DUMMYFUNCTION("REGEXREPLACE(LOWER(F942),""[^a-z\s]"","""")"),"my order was cancelled without them letting me know and i received lousy customer service trying to figure out why placed my order again but of course the price of one of my items has gone up customer service will not help")</f>
        <v>my order was cancelled without them letting me know and i received lousy customer service trying to figure out why placed my order again but of course the price of one of my items has gone up customer service will not help</v>
      </c>
      <c r="H942" s="4" t="str">
        <f t="shared" si="1"/>
        <v>my order was cancelled without them letting me know i received lousy customer service trying figure out why placed my order again but of course price of one of my items has gone up customer service will not help</v>
      </c>
      <c r="I942" s="6">
        <f t="shared" si="2"/>
        <v>39</v>
      </c>
      <c r="J942" s="6">
        <f>IFERROR(__xludf.DUMMYFUNCTION("IF(H942="""","""",
SUM(
ARRAYFORMULA(
IF(
REGEXMATCH(
"" ""&amp;H942&amp;"" "",
"" ""&amp;Sentiment_Words!A$2:A3730&amp;"" ""
),
1,
0
)
)
)
)"),0.0)</f>
        <v>0</v>
      </c>
      <c r="K942" s="4">
        <f>IFERROR(__xludf.DUMMYFUNCTION("IF(H942="""","""",
SUM(
ARRAYFORMULA(
IF(
REGEXMATCH(
"" ""&amp;H942&amp;"" "",
"" ""&amp;Sentiment_Words!B$2:B3730&amp;"" ""
),
1,
0
)
)
)
)"),2.0)</f>
        <v>2</v>
      </c>
      <c r="L942" s="7" t="str">
        <f t="shared" si="3"/>
        <v>Customer Support</v>
      </c>
      <c r="M942" s="7" t="str">
        <f t="shared" si="4"/>
        <v>Negative</v>
      </c>
      <c r="N942" s="7" t="str">
        <f>IFERROR(__xludf.DUMMYFUNCTION("LOWER(
TRIM(
REGEXREPLACE(B942,""[^a-zA-Z\s]"","""")
)
)
"),"km")</f>
        <v>km</v>
      </c>
      <c r="O942" s="7">
        <f t="shared" si="5"/>
        <v>1</v>
      </c>
      <c r="P942" s="8" t="str">
        <f t="shared" si="6"/>
        <v>No</v>
      </c>
    </row>
    <row r="943">
      <c r="A943" s="4" t="s">
        <v>16</v>
      </c>
      <c r="B943" s="4" t="s">
        <v>2692</v>
      </c>
      <c r="C943" s="9">
        <v>44932.0</v>
      </c>
      <c r="D943" s="10">
        <v>44938.0</v>
      </c>
      <c r="E943" s="4" t="s">
        <v>2693</v>
      </c>
      <c r="F943" s="4" t="s">
        <v>2694</v>
      </c>
      <c r="G943" s="6" t="str">
        <f>IFERROR(__xludf.DUMMYFUNCTION("REGEXREPLACE(LOWER(F943),""[^a-z\s]"","""")")," i was  cents short for free shipping so i added  treats that never got added to the order got charged for shipping the package was so heavy fedex dumped it in the wrong lobby not even bothering to drop it at my door
you make us order so much  to not give"&amp;" free shipping when with tax my order was way over your minimum if the treats were added as i selected it would have met your requirements too complicated for me  very stressful for both me  my cat while i searched the local buildings for her cat food")</f>
        <v> i was  cents short for free shipping so i added  treats that never got added to the order got charged for shipping the package was so heavy fedex dumped it in the wrong lobby not even bothering to drop it at my door
you make us order so much  to not give free shipping when with tax my order was way over your minimum if the treats were added as i selected it would have met your requirements too complicated for me  very stressful for both me  my cat while i searched the local buildings for her cat food</v>
      </c>
      <c r="H943" s="4" t="str">
        <f t="shared" si="1"/>
        <v>i was cents short free shipping so i added treats that never got added order got charged shipping package was so heavy fedex dumped it in wrong lobby not even bothering drop it at my door
you make us order so much not give free shipping when with tax my order was way over your minimum if treats were added as i selected it would have met your requirements too complicated me very stressful both me my cat while i searched local buildings her cat food</v>
      </c>
      <c r="I943" s="6">
        <f t="shared" si="2"/>
        <v>85</v>
      </c>
      <c r="J943" s="6">
        <f>IFERROR(__xludf.DUMMYFUNCTION("IF(H943="""","""",
SUM(
ARRAYFORMULA(
IF(
REGEXMATCH(
"" ""&amp;H943&amp;"" "",
"" ""&amp;Sentiment_Words!A$2:A3730&amp;"" ""
),
1,
0
)
)
)
)"),0.0)</f>
        <v>0</v>
      </c>
      <c r="K943" s="4">
        <f>IFERROR(__xludf.DUMMYFUNCTION("IF(H943="""","""",
SUM(
ARRAYFORMULA(
IF(
REGEXMATCH(
"" ""&amp;H943&amp;"" "",
"" ""&amp;Sentiment_Words!B$2:B3730&amp;"" ""
),
1,
0
)
)
)
)"),1.0)</f>
        <v>1</v>
      </c>
      <c r="L943" s="7" t="str">
        <f t="shared" si="3"/>
        <v>Fulfillment &amp; Shipping</v>
      </c>
      <c r="M943" s="7" t="str">
        <f t="shared" si="4"/>
        <v>Negative</v>
      </c>
      <c r="N943" s="7" t="str">
        <f>IFERROR(__xludf.DUMMYFUNCTION("LOWER(
TRIM(
REGEXREPLACE(B943,""[^a-zA-Z\s]"","""")
)
)
"),"miumius mom")</f>
        <v>miumius mom</v>
      </c>
      <c r="O943" s="7">
        <f t="shared" si="5"/>
        <v>1</v>
      </c>
      <c r="P943" s="8" t="str">
        <f t="shared" si="6"/>
        <v>No</v>
      </c>
    </row>
    <row r="944">
      <c r="A944" s="4" t="s">
        <v>16</v>
      </c>
      <c r="B944" s="4" t="s">
        <v>2695</v>
      </c>
      <c r="C944" s="9">
        <v>44935.0</v>
      </c>
      <c r="D944" s="10">
        <v>44938.0</v>
      </c>
      <c r="E944" s="4" t="s">
        <v>2696</v>
      </c>
      <c r="F944" s="4" t="s">
        <v>2697</v>
      </c>
      <c r="G944" s="6" t="str">
        <f>IFERROR(__xludf.DUMMYFUNCTION("REGEXREPLACE(LOWER(F944),""[^a-z\s]"","""")"),"it took a very very long time to get to my house ive switched to chewy because their shipments get to me in one to  days")</f>
        <v>it took a very very long time to get to my house ive switched to chewy because their shipments get to me in one to  days</v>
      </c>
      <c r="H944" s="4" t="str">
        <f t="shared" si="1"/>
        <v>it took a very very long time get my house ive switched chewy because their shipments get me in one days</v>
      </c>
      <c r="I944" s="6">
        <f t="shared" si="2"/>
        <v>21</v>
      </c>
      <c r="J944" s="6">
        <f>IFERROR(__xludf.DUMMYFUNCTION("IF(H944="""","""",
SUM(
ARRAYFORMULA(
IF(
REGEXMATCH(
"" ""&amp;H944&amp;"" "",
"" ""&amp;Sentiment_Words!A$2:A3730&amp;"" ""
),
1,
0
)
)
)
)"),0.0)</f>
        <v>0</v>
      </c>
      <c r="K944" s="4">
        <f>IFERROR(__xludf.DUMMYFUNCTION("IF(H944="""","""",
SUM(
ARRAYFORMULA(
IF(
REGEXMATCH(
"" ""&amp;H944&amp;"" "",
"" ""&amp;Sentiment_Words!B$2:B3730&amp;"" ""
),
1,
0
)
)
)
)"),0.0)</f>
        <v>0</v>
      </c>
      <c r="L944" s="7" t="str">
        <f t="shared" si="3"/>
        <v>Other</v>
      </c>
      <c r="M944" s="7" t="str">
        <f t="shared" si="4"/>
        <v>Neutral</v>
      </c>
      <c r="N944" s="7" t="str">
        <f>IFERROR(__xludf.DUMMYFUNCTION("LOWER(
TRIM(
REGEXREPLACE(B944,""[^a-zA-Z\s]"","""")
)
)
"),"barbara")</f>
        <v>barbara</v>
      </c>
      <c r="O944" s="7">
        <f t="shared" si="5"/>
        <v>3</v>
      </c>
      <c r="P944" s="8" t="str">
        <f t="shared" si="6"/>
        <v>Yes</v>
      </c>
    </row>
    <row r="945">
      <c r="A945" s="4" t="s">
        <v>16</v>
      </c>
      <c r="B945" s="4" t="s">
        <v>2698</v>
      </c>
      <c r="C945" s="5">
        <v>44937.0</v>
      </c>
      <c r="D945" s="10">
        <v>44938.0</v>
      </c>
      <c r="E945" s="4" t="s">
        <v>2699</v>
      </c>
      <c r="F945" s="4" t="s">
        <v>2700</v>
      </c>
      <c r="G945" s="6" t="str">
        <f>IFERROR(__xludf.DUMMYFUNCTION("REGEXREPLACE(LOWER(F945),""[^a-z\s]"","""")"),"havent received product and you want a review ordered on  needing it no later than  and wont receive it until the th if lucky but still asked for review maybe make your automated emails for review tied to the delivery of the items would be nice")</f>
        <v>havent received product and you want a review ordered on  needing it no later than  and wont receive it until the th if lucky but still asked for review maybe make your automated emails for review tied to the delivery of the items would be nice</v>
      </c>
      <c r="H945" s="4" t="str">
        <f t="shared" si="1"/>
        <v>havent received product you want a review ordered on needing it no later than wont receive it until th if lucky but still asked review maybe make your automated emails review tied delivery of items would be nice</v>
      </c>
      <c r="I945" s="6">
        <f t="shared" si="2"/>
        <v>38</v>
      </c>
      <c r="J945" s="6">
        <f>IFERROR(__xludf.DUMMYFUNCTION("IF(H945="""","""",
SUM(
ARRAYFORMULA(
IF(
REGEXMATCH(
"" ""&amp;H945&amp;"" "",
"" ""&amp;Sentiment_Words!A$2:A3730&amp;"" ""
),
1,
0
)
)
)
)"),0.0)</f>
        <v>0</v>
      </c>
      <c r="K945" s="4">
        <f>IFERROR(__xludf.DUMMYFUNCTION("IF(H945="""","""",
SUM(
ARRAYFORMULA(
IF(
REGEXMATCH(
"" ""&amp;H945&amp;"" "",
"" ""&amp;Sentiment_Words!B$2:B3730&amp;"" ""
),
1,
0
)
)
)
)"),0.0)</f>
        <v>0</v>
      </c>
      <c r="L945" s="7" t="str">
        <f t="shared" si="3"/>
        <v>Fulfillment &amp; Shipping</v>
      </c>
      <c r="M945" s="7" t="str">
        <f t="shared" si="4"/>
        <v>Neutral</v>
      </c>
      <c r="N945" s="7" t="str">
        <f>IFERROR(__xludf.DUMMYFUNCTION("LOWER(
TRIM(
REGEXREPLACE(B945,""[^a-zA-Z\s]"","""")
)
)
"),"stephen")</f>
        <v>stephen</v>
      </c>
      <c r="O945" s="7">
        <f t="shared" si="5"/>
        <v>4</v>
      </c>
      <c r="P945" s="8" t="str">
        <f t="shared" si="6"/>
        <v>Yes</v>
      </c>
    </row>
    <row r="946">
      <c r="A946" s="4" t="s">
        <v>16</v>
      </c>
      <c r="B946" s="4" t="s">
        <v>2701</v>
      </c>
      <c r="C946" s="5">
        <v>44925.0</v>
      </c>
      <c r="D946" s="10">
        <v>44938.0</v>
      </c>
      <c r="E946" s="4" t="s">
        <v>2702</v>
      </c>
      <c r="F946" s="4" t="s">
        <v>2703</v>
      </c>
      <c r="G946" s="6" t="str">
        <f>IFERROR(__xludf.DUMMYFUNCTION("REGEXREPLACE(LOWER(F946),""[^a-z\s]"","""")"),"the package came in good condition and when it was running late i have a coupon for the next order that they sent")</f>
        <v>the package came in good condition and when it was running late i have a coupon for the next order that they sent</v>
      </c>
      <c r="H946" s="4" t="str">
        <f t="shared" si="1"/>
        <v>package came in good condition when it was running late i have a coupon next order that they sent</v>
      </c>
      <c r="I946" s="6">
        <f t="shared" si="2"/>
        <v>19</v>
      </c>
      <c r="J946" s="6">
        <f>IFERROR(__xludf.DUMMYFUNCTION("IF(H946="""","""",
SUM(
ARRAYFORMULA(
IF(
REGEXMATCH(
"" ""&amp;H946&amp;"" "",
"" ""&amp;Sentiment_Words!A$2:A3730&amp;"" ""
),
1,
0
)
)
)
)"),1.0)</f>
        <v>1</v>
      </c>
      <c r="K946" s="4">
        <f>IFERROR(__xludf.DUMMYFUNCTION("IF(H946="""","""",
SUM(
ARRAYFORMULA(
IF(
REGEXMATCH(
"" ""&amp;H946&amp;"" "",
"" ""&amp;Sentiment_Words!B$2:B3730&amp;"" ""
),
1,
0
)
)
)
)"),0.0)</f>
        <v>0</v>
      </c>
      <c r="L946" s="7" t="str">
        <f t="shared" si="3"/>
        <v>Fulfillment &amp; Shipping</v>
      </c>
      <c r="M946" s="7" t="str">
        <f t="shared" si="4"/>
        <v>Positive</v>
      </c>
      <c r="N946" s="7" t="str">
        <f>IFERROR(__xludf.DUMMYFUNCTION("LOWER(
TRIM(
REGEXREPLACE(B946,""[^a-zA-Z\s]"","""")
)
)
"),"cheri collins")</f>
        <v>cheri collins</v>
      </c>
      <c r="O946" s="7">
        <f t="shared" si="5"/>
        <v>1</v>
      </c>
      <c r="P946" s="8" t="str">
        <f t="shared" si="6"/>
        <v>No</v>
      </c>
    </row>
    <row r="947">
      <c r="A947" s="4" t="s">
        <v>16</v>
      </c>
      <c r="B947" s="4" t="s">
        <v>2704</v>
      </c>
      <c r="C947" s="5">
        <v>44937.0</v>
      </c>
      <c r="D947" s="10">
        <v>44938.0</v>
      </c>
      <c r="E947" s="4" t="s">
        <v>2705</v>
      </c>
      <c r="F947" s="4" t="s">
        <v>2706</v>
      </c>
      <c r="G947" s="6" t="str">
        <f>IFERROR(__xludf.DUMMYFUNCTION("REGEXREPLACE(LOWER(F947),""[^a-z\s]"","""")"),"ive been with petflow for many years product is alway delivered promptly and no damage if you do have a damaged can they make it good love this company")</f>
        <v>ive been with petflow for many years product is alway delivered promptly and no damage if you do have a damaged can they make it good love this company</v>
      </c>
      <c r="H947" s="4" t="str">
        <f t="shared" si="1"/>
        <v>ive been with petflow many years product alway delivered promptly no damage if you do have a damaged can they make it good love this company</v>
      </c>
      <c r="I947" s="6">
        <f t="shared" si="2"/>
        <v>26</v>
      </c>
      <c r="J947" s="6">
        <f>IFERROR(__xludf.DUMMYFUNCTION("IF(H947="""","""",
SUM(
ARRAYFORMULA(
IF(
REGEXMATCH(
"" ""&amp;H947&amp;"" "",
"" ""&amp;Sentiment_Words!A$2:A3730&amp;"" ""
),
1,
0
)
)
)
)"),3.0)</f>
        <v>3</v>
      </c>
      <c r="K947" s="4">
        <f>IFERROR(__xludf.DUMMYFUNCTION("IF(H947="""","""",
SUM(
ARRAYFORMULA(
IF(
REGEXMATCH(
"" ""&amp;H947&amp;"" "",
"" ""&amp;Sentiment_Words!B$2:B3730&amp;"" ""
),
1,
0
)
)
)
)"),0.0)</f>
        <v>0</v>
      </c>
      <c r="L947" s="7" t="str">
        <f t="shared" si="3"/>
        <v>Other</v>
      </c>
      <c r="M947" s="7" t="str">
        <f t="shared" si="4"/>
        <v>Positive</v>
      </c>
      <c r="N947" s="7" t="str">
        <f>IFERROR(__xludf.DUMMYFUNCTION("LOWER(
TRIM(
REGEXREPLACE(B947,""[^a-zA-Z\s]"","""")
)
)
"),"frank lucero")</f>
        <v>frank lucero</v>
      </c>
      <c r="O947" s="7">
        <f t="shared" si="5"/>
        <v>1</v>
      </c>
      <c r="P947" s="8" t="str">
        <f t="shared" si="6"/>
        <v>No</v>
      </c>
    </row>
    <row r="948">
      <c r="A948" s="4" t="s">
        <v>16</v>
      </c>
      <c r="B948" s="4" t="s">
        <v>2707</v>
      </c>
      <c r="C948" s="9">
        <v>44930.0</v>
      </c>
      <c r="D948" s="10">
        <v>44937.0</v>
      </c>
      <c r="E948" s="4" t="s">
        <v>2708</v>
      </c>
      <c r="F948" s="4" t="s">
        <v>2709</v>
      </c>
      <c r="G948" s="6" t="str">
        <f>IFERROR(__xludf.DUMMYFUNCTION("REGEXREPLACE(LOWER(F948),""[^a-z\s]"","""")"),"ryan was exceptionally helpful and because of his assistance i will continue to shop at petflow")</f>
        <v>ryan was exceptionally helpful and because of his assistance i will continue to shop at petflow</v>
      </c>
      <c r="H948" s="4" t="str">
        <f t="shared" si="1"/>
        <v>ryan was exceptionally helpful because of his assistance i will continue shop at petflow</v>
      </c>
      <c r="I948" s="6">
        <f t="shared" si="2"/>
        <v>14</v>
      </c>
      <c r="J948" s="6">
        <f>IFERROR(__xludf.DUMMYFUNCTION("IF(H948="""","""",
SUM(
ARRAYFORMULA(
IF(
REGEXMATCH(
"" ""&amp;H948&amp;"" "",
"" ""&amp;Sentiment_Words!A$2:A3730&amp;"" ""
),
1,
0
)
)
)
)"),1.0)</f>
        <v>1</v>
      </c>
      <c r="K948" s="4">
        <f>IFERROR(__xludf.DUMMYFUNCTION("IF(H948="""","""",
SUM(
ARRAYFORMULA(
IF(
REGEXMATCH(
"" ""&amp;H948&amp;"" "",
"" ""&amp;Sentiment_Words!B$2:B3730&amp;"" ""
),
1,
0
)
)
)
)"),0.0)</f>
        <v>0</v>
      </c>
      <c r="L948" s="7" t="str">
        <f t="shared" si="3"/>
        <v>Other</v>
      </c>
      <c r="M948" s="7" t="str">
        <f t="shared" si="4"/>
        <v>Positive</v>
      </c>
      <c r="N948" s="7" t="str">
        <f>IFERROR(__xludf.DUMMYFUNCTION("LOWER(
TRIM(
REGEXREPLACE(B948,""[^a-zA-Z\s]"","""")
)
)
"),"debi")</f>
        <v>debi</v>
      </c>
      <c r="O948" s="7">
        <f t="shared" si="5"/>
        <v>3</v>
      </c>
      <c r="P948" s="8" t="str">
        <f t="shared" si="6"/>
        <v>Yes</v>
      </c>
    </row>
    <row r="949">
      <c r="A949" s="4" t="s">
        <v>16</v>
      </c>
      <c r="B949" s="4" t="s">
        <v>2710</v>
      </c>
      <c r="C949" s="9">
        <v>44935.0</v>
      </c>
      <c r="D949" s="10">
        <v>44937.0</v>
      </c>
      <c r="E949" s="4" t="s">
        <v>2711</v>
      </c>
      <c r="F949" s="4" t="s">
        <v>2712</v>
      </c>
      <c r="G949" s="6" t="str">
        <f>IFERROR(__xludf.DUMMYFUNCTION("REGEXREPLACE(LOWER(F949),""[^a-z\s]"","""")")," years doing business with you petflow
poor resolve for item i have been buying from you for  years
i will look forward discussing this with senior corporate manager
with  years in corporate myself with customer support responsibilities pehaps i could a"&amp;"ssist getting your act together")</f>
        <v> years doing business with you petflow
poor resolve for item i have been buying from you for  years
i will look forward discussing this with senior corporate manager
with  years in corporate myself with customer support responsibilities pehaps i could assist getting your act together</v>
      </c>
      <c r="H949" s="4" t="str">
        <f t="shared" si="1"/>
        <v>years doing business with you petflow
poor resolve item i have been buying from you years
i will look forward discussing this with senior corporate manager
with years in corporate myself with customer support responsibilities pehaps i could assist getting your act together</v>
      </c>
      <c r="I949" s="6">
        <f t="shared" si="2"/>
        <v>40</v>
      </c>
      <c r="J949" s="6">
        <f>IFERROR(__xludf.DUMMYFUNCTION("IF(H949="""","""",
SUM(
ARRAYFORMULA(
IF(
REGEXMATCH(
"" ""&amp;H949&amp;"" "",
"" ""&amp;Sentiment_Words!A$2:A3730&amp;"" ""
),
1,
0
)
)
)
)"),0.0)</f>
        <v>0</v>
      </c>
      <c r="K949" s="4">
        <f>IFERROR(__xludf.DUMMYFUNCTION("IF(H949="""","""",
SUM(
ARRAYFORMULA(
IF(
REGEXMATCH(
"" ""&amp;H949&amp;"" "",
"" ""&amp;Sentiment_Words!B$2:B3730&amp;"" ""
),
1,
0
)
)
)
)"),0.0)</f>
        <v>0</v>
      </c>
      <c r="L949" s="7" t="str">
        <f t="shared" si="3"/>
        <v>Customer Support</v>
      </c>
      <c r="M949" s="7" t="str">
        <f t="shared" si="4"/>
        <v>Neutral</v>
      </c>
      <c r="N949" s="7" t="str">
        <f>IFERROR(__xludf.DUMMYFUNCTION("LOWER(
TRIM(
REGEXREPLACE(B949,""[^a-zA-Z\s]"","""")
)
)
"),"allen m feldman")</f>
        <v>allen m feldman</v>
      </c>
      <c r="O949" s="7">
        <f t="shared" si="5"/>
        <v>1</v>
      </c>
      <c r="P949" s="8" t="str">
        <f t="shared" si="6"/>
        <v>No</v>
      </c>
    </row>
    <row r="950">
      <c r="A950" s="4" t="s">
        <v>16</v>
      </c>
      <c r="B950" s="4" t="s">
        <v>2713</v>
      </c>
      <c r="C950" s="5">
        <v>44925.0</v>
      </c>
      <c r="D950" s="10">
        <v>44937.0</v>
      </c>
      <c r="E950" s="4" t="s">
        <v>2714</v>
      </c>
      <c r="F950" s="4" t="s">
        <v>2715</v>
      </c>
      <c r="G950" s="6" t="str">
        <f>IFERROR(__xludf.DUMMYFUNCTION("REGEXREPLACE(LOWER(F950),""[^a-z\s]"","""")"),"they always have what i need in stock and at a great price especially with the use of the coupon options")</f>
        <v>they always have what i need in stock and at a great price especially with the use of the coupon options</v>
      </c>
      <c r="H950" s="4" t="str">
        <f t="shared" si="1"/>
        <v>they always have what i need in stock at a great price especially with use of coupon options</v>
      </c>
      <c r="I950" s="6">
        <f t="shared" si="2"/>
        <v>18</v>
      </c>
      <c r="J950" s="6">
        <f>IFERROR(__xludf.DUMMYFUNCTION("IF(H950="""","""",
SUM(
ARRAYFORMULA(
IF(
REGEXMATCH(
"" ""&amp;H950&amp;"" "",
"" ""&amp;Sentiment_Words!A$2:A3730&amp;"" ""
),
1,
0
)
)
)
)"),1.0)</f>
        <v>1</v>
      </c>
      <c r="K950" s="4">
        <f>IFERROR(__xludf.DUMMYFUNCTION("IF(H950="""","""",
SUM(
ARRAYFORMULA(
IF(
REGEXMATCH(
"" ""&amp;H950&amp;"" "",
"" ""&amp;Sentiment_Words!B$2:B3730&amp;"" ""
),
1,
0
)
)
)
)"),0.0)</f>
        <v>0</v>
      </c>
      <c r="L950" s="7" t="str">
        <f t="shared" si="3"/>
        <v>Other</v>
      </c>
      <c r="M950" s="7" t="str">
        <f t="shared" si="4"/>
        <v>Positive</v>
      </c>
      <c r="N950" s="7" t="str">
        <f>IFERROR(__xludf.DUMMYFUNCTION("LOWER(
TRIM(
REGEXREPLACE(B950,""[^a-zA-Z\s]"","""")
)
)
"),"richard")</f>
        <v>richard</v>
      </c>
      <c r="O950" s="7">
        <f t="shared" si="5"/>
        <v>3</v>
      </c>
      <c r="P950" s="8" t="str">
        <f t="shared" si="6"/>
        <v>Yes</v>
      </c>
    </row>
    <row r="951">
      <c r="A951" s="4" t="s">
        <v>16</v>
      </c>
      <c r="B951" s="4" t="s">
        <v>2716</v>
      </c>
      <c r="C951" s="9">
        <v>44931.0</v>
      </c>
      <c r="D951" s="10">
        <v>44937.0</v>
      </c>
      <c r="E951" s="4" t="s">
        <v>2717</v>
      </c>
      <c r="F951" s="4" t="s">
        <v>2718</v>
      </c>
      <c r="G951" s="6" t="str">
        <f>IFERROR(__xludf.DUMMYFUNCTION("REGEXREPLACE(LOWER(F951),""[^a-z\s]"","""")"),"if i could give petflow  stars i would their customer service is awful awful awful they take forever to ship items on the offchance that they actually have the items available and will require a huge waste of time on your part to rectify issues that they "&amp;"create they consistently gone downhill over the years ive given them multiple chances and each time wonder why i did i am currently on the phone for the third time with them to rectify an issue stay away while your local pet store might be a few dollars m"&amp;"ore expensive or maybe they wont be it will be worth the time and effort youll save from not giving your business to petflow")</f>
        <v>if i could give petflow  stars i would their customer service is awful awful awful they take forever to ship items on the offchance that they actually have the items available and will require a huge waste of time on your part to rectify issues that they create they consistently gone downhill over the years ive given them multiple chances and each time wonder why i did i am currently on the phone for the third time with them to rectify an issue stay away while your local pet store might be a few dollars more expensive or maybe they wont be it will be worth the time and effort youll save from not giving your business to petflow</v>
      </c>
      <c r="H951" s="4" t="str">
        <f t="shared" si="1"/>
        <v>if i could give petflow stars i would their customer service awful awful awful they take forever ship items on offchance that they actually have items available will require a huge waste of time on your part rectify issues that they create they consistently gone downhill over years ive given them multiple chances each time wonder why i did i am currently on phone third time with them rectify an issue stay away while your local pet store might be a few dollars more expensive or maybe they wont be it will be worth time effort youll save from not giving your business petflow</v>
      </c>
      <c r="I951" s="6">
        <f t="shared" si="2"/>
        <v>104</v>
      </c>
      <c r="J951" s="6">
        <f>IFERROR(__xludf.DUMMYFUNCTION("IF(H951="""","""",
SUM(
ARRAYFORMULA(
IF(
REGEXMATCH(
"" ""&amp;H951&amp;"" "",
"" ""&amp;Sentiment_Words!A$2:A3730&amp;"" ""
),
1,
0
)
)
)
)"),2.0)</f>
        <v>2</v>
      </c>
      <c r="K951" s="4">
        <f>IFERROR(__xludf.DUMMYFUNCTION("IF(H951="""","""",
SUM(
ARRAYFORMULA(
IF(
REGEXMATCH(
"" ""&amp;H951&amp;"" "",
"" ""&amp;Sentiment_Words!B$2:B3730&amp;"" ""
),
1,
0
)
)
)
)"),2.0)</f>
        <v>2</v>
      </c>
      <c r="L951" s="7" t="str">
        <f t="shared" si="3"/>
        <v>Customer Support</v>
      </c>
      <c r="M951" s="7" t="str">
        <f t="shared" si="4"/>
        <v>Neutral</v>
      </c>
      <c r="N951" s="7" t="str">
        <f>IFERROR(__xludf.DUMMYFUNCTION("LOWER(
TRIM(
REGEXREPLACE(B951,""[^a-zA-Z\s]"","""")
)
)
"),"s ip")</f>
        <v>s ip</v>
      </c>
      <c r="O951" s="7">
        <f t="shared" si="5"/>
        <v>1</v>
      </c>
      <c r="P951" s="8" t="str">
        <f t="shared" si="6"/>
        <v>No</v>
      </c>
    </row>
    <row r="952">
      <c r="A952" s="4" t="s">
        <v>16</v>
      </c>
      <c r="B952" s="4" t="s">
        <v>2719</v>
      </c>
      <c r="C952" s="5">
        <v>44936.0</v>
      </c>
      <c r="D952" s="10">
        <v>44937.0</v>
      </c>
      <c r="E952" s="4" t="s">
        <v>2720</v>
      </c>
      <c r="F952" s="4" t="s">
        <v>2721</v>
      </c>
      <c r="G952" s="6" t="str">
        <f>IFERROR(__xludf.DUMMYFUNCTION("REGEXREPLACE(LOWER(F952),""[^a-z\s]"","""")"),"my order was placed december  and i still dont have it two weeks is just too long ordering from petflow is just too unpredictable sometimes its days sometimes its weeks i had to buy from another source")</f>
        <v>my order was placed december  and i still dont have it two weeks is just too long ordering from petflow is just too unpredictable sometimes its days sometimes its weeks i had to buy from another source</v>
      </c>
      <c r="H952" s="4" t="str">
        <f t="shared" si="1"/>
        <v>my order was placed december i still dont have it two weeks just too long ordering from petflow just too unpredictable sometimes its days sometimes its weeks i had buy from another source</v>
      </c>
      <c r="I952" s="6">
        <f t="shared" si="2"/>
        <v>33</v>
      </c>
      <c r="J952" s="6">
        <f>IFERROR(__xludf.DUMMYFUNCTION("IF(H952="""","""",
SUM(
ARRAYFORMULA(
IF(
REGEXMATCH(
"" ""&amp;H952&amp;"" "",
"" ""&amp;Sentiment_Words!A$2:A3730&amp;"" ""
),
1,
0
)
)
)
)"),0.0)</f>
        <v>0</v>
      </c>
      <c r="K952" s="4">
        <f>IFERROR(__xludf.DUMMYFUNCTION("IF(H952="""","""",
SUM(
ARRAYFORMULA(
IF(
REGEXMATCH(
"" ""&amp;H952&amp;"" "",
"" ""&amp;Sentiment_Words!B$2:B3730&amp;"" ""
),
1,
0
)
)
)
)"),0.0)</f>
        <v>0</v>
      </c>
      <c r="L952" s="7" t="str">
        <f t="shared" si="3"/>
        <v>Other</v>
      </c>
      <c r="M952" s="7" t="str">
        <f t="shared" si="4"/>
        <v>Neutral</v>
      </c>
      <c r="N952" s="7" t="str">
        <f>IFERROR(__xludf.DUMMYFUNCTION("LOWER(
TRIM(
REGEXREPLACE(B952,""[^a-zA-Z\s]"","""")
)
)
"),"dave dufour")</f>
        <v>dave dufour</v>
      </c>
      <c r="O952" s="7">
        <f t="shared" si="5"/>
        <v>1</v>
      </c>
      <c r="P952" s="8" t="str">
        <f t="shared" si="6"/>
        <v>No</v>
      </c>
    </row>
    <row r="953">
      <c r="A953" s="4" t="s">
        <v>16</v>
      </c>
      <c r="B953" s="4" t="s">
        <v>2722</v>
      </c>
      <c r="C953" s="5">
        <v>44936.0</v>
      </c>
      <c r="D953" s="10">
        <v>44936.0</v>
      </c>
      <c r="E953" s="4" t="s">
        <v>2723</v>
      </c>
      <c r="F953" s="4" t="s">
        <v>2724</v>
      </c>
      <c r="G953" s="6" t="str">
        <f>IFERROR(__xludf.DUMMYFUNCTION("REGEXREPLACE(LOWER(F953),""[^a-z\s]"","""")"),"please give alerts or notifications when you cant fulfill an auto ship order i have to find out by checking my account after the expected shipment date has passed and im out of my cats prescription kd food have voiced my concerns multiple times over the p"&amp;"hone that notice needs to be provided only to be assured it wont happen again it has
additionally you should allow your customers to cancel their own auto ship orders why can i only pause it myself and only for  weeks at that but have to talk to someone "&amp;"to cancel what if my pet passed away you think thats a fun experience please do better")</f>
        <v>please give alerts or notifications when you cant fulfill an auto ship order i have to find out by checking my account after the expected shipment date has passed and im out of my cats prescription kd food have voiced my concerns multiple times over the phone that notice needs to be provided only to be assured it wont happen again it has
additionally you should allow your customers to cancel their own auto ship orders why can i only pause it myself and only for  weeks at that but have to talk to someone to cancel what if my pet passed away you think thats a fun experience please do better</v>
      </c>
      <c r="H953" s="4" t="str">
        <f t="shared" si="1"/>
        <v>please give alerts or notifications when you cant fulfill an auto ship order i have find out by checking my account after expected shipment date has passed im out of my cats prescription kd food have voiced my concerns multiple times over phone that notice needs be provided only be assured it wont happen again it has
additionally you should allow your customers cancel their own auto ship orders why can i only pause it myself only weeks at that but have talk someone cancel what if my pet passed away you think thats a fun experience please do better</v>
      </c>
      <c r="I953" s="6">
        <f t="shared" si="2"/>
        <v>99</v>
      </c>
      <c r="J953" s="6">
        <f>IFERROR(__xludf.DUMMYFUNCTION("IF(H953="""","""",
SUM(
ARRAYFORMULA(
IF(
REGEXMATCH(
"" ""&amp;H953&amp;"" "",
"" ""&amp;Sentiment_Words!A$2:A3730&amp;"" ""
),
1,
0
)
)
)
)"),1.0)</f>
        <v>1</v>
      </c>
      <c r="K953" s="4">
        <f>IFERROR(__xludf.DUMMYFUNCTION("IF(H953="""","""",
SUM(
ARRAYFORMULA(
IF(
REGEXMATCH(
"" ""&amp;H953&amp;"" "",
"" ""&amp;Sentiment_Words!B$2:B3730&amp;"" ""
),
1,
0
)
)
)
)"),0.0)</f>
        <v>0</v>
      </c>
      <c r="L953" s="7" t="str">
        <f t="shared" si="3"/>
        <v>Account &amp; Website</v>
      </c>
      <c r="M953" s="7" t="str">
        <f t="shared" si="4"/>
        <v>Positive</v>
      </c>
      <c r="N953" s="7" t="str">
        <f>IFERROR(__xludf.DUMMYFUNCTION("LOWER(
TRIM(
REGEXREPLACE(B953,""[^a-zA-Z\s]"","""")
)
)
"),"julia")</f>
        <v>julia</v>
      </c>
      <c r="O953" s="7">
        <f t="shared" si="5"/>
        <v>3</v>
      </c>
      <c r="P953" s="8" t="str">
        <f t="shared" si="6"/>
        <v>Yes</v>
      </c>
    </row>
    <row r="954">
      <c r="A954" s="4" t="s">
        <v>16</v>
      </c>
      <c r="B954" s="4" t="s">
        <v>2725</v>
      </c>
      <c r="C954" s="5">
        <v>44910.0</v>
      </c>
      <c r="D954" s="10">
        <v>44936.0</v>
      </c>
      <c r="E954" s="4" t="s">
        <v>2726</v>
      </c>
      <c r="F954" s="4" t="s">
        <v>2727</v>
      </c>
      <c r="G954" s="6" t="str">
        <f>IFERROR(__xludf.DUMMYFUNCTION("REGEXREPLACE(LOWER(F954),""[^a-z\s]"","""")"),"delivers as promised and checks that it was received i am thrilled that i found petflow")</f>
        <v>delivers as promised and checks that it was received i am thrilled that i found petflow</v>
      </c>
      <c r="H954" s="4" t="str">
        <f t="shared" si="1"/>
        <v>delivers as promised checks that it was received i am thrilled that i found petflow</v>
      </c>
      <c r="I954" s="6">
        <f t="shared" si="2"/>
        <v>15</v>
      </c>
      <c r="J954" s="6">
        <f>IFERROR(__xludf.DUMMYFUNCTION("IF(H954="""","""",
SUM(
ARRAYFORMULA(
IF(
REGEXMATCH(
"" ""&amp;H954&amp;"" "",
"" ""&amp;Sentiment_Words!A$2:A3730&amp;"" ""
),
1,
0
)
)
)
)"),1.0)</f>
        <v>1</v>
      </c>
      <c r="K954" s="4">
        <f>IFERROR(__xludf.DUMMYFUNCTION("IF(H954="""","""",
SUM(
ARRAYFORMULA(
IF(
REGEXMATCH(
"" ""&amp;H954&amp;"" "",
"" ""&amp;Sentiment_Words!B$2:B3730&amp;"" ""
),
1,
0
)
)
)
)"),0.0)</f>
        <v>0</v>
      </c>
      <c r="L954" s="7" t="str">
        <f t="shared" si="3"/>
        <v>Other</v>
      </c>
      <c r="M954" s="7" t="str">
        <f t="shared" si="4"/>
        <v>Positive</v>
      </c>
      <c r="N954" s="7" t="str">
        <f>IFERROR(__xludf.DUMMYFUNCTION("LOWER(
TRIM(
REGEXREPLACE(B954,""[^a-zA-Z\s]"","""")
)
)
"),"kenneth tuffern")</f>
        <v>kenneth tuffern</v>
      </c>
      <c r="O954" s="7">
        <f t="shared" si="5"/>
        <v>1</v>
      </c>
      <c r="P954" s="8" t="str">
        <f t="shared" si="6"/>
        <v>No</v>
      </c>
    </row>
    <row r="955">
      <c r="A955" s="4" t="s">
        <v>16</v>
      </c>
      <c r="B955" s="4" t="s">
        <v>2728</v>
      </c>
      <c r="C955" s="9">
        <v>44930.0</v>
      </c>
      <c r="D955" s="10">
        <v>44936.0</v>
      </c>
      <c r="E955" s="4" t="s">
        <v>2729</v>
      </c>
      <c r="F955" s="4" t="s">
        <v>2730</v>
      </c>
      <c r="G955" s="6" t="str">
        <f>IFERROR(__xludf.DUMMYFUNCTION("REGEXREPLACE(LOWER(F955),""[^a-z\s]"","""")"),"i like that you sent the food and the price was lower than most other places i did not like not being able to order food because it seemed to automatically turn on auto shipping that i didnt want and i couldnt find a way to turn off auto shipping so i cou"&amp;"ldnt order the food")</f>
        <v>i like that you sent the food and the price was lower than most other places i did not like not being able to order food because it seemed to automatically turn on auto shipping that i didnt want and i couldnt find a way to turn off auto shipping so i couldnt order the food</v>
      </c>
      <c r="H955" s="4" t="str">
        <f t="shared" si="1"/>
        <v>i like that you sent food price was lower than most other places i did not like not being able order food because it seemed automatically turn on auto shipping that i didnt want i couldnt find a way turn off auto shipping so i couldnt order food</v>
      </c>
      <c r="I955" s="6">
        <f t="shared" si="2"/>
        <v>48</v>
      </c>
      <c r="J955" s="6">
        <f>IFERROR(__xludf.DUMMYFUNCTION("IF(H955="""","""",
SUM(
ARRAYFORMULA(
IF(
REGEXMATCH(
"" ""&amp;H955&amp;"" "",
"" ""&amp;Sentiment_Words!A$2:A3730&amp;"" ""
),
1,
0
)
)
)
)"),1.0)</f>
        <v>1</v>
      </c>
      <c r="K955" s="4">
        <f>IFERROR(__xludf.DUMMYFUNCTION("IF(H955="""","""",
SUM(
ARRAYFORMULA(
IF(
REGEXMATCH(
"" ""&amp;H955&amp;"" "",
"" ""&amp;Sentiment_Words!B$2:B3730&amp;"" ""
),
1,
0
)
)
)
)"),0.0)</f>
        <v>0</v>
      </c>
      <c r="L955" s="7" t="str">
        <f t="shared" si="3"/>
        <v>Other</v>
      </c>
      <c r="M955" s="7" t="str">
        <f t="shared" si="4"/>
        <v>Positive</v>
      </c>
      <c r="N955" s="7" t="str">
        <f>IFERROR(__xludf.DUMMYFUNCTION("LOWER(
TRIM(
REGEXREPLACE(B955,""[^a-zA-Z\s]"","""")
)
)
"),"bethann baer")</f>
        <v>bethann baer</v>
      </c>
      <c r="O955" s="7">
        <f t="shared" si="5"/>
        <v>1</v>
      </c>
      <c r="P955" s="8" t="str">
        <f t="shared" si="6"/>
        <v>No</v>
      </c>
    </row>
    <row r="956">
      <c r="A956" s="4" t="s">
        <v>16</v>
      </c>
      <c r="B956" s="4" t="s">
        <v>2731</v>
      </c>
      <c r="C956" s="9">
        <v>44935.0</v>
      </c>
      <c r="D956" s="10">
        <v>44936.0</v>
      </c>
      <c r="E956" s="4" t="s">
        <v>924</v>
      </c>
      <c r="F956" s="4" t="s">
        <v>2732</v>
      </c>
      <c r="G956" s="6" t="str">
        <f>IFERROR(__xludf.DUMMYFUNCTION("REGEXREPLACE(LOWER(F956),""[^a-z\s]"","""")"),"made an order just like i have several times before they canceled the order but did not let us know no email no phone call nothing we bought from petco and will from now on")</f>
        <v>made an order just like i have several times before they canceled the order but did not let us know no email no phone call nothing we bought from petco and will from now on</v>
      </c>
      <c r="H956" s="4" t="str">
        <f t="shared" si="1"/>
        <v>made an order just like i have several times before they canceled order but did not let us know no email no phone call nothing we bought from petco will from now on</v>
      </c>
      <c r="I956" s="6">
        <f t="shared" si="2"/>
        <v>33</v>
      </c>
      <c r="J956" s="6">
        <f>IFERROR(__xludf.DUMMYFUNCTION("IF(H956="""","""",
SUM(
ARRAYFORMULA(
IF(
REGEXMATCH(
"" ""&amp;H956&amp;"" "",
"" ""&amp;Sentiment_Words!A$2:A3730&amp;"" ""
),
1,
0
)
)
)
)"),0.0)</f>
        <v>0</v>
      </c>
      <c r="K956" s="4">
        <f>IFERROR(__xludf.DUMMYFUNCTION("IF(H956="""","""",
SUM(
ARRAYFORMULA(
IF(
REGEXMATCH(
"" ""&amp;H956&amp;"" "",
"" ""&amp;Sentiment_Words!B$2:B3730&amp;"" ""
),
1,
0
)
)
)
)"),0.0)</f>
        <v>0</v>
      </c>
      <c r="L956" s="7" t="str">
        <f t="shared" si="3"/>
        <v>Other</v>
      </c>
      <c r="M956" s="7" t="str">
        <f t="shared" si="4"/>
        <v>Neutral</v>
      </c>
      <c r="N956" s="7" t="str">
        <f>IFERROR(__xludf.DUMMYFUNCTION("LOWER(
TRIM(
REGEXREPLACE(B956,""[^a-zA-Z\s]"","""")
)
)
"),"shelley lloyd")</f>
        <v>shelley lloyd</v>
      </c>
      <c r="O956" s="7">
        <f t="shared" si="5"/>
        <v>1</v>
      </c>
      <c r="P956" s="8" t="str">
        <f t="shared" si="6"/>
        <v>No</v>
      </c>
    </row>
    <row r="957">
      <c r="A957" s="4" t="s">
        <v>16</v>
      </c>
      <c r="B957" s="4" t="s">
        <v>2733</v>
      </c>
      <c r="C957" s="9">
        <v>44933.0</v>
      </c>
      <c r="D957" s="10">
        <v>44936.0</v>
      </c>
      <c r="E957" s="4" t="s">
        <v>2734</v>
      </c>
      <c r="F957" s="4" t="s">
        <v>2735</v>
      </c>
      <c r="G957" s="6" t="str">
        <f>IFERROR(__xludf.DUMMYFUNCTION("REGEXREPLACE(LOWER(F957),""[^a-z\s]"","""")"),"i have tried to use petflow a few times for their monthly shipment of dog food and i have always come across issues the first order my first bag of dog food was delivered on time the second order of dog food was delivered with tape all around it i removed"&amp;" the tape to see that the bag was opened the bag of food didnt even come delivered in a box i couldnt believe they delivered of bag of opened dog food at that point i canceled my membership and went to my local pet store to pick up my monthly bag of food "&amp;"after about  months my father in law convinced me to give them another chance since i was saving  an order with petflow again my first order was delivered on time with no issues my second order was delayed by two weeks of my original delivery date i conta"&amp;"cted customer service multiple times and the only thing they could say was would you like to cancel your order no apology or anything i bought a smaller bag of food while i was waiting for my  pound bag of food and of course my shipment was delayed furthe"&amp;"r where i had to go back to my pet store to buy a  pound bag of food because i ran out of food again i received a  coupon for inconvenience but in the end i spent  within two weeks because of my order constantly being delayed with no actual answer for exp"&amp;"ected delivery time my food finally came in today but i am canceling my subscription customer service is no help they dont even know when my order would be delivered and i even texted their customer service number twice with no response from their team i "&amp;"will be going back to my local pet store and making my purchase through them again its not worth the  monthly savings")</f>
        <v>i have tried to use petflow a few times for their monthly shipment of dog food and i have always come across issues the first order my first bag of dog food was delivered on time the second order of dog food was delivered with tape all around it i removed the tape to see that the bag was opened the bag of food didnt even come delivered in a box i couldnt believe they delivered of bag of opened dog food at that point i canceled my membership and went to my local pet store to pick up my monthly bag of food after about  months my father in law convinced me to give them another chance since i was saving  an order with petflow again my first order was delivered on time with no issues my second order was delayed by two weeks of my original delivery date i contacted customer service multiple times and the only thing they could say was would you like to cancel your order no apology or anything i bought a smaller bag of food while i was waiting for my  pound bag of food and of course my shipment was delayed further where i had to go back to my pet store to buy a  pound bag of food because i ran out of food again i received a  coupon for inconvenience but in the end i spent  within two weeks because of my order constantly being delayed with no actual answer for expected delivery time my food finally came in today but i am canceling my subscription customer service is no help they dont even know when my order would be delivered and i even texted their customer service number twice with no response from their team i will be going back to my local pet store and making my purchase through them again its not worth the  monthly savings</v>
      </c>
      <c r="H957" s="4" t="str">
        <f t="shared" si="1"/>
        <v>i have tried use petflow a few times their monthly shipment of dog food i have always come across issues first order my first bag of dog food was delivered on time second order of dog food was delivered with tape all around it i removed tape see that bag was opened bag of food didnt even come delivered in a box i couldnt believe they delivered of bag of opened dog food at that point i canceled my membership went my local pet store pick up my monthly bag of food after about months my father in law convinced me give them another chance since i was saving an order with petflow again my first order was delivered on time with no issues my second order was delayed by two weeks of my original delivery date i contacted customer service multiple times only thing they could say was would you like cancel your order no apology or anything i bought a smaller bag of food while i was waiting my pound bag of food of course my shipment was delayed further where i had go back my pet store buy a pound bag of food because i ran out of food again i received a coupon inconvenience but in end i spent within two weeks because of my order constantly being delayed with no actual answer expected delivery time my food finally came in today but i am canceling my subscription customer service no help they dont even know when my order would be delivered i even texted their customer service number twice with no response from their team i will be going back my local pet store making my purchase through them again its not worth monthly savings</v>
      </c>
      <c r="I957" s="6">
        <f t="shared" si="2"/>
        <v>290</v>
      </c>
      <c r="J957" s="6">
        <f>IFERROR(__xludf.DUMMYFUNCTION("IF(H957="""","""",
SUM(
ARRAYFORMULA(
IF(
REGEXMATCH(
"" ""&amp;H957&amp;"" "",
"" ""&amp;Sentiment_Words!A$2:A3730&amp;"" ""
),
1,
0
)
)
)
)"),5.0)</f>
        <v>5</v>
      </c>
      <c r="K957" s="4">
        <f>IFERROR(__xludf.DUMMYFUNCTION("IF(H957="""","""",
SUM(
ARRAYFORMULA(
IF(
REGEXMATCH(
"" ""&amp;H957&amp;"" "",
"" ""&amp;Sentiment_Words!B$2:B3730&amp;"" ""
),
1,
0
)
)
)
)"),3.0)</f>
        <v>3</v>
      </c>
      <c r="L957" s="7" t="str">
        <f t="shared" si="3"/>
        <v>Customer Support</v>
      </c>
      <c r="M957" s="7" t="str">
        <f t="shared" si="4"/>
        <v>Positive</v>
      </c>
      <c r="N957" s="7" t="str">
        <f>IFERROR(__xludf.DUMMYFUNCTION("LOWER(
TRIM(
REGEXREPLACE(B957,""[^a-zA-Z\s]"","""")
)
)
"),"kirt koon")</f>
        <v>kirt koon</v>
      </c>
      <c r="O957" s="7">
        <f t="shared" si="5"/>
        <v>1</v>
      </c>
      <c r="P957" s="8" t="str">
        <f t="shared" si="6"/>
        <v>No</v>
      </c>
    </row>
    <row r="958">
      <c r="A958" s="4" t="s">
        <v>16</v>
      </c>
      <c r="B958" s="4" t="s">
        <v>2736</v>
      </c>
      <c r="C958" s="9">
        <v>44931.0</v>
      </c>
      <c r="D958" s="10">
        <v>44936.0</v>
      </c>
      <c r="E958" s="4" t="s">
        <v>2737</v>
      </c>
      <c r="F958" s="4" t="s">
        <v>2738</v>
      </c>
      <c r="G958" s="6" t="str">
        <f>IFERROR(__xludf.DUMMYFUNCTION("REGEXREPLACE(LOWER(F958),""[^a-z\s]"","""")"),"still havent received our order so ordered from and received in two days  which is good so our senior dogs do not have to eat puppy chow")</f>
        <v>still havent received our order so ordered from and received in two days  which is good so our senior dogs do not have to eat puppy chow</v>
      </c>
      <c r="H958" s="4" t="str">
        <f t="shared" si="1"/>
        <v>still havent received our order so ordered from received in two days which good so our senior dogs do not have eat puppy chow</v>
      </c>
      <c r="I958" s="6">
        <f t="shared" si="2"/>
        <v>24</v>
      </c>
      <c r="J958" s="6">
        <f>IFERROR(__xludf.DUMMYFUNCTION("IF(H958="""","""",
SUM(
ARRAYFORMULA(
IF(
REGEXMATCH(
"" ""&amp;H958&amp;"" "",
"" ""&amp;Sentiment_Words!A$2:A3730&amp;"" ""
),
1,
0
)
)
)
)"),1.0)</f>
        <v>1</v>
      </c>
      <c r="K958" s="4">
        <f>IFERROR(__xludf.DUMMYFUNCTION("IF(H958="""","""",
SUM(
ARRAYFORMULA(
IF(
REGEXMATCH(
"" ""&amp;H958&amp;"" "",
"" ""&amp;Sentiment_Words!B$2:B3730&amp;"" ""
),
1,
0
)
)
)
)"),0.0)</f>
        <v>0</v>
      </c>
      <c r="L958" s="7" t="str">
        <f t="shared" si="3"/>
        <v>Other</v>
      </c>
      <c r="M958" s="7" t="str">
        <f t="shared" si="4"/>
        <v>Positive</v>
      </c>
      <c r="N958" s="7" t="str">
        <f>IFERROR(__xludf.DUMMYFUNCTION("LOWER(
TRIM(
REGEXREPLACE(B958,""[^a-zA-Z\s]"","""")
)
)
"),"geoff")</f>
        <v>geoff</v>
      </c>
      <c r="O958" s="7">
        <f t="shared" si="5"/>
        <v>1</v>
      </c>
      <c r="P958" s="8" t="str">
        <f t="shared" si="6"/>
        <v>No</v>
      </c>
    </row>
    <row r="959">
      <c r="A959" s="4" t="s">
        <v>16</v>
      </c>
      <c r="B959" s="4" t="s">
        <v>455</v>
      </c>
      <c r="C959" s="5">
        <v>44916.0</v>
      </c>
      <c r="D959" s="10">
        <v>44936.0</v>
      </c>
      <c r="E959" s="4" t="s">
        <v>2739</v>
      </c>
      <c r="F959" s="4" t="s">
        <v>331</v>
      </c>
      <c r="G959" s="6" t="str">
        <f>IFERROR(__xludf.DUMMYFUNCTION("REGEXREPLACE(LOWER(F959),""[^a-z\s]"","""")"),"none")</f>
        <v>none</v>
      </c>
      <c r="H959" s="4" t="str">
        <f t="shared" si="1"/>
        <v>none</v>
      </c>
      <c r="I959" s="6">
        <f t="shared" si="2"/>
        <v>1</v>
      </c>
      <c r="J959" s="6">
        <f>IFERROR(__xludf.DUMMYFUNCTION("IF(H959="""","""",
SUM(
ARRAYFORMULA(
IF(
REGEXMATCH(
"" ""&amp;H959&amp;"" "",
"" ""&amp;Sentiment_Words!A$2:A3730&amp;"" ""
),
1,
0
)
)
)
)"),0.0)</f>
        <v>0</v>
      </c>
      <c r="K959" s="4">
        <f>IFERROR(__xludf.DUMMYFUNCTION("IF(H959="""","""",
SUM(
ARRAYFORMULA(
IF(
REGEXMATCH(
"" ""&amp;H959&amp;"" "",
"" ""&amp;Sentiment_Words!B$2:B3730&amp;"" ""
),
1,
0
)
)
)
)"),0.0)</f>
        <v>0</v>
      </c>
      <c r="L959" s="7" t="str">
        <f t="shared" si="3"/>
        <v>Other</v>
      </c>
      <c r="M959" s="7" t="str">
        <f t="shared" si="4"/>
        <v>Neutral</v>
      </c>
      <c r="N959" s="7" t="str">
        <f>IFERROR(__xludf.DUMMYFUNCTION("LOWER(
TRIM(
REGEXREPLACE(B959,""[^a-zA-Z\s]"","""")
)
)
"),"anonymous")</f>
        <v>anonymous</v>
      </c>
      <c r="O959" s="7">
        <f t="shared" si="5"/>
        <v>9</v>
      </c>
      <c r="P959" s="8" t="str">
        <f t="shared" si="6"/>
        <v>Yes</v>
      </c>
    </row>
    <row r="960">
      <c r="A960" s="4" t="s">
        <v>16</v>
      </c>
      <c r="B960" s="4" t="s">
        <v>2740</v>
      </c>
      <c r="C960" s="9">
        <v>44931.0</v>
      </c>
      <c r="D960" s="10">
        <v>44935.0</v>
      </c>
      <c r="E960" s="4" t="s">
        <v>2741</v>
      </c>
      <c r="F960" s="4" t="s">
        <v>331</v>
      </c>
      <c r="G960" s="6" t="str">
        <f>IFERROR(__xludf.DUMMYFUNCTION("REGEXREPLACE(LOWER(F960),""[^a-z\s]"","""")"),"none")</f>
        <v>none</v>
      </c>
      <c r="H960" s="4" t="str">
        <f t="shared" si="1"/>
        <v>none</v>
      </c>
      <c r="I960" s="6">
        <f t="shared" si="2"/>
        <v>1</v>
      </c>
      <c r="J960" s="6">
        <f>IFERROR(__xludf.DUMMYFUNCTION("IF(H960="""","""",
SUM(
ARRAYFORMULA(
IF(
REGEXMATCH(
"" ""&amp;H960&amp;"" "",
"" ""&amp;Sentiment_Words!A$2:A3730&amp;"" ""
),
1,
0
)
)
)
)"),0.0)</f>
        <v>0</v>
      </c>
      <c r="K960" s="4">
        <f>IFERROR(__xludf.DUMMYFUNCTION("IF(H960="""","""",
SUM(
ARRAYFORMULA(
IF(
REGEXMATCH(
"" ""&amp;H960&amp;"" "",
"" ""&amp;Sentiment_Words!B$2:B3730&amp;"" ""
),
1,
0
)
)
)
)"),0.0)</f>
        <v>0</v>
      </c>
      <c r="L960" s="7" t="str">
        <f t="shared" si="3"/>
        <v>Other</v>
      </c>
      <c r="M960" s="7" t="str">
        <f t="shared" si="4"/>
        <v>Neutral</v>
      </c>
      <c r="N960" s="7" t="str">
        <f>IFERROR(__xludf.DUMMYFUNCTION("LOWER(
TRIM(
REGEXREPLACE(B960,""[^a-zA-Z\s]"","""")
)
)
"),"felix gan")</f>
        <v>felix gan</v>
      </c>
      <c r="O960" s="7">
        <f t="shared" si="5"/>
        <v>1</v>
      </c>
      <c r="P960" s="8" t="str">
        <f t="shared" si="6"/>
        <v>No</v>
      </c>
    </row>
    <row r="961">
      <c r="A961" s="4" t="s">
        <v>16</v>
      </c>
      <c r="B961" s="4" t="s">
        <v>2742</v>
      </c>
      <c r="C961" s="9">
        <v>44931.0</v>
      </c>
      <c r="D961" s="10">
        <v>44935.0</v>
      </c>
      <c r="E961" s="4" t="s">
        <v>2743</v>
      </c>
      <c r="F961" s="4" t="s">
        <v>331</v>
      </c>
      <c r="G961" s="6" t="str">
        <f>IFERROR(__xludf.DUMMYFUNCTION("REGEXREPLACE(LOWER(F961),""[^a-z\s]"","""")"),"none")</f>
        <v>none</v>
      </c>
      <c r="H961" s="4" t="str">
        <f t="shared" si="1"/>
        <v>none</v>
      </c>
      <c r="I961" s="6">
        <f t="shared" si="2"/>
        <v>1</v>
      </c>
      <c r="J961" s="6">
        <f>IFERROR(__xludf.DUMMYFUNCTION("IF(H961="""","""",
SUM(
ARRAYFORMULA(
IF(
REGEXMATCH(
"" ""&amp;H961&amp;"" "",
"" ""&amp;Sentiment_Words!A$2:A3730&amp;"" ""
),
1,
0
)
)
)
)"),0.0)</f>
        <v>0</v>
      </c>
      <c r="K961" s="4">
        <f>IFERROR(__xludf.DUMMYFUNCTION("IF(H961="""","""",
SUM(
ARRAYFORMULA(
IF(
REGEXMATCH(
"" ""&amp;H961&amp;"" "",
"" ""&amp;Sentiment_Words!B$2:B3730&amp;"" ""
),
1,
0
)
)
)
)"),0.0)</f>
        <v>0</v>
      </c>
      <c r="L961" s="7" t="str">
        <f t="shared" si="3"/>
        <v>Other</v>
      </c>
      <c r="M961" s="7" t="str">
        <f t="shared" si="4"/>
        <v>Neutral</v>
      </c>
      <c r="N961" s="7" t="str">
        <f>IFERROR(__xludf.DUMMYFUNCTION("LOWER(
TRIM(
REGEXREPLACE(B961,""[^a-zA-Z\s]"","""")
)
)
"),"raine tyler")</f>
        <v>raine tyler</v>
      </c>
      <c r="O961" s="7">
        <f t="shared" si="5"/>
        <v>1</v>
      </c>
      <c r="P961" s="8" t="str">
        <f t="shared" si="6"/>
        <v>No</v>
      </c>
    </row>
    <row r="962">
      <c r="A962" s="4" t="s">
        <v>16</v>
      </c>
      <c r="B962" s="4" t="s">
        <v>455</v>
      </c>
      <c r="C962" s="9">
        <v>44934.0</v>
      </c>
      <c r="D962" s="10">
        <v>44935.0</v>
      </c>
      <c r="E962" s="4" t="s">
        <v>2744</v>
      </c>
      <c r="F962" s="4" t="s">
        <v>2745</v>
      </c>
      <c r="G962" s="6" t="str">
        <f>IFERROR(__xludf.DUMMYFUNCTION("REGEXREPLACE(LOWER(F962),""[^a-z\s]"","""")"),"order not shipped from warehouse for about a week and still shows as not picked up i had to check the status and call to cancel it after  days")</f>
        <v>order not shipped from warehouse for about a week and still shows as not picked up i had to check the status and call to cancel it after  days</v>
      </c>
      <c r="H962" s="4" t="str">
        <f t="shared" si="1"/>
        <v>order not shipped from warehouse about a week still shows as not picked up i had check status call cancel it after days</v>
      </c>
      <c r="I962" s="6">
        <f t="shared" si="2"/>
        <v>23</v>
      </c>
      <c r="J962" s="6">
        <f>IFERROR(__xludf.DUMMYFUNCTION("IF(H962="""","""",
SUM(
ARRAYFORMULA(
IF(
REGEXMATCH(
"" ""&amp;H962&amp;"" "",
"" ""&amp;Sentiment_Words!A$2:A3730&amp;"" ""
),
1,
0
)
)
)
)"),0.0)</f>
        <v>0</v>
      </c>
      <c r="K962" s="4">
        <f>IFERROR(__xludf.DUMMYFUNCTION("IF(H962="""","""",
SUM(
ARRAYFORMULA(
IF(
REGEXMATCH(
"" ""&amp;H962&amp;"" "",
"" ""&amp;Sentiment_Words!B$2:B3730&amp;"" ""
),
1,
0
)
)
)
)"),0.0)</f>
        <v>0</v>
      </c>
      <c r="L962" s="7" t="str">
        <f t="shared" si="3"/>
        <v>Other</v>
      </c>
      <c r="M962" s="7" t="str">
        <f t="shared" si="4"/>
        <v>Neutral</v>
      </c>
      <c r="N962" s="7" t="str">
        <f>IFERROR(__xludf.DUMMYFUNCTION("LOWER(
TRIM(
REGEXREPLACE(B962,""[^a-zA-Z\s]"","""")
)
)
"),"anonymous")</f>
        <v>anonymous</v>
      </c>
      <c r="O962" s="7">
        <f t="shared" si="5"/>
        <v>9</v>
      </c>
      <c r="P962" s="8" t="str">
        <f t="shared" si="6"/>
        <v>Yes</v>
      </c>
    </row>
    <row r="963">
      <c r="A963" s="4" t="s">
        <v>16</v>
      </c>
      <c r="B963" s="4" t="s">
        <v>2746</v>
      </c>
      <c r="C963" s="9">
        <v>44934.0</v>
      </c>
      <c r="D963" s="10">
        <v>44935.0</v>
      </c>
      <c r="E963" s="4" t="s">
        <v>2747</v>
      </c>
      <c r="F963" s="4" t="s">
        <v>2748</v>
      </c>
      <c r="G963" s="6" t="str">
        <f>IFERROR(__xludf.DUMMYFUNCTION("REGEXREPLACE(LOWER(F963),""[^a-z\s]"","""")"),"no follow up regarding status of order and no order received very disappointed")</f>
        <v>no follow up regarding status of order and no order received very disappointed</v>
      </c>
      <c r="H963" s="4" t="str">
        <f t="shared" si="1"/>
        <v>no follow up regarding status of order no order received very disappointed</v>
      </c>
      <c r="I963" s="6">
        <f t="shared" si="2"/>
        <v>12</v>
      </c>
      <c r="J963" s="6">
        <f>IFERROR(__xludf.DUMMYFUNCTION("IF(H963="""","""",
SUM(
ARRAYFORMULA(
IF(
REGEXMATCH(
"" ""&amp;H963&amp;"" "",
"" ""&amp;Sentiment_Words!A$2:A3730&amp;"" ""
),
1,
0
)
)
)
)"),0.0)</f>
        <v>0</v>
      </c>
      <c r="K963" s="4">
        <f>IFERROR(__xludf.DUMMYFUNCTION("IF(H963="""","""",
SUM(
ARRAYFORMULA(
IF(
REGEXMATCH(
"" ""&amp;H963&amp;"" "",
"" ""&amp;Sentiment_Words!B$2:B3730&amp;"" ""
),
1,
0
)
)
)
)"),0.0)</f>
        <v>0</v>
      </c>
      <c r="L963" s="7" t="str">
        <f t="shared" si="3"/>
        <v>Trust &amp; Experience</v>
      </c>
      <c r="M963" s="7" t="str">
        <f t="shared" si="4"/>
        <v>Neutral</v>
      </c>
      <c r="N963" s="7" t="str">
        <f>IFERROR(__xludf.DUMMYFUNCTION("LOWER(
TRIM(
REGEXREPLACE(B963,""[^a-zA-Z\s]"","""")
)
)
"),"rebecca d cintron")</f>
        <v>rebecca d cintron</v>
      </c>
      <c r="O963" s="7">
        <f t="shared" si="5"/>
        <v>1</v>
      </c>
      <c r="P963" s="8" t="str">
        <f t="shared" si="6"/>
        <v>No</v>
      </c>
    </row>
    <row r="964">
      <c r="A964" s="4" t="s">
        <v>16</v>
      </c>
      <c r="B964" s="4" t="s">
        <v>2749</v>
      </c>
      <c r="C964" s="9">
        <v>44934.0</v>
      </c>
      <c r="D964" s="10">
        <v>44935.0</v>
      </c>
      <c r="E964" s="4" t="s">
        <v>2750</v>
      </c>
      <c r="F964" s="4" t="s">
        <v>2751</v>
      </c>
      <c r="G964" s="6" t="str">
        <f>IFERROR(__xludf.DUMMYFUNCTION("REGEXREPLACE(LOWER(F964),""[^a-z\s]"","""")"),"like others my order was canceled without notice and i only found out when i checked my order online after  days a rep at petflow said that they automatically cancel orders because of fraud concerns if the shipping address is different than the billing ad"&amp;"dress even though my similar order went through  months ago and even though their online ordering system takes orders like that he said that they dont send an email advising that this has happened because that could give more information to the fraudster "&amp;"what after confirming my addresses he reordered for me on a whim i checked a few hours later canceled again im done with petflow")</f>
        <v>like others my order was canceled without notice and i only found out when i checked my order online after  days a rep at petflow said that they automatically cancel orders because of fraud concerns if the shipping address is different than the billing address even though my similar order went through  months ago and even though their online ordering system takes orders like that he said that they dont send an email advising that this has happened because that could give more information to the fraudster what after confirming my addresses he reordered for me on a whim i checked a few hours later canceled again im done with petflow</v>
      </c>
      <c r="H964" s="4" t="str">
        <f t="shared" si="1"/>
        <v>like others my order was canceled without notice i only found out when i checked my order online after days a rep at petflow said that they automatically cancel orders because of fraud concerns if shipping address different than billing address even though my similar order went through months ago even though their online ordering system takes orders like that he said that they dont send an email advising that this has happened because that could give more information fraudster what after confirming my addresses he reordered me on a whim i checked a few hours later canceled again im done with petflow</v>
      </c>
      <c r="I964" s="6">
        <f t="shared" si="2"/>
        <v>103</v>
      </c>
      <c r="J964" s="6">
        <f>IFERROR(__xludf.DUMMYFUNCTION("IF(H964="""","""",
SUM(
ARRAYFORMULA(
IF(
REGEXMATCH(
"" ""&amp;H964&amp;"" "",
"" ""&amp;Sentiment_Words!A$2:A3730&amp;"" ""
),
1,
0
)
)
)
)"),1.0)</f>
        <v>1</v>
      </c>
      <c r="K964" s="4">
        <f>IFERROR(__xludf.DUMMYFUNCTION("IF(H964="""","""",
SUM(
ARRAYFORMULA(
IF(
REGEXMATCH(
"" ""&amp;H964&amp;"" "",
"" ""&amp;Sentiment_Words!B$2:B3730&amp;"" ""
),
1,
0
)
)
)
)"),0.0)</f>
        <v>0</v>
      </c>
      <c r="L964" s="7" t="str">
        <f t="shared" si="3"/>
        <v>Fulfillment &amp; Shipping</v>
      </c>
      <c r="M964" s="7" t="str">
        <f t="shared" si="4"/>
        <v>Positive</v>
      </c>
      <c r="N964" s="7" t="str">
        <f>IFERROR(__xludf.DUMMYFUNCTION("LOWER(
TRIM(
REGEXREPLACE(B964,""[^a-zA-Z\s]"","""")
)
)
"),"melvin check")</f>
        <v>melvin check</v>
      </c>
      <c r="O964" s="7">
        <f t="shared" si="5"/>
        <v>1</v>
      </c>
      <c r="P964" s="8" t="str">
        <f t="shared" si="6"/>
        <v>No</v>
      </c>
    </row>
    <row r="965">
      <c r="A965" s="4" t="s">
        <v>16</v>
      </c>
      <c r="B965" s="4" t="s">
        <v>2752</v>
      </c>
      <c r="C965" s="5">
        <v>44921.0</v>
      </c>
      <c r="D965" s="10">
        <v>44935.0</v>
      </c>
      <c r="E965" s="4" t="s">
        <v>2753</v>
      </c>
      <c r="F965" s="4" t="s">
        <v>2754</v>
      </c>
      <c r="G965" s="6" t="str">
        <f>IFERROR(__xludf.DUMMYFUNCTION("REGEXREPLACE(LOWER(F965),""[^a-z\s]"","""")"),"where is my order which was oredered on  order  bergen k cafe")</f>
        <v>where is my order which was oredered on  order  bergen k cafe</v>
      </c>
      <c r="H965" s="4" t="str">
        <f t="shared" si="1"/>
        <v>where my order which was oredered on order bergen k cafe</v>
      </c>
      <c r="I965" s="6">
        <f t="shared" si="2"/>
        <v>11</v>
      </c>
      <c r="J965" s="6">
        <f>IFERROR(__xludf.DUMMYFUNCTION("IF(H965="""","""",
SUM(
ARRAYFORMULA(
IF(
REGEXMATCH(
"" ""&amp;H965&amp;"" "",
"" ""&amp;Sentiment_Words!A$2:A3730&amp;"" ""
),
1,
0
)
)
)
)"),0.0)</f>
        <v>0</v>
      </c>
      <c r="K965" s="4">
        <f>IFERROR(__xludf.DUMMYFUNCTION("IF(H965="""","""",
SUM(
ARRAYFORMULA(
IF(
REGEXMATCH(
"" ""&amp;H965&amp;"" "",
"" ""&amp;Sentiment_Words!B$2:B3730&amp;"" ""
),
1,
0
)
)
)
)"),0.0)</f>
        <v>0</v>
      </c>
      <c r="L965" s="7" t="str">
        <f t="shared" si="3"/>
        <v>Other</v>
      </c>
      <c r="M965" s="7" t="str">
        <f t="shared" si="4"/>
        <v>Neutral</v>
      </c>
      <c r="N965" s="7" t="str">
        <f>IFERROR(__xludf.DUMMYFUNCTION("LOWER(
TRIM(
REGEXREPLACE(B965,""[^a-zA-Z\s]"","""")
)
)
"),"ann sabin")</f>
        <v>ann sabin</v>
      </c>
      <c r="O965" s="7">
        <f t="shared" si="5"/>
        <v>1</v>
      </c>
      <c r="P965" s="8" t="str">
        <f t="shared" si="6"/>
        <v>No</v>
      </c>
    </row>
    <row r="966">
      <c r="A966" s="4" t="s">
        <v>16</v>
      </c>
      <c r="B966" s="4" t="s">
        <v>56</v>
      </c>
      <c r="C966" s="9">
        <v>44929.0</v>
      </c>
      <c r="D966" s="10">
        <v>44934.0</v>
      </c>
      <c r="E966" s="4" t="s">
        <v>2755</v>
      </c>
      <c r="F966" s="4" t="s">
        <v>2756</v>
      </c>
      <c r="G966" s="6" t="str">
        <f>IFERROR(__xludf.DUMMYFUNCTION("REGEXREPLACE(LOWER(F966),""[^a-z\s]"","""")"),"my orders are taking longer and longer to get its taking about a week in the beginning they came in a few days i have ended up going to the only location nearby that carries fromm dog food while waiting for my dogs food a week ahead of time should be enou"&amp;"gh time but it hasnt been coming as quickly as it initially did")</f>
        <v>my orders are taking longer and longer to get its taking about a week in the beginning they came in a few days i have ended up going to the only location nearby that carries fromm dog food while waiting for my dogs food a week ahead of time should be enough time but it hasnt been coming as quickly as it initially did</v>
      </c>
      <c r="H966" s="4" t="str">
        <f t="shared" si="1"/>
        <v>my orders are taking longer longer get its taking about a week in beginning they came in a few days i have ended up going only location nearby that carries fromm dog food while waiting my dogs food a week ahead of time should be enough time but it hasnt been coming as quickly as it initially did</v>
      </c>
      <c r="I966" s="6">
        <f t="shared" si="2"/>
        <v>58</v>
      </c>
      <c r="J966" s="6">
        <f>IFERROR(__xludf.DUMMYFUNCTION("IF(H966="""","""",
SUM(
ARRAYFORMULA(
IF(
REGEXMATCH(
"" ""&amp;H966&amp;"" "",
"" ""&amp;Sentiment_Words!A$2:A3730&amp;"" ""
),
1,
0
)
)
)
)"),0.0)</f>
        <v>0</v>
      </c>
      <c r="K966" s="4">
        <f>IFERROR(__xludf.DUMMYFUNCTION("IF(H966="""","""",
SUM(
ARRAYFORMULA(
IF(
REGEXMATCH(
"" ""&amp;H966&amp;"" "",
"" ""&amp;Sentiment_Words!B$2:B3730&amp;"" ""
),
1,
0
)
)
)
)"),0.0)</f>
        <v>0</v>
      </c>
      <c r="L966" s="7" t="str">
        <f t="shared" si="3"/>
        <v>Other</v>
      </c>
      <c r="M966" s="7" t="str">
        <f t="shared" si="4"/>
        <v>Neutral</v>
      </c>
      <c r="N966" s="7" t="str">
        <f>IFERROR(__xludf.DUMMYFUNCTION("LOWER(
TRIM(
REGEXREPLACE(B966,""[^a-zA-Z\s]"","""")
)
)
"),"customer")</f>
        <v>customer</v>
      </c>
      <c r="O966" s="7">
        <f t="shared" si="5"/>
        <v>54</v>
      </c>
      <c r="P966" s="8" t="str">
        <f t="shared" si="6"/>
        <v>Yes</v>
      </c>
    </row>
    <row r="967">
      <c r="A967" s="4" t="s">
        <v>16</v>
      </c>
      <c r="B967" s="4" t="s">
        <v>2244</v>
      </c>
      <c r="C967" s="5">
        <v>44925.0</v>
      </c>
      <c r="D967" s="10">
        <v>44934.0</v>
      </c>
      <c r="E967" s="4" t="s">
        <v>2757</v>
      </c>
      <c r="F967" s="4" t="s">
        <v>2758</v>
      </c>
      <c r="G967" s="6" t="str">
        <f>IFERROR(__xludf.DUMMYFUNCTION("REGEXREPLACE(LOWER(F967),""[^a-z\s]"","""")"),"love the convenience and customer service")</f>
        <v>love the convenience and customer service</v>
      </c>
      <c r="H967" s="4" t="str">
        <f t="shared" si="1"/>
        <v>love convenience customer service</v>
      </c>
      <c r="I967" s="6">
        <f t="shared" si="2"/>
        <v>4</v>
      </c>
      <c r="J967" s="6">
        <f>IFERROR(__xludf.DUMMYFUNCTION("IF(H967="""","""",
SUM(
ARRAYFORMULA(
IF(
REGEXMATCH(
"" ""&amp;H967&amp;"" "",
"" ""&amp;Sentiment_Words!A$2:A3730&amp;"" ""
),
1,
0
)
)
)
)"),1.0)</f>
        <v>1</v>
      </c>
      <c r="K967" s="4">
        <f>IFERROR(__xludf.DUMMYFUNCTION("IF(H967="""","""",
SUM(
ARRAYFORMULA(
IF(
REGEXMATCH(
"" ""&amp;H967&amp;"" "",
"" ""&amp;Sentiment_Words!B$2:B3730&amp;"" ""
),
1,
0
)
)
)
)"),1.0)</f>
        <v>1</v>
      </c>
      <c r="L967" s="7" t="str">
        <f t="shared" si="3"/>
        <v>Customer Support</v>
      </c>
      <c r="M967" s="7" t="str">
        <f t="shared" si="4"/>
        <v>Neutral</v>
      </c>
      <c r="N967" s="7" t="str">
        <f>IFERROR(__xludf.DUMMYFUNCTION("LOWER(
TRIM(
REGEXREPLACE(B967,""[^a-zA-Z\s]"","""")
)
)
"),"michael")</f>
        <v>michael</v>
      </c>
      <c r="O967" s="7">
        <f t="shared" si="5"/>
        <v>8</v>
      </c>
      <c r="P967" s="8" t="str">
        <f t="shared" si="6"/>
        <v>Yes</v>
      </c>
    </row>
    <row r="968">
      <c r="A968" s="4" t="s">
        <v>16</v>
      </c>
      <c r="B968" s="4" t="s">
        <v>2759</v>
      </c>
      <c r="C968" s="9">
        <v>44928.0</v>
      </c>
      <c r="D968" s="10">
        <v>44934.0</v>
      </c>
      <c r="E968" s="4" t="s">
        <v>2760</v>
      </c>
      <c r="F968" s="4" t="s">
        <v>2761</v>
      </c>
      <c r="G968" s="6" t="str">
        <f>IFERROR(__xludf.DUMMYFUNCTION("REGEXREPLACE(LOWER(F968),""[^a-z\s]"","""")"),"everything ships quickly
was disappointed that i couldnt find the one medication through petflow")</f>
        <v>everything ships quickly
was disappointed that i couldnt find the one medication through petflow</v>
      </c>
      <c r="H968" s="4" t="str">
        <f t="shared" si="1"/>
        <v>everything ships quickly
was disappointed that i couldnt find one medication through petflow</v>
      </c>
      <c r="I968" s="6">
        <f t="shared" si="2"/>
        <v>12</v>
      </c>
      <c r="J968" s="6">
        <f>IFERROR(__xludf.DUMMYFUNCTION("IF(H968="""","""",
SUM(
ARRAYFORMULA(
IF(
REGEXMATCH(
"" ""&amp;H968&amp;"" "",
"" ""&amp;Sentiment_Words!A$2:A3730&amp;"" ""
),
1,
0
)
)
)
)"),0.0)</f>
        <v>0</v>
      </c>
      <c r="K968" s="4">
        <f>IFERROR(__xludf.DUMMYFUNCTION("IF(H968="""","""",
SUM(
ARRAYFORMULA(
IF(
REGEXMATCH(
"" ""&amp;H968&amp;"" "",
"" ""&amp;Sentiment_Words!B$2:B3730&amp;"" ""
),
1,
0
)
)
)
)"),0.0)</f>
        <v>0</v>
      </c>
      <c r="L968" s="7" t="str">
        <f t="shared" si="3"/>
        <v>Trust &amp; Experience</v>
      </c>
      <c r="M968" s="7" t="str">
        <f t="shared" si="4"/>
        <v>Neutral</v>
      </c>
      <c r="N968" s="7" t="str">
        <f>IFERROR(__xludf.DUMMYFUNCTION("LOWER(
TRIM(
REGEXREPLACE(B968,""[^a-zA-Z\s]"","""")
)
)
"),"linda schmidt")</f>
        <v>linda schmidt</v>
      </c>
      <c r="O968" s="7">
        <f t="shared" si="5"/>
        <v>1</v>
      </c>
      <c r="P968" s="8" t="str">
        <f t="shared" si="6"/>
        <v>No</v>
      </c>
    </row>
    <row r="969">
      <c r="A969" s="4" t="s">
        <v>16</v>
      </c>
      <c r="B969" s="4" t="s">
        <v>2762</v>
      </c>
      <c r="C969" s="5">
        <v>44924.0</v>
      </c>
      <c r="D969" s="10">
        <v>44933.0</v>
      </c>
      <c r="E969" s="4" t="s">
        <v>2763</v>
      </c>
      <c r="F969" s="4" t="s">
        <v>2764</v>
      </c>
      <c r="G969" s="6" t="str">
        <f>IFERROR(__xludf.DUMMYFUNCTION("REGEXREPLACE(LOWER(F969),""[^a-z\s]"","""")"),"placed an order for dog food waited over a week without updates so i followed up only to find out my order was canceled but i was never notified this caused such a delay with getting the food that i am currently out of had to order from somewhere else and"&amp;" still waiting")</f>
        <v>placed an order for dog food waited over a week without updates so i followed up only to find out my order was canceled but i was never notified this caused such a delay with getting the food that i am currently out of had to order from somewhere else and still waiting</v>
      </c>
      <c r="H969" s="4" t="str">
        <f t="shared" si="1"/>
        <v>placed an order dog food waited over a week without updates so i followed up only find out my order was canceled but i was never notified this caused such a delay with getting food that i am currently out of had order from somewhere else still waiting</v>
      </c>
      <c r="I969" s="6">
        <f t="shared" si="2"/>
        <v>48</v>
      </c>
      <c r="J969" s="6">
        <f>IFERROR(__xludf.DUMMYFUNCTION("IF(H969="""","""",
SUM(
ARRAYFORMULA(
IF(
REGEXMATCH(
"" ""&amp;H969&amp;"" "",
"" ""&amp;Sentiment_Words!A$2:A3730&amp;"" ""
),
1,
0
)
)
)
)"),1.0)</f>
        <v>1</v>
      </c>
      <c r="K969" s="4">
        <f>IFERROR(__xludf.DUMMYFUNCTION("IF(H969="""","""",
SUM(
ARRAYFORMULA(
IF(
REGEXMATCH(
"" ""&amp;H969&amp;"" "",
"" ""&amp;Sentiment_Words!B$2:B3730&amp;"" ""
),
1,
0
)
)
)
)"),1.0)</f>
        <v>1</v>
      </c>
      <c r="L969" s="7" t="str">
        <f t="shared" si="3"/>
        <v>Fulfillment &amp; Shipping</v>
      </c>
      <c r="M969" s="7" t="str">
        <f t="shared" si="4"/>
        <v>Neutral</v>
      </c>
      <c r="N969" s="7" t="str">
        <f>IFERROR(__xludf.DUMMYFUNCTION("LOWER(
TRIM(
REGEXREPLACE(B969,""[^a-zA-Z\s]"","""")
)
)
"),"lori lavine")</f>
        <v>lori lavine</v>
      </c>
      <c r="O969" s="7">
        <f t="shared" si="5"/>
        <v>1</v>
      </c>
      <c r="P969" s="8" t="str">
        <f t="shared" si="6"/>
        <v>No</v>
      </c>
    </row>
    <row r="970">
      <c r="A970" s="4" t="s">
        <v>16</v>
      </c>
      <c r="B970" s="4" t="s">
        <v>2765</v>
      </c>
      <c r="C970" s="9">
        <v>44933.0</v>
      </c>
      <c r="D970" s="10">
        <v>44933.0</v>
      </c>
      <c r="E970" s="4" t="s">
        <v>2766</v>
      </c>
      <c r="F970" s="4" t="s">
        <v>2767</v>
      </c>
      <c r="G970" s="6" t="str">
        <f>IFERROR(__xludf.DUMMYFUNCTION("REGEXREPLACE(LOWER(F970),""[^a-z\s]"","""")"),"easy to reorder and shipping is fast and free")</f>
        <v>easy to reorder and shipping is fast and free</v>
      </c>
      <c r="H970" s="4" t="str">
        <f t="shared" si="1"/>
        <v>easy reorder shipping fast free</v>
      </c>
      <c r="I970" s="6">
        <f t="shared" si="2"/>
        <v>5</v>
      </c>
      <c r="J970" s="6">
        <f>IFERROR(__xludf.DUMMYFUNCTION("IF(H970="""","""",
SUM(
ARRAYFORMULA(
IF(
REGEXMATCH(
"" ""&amp;H970&amp;"" "",
"" ""&amp;Sentiment_Words!A$2:A3730&amp;"" ""
),
1,
0
)
)
)
)"),2.0)</f>
        <v>2</v>
      </c>
      <c r="K970" s="4">
        <f>IFERROR(__xludf.DUMMYFUNCTION("IF(H970="""","""",
SUM(
ARRAYFORMULA(
IF(
REGEXMATCH(
"" ""&amp;H970&amp;"" "",
"" ""&amp;Sentiment_Words!B$2:B3730&amp;"" ""
),
1,
0
)
)
)
)"),0.0)</f>
        <v>0</v>
      </c>
      <c r="L970" s="7" t="str">
        <f t="shared" si="3"/>
        <v>Other</v>
      </c>
      <c r="M970" s="7" t="str">
        <f t="shared" si="4"/>
        <v>Positive</v>
      </c>
      <c r="N970" s="7" t="str">
        <f>IFERROR(__xludf.DUMMYFUNCTION("LOWER(
TRIM(
REGEXREPLACE(B970,""[^a-zA-Z\s]"","""")
)
)
"),"mindy saetern")</f>
        <v>mindy saetern</v>
      </c>
      <c r="O970" s="7">
        <f t="shared" si="5"/>
        <v>1</v>
      </c>
      <c r="P970" s="8" t="str">
        <f t="shared" si="6"/>
        <v>No</v>
      </c>
    </row>
    <row r="971">
      <c r="A971" s="4" t="s">
        <v>16</v>
      </c>
      <c r="B971" s="4" t="s">
        <v>2768</v>
      </c>
      <c r="C971" s="9">
        <v>44932.0</v>
      </c>
      <c r="D971" s="10">
        <v>44933.0</v>
      </c>
      <c r="E971" s="4" t="s">
        <v>2769</v>
      </c>
      <c r="F971" s="4" t="s">
        <v>2770</v>
      </c>
      <c r="G971" s="6" t="str">
        <f>IFERROR(__xludf.DUMMYFUNCTION("REGEXREPLACE(LOWER(F971),""[^a-z\s]"","""")"),"great experience fast shipping i havent been able to order my cats food from anywhere else because it was out of stock petflow got it for me")</f>
        <v>great experience fast shipping i havent been able to order my cats food from anywhere else because it was out of stock petflow got it for me</v>
      </c>
      <c r="H971" s="4" t="str">
        <f t="shared" si="1"/>
        <v>great experience fast shipping i havent been able order my cats food from anywhere else because it was out of stock petflow got it me</v>
      </c>
      <c r="I971" s="6">
        <f t="shared" si="2"/>
        <v>25</v>
      </c>
      <c r="J971" s="6">
        <f>IFERROR(__xludf.DUMMYFUNCTION("IF(H971="""","""",
SUM(
ARRAYFORMULA(
IF(
REGEXMATCH(
"" ""&amp;H971&amp;"" "",
"" ""&amp;Sentiment_Words!A$2:A3730&amp;"" ""
),
1,
0
)
)
)
)"),3.0)</f>
        <v>3</v>
      </c>
      <c r="K971" s="4">
        <f>IFERROR(__xludf.DUMMYFUNCTION("IF(H971="""","""",
SUM(
ARRAYFORMULA(
IF(
REGEXMATCH(
"" ""&amp;H971&amp;"" "",
"" ""&amp;Sentiment_Words!B$2:B3730&amp;"" ""
),
1,
0
)
)
)
)"),1.0)</f>
        <v>1</v>
      </c>
      <c r="L971" s="7" t="str">
        <f t="shared" si="3"/>
        <v>Availability</v>
      </c>
      <c r="M971" s="7" t="str">
        <f t="shared" si="4"/>
        <v>Positive</v>
      </c>
      <c r="N971" s="7" t="str">
        <f>IFERROR(__xludf.DUMMYFUNCTION("LOWER(
TRIM(
REGEXREPLACE(B971,""[^a-zA-Z\s]"","""")
)
)
"),"john toner")</f>
        <v>john toner</v>
      </c>
      <c r="O971" s="7">
        <f t="shared" si="5"/>
        <v>1</v>
      </c>
      <c r="P971" s="8" t="str">
        <f t="shared" si="6"/>
        <v>No</v>
      </c>
    </row>
    <row r="972">
      <c r="A972" s="4" t="s">
        <v>16</v>
      </c>
      <c r="B972" s="4" t="s">
        <v>2771</v>
      </c>
      <c r="C972" s="9">
        <v>44932.0</v>
      </c>
      <c r="D972" s="10">
        <v>44933.0</v>
      </c>
      <c r="E972" s="4" t="s">
        <v>423</v>
      </c>
      <c r="F972" s="4" t="s">
        <v>2772</v>
      </c>
      <c r="G972" s="6" t="str">
        <f>IFERROR(__xludf.DUMMYFUNCTION("REGEXREPLACE(LOWER(F972),""[^a-z\s]"","""")"),"ordering online was easy and shipping was fast had an item that was out of stock they let me know then shipped it when it was back in stock great to do business with")</f>
        <v>ordering online was easy and shipping was fast had an item that was out of stock they let me know then shipped it when it was back in stock great to do business with</v>
      </c>
      <c r="H972" s="4" t="str">
        <f t="shared" si="1"/>
        <v>ordering online was easy shipping was fast had an item that was out of stock they let me know then shipped it when it was back in stock great do business with</v>
      </c>
      <c r="I972" s="6">
        <f t="shared" si="2"/>
        <v>32</v>
      </c>
      <c r="J972" s="6">
        <f>IFERROR(__xludf.DUMMYFUNCTION("IF(H972="""","""",
SUM(
ARRAYFORMULA(
IF(
REGEXMATCH(
"" ""&amp;H972&amp;"" "",
"" ""&amp;Sentiment_Words!A$2:A3730&amp;"" ""
),
1,
0
)
)
)
)"),3.0)</f>
        <v>3</v>
      </c>
      <c r="K972" s="4">
        <f>IFERROR(__xludf.DUMMYFUNCTION("IF(H972="""","""",
SUM(
ARRAYFORMULA(
IF(
REGEXMATCH(
"" ""&amp;H972&amp;"" "",
"" ""&amp;Sentiment_Words!B$2:B3730&amp;"" ""
),
1,
0
)
)
)
)"),1.0)</f>
        <v>1</v>
      </c>
      <c r="L972" s="7" t="str">
        <f t="shared" si="3"/>
        <v>Availability</v>
      </c>
      <c r="M972" s="7" t="str">
        <f t="shared" si="4"/>
        <v>Positive</v>
      </c>
      <c r="N972" s="7" t="str">
        <f>IFERROR(__xludf.DUMMYFUNCTION("LOWER(
TRIM(
REGEXREPLACE(B972,""[^a-zA-Z\s]"","""")
)
)
"),"brenda")</f>
        <v>brenda</v>
      </c>
      <c r="O972" s="7">
        <f t="shared" si="5"/>
        <v>7</v>
      </c>
      <c r="P972" s="8" t="str">
        <f t="shared" si="6"/>
        <v>Yes</v>
      </c>
    </row>
    <row r="973">
      <c r="A973" s="4" t="s">
        <v>16</v>
      </c>
      <c r="B973" s="4" t="s">
        <v>2773</v>
      </c>
      <c r="C973" s="9">
        <v>44928.0</v>
      </c>
      <c r="D973" s="10">
        <v>44933.0</v>
      </c>
      <c r="E973" s="4" t="s">
        <v>2774</v>
      </c>
      <c r="F973" s="4" t="s">
        <v>2775</v>
      </c>
      <c r="G973" s="6" t="str">
        <f>IFERROR(__xludf.DUMMYFUNCTION("REGEXREPLACE(LOWER(F973),""[^a-z\s]"","""")"),"great selection of products carry name brand at a reasonable price quick shipping quick response from customer service if something is wrong with your order they correct it in a timely manner very happy with my service from petflow will definitely recomme"&amp;"nd them to my friends")</f>
        <v>great selection of products carry name brand at a reasonable price quick shipping quick response from customer service if something is wrong with your order they correct it in a timely manner very happy with my service from petflow will definitely recommend them to my friends</v>
      </c>
      <c r="H973" s="4" t="str">
        <f t="shared" si="1"/>
        <v>great selection of products carry name brand at a reasonable price quick shipping quick response from customer service if something wrong with your order they correct it in a timely manner very happy with my service from petflow will definitely recommend them my friends</v>
      </c>
      <c r="I973" s="6">
        <f t="shared" si="2"/>
        <v>44</v>
      </c>
      <c r="J973" s="6">
        <f>IFERROR(__xludf.DUMMYFUNCTION("IF(H973="""","""",
SUM(
ARRAYFORMULA(
IF(
REGEXMATCH(
"" ""&amp;H973&amp;"" "",
"" ""&amp;Sentiment_Words!A$2:A3730&amp;"" ""
),
1,
0
)
)
)
)"),2.0)</f>
        <v>2</v>
      </c>
      <c r="K973" s="4">
        <f>IFERROR(__xludf.DUMMYFUNCTION("IF(H973="""","""",
SUM(
ARRAYFORMULA(
IF(
REGEXMATCH(
"" ""&amp;H973&amp;"" "",
"" ""&amp;Sentiment_Words!B$2:B3730&amp;"" ""
),
1,
0
)
)
)
)"),2.0)</f>
        <v>2</v>
      </c>
      <c r="L973" s="7" t="str">
        <f t="shared" si="3"/>
        <v>Customer Support</v>
      </c>
      <c r="M973" s="7" t="str">
        <f t="shared" si="4"/>
        <v>Neutral</v>
      </c>
      <c r="N973" s="7" t="str">
        <f>IFERROR(__xludf.DUMMYFUNCTION("LOWER(
TRIM(
REGEXREPLACE(B973,""[^a-zA-Z\s]"","""")
)
)
"),"linda sokolowski")</f>
        <v>linda sokolowski</v>
      </c>
      <c r="O973" s="7">
        <f t="shared" si="5"/>
        <v>1</v>
      </c>
      <c r="P973" s="8" t="str">
        <f t="shared" si="6"/>
        <v>No</v>
      </c>
    </row>
    <row r="974">
      <c r="A974" s="4" t="s">
        <v>16</v>
      </c>
      <c r="B974" s="4" t="s">
        <v>2776</v>
      </c>
      <c r="C974" s="5">
        <v>44918.0</v>
      </c>
      <c r="D974" s="10">
        <v>44933.0</v>
      </c>
      <c r="E974" s="4" t="s">
        <v>2777</v>
      </c>
      <c r="F974" s="4" t="s">
        <v>2778</v>
      </c>
      <c r="G974" s="6" t="str">
        <f>IFERROR(__xludf.DUMMYFUNCTION("REGEXREPLACE(LOWER(F974),""[^a-z\s]"","""")"),"my order was cancelled by the fraud department without any notice to m i wouldnt recommend petflow to my worst enemy i have tried to reset my password and correct the problem but when they say they sent a password reset i never receive it")</f>
        <v>my order was cancelled by the fraud department without any notice to m i wouldnt recommend petflow to my worst enemy i have tried to reset my password and correct the problem but when they say they sent a password reset i never receive it</v>
      </c>
      <c r="H974" s="4" t="str">
        <f t="shared" si="1"/>
        <v>my order was cancelled by fraud department without any notice m i wouldnt recommend petflow my worst enemy i have tried reset my password correct problem but when they say they sent a password reset i never receive it</v>
      </c>
      <c r="I974" s="6">
        <f t="shared" si="2"/>
        <v>39</v>
      </c>
      <c r="J974" s="6">
        <f>IFERROR(__xludf.DUMMYFUNCTION("IF(H974="""","""",
SUM(
ARRAYFORMULA(
IF(
REGEXMATCH(
"" ""&amp;H974&amp;"" "",
"" ""&amp;Sentiment_Words!A$2:A3730&amp;"" ""
),
1,
0
)
)
)
)"),0.0)</f>
        <v>0</v>
      </c>
      <c r="K974" s="4">
        <f>IFERROR(__xludf.DUMMYFUNCTION("IF(H974="""","""",
SUM(
ARRAYFORMULA(
IF(
REGEXMATCH(
"" ""&amp;H974&amp;"" "",
"" ""&amp;Sentiment_Words!B$2:B3730&amp;"" ""
),
1,
0
)
)
)
)"),2.0)</f>
        <v>2</v>
      </c>
      <c r="L974" s="7" t="str">
        <f t="shared" si="3"/>
        <v>Account &amp; Website</v>
      </c>
      <c r="M974" s="7" t="str">
        <f t="shared" si="4"/>
        <v>Negative</v>
      </c>
      <c r="N974" s="7" t="str">
        <f>IFERROR(__xludf.DUMMYFUNCTION("LOWER(
TRIM(
REGEXREPLACE(B974,""[^a-zA-Z\s]"","""")
)
)
"),"martha vasi")</f>
        <v>martha vasi</v>
      </c>
      <c r="O974" s="7">
        <f t="shared" si="5"/>
        <v>1</v>
      </c>
      <c r="P974" s="8" t="str">
        <f t="shared" si="6"/>
        <v>No</v>
      </c>
    </row>
    <row r="975">
      <c r="A975" s="4" t="s">
        <v>16</v>
      </c>
      <c r="B975" s="4" t="s">
        <v>2779</v>
      </c>
      <c r="C975" s="9">
        <v>44932.0</v>
      </c>
      <c r="D975" s="10">
        <v>44933.0</v>
      </c>
      <c r="E975" s="4" t="s">
        <v>2780</v>
      </c>
      <c r="F975" s="4" t="s">
        <v>2781</v>
      </c>
      <c r="G975" s="6" t="str">
        <f>IFERROR(__xludf.DUMMYFUNCTION("REGEXREPLACE(LOWER(F975),""[^a-z\s]"","""")"),"sorry not sure if its my phone or your website used to always order online but the last few times i cant seem to get all the way through to place the order ill have to go back to calling my orders in")</f>
        <v>sorry not sure if its my phone or your website used to always order online but the last few times i cant seem to get all the way through to place the order ill have to go back to calling my orders in</v>
      </c>
      <c r="H975" s="4" t="str">
        <f t="shared" si="1"/>
        <v>sorry not sure if its my phone or your website used always order online but last few times i cant seem get all way through place order ill have go back calling my orders in</v>
      </c>
      <c r="I975" s="6">
        <f t="shared" si="2"/>
        <v>35</v>
      </c>
      <c r="J975" s="6">
        <f>IFERROR(__xludf.DUMMYFUNCTION("IF(H975="""","""",
SUM(
ARRAYFORMULA(
IF(
REGEXMATCH(
"" ""&amp;H975&amp;"" "",
"" ""&amp;Sentiment_Words!A$2:A3730&amp;"" ""
),
1,
0
)
)
)
)"),0.0)</f>
        <v>0</v>
      </c>
      <c r="K975" s="4">
        <f>IFERROR(__xludf.DUMMYFUNCTION("IF(H975="""","""",
SUM(
ARRAYFORMULA(
IF(
REGEXMATCH(
"" ""&amp;H975&amp;"" "",
"" ""&amp;Sentiment_Words!B$2:B3730&amp;"" ""
),
1,
0
)
)
)
)"),0.0)</f>
        <v>0</v>
      </c>
      <c r="L975" s="7" t="str">
        <f t="shared" si="3"/>
        <v>Account &amp; Website</v>
      </c>
      <c r="M975" s="7" t="str">
        <f t="shared" si="4"/>
        <v>Neutral</v>
      </c>
      <c r="N975" s="7" t="str">
        <f>IFERROR(__xludf.DUMMYFUNCTION("LOWER(
TRIM(
REGEXREPLACE(B975,""[^a-zA-Z\s]"","""")
)
)
"),"richard riner")</f>
        <v>richard riner</v>
      </c>
      <c r="O975" s="7">
        <f t="shared" si="5"/>
        <v>1</v>
      </c>
      <c r="P975" s="8" t="str">
        <f t="shared" si="6"/>
        <v>No</v>
      </c>
    </row>
    <row r="976">
      <c r="A976" s="4" t="s">
        <v>16</v>
      </c>
      <c r="B976" s="4" t="s">
        <v>2782</v>
      </c>
      <c r="C976" s="9">
        <v>44931.0</v>
      </c>
      <c r="D976" s="10">
        <v>44932.0</v>
      </c>
      <c r="E976" s="4" t="s">
        <v>2783</v>
      </c>
      <c r="F976" s="4" t="s">
        <v>2784</v>
      </c>
      <c r="G976" s="6" t="str">
        <f>IFERROR(__xludf.DUMMYFUNCTION("REGEXREPLACE(LOWER(F976),""[^a-z\s]"","""")"),"the best prices and fast shipping very happy")</f>
        <v>the best prices and fast shipping very happy</v>
      </c>
      <c r="H976" s="4" t="str">
        <f t="shared" si="1"/>
        <v>best prices fast shipping very happy</v>
      </c>
      <c r="I976" s="6">
        <f t="shared" si="2"/>
        <v>6</v>
      </c>
      <c r="J976" s="6">
        <f>IFERROR(__xludf.DUMMYFUNCTION("IF(H976="""","""",
SUM(
ARRAYFORMULA(
IF(
REGEXMATCH(
"" ""&amp;H976&amp;"" "",
"" ""&amp;Sentiment_Words!A$2:A3730&amp;"" ""
),
1,
0
)
)
)
)"),2.0)</f>
        <v>2</v>
      </c>
      <c r="K976" s="4">
        <f>IFERROR(__xludf.DUMMYFUNCTION("IF(H976="""","""",
SUM(
ARRAYFORMULA(
IF(
REGEXMATCH(
"" ""&amp;H976&amp;"" "",
"" ""&amp;Sentiment_Words!B$2:B3730&amp;"" ""
),
1,
0
)
)
)
)"),0.0)</f>
        <v>0</v>
      </c>
      <c r="L976" s="7" t="str">
        <f t="shared" si="3"/>
        <v>Other</v>
      </c>
      <c r="M976" s="7" t="str">
        <f t="shared" si="4"/>
        <v>Positive</v>
      </c>
      <c r="N976" s="7" t="str">
        <f>IFERROR(__xludf.DUMMYFUNCTION("LOWER(
TRIM(
REGEXREPLACE(B976,""[^a-zA-Z\s]"","""")
)
)
"),"linda ruffing")</f>
        <v>linda ruffing</v>
      </c>
      <c r="O976" s="7">
        <f t="shared" si="5"/>
        <v>1</v>
      </c>
      <c r="P976" s="8" t="str">
        <f t="shared" si="6"/>
        <v>No</v>
      </c>
    </row>
    <row r="977">
      <c r="A977" s="4" t="s">
        <v>16</v>
      </c>
      <c r="B977" s="4" t="s">
        <v>584</v>
      </c>
      <c r="C977" s="9">
        <v>44930.0</v>
      </c>
      <c r="D977" s="10">
        <v>44931.0</v>
      </c>
      <c r="E977" s="4" t="s">
        <v>2785</v>
      </c>
      <c r="F977" s="4" t="s">
        <v>2786</v>
      </c>
      <c r="G977" s="6" t="str">
        <f>IFERROR(__xludf.DUMMYFUNCTION("REGEXREPLACE(LOWER(F977),""[^a-z\s]"","""")"),"i have  dogs and not one of them would play with it they totally ignored it")</f>
        <v>i have  dogs and not one of them would play with it they totally ignored it</v>
      </c>
      <c r="H977" s="4" t="str">
        <f t="shared" si="1"/>
        <v>i have dogs not one of them would play with it they totally ignored it</v>
      </c>
      <c r="I977" s="6">
        <f t="shared" si="2"/>
        <v>15</v>
      </c>
      <c r="J977" s="6">
        <f>IFERROR(__xludf.DUMMYFUNCTION("IF(H977="""","""",
SUM(
ARRAYFORMULA(
IF(
REGEXMATCH(
"" ""&amp;H977&amp;"" "",
"" ""&amp;Sentiment_Words!A$2:A3730&amp;"" ""
),
1,
0
)
)
)
)"),0.0)</f>
        <v>0</v>
      </c>
      <c r="K977" s="4">
        <f>IFERROR(__xludf.DUMMYFUNCTION("IF(H977="""","""",
SUM(
ARRAYFORMULA(
IF(
REGEXMATCH(
"" ""&amp;H977&amp;"" "",
"" ""&amp;Sentiment_Words!B$2:B3730&amp;"" ""
),
1,
0
)
)
)
)"),1.0)</f>
        <v>1</v>
      </c>
      <c r="L977" s="7" t="str">
        <f t="shared" si="3"/>
        <v>Customer Support</v>
      </c>
      <c r="M977" s="7" t="str">
        <f t="shared" si="4"/>
        <v>Negative</v>
      </c>
      <c r="N977" s="7" t="str">
        <f>IFERROR(__xludf.DUMMYFUNCTION("LOWER(
TRIM(
REGEXREPLACE(B977,""[^a-zA-Z\s]"","""")
)
)
"),"carrie")</f>
        <v>carrie</v>
      </c>
      <c r="O977" s="7">
        <f t="shared" si="5"/>
        <v>2</v>
      </c>
      <c r="P977" s="8" t="str">
        <f t="shared" si="6"/>
        <v>Yes</v>
      </c>
    </row>
    <row r="978">
      <c r="A978" s="4" t="s">
        <v>16</v>
      </c>
      <c r="B978" s="4" t="s">
        <v>2787</v>
      </c>
      <c r="C978" s="9">
        <v>44929.0</v>
      </c>
      <c r="D978" s="10">
        <v>44931.0</v>
      </c>
      <c r="E978" s="4" t="s">
        <v>2788</v>
      </c>
      <c r="F978" s="4" t="s">
        <v>2789</v>
      </c>
      <c r="G978" s="6" t="str">
        <f>IFERROR(__xludf.DUMMYFUNCTION("REGEXREPLACE(LOWER(F978),""[^a-z\s]"","""")"),"horrible company ordered food for my dog and got an email saying we received your order called a week later as never received my order or an email saying it shipped they said they cancelled my order and could not say why as they are not allowed seriously "&amp;"you can not tell me why you cancelled my order going back to chewy where customer service is the best")</f>
        <v>horrible company ordered food for my dog and got an email saying we received your order called a week later as never received my order or an email saying it shipped they said they cancelled my order and could not say why as they are not allowed seriously you can not tell me why you cancelled my order going back to chewy where customer service is the best</v>
      </c>
      <c r="H978" s="4" t="str">
        <f t="shared" si="1"/>
        <v>horrible company ordered food my dog got an email saying we received your order called a week later as never received my order or an email saying it shipped they said they cancelled my order could not say why as they are not allowed seriously you can not tell me why you cancelled my order going back chewy where customer service best</v>
      </c>
      <c r="I978" s="6">
        <f t="shared" si="2"/>
        <v>62</v>
      </c>
      <c r="J978" s="6">
        <f>IFERROR(__xludf.DUMMYFUNCTION("IF(H978="""","""",
SUM(
ARRAYFORMULA(
IF(
REGEXMATCH(
"" ""&amp;H978&amp;"" "",
"" ""&amp;Sentiment_Words!A$2:A3730&amp;"" ""
),
1,
0
)
)
)
)"),0.0)</f>
        <v>0</v>
      </c>
      <c r="K978" s="4">
        <f>IFERROR(__xludf.DUMMYFUNCTION("IF(H978="""","""",
SUM(
ARRAYFORMULA(
IF(
REGEXMATCH(
"" ""&amp;H978&amp;"" "",
"" ""&amp;Sentiment_Words!B$2:B3730&amp;"" ""
),
1,
0
)
)
)
)"),2.0)</f>
        <v>2</v>
      </c>
      <c r="L978" s="7" t="str">
        <f t="shared" si="3"/>
        <v>Customer Support</v>
      </c>
      <c r="M978" s="7" t="str">
        <f t="shared" si="4"/>
        <v>Negative</v>
      </c>
      <c r="N978" s="7" t="str">
        <f>IFERROR(__xludf.DUMMYFUNCTION("LOWER(
TRIM(
REGEXREPLACE(B978,""[^a-zA-Z\s]"","""")
)
)
"),"mary hawks")</f>
        <v>mary hawks</v>
      </c>
      <c r="O978" s="7">
        <f t="shared" si="5"/>
        <v>1</v>
      </c>
      <c r="P978" s="8" t="str">
        <f t="shared" si="6"/>
        <v>No</v>
      </c>
    </row>
    <row r="979">
      <c r="A979" s="4" t="s">
        <v>16</v>
      </c>
      <c r="B979" s="4" t="s">
        <v>2595</v>
      </c>
      <c r="C979" s="9">
        <v>44930.0</v>
      </c>
      <c r="D979" s="10">
        <v>44931.0</v>
      </c>
      <c r="E979" s="4" t="s">
        <v>2790</v>
      </c>
      <c r="F979" s="4" t="s">
        <v>2791</v>
      </c>
      <c r="G979" s="6" t="str">
        <f>IFERROR(__xludf.DUMMYFUNCTION("REGEXREPLACE(LOWER(F979),""[^a-z\s]"","""")"),"the company is absolutely awsomanother company sent me to petfkow and im so happy they did and i will contiune to shop at petflow thank you for being petflow")</f>
        <v>the company is absolutely awsomanother company sent me to petfkow and im so happy they did and i will contiune to shop at petflow thank you for being petflow</v>
      </c>
      <c r="H979" s="4" t="str">
        <f t="shared" si="1"/>
        <v>company absolutely awsomanother company sent me petfkow im so happy they did i will contiune shop at petflow thank you being petflow</v>
      </c>
      <c r="I979" s="6">
        <f t="shared" si="2"/>
        <v>22</v>
      </c>
      <c r="J979" s="6">
        <f>IFERROR(__xludf.DUMMYFUNCTION("IF(H979="""","""",
SUM(
ARRAYFORMULA(
IF(
REGEXMATCH(
"" ""&amp;H979&amp;"" "",
"" ""&amp;Sentiment_Words!A$2:A3730&amp;"" ""
),
1,
0
)
)
)
)"),1.0)</f>
        <v>1</v>
      </c>
      <c r="K979" s="4">
        <f>IFERROR(__xludf.DUMMYFUNCTION("IF(H979="""","""",
SUM(
ARRAYFORMULA(
IF(
REGEXMATCH(
"" ""&amp;H979&amp;"" "",
"" ""&amp;Sentiment_Words!B$2:B3730&amp;"" ""
),
1,
0
)
)
)
)"),0.0)</f>
        <v>0</v>
      </c>
      <c r="L979" s="7" t="str">
        <f t="shared" si="3"/>
        <v>Other</v>
      </c>
      <c r="M979" s="7" t="str">
        <f t="shared" si="4"/>
        <v>Positive</v>
      </c>
      <c r="N979" s="7" t="str">
        <f>IFERROR(__xludf.DUMMYFUNCTION("LOWER(
TRIM(
REGEXREPLACE(B979,""[^a-zA-Z\s]"","""")
)
)
"),"susan")</f>
        <v>susan</v>
      </c>
      <c r="O979" s="7">
        <f t="shared" si="5"/>
        <v>5</v>
      </c>
      <c r="P979" s="8" t="str">
        <f t="shared" si="6"/>
        <v>Yes</v>
      </c>
    </row>
    <row r="980">
      <c r="A980" s="4" t="s">
        <v>16</v>
      </c>
      <c r="B980" s="4" t="s">
        <v>2792</v>
      </c>
      <c r="C980" s="9">
        <v>44930.0</v>
      </c>
      <c r="D980" s="10">
        <v>44931.0</v>
      </c>
      <c r="E980" s="4" t="s">
        <v>2793</v>
      </c>
      <c r="F980" s="4" t="s">
        <v>2794</v>
      </c>
      <c r="G980" s="6" t="str">
        <f>IFERROR(__xludf.DUMMYFUNCTION("REGEXREPLACE(LOWER(F980),""[^a-z\s]"","""")"),"great prices and fast delivery we we were using chewy which is great but they dont carry the food we need for new dog i am very happy with my recent petflow experience")</f>
        <v>great prices and fast delivery we we were using chewy which is great but they dont carry the food we need for new dog i am very happy with my recent petflow experience</v>
      </c>
      <c r="H980" s="4" t="str">
        <f t="shared" si="1"/>
        <v>great prices fast delivery we we were using chewy which great but they dont carry food we need new dog i am very happy with my recent petflow experience</v>
      </c>
      <c r="I980" s="6">
        <f t="shared" si="2"/>
        <v>29</v>
      </c>
      <c r="J980" s="6">
        <f>IFERROR(__xludf.DUMMYFUNCTION("IF(H980="""","""",
SUM(
ARRAYFORMULA(
IF(
REGEXMATCH(
"" ""&amp;H980&amp;"" "",
"" ""&amp;Sentiment_Words!A$2:A3730&amp;"" ""
),
1,
0
)
)
)
)"),4.0)</f>
        <v>4</v>
      </c>
      <c r="K980" s="4">
        <f>IFERROR(__xludf.DUMMYFUNCTION("IF(H980="""","""",
SUM(
ARRAYFORMULA(
IF(
REGEXMATCH(
"" ""&amp;H980&amp;"" "",
"" ""&amp;Sentiment_Words!B$2:B3730&amp;"" ""
),
1,
0
)
)
)
)"),0.0)</f>
        <v>0</v>
      </c>
      <c r="L980" s="7" t="str">
        <f t="shared" si="3"/>
        <v>Other</v>
      </c>
      <c r="M980" s="7" t="str">
        <f t="shared" si="4"/>
        <v>Positive</v>
      </c>
      <c r="N980" s="7" t="str">
        <f>IFERROR(__xludf.DUMMYFUNCTION("LOWER(
TRIM(
REGEXREPLACE(B980,""[^a-zA-Z\s]"","""")
)
)
"),"laurie greear")</f>
        <v>laurie greear</v>
      </c>
      <c r="O980" s="7">
        <f t="shared" si="5"/>
        <v>1</v>
      </c>
      <c r="P980" s="8" t="str">
        <f t="shared" si="6"/>
        <v>No</v>
      </c>
    </row>
    <row r="981">
      <c r="A981" s="4" t="s">
        <v>16</v>
      </c>
      <c r="B981" s="4" t="s">
        <v>2795</v>
      </c>
      <c r="C981" s="5">
        <v>44917.0</v>
      </c>
      <c r="D981" s="10">
        <v>44930.0</v>
      </c>
      <c r="E981" s="4" t="s">
        <v>2796</v>
      </c>
      <c r="F981" s="4" t="s">
        <v>331</v>
      </c>
      <c r="G981" s="6" t="str">
        <f>IFERROR(__xludf.DUMMYFUNCTION("REGEXREPLACE(LOWER(F981),""[^a-z\s]"","""")"),"none")</f>
        <v>none</v>
      </c>
      <c r="H981" s="4" t="str">
        <f t="shared" si="1"/>
        <v>none</v>
      </c>
      <c r="I981" s="6">
        <f t="shared" si="2"/>
        <v>1</v>
      </c>
      <c r="J981" s="6">
        <f>IFERROR(__xludf.DUMMYFUNCTION("IF(H981="""","""",
SUM(
ARRAYFORMULA(
IF(
REGEXMATCH(
"" ""&amp;H981&amp;"" "",
"" ""&amp;Sentiment_Words!A$2:A3730&amp;"" ""
),
1,
0
)
)
)
)"),0.0)</f>
        <v>0</v>
      </c>
      <c r="K981" s="4">
        <f>IFERROR(__xludf.DUMMYFUNCTION("IF(H981="""","""",
SUM(
ARRAYFORMULA(
IF(
REGEXMATCH(
"" ""&amp;H981&amp;"" "",
"" ""&amp;Sentiment_Words!B$2:B3730&amp;"" ""
),
1,
0
)
)
)
)"),0.0)</f>
        <v>0</v>
      </c>
      <c r="L981" s="7" t="str">
        <f t="shared" si="3"/>
        <v>Other</v>
      </c>
      <c r="M981" s="7" t="str">
        <f t="shared" si="4"/>
        <v>Neutral</v>
      </c>
      <c r="N981" s="7" t="str">
        <f>IFERROR(__xludf.DUMMYFUNCTION("LOWER(
TRIM(
REGEXREPLACE(B981,""[^a-zA-Z\s]"","""")
)
)
"),"jill m")</f>
        <v>jill m</v>
      </c>
      <c r="O981" s="7">
        <f t="shared" si="5"/>
        <v>1</v>
      </c>
      <c r="P981" s="8" t="str">
        <f t="shared" si="6"/>
        <v>No</v>
      </c>
    </row>
    <row r="982">
      <c r="A982" s="4" t="s">
        <v>16</v>
      </c>
      <c r="B982" s="4" t="s">
        <v>2797</v>
      </c>
      <c r="C982" s="5">
        <v>44917.0</v>
      </c>
      <c r="D982" s="10">
        <v>44929.0</v>
      </c>
      <c r="E982" s="4" t="s">
        <v>2798</v>
      </c>
      <c r="F982" s="4" t="s">
        <v>2799</v>
      </c>
      <c r="G982" s="6" t="str">
        <f>IFERROR(__xludf.DUMMYFUNCTION("REGEXREPLACE(LOWER(F982),""[^a-z\s]"","""")"),"communications and correspondences via email was better than most pet stores")</f>
        <v>communications and correspondences via email was better than most pet stores</v>
      </c>
      <c r="H982" s="4" t="str">
        <f t="shared" si="1"/>
        <v>communications correspondences via email was better than most pet stores</v>
      </c>
      <c r="I982" s="6">
        <f t="shared" si="2"/>
        <v>10</v>
      </c>
      <c r="J982" s="6">
        <f>IFERROR(__xludf.DUMMYFUNCTION("IF(H982="""","""",
SUM(
ARRAYFORMULA(
IF(
REGEXMATCH(
"" ""&amp;H982&amp;"" "",
"" ""&amp;Sentiment_Words!A$2:A3730&amp;"" ""
),
1,
0
)
)
)
)"),0.0)</f>
        <v>0</v>
      </c>
      <c r="K982" s="4">
        <f>IFERROR(__xludf.DUMMYFUNCTION("IF(H982="""","""",
SUM(
ARRAYFORMULA(
IF(
REGEXMATCH(
"" ""&amp;H982&amp;"" "",
"" ""&amp;Sentiment_Words!B$2:B3730&amp;"" ""
),
1,
0
)
)
)
)"),0.0)</f>
        <v>0</v>
      </c>
      <c r="L982" s="7" t="str">
        <f t="shared" si="3"/>
        <v>Other</v>
      </c>
      <c r="M982" s="7" t="str">
        <f t="shared" si="4"/>
        <v>Neutral</v>
      </c>
      <c r="N982" s="7" t="str">
        <f>IFERROR(__xludf.DUMMYFUNCTION("LOWER(
TRIM(
REGEXREPLACE(B982,""[^a-zA-Z\s]"","""")
)
)
"),"mandisa henry")</f>
        <v>mandisa henry</v>
      </c>
      <c r="O982" s="7">
        <f t="shared" si="5"/>
        <v>1</v>
      </c>
      <c r="P982" s="8" t="str">
        <f t="shared" si="6"/>
        <v>No</v>
      </c>
    </row>
    <row r="983">
      <c r="A983" s="4" t="s">
        <v>16</v>
      </c>
      <c r="B983" s="4" t="s">
        <v>2800</v>
      </c>
      <c r="C983" s="9">
        <v>44927.0</v>
      </c>
      <c r="D983" s="10">
        <v>44929.0</v>
      </c>
      <c r="E983" s="4" t="s">
        <v>2801</v>
      </c>
      <c r="F983" s="4" t="s">
        <v>2802</v>
      </c>
      <c r="G983" s="6" t="str">
        <f>IFERROR(__xludf.DUMMYFUNCTION("REGEXREPLACE(LOWER(F983),""[^a-z\s]"","""")"),"i am very impressed that my order was received before expected none of cans of food were damaged the food is very fresh and the price is right petflow is now my goto from now on for zignature kangaroo formula canned dog food thanks for being so on top of "&amp;"things")</f>
        <v>i am very impressed that my order was received before expected none of cans of food were damaged the food is very fresh and the price is right petflow is now my goto from now on for zignature kangaroo formula canned dog food thanks for being so on top of things</v>
      </c>
      <c r="H983" s="4" t="str">
        <f t="shared" si="1"/>
        <v>i am very impressed that my order was received before expected none of cans of food were damaged food very fresh price right petflow now my goto from now on zignature kangaroo formula canned dog food thanks being so on top of things</v>
      </c>
      <c r="I983" s="6">
        <f t="shared" si="2"/>
        <v>43</v>
      </c>
      <c r="J983" s="6">
        <f>IFERROR(__xludf.DUMMYFUNCTION("IF(H983="""","""",
SUM(
ARRAYFORMULA(
IF(
REGEXMATCH(
"" ""&amp;H983&amp;"" "",
"" ""&amp;Sentiment_Words!A$2:A3730&amp;"" ""
),
1,
0
)
)
)
)"),1.0)</f>
        <v>1</v>
      </c>
      <c r="K983" s="4">
        <f>IFERROR(__xludf.DUMMYFUNCTION("IF(H983="""","""",
SUM(
ARRAYFORMULA(
IF(
REGEXMATCH(
"" ""&amp;H983&amp;"" "",
"" ""&amp;Sentiment_Words!B$2:B3730&amp;"" ""
),
1,
0
)
)
)
)"),0.0)</f>
        <v>0</v>
      </c>
      <c r="L983" s="7" t="str">
        <f t="shared" si="3"/>
        <v>Service Recovery</v>
      </c>
      <c r="M983" s="7" t="str">
        <f t="shared" si="4"/>
        <v>Positive</v>
      </c>
      <c r="N983" s="7" t="str">
        <f>IFERROR(__xludf.DUMMYFUNCTION("LOWER(
TRIM(
REGEXREPLACE(B983,""[^a-zA-Z\s]"","""")
)
)
"),"lesli kelsey")</f>
        <v>lesli kelsey</v>
      </c>
      <c r="O983" s="7">
        <f t="shared" si="5"/>
        <v>1</v>
      </c>
      <c r="P983" s="8" t="str">
        <f t="shared" si="6"/>
        <v>No</v>
      </c>
    </row>
    <row r="984">
      <c r="A984" s="4" t="s">
        <v>16</v>
      </c>
      <c r="B984" s="4" t="s">
        <v>2803</v>
      </c>
      <c r="C984" s="5">
        <v>44925.0</v>
      </c>
      <c r="D984" s="10">
        <v>44929.0</v>
      </c>
      <c r="E984" s="4" t="s">
        <v>2804</v>
      </c>
      <c r="F984" s="4" t="s">
        <v>2805</v>
      </c>
      <c r="G984" s="6" t="str">
        <f>IFERROR(__xludf.DUMMYFUNCTION("REGEXREPLACE(LOWER(F984),""[^a-z\s]"","""")"),"terrible just terrible not helpful at all still waiting for my dogs medication its going on  weeks now i keep getting the run around from everyone i speak to im over this company yall need to get ur stufftogether")</f>
        <v>terrible just terrible not helpful at all still waiting for my dogs medication its going on  weeks now i keep getting the run around from everyone i speak to im over this company yall need to get ur stufftogether</v>
      </c>
      <c r="H984" s="4" t="str">
        <f t="shared" si="1"/>
        <v>terrible just terrible not helpful at all still waiting my dogs medication its going on weeks now i keep getting run around from everyone i speak im over this company yall need get ur stufftogether</v>
      </c>
      <c r="I984" s="6">
        <f t="shared" si="2"/>
        <v>35</v>
      </c>
      <c r="J984" s="6">
        <f>IFERROR(__xludf.DUMMYFUNCTION("IF(H984="""","""",
SUM(
ARRAYFORMULA(
IF(
REGEXMATCH(
"" ""&amp;H984&amp;"" "",
"" ""&amp;Sentiment_Words!A$2:A3730&amp;"" ""
),
1,
0
)
)
)
)"),1.0)</f>
        <v>1</v>
      </c>
      <c r="K984" s="4">
        <f>IFERROR(__xludf.DUMMYFUNCTION("IF(H984="""","""",
SUM(
ARRAYFORMULA(
IF(
REGEXMATCH(
"" ""&amp;H984&amp;"" "",
"" ""&amp;Sentiment_Words!B$2:B3730&amp;"" ""
),
1,
0
)
)
)
)"),1.0)</f>
        <v>1</v>
      </c>
      <c r="L984" s="7" t="str">
        <f t="shared" si="3"/>
        <v>Other</v>
      </c>
      <c r="M984" s="7" t="str">
        <f t="shared" si="4"/>
        <v>Neutral</v>
      </c>
      <c r="N984" s="7" t="str">
        <f>IFERROR(__xludf.DUMMYFUNCTION("LOWER(
TRIM(
REGEXREPLACE(B984,""[^a-zA-Z\s]"","""")
)
)
"),"melissa")</f>
        <v>melissa</v>
      </c>
      <c r="O984" s="7">
        <f t="shared" si="5"/>
        <v>3</v>
      </c>
      <c r="P984" s="8" t="str">
        <f t="shared" si="6"/>
        <v>Yes</v>
      </c>
    </row>
    <row r="985">
      <c r="A985" s="4" t="s">
        <v>16</v>
      </c>
      <c r="B985" s="4" t="s">
        <v>2806</v>
      </c>
      <c r="C985" s="9">
        <v>44903.0</v>
      </c>
      <c r="D985" s="10">
        <v>44928.0</v>
      </c>
      <c r="E985" s="4" t="s">
        <v>2807</v>
      </c>
      <c r="F985" s="4" t="s">
        <v>2808</v>
      </c>
      <c r="G985" s="6" t="str">
        <f>IFERROR(__xludf.DUMMYFUNCTION("REGEXREPLACE(LOWER(F985),""[^a-z\s]"","""")"),"ordering can be made easier and delivery took longer than ecpected")</f>
        <v>ordering can be made easier and delivery took longer than ecpected</v>
      </c>
      <c r="H985" s="4" t="str">
        <f t="shared" si="1"/>
        <v>ordering can be made easier delivery took longer than ecpected</v>
      </c>
      <c r="I985" s="6">
        <f t="shared" si="2"/>
        <v>10</v>
      </c>
      <c r="J985" s="6">
        <f>IFERROR(__xludf.DUMMYFUNCTION("IF(H985="""","""",
SUM(
ARRAYFORMULA(
IF(
REGEXMATCH(
"" ""&amp;H985&amp;"" "",
"" ""&amp;Sentiment_Words!A$2:A3730&amp;"" ""
),
1,
0
)
)
)
)"),0.0)</f>
        <v>0</v>
      </c>
      <c r="K985" s="4">
        <f>IFERROR(__xludf.DUMMYFUNCTION("IF(H985="""","""",
SUM(
ARRAYFORMULA(
IF(
REGEXMATCH(
"" ""&amp;H985&amp;"" "",
"" ""&amp;Sentiment_Words!B$2:B3730&amp;"" ""
),
1,
0
)
)
)
)"),0.0)</f>
        <v>0</v>
      </c>
      <c r="L985" s="7" t="str">
        <f t="shared" si="3"/>
        <v>Other</v>
      </c>
      <c r="M985" s="7" t="str">
        <f t="shared" si="4"/>
        <v>Neutral</v>
      </c>
      <c r="N985" s="7" t="str">
        <f>IFERROR(__xludf.DUMMYFUNCTION("LOWER(
TRIM(
REGEXREPLACE(B985,""[^a-zA-Z\s]"","""")
)
)
"),"frederick pisani")</f>
        <v>frederick pisani</v>
      </c>
      <c r="O985" s="7">
        <f t="shared" si="5"/>
        <v>1</v>
      </c>
      <c r="P985" s="8" t="str">
        <f t="shared" si="6"/>
        <v>No</v>
      </c>
    </row>
    <row r="986">
      <c r="A986" s="4" t="s">
        <v>16</v>
      </c>
      <c r="B986" s="4" t="s">
        <v>452</v>
      </c>
      <c r="C986" s="5">
        <v>44918.0</v>
      </c>
      <c r="D986" s="10">
        <v>44928.0</v>
      </c>
      <c r="E986" s="4" t="s">
        <v>2809</v>
      </c>
      <c r="F986" s="4" t="s">
        <v>2810</v>
      </c>
      <c r="G986" s="6" t="str">
        <f>IFERROR(__xludf.DUMMYFUNCTION("REGEXREPLACE(LOWER(F986),""[^a-z\s]"","""")"),"first was the excellent selection offered at a fair price then there was delivery no easy challenge since ihe order was placed over the holiday and we had a major snow storm guess what buddyholley my bearded collie was enjoying his food and treats earlier"&amp;" than excepted wow just wow")</f>
        <v>first was the excellent selection offered at a fair price then there was delivery no easy challenge since ihe order was placed over the holiday and we had a major snow storm guess what buddyholley my bearded collie was enjoying his food and treats earlier than excepted wow just wow</v>
      </c>
      <c r="H986" s="4" t="str">
        <f t="shared" si="1"/>
        <v>first was excellent selection offered at a fair price then there was delivery no easy challenge since ihe order was placed over holiday we had a major snow storm guess what buddyholley my bearded collie was enjoying his food treats earlier than excepted wow just wow</v>
      </c>
      <c r="I986" s="6">
        <f t="shared" si="2"/>
        <v>46</v>
      </c>
      <c r="J986" s="6">
        <f>IFERROR(__xludf.DUMMYFUNCTION("IF(H986="""","""",
SUM(
ARRAYFORMULA(
IF(
REGEXMATCH(
"" ""&amp;H986&amp;"" "",
"" ""&amp;Sentiment_Words!A$2:A3730&amp;"" ""
),
1,
0
)
)
)
)"),1.0)</f>
        <v>1</v>
      </c>
      <c r="K986" s="4">
        <f>IFERROR(__xludf.DUMMYFUNCTION("IF(H986="""","""",
SUM(
ARRAYFORMULA(
IF(
REGEXMATCH(
"" ""&amp;H986&amp;"" "",
"" ""&amp;Sentiment_Words!B$2:B3730&amp;"" ""
),
1,
0
)
)
)
)"),0.0)</f>
        <v>0</v>
      </c>
      <c r="L986" s="7" t="str">
        <f t="shared" si="3"/>
        <v>Other</v>
      </c>
      <c r="M986" s="7" t="str">
        <f t="shared" si="4"/>
        <v>Positive</v>
      </c>
      <c r="N986" s="7" t="str">
        <f>IFERROR(__xludf.DUMMYFUNCTION("LOWER(
TRIM(
REGEXREPLACE(B986,""[^a-zA-Z\s]"","""")
)
)
"),"david")</f>
        <v>david</v>
      </c>
      <c r="O986" s="7">
        <f t="shared" si="5"/>
        <v>3</v>
      </c>
      <c r="P986" s="8" t="str">
        <f t="shared" si="6"/>
        <v>Yes</v>
      </c>
    </row>
    <row r="987">
      <c r="A987" s="4" t="s">
        <v>16</v>
      </c>
      <c r="B987" s="4" t="s">
        <v>2811</v>
      </c>
      <c r="C987" s="5">
        <v>44914.0</v>
      </c>
      <c r="D987" s="10">
        <v>44927.0</v>
      </c>
      <c r="E987" s="4" t="s">
        <v>2812</v>
      </c>
      <c r="F987" s="4" t="s">
        <v>2813</v>
      </c>
      <c r="G987" s="6" t="str">
        <f>IFERROR(__xludf.DUMMYFUNCTION("REGEXREPLACE(LOWER(F987),""[^a-z\s]"","""")"),"i have a dog who is allergic to everything basically so i used the online chat and the customer service person helped me locate a food and treats that basically only have duck one of the only things shes not allergic to")</f>
        <v>i have a dog who is allergic to everything basically so i used the online chat and the customer service person helped me locate a food and treats that basically only have duck one of the only things shes not allergic to</v>
      </c>
      <c r="H987" s="4" t="str">
        <f t="shared" si="1"/>
        <v>i have a dog who allergic everything basically so i used online chat customer service person helped me locate a food treats that basically only have duck one of only things shes not allergic</v>
      </c>
      <c r="I987" s="6">
        <f t="shared" si="2"/>
        <v>34</v>
      </c>
      <c r="J987" s="6">
        <f>IFERROR(__xludf.DUMMYFUNCTION("IF(H987="""","""",
SUM(
ARRAYFORMULA(
IF(
REGEXMATCH(
"" ""&amp;H987&amp;"" "",
"" ""&amp;Sentiment_Words!A$2:A3730&amp;"" ""
),
1,
0
)
)
)
)"),0.0)</f>
        <v>0</v>
      </c>
      <c r="K987" s="4">
        <f>IFERROR(__xludf.DUMMYFUNCTION("IF(H987="""","""",
SUM(
ARRAYFORMULA(
IF(
REGEXMATCH(
"" ""&amp;H987&amp;"" "",
"" ""&amp;Sentiment_Words!B$2:B3730&amp;"" ""
),
1,
0
)
)
)
)"),1.0)</f>
        <v>1</v>
      </c>
      <c r="L987" s="7" t="str">
        <f t="shared" si="3"/>
        <v>Customer Support</v>
      </c>
      <c r="M987" s="7" t="str">
        <f t="shared" si="4"/>
        <v>Negative</v>
      </c>
      <c r="N987" s="7" t="str">
        <f>IFERROR(__xludf.DUMMYFUNCTION("LOWER(
TRIM(
REGEXREPLACE(B987,""[^a-zA-Z\s]"","""")
)
)
"),"amcc")</f>
        <v>amcc</v>
      </c>
      <c r="O987" s="7">
        <f t="shared" si="5"/>
        <v>1</v>
      </c>
      <c r="P987" s="8" t="str">
        <f t="shared" si="6"/>
        <v>No</v>
      </c>
    </row>
    <row r="988">
      <c r="A988" s="4" t="s">
        <v>16</v>
      </c>
      <c r="B988" s="4" t="s">
        <v>2814</v>
      </c>
      <c r="C988" s="5">
        <v>44918.0</v>
      </c>
      <c r="D988" s="10">
        <v>44926.0</v>
      </c>
      <c r="E988" s="4" t="s">
        <v>2815</v>
      </c>
      <c r="F988" s="4" t="s">
        <v>2816</v>
      </c>
      <c r="G988" s="6" t="str">
        <f>IFERROR(__xludf.DUMMYFUNCTION("REGEXREPLACE(LOWER(F988),""[^a-z\s]"","""")"),"delivered on time was able to brands i wanted not available on other sites like chewey")</f>
        <v>delivered on time was able to brands i wanted not available on other sites like chewey</v>
      </c>
      <c r="H988" s="4" t="str">
        <f t="shared" si="1"/>
        <v>delivered on time was able brands i wanted not available on other sites like chewey</v>
      </c>
      <c r="I988" s="6">
        <f t="shared" si="2"/>
        <v>15</v>
      </c>
      <c r="J988" s="6">
        <f>IFERROR(__xludf.DUMMYFUNCTION("IF(H988="""","""",
SUM(
ARRAYFORMULA(
IF(
REGEXMATCH(
"" ""&amp;H988&amp;"" "",
"" ""&amp;Sentiment_Words!A$2:A3730&amp;"" ""
),
1,
0
)
)
)
)"),4.0)</f>
        <v>4</v>
      </c>
      <c r="K988" s="4">
        <f>IFERROR(__xludf.DUMMYFUNCTION("IF(H988="""","""",
SUM(
ARRAYFORMULA(
IF(
REGEXMATCH(
"" ""&amp;H988&amp;"" "",
"" ""&amp;Sentiment_Words!B$2:B3730&amp;"" ""
),
1,
0
)
)
)
)"),0.0)</f>
        <v>0</v>
      </c>
      <c r="L988" s="7" t="str">
        <f t="shared" si="3"/>
        <v>Other</v>
      </c>
      <c r="M988" s="7" t="str">
        <f t="shared" si="4"/>
        <v>Positive</v>
      </c>
      <c r="N988" s="7" t="str">
        <f>IFERROR(__xludf.DUMMYFUNCTION("LOWER(
TRIM(
REGEXREPLACE(B988,""[^a-zA-Z\s]"","""")
)
)
"),"ben lever")</f>
        <v>ben lever</v>
      </c>
      <c r="O988" s="7">
        <f t="shared" si="5"/>
        <v>1</v>
      </c>
      <c r="P988" s="8" t="str">
        <f t="shared" si="6"/>
        <v>No</v>
      </c>
    </row>
    <row r="989">
      <c r="A989" s="4" t="s">
        <v>16</v>
      </c>
      <c r="B989" s="4" t="s">
        <v>2817</v>
      </c>
      <c r="C989" s="5">
        <v>44925.0</v>
      </c>
      <c r="D989" s="10">
        <v>44926.0</v>
      </c>
      <c r="E989" s="4" t="s">
        <v>2818</v>
      </c>
      <c r="F989" s="4" t="s">
        <v>2819</v>
      </c>
      <c r="G989" s="6" t="str">
        <f>IFERROR(__xludf.DUMMYFUNCTION("REGEXREPLACE(LOWER(F989),""[^a-z\s]"","""")"),"fast shipping fair prices and excellent customer service")</f>
        <v>fast shipping fair prices and excellent customer service</v>
      </c>
      <c r="H989" s="4" t="str">
        <f t="shared" si="1"/>
        <v>fast shipping fair prices excellent customer service</v>
      </c>
      <c r="I989" s="6">
        <f t="shared" si="2"/>
        <v>7</v>
      </c>
      <c r="J989" s="6">
        <f>IFERROR(__xludf.DUMMYFUNCTION("IF(H989="""","""",
SUM(
ARRAYFORMULA(
IF(
REGEXMATCH(
"" ""&amp;H989&amp;"" "",
"" ""&amp;Sentiment_Words!A$2:A3730&amp;"" ""
),
1,
0
)
)
)
)"),1.0)</f>
        <v>1</v>
      </c>
      <c r="K989" s="4">
        <f>IFERROR(__xludf.DUMMYFUNCTION("IF(H989="""","""",
SUM(
ARRAYFORMULA(
IF(
REGEXMATCH(
"" ""&amp;H989&amp;"" "",
"" ""&amp;Sentiment_Words!B$2:B3730&amp;"" ""
),
1,
0
)
)
)
)"),1.0)</f>
        <v>1</v>
      </c>
      <c r="L989" s="7" t="str">
        <f t="shared" si="3"/>
        <v>Customer Support</v>
      </c>
      <c r="M989" s="7" t="str">
        <f t="shared" si="4"/>
        <v>Neutral</v>
      </c>
      <c r="N989" s="7" t="str">
        <f>IFERROR(__xludf.DUMMYFUNCTION("LOWER(
TRIM(
REGEXREPLACE(B989,""[^a-zA-Z\s]"","""")
)
)
"),"rmc")</f>
        <v>rmc</v>
      </c>
      <c r="O989" s="7">
        <f t="shared" si="5"/>
        <v>1</v>
      </c>
      <c r="P989" s="8" t="str">
        <f t="shared" si="6"/>
        <v>No</v>
      </c>
    </row>
    <row r="990">
      <c r="A990" s="4" t="s">
        <v>16</v>
      </c>
      <c r="B990" s="4" t="s">
        <v>2820</v>
      </c>
      <c r="C990" s="5">
        <v>44918.0</v>
      </c>
      <c r="D990" s="10">
        <v>44926.0</v>
      </c>
      <c r="E990" s="4" t="s">
        <v>2821</v>
      </c>
      <c r="F990" s="4" t="s">
        <v>2822</v>
      </c>
      <c r="G990" s="6" t="str">
        <f>IFERROR(__xludf.DUMMYFUNCTION("REGEXREPLACE(LOWER(F990),""[^a-z\s]"","""")"),"had products in stock quick delivery great customer service")</f>
        <v>had products in stock quick delivery great customer service</v>
      </c>
      <c r="H990" s="4" t="str">
        <f t="shared" si="1"/>
        <v>had products in stock quick delivery great customer service</v>
      </c>
      <c r="I990" s="6">
        <f t="shared" si="2"/>
        <v>9</v>
      </c>
      <c r="J990" s="6">
        <f>IFERROR(__xludf.DUMMYFUNCTION("IF(H990="""","""",
SUM(
ARRAYFORMULA(
IF(
REGEXMATCH(
"" ""&amp;H990&amp;"" "",
"" ""&amp;Sentiment_Words!A$2:A3730&amp;"" ""
),
1,
0
)
)
)
)"),3.0)</f>
        <v>3</v>
      </c>
      <c r="K990" s="4">
        <f>IFERROR(__xludf.DUMMYFUNCTION("IF(H990="""","""",
SUM(
ARRAYFORMULA(
IF(
REGEXMATCH(
"" ""&amp;H990&amp;"" "",
"" ""&amp;Sentiment_Words!B$2:B3730&amp;"" ""
),
1,
0
)
)
)
)"),1.0)</f>
        <v>1</v>
      </c>
      <c r="L990" s="7" t="str">
        <f t="shared" si="3"/>
        <v>Customer Support</v>
      </c>
      <c r="M990" s="7" t="str">
        <f t="shared" si="4"/>
        <v>Positive</v>
      </c>
      <c r="N990" s="7" t="str">
        <f>IFERROR(__xludf.DUMMYFUNCTION("LOWER(
TRIM(
REGEXREPLACE(B990,""[^a-zA-Z\s]"","""")
)
)
"),"d p")</f>
        <v>d p</v>
      </c>
      <c r="O990" s="7">
        <f t="shared" si="5"/>
        <v>1</v>
      </c>
      <c r="P990" s="8" t="str">
        <f t="shared" si="6"/>
        <v>No</v>
      </c>
    </row>
    <row r="991">
      <c r="A991" s="4" t="s">
        <v>16</v>
      </c>
      <c r="B991" s="4" t="s">
        <v>2823</v>
      </c>
      <c r="C991" s="5">
        <v>44913.0</v>
      </c>
      <c r="D991" s="10">
        <v>44925.0</v>
      </c>
      <c r="E991" s="4" t="s">
        <v>2824</v>
      </c>
      <c r="F991" s="4" t="s">
        <v>2825</v>
      </c>
      <c r="G991" s="6" t="str">
        <f>IFERROR(__xludf.DUMMYFUNCTION("REGEXREPLACE(LOWER(F991),""[^a-z\s]"","""")"),"easy to navigate the website and items shipped fast ")</f>
        <v>easy to navigate the website and items shipped fast </v>
      </c>
      <c r="H991" s="4" t="str">
        <f t="shared" si="1"/>
        <v>easy navigate website items shipped fast</v>
      </c>
      <c r="I991" s="6">
        <f t="shared" si="2"/>
        <v>6</v>
      </c>
      <c r="J991" s="6">
        <f>IFERROR(__xludf.DUMMYFUNCTION("IF(H991="""","""",
SUM(
ARRAYFORMULA(
IF(
REGEXMATCH(
"" ""&amp;H991&amp;"" "",
"" ""&amp;Sentiment_Words!A$2:A3730&amp;"" ""
),
1,
0
)
)
)
)"),2.0)</f>
        <v>2</v>
      </c>
      <c r="K991" s="4">
        <f>IFERROR(__xludf.DUMMYFUNCTION("IF(H991="""","""",
SUM(
ARRAYFORMULA(
IF(
REGEXMATCH(
"" ""&amp;H991&amp;"" "",
"" ""&amp;Sentiment_Words!B$2:B3730&amp;"" ""
),
1,
0
)
)
)
)"),0.0)</f>
        <v>0</v>
      </c>
      <c r="L991" s="7" t="str">
        <f t="shared" si="3"/>
        <v>Account &amp; Website</v>
      </c>
      <c r="M991" s="7" t="str">
        <f t="shared" si="4"/>
        <v>Positive</v>
      </c>
      <c r="N991" s="7" t="str">
        <f>IFERROR(__xludf.DUMMYFUNCTION("LOWER(
TRIM(
REGEXREPLACE(B991,""[^a-zA-Z\s]"","""")
)
)
"),"sheila w")</f>
        <v>sheila w</v>
      </c>
      <c r="O991" s="7">
        <f t="shared" si="5"/>
        <v>1</v>
      </c>
      <c r="P991" s="8" t="str">
        <f t="shared" si="6"/>
        <v>No</v>
      </c>
    </row>
    <row r="992">
      <c r="A992" s="4" t="s">
        <v>16</v>
      </c>
      <c r="B992" s="4" t="s">
        <v>2826</v>
      </c>
      <c r="C992" s="5">
        <v>44915.0</v>
      </c>
      <c r="D992" s="10">
        <v>44925.0</v>
      </c>
      <c r="E992" s="4" t="s">
        <v>2827</v>
      </c>
      <c r="F992" s="4" t="s">
        <v>2828</v>
      </c>
      <c r="G992" s="6" t="str">
        <f>IFERROR(__xludf.DUMMYFUNCTION("REGEXREPLACE(LOWER(F992),""[^a-z\s]"","""")"),"petflow always delivers good products in a timely manner they are also the only online provider of my dogs food")</f>
        <v>petflow always delivers good products in a timely manner they are also the only online provider of my dogs food</v>
      </c>
      <c r="H992" s="4" t="str">
        <f t="shared" si="1"/>
        <v>petflow always delivers good products in a timely manner they are also only online provider of my dogs food</v>
      </c>
      <c r="I992" s="6">
        <f t="shared" si="2"/>
        <v>19</v>
      </c>
      <c r="J992" s="6">
        <f>IFERROR(__xludf.DUMMYFUNCTION("IF(H992="""","""",
SUM(
ARRAYFORMULA(
IF(
REGEXMATCH(
"" ""&amp;H992&amp;"" "",
"" ""&amp;Sentiment_Words!A$2:A3730&amp;"" ""
),
1,
0
)
)
)
)"),1.0)</f>
        <v>1</v>
      </c>
      <c r="K992" s="4">
        <f>IFERROR(__xludf.DUMMYFUNCTION("IF(H992="""","""",
SUM(
ARRAYFORMULA(
IF(
REGEXMATCH(
"" ""&amp;H992&amp;"" "",
"" ""&amp;Sentiment_Words!B$2:B3730&amp;"" ""
),
1,
0
)
)
)
)"),0.0)</f>
        <v>0</v>
      </c>
      <c r="L992" s="7" t="str">
        <f t="shared" si="3"/>
        <v>Other</v>
      </c>
      <c r="M992" s="7" t="str">
        <f t="shared" si="4"/>
        <v>Positive</v>
      </c>
      <c r="N992" s="7" t="str">
        <f>IFERROR(__xludf.DUMMYFUNCTION("LOWER(
TRIM(
REGEXREPLACE(B992,""[^a-zA-Z\s]"","""")
)
)
"),"dave lawson")</f>
        <v>dave lawson</v>
      </c>
      <c r="O992" s="7">
        <f t="shared" si="5"/>
        <v>1</v>
      </c>
      <c r="P992" s="8" t="str">
        <f t="shared" si="6"/>
        <v>No</v>
      </c>
    </row>
    <row r="993">
      <c r="A993" s="4" t="s">
        <v>16</v>
      </c>
      <c r="B993" s="4" t="s">
        <v>2110</v>
      </c>
      <c r="C993" s="5">
        <v>44917.0</v>
      </c>
      <c r="D993" s="10">
        <v>44925.0</v>
      </c>
      <c r="E993" s="4" t="s">
        <v>2829</v>
      </c>
      <c r="F993" s="4" t="s">
        <v>2830</v>
      </c>
      <c r="G993" s="6" t="str">
        <f>IFERROR(__xludf.DUMMYFUNCTION("REGEXREPLACE(LOWER(F993),""[^a-z\s]"","""")"),"twice my order has been canceled due to fear of fraud and no one ever reaches out to me to ask im frustrated that a week later when my order isnt received i call and find out it was canceled they have my email and phone number")</f>
        <v>twice my order has been canceled due to fear of fraud and no one ever reaches out to me to ask im frustrated that a week later when my order isnt received i call and find out it was canceled they have my email and phone number</v>
      </c>
      <c r="H993" s="4" t="str">
        <f t="shared" si="1"/>
        <v>twice my order has been canceled due fear of fraud no one ever reaches out me ask im frustrated that a week later when my order isnt received i call find out it was canceled they have my email phone number</v>
      </c>
      <c r="I993" s="6">
        <f t="shared" si="2"/>
        <v>41</v>
      </c>
      <c r="J993" s="6">
        <f>IFERROR(__xludf.DUMMYFUNCTION("IF(H993="""","""",
SUM(
ARRAYFORMULA(
IF(
REGEXMATCH(
"" ""&amp;H993&amp;"" "",
"" ""&amp;Sentiment_Words!A$2:A3730&amp;"" ""
),
1,
0
)
)
)
)"),0.0)</f>
        <v>0</v>
      </c>
      <c r="K993" s="4">
        <f>IFERROR(__xludf.DUMMYFUNCTION("IF(H993="""","""",
SUM(
ARRAYFORMULA(
IF(
REGEXMATCH(
"" ""&amp;H993&amp;"" "",
"" ""&amp;Sentiment_Words!B$2:B3730&amp;"" ""
),
1,
0
)
)
)
)"),0.0)</f>
        <v>0</v>
      </c>
      <c r="L993" s="7" t="str">
        <f t="shared" si="3"/>
        <v>Fulfillment &amp; Shipping</v>
      </c>
      <c r="M993" s="7" t="str">
        <f t="shared" si="4"/>
        <v>Neutral</v>
      </c>
      <c r="N993" s="7" t="str">
        <f>IFERROR(__xludf.DUMMYFUNCTION("LOWER(
TRIM(
REGEXREPLACE(B993,""[^a-zA-Z\s]"","""")
)
)
"),"amy")</f>
        <v>amy</v>
      </c>
      <c r="O993" s="7">
        <f t="shared" si="5"/>
        <v>4</v>
      </c>
      <c r="P993" s="8" t="str">
        <f t="shared" si="6"/>
        <v>Yes</v>
      </c>
    </row>
    <row r="994">
      <c r="A994" s="4" t="s">
        <v>16</v>
      </c>
      <c r="B994" s="4" t="s">
        <v>2831</v>
      </c>
      <c r="C994" s="5">
        <v>44924.0</v>
      </c>
      <c r="D994" s="10">
        <v>44925.0</v>
      </c>
      <c r="E994" s="4" t="s">
        <v>2832</v>
      </c>
      <c r="F994" s="4" t="s">
        <v>2833</v>
      </c>
      <c r="G994" s="6" t="str">
        <f>IFERROR(__xludf.DUMMYFUNCTION("REGEXREPLACE(LOWER(F994),""[^a-z\s]"","""")"),"i placed an order recently from petflow they had the best price on the items i was searching for i didnt need the items right away and i appreciated that i could request the date i would like the items shipped to me highly recommend petflow")</f>
        <v>i placed an order recently from petflow they had the best price on the items i was searching for i didnt need the items right away and i appreciated that i could request the date i would like the items shipped to me highly recommend petflow</v>
      </c>
      <c r="H994" s="4" t="str">
        <f t="shared" si="1"/>
        <v>i placed an order recently from petflow they had best price on items i was searching i didnt need items right away i appreciated that i could request date i would like items shipped me highly recommend petflow</v>
      </c>
      <c r="I994" s="6">
        <f t="shared" si="2"/>
        <v>38</v>
      </c>
      <c r="J994" s="6">
        <f>IFERROR(__xludf.DUMMYFUNCTION("IF(H994="""","""",
SUM(
ARRAYFORMULA(
IF(
REGEXMATCH(
"" ""&amp;H994&amp;"" "",
"" ""&amp;Sentiment_Words!A$2:A3730&amp;"" ""
),
1,
0
)
)
)
)"),0.0)</f>
        <v>0</v>
      </c>
      <c r="K994" s="4">
        <f>IFERROR(__xludf.DUMMYFUNCTION("IF(H994="""","""",
SUM(
ARRAYFORMULA(
IF(
REGEXMATCH(
"" ""&amp;H994&amp;"" "",
"" ""&amp;Sentiment_Words!B$2:B3730&amp;"" ""
),
1,
0
)
)
)
)"),0.0)</f>
        <v>0</v>
      </c>
      <c r="L994" s="7" t="str">
        <f t="shared" si="3"/>
        <v>Other</v>
      </c>
      <c r="M994" s="7" t="str">
        <f t="shared" si="4"/>
        <v>Neutral</v>
      </c>
      <c r="N994" s="7" t="str">
        <f>IFERROR(__xludf.DUMMYFUNCTION("LOWER(
TRIM(
REGEXREPLACE(B994,""[^a-zA-Z\s]"","""")
)
)
"),"kathy durginleighton")</f>
        <v>kathy durginleighton</v>
      </c>
      <c r="O994" s="7">
        <f t="shared" si="5"/>
        <v>1</v>
      </c>
      <c r="P994" s="8" t="str">
        <f t="shared" si="6"/>
        <v>No</v>
      </c>
    </row>
    <row r="995">
      <c r="A995" s="4" t="s">
        <v>16</v>
      </c>
      <c r="B995" s="4" t="s">
        <v>2834</v>
      </c>
      <c r="C995" s="5">
        <v>44907.0</v>
      </c>
      <c r="D995" s="10">
        <v>44925.0</v>
      </c>
      <c r="E995" s="4" t="s">
        <v>2835</v>
      </c>
      <c r="F995" s="4" t="s">
        <v>2836</v>
      </c>
      <c r="G995" s="6" t="str">
        <f>IFERROR(__xludf.DUMMYFUNCTION("REGEXREPLACE(LOWER(F995),""[^a-z\s]"","""")"),"fast shipping great prices and accurate order")</f>
        <v>fast shipping great prices and accurate order</v>
      </c>
      <c r="H995" s="4" t="str">
        <f t="shared" si="1"/>
        <v>fast shipping great prices accurate order</v>
      </c>
      <c r="I995" s="6">
        <f t="shared" si="2"/>
        <v>6</v>
      </c>
      <c r="J995" s="6">
        <f>IFERROR(__xludf.DUMMYFUNCTION("IF(H995="""","""",
SUM(
ARRAYFORMULA(
IF(
REGEXMATCH(
"" ""&amp;H995&amp;"" "",
"" ""&amp;Sentiment_Words!A$2:A3730&amp;"" ""
),
1,
0
)
)
)
)"),2.0)</f>
        <v>2</v>
      </c>
      <c r="K995" s="4">
        <f>IFERROR(__xludf.DUMMYFUNCTION("IF(H995="""","""",
SUM(
ARRAYFORMULA(
IF(
REGEXMATCH(
"" ""&amp;H995&amp;"" "",
"" ""&amp;Sentiment_Words!B$2:B3730&amp;"" ""
),
1,
0
)
)
)
)"),0.0)</f>
        <v>0</v>
      </c>
      <c r="L995" s="7" t="str">
        <f t="shared" si="3"/>
        <v>Other</v>
      </c>
      <c r="M995" s="7" t="str">
        <f t="shared" si="4"/>
        <v>Positive</v>
      </c>
      <c r="N995" s="7" t="str">
        <f>IFERROR(__xludf.DUMMYFUNCTION("LOWER(
TRIM(
REGEXREPLACE(B995,""[^a-zA-Z\s]"","""")
)
)
"),"christine")</f>
        <v>christine</v>
      </c>
      <c r="O995" s="7">
        <f t="shared" si="5"/>
        <v>4</v>
      </c>
      <c r="P995" s="8" t="str">
        <f t="shared" si="6"/>
        <v>Yes</v>
      </c>
    </row>
    <row r="996">
      <c r="A996" s="4" t="s">
        <v>16</v>
      </c>
      <c r="B996" s="4" t="s">
        <v>2837</v>
      </c>
      <c r="C996" s="5">
        <v>44917.0</v>
      </c>
      <c r="D996" s="10">
        <v>44925.0</v>
      </c>
      <c r="E996" s="4" t="s">
        <v>518</v>
      </c>
      <c r="F996" s="4" t="s">
        <v>2838</v>
      </c>
      <c r="G996" s="6" t="str">
        <f>IFERROR(__xludf.DUMMYFUNCTION("REGEXREPLACE(LOWER(F996),""[^a-z\s]"","""")"),"i had put numerous orders in for this product in the past two years the order got canceled many times and i was told i would be notified when they came in i was never notified i just happened to come back to your site to see that you had them in stock oth"&amp;"erwise good product we have used for years and delivery time was awesome")</f>
        <v>i had put numerous orders in for this product in the past two years the order got canceled many times and i was told i would be notified when they came in i was never notified i just happened to come back to your site to see that you had them in stock otherwise good product we have used for years and delivery time was awesome</v>
      </c>
      <c r="H996" s="4" t="str">
        <f t="shared" si="1"/>
        <v>i had put numerous orders in this product in past two years order got canceled many times i was told i would be notified when they came in i was never notified i just happened come back your site see that you had them in stock otherwise good product we have used years delivery time was awesome</v>
      </c>
      <c r="I996" s="6">
        <f t="shared" si="2"/>
        <v>57</v>
      </c>
      <c r="J996" s="6">
        <f>IFERROR(__xludf.DUMMYFUNCTION("IF(H996="""","""",
SUM(
ARRAYFORMULA(
IF(
REGEXMATCH(
"" ""&amp;H996&amp;"" "",
"" ""&amp;Sentiment_Words!A$2:A3730&amp;"" ""
),
1,
0
)
)
)
)"),1.0)</f>
        <v>1</v>
      </c>
      <c r="K996" s="4">
        <f>IFERROR(__xludf.DUMMYFUNCTION("IF(H996="""","""",
SUM(
ARRAYFORMULA(
IF(
REGEXMATCH(
"" ""&amp;H996&amp;"" "",
"" ""&amp;Sentiment_Words!B$2:B3730&amp;"" ""
),
1,
0
)
)
)
)"),0.0)</f>
        <v>0</v>
      </c>
      <c r="L996" s="7" t="str">
        <f t="shared" si="3"/>
        <v>Other</v>
      </c>
      <c r="M996" s="7" t="str">
        <f t="shared" si="4"/>
        <v>Positive</v>
      </c>
      <c r="N996" s="7" t="str">
        <f>IFERROR(__xludf.DUMMYFUNCTION("LOWER(
TRIM(
REGEXREPLACE(B996,""[^a-zA-Z\s]"","""")
)
)
"),"cindync")</f>
        <v>cindync</v>
      </c>
      <c r="O996" s="7">
        <f t="shared" si="5"/>
        <v>1</v>
      </c>
      <c r="P996" s="8" t="str">
        <f t="shared" si="6"/>
        <v>No</v>
      </c>
    </row>
    <row r="997">
      <c r="A997" s="4" t="s">
        <v>16</v>
      </c>
      <c r="B997" s="4" t="s">
        <v>2839</v>
      </c>
      <c r="C997" s="5">
        <v>44911.0</v>
      </c>
      <c r="D997" s="10">
        <v>44925.0</v>
      </c>
      <c r="E997" s="4" t="s">
        <v>2840</v>
      </c>
      <c r="F997" s="4" t="s">
        <v>2841</v>
      </c>
      <c r="G997" s="6" t="str">
        <f>IFERROR(__xludf.DUMMYFUNCTION("REGEXREPLACE(LOWER(F997),""[^a-z\s]"","""")"),"in the past the customer service was always exceptional my last phone call pertaining to a delivery delay was met with indifference  a lack of resolution ill continue to shop at petflow but will think twice before inquiring about a problem")</f>
        <v>in the past the customer service was always exceptional my last phone call pertaining to a delivery delay was met with indifference  a lack of resolution ill continue to shop at petflow but will think twice before inquiring about a problem</v>
      </c>
      <c r="H997" s="4" t="str">
        <f t="shared" si="1"/>
        <v>in past customer service was always exceptional my last phone call pertaining a delivery delay was met with indifference a lack of resolution ill continue shop at petflow but will think twice before inquiring about a problem</v>
      </c>
      <c r="I997" s="6">
        <f t="shared" si="2"/>
        <v>37</v>
      </c>
      <c r="J997" s="6">
        <f>IFERROR(__xludf.DUMMYFUNCTION("IF(H997="""","""",
SUM(
ARRAYFORMULA(
IF(
REGEXMATCH(
"" ""&amp;H997&amp;"" "",
"" ""&amp;Sentiment_Words!A$2:A3730&amp;"" ""
),
1,
0
)
)
)
)"),0.0)</f>
        <v>0</v>
      </c>
      <c r="K997" s="4">
        <f>IFERROR(__xludf.DUMMYFUNCTION("IF(H997="""","""",
SUM(
ARRAYFORMULA(
IF(
REGEXMATCH(
"" ""&amp;H997&amp;"" "",
"" ""&amp;Sentiment_Words!B$2:B3730&amp;"" ""
),
1,
0
)
)
)
)"),3.0)</f>
        <v>3</v>
      </c>
      <c r="L997" s="7" t="str">
        <f t="shared" si="3"/>
        <v>Customer Support</v>
      </c>
      <c r="M997" s="7" t="str">
        <f t="shared" si="4"/>
        <v>Negative</v>
      </c>
      <c r="N997" s="7" t="str">
        <f>IFERROR(__xludf.DUMMYFUNCTION("LOWER(
TRIM(
REGEXREPLACE(B997,""[^a-zA-Z\s]"","""")
)
)
"),"claire turnbull")</f>
        <v>claire turnbull</v>
      </c>
      <c r="O997" s="7">
        <f t="shared" si="5"/>
        <v>1</v>
      </c>
      <c r="P997" s="8" t="str">
        <f t="shared" si="6"/>
        <v>No</v>
      </c>
    </row>
    <row r="998">
      <c r="A998" s="4" t="s">
        <v>16</v>
      </c>
      <c r="B998" s="4" t="s">
        <v>2842</v>
      </c>
      <c r="C998" s="5">
        <v>44914.0</v>
      </c>
      <c r="D998" s="10">
        <v>44925.0</v>
      </c>
      <c r="E998" s="4" t="s">
        <v>2843</v>
      </c>
      <c r="F998" s="4" t="s">
        <v>2844</v>
      </c>
      <c r="G998" s="6" t="str">
        <f>IFERROR(__xludf.DUMMYFUNCTION("REGEXREPLACE(LOWER(F998),""[^a-z\s]"","""")"),"my dog food took foreverrrrr to get here each time i called customer service it rang about  times and the phone would hang up i emailed them and it took  days for them to get back to me rep said they are overwhelmed because they are a small company id say"&amp;" hire more people because this was ridiculous")</f>
        <v>my dog food took foreverrrrr to get here each time i called customer service it rang about  times and the phone would hang up i emailed them and it took  days for them to get back to me rep said they are overwhelmed because they are a small company id say hire more people because this was ridiculous</v>
      </c>
      <c r="H998" s="4" t="str">
        <f t="shared" si="1"/>
        <v>my dog food took foreverrrrr get here each time i called customer service it rang about times phone would hang up i emailed them it took days them get back me rep said they are overwhelmed because they are a small company id say hire more people because this was ridiculous</v>
      </c>
      <c r="I998" s="6">
        <f t="shared" si="2"/>
        <v>51</v>
      </c>
      <c r="J998" s="6">
        <f>IFERROR(__xludf.DUMMYFUNCTION("IF(H998="""","""",
SUM(
ARRAYFORMULA(
IF(
REGEXMATCH(
"" ""&amp;H998&amp;"" "",
"" ""&amp;Sentiment_Words!A$2:A3730&amp;"" ""
),
1,
0
)
)
)
)"),0.0)</f>
        <v>0</v>
      </c>
      <c r="K998" s="4">
        <f>IFERROR(__xludf.DUMMYFUNCTION("IF(H998="""","""",
SUM(
ARRAYFORMULA(
IF(
REGEXMATCH(
"" ""&amp;H998&amp;"" "",
"" ""&amp;Sentiment_Words!B$2:B3730&amp;"" ""
),
1,
0
)
)
)
)"),1.0)</f>
        <v>1</v>
      </c>
      <c r="L998" s="7" t="str">
        <f t="shared" si="3"/>
        <v>Customer Support</v>
      </c>
      <c r="M998" s="7" t="str">
        <f t="shared" si="4"/>
        <v>Negative</v>
      </c>
      <c r="N998" s="7" t="str">
        <f>IFERROR(__xludf.DUMMYFUNCTION("LOWER(
TRIM(
REGEXREPLACE(B998,""[^a-zA-Z\s]"","""")
)
)
"),"hopecarolyn quentzel")</f>
        <v>hopecarolyn quentzel</v>
      </c>
      <c r="O998" s="7">
        <f t="shared" si="5"/>
        <v>1</v>
      </c>
      <c r="P998" s="8" t="str">
        <f t="shared" si="6"/>
        <v>No</v>
      </c>
    </row>
    <row r="999">
      <c r="A999" s="4" t="s">
        <v>16</v>
      </c>
      <c r="B999" s="4" t="s">
        <v>2845</v>
      </c>
      <c r="C999" s="5">
        <v>44924.0</v>
      </c>
      <c r="D999" s="10">
        <v>44925.0</v>
      </c>
      <c r="E999" s="4" t="s">
        <v>2846</v>
      </c>
      <c r="F999" s="4" t="s">
        <v>2847</v>
      </c>
      <c r="G999" s="6" t="str">
        <f>IFERROR(__xludf.DUMMYFUNCTION("REGEXREPLACE(LOWER(F999),""[^a-z\s]"","""")"),"i contacted customer support online to cancel my auto ship i accidently set a second one while trying to cancel i had  auto ship orders i made it clear i wanted them both canceled because my order increased by almost  too pricey i found my order cheaper s"&amp;"omewhere else and the customer support person shipped both orders to for over ")</f>
        <v>i contacted customer support online to cancel my auto ship i accidently set a second one while trying to cancel i had  auto ship orders i made it clear i wanted them both canceled because my order increased by almost  too pricey i found my order cheaper somewhere else and the customer support person shipped both orders to for over </v>
      </c>
      <c r="H999" s="4" t="str">
        <f t="shared" si="1"/>
        <v>i contacted customer support online cancel my auto ship i accidently set a second one while trying cancel i had auto ship orders i made it clear i wanted them both canceled because my order increased by almost too pricey i found my order cheaper somewhere else customer support person shipped both orders over</v>
      </c>
      <c r="I999" s="6">
        <f t="shared" si="2"/>
        <v>54</v>
      </c>
      <c r="J999" s="6">
        <f>IFERROR(__xludf.DUMMYFUNCTION("IF(H999="""","""",
SUM(
ARRAYFORMULA(
IF(
REGEXMATCH(
"" ""&amp;H999&amp;"" "",
"" ""&amp;Sentiment_Words!A$2:A3730&amp;"" ""
),
1,
0
)
)
)
)"),3.0)</f>
        <v>3</v>
      </c>
      <c r="K999" s="4">
        <f>IFERROR(__xludf.DUMMYFUNCTION("IF(H999="""","""",
SUM(
ARRAYFORMULA(
IF(
REGEXMATCH(
"" ""&amp;H999&amp;"" "",
"" ""&amp;Sentiment_Words!B$2:B3730&amp;"" ""
),
1,
0
)
)
)
)"),0.0)</f>
        <v>0</v>
      </c>
      <c r="L999" s="7" t="str">
        <f t="shared" si="3"/>
        <v>Customer Support</v>
      </c>
      <c r="M999" s="7" t="str">
        <f t="shared" si="4"/>
        <v>Positive</v>
      </c>
      <c r="N999" s="7" t="str">
        <f>IFERROR(__xludf.DUMMYFUNCTION("LOWER(
TRIM(
REGEXREPLACE(B999,""[^a-zA-Z\s]"","""")
)
)
"),"eva")</f>
        <v>eva</v>
      </c>
      <c r="O999" s="7">
        <f t="shared" si="5"/>
        <v>1</v>
      </c>
      <c r="P999" s="8" t="str">
        <f t="shared" si="6"/>
        <v>No</v>
      </c>
    </row>
    <row r="1000">
      <c r="A1000" s="4" t="s">
        <v>16</v>
      </c>
      <c r="B1000" s="4" t="s">
        <v>2848</v>
      </c>
      <c r="C1000" s="9">
        <v>44903.0</v>
      </c>
      <c r="D1000" s="10">
        <v>44924.0</v>
      </c>
      <c r="E1000" s="4" t="s">
        <v>2849</v>
      </c>
      <c r="F1000" s="4" t="s">
        <v>331</v>
      </c>
      <c r="G1000" s="6" t="str">
        <f>IFERROR(__xludf.DUMMYFUNCTION("REGEXREPLACE(LOWER(F1000),""[^a-z\s]"","""")"),"none")</f>
        <v>none</v>
      </c>
      <c r="H1000" s="4" t="str">
        <f t="shared" si="1"/>
        <v>none</v>
      </c>
      <c r="I1000" s="6">
        <f t="shared" si="2"/>
        <v>1</v>
      </c>
      <c r="J1000" s="6">
        <f>IFERROR(__xludf.DUMMYFUNCTION("IF(H1000="""","""",
SUM(
ARRAYFORMULA(
IF(
REGEXMATCH(
"" ""&amp;H1000&amp;"" "",
"" ""&amp;Sentiment_Words!A$2:A3730&amp;"" ""
),
1,
0
)
)
)
)"),0.0)</f>
        <v>0</v>
      </c>
      <c r="K1000" s="4">
        <f>IFERROR(__xludf.DUMMYFUNCTION("IF(H1000="""","""",
SUM(
ARRAYFORMULA(
IF(
REGEXMATCH(
"" ""&amp;H1000&amp;"" "",
"" ""&amp;Sentiment_Words!B$2:B3730&amp;"" ""
),
1,
0
)
)
)
)"),0.0)</f>
        <v>0</v>
      </c>
      <c r="L1000" s="7" t="str">
        <f t="shared" si="3"/>
        <v>Other</v>
      </c>
      <c r="M1000" s="7" t="str">
        <f t="shared" si="4"/>
        <v>Neutral</v>
      </c>
      <c r="N1000" s="7" t="str">
        <f>IFERROR(__xludf.DUMMYFUNCTION("LOWER(
TRIM(
REGEXREPLACE(B1000,""[^a-zA-Z\s]"","""")
)
)
"),"glenda laubhan")</f>
        <v>glenda laubhan</v>
      </c>
      <c r="O1000" s="7">
        <f t="shared" si="5"/>
        <v>1</v>
      </c>
      <c r="P1000" s="8" t="str">
        <f t="shared" si="6"/>
        <v>No</v>
      </c>
    </row>
    <row r="1001">
      <c r="A1001" s="4" t="s">
        <v>16</v>
      </c>
      <c r="B1001" s="4" t="s">
        <v>2850</v>
      </c>
      <c r="C1001" s="5">
        <v>44914.0</v>
      </c>
      <c r="D1001" s="10">
        <v>44924.0</v>
      </c>
      <c r="E1001" s="4" t="s">
        <v>2851</v>
      </c>
      <c r="F1001" s="4" t="s">
        <v>331</v>
      </c>
      <c r="G1001" s="6" t="str">
        <f>IFERROR(__xludf.DUMMYFUNCTION("REGEXREPLACE(LOWER(F1001),""[^a-z\s]"","""")"),"none")</f>
        <v>none</v>
      </c>
      <c r="H1001" s="4" t="str">
        <f t="shared" si="1"/>
        <v>none</v>
      </c>
      <c r="I1001" s="6">
        <f t="shared" si="2"/>
        <v>1</v>
      </c>
      <c r="J1001" s="6">
        <f>IFERROR(__xludf.DUMMYFUNCTION("IF(H1001="""","""",
SUM(
ARRAYFORMULA(
IF(
REGEXMATCH(
"" ""&amp;H1001&amp;"" "",
"" ""&amp;Sentiment_Words!A$2:A3730&amp;"" ""
),
1,
0
)
)
)
)"),0.0)</f>
        <v>0</v>
      </c>
      <c r="K1001" s="4">
        <f>IFERROR(__xludf.DUMMYFUNCTION("IF(H1001="""","""",
SUM(
ARRAYFORMULA(
IF(
REGEXMATCH(
"" ""&amp;H1001&amp;"" "",
"" ""&amp;Sentiment_Words!B$2:B3730&amp;"" ""
),
1,
0
)
)
)
)"),0.0)</f>
        <v>0</v>
      </c>
      <c r="L1001" s="7" t="str">
        <f t="shared" si="3"/>
        <v>Other</v>
      </c>
      <c r="M1001" s="7" t="str">
        <f t="shared" si="4"/>
        <v>Neutral</v>
      </c>
      <c r="N1001" s="7" t="str">
        <f>IFERROR(__xludf.DUMMYFUNCTION("LOWER(
TRIM(
REGEXREPLACE(B1001,""[^a-zA-Z\s]"","""")
)
)
"),"elizabeth dekarske")</f>
        <v>elizabeth dekarske</v>
      </c>
      <c r="O1001" s="7">
        <f t="shared" si="5"/>
        <v>1</v>
      </c>
      <c r="P1001" s="8" t="str">
        <f t="shared" si="6"/>
        <v>No</v>
      </c>
    </row>
    <row r="1002">
      <c r="A1002" s="4" t="s">
        <v>16</v>
      </c>
      <c r="B1002" s="4" t="s">
        <v>2852</v>
      </c>
      <c r="C1002" s="5">
        <v>44911.0</v>
      </c>
      <c r="D1002" s="10">
        <v>44924.0</v>
      </c>
      <c r="E1002" s="4" t="s">
        <v>2853</v>
      </c>
      <c r="F1002" s="4" t="s">
        <v>2854</v>
      </c>
      <c r="G1002" s="6" t="str">
        <f>IFERROR(__xludf.DUMMYFUNCTION("REGEXREPLACE(LOWER(F1002),""[^a-z\s]"","""")"),"package arrived late again
fed ex should not be your carrier")</f>
        <v>package arrived late again
fed ex should not be your carrier</v>
      </c>
      <c r="H1002" s="4" t="str">
        <f t="shared" si="1"/>
        <v>package arrived late again
fed ex should not be your carrier</v>
      </c>
      <c r="I1002" s="6">
        <f t="shared" si="2"/>
        <v>10</v>
      </c>
      <c r="J1002" s="6">
        <f>IFERROR(__xludf.DUMMYFUNCTION("IF(H1002="""","""",
SUM(
ARRAYFORMULA(
IF(
REGEXMATCH(
"" ""&amp;H1002&amp;"" "",
"" ""&amp;Sentiment_Words!A$2:A3730&amp;"" ""
),
1,
0
)
)
)
)"),0.0)</f>
        <v>0</v>
      </c>
      <c r="K1002" s="4">
        <f>IFERROR(__xludf.DUMMYFUNCTION("IF(H1002="""","""",
SUM(
ARRAYFORMULA(
IF(
REGEXMATCH(
"" ""&amp;H1002&amp;"" "",
"" ""&amp;Sentiment_Words!B$2:B3730&amp;"" ""
),
1,
0
)
)
)
)"),0.0)</f>
        <v>0</v>
      </c>
      <c r="L1002" s="7" t="str">
        <f t="shared" si="3"/>
        <v>Fulfillment &amp; Shipping</v>
      </c>
      <c r="M1002" s="7" t="str">
        <f t="shared" si="4"/>
        <v>Neutral</v>
      </c>
      <c r="N1002" s="7" t="str">
        <f>IFERROR(__xludf.DUMMYFUNCTION("LOWER(
TRIM(
REGEXREPLACE(B1002,""[^a-zA-Z\s]"","""")
)
)
"),"c machleit")</f>
        <v>c machleit</v>
      </c>
      <c r="O1002" s="7">
        <f t="shared" si="5"/>
        <v>1</v>
      </c>
      <c r="P1002" s="8" t="str">
        <f t="shared" si="6"/>
        <v>No</v>
      </c>
    </row>
    <row r="1003">
      <c r="A1003" s="4" t="s">
        <v>16</v>
      </c>
      <c r="B1003" s="4" t="s">
        <v>2855</v>
      </c>
      <c r="C1003" s="5">
        <v>44919.0</v>
      </c>
      <c r="D1003" s="10">
        <v>44924.0</v>
      </c>
      <c r="E1003" s="4" t="s">
        <v>2856</v>
      </c>
      <c r="F1003" s="4" t="s">
        <v>2857</v>
      </c>
      <c r="G1003" s="6" t="str">
        <f>IFERROR(__xludf.DUMMYFUNCTION("REGEXREPLACE(LOWER(F1003),""[^a-z\s]"","""")"),"easy to order and i love the automatic ordering")</f>
        <v>easy to order and i love the automatic ordering</v>
      </c>
      <c r="H1003" s="4" t="str">
        <f t="shared" si="1"/>
        <v>easy order i love automatic ordering</v>
      </c>
      <c r="I1003" s="6">
        <f t="shared" si="2"/>
        <v>6</v>
      </c>
      <c r="J1003" s="6">
        <f>IFERROR(__xludf.DUMMYFUNCTION("IF(H1003="""","""",
SUM(
ARRAYFORMULA(
IF(
REGEXMATCH(
"" ""&amp;H1003&amp;"" "",
"" ""&amp;Sentiment_Words!A$2:A3730&amp;"" ""
),
1,
0
)
)
)
)"),2.0)</f>
        <v>2</v>
      </c>
      <c r="K1003" s="4">
        <f>IFERROR(__xludf.DUMMYFUNCTION("IF(H1003="""","""",
SUM(
ARRAYFORMULA(
IF(
REGEXMATCH(
"" ""&amp;H1003&amp;"" "",
"" ""&amp;Sentiment_Words!B$2:B3730&amp;"" ""
),
1,
0
)
)
)
)"),0.0)</f>
        <v>0</v>
      </c>
      <c r="L1003" s="7" t="str">
        <f t="shared" si="3"/>
        <v>Other</v>
      </c>
      <c r="M1003" s="7" t="str">
        <f t="shared" si="4"/>
        <v>Positive</v>
      </c>
      <c r="N1003" s="7" t="str">
        <f>IFERROR(__xludf.DUMMYFUNCTION("LOWER(
TRIM(
REGEXREPLACE(B1003,""[^a-zA-Z\s]"","""")
)
)
"),"sandra")</f>
        <v>sandra</v>
      </c>
      <c r="O1003" s="7">
        <f t="shared" si="5"/>
        <v>2</v>
      </c>
      <c r="P1003" s="8" t="str">
        <f t="shared" si="6"/>
        <v>Yes</v>
      </c>
    </row>
    <row r="1004">
      <c r="A1004" s="4" t="s">
        <v>16</v>
      </c>
      <c r="B1004" s="4" t="s">
        <v>2858</v>
      </c>
      <c r="C1004" s="5">
        <v>44923.0</v>
      </c>
      <c r="D1004" s="10">
        <v>44924.0</v>
      </c>
      <c r="E1004" s="4" t="s">
        <v>2859</v>
      </c>
      <c r="F1004" s="4" t="s">
        <v>2860</v>
      </c>
      <c r="G1004" s="6" t="str">
        <f>IFERROR(__xludf.DUMMYFUNCTION("REGEXREPLACE(LOWER(F1004),""[^a-z\s]"","""")"),"terrible customer service worst company to ever do business with even the supervisors are rude they constantly hang up without addressing any of your issues")</f>
        <v>terrible customer service worst company to ever do business with even the supervisors are rude they constantly hang up without addressing any of your issues</v>
      </c>
      <c r="H1004" s="4" t="str">
        <f t="shared" si="1"/>
        <v>terrible customer service worst company ever do business with even supervisors are rude they constantly hang up without addressing any of your issues</v>
      </c>
      <c r="I1004" s="6">
        <f t="shared" si="2"/>
        <v>23</v>
      </c>
      <c r="J1004" s="6">
        <f>IFERROR(__xludf.DUMMYFUNCTION("IF(H1004="""","""",
SUM(
ARRAYFORMULA(
IF(
REGEXMATCH(
"" ""&amp;H1004&amp;"" "",
"" ""&amp;Sentiment_Words!A$2:A3730&amp;"" ""
),
1,
0
)
)
)
)"),0.0)</f>
        <v>0</v>
      </c>
      <c r="K1004" s="4">
        <f>IFERROR(__xludf.DUMMYFUNCTION("IF(H1004="""","""",
SUM(
ARRAYFORMULA(
IF(
REGEXMATCH(
"" ""&amp;H1004&amp;"" "",
"" ""&amp;Sentiment_Words!B$2:B3730&amp;"" ""
),
1,
0
)
)
)
)"),2.0)</f>
        <v>2</v>
      </c>
      <c r="L1004" s="7" t="str">
        <f t="shared" si="3"/>
        <v>Customer Support</v>
      </c>
      <c r="M1004" s="7" t="str">
        <f t="shared" si="4"/>
        <v>Negative</v>
      </c>
      <c r="N1004" s="7" t="str">
        <f>IFERROR(__xludf.DUMMYFUNCTION("LOWER(
TRIM(
REGEXREPLACE(B1004,""[^a-zA-Z\s]"","""")
)
)
"),"james lallman")</f>
        <v>james lallman</v>
      </c>
      <c r="O1004" s="7">
        <f t="shared" si="5"/>
        <v>1</v>
      </c>
      <c r="P1004" s="8" t="str">
        <f t="shared" si="6"/>
        <v>No</v>
      </c>
    </row>
    <row r="1005">
      <c r="A1005" s="4" t="s">
        <v>16</v>
      </c>
      <c r="B1005" s="4" t="s">
        <v>2861</v>
      </c>
      <c r="C1005" s="5">
        <v>44923.0</v>
      </c>
      <c r="D1005" s="10">
        <v>44924.0</v>
      </c>
      <c r="E1005" s="4" t="s">
        <v>2862</v>
      </c>
      <c r="F1005" s="4" t="s">
        <v>2863</v>
      </c>
      <c r="G1005" s="6" t="str">
        <f>IFERROR(__xludf.DUMMYFUNCTION("REGEXREPLACE(LOWER(F1005),""[^a-z\s]"","""")"),"i placed an order which was received by petflow with a ship date of dec th dec th still had not heard a word called customer service who told me petflow had canceled the order because it was flagged as fraudulent by them  not my bank  i will never use thi"&amp;"s company again and highly suggest you think twice and read the other reviews before ordering")</f>
        <v>i placed an order which was received by petflow with a ship date of dec th dec th still had not heard a word called customer service who told me petflow had canceled the order because it was flagged as fraudulent by them  not my bank  i will never use this company again and highly suggest you think twice and read the other reviews before ordering</v>
      </c>
      <c r="H1005" s="4" t="str">
        <f t="shared" si="1"/>
        <v>i placed an order which was received by petflow with a ship date of dec th dec th still had not heard a word called customer service who told me petflow had canceled order because it was flagged as fraudulent by them not my bank i will never use this company again highly suggest you think twice read other reviews before ordering</v>
      </c>
      <c r="I1005" s="6">
        <f t="shared" si="2"/>
        <v>62</v>
      </c>
      <c r="J1005" s="6">
        <f>IFERROR(__xludf.DUMMYFUNCTION("IF(H1005="""","""",
SUM(
ARRAYFORMULA(
IF(
REGEXMATCH(
"" ""&amp;H1005&amp;"" "",
"" ""&amp;Sentiment_Words!A$2:A3730&amp;"" ""
),
1,
0
)
)
)
)"),0.0)</f>
        <v>0</v>
      </c>
      <c r="K1005" s="4">
        <f>IFERROR(__xludf.DUMMYFUNCTION("IF(H1005="""","""",
SUM(
ARRAYFORMULA(
IF(
REGEXMATCH(
"" ""&amp;H1005&amp;"" "",
"" ""&amp;Sentiment_Words!B$2:B3730&amp;"" ""
),
1,
0
)
)
)
)"),1.0)</f>
        <v>1</v>
      </c>
      <c r="L1005" s="7" t="str">
        <f t="shared" si="3"/>
        <v>Customer Support</v>
      </c>
      <c r="M1005" s="7" t="str">
        <f t="shared" si="4"/>
        <v>Negative</v>
      </c>
      <c r="N1005" s="7" t="str">
        <f>IFERROR(__xludf.DUMMYFUNCTION("LOWER(
TRIM(
REGEXREPLACE(B1005,""[^a-zA-Z\s]"","""")
)
)
"),"joe smith")</f>
        <v>joe smith</v>
      </c>
      <c r="O1005" s="7">
        <f t="shared" si="5"/>
        <v>1</v>
      </c>
      <c r="P1005" s="8" t="str">
        <f t="shared" si="6"/>
        <v>No</v>
      </c>
    </row>
    <row r="1006">
      <c r="A1006" s="4" t="s">
        <v>16</v>
      </c>
      <c r="B1006" s="4" t="s">
        <v>2864</v>
      </c>
      <c r="C1006" s="5">
        <v>44923.0</v>
      </c>
      <c r="D1006" s="10">
        <v>44923.0</v>
      </c>
      <c r="E1006" s="4" t="s">
        <v>2865</v>
      </c>
      <c r="F1006" s="4" t="s">
        <v>2866</v>
      </c>
      <c r="G1006" s="6" t="str">
        <f>IFERROR(__xludf.DUMMYFUNCTION("REGEXREPLACE(LOWER(F1006),""[^a-z\s]"","""")"),"easy order process and quick response to the order")</f>
        <v>easy order process and quick response to the order</v>
      </c>
      <c r="H1006" s="4" t="str">
        <f t="shared" si="1"/>
        <v>easy order process quick response order</v>
      </c>
      <c r="I1006" s="6">
        <f t="shared" si="2"/>
        <v>6</v>
      </c>
      <c r="J1006" s="6">
        <f>IFERROR(__xludf.DUMMYFUNCTION("IF(H1006="""","""",
SUM(
ARRAYFORMULA(
IF(
REGEXMATCH(
"" ""&amp;H1006&amp;"" "",
"" ""&amp;Sentiment_Words!A$2:A3730&amp;"" ""
),
1,
0
)
)
)
)"),1.0)</f>
        <v>1</v>
      </c>
      <c r="K1006" s="4">
        <f>IFERROR(__xludf.DUMMYFUNCTION("IF(H1006="""","""",
SUM(
ARRAYFORMULA(
IF(
REGEXMATCH(
"" ""&amp;H1006&amp;"" "",
"" ""&amp;Sentiment_Words!B$2:B3730&amp;"" ""
),
1,
0
)
)
)
)"),0.0)</f>
        <v>0</v>
      </c>
      <c r="L1006" s="7" t="str">
        <f t="shared" si="3"/>
        <v>Other</v>
      </c>
      <c r="M1006" s="7" t="str">
        <f t="shared" si="4"/>
        <v>Positive</v>
      </c>
      <c r="N1006" s="7" t="str">
        <f>IFERROR(__xludf.DUMMYFUNCTION("LOWER(
TRIM(
REGEXREPLACE(B1006,""[^a-zA-Z\s]"","""")
)
)
"),"phil thomas")</f>
        <v>phil thomas</v>
      </c>
      <c r="O1006" s="7">
        <f t="shared" si="5"/>
        <v>1</v>
      </c>
      <c r="P1006" s="8" t="str">
        <f t="shared" si="6"/>
        <v>No</v>
      </c>
    </row>
    <row r="1007">
      <c r="A1007" s="4" t="s">
        <v>16</v>
      </c>
      <c r="B1007" s="4" t="s">
        <v>2867</v>
      </c>
      <c r="C1007" s="5">
        <v>44913.0</v>
      </c>
      <c r="D1007" s="10">
        <v>44923.0</v>
      </c>
      <c r="E1007" s="4" t="s">
        <v>129</v>
      </c>
      <c r="F1007" s="4" t="s">
        <v>2868</v>
      </c>
      <c r="G1007" s="6" t="str">
        <f>IFERROR(__xludf.DUMMYFUNCTION("REGEXREPLACE(LOWER(F1007),""[^a-z\s]"","""")"),"i stopped using chewy when the company was bought by petsmart im glad i chose petflo")</f>
        <v>i stopped using chewy when the company was bought by petsmart im glad i chose petflo</v>
      </c>
      <c r="H1007" s="4" t="str">
        <f t="shared" si="1"/>
        <v>i stopped using chewy when company was bought by petsmart im glad i chose petflo</v>
      </c>
      <c r="I1007" s="6">
        <f t="shared" si="2"/>
        <v>15</v>
      </c>
      <c r="J1007" s="6">
        <f>IFERROR(__xludf.DUMMYFUNCTION("IF(H1007="""","""",
SUM(
ARRAYFORMULA(
IF(
REGEXMATCH(
"" ""&amp;H1007&amp;"" "",
"" ""&amp;Sentiment_Words!A$2:A3730&amp;"" ""
),
1,
0
)
)
)
)"),0.0)</f>
        <v>0</v>
      </c>
      <c r="K1007" s="4">
        <f>IFERROR(__xludf.DUMMYFUNCTION("IF(H1007="""","""",
SUM(
ARRAYFORMULA(
IF(
REGEXMATCH(
"" ""&amp;H1007&amp;"" "",
"" ""&amp;Sentiment_Words!B$2:B3730&amp;"" ""
),
1,
0
)
)
)
)"),0.0)</f>
        <v>0</v>
      </c>
      <c r="L1007" s="7" t="str">
        <f t="shared" si="3"/>
        <v>Other</v>
      </c>
      <c r="M1007" s="7" t="str">
        <f t="shared" si="4"/>
        <v>Neutral</v>
      </c>
      <c r="N1007" s="7" t="str">
        <f>IFERROR(__xludf.DUMMYFUNCTION("LOWER(
TRIM(
REGEXREPLACE(B1007,""[^a-zA-Z\s]"","""")
)
)
"),"mary bates")</f>
        <v>mary bates</v>
      </c>
      <c r="O1007" s="7">
        <f t="shared" si="5"/>
        <v>1</v>
      </c>
      <c r="P1007" s="8" t="str">
        <f t="shared" si="6"/>
        <v>No</v>
      </c>
    </row>
    <row r="1008">
      <c r="A1008" s="4" t="s">
        <v>16</v>
      </c>
      <c r="B1008" s="4" t="s">
        <v>2869</v>
      </c>
      <c r="C1008" s="5">
        <v>44916.0</v>
      </c>
      <c r="D1008" s="10">
        <v>44923.0</v>
      </c>
      <c r="E1008" s="4" t="s">
        <v>2870</v>
      </c>
      <c r="F1008" s="4" t="s">
        <v>2871</v>
      </c>
      <c r="G1008" s="6" t="str">
        <f>IFERROR(__xludf.DUMMYFUNCTION("REGEXREPLACE(LOWER(F1008),""[^a-z\s]"","""")"),"i placed my order on  and received an email that my order would ship on  i contacted petflow on  about my order not shipping yet when i received a response the next day i was informed due to stock issues my order was cancelled but yet i wasnt notified unt"&amp;"il i reached out to ask where my order was poor customer service communication practices")</f>
        <v>i placed my order on  and received an email that my order would ship on  i contacted petflow on  about my order not shipping yet when i received a response the next day i was informed due to stock issues my order was cancelled but yet i wasnt notified until i reached out to ask where my order was poor customer service communication practices</v>
      </c>
      <c r="H1008" s="4" t="str">
        <f t="shared" si="1"/>
        <v>i placed my order on received an email that my order would ship on i contacted petflow on about my order not shipping yet when i received a response next day i was informed due stock issues my order was cancelled but yet i wasnt notified until i reached out ask where my order was poor customer service communication practices</v>
      </c>
      <c r="I1008" s="6">
        <f t="shared" si="2"/>
        <v>60</v>
      </c>
      <c r="J1008" s="6">
        <f>IFERROR(__xludf.DUMMYFUNCTION("IF(H1008="""","""",
SUM(
ARRAYFORMULA(
IF(
REGEXMATCH(
"" ""&amp;H1008&amp;"" "",
"" ""&amp;Sentiment_Words!A$2:A3730&amp;"" ""
),
1,
0
)
)
)
)"),0.0)</f>
        <v>0</v>
      </c>
      <c r="K1008" s="4">
        <f>IFERROR(__xludf.DUMMYFUNCTION("IF(H1008="""","""",
SUM(
ARRAYFORMULA(
IF(
REGEXMATCH(
"" ""&amp;H1008&amp;"" "",
"" ""&amp;Sentiment_Words!B$2:B3730&amp;"" ""
),
1,
0
)
)
)
)"),2.0)</f>
        <v>2</v>
      </c>
      <c r="L1008" s="7" t="str">
        <f t="shared" si="3"/>
        <v>Customer Support</v>
      </c>
      <c r="M1008" s="7" t="str">
        <f t="shared" si="4"/>
        <v>Negative</v>
      </c>
      <c r="N1008" s="7" t="str">
        <f>IFERROR(__xludf.DUMMYFUNCTION("LOWER(
TRIM(
REGEXREPLACE(B1008,""[^a-zA-Z\s]"","""")
)
)
"),"vanessa")</f>
        <v>vanessa</v>
      </c>
      <c r="O1008" s="7">
        <f t="shared" si="5"/>
        <v>1</v>
      </c>
      <c r="P1008" s="8" t="str">
        <f t="shared" si="6"/>
        <v>No</v>
      </c>
    </row>
    <row r="1009">
      <c r="A1009" s="4" t="s">
        <v>16</v>
      </c>
      <c r="B1009" s="4" t="s">
        <v>2872</v>
      </c>
      <c r="C1009" s="5">
        <v>44917.0</v>
      </c>
      <c r="D1009" s="10">
        <v>44923.0</v>
      </c>
      <c r="E1009" s="4" t="s">
        <v>1319</v>
      </c>
      <c r="F1009" s="4" t="s">
        <v>2873</v>
      </c>
      <c r="G1009" s="6" t="str">
        <f>IFERROR(__xludf.DUMMYFUNCTION("REGEXREPLACE(LOWER(F1009),""[^a-z\s]"","""")"),"the dog food i ordered came quickly and i didnt have to pay for shipping the food i ordered changed the look of the bag so i thought i was sent the wrong food petflow responded immediately to my issue")</f>
        <v>the dog food i ordered came quickly and i didnt have to pay for shipping the food i ordered changed the look of the bag so i thought i was sent the wrong food petflow responded immediately to my issue</v>
      </c>
      <c r="H1009" s="4" t="str">
        <f t="shared" si="1"/>
        <v>dog food i ordered came quickly i didnt have pay shipping food i ordered changed look of bag so i thought i was sent wrong food petflow responded immediately my issue</v>
      </c>
      <c r="I1009" s="6">
        <f t="shared" si="2"/>
        <v>31</v>
      </c>
      <c r="J1009" s="6">
        <f>IFERROR(__xludf.DUMMYFUNCTION("IF(H1009="""","""",
SUM(
ARRAYFORMULA(
IF(
REGEXMATCH(
"" ""&amp;H1009&amp;"" "",
"" ""&amp;Sentiment_Words!A$2:A3730&amp;"" ""
),
1,
0
)
)
)
)"),1.0)</f>
        <v>1</v>
      </c>
      <c r="K1009" s="4">
        <f>IFERROR(__xludf.DUMMYFUNCTION("IF(H1009="""","""",
SUM(
ARRAYFORMULA(
IF(
REGEXMATCH(
"" ""&amp;H1009&amp;"" "",
"" ""&amp;Sentiment_Words!B$2:B3730&amp;"" ""
),
1,
0
)
)
)
)"),2.0)</f>
        <v>2</v>
      </c>
      <c r="L1009" s="7" t="str">
        <f t="shared" si="3"/>
        <v>Fulfillment &amp; Shipping</v>
      </c>
      <c r="M1009" s="7" t="str">
        <f t="shared" si="4"/>
        <v>Negative</v>
      </c>
      <c r="N1009" s="7" t="str">
        <f>IFERROR(__xludf.DUMMYFUNCTION("LOWER(
TRIM(
REGEXREPLACE(B1009,""[^a-zA-Z\s]"","""")
)
)
"),"michael del masto")</f>
        <v>michael del masto</v>
      </c>
      <c r="O1009" s="7">
        <f t="shared" si="5"/>
        <v>1</v>
      </c>
      <c r="P1009" s="8" t="str">
        <f t="shared" si="6"/>
        <v>No</v>
      </c>
    </row>
    <row r="1010">
      <c r="A1010" s="4" t="s">
        <v>16</v>
      </c>
      <c r="B1010" s="4" t="s">
        <v>661</v>
      </c>
      <c r="C1010" s="5">
        <v>44922.0</v>
      </c>
      <c r="D1010" s="10">
        <v>44922.0</v>
      </c>
      <c r="E1010" s="4" t="s">
        <v>2874</v>
      </c>
      <c r="F1010" s="4" t="s">
        <v>2875</v>
      </c>
      <c r="G1010" s="6" t="str">
        <f>IFERROR(__xludf.DUMMYFUNCTION("REGEXREPLACE(LOWER(F1010),""[^a-z\s]"","""")"),"even with your promos ex current promo pft  off  amazon is still better priced and i get better sizes and better autoship deals we are working with tough times folks  you need to step up your game on competition or get left behind not trying to be rude  i"&amp;"ts just the facts")</f>
        <v>even with your promos ex current promo pft  off  amazon is still better priced and i get better sizes and better autoship deals we are working with tough times folks  you need to step up your game on competition or get left behind not trying to be rude  its just the facts</v>
      </c>
      <c r="H1010" s="4" t="str">
        <f t="shared" si="1"/>
        <v>even with your promos ex current promo pft off amazon still better priced i get better sizes better autoship deals we are working with tough times folks you need step up your game on competition or get left behind not trying be rude its just facts</v>
      </c>
      <c r="I1010" s="6">
        <f t="shared" si="2"/>
        <v>46</v>
      </c>
      <c r="J1010" s="6">
        <f>IFERROR(__xludf.DUMMYFUNCTION("IF(H1010="""","""",
SUM(
ARRAYFORMULA(
IF(
REGEXMATCH(
"" ""&amp;H1010&amp;"" "",
"" ""&amp;Sentiment_Words!A$2:A3730&amp;"" ""
),
1,
0
)
)
)
)"),1.0)</f>
        <v>1</v>
      </c>
      <c r="K1010" s="4">
        <f>IFERROR(__xludf.DUMMYFUNCTION("IF(H1010="""","""",
SUM(
ARRAYFORMULA(
IF(
REGEXMATCH(
"" ""&amp;H1010&amp;"" "",
"" ""&amp;Sentiment_Words!B$2:B3730&amp;"" ""
),
1,
0
)
)
)
)"),0.0)</f>
        <v>0</v>
      </c>
      <c r="L1010" s="7" t="str">
        <f t="shared" si="3"/>
        <v>Other</v>
      </c>
      <c r="M1010" s="7" t="str">
        <f t="shared" si="4"/>
        <v>Positive</v>
      </c>
      <c r="N1010" s="7" t="str">
        <f>IFERROR(__xludf.DUMMYFUNCTION("LOWER(
TRIM(
REGEXREPLACE(B1010,""[^a-zA-Z\s]"","""")
)
)
"),"kb")</f>
        <v>kb</v>
      </c>
      <c r="O1010" s="7">
        <f t="shared" si="5"/>
        <v>2</v>
      </c>
      <c r="P1010" s="8" t="str">
        <f t="shared" si="6"/>
        <v>Yes</v>
      </c>
    </row>
    <row r="1011">
      <c r="A1011" s="4" t="s">
        <v>16</v>
      </c>
      <c r="B1011" s="4" t="s">
        <v>2876</v>
      </c>
      <c r="C1011" s="5">
        <v>44911.0</v>
      </c>
      <c r="D1011" s="10">
        <v>44922.0</v>
      </c>
      <c r="E1011" s="4" t="s">
        <v>2877</v>
      </c>
      <c r="F1011" s="4" t="s">
        <v>2878</v>
      </c>
      <c r="G1011" s="6" t="str">
        <f>IFERROR(__xludf.DUMMYFUNCTION("REGEXREPLACE(LOWER(F1011),""[^a-z\s]"","""")"),"i have an account at petflow since june 
unfortunately my order of cat food was cancelled without any notificationsuch an unexpected behavior of company customer service when i called them explain order was blocked by fraud prevention department without a"&amp;"ny explanation  they advised me to change my email address or my delivery address to remove this block
i highly recommend to brave customers who will order from petflow check status of their order in an hour after placing it to make sure order was not can"&amp;"celled without any note")</f>
        <v>i have an account at petflow since june 
unfortunately my order of cat food was cancelled without any notificationsuch an unexpected behavior of company customer service when i called them explain order was blocked by fraud prevention department without any explanation  they advised me to change my email address or my delivery address to remove this block
i highly recommend to brave customers who will order from petflow check status of their order in an hour after placing it to make sure order was not cancelled without any note</v>
      </c>
      <c r="H1011" s="4" t="str">
        <f t="shared" si="1"/>
        <v>i have an account at petflow since june 
unfortunately my order of cat food was cancelled without any notificationsuch an unexpected behavior of company customer service when i called them explain order was blocked by fraud prevention department without any explanation they advised me change my email address or my delivery address remove this block
i highly recommend brave customers who will order from petflow check status of their order in an hour after placing it make sure order was not cancelled without any note</v>
      </c>
      <c r="I1011" s="6">
        <f t="shared" si="2"/>
        <v>84</v>
      </c>
      <c r="J1011" s="6">
        <f>IFERROR(__xludf.DUMMYFUNCTION("IF(H1011="""","""",
SUM(
ARRAYFORMULA(
IF(
REGEXMATCH(
"" ""&amp;H1011&amp;"" "",
"" ""&amp;Sentiment_Words!A$2:A3730&amp;"" ""
),
1,
0
)
)
)
)"),0.0)</f>
        <v>0</v>
      </c>
      <c r="K1011" s="4">
        <f>IFERROR(__xludf.DUMMYFUNCTION("IF(H1011="""","""",
SUM(
ARRAYFORMULA(
IF(
REGEXMATCH(
"" ""&amp;H1011&amp;"" "",
"" ""&amp;Sentiment_Words!B$2:B3730&amp;"" ""
),
1,
0
)
)
)
)"),2.0)</f>
        <v>2</v>
      </c>
      <c r="L1011" s="7" t="str">
        <f t="shared" si="3"/>
        <v>Customer Support</v>
      </c>
      <c r="M1011" s="7" t="str">
        <f t="shared" si="4"/>
        <v>Negative</v>
      </c>
      <c r="N1011" s="7" t="str">
        <f>IFERROR(__xludf.DUMMYFUNCTION("LOWER(
TRIM(
REGEXREPLACE(B1011,""[^a-zA-Z\s]"","""")
)
)
"),"yury k")</f>
        <v>yury k</v>
      </c>
      <c r="O1011" s="7">
        <f t="shared" si="5"/>
        <v>1</v>
      </c>
      <c r="P1011" s="8" t="str">
        <f t="shared" si="6"/>
        <v>No</v>
      </c>
    </row>
    <row r="1012">
      <c r="A1012" s="4" t="s">
        <v>16</v>
      </c>
      <c r="B1012" s="4" t="s">
        <v>2879</v>
      </c>
      <c r="C1012" s="5">
        <v>44910.0</v>
      </c>
      <c r="D1012" s="10">
        <v>44922.0</v>
      </c>
      <c r="E1012" s="4" t="s">
        <v>2880</v>
      </c>
      <c r="F1012" s="4" t="s">
        <v>2881</v>
      </c>
      <c r="G1012" s="6" t="str">
        <f>IFERROR(__xludf.DUMMYFUNCTION("REGEXREPLACE(LOWER(F1012),""[^a-z\s]"","""")"),"youre fine dont be so insecure i used you once and ive gotten like  emails from you its too much now you want to be rated its coming off very needy and insecure keep having the lowest prices and i will keep using you stop with all the email or im gone ser"&amp;"iously")</f>
        <v>youre fine dont be so insecure i used you once and ive gotten like  emails from you its too much now you want to be rated its coming off very needy and insecure keep having the lowest prices and i will keep using you stop with all the email or im gone seriously</v>
      </c>
      <c r="H1012" s="4" t="str">
        <f t="shared" si="1"/>
        <v>youre fine dont be so insecure i used you once ive gotten like emails from you its too much now you want be rated its coming off very needy insecure keep having lowest prices i will keep using you stop with all email or im gone seriously</v>
      </c>
      <c r="I1012" s="6">
        <f t="shared" si="2"/>
        <v>47</v>
      </c>
      <c r="J1012" s="6">
        <f>IFERROR(__xludf.DUMMYFUNCTION("IF(H1012="""","""",
SUM(
ARRAYFORMULA(
IF(
REGEXMATCH(
"" ""&amp;H1012&amp;"" "",
"" ""&amp;Sentiment_Words!A$2:A3730&amp;"" ""
),
1,
0
)
)
)
)"),0.0)</f>
        <v>0</v>
      </c>
      <c r="K1012" s="4">
        <f>IFERROR(__xludf.DUMMYFUNCTION("IF(H1012="""","""",
SUM(
ARRAYFORMULA(
IF(
REGEXMATCH(
"" ""&amp;H1012&amp;"" "",
"" ""&amp;Sentiment_Words!B$2:B3730&amp;"" ""
),
1,
0
)
)
)
)"),0.0)</f>
        <v>0</v>
      </c>
      <c r="L1012" s="7" t="str">
        <f t="shared" si="3"/>
        <v>Other</v>
      </c>
      <c r="M1012" s="7" t="str">
        <f t="shared" si="4"/>
        <v>Neutral</v>
      </c>
      <c r="N1012" s="7" t="str">
        <f>IFERROR(__xludf.DUMMYFUNCTION("LOWER(
TRIM(
REGEXREPLACE(B1012,""[^a-zA-Z\s]"","""")
)
)
"),"michael morehead")</f>
        <v>michael morehead</v>
      </c>
      <c r="O1012" s="7">
        <f t="shared" si="5"/>
        <v>1</v>
      </c>
      <c r="P1012" s="8" t="str">
        <f t="shared" si="6"/>
        <v>No</v>
      </c>
    </row>
    <row r="1013">
      <c r="A1013" s="4" t="s">
        <v>16</v>
      </c>
      <c r="B1013" s="4" t="s">
        <v>2882</v>
      </c>
      <c r="C1013" s="5">
        <v>44914.0</v>
      </c>
      <c r="D1013" s="10">
        <v>44922.0</v>
      </c>
      <c r="E1013" s="4" t="s">
        <v>2883</v>
      </c>
      <c r="F1013" s="4" t="s">
        <v>2884</v>
      </c>
      <c r="G1013" s="6" t="str">
        <f>IFERROR(__xludf.DUMMYFUNCTION("REGEXREPLACE(LOWER(F1013),""[^a-z\s]"","""")"),"had the product i was looking for for my cat fast service")</f>
        <v>had the product i was looking for for my cat fast service</v>
      </c>
      <c r="H1013" s="4" t="str">
        <f t="shared" si="1"/>
        <v>had product i was looking for my cat fast service</v>
      </c>
      <c r="I1013" s="6">
        <f t="shared" si="2"/>
        <v>10</v>
      </c>
      <c r="J1013" s="6">
        <f>IFERROR(__xludf.DUMMYFUNCTION("IF(H1013="""","""",
SUM(
ARRAYFORMULA(
IF(
REGEXMATCH(
"" ""&amp;H1013&amp;"" "",
"" ""&amp;Sentiment_Words!A$2:A3730&amp;"" ""
),
1,
0
)
)
)
)"),1.0)</f>
        <v>1</v>
      </c>
      <c r="K1013" s="4">
        <f>IFERROR(__xludf.DUMMYFUNCTION("IF(H1013="""","""",
SUM(
ARRAYFORMULA(
IF(
REGEXMATCH(
"" ""&amp;H1013&amp;"" "",
"" ""&amp;Sentiment_Words!B$2:B3730&amp;"" ""
),
1,
0
)
)
)
)"),0.0)</f>
        <v>0</v>
      </c>
      <c r="L1013" s="7" t="str">
        <f t="shared" si="3"/>
        <v>Customer Support</v>
      </c>
      <c r="M1013" s="7" t="str">
        <f t="shared" si="4"/>
        <v>Positive</v>
      </c>
      <c r="N1013" s="7" t="str">
        <f>IFERROR(__xludf.DUMMYFUNCTION("LOWER(
TRIM(
REGEXREPLACE(B1013,""[^a-zA-Z\s]"","""")
)
)
"),"t ward")</f>
        <v>t ward</v>
      </c>
      <c r="O1013" s="7">
        <f t="shared" si="5"/>
        <v>1</v>
      </c>
      <c r="P1013" s="8" t="str">
        <f t="shared" si="6"/>
        <v>No</v>
      </c>
    </row>
    <row r="1014">
      <c r="A1014" s="4" t="s">
        <v>16</v>
      </c>
      <c r="B1014" s="4" t="s">
        <v>2885</v>
      </c>
      <c r="C1014" s="9">
        <v>44896.0</v>
      </c>
      <c r="D1014" s="10">
        <v>44922.0</v>
      </c>
      <c r="E1014" s="4" t="s">
        <v>2886</v>
      </c>
      <c r="F1014" s="4" t="s">
        <v>2887</v>
      </c>
      <c r="G1014" s="6" t="str">
        <f>IFERROR(__xludf.DUMMYFUNCTION("REGEXREPLACE(LOWER(F1014),""[^a-z\s]"","""")"),"our beloved newfie died a day or so after we received his auto shipment of food from perflow we had not even opened the box allison from petflow offered hers and petflows sincere condolences and she said just set the unopen box outside on the porch and sh"&amp;"e would have fedex pick it up they would have a label and we would not be charged for it it was a small bright light in an otherwise very very sad week for us thank you very much and we will subscribe back to petflow when the time comes with our other boy"&amp;"s")</f>
        <v>our beloved newfie died a day or so after we received his auto shipment of food from perflow we had not even opened the box allison from petflow offered hers and petflows sincere condolences and she said just set the unopen box outside on the porch and she would have fedex pick it up they would have a label and we would not be charged for it it was a small bright light in an otherwise very very sad week for us thank you very much and we will subscribe back to petflow when the time comes with our other boys</v>
      </c>
      <c r="H1014" s="4" t="str">
        <f t="shared" si="1"/>
        <v>our beloved newfie died a day or so after we received his auto shipment of food from perflow we had not even opened box allison from petflow offered hers petflows sincere condolences she said just set unopen box outside on porch she would have fedex pick it up they would have a label we would not be charged it it was a small bright light in an otherwise very very sad week us thank you very much we will subscribe back petflow when time comes with our other boys</v>
      </c>
      <c r="I1014" s="6">
        <f t="shared" si="2"/>
        <v>89</v>
      </c>
      <c r="J1014" s="6">
        <f>IFERROR(__xludf.DUMMYFUNCTION("IF(H1014="""","""",
SUM(
ARRAYFORMULA(
IF(
REGEXMATCH(
"" ""&amp;H1014&amp;"" "",
"" ""&amp;Sentiment_Words!A$2:A3730&amp;"" ""
),
1,
0
)
)
)
)"),0.0)</f>
        <v>0</v>
      </c>
      <c r="K1014" s="4">
        <f>IFERROR(__xludf.DUMMYFUNCTION("IF(H1014="""","""",
SUM(
ARRAYFORMULA(
IF(
REGEXMATCH(
"" ""&amp;H1014&amp;"" "",
"" ""&amp;Sentiment_Words!B$2:B3730&amp;"" ""
),
1,
0
)
)
)
)"),0.0)</f>
        <v>0</v>
      </c>
      <c r="L1014" s="7" t="str">
        <f t="shared" si="3"/>
        <v>Other</v>
      </c>
      <c r="M1014" s="7" t="str">
        <f t="shared" si="4"/>
        <v>Neutral</v>
      </c>
      <c r="N1014" s="7" t="str">
        <f>IFERROR(__xludf.DUMMYFUNCTION("LOWER(
TRIM(
REGEXREPLACE(B1014,""[^a-zA-Z\s]"","""")
)
)
"),"albert egan")</f>
        <v>albert egan</v>
      </c>
      <c r="O1014" s="7">
        <f t="shared" si="5"/>
        <v>1</v>
      </c>
      <c r="P1014" s="8" t="str">
        <f t="shared" si="6"/>
        <v>No</v>
      </c>
    </row>
    <row r="1015">
      <c r="A1015" s="4" t="s">
        <v>16</v>
      </c>
      <c r="B1015" s="4" t="s">
        <v>2888</v>
      </c>
      <c r="C1015" s="9">
        <v>44896.0</v>
      </c>
      <c r="D1015" s="10">
        <v>44922.0</v>
      </c>
      <c r="E1015" s="4" t="s">
        <v>2889</v>
      </c>
      <c r="F1015" s="4" t="s">
        <v>2890</v>
      </c>
      <c r="G1015" s="6" t="str">
        <f>IFERROR(__xludf.DUMMYFUNCTION("REGEXREPLACE(LOWER(F1015),""[^a-z\s]"","""")"),"actually i am writing to see if i can return an unopened bag of food winnie did not like it and is back on her original food")</f>
        <v>actually i am writing to see if i can return an unopened bag of food winnie did not like it and is back on her original food</v>
      </c>
      <c r="H1015" s="4" t="str">
        <f t="shared" si="1"/>
        <v>actually i am writing see if i can return an unopened bag of food winnie did not like it back on her original food</v>
      </c>
      <c r="I1015" s="6">
        <f t="shared" si="2"/>
        <v>24</v>
      </c>
      <c r="J1015" s="6">
        <f>IFERROR(__xludf.DUMMYFUNCTION("IF(H1015="""","""",
SUM(
ARRAYFORMULA(
IF(
REGEXMATCH(
"" ""&amp;H1015&amp;"" "",
"" ""&amp;Sentiment_Words!A$2:A3730&amp;"" ""
),
1,
0
)
)
)
)"),0.0)</f>
        <v>0</v>
      </c>
      <c r="K1015" s="4">
        <f>IFERROR(__xludf.DUMMYFUNCTION("IF(H1015="""","""",
SUM(
ARRAYFORMULA(
IF(
REGEXMATCH(
"" ""&amp;H1015&amp;"" "",
"" ""&amp;Sentiment_Words!B$2:B3730&amp;"" ""
),
1,
0
)
)
)
)"),0.0)</f>
        <v>0</v>
      </c>
      <c r="L1015" s="7" t="str">
        <f t="shared" si="3"/>
        <v>Other</v>
      </c>
      <c r="M1015" s="7" t="str">
        <f t="shared" si="4"/>
        <v>Neutral</v>
      </c>
      <c r="N1015" s="7" t="str">
        <f>IFERROR(__xludf.DUMMYFUNCTION("LOWER(
TRIM(
REGEXREPLACE(B1015,""[^a-zA-Z\s]"","""")
)
)
"),"michelle rue")</f>
        <v>michelle rue</v>
      </c>
      <c r="O1015" s="7">
        <f t="shared" si="5"/>
        <v>1</v>
      </c>
      <c r="P1015" s="8" t="str">
        <f t="shared" si="6"/>
        <v>No</v>
      </c>
    </row>
    <row r="1016">
      <c r="A1016" s="4" t="s">
        <v>16</v>
      </c>
      <c r="B1016" s="4" t="s">
        <v>2891</v>
      </c>
      <c r="C1016" s="5">
        <v>44915.0</v>
      </c>
      <c r="D1016" s="10">
        <v>44922.0</v>
      </c>
      <c r="E1016" s="4" t="s">
        <v>2892</v>
      </c>
      <c r="F1016" s="4" t="s">
        <v>2893</v>
      </c>
      <c r="G1016" s="6" t="str">
        <f>IFERROR(__xludf.DUMMYFUNCTION("REGEXREPLACE(LOWER(F1016),""[^a-z\s]"","""")"),"best price on the dog food i buy very quick shipping")</f>
        <v>best price on the dog food i buy very quick shipping</v>
      </c>
      <c r="H1016" s="4" t="str">
        <f t="shared" si="1"/>
        <v>best price on dog food i buy very quick shipping</v>
      </c>
      <c r="I1016" s="6">
        <f t="shared" si="2"/>
        <v>10</v>
      </c>
      <c r="J1016" s="6">
        <f>IFERROR(__xludf.DUMMYFUNCTION("IF(H1016="""","""",
SUM(
ARRAYFORMULA(
IF(
REGEXMATCH(
"" ""&amp;H1016&amp;"" "",
"" ""&amp;Sentiment_Words!A$2:A3730&amp;"" ""
),
1,
0
)
)
)
)"),0.0)</f>
        <v>0</v>
      </c>
      <c r="K1016" s="4">
        <f>IFERROR(__xludf.DUMMYFUNCTION("IF(H1016="""","""",
SUM(
ARRAYFORMULA(
IF(
REGEXMATCH(
"" ""&amp;H1016&amp;"" "",
"" ""&amp;Sentiment_Words!B$2:B3730&amp;"" ""
),
1,
0
)
)
)
)"),0.0)</f>
        <v>0</v>
      </c>
      <c r="L1016" s="7" t="str">
        <f t="shared" si="3"/>
        <v>Other</v>
      </c>
      <c r="M1016" s="7" t="str">
        <f t="shared" si="4"/>
        <v>Neutral</v>
      </c>
      <c r="N1016" s="7" t="str">
        <f>IFERROR(__xludf.DUMMYFUNCTION("LOWER(
TRIM(
REGEXREPLACE(B1016,""[^a-zA-Z\s]"","""")
)
)
"),"bob and anne blaicher")</f>
        <v>bob and anne blaicher</v>
      </c>
      <c r="O1016" s="7">
        <f t="shared" si="5"/>
        <v>1</v>
      </c>
      <c r="P1016" s="8" t="str">
        <f t="shared" si="6"/>
        <v>No</v>
      </c>
    </row>
    <row r="1017">
      <c r="A1017" s="4" t="s">
        <v>16</v>
      </c>
      <c r="B1017" s="4" t="s">
        <v>2894</v>
      </c>
      <c r="C1017" s="5">
        <v>44921.0</v>
      </c>
      <c r="D1017" s="10">
        <v>44921.0</v>
      </c>
      <c r="E1017" s="4" t="s">
        <v>2895</v>
      </c>
      <c r="F1017" s="4" t="s">
        <v>2896</v>
      </c>
      <c r="G1017" s="6" t="str">
        <f>IFERROR(__xludf.DUMMYFUNCTION("REGEXREPLACE(LOWER(F1017),""[^a-z\s]"","""")"),"good sales on good products fast shipping")</f>
        <v>good sales on good products fast shipping</v>
      </c>
      <c r="H1017" s="4" t="str">
        <f t="shared" si="1"/>
        <v>good sales on good products fast shipping</v>
      </c>
      <c r="I1017" s="6">
        <f t="shared" si="2"/>
        <v>7</v>
      </c>
      <c r="J1017" s="6">
        <f>IFERROR(__xludf.DUMMYFUNCTION("IF(H1017="""","""",
SUM(
ARRAYFORMULA(
IF(
REGEXMATCH(
"" ""&amp;H1017&amp;"" "",
"" ""&amp;Sentiment_Words!A$2:A3730&amp;"" ""
),
1,
0
)
)
)
)"),2.0)</f>
        <v>2</v>
      </c>
      <c r="K1017" s="4">
        <f>IFERROR(__xludf.DUMMYFUNCTION("IF(H1017="""","""",
SUM(
ARRAYFORMULA(
IF(
REGEXMATCH(
"" ""&amp;H1017&amp;"" "",
"" ""&amp;Sentiment_Words!B$2:B3730&amp;"" ""
),
1,
0
)
)
)
)"),0.0)</f>
        <v>0</v>
      </c>
      <c r="L1017" s="7" t="str">
        <f t="shared" si="3"/>
        <v>Other</v>
      </c>
      <c r="M1017" s="7" t="str">
        <f t="shared" si="4"/>
        <v>Positive</v>
      </c>
      <c r="N1017" s="7" t="str">
        <f>IFERROR(__xludf.DUMMYFUNCTION("LOWER(
TRIM(
REGEXREPLACE(B1017,""[^a-zA-Z\s]"","""")
)
)
"),"helene")</f>
        <v>helene</v>
      </c>
      <c r="O1017" s="7">
        <f t="shared" si="5"/>
        <v>1</v>
      </c>
      <c r="P1017" s="8" t="str">
        <f t="shared" si="6"/>
        <v>No</v>
      </c>
    </row>
    <row r="1018">
      <c r="A1018" s="4" t="s">
        <v>16</v>
      </c>
      <c r="B1018" s="4" t="s">
        <v>2897</v>
      </c>
      <c r="C1018" s="5">
        <v>44911.0</v>
      </c>
      <c r="D1018" s="10">
        <v>44921.0</v>
      </c>
      <c r="E1018" s="4" t="s">
        <v>2898</v>
      </c>
      <c r="F1018" s="4" t="s">
        <v>2899</v>
      </c>
      <c r="G1018" s="6" t="str">
        <f>IFERROR(__xludf.DUMMYFUNCTION("REGEXREPLACE(LOWER(F1018),""[^a-z\s]"","""")"),"my beloved dog passed away unexpectedly just after i had received a large shipment of food and supplies i contacted petflow and they arranged to have the products picked up right away and closed out my auto ship orders so i would not have to do that ive u"&amp;"sed petflow for more than  years and it has been easy and consistent and great service i will miss it")</f>
        <v>my beloved dog passed away unexpectedly just after i had received a large shipment of food and supplies i contacted petflow and they arranged to have the products picked up right away and closed out my auto ship orders so i would not have to do that ive used petflow for more than  years and it has been easy and consistent and great service i will miss it</v>
      </c>
      <c r="H1018" s="4" t="str">
        <f t="shared" si="1"/>
        <v>my beloved dog passed away unexpectedly just after i had received a large shipment of food supplies i contacted petflow they arranged have products picked up right away closed out my auto ship orders so i would not have do that ive used petflow more than years it has been easy consistent great service i will miss it</v>
      </c>
      <c r="I1018" s="6">
        <f t="shared" si="2"/>
        <v>58</v>
      </c>
      <c r="J1018" s="6">
        <f>IFERROR(__xludf.DUMMYFUNCTION("IF(H1018="""","""",
SUM(
ARRAYFORMULA(
IF(
REGEXMATCH(
"" ""&amp;H1018&amp;"" "",
"" ""&amp;Sentiment_Words!A$2:A3730&amp;"" ""
),
1,
0
)
)
)
)"),3.0)</f>
        <v>3</v>
      </c>
      <c r="K1018" s="4">
        <f>IFERROR(__xludf.DUMMYFUNCTION("IF(H1018="""","""",
SUM(
ARRAYFORMULA(
IF(
REGEXMATCH(
"" ""&amp;H1018&amp;"" "",
"" ""&amp;Sentiment_Words!B$2:B3730&amp;"" ""
),
1,
0
)
)
)
)"),0.0)</f>
        <v>0</v>
      </c>
      <c r="L1018" s="7" t="str">
        <f t="shared" si="3"/>
        <v>Customer Support</v>
      </c>
      <c r="M1018" s="7" t="str">
        <f t="shared" si="4"/>
        <v>Positive</v>
      </c>
      <c r="N1018" s="7" t="str">
        <f>IFERROR(__xludf.DUMMYFUNCTION("LOWER(
TRIM(
REGEXREPLACE(B1018,""[^a-zA-Z\s]"","""")
)
)
"),"jennifer k")</f>
        <v>jennifer k</v>
      </c>
      <c r="O1018" s="7">
        <f t="shared" si="5"/>
        <v>1</v>
      </c>
      <c r="P1018" s="8" t="str">
        <f t="shared" si="6"/>
        <v>No</v>
      </c>
    </row>
    <row r="1019">
      <c r="A1019" s="4" t="s">
        <v>16</v>
      </c>
      <c r="B1019" s="4" t="s">
        <v>2900</v>
      </c>
      <c r="C1019" s="5">
        <v>44914.0</v>
      </c>
      <c r="D1019" s="10">
        <v>44921.0</v>
      </c>
      <c r="E1019" s="4" t="s">
        <v>2901</v>
      </c>
      <c r="F1019" s="4" t="s">
        <v>2902</v>
      </c>
      <c r="G1019" s="6" t="str">
        <f>IFERROR(__xludf.DUMMYFUNCTION("REGEXREPLACE(LOWER(F1019),""[^a-z\s]"","""")"),"what made my experience great was finding the product i wanted and a little more and getting it ordered quickly and easily got what i needed in just a few days before running out of the product at home excellent service great products")</f>
        <v>what made my experience great was finding the product i wanted and a little more and getting it ordered quickly and easily got what i needed in just a few days before running out of the product at home excellent service great products</v>
      </c>
      <c r="H1019" s="4" t="str">
        <f t="shared" si="1"/>
        <v>what made my experience great was finding product i wanted a little more getting it ordered quickly easily got what i needed in just a few days before running out of product at home excellent service great products</v>
      </c>
      <c r="I1019" s="6">
        <f t="shared" si="2"/>
        <v>38</v>
      </c>
      <c r="J1019" s="6">
        <f>IFERROR(__xludf.DUMMYFUNCTION("IF(H1019="""","""",
SUM(
ARRAYFORMULA(
IF(
REGEXMATCH(
"" ""&amp;H1019&amp;"" "",
"" ""&amp;Sentiment_Words!A$2:A3730&amp;"" ""
),
1,
0
)
)
)
)"),1.0)</f>
        <v>1</v>
      </c>
      <c r="K1019" s="4">
        <f>IFERROR(__xludf.DUMMYFUNCTION("IF(H1019="""","""",
SUM(
ARRAYFORMULA(
IF(
REGEXMATCH(
"" ""&amp;H1019&amp;"" "",
"" ""&amp;Sentiment_Words!B$2:B3730&amp;"" ""
),
1,
0
)
)
)
)"),0.0)</f>
        <v>0</v>
      </c>
      <c r="L1019" s="7" t="str">
        <f t="shared" si="3"/>
        <v>Customer Support</v>
      </c>
      <c r="M1019" s="7" t="str">
        <f t="shared" si="4"/>
        <v>Positive</v>
      </c>
      <c r="N1019" s="7" t="str">
        <f>IFERROR(__xludf.DUMMYFUNCTION("LOWER(
TRIM(
REGEXREPLACE(B1019,""[^a-zA-Z\s]"","""")
)
)
"),"james")</f>
        <v>james</v>
      </c>
      <c r="O1019" s="7">
        <f t="shared" si="5"/>
        <v>5</v>
      </c>
      <c r="P1019" s="8" t="str">
        <f t="shared" si="6"/>
        <v>Yes</v>
      </c>
    </row>
    <row r="1020">
      <c r="A1020" s="4" t="s">
        <v>16</v>
      </c>
      <c r="B1020" s="4" t="s">
        <v>2903</v>
      </c>
      <c r="C1020" s="5">
        <v>44909.0</v>
      </c>
      <c r="D1020" s="10">
        <v>44921.0</v>
      </c>
      <c r="E1020" s="4" t="s">
        <v>2904</v>
      </c>
      <c r="F1020" s="4" t="s">
        <v>331</v>
      </c>
      <c r="G1020" s="6" t="str">
        <f>IFERROR(__xludf.DUMMYFUNCTION("REGEXREPLACE(LOWER(F1020),""[^a-z\s]"","""")"),"none")</f>
        <v>none</v>
      </c>
      <c r="H1020" s="4" t="str">
        <f t="shared" si="1"/>
        <v>none</v>
      </c>
      <c r="I1020" s="6">
        <f t="shared" si="2"/>
        <v>1</v>
      </c>
      <c r="J1020" s="6">
        <f>IFERROR(__xludf.DUMMYFUNCTION("IF(H1020="""","""",
SUM(
ARRAYFORMULA(
IF(
REGEXMATCH(
"" ""&amp;H1020&amp;"" "",
"" ""&amp;Sentiment_Words!A$2:A3730&amp;"" ""
),
1,
0
)
)
)
)"),0.0)</f>
        <v>0</v>
      </c>
      <c r="K1020" s="4">
        <f>IFERROR(__xludf.DUMMYFUNCTION("IF(H1020="""","""",
SUM(
ARRAYFORMULA(
IF(
REGEXMATCH(
"" ""&amp;H1020&amp;"" "",
"" ""&amp;Sentiment_Words!B$2:B3730&amp;"" ""
),
1,
0
)
)
)
)"),0.0)</f>
        <v>0</v>
      </c>
      <c r="L1020" s="7" t="str">
        <f t="shared" si="3"/>
        <v>Other</v>
      </c>
      <c r="M1020" s="7" t="str">
        <f t="shared" si="4"/>
        <v>Neutral</v>
      </c>
      <c r="N1020" s="7" t="str">
        <f>IFERROR(__xludf.DUMMYFUNCTION("LOWER(
TRIM(
REGEXREPLACE(B1020,""[^a-zA-Z\s]"","""")
)
)
"),"tammy")</f>
        <v>tammy</v>
      </c>
      <c r="O1020" s="7">
        <f t="shared" si="5"/>
        <v>1</v>
      </c>
      <c r="P1020" s="8" t="str">
        <f t="shared" si="6"/>
        <v>No</v>
      </c>
    </row>
    <row r="1021">
      <c r="A1021" s="4" t="s">
        <v>16</v>
      </c>
      <c r="B1021" s="4" t="s">
        <v>2905</v>
      </c>
      <c r="C1021" s="5">
        <v>44908.0</v>
      </c>
      <c r="D1021" s="10">
        <v>44921.0</v>
      </c>
      <c r="E1021" s="4" t="s">
        <v>2906</v>
      </c>
      <c r="F1021" s="4" t="s">
        <v>331</v>
      </c>
      <c r="G1021" s="6" t="str">
        <f>IFERROR(__xludf.DUMMYFUNCTION("REGEXREPLACE(LOWER(F1021),""[^a-z\s]"","""")"),"none")</f>
        <v>none</v>
      </c>
      <c r="H1021" s="4" t="str">
        <f t="shared" si="1"/>
        <v>none</v>
      </c>
      <c r="I1021" s="6">
        <f t="shared" si="2"/>
        <v>1</v>
      </c>
      <c r="J1021" s="6">
        <f>IFERROR(__xludf.DUMMYFUNCTION("IF(H1021="""","""",
SUM(
ARRAYFORMULA(
IF(
REGEXMATCH(
"" ""&amp;H1021&amp;"" "",
"" ""&amp;Sentiment_Words!A$2:A3730&amp;"" ""
),
1,
0
)
)
)
)"),0.0)</f>
        <v>0</v>
      </c>
      <c r="K1021" s="4">
        <f>IFERROR(__xludf.DUMMYFUNCTION("IF(H1021="""","""",
SUM(
ARRAYFORMULA(
IF(
REGEXMATCH(
"" ""&amp;H1021&amp;"" "",
"" ""&amp;Sentiment_Words!B$2:B3730&amp;"" ""
),
1,
0
)
)
)
)"),0.0)</f>
        <v>0</v>
      </c>
      <c r="L1021" s="7" t="str">
        <f t="shared" si="3"/>
        <v>Other</v>
      </c>
      <c r="M1021" s="7" t="str">
        <f t="shared" si="4"/>
        <v>Neutral</v>
      </c>
      <c r="N1021" s="7" t="str">
        <f>IFERROR(__xludf.DUMMYFUNCTION("LOWER(
TRIM(
REGEXREPLACE(B1021,""[^a-zA-Z\s]"","""")
)
)
"),"steven nevada")</f>
        <v>steven nevada</v>
      </c>
      <c r="O1021" s="7">
        <f t="shared" si="5"/>
        <v>1</v>
      </c>
      <c r="P1021" s="8" t="str">
        <f t="shared" si="6"/>
        <v>No</v>
      </c>
    </row>
    <row r="1022">
      <c r="A1022" s="4" t="s">
        <v>16</v>
      </c>
      <c r="B1022" s="4" t="s">
        <v>2907</v>
      </c>
      <c r="C1022" s="5">
        <v>44907.0</v>
      </c>
      <c r="D1022" s="10">
        <v>44921.0</v>
      </c>
      <c r="E1022" s="4" t="s">
        <v>2908</v>
      </c>
      <c r="F1022" s="4" t="s">
        <v>2909</v>
      </c>
      <c r="G1022" s="6" t="str">
        <f>IFERROR(__xludf.DUMMYFUNCTION("REGEXREPLACE(LOWER(F1022),""[^a-z\s]"","""")"),"i wanted to purchase a item on your website but the item only showed one color blue i contacted you about wanting the item in gray and you person went out in the whrs and found that you had it in gray told me to order it and email the order number to her "&amp;"and she would make sure i received the gray litter box i wanted she was very nice and helped a lot")</f>
        <v>i wanted to purchase a item on your website but the item only showed one color blue i contacted you about wanting the item in gray and you person went out in the whrs and found that you had it in gray told me to order it and email the order number to her and she would make sure i received the gray litter box i wanted she was very nice and helped a lot</v>
      </c>
      <c r="H1022" s="4" t="str">
        <f t="shared" si="1"/>
        <v>i wanted purchase a item on your website but item only showed one color blue i contacted you about wanting item in gray you person went out in whrs found that you had it in gray told me order it email order number her she would make sure i received gray litter box i wanted she was very nice helped a lot</v>
      </c>
      <c r="I1022" s="6">
        <f t="shared" si="2"/>
        <v>62</v>
      </c>
      <c r="J1022" s="6">
        <f>IFERROR(__xludf.DUMMYFUNCTION("IF(H1022="""","""",
SUM(
ARRAYFORMULA(
IF(
REGEXMATCH(
"" ""&amp;H1022&amp;"" "",
"" ""&amp;Sentiment_Words!A$2:A3730&amp;"" ""
),
1,
0
)
)
)
)"),1.0)</f>
        <v>1</v>
      </c>
      <c r="K1022" s="4">
        <f>IFERROR(__xludf.DUMMYFUNCTION("IF(H1022="""","""",
SUM(
ARRAYFORMULA(
IF(
REGEXMATCH(
"" ""&amp;H1022&amp;"" "",
"" ""&amp;Sentiment_Words!B$2:B3730&amp;"" ""
),
1,
0
)
)
)
)"),0.0)</f>
        <v>0</v>
      </c>
      <c r="L1022" s="7" t="str">
        <f t="shared" si="3"/>
        <v>Account &amp; Website</v>
      </c>
      <c r="M1022" s="7" t="str">
        <f t="shared" si="4"/>
        <v>Positive</v>
      </c>
      <c r="N1022" s="7" t="str">
        <f>IFERROR(__xludf.DUMMYFUNCTION("LOWER(
TRIM(
REGEXREPLACE(B1022,""[^a-zA-Z\s]"","""")
)
)
"),"john anderson")</f>
        <v>john anderson</v>
      </c>
      <c r="O1022" s="7">
        <f t="shared" si="5"/>
        <v>1</v>
      </c>
      <c r="P1022" s="8" t="str">
        <f t="shared" si="6"/>
        <v>No</v>
      </c>
    </row>
    <row r="1023">
      <c r="A1023" s="4" t="s">
        <v>16</v>
      </c>
      <c r="B1023" s="4" t="s">
        <v>2910</v>
      </c>
      <c r="C1023" s="5">
        <v>44920.0</v>
      </c>
      <c r="D1023" s="10">
        <v>44921.0</v>
      </c>
      <c r="E1023" s="4" t="s">
        <v>2911</v>
      </c>
      <c r="F1023" s="4" t="s">
        <v>2912</v>
      </c>
      <c r="G1023" s="6" t="str">
        <f>IFERROR(__xludf.DUMMYFUNCTION("REGEXREPLACE(LOWER(F1023),""[^a-z\s]"","""")"),"i got a good price on tillys treasures beef liver chunks my dog loves them")</f>
        <v>i got a good price on tillys treasures beef liver chunks my dog loves them</v>
      </c>
      <c r="H1023" s="4" t="str">
        <f t="shared" si="1"/>
        <v>i got a good price on tillys treasures beef liver chunks my dog loves them</v>
      </c>
      <c r="I1023" s="6">
        <f t="shared" si="2"/>
        <v>15</v>
      </c>
      <c r="J1023" s="6">
        <f>IFERROR(__xludf.DUMMYFUNCTION("IF(H1023="""","""",
SUM(
ARRAYFORMULA(
IF(
REGEXMATCH(
"" ""&amp;H1023&amp;"" "",
"" ""&amp;Sentiment_Words!A$2:A3730&amp;"" ""
),
1,
0
)
)
)
)"),1.0)</f>
        <v>1</v>
      </c>
      <c r="K1023" s="4">
        <f>IFERROR(__xludf.DUMMYFUNCTION("IF(H1023="""","""",
SUM(
ARRAYFORMULA(
IF(
REGEXMATCH(
"" ""&amp;H1023&amp;"" "",
"" ""&amp;Sentiment_Words!B$2:B3730&amp;"" ""
),
1,
0
)
)
)
)"),0.0)</f>
        <v>0</v>
      </c>
      <c r="L1023" s="7" t="str">
        <f t="shared" si="3"/>
        <v>Other</v>
      </c>
      <c r="M1023" s="7" t="str">
        <f t="shared" si="4"/>
        <v>Positive</v>
      </c>
      <c r="N1023" s="7" t="str">
        <f>IFERROR(__xludf.DUMMYFUNCTION("LOWER(
TRIM(
REGEXREPLACE(B1023,""[^a-zA-Z\s]"","""")
)
)
"),"barbara rice")</f>
        <v>barbara rice</v>
      </c>
      <c r="O1023" s="7">
        <f t="shared" si="5"/>
        <v>1</v>
      </c>
      <c r="P1023" s="8" t="str">
        <f t="shared" si="6"/>
        <v>No</v>
      </c>
    </row>
    <row r="1024">
      <c r="A1024" s="4" t="s">
        <v>16</v>
      </c>
      <c r="B1024" s="4" t="s">
        <v>2913</v>
      </c>
      <c r="C1024" s="5">
        <v>44919.0</v>
      </c>
      <c r="D1024" s="10">
        <v>44920.0</v>
      </c>
      <c r="E1024" s="4" t="s">
        <v>623</v>
      </c>
      <c r="F1024" s="4" t="s">
        <v>2914</v>
      </c>
      <c r="G1024" s="6" t="str">
        <f>IFERROR(__xludf.DUMMYFUNCTION("REGEXREPLACE(LOWER(F1024),""[^a-z\s]"","""")"),"easy order great delivery great product")</f>
        <v>easy order great delivery great product</v>
      </c>
      <c r="H1024" s="4" t="str">
        <f t="shared" si="1"/>
        <v>easy order great delivery great product</v>
      </c>
      <c r="I1024" s="6">
        <f t="shared" si="2"/>
        <v>6</v>
      </c>
      <c r="J1024" s="6">
        <f>IFERROR(__xludf.DUMMYFUNCTION("IF(H1024="""","""",
SUM(
ARRAYFORMULA(
IF(
REGEXMATCH(
"" ""&amp;H1024&amp;"" "",
"" ""&amp;Sentiment_Words!A$2:A3730&amp;"" ""
),
1,
0
)
)
)
)"),2.0)</f>
        <v>2</v>
      </c>
      <c r="K1024" s="4">
        <f>IFERROR(__xludf.DUMMYFUNCTION("IF(H1024="""","""",
SUM(
ARRAYFORMULA(
IF(
REGEXMATCH(
"" ""&amp;H1024&amp;"" "",
"" ""&amp;Sentiment_Words!B$2:B3730&amp;"" ""
),
1,
0
)
)
)
)"),0.0)</f>
        <v>0</v>
      </c>
      <c r="L1024" s="7" t="str">
        <f t="shared" si="3"/>
        <v>Other</v>
      </c>
      <c r="M1024" s="7" t="str">
        <f t="shared" si="4"/>
        <v>Positive</v>
      </c>
      <c r="N1024" s="7" t="str">
        <f>IFERROR(__xludf.DUMMYFUNCTION("LOWER(
TRIM(
REGEXREPLACE(B1024,""[^a-zA-Z\s]"","""")
)
)
"),"wheels")</f>
        <v>wheels</v>
      </c>
      <c r="O1024" s="7">
        <f t="shared" si="5"/>
        <v>1</v>
      </c>
      <c r="P1024" s="8" t="str">
        <f t="shared" si="6"/>
        <v>No</v>
      </c>
    </row>
    <row r="1025">
      <c r="A1025" s="4" t="s">
        <v>16</v>
      </c>
      <c r="B1025" s="4" t="s">
        <v>2915</v>
      </c>
      <c r="C1025" s="5">
        <v>44915.0</v>
      </c>
      <c r="D1025" s="10">
        <v>44920.0</v>
      </c>
      <c r="E1025" s="4" t="s">
        <v>2916</v>
      </c>
      <c r="F1025" s="4" t="s">
        <v>2917</v>
      </c>
      <c r="G1025" s="6" t="str">
        <f>IFERROR(__xludf.DUMMYFUNCTION("REGEXREPLACE(LOWER(F1025),""[^a-z\s]"","""")"),"i used to love petflow because the prices were reasonable with quality items and dependable shipping i have a small house so i cannot stockpile dog food so i order close to finishing a bag well now when things used to arrive in about  days of ordering it "&amp;"can be  weeks or  days or  days theres no way of knowing its really hard to plan around these orders which makes me want to shop elsewhere which bums me out because ive really loved petflow")</f>
        <v>i used to love petflow because the prices were reasonable with quality items and dependable shipping i have a small house so i cannot stockpile dog food so i order close to finishing a bag well now when things used to arrive in about  days of ordering it can be  weeks or  days or  days theres no way of knowing its really hard to plan around these orders which makes me want to shop elsewhere which bums me out because ive really loved petflow</v>
      </c>
      <c r="H1025" s="4" t="str">
        <f t="shared" si="1"/>
        <v>i used love petflow because prices were reasonable with quality items dependable shipping i have a small house so i cannot stockpile dog food so i order close finishing a bag well now when things used arrive in about days of ordering it can be weeks or days or days theres no way of knowing its really hard plan around these orders which makes me want shop elsewhere which bums me out because ive really loved petflow</v>
      </c>
      <c r="I1025" s="6">
        <f t="shared" si="2"/>
        <v>77</v>
      </c>
      <c r="J1025" s="6">
        <f>IFERROR(__xludf.DUMMYFUNCTION("IF(H1025="""","""",
SUM(
ARRAYFORMULA(
IF(
REGEXMATCH(
"" ""&amp;H1025&amp;"" "",
"" ""&amp;Sentiment_Words!A$2:A3730&amp;"" ""
),
1,
0
)
)
)
)"),1.0)</f>
        <v>1</v>
      </c>
      <c r="K1025" s="4">
        <f>IFERROR(__xludf.DUMMYFUNCTION("IF(H1025="""","""",
SUM(
ARRAYFORMULA(
IF(
REGEXMATCH(
"" ""&amp;H1025&amp;"" "",
"" ""&amp;Sentiment_Words!B$2:B3730&amp;"" ""
),
1,
0
)
)
)
)"),0.0)</f>
        <v>0</v>
      </c>
      <c r="L1025" s="7" t="str">
        <f t="shared" si="3"/>
        <v>Other</v>
      </c>
      <c r="M1025" s="7" t="str">
        <f t="shared" si="4"/>
        <v>Positive</v>
      </c>
      <c r="N1025" s="7" t="str">
        <f>IFERROR(__xludf.DUMMYFUNCTION("LOWER(
TRIM(
REGEXREPLACE(B1025,""[^a-zA-Z\s]"","""")
)
)
"),"jenny obrien")</f>
        <v>jenny obrien</v>
      </c>
      <c r="O1025" s="7">
        <f t="shared" si="5"/>
        <v>1</v>
      </c>
      <c r="P1025" s="8" t="str">
        <f t="shared" si="6"/>
        <v>No</v>
      </c>
    </row>
    <row r="1026">
      <c r="A1026" s="4" t="s">
        <v>16</v>
      </c>
      <c r="B1026" s="4" t="s">
        <v>2918</v>
      </c>
      <c r="C1026" s="5">
        <v>44916.0</v>
      </c>
      <c r="D1026" s="10">
        <v>44920.0</v>
      </c>
      <c r="E1026" s="4" t="s">
        <v>2919</v>
      </c>
      <c r="F1026" s="4" t="s">
        <v>2920</v>
      </c>
      <c r="G1026" s="6" t="str">
        <f>IFERROR(__xludf.DUMMYFUNCTION("REGEXREPLACE(LOWER(F1026),""[^a-z\s]"","""")"),"i have been buying my dogs pet food from them for years they are very reasonably priced and are flexible enough to allow me to change my order depending on the dogs we have")</f>
        <v>i have been buying my dogs pet food from them for years they are very reasonably priced and are flexible enough to allow me to change my order depending on the dogs we have</v>
      </c>
      <c r="H1026" s="4" t="str">
        <f t="shared" si="1"/>
        <v>i have been buying my dogs pet food from them years they are very reasonably priced are flexible enough allow me change my order depending on dogs we have</v>
      </c>
      <c r="I1026" s="6">
        <f t="shared" si="2"/>
        <v>29</v>
      </c>
      <c r="J1026" s="6">
        <f>IFERROR(__xludf.DUMMYFUNCTION("IF(H1026="""","""",
SUM(
ARRAYFORMULA(
IF(
REGEXMATCH(
"" ""&amp;H1026&amp;"" "",
"" ""&amp;Sentiment_Words!A$2:A3730&amp;"" ""
),
1,
0
)
)
)
)"),0.0)</f>
        <v>0</v>
      </c>
      <c r="K1026" s="4">
        <f>IFERROR(__xludf.DUMMYFUNCTION("IF(H1026="""","""",
SUM(
ARRAYFORMULA(
IF(
REGEXMATCH(
"" ""&amp;H1026&amp;"" "",
"" ""&amp;Sentiment_Words!B$2:B3730&amp;"" ""
),
1,
0
)
)
)
)"),0.0)</f>
        <v>0</v>
      </c>
      <c r="L1026" s="7" t="str">
        <f t="shared" si="3"/>
        <v>Other</v>
      </c>
      <c r="M1026" s="7" t="str">
        <f t="shared" si="4"/>
        <v>Neutral</v>
      </c>
      <c r="N1026" s="7" t="str">
        <f>IFERROR(__xludf.DUMMYFUNCTION("LOWER(
TRIM(
REGEXREPLACE(B1026,""[^a-zA-Z\s]"","""")
)
)
"),"peter utrata")</f>
        <v>peter utrata</v>
      </c>
      <c r="O1026" s="7">
        <f t="shared" si="5"/>
        <v>1</v>
      </c>
      <c r="P1026" s="8" t="str">
        <f t="shared" si="6"/>
        <v>No</v>
      </c>
    </row>
    <row r="1027">
      <c r="A1027" s="4" t="s">
        <v>16</v>
      </c>
      <c r="B1027" s="4" t="s">
        <v>77</v>
      </c>
      <c r="C1027" s="9">
        <v>44901.0</v>
      </c>
      <c r="D1027" s="10">
        <v>44920.0</v>
      </c>
      <c r="E1027" s="4" t="s">
        <v>2921</v>
      </c>
      <c r="F1027" s="4" t="s">
        <v>2922</v>
      </c>
      <c r="G1027" s="6" t="str">
        <f>IFERROR(__xludf.DUMMYFUNCTION("REGEXREPLACE(LOWER(F1027),""[^a-z\s]"","""")"),"my delivery address is really complicated and caused a few issues when i attempted to place my order but customer service was quick to respond to my messages and they handled the situation effectively and efficiently once shipped the order reached me in a"&amp;" very reasonable amount of time
as for the purchase itself
despite costing significantly less than similar products specifically bully sticks from competitors do the ones i ordered from petflow seem to be of high quality are fairly consistent in shape a"&amp;"nd size and most importantly my dogs love them
i will definitely be repurchasing once i run out and ive already recommended the website to a friend")</f>
        <v>my delivery address is really complicated and caused a few issues when i attempted to place my order but customer service was quick to respond to my messages and they handled the situation effectively and efficiently once shipped the order reached me in a very reasonable amount of time
as for the purchase itself
despite costing significantly less than similar products specifically bully sticks from competitors do the ones i ordered from petflow seem to be of high quality are fairly consistent in shape and size and most importantly my dogs love them
i will definitely be repurchasing once i run out and ive already recommended the website to a friend</v>
      </c>
      <c r="H1027" s="4" t="str">
        <f t="shared" si="1"/>
        <v>my delivery address really complicated caused a few issues when i attempted place my order but customer service was quick respond my messages they handled situation effectively efficiently once shipped order reached me in a very reasonable amount of time
as purchase itself
despite costing significantly less than similar products specifically bully sticks from competitors do ones i ordered from petflow seem be of high quality are fairly consistent in shape size most importantly my dogs love them
i will definitely be repurchasing once i run out ive already recommended website a friend</v>
      </c>
      <c r="I1027" s="6">
        <f t="shared" si="2"/>
        <v>90</v>
      </c>
      <c r="J1027" s="6">
        <f>IFERROR(__xludf.DUMMYFUNCTION("IF(H1027="""","""",
SUM(
ARRAYFORMULA(
IF(
REGEXMATCH(
"" ""&amp;H1027&amp;"" "",
"" ""&amp;Sentiment_Words!A$2:A3730&amp;"" ""
),
1,
0
)
)
)
)"),1.0)</f>
        <v>1</v>
      </c>
      <c r="K1027" s="4">
        <f>IFERROR(__xludf.DUMMYFUNCTION("IF(H1027="""","""",
SUM(
ARRAYFORMULA(
IF(
REGEXMATCH(
"" ""&amp;H1027&amp;"" "",
"" ""&amp;Sentiment_Words!B$2:B3730&amp;"" ""
),
1,
0
)
)
)
)"),1.0)</f>
        <v>1</v>
      </c>
      <c r="L1027" s="7" t="str">
        <f t="shared" si="3"/>
        <v>Customer Support</v>
      </c>
      <c r="M1027" s="7" t="str">
        <f t="shared" si="4"/>
        <v>Neutral</v>
      </c>
      <c r="N1027" s="7" t="str">
        <f>IFERROR(__xludf.DUMMYFUNCTION("LOWER(
TRIM(
REGEXREPLACE(B1027,""[^a-zA-Z\s]"","""")
)
)
"),"gary")</f>
        <v>gary</v>
      </c>
      <c r="O1027" s="7">
        <f t="shared" si="5"/>
        <v>3</v>
      </c>
      <c r="P1027" s="8" t="str">
        <f t="shared" si="6"/>
        <v>Yes</v>
      </c>
    </row>
    <row r="1028">
      <c r="A1028" s="4" t="s">
        <v>16</v>
      </c>
      <c r="B1028" s="4" t="s">
        <v>2923</v>
      </c>
      <c r="C1028" s="5">
        <v>44919.0</v>
      </c>
      <c r="D1028" s="10">
        <v>44920.0</v>
      </c>
      <c r="E1028" s="4" t="s">
        <v>2924</v>
      </c>
      <c r="F1028" s="4" t="s">
        <v>2925</v>
      </c>
      <c r="G1028" s="6" t="str">
        <f>IFERROR(__xludf.DUMMYFUNCTION("REGEXREPLACE(LOWER(F1028),""[^a-z\s]"","""")"),"prices and selection were great shipping was fast and received emails regarding the status of order and shipping")</f>
        <v>prices and selection were great shipping was fast and received emails regarding the status of order and shipping</v>
      </c>
      <c r="H1028" s="4" t="str">
        <f t="shared" si="1"/>
        <v>prices selection were great shipping was fast received emails regarding status of order shipping</v>
      </c>
      <c r="I1028" s="6">
        <f t="shared" si="2"/>
        <v>14</v>
      </c>
      <c r="J1028" s="6">
        <f>IFERROR(__xludf.DUMMYFUNCTION("IF(H1028="""","""",
SUM(
ARRAYFORMULA(
IF(
REGEXMATCH(
"" ""&amp;H1028&amp;"" "",
"" ""&amp;Sentiment_Words!A$2:A3730&amp;"" ""
),
1,
0
)
)
)
)"),2.0)</f>
        <v>2</v>
      </c>
      <c r="K1028" s="4">
        <f>IFERROR(__xludf.DUMMYFUNCTION("IF(H1028="""","""",
SUM(
ARRAYFORMULA(
IF(
REGEXMATCH(
"" ""&amp;H1028&amp;"" "",
"" ""&amp;Sentiment_Words!B$2:B3730&amp;"" ""
),
1,
0
)
)
)
)"),0.0)</f>
        <v>0</v>
      </c>
      <c r="L1028" s="7" t="str">
        <f t="shared" si="3"/>
        <v>Other</v>
      </c>
      <c r="M1028" s="7" t="str">
        <f t="shared" si="4"/>
        <v>Positive</v>
      </c>
      <c r="N1028" s="7" t="str">
        <f>IFERROR(__xludf.DUMMYFUNCTION("LOWER(
TRIM(
REGEXREPLACE(B1028,""[^a-zA-Z\s]"","""")
)
)
"),"jenna")</f>
        <v>jenna</v>
      </c>
      <c r="O1028" s="7">
        <f t="shared" si="5"/>
        <v>1</v>
      </c>
      <c r="P1028" s="8" t="str">
        <f t="shared" si="6"/>
        <v>No</v>
      </c>
    </row>
    <row r="1029">
      <c r="A1029" s="4" t="s">
        <v>16</v>
      </c>
      <c r="B1029" s="4" t="s">
        <v>2926</v>
      </c>
      <c r="C1029" s="5">
        <v>44910.0</v>
      </c>
      <c r="D1029" s="10">
        <v>44920.0</v>
      </c>
      <c r="E1029" s="4" t="s">
        <v>2927</v>
      </c>
      <c r="F1029" s="4" t="s">
        <v>2928</v>
      </c>
      <c r="G1029" s="6" t="str">
        <f>IFERROR(__xludf.DUMMYFUNCTION("REGEXREPLACE(LOWER(F1029),""[^a-z\s]"","""")"),"the toy was so little the shampoo was expensive but worth it")</f>
        <v>the toy was so little the shampoo was expensive but worth it</v>
      </c>
      <c r="H1029" s="4" t="str">
        <f t="shared" si="1"/>
        <v>toy was so little shampoo was expensive but worth it</v>
      </c>
      <c r="I1029" s="6">
        <f t="shared" si="2"/>
        <v>10</v>
      </c>
      <c r="J1029" s="6">
        <f>IFERROR(__xludf.DUMMYFUNCTION("IF(H1029="""","""",
SUM(
ARRAYFORMULA(
IF(
REGEXMATCH(
"" ""&amp;H1029&amp;"" "",
"" ""&amp;Sentiment_Words!A$2:A3730&amp;"" ""
),
1,
0
)
)
)
)"),1.0)</f>
        <v>1</v>
      </c>
      <c r="K1029" s="4">
        <f>IFERROR(__xludf.DUMMYFUNCTION("IF(H1029="""","""",
SUM(
ARRAYFORMULA(
IF(
REGEXMATCH(
"" ""&amp;H1029&amp;"" "",
"" ""&amp;Sentiment_Words!B$2:B3730&amp;"" ""
),
1,
0
)
)
)
)"),0.0)</f>
        <v>0</v>
      </c>
      <c r="L1029" s="7" t="str">
        <f t="shared" si="3"/>
        <v>Other</v>
      </c>
      <c r="M1029" s="7" t="str">
        <f t="shared" si="4"/>
        <v>Positive</v>
      </c>
      <c r="N1029" s="7" t="str">
        <f>IFERROR(__xludf.DUMMYFUNCTION("LOWER(
TRIM(
REGEXREPLACE(B1029,""[^a-zA-Z\s]"","""")
)
)
"),"michael g")</f>
        <v>michael g</v>
      </c>
      <c r="O1029" s="7">
        <f t="shared" si="5"/>
        <v>2</v>
      </c>
      <c r="P1029" s="8" t="str">
        <f t="shared" si="6"/>
        <v>Yes</v>
      </c>
    </row>
    <row r="1030">
      <c r="A1030" s="4" t="s">
        <v>16</v>
      </c>
      <c r="B1030" s="4" t="s">
        <v>2929</v>
      </c>
      <c r="C1030" s="5">
        <v>44895.0</v>
      </c>
      <c r="D1030" s="10">
        <v>44919.0</v>
      </c>
      <c r="E1030" s="4" t="s">
        <v>2930</v>
      </c>
      <c r="F1030" s="4" t="s">
        <v>2931</v>
      </c>
      <c r="G1030" s="6" t="str">
        <f>IFERROR(__xludf.DUMMYFUNCTION("REGEXREPLACE(LOWER(F1030),""[^a-z\s]"","""")"),"my auto ship is easy and convenient and arrives quickly after it ships the food is always in stock so i never have to worry")</f>
        <v>my auto ship is easy and convenient and arrives quickly after it ships the food is always in stock so i never have to worry</v>
      </c>
      <c r="H1030" s="4" t="str">
        <f t="shared" si="1"/>
        <v>my auto ship easy convenient arrives quickly after it ships food always in stock so i never have worry</v>
      </c>
      <c r="I1030" s="6">
        <f t="shared" si="2"/>
        <v>19</v>
      </c>
      <c r="J1030" s="6">
        <f>IFERROR(__xludf.DUMMYFUNCTION("IF(H1030="""","""",
SUM(
ARRAYFORMULA(
IF(
REGEXMATCH(
"" ""&amp;H1030&amp;"" "",
"" ""&amp;Sentiment_Words!A$2:A3730&amp;"" ""
),
1,
0
)
)
)
)"),3.0)</f>
        <v>3</v>
      </c>
      <c r="K1030" s="4">
        <f>IFERROR(__xludf.DUMMYFUNCTION("IF(H1030="""","""",
SUM(
ARRAYFORMULA(
IF(
REGEXMATCH(
"" ""&amp;H1030&amp;"" "",
"" ""&amp;Sentiment_Words!B$2:B3730&amp;"" ""
),
1,
0
)
)
)
)"),0.0)</f>
        <v>0</v>
      </c>
      <c r="L1030" s="7" t="str">
        <f t="shared" si="3"/>
        <v>Value &amp; Convenience</v>
      </c>
      <c r="M1030" s="7" t="str">
        <f t="shared" si="4"/>
        <v>Positive</v>
      </c>
      <c r="N1030" s="7" t="str">
        <f>IFERROR(__xludf.DUMMYFUNCTION("LOWER(
TRIM(
REGEXREPLACE(B1030,""[^a-zA-Z\s]"","""")
)
)
"),"nlb")</f>
        <v>nlb</v>
      </c>
      <c r="O1030" s="7">
        <f t="shared" si="5"/>
        <v>1</v>
      </c>
      <c r="P1030" s="8" t="str">
        <f t="shared" si="6"/>
        <v>No</v>
      </c>
    </row>
    <row r="1031">
      <c r="A1031" s="4" t="s">
        <v>16</v>
      </c>
      <c r="B1031" s="4" t="s">
        <v>2932</v>
      </c>
      <c r="C1031" s="5">
        <v>44907.0</v>
      </c>
      <c r="D1031" s="10">
        <v>44919.0</v>
      </c>
      <c r="E1031" s="4" t="s">
        <v>2933</v>
      </c>
      <c r="F1031" s="4" t="s">
        <v>2934</v>
      </c>
      <c r="G1031" s="6" t="str">
        <f>IFERROR(__xludf.DUMMYFUNCTION("REGEXREPLACE(LOWER(F1031),""[^a-z\s]"","""")"),"i tried to change what we are receiving on the recurring order instead of changing the item it sent me an additional bag of dog food")</f>
        <v>i tried to change what we are receiving on the recurring order instead of changing the item it sent me an additional bag of dog food</v>
      </c>
      <c r="H1031" s="4" t="str">
        <f t="shared" si="1"/>
        <v>i tried change what we are receiving on recurring order instead of changing item it sent me an additional bag of dog food</v>
      </c>
      <c r="I1031" s="6">
        <f t="shared" si="2"/>
        <v>23</v>
      </c>
      <c r="J1031" s="6">
        <f>IFERROR(__xludf.DUMMYFUNCTION("IF(H1031="""","""",
SUM(
ARRAYFORMULA(
IF(
REGEXMATCH(
"" ""&amp;H1031&amp;"" "",
"" ""&amp;Sentiment_Words!A$2:A3730&amp;"" ""
),
1,
0
)
)
)
)"),0.0)</f>
        <v>0</v>
      </c>
      <c r="K1031" s="4">
        <f>IFERROR(__xludf.DUMMYFUNCTION("IF(H1031="""","""",
SUM(
ARRAYFORMULA(
IF(
REGEXMATCH(
"" ""&amp;H1031&amp;"" "",
"" ""&amp;Sentiment_Words!B$2:B3730&amp;"" ""
),
1,
0
)
)
)
)"),0.0)</f>
        <v>0</v>
      </c>
      <c r="L1031" s="7" t="str">
        <f t="shared" si="3"/>
        <v>Other</v>
      </c>
      <c r="M1031" s="7" t="str">
        <f t="shared" si="4"/>
        <v>Neutral</v>
      </c>
      <c r="N1031" s="7" t="str">
        <f>IFERROR(__xludf.DUMMYFUNCTION("LOWER(
TRIM(
REGEXREPLACE(B1031,""[^a-zA-Z\s]"","""")
)
)
"),"paul verzosa")</f>
        <v>paul verzosa</v>
      </c>
      <c r="O1031" s="7">
        <f t="shared" si="5"/>
        <v>1</v>
      </c>
      <c r="P1031" s="8" t="str">
        <f t="shared" si="6"/>
        <v>No</v>
      </c>
    </row>
    <row r="1032">
      <c r="A1032" s="4" t="s">
        <v>16</v>
      </c>
      <c r="B1032" s="4" t="s">
        <v>2935</v>
      </c>
      <c r="C1032" s="5">
        <v>44915.0</v>
      </c>
      <c r="D1032" s="10">
        <v>44919.0</v>
      </c>
      <c r="E1032" s="4" t="s">
        <v>2936</v>
      </c>
      <c r="F1032" s="4" t="s">
        <v>2937</v>
      </c>
      <c r="G1032" s="6" t="str">
        <f>IFERROR(__xludf.DUMMYFUNCTION("REGEXREPLACE(LOWER(F1032),""[^a-z\s]"","""")"),"great prices on the kong squeez ball")</f>
        <v>great prices on the kong squeez ball</v>
      </c>
      <c r="H1032" s="4" t="str">
        <f t="shared" si="1"/>
        <v>great prices on kong squeez ball</v>
      </c>
      <c r="I1032" s="6">
        <f t="shared" si="2"/>
        <v>6</v>
      </c>
      <c r="J1032" s="6">
        <f>IFERROR(__xludf.DUMMYFUNCTION("IF(H1032="""","""",
SUM(
ARRAYFORMULA(
IF(
REGEXMATCH(
"" ""&amp;H1032&amp;"" "",
"" ""&amp;Sentiment_Words!A$2:A3730&amp;"" ""
),
1,
0
)
)
)
)"),1.0)</f>
        <v>1</v>
      </c>
      <c r="K1032" s="4">
        <f>IFERROR(__xludf.DUMMYFUNCTION("IF(H1032="""","""",
SUM(
ARRAYFORMULA(
IF(
REGEXMATCH(
"" ""&amp;H1032&amp;"" "",
"" ""&amp;Sentiment_Words!B$2:B3730&amp;"" ""
),
1,
0
)
)
)
)"),0.0)</f>
        <v>0</v>
      </c>
      <c r="L1032" s="7" t="str">
        <f t="shared" si="3"/>
        <v>Other</v>
      </c>
      <c r="M1032" s="7" t="str">
        <f t="shared" si="4"/>
        <v>Positive</v>
      </c>
      <c r="N1032" s="7" t="str">
        <f>IFERROR(__xludf.DUMMYFUNCTION("LOWER(
TRIM(
REGEXREPLACE(B1032,""[^a-zA-Z\s]"","""")
)
)
"),"kathryn johnson")</f>
        <v>kathryn johnson</v>
      </c>
      <c r="O1032" s="7">
        <f t="shared" si="5"/>
        <v>1</v>
      </c>
      <c r="P1032" s="8" t="str">
        <f t="shared" si="6"/>
        <v>No</v>
      </c>
    </row>
    <row r="1033">
      <c r="A1033" s="4" t="s">
        <v>16</v>
      </c>
      <c r="B1033" s="4" t="s">
        <v>2938</v>
      </c>
      <c r="C1033" s="5">
        <v>44914.0</v>
      </c>
      <c r="D1033" s="10">
        <v>44918.0</v>
      </c>
      <c r="E1033" s="4" t="s">
        <v>2939</v>
      </c>
      <c r="F1033" s="4" t="s">
        <v>2940</v>
      </c>
      <c r="G1033" s="6" t="str">
        <f>IFERROR(__xludf.DUMMYFUNCTION("REGEXREPLACE(LOWER(F1033),""[^a-z\s]"","""")"),"beware pet flow can accuse you of theft cat food  value from them
absolutely terrible experience with my order number 
after receiving order confirmation from petflow
i was expect receiving the tracking number for shipment but when i login to my account t"&amp;"he order status was cancelled after i called customer service i was told my order blocked by fraud prevention department with no deeper explanations of reason why my paypal account and american express card make then suspect me as a cat food theft i will "&amp;"newer order here again")</f>
        <v>beware pet flow can accuse you of theft cat food  value from them
absolutely terrible experience with my order number 
after receiving order confirmation from petflow
i was expect receiving the tracking number for shipment but when i login to my account the order status was cancelled after i called customer service i was told my order blocked by fraud prevention department with no deeper explanations of reason why my paypal account and american express card make then suspect me as a cat food theft i will newer order here again</v>
      </c>
      <c r="H1033" s="4" t="str">
        <f t="shared" si="1"/>
        <v>beware pet flow can accuse you of theft cat food value from them
absolutely terrible experience with my order number 
after receiving order confirmation from petflow
i was expect receiving tracking number shipment but when i login my account order status was cancelled after i called customer service i was told my order blocked by fraud prevention department with no deeper explanations of reason why my paypal account american express card make then suspect me as a cat food theft i will newer order here again</v>
      </c>
      <c r="I1033" s="6">
        <f t="shared" si="2"/>
        <v>84</v>
      </c>
      <c r="J1033" s="6">
        <f>IFERROR(__xludf.DUMMYFUNCTION("IF(H1033="""","""",
SUM(
ARRAYFORMULA(
IF(
REGEXMATCH(
"" ""&amp;H1033&amp;"" "",
"" ""&amp;Sentiment_Words!A$2:A3730&amp;"" ""
),
1,
0
)
)
)
)"),1.0)</f>
        <v>1</v>
      </c>
      <c r="K1033" s="4">
        <f>IFERROR(__xludf.DUMMYFUNCTION("IF(H1033="""","""",
SUM(
ARRAYFORMULA(
IF(
REGEXMATCH(
"" ""&amp;H1033&amp;"" "",
"" ""&amp;Sentiment_Words!B$2:B3730&amp;"" ""
),
1,
0
)
)
)
)"),3.0)</f>
        <v>3</v>
      </c>
      <c r="L1033" s="7" t="str">
        <f t="shared" si="3"/>
        <v>Customer Support</v>
      </c>
      <c r="M1033" s="7" t="str">
        <f t="shared" si="4"/>
        <v>Negative</v>
      </c>
      <c r="N1033" s="7" t="str">
        <f>IFERROR(__xludf.DUMMYFUNCTION("LOWER(
TRIM(
REGEXREPLACE(B1033,""[^a-zA-Z\s]"","""")
)
)
"),"lh")</f>
        <v>lh</v>
      </c>
      <c r="O1033" s="7">
        <f t="shared" si="5"/>
        <v>1</v>
      </c>
      <c r="P1033" s="8" t="str">
        <f t="shared" si="6"/>
        <v>No</v>
      </c>
    </row>
    <row r="1034">
      <c r="A1034" s="4" t="s">
        <v>16</v>
      </c>
      <c r="B1034" s="4" t="s">
        <v>2941</v>
      </c>
      <c r="C1034" s="9">
        <v>44900.0</v>
      </c>
      <c r="D1034" s="10">
        <v>44918.0</v>
      </c>
      <c r="E1034" s="4" t="s">
        <v>2942</v>
      </c>
      <c r="F1034" s="4" t="s">
        <v>2943</v>
      </c>
      <c r="G1034" s="6" t="str">
        <f>IFERROR(__xludf.DUMMYFUNCTION("REGEXREPLACE(LOWER(F1034),""[^a-z\s]"","""")"),"good quality products cheaper prices fast shipping")</f>
        <v>good quality products cheaper prices fast shipping</v>
      </c>
      <c r="H1034" s="4" t="str">
        <f t="shared" si="1"/>
        <v>good quality products cheaper prices fast shipping</v>
      </c>
      <c r="I1034" s="6">
        <f t="shared" si="2"/>
        <v>7</v>
      </c>
      <c r="J1034" s="6">
        <f>IFERROR(__xludf.DUMMYFUNCTION("IF(H1034="""","""",
SUM(
ARRAYFORMULA(
IF(
REGEXMATCH(
"" ""&amp;H1034&amp;"" "",
"" ""&amp;Sentiment_Words!A$2:A3730&amp;"" ""
),
1,
0
)
)
)
)"),3.0)</f>
        <v>3</v>
      </c>
      <c r="K1034" s="4">
        <f>IFERROR(__xludf.DUMMYFUNCTION("IF(H1034="""","""",
SUM(
ARRAYFORMULA(
IF(
REGEXMATCH(
"" ""&amp;H1034&amp;"" "",
"" ""&amp;Sentiment_Words!B$2:B3730&amp;"" ""
),
1,
0
)
)
)
)"),0.0)</f>
        <v>0</v>
      </c>
      <c r="L1034" s="7" t="str">
        <f t="shared" si="3"/>
        <v>Value &amp; Convenience</v>
      </c>
      <c r="M1034" s="7" t="str">
        <f t="shared" si="4"/>
        <v>Positive</v>
      </c>
      <c r="N1034" s="7" t="str">
        <f>IFERROR(__xludf.DUMMYFUNCTION("LOWER(
TRIM(
REGEXREPLACE(B1034,""[^a-zA-Z\s]"","""")
)
)
"),"paul guevara")</f>
        <v>paul guevara</v>
      </c>
      <c r="O1034" s="7">
        <f t="shared" si="5"/>
        <v>1</v>
      </c>
      <c r="P1034" s="8" t="str">
        <f t="shared" si="6"/>
        <v>No</v>
      </c>
    </row>
    <row r="1035">
      <c r="A1035" s="4" t="s">
        <v>16</v>
      </c>
      <c r="B1035" s="4" t="s">
        <v>2944</v>
      </c>
      <c r="C1035" s="5">
        <v>44909.0</v>
      </c>
      <c r="D1035" s="10">
        <v>44917.0</v>
      </c>
      <c r="E1035" s="4" t="s">
        <v>2945</v>
      </c>
      <c r="F1035" s="4" t="s">
        <v>2946</v>
      </c>
      <c r="G1035" s="6" t="str">
        <f>IFERROR(__xludf.DUMMYFUNCTION("REGEXREPLACE(LOWER(F1035),""[^a-z\s]"","""")"),"ive struggled purchasing food for my fiv cat because her vet is under my partners name but im the one buying chewy specifically made my life hell thank you petflow i appreciate yall and im great full my kitty gets her special food now ")</f>
        <v>ive struggled purchasing food for my fiv cat because her vet is under my partners name but im the one buying chewy specifically made my life hell thank you petflow i appreciate yall and im great full my kitty gets her special food now </v>
      </c>
      <c r="H1035" s="4" t="str">
        <f t="shared" si="1"/>
        <v>ive struggled purchasing food my fiv cat because her vet under my partners name but im one buying chewy specifically made my life hell thank you petflow i appreciate yall im great full my kitty gets her special food now</v>
      </c>
      <c r="I1035" s="6">
        <f t="shared" si="2"/>
        <v>40</v>
      </c>
      <c r="J1035" s="6">
        <f>IFERROR(__xludf.DUMMYFUNCTION("IF(H1035="""","""",
SUM(
ARRAYFORMULA(
IF(
REGEXMATCH(
"" ""&amp;H1035&amp;"" "",
"" ""&amp;Sentiment_Words!A$2:A3730&amp;"" ""
),
1,
0
)
)
)
)"),1.0)</f>
        <v>1</v>
      </c>
      <c r="K1035" s="4">
        <f>IFERROR(__xludf.DUMMYFUNCTION("IF(H1035="""","""",
SUM(
ARRAYFORMULA(
IF(
REGEXMATCH(
"" ""&amp;H1035&amp;"" "",
"" ""&amp;Sentiment_Words!B$2:B3730&amp;"" ""
),
1,
0
)
)
)
)"),0.0)</f>
        <v>0</v>
      </c>
      <c r="L1035" s="7" t="str">
        <f t="shared" si="3"/>
        <v>Other</v>
      </c>
      <c r="M1035" s="7" t="str">
        <f t="shared" si="4"/>
        <v>Positive</v>
      </c>
      <c r="N1035" s="7" t="str">
        <f>IFERROR(__xludf.DUMMYFUNCTION("LOWER(
TRIM(
REGEXREPLACE(B1035,""[^a-zA-Z\s]"","""")
)
)
"),"kim m")</f>
        <v>kim m</v>
      </c>
      <c r="O1035" s="7">
        <f t="shared" si="5"/>
        <v>1</v>
      </c>
      <c r="P1035" s="8" t="str">
        <f t="shared" si="6"/>
        <v>No</v>
      </c>
    </row>
    <row r="1036">
      <c r="A1036" s="4" t="s">
        <v>16</v>
      </c>
      <c r="B1036" s="4" t="s">
        <v>2947</v>
      </c>
      <c r="C1036" s="5">
        <v>44907.0</v>
      </c>
      <c r="D1036" s="10">
        <v>44917.0</v>
      </c>
      <c r="E1036" s="4" t="s">
        <v>2948</v>
      </c>
      <c r="F1036" s="4" t="s">
        <v>2949</v>
      </c>
      <c r="G1036" s="6" t="str">
        <f>IFERROR(__xludf.DUMMYFUNCTION("REGEXREPLACE(LOWER(F1036),""[^a-z\s]"","""")"),"with the cost of this pet food increasing every year i decided to switch to petflow away from my usual supplier because of the discount making my dogs food more affordable really helped a lot im hoping this company continues to offer competitive pricing")</f>
        <v>with the cost of this pet food increasing every year i decided to switch to petflow away from my usual supplier because of the discount making my dogs food more affordable really helped a lot im hoping this company continues to offer competitive pricing</v>
      </c>
      <c r="H1036" s="4" t="str">
        <f t="shared" si="1"/>
        <v>with cost of this pet food increasing every year i decided switch petflow away from my usual supplier because of discount making my dogs food more affordable really helped a lot im hoping this company continues offer competitive pricing</v>
      </c>
      <c r="I1036" s="6">
        <f t="shared" si="2"/>
        <v>39</v>
      </c>
      <c r="J1036" s="6">
        <f>IFERROR(__xludf.DUMMYFUNCTION("IF(H1036="""","""",
SUM(
ARRAYFORMULA(
IF(
REGEXMATCH(
"" ""&amp;H1036&amp;"" "",
"" ""&amp;Sentiment_Words!A$2:A3730&amp;"" ""
),
1,
0
)
)
)
)"),1.0)</f>
        <v>1</v>
      </c>
      <c r="K1036" s="4">
        <f>IFERROR(__xludf.DUMMYFUNCTION("IF(H1036="""","""",
SUM(
ARRAYFORMULA(
IF(
REGEXMATCH(
"" ""&amp;H1036&amp;"" "",
"" ""&amp;Sentiment_Words!B$2:B3730&amp;"" ""
),
1,
0
)
)
)
)"),0.0)</f>
        <v>0</v>
      </c>
      <c r="L1036" s="7" t="str">
        <f t="shared" si="3"/>
        <v>Other</v>
      </c>
      <c r="M1036" s="7" t="str">
        <f t="shared" si="4"/>
        <v>Positive</v>
      </c>
      <c r="N1036" s="7" t="str">
        <f>IFERROR(__xludf.DUMMYFUNCTION("LOWER(
TRIM(
REGEXREPLACE(B1036,""[^a-zA-Z\s]"","""")
)
)
"),"viviana k")</f>
        <v>viviana k</v>
      </c>
      <c r="O1036" s="7">
        <f t="shared" si="5"/>
        <v>1</v>
      </c>
      <c r="P1036" s="8" t="str">
        <f t="shared" si="6"/>
        <v>No</v>
      </c>
    </row>
    <row r="1037">
      <c r="A1037" s="4" t="s">
        <v>16</v>
      </c>
      <c r="B1037" s="4" t="s">
        <v>2950</v>
      </c>
      <c r="C1037" s="9">
        <v>44896.0</v>
      </c>
      <c r="D1037" s="10">
        <v>44916.0</v>
      </c>
      <c r="E1037" s="4" t="s">
        <v>2951</v>
      </c>
      <c r="F1037" s="4" t="s">
        <v>2952</v>
      </c>
      <c r="G1037" s="6" t="str">
        <f>IFERROR(__xludf.DUMMYFUNCTION("REGEXREPLACE(LOWER(F1037),""[^a-z\s]"","""")"),"i always get my dogs food on time")</f>
        <v>i always get my dogs food on time</v>
      </c>
      <c r="H1037" s="4" t="str">
        <f t="shared" si="1"/>
        <v>i always get my dogs food on time</v>
      </c>
      <c r="I1037" s="6">
        <f t="shared" si="2"/>
        <v>8</v>
      </c>
      <c r="J1037" s="6">
        <f>IFERROR(__xludf.DUMMYFUNCTION("IF(H1037="""","""",
SUM(
ARRAYFORMULA(
IF(
REGEXMATCH(
"" ""&amp;H1037&amp;"" "",
"" ""&amp;Sentiment_Words!A$2:A3730&amp;"" ""
),
1,
0
)
)
)
)"),1.0)</f>
        <v>1</v>
      </c>
      <c r="K1037" s="4">
        <f>IFERROR(__xludf.DUMMYFUNCTION("IF(H1037="""","""",
SUM(
ARRAYFORMULA(
IF(
REGEXMATCH(
"" ""&amp;H1037&amp;"" "",
"" ""&amp;Sentiment_Words!B$2:B3730&amp;"" ""
),
1,
0
)
)
)
)"),0.0)</f>
        <v>0</v>
      </c>
      <c r="L1037" s="7" t="str">
        <f t="shared" si="3"/>
        <v>Other</v>
      </c>
      <c r="M1037" s="7" t="str">
        <f t="shared" si="4"/>
        <v>Positive</v>
      </c>
      <c r="N1037" s="7" t="str">
        <f>IFERROR(__xludf.DUMMYFUNCTION("LOWER(
TRIM(
REGEXREPLACE(B1037,""[^a-zA-Z\s]"","""")
)
)
"),"brad galusha")</f>
        <v>brad galusha</v>
      </c>
      <c r="O1037" s="7">
        <f t="shared" si="5"/>
        <v>1</v>
      </c>
      <c r="P1037" s="8" t="str">
        <f t="shared" si="6"/>
        <v>No</v>
      </c>
    </row>
    <row r="1038">
      <c r="A1038" s="4" t="s">
        <v>16</v>
      </c>
      <c r="B1038" s="4" t="s">
        <v>2953</v>
      </c>
      <c r="C1038" s="5">
        <v>44914.0</v>
      </c>
      <c r="D1038" s="10">
        <v>44916.0</v>
      </c>
      <c r="E1038" s="4" t="s">
        <v>2954</v>
      </c>
      <c r="F1038" s="4" t="s">
        <v>331</v>
      </c>
      <c r="G1038" s="6" t="str">
        <f>IFERROR(__xludf.DUMMYFUNCTION("REGEXREPLACE(LOWER(F1038),""[^a-z\s]"","""")"),"none")</f>
        <v>none</v>
      </c>
      <c r="H1038" s="4" t="str">
        <f t="shared" si="1"/>
        <v>none</v>
      </c>
      <c r="I1038" s="6">
        <f t="shared" si="2"/>
        <v>1</v>
      </c>
      <c r="J1038" s="6">
        <f>IFERROR(__xludf.DUMMYFUNCTION("IF(H1038="""","""",
SUM(
ARRAYFORMULA(
IF(
REGEXMATCH(
"" ""&amp;H1038&amp;"" "",
"" ""&amp;Sentiment_Words!A$2:A3730&amp;"" ""
),
1,
0
)
)
)
)"),0.0)</f>
        <v>0</v>
      </c>
      <c r="K1038" s="4">
        <f>IFERROR(__xludf.DUMMYFUNCTION("IF(H1038="""","""",
SUM(
ARRAYFORMULA(
IF(
REGEXMATCH(
"" ""&amp;H1038&amp;"" "",
"" ""&amp;Sentiment_Words!B$2:B3730&amp;"" ""
),
1,
0
)
)
)
)"),0.0)</f>
        <v>0</v>
      </c>
      <c r="L1038" s="7" t="str">
        <f t="shared" si="3"/>
        <v>Other</v>
      </c>
      <c r="M1038" s="7" t="str">
        <f t="shared" si="4"/>
        <v>Neutral</v>
      </c>
      <c r="N1038" s="7" t="str">
        <f>IFERROR(__xludf.DUMMYFUNCTION("LOWER(
TRIM(
REGEXREPLACE(B1038,""[^a-zA-Z\s]"","""")
)
)
"),"theresa van vels")</f>
        <v>theresa van vels</v>
      </c>
      <c r="O1038" s="7">
        <f t="shared" si="5"/>
        <v>1</v>
      </c>
      <c r="P1038" s="8" t="str">
        <f t="shared" si="6"/>
        <v>No</v>
      </c>
    </row>
    <row r="1039">
      <c r="A1039" s="4" t="s">
        <v>16</v>
      </c>
      <c r="B1039" s="4" t="s">
        <v>2955</v>
      </c>
      <c r="C1039" s="5">
        <v>44914.0</v>
      </c>
      <c r="D1039" s="10">
        <v>44915.0</v>
      </c>
      <c r="E1039" s="4" t="s">
        <v>2956</v>
      </c>
      <c r="F1039" s="4" t="s">
        <v>331</v>
      </c>
      <c r="G1039" s="6" t="str">
        <f>IFERROR(__xludf.DUMMYFUNCTION("REGEXREPLACE(LOWER(F1039),""[^a-z\s]"","""")"),"none")</f>
        <v>none</v>
      </c>
      <c r="H1039" s="4" t="str">
        <f t="shared" si="1"/>
        <v>none</v>
      </c>
      <c r="I1039" s="6">
        <f t="shared" si="2"/>
        <v>1</v>
      </c>
      <c r="J1039" s="6">
        <f>IFERROR(__xludf.DUMMYFUNCTION("IF(H1039="""","""",
SUM(
ARRAYFORMULA(
IF(
REGEXMATCH(
"" ""&amp;H1039&amp;"" "",
"" ""&amp;Sentiment_Words!A$2:A3730&amp;"" ""
),
1,
0
)
)
)
)"),0.0)</f>
        <v>0</v>
      </c>
      <c r="K1039" s="4">
        <f>IFERROR(__xludf.DUMMYFUNCTION("IF(H1039="""","""",
SUM(
ARRAYFORMULA(
IF(
REGEXMATCH(
"" ""&amp;H1039&amp;"" "",
"" ""&amp;Sentiment_Words!B$2:B3730&amp;"" ""
),
1,
0
)
)
)
)"),0.0)</f>
        <v>0</v>
      </c>
      <c r="L1039" s="7" t="str">
        <f t="shared" si="3"/>
        <v>Other</v>
      </c>
      <c r="M1039" s="7" t="str">
        <f t="shared" si="4"/>
        <v>Neutral</v>
      </c>
      <c r="N1039" s="7" t="str">
        <f>IFERROR(__xludf.DUMMYFUNCTION("LOWER(
TRIM(
REGEXREPLACE(B1039,""[^a-zA-Z\s]"","""")
)
)
"),"nick")</f>
        <v>nick</v>
      </c>
      <c r="O1039" s="7">
        <f t="shared" si="5"/>
        <v>2</v>
      </c>
      <c r="P1039" s="8" t="str">
        <f t="shared" si="6"/>
        <v>Yes</v>
      </c>
    </row>
    <row r="1040">
      <c r="A1040" s="4" t="s">
        <v>16</v>
      </c>
      <c r="B1040" s="4" t="s">
        <v>2957</v>
      </c>
      <c r="C1040" s="5">
        <v>44914.0</v>
      </c>
      <c r="D1040" s="10">
        <v>44915.0</v>
      </c>
      <c r="E1040" s="4" t="s">
        <v>2958</v>
      </c>
      <c r="F1040" s="4" t="s">
        <v>331</v>
      </c>
      <c r="G1040" s="6" t="str">
        <f>IFERROR(__xludf.DUMMYFUNCTION("REGEXREPLACE(LOWER(F1040),""[^a-z\s]"","""")"),"none")</f>
        <v>none</v>
      </c>
      <c r="H1040" s="4" t="str">
        <f t="shared" si="1"/>
        <v>none</v>
      </c>
      <c r="I1040" s="6">
        <f t="shared" si="2"/>
        <v>1</v>
      </c>
      <c r="J1040" s="6">
        <f>IFERROR(__xludf.DUMMYFUNCTION("IF(H1040="""","""",
SUM(
ARRAYFORMULA(
IF(
REGEXMATCH(
"" ""&amp;H1040&amp;"" "",
"" ""&amp;Sentiment_Words!A$2:A3730&amp;"" ""
),
1,
0
)
)
)
)"),0.0)</f>
        <v>0</v>
      </c>
      <c r="K1040" s="4">
        <f>IFERROR(__xludf.DUMMYFUNCTION("IF(H1040="""","""",
SUM(
ARRAYFORMULA(
IF(
REGEXMATCH(
"" ""&amp;H1040&amp;"" "",
"" ""&amp;Sentiment_Words!B$2:B3730&amp;"" ""
),
1,
0
)
)
)
)"),0.0)</f>
        <v>0</v>
      </c>
      <c r="L1040" s="7" t="str">
        <f t="shared" si="3"/>
        <v>Other</v>
      </c>
      <c r="M1040" s="7" t="str">
        <f t="shared" si="4"/>
        <v>Neutral</v>
      </c>
      <c r="N1040" s="7" t="str">
        <f>IFERROR(__xludf.DUMMYFUNCTION("LOWER(
TRIM(
REGEXREPLACE(B1040,""[^a-zA-Z\s]"","""")
)
)
"),"tiffany")</f>
        <v>tiffany</v>
      </c>
      <c r="O1040" s="7">
        <f t="shared" si="5"/>
        <v>1</v>
      </c>
      <c r="P1040" s="8" t="str">
        <f t="shared" si="6"/>
        <v>No</v>
      </c>
    </row>
    <row r="1041">
      <c r="A1041" s="4" t="s">
        <v>16</v>
      </c>
      <c r="B1041" s="4" t="s">
        <v>2959</v>
      </c>
      <c r="C1041" s="5">
        <v>44911.0</v>
      </c>
      <c r="D1041" s="10">
        <v>44915.0</v>
      </c>
      <c r="E1041" s="4" t="s">
        <v>1774</v>
      </c>
      <c r="F1041" s="4" t="s">
        <v>331</v>
      </c>
      <c r="G1041" s="6" t="str">
        <f>IFERROR(__xludf.DUMMYFUNCTION("REGEXREPLACE(LOWER(F1041),""[^a-z\s]"","""")"),"none")</f>
        <v>none</v>
      </c>
      <c r="H1041" s="4" t="str">
        <f t="shared" si="1"/>
        <v>none</v>
      </c>
      <c r="I1041" s="6">
        <f t="shared" si="2"/>
        <v>1</v>
      </c>
      <c r="J1041" s="6">
        <f>IFERROR(__xludf.DUMMYFUNCTION("IF(H1041="""","""",
SUM(
ARRAYFORMULA(
IF(
REGEXMATCH(
"" ""&amp;H1041&amp;"" "",
"" ""&amp;Sentiment_Words!A$2:A3730&amp;"" ""
),
1,
0
)
)
)
)"),0.0)</f>
        <v>0</v>
      </c>
      <c r="K1041" s="4">
        <f>IFERROR(__xludf.DUMMYFUNCTION("IF(H1041="""","""",
SUM(
ARRAYFORMULA(
IF(
REGEXMATCH(
"" ""&amp;H1041&amp;"" "",
"" ""&amp;Sentiment_Words!B$2:B3730&amp;"" ""
),
1,
0
)
)
)
)"),0.0)</f>
        <v>0</v>
      </c>
      <c r="L1041" s="7" t="str">
        <f t="shared" si="3"/>
        <v>Other</v>
      </c>
      <c r="M1041" s="7" t="str">
        <f t="shared" si="4"/>
        <v>Neutral</v>
      </c>
      <c r="N1041" s="7" t="str">
        <f>IFERROR(__xludf.DUMMYFUNCTION("LOWER(
TRIM(
REGEXREPLACE(B1041,""[^a-zA-Z\s]"","""")
)
)
"),"laura cyphers")</f>
        <v>laura cyphers</v>
      </c>
      <c r="O1041" s="7">
        <f t="shared" si="5"/>
        <v>1</v>
      </c>
      <c r="P1041" s="8" t="str">
        <f t="shared" si="6"/>
        <v>No</v>
      </c>
    </row>
    <row r="1042">
      <c r="A1042" s="4" t="s">
        <v>16</v>
      </c>
      <c r="B1042" s="4" t="s">
        <v>2960</v>
      </c>
      <c r="C1042" s="9">
        <v>44902.0</v>
      </c>
      <c r="D1042" s="10">
        <v>44915.0</v>
      </c>
      <c r="E1042" s="4" t="s">
        <v>2961</v>
      </c>
      <c r="F1042" s="4" t="s">
        <v>2962</v>
      </c>
      <c r="G1042" s="6" t="str">
        <f>IFERROR(__xludf.DUMMYFUNCTION("REGEXREPLACE(LOWER(F1042),""[^a-z\s]"","""")"),"i have had a good relationship w petflow up until my last text message was ignored natural balance canned dog food was discontinued supposedly due to supply issues i researched other foods  decided on nutrisource which petflow carries i ordered  cases con"&amp;"firmation email  delivery date to follow after a couple days i sent a text asking for that info no response i did eventually receive the dog food in four deliveries")</f>
        <v>i have had a good relationship w petflow up until my last text message was ignored natural balance canned dog food was discontinued supposedly due to supply issues i researched other foods  decided on nutrisource which petflow carries i ordered  cases confirmation email  delivery date to follow after a couple days i sent a text asking for that info no response i did eventually receive the dog food in four deliveries</v>
      </c>
      <c r="H1042" s="4" t="str">
        <f t="shared" si="1"/>
        <v>i have had a good relationship w petflow up until my last text message was ignored natural balance canned dog food was discontinued supposedly due supply issues i researched other foods decided on nutrisource which petflow carries i ordered cases confirmation email delivery date follow after a couple days i sent a text asking that info no response i did eventually receive dog food in four deliveries</v>
      </c>
      <c r="I1042" s="6">
        <f t="shared" si="2"/>
        <v>67</v>
      </c>
      <c r="J1042" s="6">
        <f>IFERROR(__xludf.DUMMYFUNCTION("IF(H1042="""","""",
SUM(
ARRAYFORMULA(
IF(
REGEXMATCH(
"" ""&amp;H1042&amp;"" "",
"" ""&amp;Sentiment_Words!A$2:A3730&amp;"" ""
),
1,
0
)
)
)
)"),1.0)</f>
        <v>1</v>
      </c>
      <c r="K1042" s="4">
        <f>IFERROR(__xludf.DUMMYFUNCTION("IF(H1042="""","""",
SUM(
ARRAYFORMULA(
IF(
REGEXMATCH(
"" ""&amp;H1042&amp;"" "",
"" ""&amp;Sentiment_Words!B$2:B3730&amp;"" ""
),
1,
0
)
)
)
)"),2.0)</f>
        <v>2</v>
      </c>
      <c r="L1042" s="7" t="str">
        <f t="shared" si="3"/>
        <v>Customer Support</v>
      </c>
      <c r="M1042" s="7" t="str">
        <f t="shared" si="4"/>
        <v>Negative</v>
      </c>
      <c r="N1042" s="7" t="str">
        <f>IFERROR(__xludf.DUMMYFUNCTION("LOWER(
TRIM(
REGEXREPLACE(B1042,""[^a-zA-Z\s]"","""")
)
)
"),"jana anderson")</f>
        <v>jana anderson</v>
      </c>
      <c r="O1042" s="7">
        <f t="shared" si="5"/>
        <v>1</v>
      </c>
      <c r="P1042" s="8" t="str">
        <f t="shared" si="6"/>
        <v>No</v>
      </c>
    </row>
    <row r="1043">
      <c r="A1043" s="4" t="s">
        <v>16</v>
      </c>
      <c r="B1043" s="4" t="s">
        <v>2963</v>
      </c>
      <c r="C1043" s="5">
        <v>44914.0</v>
      </c>
      <c r="D1043" s="10">
        <v>44914.0</v>
      </c>
      <c r="E1043" s="4" t="s">
        <v>190</v>
      </c>
      <c r="F1043" s="4" t="s">
        <v>2964</v>
      </c>
      <c r="G1043" s="6" t="str">
        <f>IFERROR(__xludf.DUMMYFUNCTION("REGEXREPLACE(LOWER(F1043),""[^a-z\s]"","""")"),"great customer service quick shipping")</f>
        <v>great customer service quick shipping</v>
      </c>
      <c r="H1043" s="4" t="str">
        <f t="shared" si="1"/>
        <v>great customer service quick shipping</v>
      </c>
      <c r="I1043" s="6">
        <f t="shared" si="2"/>
        <v>5</v>
      </c>
      <c r="J1043" s="6">
        <f>IFERROR(__xludf.DUMMYFUNCTION("IF(H1043="""","""",
SUM(
ARRAYFORMULA(
IF(
REGEXMATCH(
"" ""&amp;H1043&amp;"" "",
"" ""&amp;Sentiment_Words!A$2:A3730&amp;"" ""
),
1,
0
)
)
)
)"),2.0)</f>
        <v>2</v>
      </c>
      <c r="K1043" s="4">
        <f>IFERROR(__xludf.DUMMYFUNCTION("IF(H1043="""","""",
SUM(
ARRAYFORMULA(
IF(
REGEXMATCH(
"" ""&amp;H1043&amp;"" "",
"" ""&amp;Sentiment_Words!B$2:B3730&amp;"" ""
),
1,
0
)
)
)
)"),1.0)</f>
        <v>1</v>
      </c>
      <c r="L1043" s="7" t="str">
        <f t="shared" si="3"/>
        <v>Customer Support</v>
      </c>
      <c r="M1043" s="7" t="str">
        <f t="shared" si="4"/>
        <v>Positive</v>
      </c>
      <c r="N1043" s="7" t="str">
        <f>IFERROR(__xludf.DUMMYFUNCTION("LOWER(
TRIM(
REGEXREPLACE(B1043,""[^a-zA-Z\s]"","""")
)
)
"),"linda b")</f>
        <v>linda b</v>
      </c>
      <c r="O1043" s="7">
        <f t="shared" si="5"/>
        <v>1</v>
      </c>
      <c r="P1043" s="8" t="str">
        <f t="shared" si="6"/>
        <v>No</v>
      </c>
    </row>
    <row r="1044">
      <c r="A1044" s="4" t="s">
        <v>16</v>
      </c>
      <c r="B1044" s="4" t="s">
        <v>2965</v>
      </c>
      <c r="C1044" s="9">
        <v>44900.0</v>
      </c>
      <c r="D1044" s="10">
        <v>44914.0</v>
      </c>
      <c r="E1044" s="4" t="s">
        <v>2966</v>
      </c>
      <c r="F1044" s="4" t="s">
        <v>2967</v>
      </c>
      <c r="G1044" s="6" t="str">
        <f>IFERROR(__xludf.DUMMYFUNCTION("REGEXREPLACE(LOWER(F1044),""[^a-z\s]"","""")"),"great quality and shipping was very fast definitely will be ordering from them again")</f>
        <v>great quality and shipping was very fast definitely will be ordering from them again</v>
      </c>
      <c r="H1044" s="4" t="str">
        <f t="shared" si="1"/>
        <v>great quality shipping was very fast definitely will be ordering from them again</v>
      </c>
      <c r="I1044" s="6">
        <f t="shared" si="2"/>
        <v>13</v>
      </c>
      <c r="J1044" s="6">
        <f>IFERROR(__xludf.DUMMYFUNCTION("IF(H1044="""","""",
SUM(
ARRAYFORMULA(
IF(
REGEXMATCH(
"" ""&amp;H1044&amp;"" "",
"" ""&amp;Sentiment_Words!A$2:A3730&amp;"" ""
),
1,
0
)
)
)
)"),2.0)</f>
        <v>2</v>
      </c>
      <c r="K1044" s="4">
        <f>IFERROR(__xludf.DUMMYFUNCTION("IF(H1044="""","""",
SUM(
ARRAYFORMULA(
IF(
REGEXMATCH(
"" ""&amp;H1044&amp;"" "",
"" ""&amp;Sentiment_Words!B$2:B3730&amp;"" ""
),
1,
0
)
)
)
)"),0.0)</f>
        <v>0</v>
      </c>
      <c r="L1044" s="7" t="str">
        <f t="shared" si="3"/>
        <v>Other</v>
      </c>
      <c r="M1044" s="7" t="str">
        <f t="shared" si="4"/>
        <v>Positive</v>
      </c>
      <c r="N1044" s="7" t="str">
        <f>IFERROR(__xludf.DUMMYFUNCTION("LOWER(
TRIM(
REGEXREPLACE(B1044,""[^a-zA-Z\s]"","""")
)
)
"),"josephine vollkommer")</f>
        <v>josephine vollkommer</v>
      </c>
      <c r="O1044" s="7">
        <f t="shared" si="5"/>
        <v>1</v>
      </c>
      <c r="P1044" s="8" t="str">
        <f t="shared" si="6"/>
        <v>No</v>
      </c>
    </row>
    <row r="1045">
      <c r="A1045" s="4" t="s">
        <v>16</v>
      </c>
      <c r="B1045" s="4" t="s">
        <v>2968</v>
      </c>
      <c r="C1045" s="5">
        <v>44905.0</v>
      </c>
      <c r="D1045" s="10">
        <v>44914.0</v>
      </c>
      <c r="E1045" s="4" t="s">
        <v>2969</v>
      </c>
      <c r="F1045" s="4" t="s">
        <v>2970</v>
      </c>
      <c r="G1045" s="6" t="str">
        <f>IFERROR(__xludf.DUMMYFUNCTION("REGEXREPLACE(LOWER(F1045),""[^a-z\s]"","""")"),"liked that ordering is easy i did not like how very long it took to receive the order")</f>
        <v>liked that ordering is easy i did not like how very long it took to receive the order</v>
      </c>
      <c r="H1045" s="4" t="str">
        <f t="shared" si="1"/>
        <v>liked that ordering easy i did not like how very long it took receive order</v>
      </c>
      <c r="I1045" s="6">
        <f t="shared" si="2"/>
        <v>15</v>
      </c>
      <c r="J1045" s="6">
        <f>IFERROR(__xludf.DUMMYFUNCTION("IF(H1045="""","""",
SUM(
ARRAYFORMULA(
IF(
REGEXMATCH(
"" ""&amp;H1045&amp;"" "",
"" ""&amp;Sentiment_Words!A$2:A3730&amp;"" ""
),
1,
0
)
)
)
)"),1.0)</f>
        <v>1</v>
      </c>
      <c r="K1045" s="4">
        <f>IFERROR(__xludf.DUMMYFUNCTION("IF(H1045="""","""",
SUM(
ARRAYFORMULA(
IF(
REGEXMATCH(
"" ""&amp;H1045&amp;"" "",
"" ""&amp;Sentiment_Words!B$2:B3730&amp;"" ""
),
1,
0
)
)
)
)"),0.0)</f>
        <v>0</v>
      </c>
      <c r="L1045" s="7" t="str">
        <f t="shared" si="3"/>
        <v>Other</v>
      </c>
      <c r="M1045" s="7" t="str">
        <f t="shared" si="4"/>
        <v>Positive</v>
      </c>
      <c r="N1045" s="7" t="str">
        <f>IFERROR(__xludf.DUMMYFUNCTION("LOWER(
TRIM(
REGEXREPLACE(B1045,""[^a-zA-Z\s]"","""")
)
)
"),"john toto")</f>
        <v>john toto</v>
      </c>
      <c r="O1045" s="7">
        <f t="shared" si="5"/>
        <v>1</v>
      </c>
      <c r="P1045" s="8" t="str">
        <f t="shared" si="6"/>
        <v>No</v>
      </c>
    </row>
    <row r="1046">
      <c r="A1046" s="4" t="s">
        <v>16</v>
      </c>
      <c r="B1046" s="4" t="s">
        <v>2971</v>
      </c>
      <c r="C1046" s="5">
        <v>44909.0</v>
      </c>
      <c r="D1046" s="10">
        <v>44914.0</v>
      </c>
      <c r="E1046" s="4" t="s">
        <v>2972</v>
      </c>
      <c r="F1046" s="4" t="s">
        <v>2973</v>
      </c>
      <c r="G1046" s="6" t="str">
        <f>IFERROR(__xludf.DUMMYFUNCTION("REGEXREPLACE(LOWER(F1046),""[^a-z\s]"","""")"),"my order never arrived i called your company and the person i spoke to was incredibly unprofessional sounding i asked why my order hasnt shown up and he said it was canceled by their fraud department i asked why or what triggered this and was told he coul"&amp;"dnt tell me why then i asked if i could still order from this company because of them thinking my order was fraudulent the guy responded i dont know can you i was shocked by this unprofessional customer service this review asks for the date of the inciden"&amp;"t but i dont recall when i called but it was earlier this month in december i placed my order on december  and never received a confirmation email but i did take a screenshot of my confirmed order ill never order here again")</f>
        <v>my order never arrived i called your company and the person i spoke to was incredibly unprofessional sounding i asked why my order hasnt shown up and he said it was canceled by their fraud department i asked why or what triggered this and was told he couldnt tell me why then i asked if i could still order from this company because of them thinking my order was fraudulent the guy responded i dont know can you i was shocked by this unprofessional customer service this review asks for the date of the incident but i dont recall when i called but it was earlier this month in december i placed my order on december  and never received a confirmation email but i did take a screenshot of my confirmed order ill never order here again</v>
      </c>
      <c r="H1046" s="4" t="str">
        <f t="shared" si="1"/>
        <v>my order never arrived i called your company person i spoke was incredibly unprofessional sounding i asked why my order hasnt shown up he said it was canceled by their fraud department i asked why or what triggered this was told he couldnt tell me why then i asked if i could still order from this company because of them thinking my order was fraudulent guy responded i dont know can you i was shocked by this unprofessional customer service this review asks date of incident but i dont recall when i called but it was earlier this month in december i placed my order on december never received a confirmation email but i did take a screenshot of my confirmed order ill never order here again</v>
      </c>
      <c r="I1046" s="6">
        <f t="shared" si="2"/>
        <v>127</v>
      </c>
      <c r="J1046" s="6">
        <f>IFERROR(__xludf.DUMMYFUNCTION("IF(H1046="""","""",
SUM(
ARRAYFORMULA(
IF(
REGEXMATCH(
"" ""&amp;H1046&amp;"" "",
"" ""&amp;Sentiment_Words!A$2:A3730&amp;"" ""
),
1,
0
)
)
)
)"),0.0)</f>
        <v>0</v>
      </c>
      <c r="K1046" s="4">
        <f>IFERROR(__xludf.DUMMYFUNCTION("IF(H1046="""","""",
SUM(
ARRAYFORMULA(
IF(
REGEXMATCH(
"" ""&amp;H1046&amp;"" "",
"" ""&amp;Sentiment_Words!B$2:B3730&amp;"" ""
),
1,
0
)
)
)
)"),1.0)</f>
        <v>1</v>
      </c>
      <c r="L1046" s="7" t="str">
        <f t="shared" si="3"/>
        <v>Customer Support</v>
      </c>
      <c r="M1046" s="7" t="str">
        <f t="shared" si="4"/>
        <v>Negative</v>
      </c>
      <c r="N1046" s="7" t="str">
        <f>IFERROR(__xludf.DUMMYFUNCTION("LOWER(
TRIM(
REGEXREPLACE(B1046,""[^a-zA-Z\s]"","""")
)
)
"),"stephanie carpenter")</f>
        <v>stephanie carpenter</v>
      </c>
      <c r="O1046" s="7">
        <f t="shared" si="5"/>
        <v>1</v>
      </c>
      <c r="P1046" s="8" t="str">
        <f t="shared" si="6"/>
        <v>No</v>
      </c>
    </row>
    <row r="1047">
      <c r="A1047" s="4" t="s">
        <v>16</v>
      </c>
      <c r="B1047" s="4" t="s">
        <v>2974</v>
      </c>
      <c r="C1047" s="9">
        <v>44904.0</v>
      </c>
      <c r="D1047" s="10">
        <v>44914.0</v>
      </c>
      <c r="E1047" s="4" t="s">
        <v>2975</v>
      </c>
      <c r="F1047" s="4" t="s">
        <v>2976</v>
      </c>
      <c r="G1047" s="6" t="str">
        <f>IFERROR(__xludf.DUMMYFUNCTION("REGEXREPLACE(LOWER(F1047),""[^a-z\s]"","""")"),"you were the only company that had the product i needed for my special needs cat")</f>
        <v>you were the only company that had the product i needed for my special needs cat</v>
      </c>
      <c r="H1047" s="4" t="str">
        <f t="shared" si="1"/>
        <v>you were only company that had product i needed my special needs cat</v>
      </c>
      <c r="I1047" s="6">
        <f t="shared" si="2"/>
        <v>13</v>
      </c>
      <c r="J1047" s="6">
        <f>IFERROR(__xludf.DUMMYFUNCTION("IF(H1047="""","""",
SUM(
ARRAYFORMULA(
IF(
REGEXMATCH(
"" ""&amp;H1047&amp;"" "",
"" ""&amp;Sentiment_Words!A$2:A3730&amp;"" ""
),
1,
0
)
)
)
)"),0.0)</f>
        <v>0</v>
      </c>
      <c r="K1047" s="4">
        <f>IFERROR(__xludf.DUMMYFUNCTION("IF(H1047="""","""",
SUM(
ARRAYFORMULA(
IF(
REGEXMATCH(
"" ""&amp;H1047&amp;"" "",
"" ""&amp;Sentiment_Words!B$2:B3730&amp;"" ""
),
1,
0
)
)
)
)"),0.0)</f>
        <v>0</v>
      </c>
      <c r="L1047" s="7" t="str">
        <f t="shared" si="3"/>
        <v>Other</v>
      </c>
      <c r="M1047" s="7" t="str">
        <f t="shared" si="4"/>
        <v>Neutral</v>
      </c>
      <c r="N1047" s="7" t="str">
        <f>IFERROR(__xludf.DUMMYFUNCTION("LOWER(
TRIM(
REGEXREPLACE(B1047,""[^a-zA-Z\s]"","""")
)
)
"),"maria")</f>
        <v>maria</v>
      </c>
      <c r="O1047" s="7">
        <f t="shared" si="5"/>
        <v>4</v>
      </c>
      <c r="P1047" s="8" t="str">
        <f t="shared" si="6"/>
        <v>Yes</v>
      </c>
    </row>
    <row r="1048">
      <c r="A1048" s="4" t="s">
        <v>16</v>
      </c>
      <c r="B1048" s="4" t="s">
        <v>2977</v>
      </c>
      <c r="C1048" s="9">
        <v>44904.0</v>
      </c>
      <c r="D1048" s="4" t="s">
        <v>2978</v>
      </c>
      <c r="E1048" s="4" t="s">
        <v>2979</v>
      </c>
      <c r="F1048" s="4" t="s">
        <v>2980</v>
      </c>
      <c r="G1048" s="6" t="str">
        <f>IFERROR(__xludf.DUMMYFUNCTION("REGEXREPLACE(LOWER(F1048),""[^a-z\s]"","""")"),"first customer service rep wasnt nearly has helpful as the second one i talked with the third person was reassuring now the wait for the refund ")</f>
        <v>first customer service rep wasnt nearly has helpful as the second one i talked with the third person was reassuring now the wait for the refund </v>
      </c>
      <c r="H1048" s="4" t="str">
        <f t="shared" si="1"/>
        <v>first customer service rep wasnt nearly has helpful as second one i talked with third person was reassuring now wait refund</v>
      </c>
      <c r="I1048" s="6">
        <f t="shared" si="2"/>
        <v>21</v>
      </c>
      <c r="J1048" s="6">
        <f>IFERROR(__xludf.DUMMYFUNCTION("IF(H1048="""","""",
SUM(
ARRAYFORMULA(
IF(
REGEXMATCH(
"" ""&amp;H1048&amp;"" "",
"" ""&amp;Sentiment_Words!A$2:A3730&amp;"" ""
),
1,
0
)
)
)
)"),1.0)</f>
        <v>1</v>
      </c>
      <c r="K1048" s="4">
        <f>IFERROR(__xludf.DUMMYFUNCTION("IF(H1048="""","""",
SUM(
ARRAYFORMULA(
IF(
REGEXMATCH(
"" ""&amp;H1048&amp;"" "",
"" ""&amp;Sentiment_Words!B$2:B3730&amp;"" ""
),
1,
0
)
)
)
)"),2.0)</f>
        <v>2</v>
      </c>
      <c r="L1048" s="7" t="str">
        <f t="shared" si="3"/>
        <v>Customer Support</v>
      </c>
      <c r="M1048" s="7" t="str">
        <f t="shared" si="4"/>
        <v>Negative</v>
      </c>
      <c r="N1048" s="7" t="str">
        <f>IFERROR(__xludf.DUMMYFUNCTION("LOWER(
TRIM(
REGEXREPLACE(B1048,""[^a-zA-Z\s]"","""")
)
)
"),"melinda")</f>
        <v>melinda</v>
      </c>
      <c r="O1048" s="7">
        <f t="shared" si="5"/>
        <v>1</v>
      </c>
      <c r="P1048" s="8" t="str">
        <f t="shared" si="6"/>
        <v>No</v>
      </c>
    </row>
    <row r="1049">
      <c r="A1049" s="4" t="s">
        <v>16</v>
      </c>
      <c r="B1049" s="4" t="s">
        <v>2981</v>
      </c>
      <c r="C1049" s="5">
        <v>44851.0</v>
      </c>
      <c r="D1049" s="10">
        <v>44913.0</v>
      </c>
      <c r="E1049" s="4" t="s">
        <v>2982</v>
      </c>
      <c r="F1049" s="4" t="s">
        <v>2983</v>
      </c>
      <c r="G1049" s="6" t="str">
        <f>IFERROR(__xludf.DUMMYFUNCTION("REGEXREPLACE(LOWER(F1049),""[^a-z\s]"","""")"),"i was really happy with pet flow until two things happened one is i found some thing i could only buy at chewy and their customer service is light years beyond petflow
the other is that petflow wanted a profile of me and my pets names and things in a way"&amp;" that made me feel like i was being phished
i am very unlikely to ever be a petflow customer again")</f>
        <v>i was really happy with pet flow until two things happened one is i found some thing i could only buy at chewy and their customer service is light years beyond petflow
the other is that petflow wanted a profile of me and my pets names and things in a way that made me feel like i was being phished
i am very unlikely to ever be a petflow customer again</v>
      </c>
      <c r="H1049" s="4" t="str">
        <f t="shared" si="1"/>
        <v>i was really happy with pet flow until two things happened one i found some thing i could only buy at chewy their customer service light years beyond petflow
the other that petflow wanted a profile of me my pets names things in a way that made me feel like i was being phished
i am very unlikely ever be a petflow customer again</v>
      </c>
      <c r="I1049" s="6">
        <f t="shared" si="2"/>
        <v>62</v>
      </c>
      <c r="J1049" s="6">
        <f>IFERROR(__xludf.DUMMYFUNCTION("IF(H1049="""","""",
SUM(
ARRAYFORMULA(
IF(
REGEXMATCH(
"" ""&amp;H1049&amp;"" "",
"" ""&amp;Sentiment_Words!A$2:A3730&amp;"" ""
),
1,
0
)
)
)
)"),3.0)</f>
        <v>3</v>
      </c>
      <c r="K1049" s="4">
        <f>IFERROR(__xludf.DUMMYFUNCTION("IF(H1049="""","""",
SUM(
ARRAYFORMULA(
IF(
REGEXMATCH(
"" ""&amp;H1049&amp;"" "",
"" ""&amp;Sentiment_Words!B$2:B3730&amp;"" ""
),
1,
0
)
)
)
)"),1.0)</f>
        <v>1</v>
      </c>
      <c r="L1049" s="7" t="str">
        <f t="shared" si="3"/>
        <v>Customer Support</v>
      </c>
      <c r="M1049" s="7" t="str">
        <f t="shared" si="4"/>
        <v>Positive</v>
      </c>
      <c r="N1049" s="7" t="str">
        <f>IFERROR(__xludf.DUMMYFUNCTION("LOWER(
TRIM(
REGEXREPLACE(B1049,""[^a-zA-Z\s]"","""")
)
)
"),"tracy")</f>
        <v>tracy</v>
      </c>
      <c r="O1049" s="7">
        <f t="shared" si="5"/>
        <v>3</v>
      </c>
      <c r="P1049" s="8" t="str">
        <f t="shared" si="6"/>
        <v>Yes</v>
      </c>
    </row>
    <row r="1050">
      <c r="A1050" s="4" t="s">
        <v>16</v>
      </c>
      <c r="B1050" s="4" t="s">
        <v>2984</v>
      </c>
      <c r="C1050" s="5">
        <v>44912.0</v>
      </c>
      <c r="D1050" s="10">
        <v>44913.0</v>
      </c>
      <c r="E1050" s="4" t="s">
        <v>2985</v>
      </c>
      <c r="F1050" s="4" t="s">
        <v>2986</v>
      </c>
      <c r="G1050" s="6" t="str">
        <f>IFERROR(__xludf.DUMMYFUNCTION("REGEXREPLACE(LOWER(F1050),""[^a-z\s]"","""")"),"fast accurate shipping and fair prices have ordered twice and will continue to order")</f>
        <v>fast accurate shipping and fair prices have ordered twice and will continue to order</v>
      </c>
      <c r="H1050" s="4" t="str">
        <f t="shared" si="1"/>
        <v>fast accurate shipping fair prices have ordered twice will continue order</v>
      </c>
      <c r="I1050" s="6">
        <f t="shared" si="2"/>
        <v>11</v>
      </c>
      <c r="J1050" s="6">
        <f>IFERROR(__xludf.DUMMYFUNCTION("IF(H1050="""","""",
SUM(
ARRAYFORMULA(
IF(
REGEXMATCH(
"" ""&amp;H1050&amp;"" "",
"" ""&amp;Sentiment_Words!A$2:A3730&amp;"" ""
),
1,
0
)
)
)
)"),1.0)</f>
        <v>1</v>
      </c>
      <c r="K1050" s="4">
        <f>IFERROR(__xludf.DUMMYFUNCTION("IF(H1050="""","""",
SUM(
ARRAYFORMULA(
IF(
REGEXMATCH(
"" ""&amp;H1050&amp;"" "",
"" ""&amp;Sentiment_Words!B$2:B3730&amp;"" ""
),
1,
0
)
)
)
)"),0.0)</f>
        <v>0</v>
      </c>
      <c r="L1050" s="7" t="str">
        <f t="shared" si="3"/>
        <v>Other</v>
      </c>
      <c r="M1050" s="7" t="str">
        <f t="shared" si="4"/>
        <v>Positive</v>
      </c>
      <c r="N1050" s="7" t="str">
        <f>IFERROR(__xludf.DUMMYFUNCTION("LOWER(
TRIM(
REGEXREPLACE(B1050,""[^a-zA-Z\s]"","""")
)
)
"),"chris s")</f>
        <v>chris s</v>
      </c>
      <c r="O1050" s="7">
        <f t="shared" si="5"/>
        <v>1</v>
      </c>
      <c r="P1050" s="8" t="str">
        <f t="shared" si="6"/>
        <v>No</v>
      </c>
    </row>
    <row r="1051">
      <c r="A1051" s="4" t="s">
        <v>16</v>
      </c>
      <c r="B1051" s="4" t="s">
        <v>2987</v>
      </c>
      <c r="C1051" s="5">
        <v>44912.0</v>
      </c>
      <c r="D1051" s="10">
        <v>44913.0</v>
      </c>
      <c r="E1051" s="4" t="s">
        <v>2988</v>
      </c>
      <c r="F1051" s="4" t="s">
        <v>2989</v>
      </c>
      <c r="G1051" s="6" t="str">
        <f>IFERROR(__xludf.DUMMYFUNCTION("REGEXREPLACE(LOWER(F1051),""[^a-z\s]"","""")"),"was great i enjoyed it a lot the song made me feel special ")</f>
        <v>was great i enjoyed it a lot the song made me feel special </v>
      </c>
      <c r="H1051" s="4" t="str">
        <f t="shared" si="1"/>
        <v>was great i enjoyed it a lot song made me feel special</v>
      </c>
      <c r="I1051" s="6">
        <f t="shared" si="2"/>
        <v>12</v>
      </c>
      <c r="J1051" s="6">
        <f>IFERROR(__xludf.DUMMYFUNCTION("IF(H1051="""","""",
SUM(
ARRAYFORMULA(
IF(
REGEXMATCH(
"" ""&amp;H1051&amp;"" "",
"" ""&amp;Sentiment_Words!A$2:A3730&amp;"" ""
),
1,
0
)
)
)
)"),1.0)</f>
        <v>1</v>
      </c>
      <c r="K1051" s="4">
        <f>IFERROR(__xludf.DUMMYFUNCTION("IF(H1051="""","""",
SUM(
ARRAYFORMULA(
IF(
REGEXMATCH(
"" ""&amp;H1051&amp;"" "",
"" ""&amp;Sentiment_Words!B$2:B3730&amp;"" ""
),
1,
0
)
)
)
)"),0.0)</f>
        <v>0</v>
      </c>
      <c r="L1051" s="7" t="str">
        <f t="shared" si="3"/>
        <v>Other</v>
      </c>
      <c r="M1051" s="7" t="str">
        <f t="shared" si="4"/>
        <v>Positive</v>
      </c>
      <c r="N1051" s="7" t="str">
        <f>IFERROR(__xludf.DUMMYFUNCTION("LOWER(
TRIM(
REGEXREPLACE(B1051,""[^a-zA-Z\s]"","""")
)
)
"),"suzanne campbell")</f>
        <v>suzanne campbell</v>
      </c>
      <c r="O1051" s="7">
        <f t="shared" si="5"/>
        <v>1</v>
      </c>
      <c r="P1051" s="8" t="str">
        <f t="shared" si="6"/>
        <v>No</v>
      </c>
    </row>
    <row r="1052">
      <c r="A1052" s="4" t="s">
        <v>16</v>
      </c>
      <c r="B1052" s="4" t="s">
        <v>2990</v>
      </c>
      <c r="C1052" s="9">
        <v>44903.0</v>
      </c>
      <c r="D1052" s="10">
        <v>44912.0</v>
      </c>
      <c r="E1052" s="4" t="s">
        <v>2991</v>
      </c>
      <c r="F1052" s="4" t="s">
        <v>2992</v>
      </c>
      <c r="G1052" s="6" t="str">
        <f>IFERROR(__xludf.DUMMYFUNCTION("REGEXREPLACE(LOWER(F1052),""[^a-z\s]"","""")"),"always fast shipments i order two pound bags of food at a time the only concern is the packaging needs more tape on the box or they need to be shipped in two boxes the last shipment the tape had broke and someone for the carrier must have retaped it there"&amp;" was clear package tape on top of the original tape this is not the first time the tape has been broken it has happened to previous shipments")</f>
        <v>always fast shipments i order two pound bags of food at a time the only concern is the packaging needs more tape on the box or they need to be shipped in two boxes the last shipment the tape had broke and someone for the carrier must have retaped it there was clear package tape on top of the original tape this is not the first time the tape has been broken it has happened to previous shipments</v>
      </c>
      <c r="H1052" s="4" t="str">
        <f t="shared" si="1"/>
        <v>always fast shipments i order two pound bags of food at a time only concern packaging needs more tape on box or they need be shipped in two boxes last shipment tape had broke someone carrier must have retaped it there was clear package tape on top of original tape this not first time tape has been broken it has happened previous shipments</v>
      </c>
      <c r="I1052" s="6">
        <f t="shared" si="2"/>
        <v>63</v>
      </c>
      <c r="J1052" s="6">
        <f>IFERROR(__xludf.DUMMYFUNCTION("IF(H1052="""","""",
SUM(
ARRAYFORMULA(
IF(
REGEXMATCH(
"" ""&amp;H1052&amp;"" "",
"" ""&amp;Sentiment_Words!A$2:A3730&amp;"" ""
),
1,
0
)
)
)
)"),1.0)</f>
        <v>1</v>
      </c>
      <c r="K1052" s="4">
        <f>IFERROR(__xludf.DUMMYFUNCTION("IF(H1052="""","""",
SUM(
ARRAYFORMULA(
IF(
REGEXMATCH(
"" ""&amp;H1052&amp;"" "",
"" ""&amp;Sentiment_Words!B$2:B3730&amp;"" ""
),
1,
0
)
)
)
)"),0.0)</f>
        <v>0</v>
      </c>
      <c r="L1052" s="7" t="str">
        <f t="shared" si="3"/>
        <v>Other</v>
      </c>
      <c r="M1052" s="7" t="str">
        <f t="shared" si="4"/>
        <v>Positive</v>
      </c>
      <c r="N1052" s="7" t="str">
        <f>IFERROR(__xludf.DUMMYFUNCTION("LOWER(
TRIM(
REGEXREPLACE(B1052,""[^a-zA-Z\s]"","""")
)
)
"),"mark l")</f>
        <v>mark l</v>
      </c>
      <c r="O1052" s="7">
        <f t="shared" si="5"/>
        <v>1</v>
      </c>
      <c r="P1052" s="8" t="str">
        <f t="shared" si="6"/>
        <v>No</v>
      </c>
    </row>
    <row r="1053">
      <c r="A1053" s="4" t="s">
        <v>16</v>
      </c>
      <c r="B1053" s="4" t="s">
        <v>2993</v>
      </c>
      <c r="C1053" s="5">
        <v>44905.0</v>
      </c>
      <c r="D1053" s="10">
        <v>44912.0</v>
      </c>
      <c r="E1053" s="4" t="s">
        <v>2994</v>
      </c>
      <c r="F1053" s="4" t="s">
        <v>2995</v>
      </c>
      <c r="G1053" s="6" t="str">
        <f>IFERROR(__xludf.DUMMYFUNCTION("REGEXREPLACE(LOWER(F1053),""[^a-z\s]"","""")"),"prices are high for the food i feed and i realize it may not be petflows fault but there was a huge increase in cost in just a few months also delivery seems to take a week with fedex seems long to me")</f>
        <v>prices are high for the food i feed and i realize it may not be petflows fault but there was a huge increase in cost in just a few months also delivery seems to take a week with fedex seems long to me</v>
      </c>
      <c r="H1053" s="4" t="str">
        <f t="shared" si="1"/>
        <v>prices are high food i feed i realize it may not be petflows fault but there was a huge increase in cost in just a few months also delivery seems take a week with fedex seems long me</v>
      </c>
      <c r="I1053" s="6">
        <f t="shared" si="2"/>
        <v>38</v>
      </c>
      <c r="J1053" s="6">
        <f>IFERROR(__xludf.DUMMYFUNCTION("IF(H1053="""","""",
SUM(
ARRAYFORMULA(
IF(
REGEXMATCH(
"" ""&amp;H1053&amp;"" "",
"" ""&amp;Sentiment_Words!A$2:A3730&amp;"" ""
),
1,
0
)
)
)
)"),0.0)</f>
        <v>0</v>
      </c>
      <c r="K1053" s="4">
        <f>IFERROR(__xludf.DUMMYFUNCTION("IF(H1053="""","""",
SUM(
ARRAYFORMULA(
IF(
REGEXMATCH(
"" ""&amp;H1053&amp;"" "",
"" ""&amp;Sentiment_Words!B$2:B3730&amp;"" ""
),
1,
0
)
)
)
)"),0.0)</f>
        <v>0</v>
      </c>
      <c r="L1053" s="7" t="str">
        <f t="shared" si="3"/>
        <v>Other</v>
      </c>
      <c r="M1053" s="7" t="str">
        <f t="shared" si="4"/>
        <v>Neutral</v>
      </c>
      <c r="N1053" s="7" t="str">
        <f>IFERROR(__xludf.DUMMYFUNCTION("LOWER(
TRIM(
REGEXREPLACE(B1053,""[^a-zA-Z\s]"","""")
)
)
"),"tagandlink")</f>
        <v>tagandlink</v>
      </c>
      <c r="O1053" s="7">
        <f t="shared" si="5"/>
        <v>1</v>
      </c>
      <c r="P1053" s="8" t="str">
        <f t="shared" si="6"/>
        <v>No</v>
      </c>
    </row>
    <row r="1054">
      <c r="A1054" s="4" t="s">
        <v>16</v>
      </c>
      <c r="B1054" s="4" t="s">
        <v>2996</v>
      </c>
      <c r="C1054" s="9">
        <v>44904.0</v>
      </c>
      <c r="D1054" s="10">
        <v>44912.0</v>
      </c>
      <c r="E1054" s="4" t="s">
        <v>2997</v>
      </c>
      <c r="F1054" s="4" t="s">
        <v>2998</v>
      </c>
      <c r="G1054" s="6" t="str">
        <f>IFERROR(__xludf.DUMMYFUNCTION("REGEXREPLACE(LOWER(F1054),""[^a-z\s]"","""")"),"my orders are taking longer and longer to arrive last order was over  days until i received it i order early so my boy doesnt run out but these times are ridiculous currently looking for another provider")</f>
        <v>my orders are taking longer and longer to arrive last order was over  days until i received it i order early so my boy doesnt run out but these times are ridiculous currently looking for another provider</v>
      </c>
      <c r="H1054" s="4" t="str">
        <f t="shared" si="1"/>
        <v>my orders are taking longer longer arrive last order was over days until i received it i order early so my boy doesnt run out but these times are ridiculous currently looking another provider</v>
      </c>
      <c r="I1054" s="6">
        <f t="shared" si="2"/>
        <v>34</v>
      </c>
      <c r="J1054" s="6">
        <f>IFERROR(__xludf.DUMMYFUNCTION("IF(H1054="""","""",
SUM(
ARRAYFORMULA(
IF(
REGEXMATCH(
"" ""&amp;H1054&amp;"" "",
"" ""&amp;Sentiment_Words!A$2:A3730&amp;"" ""
),
1,
0
)
)
)
)"),0.0)</f>
        <v>0</v>
      </c>
      <c r="K1054" s="4">
        <f>IFERROR(__xludf.DUMMYFUNCTION("IF(H1054="""","""",
SUM(
ARRAYFORMULA(
IF(
REGEXMATCH(
"" ""&amp;H1054&amp;"" "",
"" ""&amp;Sentiment_Words!B$2:B3730&amp;"" ""
),
1,
0
)
)
)
)"),0.0)</f>
        <v>0</v>
      </c>
      <c r="L1054" s="7" t="str">
        <f t="shared" si="3"/>
        <v>Other</v>
      </c>
      <c r="M1054" s="7" t="str">
        <f t="shared" si="4"/>
        <v>Neutral</v>
      </c>
      <c r="N1054" s="7" t="str">
        <f>IFERROR(__xludf.DUMMYFUNCTION("LOWER(
TRIM(
REGEXREPLACE(B1054,""[^a-zA-Z\s]"","""")
)
)
"),"monica loeffler")</f>
        <v>monica loeffler</v>
      </c>
      <c r="O1054" s="7">
        <f t="shared" si="5"/>
        <v>1</v>
      </c>
      <c r="P1054" s="8" t="str">
        <f t="shared" si="6"/>
        <v>No</v>
      </c>
    </row>
    <row r="1055">
      <c r="A1055" s="4" t="s">
        <v>16</v>
      </c>
      <c r="B1055" s="4" t="s">
        <v>2999</v>
      </c>
      <c r="C1055" s="5">
        <v>44911.0</v>
      </c>
      <c r="D1055" s="10">
        <v>44911.0</v>
      </c>
      <c r="E1055" s="4" t="s">
        <v>3000</v>
      </c>
      <c r="F1055" s="4" t="s">
        <v>3001</v>
      </c>
      <c r="G1055" s="6" t="str">
        <f>IFERROR(__xludf.DUMMYFUNCTION("REGEXREPLACE(LOWER(F1055),""[^a-z\s]"","""")"),"wonderful products for my cats can ask for assistance should i need it great ontime deliveries for my purchases and very good service from petflow and the folks that do great jobs for me and my kitties")</f>
        <v>wonderful products for my cats can ask for assistance should i need it great ontime deliveries for my purchases and very good service from petflow and the folks that do great jobs for me and my kitties</v>
      </c>
      <c r="H1055" s="4" t="str">
        <f t="shared" si="1"/>
        <v>wonderful products my cats can ask assistance should i need it great ontime deliveries my purchases very good service from petflow folks that do great jobs me my kitties</v>
      </c>
      <c r="I1055" s="6">
        <f t="shared" si="2"/>
        <v>29</v>
      </c>
      <c r="J1055" s="6">
        <f>IFERROR(__xludf.DUMMYFUNCTION("IF(H1055="""","""",
SUM(
ARRAYFORMULA(
IF(
REGEXMATCH(
"" ""&amp;H1055&amp;"" "",
"" ""&amp;Sentiment_Words!A$2:A3730&amp;"" ""
),
1,
0
)
)
)
)"),3.0)</f>
        <v>3</v>
      </c>
      <c r="K1055" s="4">
        <f>IFERROR(__xludf.DUMMYFUNCTION("IF(H1055="""","""",
SUM(
ARRAYFORMULA(
IF(
REGEXMATCH(
"" ""&amp;H1055&amp;"" "",
"" ""&amp;Sentiment_Words!B$2:B3730&amp;"" ""
),
1,
0
)
)
)
)"),0.0)</f>
        <v>0</v>
      </c>
      <c r="L1055" s="7" t="str">
        <f t="shared" si="3"/>
        <v>Customer Support</v>
      </c>
      <c r="M1055" s="7" t="str">
        <f t="shared" si="4"/>
        <v>Positive</v>
      </c>
      <c r="N1055" s="7" t="str">
        <f>IFERROR(__xludf.DUMMYFUNCTION("LOWER(
TRIM(
REGEXREPLACE(B1055,""[^a-zA-Z\s]"","""")
)
)
"),"earl mullett jr")</f>
        <v>earl mullett jr</v>
      </c>
      <c r="O1055" s="7">
        <f t="shared" si="5"/>
        <v>1</v>
      </c>
      <c r="P1055" s="8" t="str">
        <f t="shared" si="6"/>
        <v>No</v>
      </c>
    </row>
    <row r="1056">
      <c r="A1056" s="4" t="s">
        <v>16</v>
      </c>
      <c r="B1056" s="4" t="s">
        <v>3002</v>
      </c>
      <c r="C1056" s="9">
        <v>44899.0</v>
      </c>
      <c r="D1056" s="10">
        <v>44911.0</v>
      </c>
      <c r="E1056" s="4" t="s">
        <v>3003</v>
      </c>
      <c r="F1056" s="4" t="s">
        <v>3004</v>
      </c>
      <c r="G1056" s="6" t="str">
        <f>IFERROR(__xludf.DUMMYFUNCTION("REGEXREPLACE(LOWER(F1056),""[^a-z\s]"","""")"),"where do i begin i order  tennis balls then yall wanna chancel my order for fraudulent because your customer service person over the phone says why would you buy  tennis balls im sorry i have multiple dogs like wth worse part is i had to call yall  days a"&amp;"fter my order to figure out whats going on cause yall dont know how to return emails at all definitely will never buy anything from yall")</f>
        <v>where do i begin i order  tennis balls then yall wanna chancel my order for fraudulent because your customer service person over the phone says why would you buy  tennis balls im sorry i have multiple dogs like wth worse part is i had to call yall  days after my order to figure out whats going on cause yall dont know how to return emails at all definitely will never buy anything from yall</v>
      </c>
      <c r="H1056" s="4" t="str">
        <f t="shared" si="1"/>
        <v>where do i begin i order tennis balls then yall wanna chancel my order fraudulent because your customer service person over phone says why would you buy tennis balls im sorry i have multiple dogs like wth worse part i had call yall days after my order figure out whats going on cause yall dont know how return emails at all definitely will never buy anything from yall</v>
      </c>
      <c r="I1056" s="6">
        <f t="shared" si="2"/>
        <v>68</v>
      </c>
      <c r="J1056" s="6">
        <f>IFERROR(__xludf.DUMMYFUNCTION("IF(H1056="""","""",
SUM(
ARRAYFORMULA(
IF(
REGEXMATCH(
"" ""&amp;H1056&amp;"" "",
"" ""&amp;Sentiment_Words!A$2:A3730&amp;"" ""
),
1,
0
)
)
)
)"),0.0)</f>
        <v>0</v>
      </c>
      <c r="K1056" s="4">
        <f>IFERROR(__xludf.DUMMYFUNCTION("IF(H1056="""","""",
SUM(
ARRAYFORMULA(
IF(
REGEXMATCH(
"" ""&amp;H1056&amp;"" "",
"" ""&amp;Sentiment_Words!B$2:B3730&amp;"" ""
),
1,
0
)
)
)
)"),1.0)</f>
        <v>1</v>
      </c>
      <c r="L1056" s="7" t="str">
        <f t="shared" si="3"/>
        <v>Customer Support</v>
      </c>
      <c r="M1056" s="7" t="str">
        <f t="shared" si="4"/>
        <v>Negative</v>
      </c>
      <c r="N1056" s="7" t="str">
        <f>IFERROR(__xludf.DUMMYFUNCTION("LOWER(
TRIM(
REGEXREPLACE(B1056,""[^a-zA-Z\s]"","""")
)
)
"),"gretchen")</f>
        <v>gretchen</v>
      </c>
      <c r="O1056" s="7">
        <f t="shared" si="5"/>
        <v>2</v>
      </c>
      <c r="P1056" s="8" t="str">
        <f t="shared" si="6"/>
        <v>Yes</v>
      </c>
    </row>
    <row r="1057">
      <c r="A1057" s="4" t="s">
        <v>16</v>
      </c>
      <c r="B1057" s="4" t="s">
        <v>3005</v>
      </c>
      <c r="C1057" s="5">
        <v>44907.0</v>
      </c>
      <c r="D1057" s="10">
        <v>44911.0</v>
      </c>
      <c r="E1057" s="4" t="s">
        <v>3006</v>
      </c>
      <c r="F1057" s="4" t="s">
        <v>3007</v>
      </c>
      <c r="G1057" s="6" t="str">
        <f>IFERROR(__xludf.DUMMYFUNCTION("REGEXREPLACE(LOWER(F1057),""[^a-z\s]"","""")"),"quick friendly people to help with an easy phone call dependable deliveries and updates i really like their customer satisfaction approach to business")</f>
        <v>quick friendly people to help with an easy phone call dependable deliveries and updates i really like their customer satisfaction approach to business</v>
      </c>
      <c r="H1057" s="4" t="str">
        <f t="shared" si="1"/>
        <v>quick friendly people help with an easy phone call dependable deliveries updates i really like their customer satisfaction approach business</v>
      </c>
      <c r="I1057" s="6">
        <f t="shared" si="2"/>
        <v>20</v>
      </c>
      <c r="J1057" s="6">
        <f>IFERROR(__xludf.DUMMYFUNCTION("IF(H1057="""","""",
SUM(
ARRAYFORMULA(
IF(
REGEXMATCH(
"" ""&amp;H1057&amp;"" "",
"" ""&amp;Sentiment_Words!A$2:A3730&amp;"" ""
),
1,
0
)
)
)
)"),1.0)</f>
        <v>1</v>
      </c>
      <c r="K1057" s="4">
        <f>IFERROR(__xludf.DUMMYFUNCTION("IF(H1057="""","""",
SUM(
ARRAYFORMULA(
IF(
REGEXMATCH(
"" ""&amp;H1057&amp;"" "",
"" ""&amp;Sentiment_Words!B$2:B3730&amp;"" ""
),
1,
0
)
)
)
)"),0.0)</f>
        <v>0</v>
      </c>
      <c r="L1057" s="7" t="str">
        <f t="shared" si="3"/>
        <v>Other</v>
      </c>
      <c r="M1057" s="7" t="str">
        <f t="shared" si="4"/>
        <v>Positive</v>
      </c>
      <c r="N1057" s="7" t="str">
        <f>IFERROR(__xludf.DUMMYFUNCTION("LOWER(
TRIM(
REGEXREPLACE(B1057,""[^a-zA-Z\s]"","""")
)
)
"),"justin")</f>
        <v>justin</v>
      </c>
      <c r="O1057" s="7">
        <f t="shared" si="5"/>
        <v>1</v>
      </c>
      <c r="P1057" s="8" t="str">
        <f t="shared" si="6"/>
        <v>No</v>
      </c>
    </row>
    <row r="1058">
      <c r="A1058" s="4" t="s">
        <v>16</v>
      </c>
      <c r="B1058" s="4" t="s">
        <v>3008</v>
      </c>
      <c r="C1058" s="5">
        <v>44907.0</v>
      </c>
      <c r="D1058" s="10">
        <v>44911.0</v>
      </c>
      <c r="E1058" s="4" t="s">
        <v>3009</v>
      </c>
      <c r="F1058" s="4" t="s">
        <v>3010</v>
      </c>
      <c r="G1058" s="6" t="str">
        <f>IFERROR(__xludf.DUMMYFUNCTION("REGEXREPLACE(LOWER(F1058),""[^a-z\s]"","""")"),"i had a major issue with my package being held up on the fedex side i emailed into petflow support to see if they could help i didnt hear back however i called a few days later the person that answered was so kind and helpful they reshipped the product i "&amp;"left the call crying just due to her kindness as shipping really isnt their problem but fedex said only the shipper could make a claim i just wanted some help getting fedex to deliver but she went above and beyond")</f>
        <v>i had a major issue with my package being held up on the fedex side i emailed into petflow support to see if they could help i didnt hear back however i called a few days later the person that answered was so kind and helpful they reshipped the product i left the call crying just due to her kindness as shipping really isnt their problem but fedex said only the shipper could make a claim i just wanted some help getting fedex to deliver but she went above and beyond</v>
      </c>
      <c r="H1058" s="4" t="str">
        <f t="shared" si="1"/>
        <v>i had a major issue with my package being held up on fedex side i emailed into petflow support see if they could help i didnt hear back however i called a few days later person that answered was so kind helpful they reshipped product i left call crying just due her kindness as shipping really isnt their problem but fedex said only shipper could make a claim i just wanted some help getting fedex deliver but she went above beyond</v>
      </c>
      <c r="I1058" s="6">
        <f t="shared" si="2"/>
        <v>81</v>
      </c>
      <c r="J1058" s="6">
        <f>IFERROR(__xludf.DUMMYFUNCTION("IF(H1058="""","""",
SUM(
ARRAYFORMULA(
IF(
REGEXMATCH(
"" ""&amp;H1058&amp;"" "",
"" ""&amp;Sentiment_Words!A$2:A3730&amp;"" ""
),
1,
0
)
)
)
)"),2.0)</f>
        <v>2</v>
      </c>
      <c r="K1058" s="4">
        <f>IFERROR(__xludf.DUMMYFUNCTION("IF(H1058="""","""",
SUM(
ARRAYFORMULA(
IF(
REGEXMATCH(
"" ""&amp;H1058&amp;"" "",
"" ""&amp;Sentiment_Words!B$2:B3730&amp;"" ""
),
1,
0
)
)
)
)"),2.0)</f>
        <v>2</v>
      </c>
      <c r="L1058" s="7" t="str">
        <f t="shared" si="3"/>
        <v>Customer Support</v>
      </c>
      <c r="M1058" s="7" t="str">
        <f t="shared" si="4"/>
        <v>Neutral</v>
      </c>
      <c r="N1058" s="7" t="str">
        <f>IFERROR(__xludf.DUMMYFUNCTION("LOWER(
TRIM(
REGEXREPLACE(B1058,""[^a-zA-Z\s]"","""")
)
)
"),"judy mitchell")</f>
        <v>judy mitchell</v>
      </c>
      <c r="O1058" s="7">
        <f t="shared" si="5"/>
        <v>1</v>
      </c>
      <c r="P1058" s="8" t="str">
        <f t="shared" si="6"/>
        <v>No</v>
      </c>
    </row>
    <row r="1059">
      <c r="A1059" s="4" t="s">
        <v>16</v>
      </c>
      <c r="B1059" s="4" t="s">
        <v>3011</v>
      </c>
      <c r="C1059" s="5">
        <v>44907.0</v>
      </c>
      <c r="D1059" s="10">
        <v>44910.0</v>
      </c>
      <c r="E1059" s="4" t="s">
        <v>3012</v>
      </c>
      <c r="F1059" s="4" t="s">
        <v>3013</v>
      </c>
      <c r="G1059" s="6" t="str">
        <f>IFERROR(__xludf.DUMMYFUNCTION("REGEXREPLACE(LOWER(F1059),""[^a-z\s]"","""")"),"received food in timely manner good price")</f>
        <v>received food in timely manner good price</v>
      </c>
      <c r="H1059" s="4" t="str">
        <f t="shared" si="1"/>
        <v>received food in timely manner good price</v>
      </c>
      <c r="I1059" s="6">
        <f t="shared" si="2"/>
        <v>7</v>
      </c>
      <c r="J1059" s="6">
        <f>IFERROR(__xludf.DUMMYFUNCTION("IF(H1059="""","""",
SUM(
ARRAYFORMULA(
IF(
REGEXMATCH(
"" ""&amp;H1059&amp;"" "",
"" ""&amp;Sentiment_Words!A$2:A3730&amp;"" ""
),
1,
0
)
)
)
)"),1.0)</f>
        <v>1</v>
      </c>
      <c r="K1059" s="4">
        <f>IFERROR(__xludf.DUMMYFUNCTION("IF(H1059="""","""",
SUM(
ARRAYFORMULA(
IF(
REGEXMATCH(
"" ""&amp;H1059&amp;"" "",
"" ""&amp;Sentiment_Words!B$2:B3730&amp;"" ""
),
1,
0
)
)
)
)"),0.0)</f>
        <v>0</v>
      </c>
      <c r="L1059" s="7" t="str">
        <f t="shared" si="3"/>
        <v>Other</v>
      </c>
      <c r="M1059" s="7" t="str">
        <f t="shared" si="4"/>
        <v>Positive</v>
      </c>
      <c r="N1059" s="7" t="str">
        <f>IFERROR(__xludf.DUMMYFUNCTION("LOWER(
TRIM(
REGEXREPLACE(B1059,""[^a-zA-Z\s]"","""")
)
)
"),"kelli s")</f>
        <v>kelli s</v>
      </c>
      <c r="O1059" s="7">
        <f t="shared" si="5"/>
        <v>1</v>
      </c>
      <c r="P1059" s="8" t="str">
        <f t="shared" si="6"/>
        <v>No</v>
      </c>
    </row>
    <row r="1060">
      <c r="A1060" s="4" t="s">
        <v>16</v>
      </c>
      <c r="B1060" s="4" t="s">
        <v>3014</v>
      </c>
      <c r="C1060" s="9">
        <v>44896.0</v>
      </c>
      <c r="D1060" s="10">
        <v>44910.0</v>
      </c>
      <c r="E1060" s="4" t="s">
        <v>3015</v>
      </c>
      <c r="F1060" s="4" t="s">
        <v>3016</v>
      </c>
      <c r="G1060" s="6" t="str">
        <f>IFERROR(__xludf.DUMMYFUNCTION("REGEXREPLACE(LOWER(F1060),""[^a-z\s]"","""")"),"great prices
fast delivery
a place to count on")</f>
        <v>great prices
fast delivery
a place to count on</v>
      </c>
      <c r="H1060" s="4" t="str">
        <f t="shared" si="1"/>
        <v>great prices
fast delivery
a place count on</v>
      </c>
      <c r="I1060" s="6">
        <f t="shared" si="2"/>
        <v>6</v>
      </c>
      <c r="J1060" s="6">
        <f>IFERROR(__xludf.DUMMYFUNCTION("IF(H1060="""","""",
SUM(
ARRAYFORMULA(
IF(
REGEXMATCH(
"" ""&amp;H1060&amp;"" "",
"" ""&amp;Sentiment_Words!A$2:A3730&amp;"" ""
),
1,
0
)
)
)
)"),1.0)</f>
        <v>1</v>
      </c>
      <c r="K1060" s="4">
        <f>IFERROR(__xludf.DUMMYFUNCTION("IF(H1060="""","""",
SUM(
ARRAYFORMULA(
IF(
REGEXMATCH(
"" ""&amp;H1060&amp;"" "",
"" ""&amp;Sentiment_Words!B$2:B3730&amp;"" ""
),
1,
0
)
)
)
)"),0.0)</f>
        <v>0</v>
      </c>
      <c r="L1060" s="7" t="str">
        <f t="shared" si="3"/>
        <v>Other</v>
      </c>
      <c r="M1060" s="7" t="str">
        <f t="shared" si="4"/>
        <v>Positive</v>
      </c>
      <c r="N1060" s="7" t="str">
        <f>IFERROR(__xludf.DUMMYFUNCTION("LOWER(
TRIM(
REGEXREPLACE(B1060,""[^a-zA-Z\s]"","""")
)
)
"),"kathryn")</f>
        <v>kathryn</v>
      </c>
      <c r="O1060" s="7">
        <f t="shared" si="5"/>
        <v>2</v>
      </c>
      <c r="P1060" s="8" t="str">
        <f t="shared" si="6"/>
        <v>Yes</v>
      </c>
    </row>
    <row r="1061">
      <c r="A1061" s="4" t="s">
        <v>16</v>
      </c>
      <c r="B1061" s="4" t="s">
        <v>3017</v>
      </c>
      <c r="C1061" s="5">
        <v>44909.0</v>
      </c>
      <c r="D1061" s="10">
        <v>44910.0</v>
      </c>
      <c r="E1061" s="4" t="s">
        <v>3018</v>
      </c>
      <c r="F1061" s="4" t="s">
        <v>331</v>
      </c>
      <c r="G1061" s="6" t="str">
        <f>IFERROR(__xludf.DUMMYFUNCTION("REGEXREPLACE(LOWER(F1061),""[^a-z\s]"","""")"),"none")</f>
        <v>none</v>
      </c>
      <c r="H1061" s="4" t="str">
        <f t="shared" si="1"/>
        <v>none</v>
      </c>
      <c r="I1061" s="6">
        <f t="shared" si="2"/>
        <v>1</v>
      </c>
      <c r="J1061" s="6">
        <f>IFERROR(__xludf.DUMMYFUNCTION("IF(H1061="""","""",
SUM(
ARRAYFORMULA(
IF(
REGEXMATCH(
"" ""&amp;H1061&amp;"" "",
"" ""&amp;Sentiment_Words!A$2:A3730&amp;"" ""
),
1,
0
)
)
)
)"),0.0)</f>
        <v>0</v>
      </c>
      <c r="K1061" s="4">
        <f>IFERROR(__xludf.DUMMYFUNCTION("IF(H1061="""","""",
SUM(
ARRAYFORMULA(
IF(
REGEXMATCH(
"" ""&amp;H1061&amp;"" "",
"" ""&amp;Sentiment_Words!B$2:B3730&amp;"" ""
),
1,
0
)
)
)
)"),0.0)</f>
        <v>0</v>
      </c>
      <c r="L1061" s="7" t="str">
        <f t="shared" si="3"/>
        <v>Other</v>
      </c>
      <c r="M1061" s="7" t="str">
        <f t="shared" si="4"/>
        <v>Neutral</v>
      </c>
      <c r="N1061" s="7" t="str">
        <f>IFERROR(__xludf.DUMMYFUNCTION("LOWER(
TRIM(
REGEXREPLACE(B1061,""[^a-zA-Z\s]"","""")
)
)
"),"ximena ramos")</f>
        <v>ximena ramos</v>
      </c>
      <c r="O1061" s="7">
        <f t="shared" si="5"/>
        <v>1</v>
      </c>
      <c r="P1061" s="8" t="str">
        <f t="shared" si="6"/>
        <v>No</v>
      </c>
    </row>
    <row r="1062">
      <c r="A1062" s="4" t="s">
        <v>16</v>
      </c>
      <c r="B1062" s="4" t="s">
        <v>3019</v>
      </c>
      <c r="C1062" s="5">
        <v>44909.0</v>
      </c>
      <c r="D1062" s="10">
        <v>44910.0</v>
      </c>
      <c r="E1062" s="4" t="s">
        <v>3020</v>
      </c>
      <c r="F1062" s="4" t="s">
        <v>3021</v>
      </c>
      <c r="G1062" s="6" t="str">
        <f>IFERROR(__xludf.DUMMYFUNCTION("REGEXREPLACE(LOWER(F1062),""[^a-z\s]"","""")"),"even though this litter was out of stock and no date when available they kept me informed of my in order status i did end up of canceling and they were in great about be this too")</f>
        <v>even though this litter was out of stock and no date when available they kept me informed of my in order status i did end up of canceling and they were in great about be this too</v>
      </c>
      <c r="H1062" s="4" t="str">
        <f t="shared" si="1"/>
        <v>even though this litter was out of stock no date when available they kept me informed of my in order status i did end up of canceling they were in great about be this too</v>
      </c>
      <c r="I1062" s="6">
        <f t="shared" si="2"/>
        <v>35</v>
      </c>
      <c r="J1062" s="6">
        <f>IFERROR(__xludf.DUMMYFUNCTION("IF(H1062="""","""",
SUM(
ARRAYFORMULA(
IF(
REGEXMATCH(
"" ""&amp;H1062&amp;"" "",
"" ""&amp;Sentiment_Words!A$2:A3730&amp;"" ""
),
1,
0
)
)
)
)"),2.0)</f>
        <v>2</v>
      </c>
      <c r="K1062" s="4">
        <f>IFERROR(__xludf.DUMMYFUNCTION("IF(H1062="""","""",
SUM(
ARRAYFORMULA(
IF(
REGEXMATCH(
"" ""&amp;H1062&amp;"" "",
"" ""&amp;Sentiment_Words!B$2:B3730&amp;"" ""
),
1,
0
)
)
)
)"),1.0)</f>
        <v>1</v>
      </c>
      <c r="L1062" s="7" t="str">
        <f t="shared" si="3"/>
        <v>Availability</v>
      </c>
      <c r="M1062" s="7" t="str">
        <f t="shared" si="4"/>
        <v>Positive</v>
      </c>
      <c r="N1062" s="7" t="str">
        <f>IFERROR(__xludf.DUMMYFUNCTION("LOWER(
TRIM(
REGEXREPLACE(B1062,""[^a-zA-Z\s]"","""")
)
)
"),"linda s")</f>
        <v>linda s</v>
      </c>
      <c r="O1062" s="7">
        <f t="shared" si="5"/>
        <v>1</v>
      </c>
      <c r="P1062" s="8" t="str">
        <f t="shared" si="6"/>
        <v>No</v>
      </c>
    </row>
    <row r="1063">
      <c r="A1063" s="4" t="s">
        <v>16</v>
      </c>
      <c r="B1063" s="4" t="s">
        <v>3022</v>
      </c>
      <c r="C1063" s="5">
        <v>44909.0</v>
      </c>
      <c r="D1063" s="10">
        <v>44910.0</v>
      </c>
      <c r="E1063" s="4" t="s">
        <v>3023</v>
      </c>
      <c r="F1063" s="4" t="s">
        <v>3024</v>
      </c>
      <c r="G1063" s="6" t="str">
        <f>IFERROR(__xludf.DUMMYFUNCTION("REGEXREPLACE(LOWER(F1063),""[^a-z\s]"","""")"),"awesome company with good deals and prompt service delivered right to your door i would highly recommend petflow for all your pets needs")</f>
        <v>awesome company with good deals and prompt service delivered right to your door i would highly recommend petflow for all your pets needs</v>
      </c>
      <c r="H1063" s="4" t="str">
        <f t="shared" si="1"/>
        <v>awesome company with good deals prompt service delivered right your door i would highly recommend petflow all your pets needs</v>
      </c>
      <c r="I1063" s="6">
        <f t="shared" si="2"/>
        <v>20</v>
      </c>
      <c r="J1063" s="6">
        <f>IFERROR(__xludf.DUMMYFUNCTION("IF(H1063="""","""",
SUM(
ARRAYFORMULA(
IF(
REGEXMATCH(
"" ""&amp;H1063&amp;"" "",
"" ""&amp;Sentiment_Words!A$2:A3730&amp;"" ""
),
1,
0
)
)
)
)"),3.0)</f>
        <v>3</v>
      </c>
      <c r="K1063" s="4">
        <f>IFERROR(__xludf.DUMMYFUNCTION("IF(H1063="""","""",
SUM(
ARRAYFORMULA(
IF(
REGEXMATCH(
"" ""&amp;H1063&amp;"" "",
"" ""&amp;Sentiment_Words!B$2:B3730&amp;"" ""
),
1,
0
)
)
)
)"),0.0)</f>
        <v>0</v>
      </c>
      <c r="L1063" s="7" t="str">
        <f t="shared" si="3"/>
        <v>Customer Support</v>
      </c>
      <c r="M1063" s="7" t="str">
        <f t="shared" si="4"/>
        <v>Positive</v>
      </c>
      <c r="N1063" s="7" t="str">
        <f>IFERROR(__xludf.DUMMYFUNCTION("LOWER(
TRIM(
REGEXREPLACE(B1063,""[^a-zA-Z\s]"","""")
)
)
"),"phyllis yaeger")</f>
        <v>phyllis yaeger</v>
      </c>
      <c r="O1063" s="7">
        <f t="shared" si="5"/>
        <v>1</v>
      </c>
      <c r="P1063" s="8" t="str">
        <f t="shared" si="6"/>
        <v>No</v>
      </c>
    </row>
    <row r="1064">
      <c r="A1064" s="4" t="s">
        <v>16</v>
      </c>
      <c r="B1064" s="4" t="s">
        <v>3025</v>
      </c>
      <c r="C1064" s="5">
        <v>44909.0</v>
      </c>
      <c r="D1064" s="10">
        <v>44909.0</v>
      </c>
      <c r="E1064" s="4" t="s">
        <v>3026</v>
      </c>
      <c r="F1064" s="4" t="s">
        <v>3027</v>
      </c>
      <c r="G1064" s="6" t="str">
        <f>IFERROR(__xludf.DUMMYFUNCTION("REGEXREPLACE(LOWER(F1064),""[^a-z\s]"","""")"),"what your company needs to work is your delivery time your company takes way to long from the date of purchase to get the product to your customer the company chewy gets it to me in  to  hours learn their method")</f>
        <v>what your company needs to work is your delivery time your company takes way to long from the date of purchase to get the product to your customer the company chewy gets it to me in  to  hours learn their method</v>
      </c>
      <c r="H1064" s="4" t="str">
        <f t="shared" si="1"/>
        <v>what your company needs work your delivery time your company takes way long from date of purchase get product your customer company chewy gets it me in hours learn their method</v>
      </c>
      <c r="I1064" s="6">
        <f t="shared" si="2"/>
        <v>31</v>
      </c>
      <c r="J1064" s="6">
        <f>IFERROR(__xludf.DUMMYFUNCTION("IF(H1064="""","""",
SUM(
ARRAYFORMULA(
IF(
REGEXMATCH(
"" ""&amp;H1064&amp;"" "",
"" ""&amp;Sentiment_Words!A$2:A3730&amp;"" ""
),
1,
0
)
)
)
)"),0.0)</f>
        <v>0</v>
      </c>
      <c r="K1064" s="4">
        <f>IFERROR(__xludf.DUMMYFUNCTION("IF(H1064="""","""",
SUM(
ARRAYFORMULA(
IF(
REGEXMATCH(
"" ""&amp;H1064&amp;"" "",
"" ""&amp;Sentiment_Words!B$2:B3730&amp;"" ""
),
1,
0
)
)
)
)"),0.0)</f>
        <v>0</v>
      </c>
      <c r="L1064" s="7" t="str">
        <f t="shared" si="3"/>
        <v>Other</v>
      </c>
      <c r="M1064" s="7" t="str">
        <f t="shared" si="4"/>
        <v>Neutral</v>
      </c>
      <c r="N1064" s="7" t="str">
        <f>IFERROR(__xludf.DUMMYFUNCTION("LOWER(
TRIM(
REGEXREPLACE(B1064,""[^a-zA-Z\s]"","""")
)
)
"),"linda clark")</f>
        <v>linda clark</v>
      </c>
      <c r="O1064" s="7">
        <f t="shared" si="5"/>
        <v>1</v>
      </c>
      <c r="P1064" s="8" t="str">
        <f t="shared" si="6"/>
        <v>No</v>
      </c>
    </row>
    <row r="1065">
      <c r="A1065" s="4" t="s">
        <v>16</v>
      </c>
      <c r="B1065" s="4" t="s">
        <v>3028</v>
      </c>
      <c r="C1065" s="5">
        <v>44693.0</v>
      </c>
      <c r="D1065" s="10">
        <v>44909.0</v>
      </c>
      <c r="E1065" s="4" t="s">
        <v>3029</v>
      </c>
      <c r="F1065" s="4" t="s">
        <v>3030</v>
      </c>
      <c r="G1065" s="6" t="str">
        <f>IFERROR(__xludf.DUMMYFUNCTION("REGEXREPLACE(LOWER(F1065),""[^a-z\s]"","""")"),"great selection of dog foods and snacks and great customer service order arrive in just a few days")</f>
        <v>great selection of dog foods and snacks and great customer service order arrive in just a few days</v>
      </c>
      <c r="H1065" s="4" t="str">
        <f t="shared" si="1"/>
        <v>great selection of dog foods snacks great customer service order arrive in just a few days</v>
      </c>
      <c r="I1065" s="6">
        <f t="shared" si="2"/>
        <v>16</v>
      </c>
      <c r="J1065" s="6">
        <f>IFERROR(__xludf.DUMMYFUNCTION("IF(H1065="""","""",
SUM(
ARRAYFORMULA(
IF(
REGEXMATCH(
"" ""&amp;H1065&amp;"" "",
"" ""&amp;Sentiment_Words!A$2:A3730&amp;"" ""
),
1,
0
)
)
)
)"),2.0)</f>
        <v>2</v>
      </c>
      <c r="K1065" s="4">
        <f>IFERROR(__xludf.DUMMYFUNCTION("IF(H1065="""","""",
SUM(
ARRAYFORMULA(
IF(
REGEXMATCH(
"" ""&amp;H1065&amp;"" "",
"" ""&amp;Sentiment_Words!B$2:B3730&amp;"" ""
),
1,
0
)
)
)
)"),1.0)</f>
        <v>1</v>
      </c>
      <c r="L1065" s="7" t="str">
        <f t="shared" si="3"/>
        <v>Customer Support</v>
      </c>
      <c r="M1065" s="7" t="str">
        <f t="shared" si="4"/>
        <v>Positive</v>
      </c>
      <c r="N1065" s="7" t="str">
        <f>IFERROR(__xludf.DUMMYFUNCTION("LOWER(
TRIM(
REGEXREPLACE(B1065,""[^a-zA-Z\s]"","""")
)
)
"),"roger ray")</f>
        <v>roger ray</v>
      </c>
      <c r="O1065" s="7">
        <f t="shared" si="5"/>
        <v>1</v>
      </c>
      <c r="P1065" s="8" t="str">
        <f t="shared" si="6"/>
        <v>No</v>
      </c>
    </row>
    <row r="1066">
      <c r="A1066" s="4" t="s">
        <v>16</v>
      </c>
      <c r="B1066" s="4" t="s">
        <v>3031</v>
      </c>
      <c r="C1066" s="9">
        <v>44896.0</v>
      </c>
      <c r="D1066" s="10">
        <v>44909.0</v>
      </c>
      <c r="E1066" s="4" t="s">
        <v>3032</v>
      </c>
      <c r="F1066" s="4" t="s">
        <v>3033</v>
      </c>
      <c r="G1066" s="6" t="str">
        <f>IFERROR(__xludf.DUMMYFUNCTION("REGEXREPLACE(LOWER(F1066),""[^a-z\s]"","""")"),"great price quick shipping and delivery")</f>
        <v>great price quick shipping and delivery</v>
      </c>
      <c r="H1066" s="4" t="str">
        <f t="shared" si="1"/>
        <v>great price quick shipping delivery</v>
      </c>
      <c r="I1066" s="6">
        <f t="shared" si="2"/>
        <v>5</v>
      </c>
      <c r="J1066" s="6">
        <f>IFERROR(__xludf.DUMMYFUNCTION("IF(H1066="""","""",
SUM(
ARRAYFORMULA(
IF(
REGEXMATCH(
"" ""&amp;H1066&amp;"" "",
"" ""&amp;Sentiment_Words!A$2:A3730&amp;"" ""
),
1,
0
)
)
)
)"),1.0)</f>
        <v>1</v>
      </c>
      <c r="K1066" s="4">
        <f>IFERROR(__xludf.DUMMYFUNCTION("IF(H1066="""","""",
SUM(
ARRAYFORMULA(
IF(
REGEXMATCH(
"" ""&amp;H1066&amp;"" "",
"" ""&amp;Sentiment_Words!B$2:B3730&amp;"" ""
),
1,
0
)
)
)
)"),0.0)</f>
        <v>0</v>
      </c>
      <c r="L1066" s="7" t="str">
        <f t="shared" si="3"/>
        <v>Other</v>
      </c>
      <c r="M1066" s="7" t="str">
        <f t="shared" si="4"/>
        <v>Positive</v>
      </c>
      <c r="N1066" s="7" t="str">
        <f>IFERROR(__xludf.DUMMYFUNCTION("LOWER(
TRIM(
REGEXREPLACE(B1066,""[^a-zA-Z\s]"","""")
)
)
"),"dawn")</f>
        <v>dawn</v>
      </c>
      <c r="O1066" s="7">
        <f t="shared" si="5"/>
        <v>1</v>
      </c>
      <c r="P1066" s="8" t="str">
        <f t="shared" si="6"/>
        <v>No</v>
      </c>
    </row>
    <row r="1067">
      <c r="A1067" s="4" t="s">
        <v>16</v>
      </c>
      <c r="B1067" s="4" t="s">
        <v>3034</v>
      </c>
      <c r="C1067" s="9">
        <v>44901.0</v>
      </c>
      <c r="D1067" s="10">
        <v>44909.0</v>
      </c>
      <c r="E1067" s="4" t="s">
        <v>3035</v>
      </c>
      <c r="F1067" s="4" t="s">
        <v>3036</v>
      </c>
      <c r="G1067" s="6" t="str">
        <f>IFERROR(__xludf.DUMMYFUNCTION("REGEXREPLACE(LOWER(F1067),""[^a-z\s]"","""")"),"love the prices and quick service my only concern is i cant seem to apply the auto ship discount")</f>
        <v>love the prices and quick service my only concern is i cant seem to apply the auto ship discount</v>
      </c>
      <c r="H1067" s="4" t="str">
        <f t="shared" si="1"/>
        <v>love prices quick service my only concern i cant seem apply auto ship discount</v>
      </c>
      <c r="I1067" s="6">
        <f t="shared" si="2"/>
        <v>14</v>
      </c>
      <c r="J1067" s="6">
        <f>IFERROR(__xludf.DUMMYFUNCTION("IF(H1067="""","""",
SUM(
ARRAYFORMULA(
IF(
REGEXMATCH(
"" ""&amp;H1067&amp;"" "",
"" ""&amp;Sentiment_Words!A$2:A3730&amp;"" ""
),
1,
0
)
)
)
)"),2.0)</f>
        <v>2</v>
      </c>
      <c r="K1067" s="4">
        <f>IFERROR(__xludf.DUMMYFUNCTION("IF(H1067="""","""",
SUM(
ARRAYFORMULA(
IF(
REGEXMATCH(
"" ""&amp;H1067&amp;"" "",
"" ""&amp;Sentiment_Words!B$2:B3730&amp;"" ""
),
1,
0
)
)
)
)"),0.0)</f>
        <v>0</v>
      </c>
      <c r="L1067" s="7" t="str">
        <f t="shared" si="3"/>
        <v>Customer Support</v>
      </c>
      <c r="M1067" s="7" t="str">
        <f t="shared" si="4"/>
        <v>Positive</v>
      </c>
      <c r="N1067" s="7" t="str">
        <f>IFERROR(__xludf.DUMMYFUNCTION("LOWER(
TRIM(
REGEXREPLACE(B1067,""[^a-zA-Z\s]"","""")
)
)
"),"lkm")</f>
        <v>lkm</v>
      </c>
      <c r="O1067" s="7">
        <f t="shared" si="5"/>
        <v>1</v>
      </c>
      <c r="P1067" s="8" t="str">
        <f t="shared" si="6"/>
        <v>No</v>
      </c>
    </row>
    <row r="1068">
      <c r="A1068" s="4" t="s">
        <v>16</v>
      </c>
      <c r="B1068" s="4" t="s">
        <v>3037</v>
      </c>
      <c r="C1068" s="9">
        <v>44904.0</v>
      </c>
      <c r="D1068" s="10">
        <v>44909.0</v>
      </c>
      <c r="E1068" s="4" t="s">
        <v>3038</v>
      </c>
      <c r="F1068" s="4" t="s">
        <v>3039</v>
      </c>
      <c r="G1068" s="6" t="str">
        <f>IFERROR(__xludf.DUMMYFUNCTION("REGEXREPLACE(LOWER(F1068),""[^a-z\s]"","""")"),"name brand products fast shipping great couponsdeals")</f>
        <v>name brand products fast shipping great couponsdeals</v>
      </c>
      <c r="H1068" s="4" t="str">
        <f t="shared" si="1"/>
        <v>name brand products fast shipping great couponsdeals</v>
      </c>
      <c r="I1068" s="6">
        <f t="shared" si="2"/>
        <v>7</v>
      </c>
      <c r="J1068" s="6">
        <f>IFERROR(__xludf.DUMMYFUNCTION("IF(H1068="""","""",
SUM(
ARRAYFORMULA(
IF(
REGEXMATCH(
"" ""&amp;H1068&amp;"" "",
"" ""&amp;Sentiment_Words!A$2:A3730&amp;"" ""
),
1,
0
)
)
)
)"),2.0)</f>
        <v>2</v>
      </c>
      <c r="K1068" s="4">
        <f>IFERROR(__xludf.DUMMYFUNCTION("IF(H1068="""","""",
SUM(
ARRAYFORMULA(
IF(
REGEXMATCH(
"" ""&amp;H1068&amp;"" "",
"" ""&amp;Sentiment_Words!B$2:B3730&amp;"" ""
),
1,
0
)
)
)
)"),0.0)</f>
        <v>0</v>
      </c>
      <c r="L1068" s="7" t="str">
        <f t="shared" si="3"/>
        <v>Other</v>
      </c>
      <c r="M1068" s="7" t="str">
        <f t="shared" si="4"/>
        <v>Positive</v>
      </c>
      <c r="N1068" s="7" t="str">
        <f>IFERROR(__xludf.DUMMYFUNCTION("LOWER(
TRIM(
REGEXREPLACE(B1068,""[^a-zA-Z\s]"","""")
)
)
"),"carolynn galaviz")</f>
        <v>carolynn galaviz</v>
      </c>
      <c r="O1068" s="7">
        <f t="shared" si="5"/>
        <v>1</v>
      </c>
      <c r="P1068" s="8" t="str">
        <f t="shared" si="6"/>
        <v>No</v>
      </c>
    </row>
    <row r="1069">
      <c r="A1069" s="4" t="s">
        <v>16</v>
      </c>
      <c r="B1069" s="4" t="s">
        <v>3040</v>
      </c>
      <c r="C1069" s="5">
        <v>44907.0</v>
      </c>
      <c r="D1069" s="10">
        <v>44909.0</v>
      </c>
      <c r="E1069" s="4" t="s">
        <v>3041</v>
      </c>
      <c r="F1069" s="4" t="s">
        <v>3042</v>
      </c>
      <c r="G1069" s="6" t="str">
        <f>IFERROR(__xludf.DUMMYFUNCTION("REGEXREPLACE(LOWER(F1069),""[^a-z\s]"","""")"),"first i was sent the wrong items i called and was told they would ship the right ones out asap the next am i spent over  on dog treats  bags the original delivery took a week customer service emailed me a fed ex label to ship the wrong treats back i had t"&amp;"o drive to a fed ex drop off to do it then the next am i get an email that the right treats were on back order i called to find out how long until i received them they had no idea so i cancelled ny order this was my first time ordering from petflow")</f>
        <v>first i was sent the wrong items i called and was told they would ship the right ones out asap the next am i spent over  on dog treats  bags the original delivery took a week customer service emailed me a fed ex label to ship the wrong treats back i had to drive to a fed ex drop off to do it then the next am i get an email that the right treats were on back order i called to find out how long until i received them they had no idea so i cancelled ny order this was my first time ordering from petflow</v>
      </c>
      <c r="H1069" s="4" t="str">
        <f t="shared" si="1"/>
        <v>first i was sent wrong items i called was told they would ship right ones out asap next am i spent over on dog treats bags original delivery took a week customer service emailed me a fed ex label ship wrong treats back i had drive a fed ex drop off do it then next am i get an email that right treats were on back order i called find out how long until i received them they had no idea so i cancelled ny order this was my first time ordering from petflow</v>
      </c>
      <c r="I1069" s="6">
        <f t="shared" si="2"/>
        <v>94</v>
      </c>
      <c r="J1069" s="6">
        <f>IFERROR(__xludf.DUMMYFUNCTION("IF(H1069="""","""",
SUM(
ARRAYFORMULA(
IF(
REGEXMATCH(
"" ""&amp;H1069&amp;"" "",
"" ""&amp;Sentiment_Words!A$2:A3730&amp;"" ""
),
1,
0
)
)
)
)"),0.0)</f>
        <v>0</v>
      </c>
      <c r="K1069" s="4">
        <f>IFERROR(__xludf.DUMMYFUNCTION("IF(H1069="""","""",
SUM(
ARRAYFORMULA(
IF(
REGEXMATCH(
"" ""&amp;H1069&amp;"" "",
"" ""&amp;Sentiment_Words!B$2:B3730&amp;"" ""
),
1,
0
)
)
)
)"),3.0)</f>
        <v>3</v>
      </c>
      <c r="L1069" s="7" t="str">
        <f t="shared" si="3"/>
        <v>Customer Support</v>
      </c>
      <c r="M1069" s="7" t="str">
        <f t="shared" si="4"/>
        <v>Negative</v>
      </c>
      <c r="N1069" s="7" t="str">
        <f>IFERROR(__xludf.DUMMYFUNCTION("LOWER(
TRIM(
REGEXREPLACE(B1069,""[^a-zA-Z\s]"","""")
)
)
"),"kelly lafrance")</f>
        <v>kelly lafrance</v>
      </c>
      <c r="O1069" s="7">
        <f t="shared" si="5"/>
        <v>1</v>
      </c>
      <c r="P1069" s="8" t="str">
        <f t="shared" si="6"/>
        <v>No</v>
      </c>
    </row>
    <row r="1070">
      <c r="A1070" s="4" t="s">
        <v>16</v>
      </c>
      <c r="B1070" s="4" t="s">
        <v>739</v>
      </c>
      <c r="C1070" s="9">
        <v>44897.0</v>
      </c>
      <c r="D1070" s="10">
        <v>44909.0</v>
      </c>
      <c r="E1070" s="4" t="s">
        <v>3043</v>
      </c>
      <c r="F1070" s="4" t="s">
        <v>3044</v>
      </c>
      <c r="G1070" s="6" t="str">
        <f>IFERROR(__xludf.DUMMYFUNCTION("REGEXREPLACE(LOWER(F1070),""[^a-z\s]"","""")"),"ordered the natures logic food at a great price delivered quickly shipping free
what is not to like about this")</f>
        <v>ordered the natures logic food at a great price delivered quickly shipping free
what is not to like about this</v>
      </c>
      <c r="H1070" s="4" t="str">
        <f t="shared" si="1"/>
        <v>ordered natures logic food at a great price delivered quickly shipping free
what not like about this</v>
      </c>
      <c r="I1070" s="6">
        <f t="shared" si="2"/>
        <v>16</v>
      </c>
      <c r="J1070" s="6">
        <f>IFERROR(__xludf.DUMMYFUNCTION("IF(H1070="""","""",
SUM(
ARRAYFORMULA(
IF(
REGEXMATCH(
"" ""&amp;H1070&amp;"" "",
"" ""&amp;Sentiment_Words!A$2:A3730&amp;"" ""
),
1,
0
)
)
)
)"),2.0)</f>
        <v>2</v>
      </c>
      <c r="K1070" s="4">
        <f>IFERROR(__xludf.DUMMYFUNCTION("IF(H1070="""","""",
SUM(
ARRAYFORMULA(
IF(
REGEXMATCH(
"" ""&amp;H1070&amp;"" "",
"" ""&amp;Sentiment_Words!B$2:B3730&amp;"" ""
),
1,
0
)
)
)
)"),0.0)</f>
        <v>0</v>
      </c>
      <c r="L1070" s="7" t="str">
        <f t="shared" si="3"/>
        <v>Other</v>
      </c>
      <c r="M1070" s="7" t="str">
        <f t="shared" si="4"/>
        <v>Positive</v>
      </c>
      <c r="N1070" s="7" t="str">
        <f>IFERROR(__xludf.DUMMYFUNCTION("LOWER(
TRIM(
REGEXREPLACE(B1070,""[^a-zA-Z\s]"","""")
)
)
"),"customer")</f>
        <v>customer</v>
      </c>
      <c r="O1070" s="7">
        <f t="shared" si="5"/>
        <v>54</v>
      </c>
      <c r="P1070" s="8" t="str">
        <f t="shared" si="6"/>
        <v>Yes</v>
      </c>
    </row>
    <row r="1071">
      <c r="A1071" s="4" t="s">
        <v>16</v>
      </c>
      <c r="B1071" s="4" t="s">
        <v>3045</v>
      </c>
      <c r="C1071" s="9">
        <v>44897.0</v>
      </c>
      <c r="D1071" s="10">
        <v>44908.0</v>
      </c>
      <c r="E1071" s="4" t="s">
        <v>3046</v>
      </c>
      <c r="F1071" s="4" t="s">
        <v>3047</v>
      </c>
      <c r="G1071" s="6" t="str">
        <f>IFERROR(__xludf.DUMMYFUNCTION("REGEXREPLACE(LOWER(F1071),""[^a-z\s]"","""")"),"difficult to make an accurate credit card charge")</f>
        <v>difficult to make an accurate credit card charge</v>
      </c>
      <c r="H1071" s="4" t="str">
        <f t="shared" si="1"/>
        <v>difficult make an accurate credit card charge</v>
      </c>
      <c r="I1071" s="6">
        <f t="shared" si="2"/>
        <v>7</v>
      </c>
      <c r="J1071" s="6">
        <f>IFERROR(__xludf.DUMMYFUNCTION("IF(H1071="""","""",
SUM(
ARRAYFORMULA(
IF(
REGEXMATCH(
"" ""&amp;H1071&amp;"" "",
"" ""&amp;Sentiment_Words!A$2:A3730&amp;"" ""
),
1,
0
)
)
)
)"),0.0)</f>
        <v>0</v>
      </c>
      <c r="K1071" s="4">
        <f>IFERROR(__xludf.DUMMYFUNCTION("IF(H1071="""","""",
SUM(
ARRAYFORMULA(
IF(
REGEXMATCH(
"" ""&amp;H1071&amp;"" "",
"" ""&amp;Sentiment_Words!B$2:B3730&amp;"" ""
),
1,
0
)
)
)
)"),0.0)</f>
        <v>0</v>
      </c>
      <c r="L1071" s="7" t="str">
        <f t="shared" si="3"/>
        <v>Other</v>
      </c>
      <c r="M1071" s="7" t="str">
        <f t="shared" si="4"/>
        <v>Neutral</v>
      </c>
      <c r="N1071" s="7" t="str">
        <f>IFERROR(__xludf.DUMMYFUNCTION("LOWER(
TRIM(
REGEXREPLACE(B1071,""[^a-zA-Z\s]"","""")
)
)
"),"bennett")</f>
        <v>bennett</v>
      </c>
      <c r="O1071" s="7">
        <f t="shared" si="5"/>
        <v>1</v>
      </c>
      <c r="P1071" s="8" t="str">
        <f t="shared" si="6"/>
        <v>No</v>
      </c>
    </row>
    <row r="1072">
      <c r="A1072" s="4" t="s">
        <v>16</v>
      </c>
      <c r="B1072" s="4" t="s">
        <v>3048</v>
      </c>
      <c r="C1072" s="9">
        <v>44904.0</v>
      </c>
      <c r="D1072" s="10">
        <v>44908.0</v>
      </c>
      <c r="E1072" s="4" t="s">
        <v>3049</v>
      </c>
      <c r="F1072" s="4" t="s">
        <v>3050</v>
      </c>
      <c r="G1072" s="6" t="str">
        <f>IFERROR(__xludf.DUMMYFUNCTION("REGEXREPLACE(LOWER(F1072),""[^a-z\s]"","""")"),"my shipping box came damaged  nearly falling apart when it arrived at my door
plus my bag of dr marty food was cut with a razor and food was inside the shipping box i have a picture if needed
and finally it took nearly  days i ordered early sunday morni"&amp;"ng and the product arrived late friday evening definitely slower than chewycom which takes  days to arrive after ordering")</f>
        <v>my shipping box came damaged  nearly falling apart when it arrived at my door
plus my bag of dr marty food was cut with a razor and food was inside the shipping box i have a picture if needed
and finally it took nearly  days i ordered early sunday morning and the product arrived late friday evening definitely slower than chewycom which takes  days to arrive after ordering</v>
      </c>
      <c r="H1072" s="4" t="str">
        <f t="shared" si="1"/>
        <v>my shipping box came damaged nearly falling apart when it arrived at my door
plus my bag of dr marty food was cut with a razor food was inside shipping box i have a picture if needed
and finally it took nearly days i ordered early sunday morning product arrived late friday evening definitely slower than chewycom which takes days arrive after ordering</v>
      </c>
      <c r="I1072" s="6">
        <f t="shared" si="2"/>
        <v>61</v>
      </c>
      <c r="J1072" s="6">
        <f>IFERROR(__xludf.DUMMYFUNCTION("IF(H1072="""","""",
SUM(
ARRAYFORMULA(
IF(
REGEXMATCH(
"" ""&amp;H1072&amp;"" "",
"" ""&amp;Sentiment_Words!A$2:A3730&amp;"" ""
),
1,
0
)
)
)
)"),0.0)</f>
        <v>0</v>
      </c>
      <c r="K1072" s="4">
        <f>IFERROR(__xludf.DUMMYFUNCTION("IF(H1072="""","""",
SUM(
ARRAYFORMULA(
IF(
REGEXMATCH(
"" ""&amp;H1072&amp;"" "",
"" ""&amp;Sentiment_Words!B$2:B3730&amp;"" ""
),
1,
0
)
)
)
)"),0.0)</f>
        <v>0</v>
      </c>
      <c r="L1072" s="7" t="str">
        <f t="shared" si="3"/>
        <v>Fulfillment &amp; Shipping</v>
      </c>
      <c r="M1072" s="7" t="str">
        <f t="shared" si="4"/>
        <v>Neutral</v>
      </c>
      <c r="N1072" s="7" t="str">
        <f>IFERROR(__xludf.DUMMYFUNCTION("LOWER(
TRIM(
REGEXREPLACE(B1072,""[^a-zA-Z\s]"","""")
)
)
"),"jeff warmouth")</f>
        <v>jeff warmouth</v>
      </c>
      <c r="O1072" s="7">
        <f t="shared" si="5"/>
        <v>1</v>
      </c>
      <c r="P1072" s="8" t="str">
        <f t="shared" si="6"/>
        <v>No</v>
      </c>
    </row>
    <row r="1073">
      <c r="A1073" s="4" t="s">
        <v>16</v>
      </c>
      <c r="B1073" s="4" t="s">
        <v>3051</v>
      </c>
      <c r="C1073" s="9">
        <v>44901.0</v>
      </c>
      <c r="D1073" s="10">
        <v>44908.0</v>
      </c>
      <c r="E1073" s="4" t="s">
        <v>190</v>
      </c>
      <c r="F1073" s="4" t="s">
        <v>3052</v>
      </c>
      <c r="G1073" s="6" t="str">
        <f>IFERROR(__xludf.DUMMYFUNCTION("REGEXREPLACE(LOWER(F1073),""[^a-z\s]"","""")"),"very good customer service package arrived on time everything that i asked for was in the box complete")</f>
        <v>very good customer service package arrived on time everything that i asked for was in the box complete</v>
      </c>
      <c r="H1073" s="4" t="str">
        <f t="shared" si="1"/>
        <v>very good customer service package arrived on time everything that i asked was in box complete</v>
      </c>
      <c r="I1073" s="6">
        <f t="shared" si="2"/>
        <v>16</v>
      </c>
      <c r="J1073" s="6">
        <f>IFERROR(__xludf.DUMMYFUNCTION("IF(H1073="""","""",
SUM(
ARRAYFORMULA(
IF(
REGEXMATCH(
"" ""&amp;H1073&amp;"" "",
"" ""&amp;Sentiment_Words!A$2:A3730&amp;"" ""
),
1,
0
)
)
)
)"),2.0)</f>
        <v>2</v>
      </c>
      <c r="K1073" s="4">
        <f>IFERROR(__xludf.DUMMYFUNCTION("IF(H1073="""","""",
SUM(
ARRAYFORMULA(
IF(
REGEXMATCH(
"" ""&amp;H1073&amp;"" "",
"" ""&amp;Sentiment_Words!B$2:B3730&amp;"" ""
),
1,
0
)
)
)
)"),1.0)</f>
        <v>1</v>
      </c>
      <c r="L1073" s="7" t="str">
        <f t="shared" si="3"/>
        <v>Customer Support</v>
      </c>
      <c r="M1073" s="7" t="str">
        <f t="shared" si="4"/>
        <v>Positive</v>
      </c>
      <c r="N1073" s="7" t="str">
        <f>IFERROR(__xludf.DUMMYFUNCTION("LOWER(
TRIM(
REGEXREPLACE(B1073,""[^a-zA-Z\s]"","""")
)
)
"),"customer robert elgin")</f>
        <v>customer robert elgin</v>
      </c>
      <c r="O1073" s="7">
        <f t="shared" si="5"/>
        <v>1</v>
      </c>
      <c r="P1073" s="8" t="str">
        <f t="shared" si="6"/>
        <v>No</v>
      </c>
    </row>
    <row r="1074">
      <c r="A1074" s="4" t="s">
        <v>16</v>
      </c>
      <c r="B1074" s="4" t="s">
        <v>3053</v>
      </c>
      <c r="C1074" s="5">
        <v>44907.0</v>
      </c>
      <c r="D1074" s="10">
        <v>44908.0</v>
      </c>
      <c r="E1074" s="4" t="s">
        <v>3054</v>
      </c>
      <c r="F1074" s="4" t="s">
        <v>3055</v>
      </c>
      <c r="G1074" s="6" t="str">
        <f>IFERROR(__xludf.DUMMYFUNCTION("REGEXREPLACE(LOWER(F1074),""[^a-z\s]"","""")"),"i needed a bag of dog food and proceeded with buy it now when i received order confirmation i saw that an item i had previously purchased was still in my cart they said they would not remove an item from my order immediately after i wasnt happy with the i"&amp;"tem when i bought it the first time so now i have ")</f>
        <v>i needed a bag of dog food and proceeded with buy it now when i received order confirmation i saw that an item i had previously purchased was still in my cart they said they would not remove an item from my order immediately after i wasnt happy with the item when i bought it the first time so now i have </v>
      </c>
      <c r="H1074" s="4" t="str">
        <f t="shared" si="1"/>
        <v>i needed a bag of dog food proceeded with buy it now when i received order confirmation i saw that an item i had previously purchased was still in my cart they said they would not remove an item from my order immediately after i wasnt happy with item when i bought it first time so now i have</v>
      </c>
      <c r="I1074" s="6">
        <f t="shared" si="2"/>
        <v>59</v>
      </c>
      <c r="J1074" s="6">
        <f>IFERROR(__xludf.DUMMYFUNCTION("IF(H1074="""","""",
SUM(
ARRAYFORMULA(
IF(
REGEXMATCH(
"" ""&amp;H1074&amp;"" "",
"" ""&amp;Sentiment_Words!A$2:A3730&amp;"" ""
),
1,
0
)
)
)
)"),2.0)</f>
        <v>2</v>
      </c>
      <c r="K1074" s="4">
        <f>IFERROR(__xludf.DUMMYFUNCTION("IF(H1074="""","""",
SUM(
ARRAYFORMULA(
IF(
REGEXMATCH(
"" ""&amp;H1074&amp;"" "",
"" ""&amp;Sentiment_Words!B$2:B3730&amp;"" ""
),
1,
0
)
)
)
)"),0.0)</f>
        <v>0</v>
      </c>
      <c r="L1074" s="7" t="str">
        <f t="shared" si="3"/>
        <v>Other</v>
      </c>
      <c r="M1074" s="7" t="str">
        <f t="shared" si="4"/>
        <v>Positive</v>
      </c>
      <c r="N1074" s="7" t="str">
        <f>IFERROR(__xludf.DUMMYFUNCTION("LOWER(
TRIM(
REGEXREPLACE(B1074,""[^a-zA-Z\s]"","""")
)
)
"),"shaggy phipps")</f>
        <v>shaggy phipps</v>
      </c>
      <c r="O1074" s="7">
        <f t="shared" si="5"/>
        <v>1</v>
      </c>
      <c r="P1074" s="8" t="str">
        <f t="shared" si="6"/>
        <v>No</v>
      </c>
    </row>
    <row r="1075">
      <c r="A1075" s="4" t="s">
        <v>16</v>
      </c>
      <c r="B1075" s="4" t="s">
        <v>3056</v>
      </c>
      <c r="C1075" s="9">
        <v>44903.0</v>
      </c>
      <c r="D1075" s="10">
        <v>44908.0</v>
      </c>
      <c r="E1075" s="4" t="s">
        <v>3057</v>
      </c>
      <c r="F1075" s="4" t="s">
        <v>3058</v>
      </c>
      <c r="G1075" s="6" t="str">
        <f>IFERROR(__xludf.DUMMYFUNCTION("REGEXREPLACE(LOWER(F1075),""[^a-z\s]"","""")"),"products available competitive pricing delivery delay not too bad considering the holidays")</f>
        <v>products available competitive pricing delivery delay not too bad considering the holidays</v>
      </c>
      <c r="H1075" s="4" t="str">
        <f t="shared" si="1"/>
        <v>products available competitive pricing delivery delay not too bad considering holidays</v>
      </c>
      <c r="I1075" s="6">
        <f t="shared" si="2"/>
        <v>11</v>
      </c>
      <c r="J1075" s="6">
        <f>IFERROR(__xludf.DUMMYFUNCTION("IF(H1075="""","""",
SUM(
ARRAYFORMULA(
IF(
REGEXMATCH(
"" ""&amp;H1075&amp;"" "",
"" ""&amp;Sentiment_Words!A$2:A3730&amp;"" ""
),
1,
0
)
)
)
)"),1.0)</f>
        <v>1</v>
      </c>
      <c r="K1075" s="4">
        <f>IFERROR(__xludf.DUMMYFUNCTION("IF(H1075="""","""",
SUM(
ARRAYFORMULA(
IF(
REGEXMATCH(
"" ""&amp;H1075&amp;"" "",
"" ""&amp;Sentiment_Words!B$2:B3730&amp;"" ""
),
1,
0
)
)
)
)"),1.0)</f>
        <v>1</v>
      </c>
      <c r="L1075" s="7" t="str">
        <f t="shared" si="3"/>
        <v>Fulfillment &amp; Shipping</v>
      </c>
      <c r="M1075" s="7" t="str">
        <f t="shared" si="4"/>
        <v>Neutral</v>
      </c>
      <c r="N1075" s="7" t="str">
        <f>IFERROR(__xludf.DUMMYFUNCTION("LOWER(
TRIM(
REGEXREPLACE(B1075,""[^a-zA-Z\s]"","""")
)
)
"),"terry schnitter")</f>
        <v>terry schnitter</v>
      </c>
      <c r="O1075" s="7">
        <f t="shared" si="5"/>
        <v>1</v>
      </c>
      <c r="P1075" s="8" t="str">
        <f t="shared" si="6"/>
        <v>No</v>
      </c>
    </row>
    <row r="1076">
      <c r="A1076" s="4" t="s">
        <v>16</v>
      </c>
      <c r="B1076" s="4" t="s">
        <v>3059</v>
      </c>
      <c r="C1076" s="9">
        <v>44903.0</v>
      </c>
      <c r="D1076" s="10">
        <v>44908.0</v>
      </c>
      <c r="E1076" s="4" t="s">
        <v>3060</v>
      </c>
      <c r="F1076" s="4" t="s">
        <v>3061</v>
      </c>
      <c r="G1076" s="6" t="str">
        <f>IFERROR(__xludf.DUMMYFUNCTION("REGEXREPLACE(LOWER(F1076),""[^a-z\s]"","""")"),"appreciate the great selection of fromm dry dog food service is great and very fast shipping")</f>
        <v>appreciate the great selection of fromm dry dog food service is great and very fast shipping</v>
      </c>
      <c r="H1076" s="4" t="str">
        <f t="shared" si="1"/>
        <v>appreciate great selection of fromm dry dog food service great very fast shipping</v>
      </c>
      <c r="I1076" s="6">
        <f t="shared" si="2"/>
        <v>13</v>
      </c>
      <c r="J1076" s="6">
        <f>IFERROR(__xludf.DUMMYFUNCTION("IF(H1076="""","""",
SUM(
ARRAYFORMULA(
IF(
REGEXMATCH(
"" ""&amp;H1076&amp;"" "",
"" ""&amp;Sentiment_Words!A$2:A3730&amp;"" ""
),
1,
0
)
)
)
)"),2.0)</f>
        <v>2</v>
      </c>
      <c r="K1076" s="4">
        <f>IFERROR(__xludf.DUMMYFUNCTION("IF(H1076="""","""",
SUM(
ARRAYFORMULA(
IF(
REGEXMATCH(
"" ""&amp;H1076&amp;"" "",
"" ""&amp;Sentiment_Words!B$2:B3730&amp;"" ""
),
1,
0
)
)
)
)"),0.0)</f>
        <v>0</v>
      </c>
      <c r="L1076" s="7" t="str">
        <f t="shared" si="3"/>
        <v>Customer Support</v>
      </c>
      <c r="M1076" s="7" t="str">
        <f t="shared" si="4"/>
        <v>Positive</v>
      </c>
      <c r="N1076" s="7" t="str">
        <f>IFERROR(__xludf.DUMMYFUNCTION("LOWER(
TRIM(
REGEXREPLACE(B1076,""[^a-zA-Z\s]"","""")
)
)
"),"glenyce ross")</f>
        <v>glenyce ross</v>
      </c>
      <c r="O1076" s="7">
        <f t="shared" si="5"/>
        <v>1</v>
      </c>
      <c r="P1076" s="8" t="str">
        <f t="shared" si="6"/>
        <v>No</v>
      </c>
    </row>
    <row r="1077">
      <c r="A1077" s="4" t="s">
        <v>16</v>
      </c>
      <c r="B1077" s="4" t="s">
        <v>3062</v>
      </c>
      <c r="C1077" s="9">
        <v>44896.0</v>
      </c>
      <c r="D1077" s="10">
        <v>44908.0</v>
      </c>
      <c r="E1077" s="4" t="s">
        <v>3063</v>
      </c>
      <c r="F1077" s="4" t="s">
        <v>3064</v>
      </c>
      <c r="G1077" s="6" t="str">
        <f>IFERROR(__xludf.DUMMYFUNCTION("REGEXREPLACE(LOWER(F1077),""[^a-z\s]"","""")"),"we have been using petflow for years and they are consistently fast with shipping and if there are any issues maybe x in  years they are responsive and it gets resolved fast thank you ")</f>
        <v>we have been using petflow for years and they are consistently fast with shipping and if there are any issues maybe x in  years they are responsive and it gets resolved fast thank you </v>
      </c>
      <c r="H1077" s="4" t="str">
        <f t="shared" si="1"/>
        <v>we have been using petflow years they are consistently fast with shipping if there are any issues maybe x in years they are responsive it gets resolved fast thank you</v>
      </c>
      <c r="I1077" s="6">
        <f t="shared" si="2"/>
        <v>30</v>
      </c>
      <c r="J1077" s="6">
        <f>IFERROR(__xludf.DUMMYFUNCTION("IF(H1077="""","""",
SUM(
ARRAYFORMULA(
IF(
REGEXMATCH(
"" ""&amp;H1077&amp;"" "",
"" ""&amp;Sentiment_Words!A$2:A3730&amp;"" ""
),
1,
0
)
)
)
)"),2.0)</f>
        <v>2</v>
      </c>
      <c r="K1077" s="4">
        <f>IFERROR(__xludf.DUMMYFUNCTION("IF(H1077="""","""",
SUM(
ARRAYFORMULA(
IF(
REGEXMATCH(
"" ""&amp;H1077&amp;"" "",
"" ""&amp;Sentiment_Words!B$2:B3730&amp;"" ""
),
1,
0
)
)
)
)"),0.0)</f>
        <v>0</v>
      </c>
      <c r="L1077" s="7" t="str">
        <f t="shared" si="3"/>
        <v>Service Recovery</v>
      </c>
      <c r="M1077" s="7" t="str">
        <f t="shared" si="4"/>
        <v>Positive</v>
      </c>
      <c r="N1077" s="7" t="str">
        <f>IFERROR(__xludf.DUMMYFUNCTION("LOWER(
TRIM(
REGEXREPLACE(B1077,""[^a-zA-Z\s]"","""")
)
)
"),"denali")</f>
        <v>denali</v>
      </c>
      <c r="O1077" s="7">
        <f t="shared" si="5"/>
        <v>1</v>
      </c>
      <c r="P1077" s="8" t="str">
        <f t="shared" si="6"/>
        <v>No</v>
      </c>
    </row>
    <row r="1078">
      <c r="A1078" s="4" t="s">
        <v>16</v>
      </c>
      <c r="B1078" s="4" t="s">
        <v>3065</v>
      </c>
      <c r="C1078" s="9">
        <v>44902.0</v>
      </c>
      <c r="D1078" s="10">
        <v>44908.0</v>
      </c>
      <c r="E1078" s="4" t="s">
        <v>3066</v>
      </c>
      <c r="F1078" s="4" t="s">
        <v>3067</v>
      </c>
      <c r="G1078" s="6" t="str">
        <f>IFERROR(__xludf.DUMMYFUNCTION("REGEXREPLACE(LOWER(F1078),""[^a-z\s]"","""")"),"ordered on line for less than in stores and it was delivered to me")</f>
        <v>ordered on line for less than in stores and it was delivered to me</v>
      </c>
      <c r="H1078" s="4" t="str">
        <f t="shared" si="1"/>
        <v>ordered on line less than in stores it was delivered me</v>
      </c>
      <c r="I1078" s="6">
        <f t="shared" si="2"/>
        <v>11</v>
      </c>
      <c r="J1078" s="6">
        <f>IFERROR(__xludf.DUMMYFUNCTION("IF(H1078="""","""",
SUM(
ARRAYFORMULA(
IF(
REGEXMATCH(
"" ""&amp;H1078&amp;"" "",
"" ""&amp;Sentiment_Words!A$2:A3730&amp;"" ""
),
1,
0
)
)
)
)"),1.0)</f>
        <v>1</v>
      </c>
      <c r="K1078" s="4">
        <f>IFERROR(__xludf.DUMMYFUNCTION("IF(H1078="""","""",
SUM(
ARRAYFORMULA(
IF(
REGEXMATCH(
"" ""&amp;H1078&amp;"" "",
"" ""&amp;Sentiment_Words!B$2:B3730&amp;"" ""
),
1,
0
)
)
)
)"),0.0)</f>
        <v>0</v>
      </c>
      <c r="L1078" s="7" t="str">
        <f t="shared" si="3"/>
        <v>Other</v>
      </c>
      <c r="M1078" s="7" t="str">
        <f t="shared" si="4"/>
        <v>Positive</v>
      </c>
      <c r="N1078" s="7" t="str">
        <f>IFERROR(__xludf.DUMMYFUNCTION("LOWER(
TRIM(
REGEXREPLACE(B1078,""[^a-zA-Z\s]"","""")
)
)
"),"robin croce")</f>
        <v>robin croce</v>
      </c>
      <c r="O1078" s="7">
        <f t="shared" si="5"/>
        <v>1</v>
      </c>
      <c r="P1078" s="8" t="str">
        <f t="shared" si="6"/>
        <v>No</v>
      </c>
    </row>
    <row r="1079">
      <c r="A1079" s="4" t="s">
        <v>16</v>
      </c>
      <c r="B1079" s="4" t="s">
        <v>3068</v>
      </c>
      <c r="C1079" s="9">
        <v>44902.0</v>
      </c>
      <c r="D1079" s="10">
        <v>44908.0</v>
      </c>
      <c r="E1079" s="4" t="s">
        <v>3069</v>
      </c>
      <c r="F1079" s="4" t="s">
        <v>3070</v>
      </c>
      <c r="G1079" s="6" t="str">
        <f>IFERROR(__xludf.DUMMYFUNCTION("REGEXREPLACE(LOWER(F1079),""[^a-z\s]"","""")"),"lack of availability of the specific treats i was looking for was the only reason i did not leave a star rating otherwise prices delivery time  correctness of the order was great thanks luka  remi are headoverheels with their tasty treats")</f>
        <v>lack of availability of the specific treats i was looking for was the only reason i did not leave a star rating otherwise prices delivery time  correctness of the order was great thanks luka  remi are headoverheels with their tasty treats</v>
      </c>
      <c r="H1079" s="4" t="str">
        <f t="shared" si="1"/>
        <v>lack of availability of specific treats i was looking was only reason i did not leave a star rating otherwise prices delivery time correctness of order was great thanks luka remi are headoverheels with their tasty treats</v>
      </c>
      <c r="I1079" s="6">
        <f t="shared" si="2"/>
        <v>37</v>
      </c>
      <c r="J1079" s="6">
        <f>IFERROR(__xludf.DUMMYFUNCTION("IF(H1079="""","""",
SUM(
ARRAYFORMULA(
IF(
REGEXMATCH(
"" ""&amp;H1079&amp;"" "",
"" ""&amp;Sentiment_Words!A$2:A3730&amp;"" ""
),
1,
0
)
)
)
)"),1.0)</f>
        <v>1</v>
      </c>
      <c r="K1079" s="4">
        <f>IFERROR(__xludf.DUMMYFUNCTION("IF(H1079="""","""",
SUM(
ARRAYFORMULA(
IF(
REGEXMATCH(
"" ""&amp;H1079&amp;"" "",
"" ""&amp;Sentiment_Words!B$2:B3730&amp;"" ""
),
1,
0
)
)
)
)"),0.0)</f>
        <v>0</v>
      </c>
      <c r="L1079" s="7" t="str">
        <f t="shared" si="3"/>
        <v>Other</v>
      </c>
      <c r="M1079" s="7" t="str">
        <f t="shared" si="4"/>
        <v>Positive</v>
      </c>
      <c r="N1079" s="7" t="str">
        <f>IFERROR(__xludf.DUMMYFUNCTION("LOWER(
TRIM(
REGEXREPLACE(B1079,""[^a-zA-Z\s]"","""")
)
)
"),"fred harrah")</f>
        <v>fred harrah</v>
      </c>
      <c r="O1079" s="7">
        <f t="shared" si="5"/>
        <v>1</v>
      </c>
      <c r="P1079" s="8" t="str">
        <f t="shared" si="6"/>
        <v>No</v>
      </c>
    </row>
    <row r="1080">
      <c r="A1080" s="4" t="s">
        <v>16</v>
      </c>
      <c r="B1080" s="4" t="s">
        <v>3071</v>
      </c>
      <c r="C1080" s="9">
        <v>44903.0</v>
      </c>
      <c r="D1080" s="10">
        <v>44908.0</v>
      </c>
      <c r="E1080" s="4" t="s">
        <v>3072</v>
      </c>
      <c r="F1080" s="4" t="s">
        <v>331</v>
      </c>
      <c r="G1080" s="6" t="str">
        <f>IFERROR(__xludf.DUMMYFUNCTION("REGEXREPLACE(LOWER(F1080),""[^a-z\s]"","""")"),"none")</f>
        <v>none</v>
      </c>
      <c r="H1080" s="4" t="str">
        <f t="shared" si="1"/>
        <v>none</v>
      </c>
      <c r="I1080" s="6">
        <f t="shared" si="2"/>
        <v>1</v>
      </c>
      <c r="J1080" s="6">
        <f>IFERROR(__xludf.DUMMYFUNCTION("IF(H1080="""","""",
SUM(
ARRAYFORMULA(
IF(
REGEXMATCH(
"" ""&amp;H1080&amp;"" "",
"" ""&amp;Sentiment_Words!A$2:A3730&amp;"" ""
),
1,
0
)
)
)
)"),0.0)</f>
        <v>0</v>
      </c>
      <c r="K1080" s="4">
        <f>IFERROR(__xludf.DUMMYFUNCTION("IF(H1080="""","""",
SUM(
ARRAYFORMULA(
IF(
REGEXMATCH(
"" ""&amp;H1080&amp;"" "",
"" ""&amp;Sentiment_Words!B$2:B3730&amp;"" ""
),
1,
0
)
)
)
)"),0.0)</f>
        <v>0</v>
      </c>
      <c r="L1080" s="7" t="str">
        <f t="shared" si="3"/>
        <v>Other</v>
      </c>
      <c r="M1080" s="7" t="str">
        <f t="shared" si="4"/>
        <v>Neutral</v>
      </c>
      <c r="N1080" s="7" t="str">
        <f>IFERROR(__xludf.DUMMYFUNCTION("LOWER(
TRIM(
REGEXREPLACE(B1080,""[^a-zA-Z\s]"","""")
)
)
"),"michele")</f>
        <v>michele</v>
      </c>
      <c r="O1080" s="7">
        <f t="shared" si="5"/>
        <v>5</v>
      </c>
      <c r="P1080" s="8" t="str">
        <f t="shared" si="6"/>
        <v>Yes</v>
      </c>
    </row>
    <row r="1081">
      <c r="A1081" s="4" t="s">
        <v>16</v>
      </c>
      <c r="B1081" s="4" t="s">
        <v>3073</v>
      </c>
      <c r="C1081" s="9">
        <v>44896.0</v>
      </c>
      <c r="D1081" s="10">
        <v>44908.0</v>
      </c>
      <c r="E1081" s="4" t="s">
        <v>3074</v>
      </c>
      <c r="F1081" s="4" t="s">
        <v>331</v>
      </c>
      <c r="G1081" s="6" t="str">
        <f>IFERROR(__xludf.DUMMYFUNCTION("REGEXREPLACE(LOWER(F1081),""[^a-z\s]"","""")"),"none")</f>
        <v>none</v>
      </c>
      <c r="H1081" s="4" t="str">
        <f t="shared" si="1"/>
        <v>none</v>
      </c>
      <c r="I1081" s="6">
        <f t="shared" si="2"/>
        <v>1</v>
      </c>
      <c r="J1081" s="6">
        <f>IFERROR(__xludf.DUMMYFUNCTION("IF(H1081="""","""",
SUM(
ARRAYFORMULA(
IF(
REGEXMATCH(
"" ""&amp;H1081&amp;"" "",
"" ""&amp;Sentiment_Words!A$2:A3730&amp;"" ""
),
1,
0
)
)
)
)"),0.0)</f>
        <v>0</v>
      </c>
      <c r="K1081" s="4">
        <f>IFERROR(__xludf.DUMMYFUNCTION("IF(H1081="""","""",
SUM(
ARRAYFORMULA(
IF(
REGEXMATCH(
"" ""&amp;H1081&amp;"" "",
"" ""&amp;Sentiment_Words!B$2:B3730&amp;"" ""
),
1,
0
)
)
)
)"),0.0)</f>
        <v>0</v>
      </c>
      <c r="L1081" s="7" t="str">
        <f t="shared" si="3"/>
        <v>Other</v>
      </c>
      <c r="M1081" s="7" t="str">
        <f t="shared" si="4"/>
        <v>Neutral</v>
      </c>
      <c r="N1081" s="7" t="str">
        <f>IFERROR(__xludf.DUMMYFUNCTION("LOWER(
TRIM(
REGEXREPLACE(B1081,""[^a-zA-Z\s]"","""")
)
)
"),"mary ann")</f>
        <v>mary ann</v>
      </c>
      <c r="O1081" s="7">
        <f t="shared" si="5"/>
        <v>1</v>
      </c>
      <c r="P1081" s="8" t="str">
        <f t="shared" si="6"/>
        <v>No</v>
      </c>
    </row>
    <row r="1082">
      <c r="A1082" s="4" t="s">
        <v>16</v>
      </c>
      <c r="B1082" s="4" t="s">
        <v>3075</v>
      </c>
      <c r="C1082" s="9">
        <v>44866.0</v>
      </c>
      <c r="D1082" s="10">
        <v>44908.0</v>
      </c>
      <c r="E1082" s="4" t="s">
        <v>3076</v>
      </c>
      <c r="F1082" s="4" t="s">
        <v>3077</v>
      </c>
      <c r="G1082" s="6" t="str">
        <f>IFERROR(__xludf.DUMMYFUNCTION("REGEXREPLACE(LOWER(F1082),""[^a-z\s]"","""")"),"i spoke with customer service weeks ago and my concern was not addressed
my original account was under my personal gmail i had an auto ship on there for years a few months ago my password did not work and when i tried repeatedly to reset it i never receiv"&amp;"ed the reset emailnot even to my spam or junk folder
i opened a new account on my work email
no one has been able to tell me if the auto ship is still on my personal gmail account")</f>
        <v>i spoke with customer service weeks ago and my concern was not addressed
my original account was under my personal gmail i had an auto ship on there for years a few months ago my password did not work and when i tried repeatedly to reset it i never received the reset emailnot even to my spam or junk folder
i opened a new account on my work email
no one has been able to tell me if the auto ship is still on my personal gmail account</v>
      </c>
      <c r="H1082" s="4" t="str">
        <f t="shared" si="1"/>
        <v>i spoke with customer service weeks ago my concern was not addressed
my original account was under my personal gmail i had an auto ship on there years a few months ago my password did not work when i tried repeatedly reset it i never received reset emailnot even my spam or junk folder
i opened a new account on my work email
no one has been able tell me if auto ship still on my personal gmail account</v>
      </c>
      <c r="I1082" s="6">
        <f t="shared" si="2"/>
        <v>76</v>
      </c>
      <c r="J1082" s="6">
        <f>IFERROR(__xludf.DUMMYFUNCTION("IF(H1082="""","""",
SUM(
ARRAYFORMULA(
IF(
REGEXMATCH(
"" ""&amp;H1082&amp;"" "",
"" ""&amp;Sentiment_Words!A$2:A3730&amp;"" ""
),
1,
0
)
)
)
)"),2.0)</f>
        <v>2</v>
      </c>
      <c r="K1082" s="4">
        <f>IFERROR(__xludf.DUMMYFUNCTION("IF(H1082="""","""",
SUM(
ARRAYFORMULA(
IF(
REGEXMATCH(
"" ""&amp;H1082&amp;"" "",
"" ""&amp;Sentiment_Words!B$2:B3730&amp;"" ""
),
1,
0
)
)
)
)"),1.0)</f>
        <v>1</v>
      </c>
      <c r="L1082" s="7" t="str">
        <f t="shared" si="3"/>
        <v>Customer Support</v>
      </c>
      <c r="M1082" s="7" t="str">
        <f t="shared" si="4"/>
        <v>Positive</v>
      </c>
      <c r="N1082" s="7" t="str">
        <f>IFERROR(__xludf.DUMMYFUNCTION("LOWER(
TRIM(
REGEXREPLACE(B1082,""[^a-zA-Z\s]"","""")
)
)
"),"dory rodriguez")</f>
        <v>dory rodriguez</v>
      </c>
      <c r="O1082" s="7">
        <f t="shared" si="5"/>
        <v>1</v>
      </c>
      <c r="P1082" s="8" t="str">
        <f t="shared" si="6"/>
        <v>No</v>
      </c>
    </row>
    <row r="1083">
      <c r="A1083" s="4" t="s">
        <v>16</v>
      </c>
      <c r="B1083" s="4" t="s">
        <v>3078</v>
      </c>
      <c r="C1083" s="5">
        <v>44907.0</v>
      </c>
      <c r="D1083" s="10">
        <v>44907.0</v>
      </c>
      <c r="E1083" s="4" t="s">
        <v>3079</v>
      </c>
      <c r="F1083" s="4" t="s">
        <v>3080</v>
      </c>
      <c r="G1083" s="6" t="str">
        <f>IFERROR(__xludf.DUMMYFUNCTION("REGEXREPLACE(LOWER(F1083),""[^a-z\s]"","""")"),"when i started to really look around petflow offers the best price especially since it comes right to my door in rural vermont dog food has become crazy expensive")</f>
        <v>when i started to really look around petflow offers the best price especially since it comes right to my door in rural vermont dog food has become crazy expensive</v>
      </c>
      <c r="H1083" s="4" t="str">
        <f t="shared" si="1"/>
        <v>when i started really look around petflow offers best price especially since it comes right my door in rural vermont dog food has become crazy expensive</v>
      </c>
      <c r="I1083" s="6">
        <f t="shared" si="2"/>
        <v>26</v>
      </c>
      <c r="J1083" s="6">
        <f>IFERROR(__xludf.DUMMYFUNCTION("IF(H1083="""","""",
SUM(
ARRAYFORMULA(
IF(
REGEXMATCH(
"" ""&amp;H1083&amp;"" "",
"" ""&amp;Sentiment_Words!A$2:A3730&amp;"" ""
),
1,
0
)
)
)
)"),0.0)</f>
        <v>0</v>
      </c>
      <c r="K1083" s="4">
        <f>IFERROR(__xludf.DUMMYFUNCTION("IF(H1083="""","""",
SUM(
ARRAYFORMULA(
IF(
REGEXMATCH(
"" ""&amp;H1083&amp;"" "",
"" ""&amp;Sentiment_Words!B$2:B3730&amp;"" ""
),
1,
0
)
)
)
)"),0.0)</f>
        <v>0</v>
      </c>
      <c r="L1083" s="7" t="str">
        <f t="shared" si="3"/>
        <v>Other</v>
      </c>
      <c r="M1083" s="7" t="str">
        <f t="shared" si="4"/>
        <v>Neutral</v>
      </c>
      <c r="N1083" s="7" t="str">
        <f>IFERROR(__xludf.DUMMYFUNCTION("LOWER(
TRIM(
REGEXREPLACE(B1083,""[^a-zA-Z\s]"","""")
)
)
"),"robert danforth")</f>
        <v>robert danforth</v>
      </c>
      <c r="O1083" s="7">
        <f t="shared" si="5"/>
        <v>1</v>
      </c>
      <c r="P1083" s="8" t="str">
        <f t="shared" si="6"/>
        <v>No</v>
      </c>
    </row>
    <row r="1084">
      <c r="A1084" s="4" t="s">
        <v>16</v>
      </c>
      <c r="B1084" s="4" t="s">
        <v>3081</v>
      </c>
      <c r="C1084" s="5">
        <v>44893.0</v>
      </c>
      <c r="D1084" s="10">
        <v>44907.0</v>
      </c>
      <c r="E1084" s="4" t="s">
        <v>190</v>
      </c>
      <c r="F1084" s="4" t="s">
        <v>3082</v>
      </c>
      <c r="G1084" s="6" t="str">
        <f>IFERROR(__xludf.DUMMYFUNCTION("REGEXREPLACE(LOWER(F1084),""[^a-z\s]"","""")"),"i have used petflow for several years they are a quality organization i recently had an issue with a delivery and a return both issues were resolved quickly one via phone and the other through email they also took the time to follow up and make sure i was"&amp;" satisfied")</f>
        <v>i have used petflow for several years they are a quality organization i recently had an issue with a delivery and a return both issues were resolved quickly one via phone and the other through email they also took the time to follow up and make sure i was satisfied</v>
      </c>
      <c r="H1084" s="4" t="str">
        <f t="shared" si="1"/>
        <v>i have used petflow several years they are a quality organization i recently had an issue with a delivery a return both issues were resolved quickly one via phone other through email they also took time follow up make sure i was satisfied</v>
      </c>
      <c r="I1084" s="6">
        <f t="shared" si="2"/>
        <v>43</v>
      </c>
      <c r="J1084" s="6">
        <f>IFERROR(__xludf.DUMMYFUNCTION("IF(H1084="""","""",
SUM(
ARRAYFORMULA(
IF(
REGEXMATCH(
"" ""&amp;H1084&amp;"" "",
"" ""&amp;Sentiment_Words!A$2:A3730&amp;"" ""
),
1,
0
)
)
)
)"),2.0)</f>
        <v>2</v>
      </c>
      <c r="K1084" s="4">
        <f>IFERROR(__xludf.DUMMYFUNCTION("IF(H1084="""","""",
SUM(
ARRAYFORMULA(
IF(
REGEXMATCH(
"" ""&amp;H1084&amp;"" "",
"" ""&amp;Sentiment_Words!B$2:B3730&amp;"" ""
),
1,
0
)
)
)
)"),1.0)</f>
        <v>1</v>
      </c>
      <c r="L1084" s="7" t="str">
        <f t="shared" si="3"/>
        <v>Service Recovery</v>
      </c>
      <c r="M1084" s="7" t="str">
        <f t="shared" si="4"/>
        <v>Positive</v>
      </c>
      <c r="N1084" s="7" t="str">
        <f>IFERROR(__xludf.DUMMYFUNCTION("LOWER(
TRIM(
REGEXREPLACE(B1084,""[^a-zA-Z\s]"","""")
)
)
"),"kerry ohagen")</f>
        <v>kerry ohagen</v>
      </c>
      <c r="O1084" s="7">
        <f t="shared" si="5"/>
        <v>1</v>
      </c>
      <c r="P1084" s="8" t="str">
        <f t="shared" si="6"/>
        <v>No</v>
      </c>
    </row>
    <row r="1085">
      <c r="A1085" s="4" t="s">
        <v>16</v>
      </c>
      <c r="B1085" s="4" t="s">
        <v>3083</v>
      </c>
      <c r="C1085" s="5">
        <v>44894.0</v>
      </c>
      <c r="D1085" s="10">
        <v>44907.0</v>
      </c>
      <c r="E1085" s="4" t="s">
        <v>3084</v>
      </c>
      <c r="F1085" s="4" t="s">
        <v>3085</v>
      </c>
      <c r="G1085" s="6" t="str">
        <f>IFERROR(__xludf.DUMMYFUNCTION("REGEXREPLACE(LOWER(F1085),""[^a-z\s]"","""")"),"website was easy to maneuver great product selection and good prices along with fast delivery time")</f>
        <v>website was easy to maneuver great product selection and good prices along with fast delivery time</v>
      </c>
      <c r="H1085" s="4" t="str">
        <f t="shared" si="1"/>
        <v>website was easy maneuver great product selection good prices along with fast delivery time</v>
      </c>
      <c r="I1085" s="6">
        <f t="shared" si="2"/>
        <v>14</v>
      </c>
      <c r="J1085" s="6">
        <f>IFERROR(__xludf.DUMMYFUNCTION("IF(H1085="""","""",
SUM(
ARRAYFORMULA(
IF(
REGEXMATCH(
"" ""&amp;H1085&amp;"" "",
"" ""&amp;Sentiment_Words!A$2:A3730&amp;"" ""
),
1,
0
)
)
)
)"),5.0)</f>
        <v>5</v>
      </c>
      <c r="K1085" s="4">
        <f>IFERROR(__xludf.DUMMYFUNCTION("IF(H1085="""","""",
SUM(
ARRAYFORMULA(
IF(
REGEXMATCH(
"" ""&amp;H1085&amp;"" "",
"" ""&amp;Sentiment_Words!B$2:B3730&amp;"" ""
),
1,
0
)
)
)
)"),0.0)</f>
        <v>0</v>
      </c>
      <c r="L1085" s="7" t="str">
        <f t="shared" si="3"/>
        <v>Account &amp; Website</v>
      </c>
      <c r="M1085" s="7" t="str">
        <f t="shared" si="4"/>
        <v>Positive</v>
      </c>
      <c r="N1085" s="7" t="str">
        <f>IFERROR(__xludf.DUMMYFUNCTION("LOWER(
TRIM(
REGEXREPLACE(B1085,""[^a-zA-Z\s]"","""")
)
)
"),"rick cantu")</f>
        <v>rick cantu</v>
      </c>
      <c r="O1085" s="7">
        <f t="shared" si="5"/>
        <v>1</v>
      </c>
      <c r="P1085" s="8" t="str">
        <f t="shared" si="6"/>
        <v>No</v>
      </c>
    </row>
    <row r="1086">
      <c r="A1086" s="4" t="s">
        <v>16</v>
      </c>
      <c r="B1086" s="4" t="s">
        <v>3086</v>
      </c>
      <c r="C1086" s="5">
        <v>44895.0</v>
      </c>
      <c r="D1086" s="10">
        <v>44907.0</v>
      </c>
      <c r="E1086" s="4" t="s">
        <v>3087</v>
      </c>
      <c r="F1086" s="4" t="s">
        <v>3088</v>
      </c>
      <c r="G1086" s="6" t="str">
        <f>IFERROR(__xludf.DUMMYFUNCTION("REGEXREPLACE(LOWER(F1086),""[^a-z\s]"","""")"),"your products are healthy and reasonable in price i also received my purchases in  days and paid no shipping due to buying  and more in merchandise i also get the pleasure to help animals in need thanks for being there")</f>
        <v>your products are healthy and reasonable in price i also received my purchases in  days and paid no shipping due to buying  and more in merchandise i also get the pleasure to help animals in need thanks for being there</v>
      </c>
      <c r="H1086" s="4" t="str">
        <f t="shared" si="1"/>
        <v>your products are healthy reasonable in price i also received my purchases in days paid no shipping due buying more in merchandise i also get pleasure help animals in need thanks being there</v>
      </c>
      <c r="I1086" s="6">
        <f t="shared" si="2"/>
        <v>33</v>
      </c>
      <c r="J1086" s="6">
        <f>IFERROR(__xludf.DUMMYFUNCTION("IF(H1086="""","""",
SUM(
ARRAYFORMULA(
IF(
REGEXMATCH(
"" ""&amp;H1086&amp;"" "",
"" ""&amp;Sentiment_Words!A$2:A3730&amp;"" ""
),
1,
0
)
)
)
)"),0.0)</f>
        <v>0</v>
      </c>
      <c r="K1086" s="4">
        <f>IFERROR(__xludf.DUMMYFUNCTION("IF(H1086="""","""",
SUM(
ARRAYFORMULA(
IF(
REGEXMATCH(
"" ""&amp;H1086&amp;"" "",
"" ""&amp;Sentiment_Words!B$2:B3730&amp;"" ""
),
1,
0
)
)
)
)"),0.0)</f>
        <v>0</v>
      </c>
      <c r="L1086" s="7" t="str">
        <f t="shared" si="3"/>
        <v>Other</v>
      </c>
      <c r="M1086" s="7" t="str">
        <f t="shared" si="4"/>
        <v>Neutral</v>
      </c>
      <c r="N1086" s="7" t="str">
        <f>IFERROR(__xludf.DUMMYFUNCTION("LOWER(
TRIM(
REGEXREPLACE(B1086,""[^a-zA-Z\s]"","""")
)
)
"),"loretta vacek")</f>
        <v>loretta vacek</v>
      </c>
      <c r="O1086" s="7">
        <f t="shared" si="5"/>
        <v>1</v>
      </c>
      <c r="P1086" s="8" t="str">
        <f t="shared" si="6"/>
        <v>No</v>
      </c>
    </row>
    <row r="1087">
      <c r="A1087" s="4" t="s">
        <v>16</v>
      </c>
      <c r="B1087" s="4" t="s">
        <v>3089</v>
      </c>
      <c r="C1087" s="9">
        <v>44903.0</v>
      </c>
      <c r="D1087" s="10">
        <v>44907.0</v>
      </c>
      <c r="E1087" s="4" t="s">
        <v>3090</v>
      </c>
      <c r="F1087" s="4" t="s">
        <v>3091</v>
      </c>
      <c r="G1087" s="6" t="str">
        <f>IFERROR(__xludf.DUMMYFUNCTION("REGEXREPLACE(LOWER(F1087),""[^a-z\s]"","""")"),"found it odd that a very popular item on the internet was discontinued i ordered  but only got one and they refunded my other one fast made
it look like they were selling them too low and stopped so they didnt have to keep filling orders")</f>
        <v>found it odd that a very popular item on the internet was discontinued i ordered  but only got one and they refunded my other one fast made
it look like they were selling them too low and stopped so they didnt have to keep filling orders</v>
      </c>
      <c r="H1087" s="4" t="str">
        <f t="shared" si="1"/>
        <v>found it odd that a very popular item on internet was discontinued i ordered but only got one they refunded my other one fast made
it look like they were selling them too low stopped so they didnt have keep filling orders</v>
      </c>
      <c r="I1087" s="6">
        <f t="shared" si="2"/>
        <v>41</v>
      </c>
      <c r="J1087" s="6">
        <f>IFERROR(__xludf.DUMMYFUNCTION("IF(H1087="""","""",
SUM(
ARRAYFORMULA(
IF(
REGEXMATCH(
"" ""&amp;H1087&amp;"" "",
"" ""&amp;Sentiment_Words!A$2:A3730&amp;"" ""
),
1,
0
)
)
)
)"),2.0)</f>
        <v>2</v>
      </c>
      <c r="K1087" s="4">
        <f>IFERROR(__xludf.DUMMYFUNCTION("IF(H1087="""","""",
SUM(
ARRAYFORMULA(
IF(
REGEXMATCH(
"" ""&amp;H1087&amp;"" "",
"" ""&amp;Sentiment_Words!B$2:B3730&amp;"" ""
),
1,
0
)
)
)
)"),0.0)</f>
        <v>0</v>
      </c>
      <c r="L1087" s="7" t="str">
        <f t="shared" si="3"/>
        <v>Other</v>
      </c>
      <c r="M1087" s="7" t="str">
        <f t="shared" si="4"/>
        <v>Positive</v>
      </c>
      <c r="N1087" s="7" t="str">
        <f>IFERROR(__xludf.DUMMYFUNCTION("LOWER(
TRIM(
REGEXREPLACE(B1087,""[^a-zA-Z\s]"","""")
)
)
"),"edward")</f>
        <v>edward</v>
      </c>
      <c r="O1087" s="7">
        <f t="shared" si="5"/>
        <v>3</v>
      </c>
      <c r="P1087" s="8" t="str">
        <f t="shared" si="6"/>
        <v>Yes</v>
      </c>
    </row>
    <row r="1088">
      <c r="A1088" s="4" t="s">
        <v>16</v>
      </c>
      <c r="B1088" s="4" t="s">
        <v>3092</v>
      </c>
      <c r="C1088" s="5">
        <v>44906.0</v>
      </c>
      <c r="D1088" s="10">
        <v>44907.0</v>
      </c>
      <c r="E1088" s="4" t="s">
        <v>3093</v>
      </c>
      <c r="F1088" s="4" t="s">
        <v>3094</v>
      </c>
      <c r="G1088" s="6" t="str">
        <f>IFERROR(__xludf.DUMMYFUNCTION("REGEXREPLACE(LOWER(F1088),""[^a-z\s]"","""")"),"i like ordering online dont like getting out delivered to my door")</f>
        <v>i like ordering online dont like getting out delivered to my door</v>
      </c>
      <c r="H1088" s="4" t="str">
        <f t="shared" si="1"/>
        <v>i like ordering online dont like getting out delivered my door</v>
      </c>
      <c r="I1088" s="6">
        <f t="shared" si="2"/>
        <v>11</v>
      </c>
      <c r="J1088" s="6">
        <f>IFERROR(__xludf.DUMMYFUNCTION("IF(H1088="""","""",
SUM(
ARRAYFORMULA(
IF(
REGEXMATCH(
"" ""&amp;H1088&amp;"" "",
"" ""&amp;Sentiment_Words!A$2:A3730&amp;"" ""
),
1,
0
)
)
)
)"),1.0)</f>
        <v>1</v>
      </c>
      <c r="K1088" s="4">
        <f>IFERROR(__xludf.DUMMYFUNCTION("IF(H1088="""","""",
SUM(
ARRAYFORMULA(
IF(
REGEXMATCH(
"" ""&amp;H1088&amp;"" "",
"" ""&amp;Sentiment_Words!B$2:B3730&amp;"" ""
),
1,
0
)
)
)
)"),0.0)</f>
        <v>0</v>
      </c>
      <c r="L1088" s="7" t="str">
        <f t="shared" si="3"/>
        <v>Other</v>
      </c>
      <c r="M1088" s="7" t="str">
        <f t="shared" si="4"/>
        <v>Positive</v>
      </c>
      <c r="N1088" s="7" t="str">
        <f>IFERROR(__xludf.DUMMYFUNCTION("LOWER(
TRIM(
REGEXREPLACE(B1088,""[^a-zA-Z\s]"","""")
)
)
"),"wilma mccoy")</f>
        <v>wilma mccoy</v>
      </c>
      <c r="O1088" s="7">
        <f t="shared" si="5"/>
        <v>1</v>
      </c>
      <c r="P1088" s="8" t="str">
        <f t="shared" si="6"/>
        <v>No</v>
      </c>
    </row>
    <row r="1089">
      <c r="A1089" s="4" t="s">
        <v>16</v>
      </c>
      <c r="B1089" s="4" t="s">
        <v>3095</v>
      </c>
      <c r="C1089" s="5">
        <v>44893.0</v>
      </c>
      <c r="D1089" s="10">
        <v>44907.0</v>
      </c>
      <c r="E1089" s="4" t="s">
        <v>3096</v>
      </c>
      <c r="F1089" s="4" t="s">
        <v>3097</v>
      </c>
      <c r="G1089" s="6" t="str">
        <f>IFERROR(__xludf.DUMMYFUNCTION("REGEXREPLACE(LOWER(F1089),""[^a-z\s]"","""")"),"the shipping time is awful when i placed and order it said it will ship the next two days it didnt ship for a whole  weeks")</f>
        <v>the shipping time is awful when i placed and order it said it will ship the next two days it didnt ship for a whole  weeks</v>
      </c>
      <c r="H1089" s="4" t="str">
        <f t="shared" si="1"/>
        <v>shipping time awful when i placed order it said it will ship next two days it didnt ship a whole weeks</v>
      </c>
      <c r="I1089" s="6">
        <f t="shared" si="2"/>
        <v>21</v>
      </c>
      <c r="J1089" s="6">
        <f>IFERROR(__xludf.DUMMYFUNCTION("IF(H1089="""","""",
SUM(
ARRAYFORMULA(
IF(
REGEXMATCH(
"" ""&amp;H1089&amp;"" "",
"" ""&amp;Sentiment_Words!A$2:A3730&amp;"" ""
),
1,
0
)
)
)
)"),0.0)</f>
        <v>0</v>
      </c>
      <c r="K1089" s="4">
        <f>IFERROR(__xludf.DUMMYFUNCTION("IF(H1089="""","""",
SUM(
ARRAYFORMULA(
IF(
REGEXMATCH(
"" ""&amp;H1089&amp;"" "",
"" ""&amp;Sentiment_Words!B$2:B3730&amp;"" ""
),
1,
0
)
)
)
)"),0.0)</f>
        <v>0</v>
      </c>
      <c r="L1089" s="7" t="str">
        <f t="shared" si="3"/>
        <v>Other</v>
      </c>
      <c r="M1089" s="7" t="str">
        <f t="shared" si="4"/>
        <v>Neutral</v>
      </c>
      <c r="N1089" s="7" t="str">
        <f>IFERROR(__xludf.DUMMYFUNCTION("LOWER(
TRIM(
REGEXREPLACE(B1089,""[^a-zA-Z\s]"","""")
)
)
"),"mm nava")</f>
        <v>mm nava</v>
      </c>
      <c r="O1089" s="7">
        <f t="shared" si="5"/>
        <v>1</v>
      </c>
      <c r="P1089" s="8" t="str">
        <f t="shared" si="6"/>
        <v>No</v>
      </c>
    </row>
    <row r="1090">
      <c r="A1090" s="4" t="s">
        <v>16</v>
      </c>
      <c r="B1090" s="4" t="s">
        <v>3098</v>
      </c>
      <c r="C1090" s="9">
        <v>44904.0</v>
      </c>
      <c r="D1090" s="10">
        <v>44907.0</v>
      </c>
      <c r="E1090" s="4" t="s">
        <v>3099</v>
      </c>
      <c r="F1090" s="4" t="s">
        <v>3100</v>
      </c>
      <c r="G1090" s="6" t="str">
        <f>IFERROR(__xludf.DUMMYFUNCTION("REGEXREPLACE(LOWER(F1090),""[^a-z\s]"","""")"),"very reliable when ordering a product even if on backorder you are kept informed impressive")</f>
        <v>very reliable when ordering a product even if on backorder you are kept informed impressive</v>
      </c>
      <c r="H1090" s="4" t="str">
        <f t="shared" si="1"/>
        <v>very reliable when ordering a product even if on backorder you are kept informed impressive</v>
      </c>
      <c r="I1090" s="6">
        <f t="shared" si="2"/>
        <v>15</v>
      </c>
      <c r="J1090" s="6">
        <f>IFERROR(__xludf.DUMMYFUNCTION("IF(H1090="""","""",
SUM(
ARRAYFORMULA(
IF(
REGEXMATCH(
"" ""&amp;H1090&amp;"" "",
"" ""&amp;Sentiment_Words!A$2:A3730&amp;"" ""
),
1,
0
)
)
)
)"),1.0)</f>
        <v>1</v>
      </c>
      <c r="K1090" s="4">
        <f>IFERROR(__xludf.DUMMYFUNCTION("IF(H1090="""","""",
SUM(
ARRAYFORMULA(
IF(
REGEXMATCH(
"" ""&amp;H1090&amp;"" "",
"" ""&amp;Sentiment_Words!B$2:B3730&amp;"" ""
),
1,
0
)
)
)
)"),0.0)</f>
        <v>0</v>
      </c>
      <c r="L1090" s="7" t="str">
        <f t="shared" si="3"/>
        <v>Other</v>
      </c>
      <c r="M1090" s="7" t="str">
        <f t="shared" si="4"/>
        <v>Positive</v>
      </c>
      <c r="N1090" s="7" t="str">
        <f>IFERROR(__xludf.DUMMYFUNCTION("LOWER(
TRIM(
REGEXREPLACE(B1090,""[^a-zA-Z\s]"","""")
)
)
"),"karen forsee")</f>
        <v>karen forsee</v>
      </c>
      <c r="O1090" s="7">
        <f t="shared" si="5"/>
        <v>1</v>
      </c>
      <c r="P1090" s="8" t="str">
        <f t="shared" si="6"/>
        <v>No</v>
      </c>
    </row>
    <row r="1091">
      <c r="A1091" s="4" t="s">
        <v>16</v>
      </c>
      <c r="B1091" s="4" t="s">
        <v>3101</v>
      </c>
      <c r="C1091" s="9">
        <v>44898.0</v>
      </c>
      <c r="D1091" s="10">
        <v>44907.0</v>
      </c>
      <c r="E1091" s="4" t="s">
        <v>3102</v>
      </c>
      <c r="F1091" s="4" t="s">
        <v>3103</v>
      </c>
      <c r="G1091" s="6" t="str">
        <f>IFERROR(__xludf.DUMMYFUNCTION("REGEXREPLACE(LOWER(F1091),""[^a-z\s]"","""")"),"best prices around initially we will see if they continue offering these deals i have referred a few friends so im hoping they dont disappoint")</f>
        <v>best prices around initially we will see if they continue offering these deals i have referred a few friends so im hoping they dont disappoint</v>
      </c>
      <c r="H1091" s="4" t="str">
        <f t="shared" si="1"/>
        <v>best prices around initially we will see if they continue offering these deals i have referred a few friends so im hoping they dont disappoint</v>
      </c>
      <c r="I1091" s="6">
        <f t="shared" si="2"/>
        <v>25</v>
      </c>
      <c r="J1091" s="6">
        <f>IFERROR(__xludf.DUMMYFUNCTION("IF(H1091="""","""",
SUM(
ARRAYFORMULA(
IF(
REGEXMATCH(
"" ""&amp;H1091&amp;"" "",
"" ""&amp;Sentiment_Words!A$2:A3730&amp;"" ""
),
1,
0
)
)
)
)"),0.0)</f>
        <v>0</v>
      </c>
      <c r="K1091" s="4">
        <f>IFERROR(__xludf.DUMMYFUNCTION("IF(H1091="""","""",
SUM(
ARRAYFORMULA(
IF(
REGEXMATCH(
"" ""&amp;H1091&amp;"" "",
"" ""&amp;Sentiment_Words!B$2:B3730&amp;"" ""
),
1,
0
)
)
)
)"),0.0)</f>
        <v>0</v>
      </c>
      <c r="L1091" s="7" t="str">
        <f t="shared" si="3"/>
        <v>Other</v>
      </c>
      <c r="M1091" s="7" t="str">
        <f t="shared" si="4"/>
        <v>Neutral</v>
      </c>
      <c r="N1091" s="7" t="str">
        <f>IFERROR(__xludf.DUMMYFUNCTION("LOWER(
TRIM(
REGEXREPLACE(B1091,""[^a-zA-Z\s]"","""")
)
)
"),"jeff burke")</f>
        <v>jeff burke</v>
      </c>
      <c r="O1091" s="7">
        <f t="shared" si="5"/>
        <v>1</v>
      </c>
      <c r="P1091" s="8" t="str">
        <f t="shared" si="6"/>
        <v>No</v>
      </c>
    </row>
    <row r="1092">
      <c r="A1092" s="4" t="s">
        <v>16</v>
      </c>
      <c r="B1092" s="4" t="s">
        <v>3104</v>
      </c>
      <c r="C1092" s="5">
        <v>44906.0</v>
      </c>
      <c r="D1092" s="10">
        <v>44906.0</v>
      </c>
      <c r="E1092" s="4" t="s">
        <v>3105</v>
      </c>
      <c r="F1092" s="4" t="s">
        <v>3106</v>
      </c>
      <c r="G1092" s="6" t="str">
        <f>IFERROR(__xludf.DUMMYFUNCTION("REGEXREPLACE(LOWER(F1092),""[^a-z\s]"","""")"),"slow shipping slow answer to e mails dont have items in stock")</f>
        <v>slow shipping slow answer to e mails dont have items in stock</v>
      </c>
      <c r="H1092" s="4" t="str">
        <f t="shared" si="1"/>
        <v>slow shipping slow answer e mails dont have items in stock</v>
      </c>
      <c r="I1092" s="6">
        <f t="shared" si="2"/>
        <v>11</v>
      </c>
      <c r="J1092" s="6">
        <f>IFERROR(__xludf.DUMMYFUNCTION("IF(H1092="""","""",
SUM(
ARRAYFORMULA(
IF(
REGEXMATCH(
"" ""&amp;H1092&amp;"" "",
"" ""&amp;Sentiment_Words!A$2:A3730&amp;"" ""
),
1,
0
)
)
)
)"),0.0)</f>
        <v>0</v>
      </c>
      <c r="K1092" s="4">
        <f>IFERROR(__xludf.DUMMYFUNCTION("IF(H1092="""","""",
SUM(
ARRAYFORMULA(
IF(
REGEXMATCH(
"" ""&amp;H1092&amp;"" "",
"" ""&amp;Sentiment_Words!B$2:B3730&amp;"" ""
),
1,
0
)
)
)
)"),0.0)</f>
        <v>0</v>
      </c>
      <c r="L1092" s="7" t="str">
        <f t="shared" si="3"/>
        <v>Other</v>
      </c>
      <c r="M1092" s="7" t="str">
        <f t="shared" si="4"/>
        <v>Neutral</v>
      </c>
      <c r="N1092" s="7" t="str">
        <f>IFERROR(__xludf.DUMMYFUNCTION("LOWER(
TRIM(
REGEXREPLACE(B1092,""[^a-zA-Z\s]"","""")
)
)
"),"joan ginard")</f>
        <v>joan ginard</v>
      </c>
      <c r="O1092" s="7">
        <f t="shared" si="5"/>
        <v>1</v>
      </c>
      <c r="P1092" s="8" t="str">
        <f t="shared" si="6"/>
        <v>No</v>
      </c>
    </row>
    <row r="1093">
      <c r="A1093" s="4" t="s">
        <v>16</v>
      </c>
      <c r="B1093" s="4" t="s">
        <v>3107</v>
      </c>
      <c r="C1093" s="5">
        <v>44905.0</v>
      </c>
      <c r="D1093" s="10">
        <v>44906.0</v>
      </c>
      <c r="E1093" s="4" t="s">
        <v>3108</v>
      </c>
      <c r="F1093" s="4" t="s">
        <v>3109</v>
      </c>
      <c r="G1093" s="6" t="str">
        <f>IFERROR(__xludf.DUMMYFUNCTION("REGEXREPLACE(LOWER(F1093),""[^a-z\s]"","""")"),"im still waiting on my last order i am out of kidney can food i have  dogs i supplement dog treats through amazon as they deliver way quicker but the prescription kidney food i cannot as i tracked my last order it showed its been sitting in the homestead "&amp;"fed ex dept for  days it arrived tues   im writing this review on sat dec th and i still havent received it i called pet flow to ask why is it just sitting at fed ex so long they couldnt tell me either i may go back to chewy as they may be a little more e"&amp;"xpensive but they deliver way quicker")</f>
        <v>im still waiting on my last order i am out of kidney can food i have  dogs i supplement dog treats through amazon as they deliver way quicker but the prescription kidney food i cannot as i tracked my last order it showed its been sitting in the homestead fed ex dept for  days it arrived tues   im writing this review on sat dec th and i still havent received it i called pet flow to ask why is it just sitting at fed ex so long they couldnt tell me either i may go back to chewy as they may be a little more expensive but they deliver way quicker</v>
      </c>
      <c r="H1093" s="4" t="str">
        <f t="shared" si="1"/>
        <v>im still waiting on my last order i am out of kidney can food i have dogs i supplement dog treats through amazon as they deliver way quicker but prescription kidney food i cannot as i tracked my last order it showed its been sitting in homestead fed ex dept days it arrived tues im writing this review on sat dec th i still havent received it i called pet flow ask why it just sitting at fed ex so long they couldnt tell me either i may go back chewy as they may be a little more expensive but they deliver way quicker</v>
      </c>
      <c r="I1093" s="6">
        <f t="shared" si="2"/>
        <v>104</v>
      </c>
      <c r="J1093" s="6">
        <f>IFERROR(__xludf.DUMMYFUNCTION("IF(H1093="""","""",
SUM(
ARRAYFORMULA(
IF(
REGEXMATCH(
"" ""&amp;H1093&amp;"" "",
"" ""&amp;Sentiment_Words!A$2:A3730&amp;"" ""
),
1,
0
)
)
)
)"),0.0)</f>
        <v>0</v>
      </c>
      <c r="K1093" s="4">
        <f>IFERROR(__xludf.DUMMYFUNCTION("IF(H1093="""","""",
SUM(
ARRAYFORMULA(
IF(
REGEXMATCH(
"" ""&amp;H1093&amp;"" "",
"" ""&amp;Sentiment_Words!B$2:B3730&amp;"" ""
),
1,
0
)
)
)
)"),0.0)</f>
        <v>0</v>
      </c>
      <c r="L1093" s="7" t="str">
        <f t="shared" si="3"/>
        <v>Other</v>
      </c>
      <c r="M1093" s="7" t="str">
        <f t="shared" si="4"/>
        <v>Neutral</v>
      </c>
      <c r="N1093" s="7" t="str">
        <f>IFERROR(__xludf.DUMMYFUNCTION("LOWER(
TRIM(
REGEXREPLACE(B1093,""[^a-zA-Z\s]"","""")
)
)
"),"sandra hernandez")</f>
        <v>sandra hernandez</v>
      </c>
      <c r="O1093" s="7">
        <f t="shared" si="5"/>
        <v>1</v>
      </c>
      <c r="P1093" s="8" t="str">
        <f t="shared" si="6"/>
        <v>No</v>
      </c>
    </row>
    <row r="1094">
      <c r="A1094" s="4" t="s">
        <v>16</v>
      </c>
      <c r="B1094" s="4" t="s">
        <v>3110</v>
      </c>
      <c r="C1094" s="5">
        <v>44895.0</v>
      </c>
      <c r="D1094" s="10">
        <v>44906.0</v>
      </c>
      <c r="E1094" s="4" t="s">
        <v>3111</v>
      </c>
      <c r="F1094" s="4" t="s">
        <v>3112</v>
      </c>
      <c r="G1094" s="6" t="str">
        <f>IFERROR(__xludf.DUMMYFUNCTION("REGEXREPLACE(LOWER(F1094),""[^a-z\s]"","""")"),"i just started using you a few months ago and was a little concerned because of some of your reviews but i liked your prices and thought id give you a try glad i did you have totally delivered for me ive had several large orders for dog and cat products  "&amp;" star")</f>
        <v>i just started using you a few months ago and was a little concerned because of some of your reviews but i liked your prices and thought id give you a try glad i did you have totally delivered for me ive had several large orders for dog and cat products   star</v>
      </c>
      <c r="H1094" s="4" t="str">
        <f t="shared" si="1"/>
        <v>i just started using you a few months ago was a little concerned because of some of your reviews but i liked your prices thought id give you a try glad i did you have totally delivered me ive had several large orders dog cat products star</v>
      </c>
      <c r="I1094" s="6">
        <f t="shared" si="2"/>
        <v>47</v>
      </c>
      <c r="J1094" s="6">
        <f>IFERROR(__xludf.DUMMYFUNCTION("IF(H1094="""","""",
SUM(
ARRAYFORMULA(
IF(
REGEXMATCH(
"" ""&amp;H1094&amp;"" "",
"" ""&amp;Sentiment_Words!A$2:A3730&amp;"" ""
),
1,
0
)
)
)
)"),1.0)</f>
        <v>1</v>
      </c>
      <c r="K1094" s="4">
        <f>IFERROR(__xludf.DUMMYFUNCTION("IF(H1094="""","""",
SUM(
ARRAYFORMULA(
IF(
REGEXMATCH(
"" ""&amp;H1094&amp;"" "",
"" ""&amp;Sentiment_Words!B$2:B3730&amp;"" ""
),
1,
0
)
)
)
)"),0.0)</f>
        <v>0</v>
      </c>
      <c r="L1094" s="7" t="str">
        <f t="shared" si="3"/>
        <v>Other</v>
      </c>
      <c r="M1094" s="7" t="str">
        <f t="shared" si="4"/>
        <v>Positive</v>
      </c>
      <c r="N1094" s="7" t="str">
        <f>IFERROR(__xludf.DUMMYFUNCTION("LOWER(
TRIM(
REGEXREPLACE(B1094,""[^a-zA-Z\s]"","""")
)
)
"),"rustybritt")</f>
        <v>rustybritt</v>
      </c>
      <c r="O1094" s="7">
        <f t="shared" si="5"/>
        <v>1</v>
      </c>
      <c r="P1094" s="8" t="str">
        <f t="shared" si="6"/>
        <v>No</v>
      </c>
    </row>
    <row r="1095">
      <c r="A1095" s="4" t="s">
        <v>16</v>
      </c>
      <c r="B1095" s="4" t="s">
        <v>3113</v>
      </c>
      <c r="C1095" s="9">
        <v>44896.0</v>
      </c>
      <c r="D1095" s="10">
        <v>44906.0</v>
      </c>
      <c r="E1095" s="4" t="s">
        <v>3114</v>
      </c>
      <c r="F1095" s="4" t="s">
        <v>3115</v>
      </c>
      <c r="G1095" s="6" t="str">
        <f>IFERROR(__xludf.DUMMYFUNCTION("REGEXREPLACE(LOWER(F1095),""[^a-z\s]"","""")"),"ive been a client for some time i had just bought a  lb bag of merrick senior dog food the vet said that my  year old dog reacted badly to the ingredients in the senior food which caused severe diarrhea and to go back to what i had been doing the person w"&amp;"ho answered my call credited my account with no complaints very graciously and professionally i was able to get my dogs regular food and the probiotics that he needs")</f>
        <v>ive been a client for some time i had just bought a  lb bag of merrick senior dog food the vet said that my  year old dog reacted badly to the ingredients in the senior food which caused severe diarrhea and to go back to what i had been doing the person who answered my call credited my account with no complaints very graciously and professionally i was able to get my dogs regular food and the probiotics that he needs</v>
      </c>
      <c r="H1095" s="4" t="str">
        <f t="shared" si="1"/>
        <v>ive been a client some time i had just bought a lb bag of merrick senior dog food vet said that my year old dog reacted badly ingredients in senior food which caused severe diarrhea go back what i had been doing person who answered my call credited my account with no complaints very graciously professionally i was able get my dogs regular food probiotics that he needs</v>
      </c>
      <c r="I1095" s="6">
        <f t="shared" si="2"/>
        <v>68</v>
      </c>
      <c r="J1095" s="6">
        <f>IFERROR(__xludf.DUMMYFUNCTION("IF(H1095="""","""",
SUM(
ARRAYFORMULA(
IF(
REGEXMATCH(
"" ""&amp;H1095&amp;"" "",
"" ""&amp;Sentiment_Words!A$2:A3730&amp;"" ""
),
1,
0
)
)
)
)"),1.0)</f>
        <v>1</v>
      </c>
      <c r="K1095" s="4">
        <f>IFERROR(__xludf.DUMMYFUNCTION("IF(H1095="""","""",
SUM(
ARRAYFORMULA(
IF(
REGEXMATCH(
"" ""&amp;H1095&amp;"" "",
"" ""&amp;Sentiment_Words!B$2:B3730&amp;"" ""
),
1,
0
)
)
)
)"),1.0)</f>
        <v>1</v>
      </c>
      <c r="L1095" s="7" t="str">
        <f t="shared" si="3"/>
        <v>Account &amp; Website</v>
      </c>
      <c r="M1095" s="7" t="str">
        <f t="shared" si="4"/>
        <v>Neutral</v>
      </c>
      <c r="N1095" s="7" t="str">
        <f>IFERROR(__xludf.DUMMYFUNCTION("LOWER(
TRIM(
REGEXREPLACE(B1095,""[^a-zA-Z\s]"","""")
)
)
"),"cristina mednick")</f>
        <v>cristina mednick</v>
      </c>
      <c r="O1095" s="7">
        <f t="shared" si="5"/>
        <v>1</v>
      </c>
      <c r="P1095" s="8" t="str">
        <f t="shared" si="6"/>
        <v>No</v>
      </c>
    </row>
    <row r="1096">
      <c r="A1096" s="4" t="s">
        <v>16</v>
      </c>
      <c r="B1096" s="4" t="s">
        <v>3116</v>
      </c>
      <c r="C1096" s="9">
        <v>44904.0</v>
      </c>
      <c r="D1096" s="10">
        <v>44906.0</v>
      </c>
      <c r="E1096" s="4" t="s">
        <v>3117</v>
      </c>
      <c r="F1096" s="4" t="s">
        <v>3118</v>
      </c>
      <c r="G1096" s="6" t="str">
        <f>IFERROR(__xludf.DUMMYFUNCTION("REGEXREPLACE(LOWER(F1096),""[^a-z\s]"","""")"),"i found this company a couple months ago wow very impressed the product line is outstanding the prices are the best ive seen and last but not least the shipping is super fast ive had such a wonderful experience with their easy online ordering system ive n"&amp;"ever had to contact customer service but id bet they would be just as fantastic as the rest of my experience has been")</f>
        <v>i found this company a couple months ago wow very impressed the product line is outstanding the prices are the best ive seen and last but not least the shipping is super fast ive had such a wonderful experience with their easy online ordering system ive never had to contact customer service but id bet they would be just as fantastic as the rest of my experience has been</v>
      </c>
      <c r="H1096" s="4" t="str">
        <f t="shared" si="1"/>
        <v>i found this company a couple months ago wow very impressed product line outstanding prices are best ive seen last but not least shipping super fast ive had such a wonderful experience with their easy online ordering system ive never had contact customer service but id bet they would be just as fantastic as rest of my experience has been</v>
      </c>
      <c r="I1096" s="6">
        <f t="shared" si="2"/>
        <v>60</v>
      </c>
      <c r="J1096" s="6">
        <f>IFERROR(__xludf.DUMMYFUNCTION("IF(H1096="""","""",
SUM(
ARRAYFORMULA(
IF(
REGEXMATCH(
"" ""&amp;H1096&amp;"" "",
"" ""&amp;Sentiment_Words!A$2:A3730&amp;"" ""
),
1,
0
)
)
)
)"),5.0)</f>
        <v>5</v>
      </c>
      <c r="K1096" s="4">
        <f>IFERROR(__xludf.DUMMYFUNCTION("IF(H1096="""","""",
SUM(
ARRAYFORMULA(
IF(
REGEXMATCH(
"" ""&amp;H1096&amp;"" "",
"" ""&amp;Sentiment_Words!B$2:B3730&amp;"" ""
),
1,
0
)
)
)
)"),1.0)</f>
        <v>1</v>
      </c>
      <c r="L1096" s="7" t="str">
        <f t="shared" si="3"/>
        <v>Customer Support</v>
      </c>
      <c r="M1096" s="7" t="str">
        <f t="shared" si="4"/>
        <v>Positive</v>
      </c>
      <c r="N1096" s="7" t="str">
        <f>IFERROR(__xludf.DUMMYFUNCTION("LOWER(
TRIM(
REGEXREPLACE(B1096,""[^a-zA-Z\s]"","""")
)
)
"),"janice")</f>
        <v>janice</v>
      </c>
      <c r="O1096" s="7">
        <f t="shared" si="5"/>
        <v>3</v>
      </c>
      <c r="P1096" s="8" t="str">
        <f t="shared" si="6"/>
        <v>Yes</v>
      </c>
    </row>
    <row r="1097">
      <c r="A1097" s="4" t="s">
        <v>16</v>
      </c>
      <c r="B1097" s="4" t="s">
        <v>3119</v>
      </c>
      <c r="C1097" s="5">
        <v>44905.0</v>
      </c>
      <c r="D1097" s="10">
        <v>44906.0</v>
      </c>
      <c r="E1097" s="4" t="s">
        <v>3120</v>
      </c>
      <c r="F1097" s="4" t="s">
        <v>3121</v>
      </c>
      <c r="G1097" s="6" t="str">
        <f>IFERROR(__xludf.DUMMYFUNCTION("REGEXREPLACE(LOWER(F1097),""[^a-z\s]"","""")"),"order was easy to place delivery and updates were all great")</f>
        <v>order was easy to place delivery and updates were all great</v>
      </c>
      <c r="H1097" s="4" t="str">
        <f t="shared" si="1"/>
        <v>order was easy place delivery updates were all great</v>
      </c>
      <c r="I1097" s="6">
        <f t="shared" si="2"/>
        <v>9</v>
      </c>
      <c r="J1097" s="6">
        <f>IFERROR(__xludf.DUMMYFUNCTION("IF(H1097="""","""",
SUM(
ARRAYFORMULA(
IF(
REGEXMATCH(
"" ""&amp;H1097&amp;"" "",
"" ""&amp;Sentiment_Words!A$2:A3730&amp;"" ""
),
1,
0
)
)
)
)"),2.0)</f>
        <v>2</v>
      </c>
      <c r="K1097" s="4">
        <f>IFERROR(__xludf.DUMMYFUNCTION("IF(H1097="""","""",
SUM(
ARRAYFORMULA(
IF(
REGEXMATCH(
"" ""&amp;H1097&amp;"" "",
"" ""&amp;Sentiment_Words!B$2:B3730&amp;"" ""
),
1,
0
)
)
)
)"),0.0)</f>
        <v>0</v>
      </c>
      <c r="L1097" s="7" t="str">
        <f t="shared" si="3"/>
        <v>Other</v>
      </c>
      <c r="M1097" s="7" t="str">
        <f t="shared" si="4"/>
        <v>Positive</v>
      </c>
      <c r="N1097" s="7" t="str">
        <f>IFERROR(__xludf.DUMMYFUNCTION("LOWER(
TRIM(
REGEXREPLACE(B1097,""[^a-zA-Z\s]"","""")
)
)
"),"cms")</f>
        <v>cms</v>
      </c>
      <c r="O1097" s="7">
        <f t="shared" si="5"/>
        <v>1</v>
      </c>
      <c r="P1097" s="8" t="str">
        <f t="shared" si="6"/>
        <v>No</v>
      </c>
    </row>
    <row r="1098">
      <c r="A1098" s="4" t="s">
        <v>16</v>
      </c>
      <c r="B1098" s="4" t="s">
        <v>3122</v>
      </c>
      <c r="C1098" s="5">
        <v>44895.0</v>
      </c>
      <c r="D1098" s="10">
        <v>44906.0</v>
      </c>
      <c r="E1098" s="4" t="s">
        <v>3123</v>
      </c>
      <c r="F1098" s="4" t="s">
        <v>3124</v>
      </c>
      <c r="G1098" s="6" t="str">
        <f>IFERROR(__xludf.DUMMYFUNCTION("REGEXREPLACE(LOWER(F1098),""[^a-z\s]"","""")"),"i received no notice of canceled order or assistance in correcting the order")</f>
        <v>i received no notice of canceled order or assistance in correcting the order</v>
      </c>
      <c r="H1098" s="4" t="str">
        <f t="shared" si="1"/>
        <v>i received no notice of canceled order or assistance in correcting order</v>
      </c>
      <c r="I1098" s="6">
        <f t="shared" si="2"/>
        <v>12</v>
      </c>
      <c r="J1098" s="6">
        <f>IFERROR(__xludf.DUMMYFUNCTION("IF(H1098="""","""",
SUM(
ARRAYFORMULA(
IF(
REGEXMATCH(
"" ""&amp;H1098&amp;"" "",
"" ""&amp;Sentiment_Words!A$2:A3730&amp;"" ""
),
1,
0
)
)
)
)"),0.0)</f>
        <v>0</v>
      </c>
      <c r="K1098" s="4">
        <f>IFERROR(__xludf.DUMMYFUNCTION("IF(H1098="""","""",
SUM(
ARRAYFORMULA(
IF(
REGEXMATCH(
"" ""&amp;H1098&amp;"" "",
"" ""&amp;Sentiment_Words!B$2:B3730&amp;"" ""
),
1,
0
)
)
)
)"),0.0)</f>
        <v>0</v>
      </c>
      <c r="L1098" s="7" t="str">
        <f t="shared" si="3"/>
        <v>Other</v>
      </c>
      <c r="M1098" s="7" t="str">
        <f t="shared" si="4"/>
        <v>Neutral</v>
      </c>
      <c r="N1098" s="7" t="str">
        <f>IFERROR(__xludf.DUMMYFUNCTION("LOWER(
TRIM(
REGEXREPLACE(B1098,""[^a-zA-Z\s]"","""")
)
)
"),"nancy gibbs")</f>
        <v>nancy gibbs</v>
      </c>
      <c r="O1098" s="7">
        <f t="shared" si="5"/>
        <v>1</v>
      </c>
      <c r="P1098" s="8" t="str">
        <f t="shared" si="6"/>
        <v>No</v>
      </c>
    </row>
    <row r="1099">
      <c r="A1099" s="4" t="s">
        <v>16</v>
      </c>
      <c r="B1099" s="4" t="s">
        <v>3125</v>
      </c>
      <c r="C1099" s="5">
        <v>44893.0</v>
      </c>
      <c r="D1099" s="10">
        <v>44906.0</v>
      </c>
      <c r="E1099" s="4" t="s">
        <v>3126</v>
      </c>
      <c r="F1099" s="4" t="s">
        <v>3127</v>
      </c>
      <c r="G1099" s="6" t="str">
        <f>IFERROR(__xludf.DUMMYFUNCTION("REGEXREPLACE(LOWER(F1099),""[^a-z\s]"","""")"),"we have ordered for over a year from pet flow and have never experienced any issues what they promise we get i will be staying with them")</f>
        <v>we have ordered for over a year from pet flow and have never experienced any issues what they promise we get i will be staying with them</v>
      </c>
      <c r="H1099" s="4" t="str">
        <f t="shared" si="1"/>
        <v>we have ordered over a year from pet flow have never experienced any issues what they promise we get i will be staying with them</v>
      </c>
      <c r="I1099" s="6">
        <f t="shared" si="2"/>
        <v>25</v>
      </c>
      <c r="J1099" s="6">
        <f>IFERROR(__xludf.DUMMYFUNCTION("IF(H1099="""","""",
SUM(
ARRAYFORMULA(
IF(
REGEXMATCH(
"" ""&amp;H1099&amp;"" "",
"" ""&amp;Sentiment_Words!A$2:A3730&amp;"" ""
),
1,
0
)
)
)
)"),0.0)</f>
        <v>0</v>
      </c>
      <c r="K1099" s="4">
        <f>IFERROR(__xludf.DUMMYFUNCTION("IF(H1099="""","""",
SUM(
ARRAYFORMULA(
IF(
REGEXMATCH(
"" ""&amp;H1099&amp;"" "",
"" ""&amp;Sentiment_Words!B$2:B3730&amp;"" ""
),
1,
0
)
)
)
)"),0.0)</f>
        <v>0</v>
      </c>
      <c r="L1099" s="7" t="str">
        <f t="shared" si="3"/>
        <v>Other</v>
      </c>
      <c r="M1099" s="7" t="str">
        <f t="shared" si="4"/>
        <v>Neutral</v>
      </c>
      <c r="N1099" s="7" t="str">
        <f>IFERROR(__xludf.DUMMYFUNCTION("LOWER(
TRIM(
REGEXREPLACE(B1099,""[^a-zA-Z\s]"","""")
)
)
"),"travis sherman")</f>
        <v>travis sherman</v>
      </c>
      <c r="O1099" s="7">
        <f t="shared" si="5"/>
        <v>1</v>
      </c>
      <c r="P1099" s="8" t="str">
        <f t="shared" si="6"/>
        <v>No</v>
      </c>
    </row>
    <row r="1100">
      <c r="A1100" s="4" t="s">
        <v>16</v>
      </c>
      <c r="B1100" s="4" t="s">
        <v>3128</v>
      </c>
      <c r="C1100" s="5">
        <v>44895.0</v>
      </c>
      <c r="D1100" s="10">
        <v>44906.0</v>
      </c>
      <c r="E1100" s="4" t="s">
        <v>3129</v>
      </c>
      <c r="F1100" s="4" t="s">
        <v>3130</v>
      </c>
      <c r="G1100" s="6" t="str">
        <f>IFERROR(__xludf.DUMMYFUNCTION("REGEXREPLACE(LOWER(F1100),""[^a-z\s]"","""")"),"cheaper price takes a little longer for shipping though")</f>
        <v>cheaper price takes a little longer for shipping though</v>
      </c>
      <c r="H1100" s="4" t="str">
        <f t="shared" si="1"/>
        <v>cheaper price takes a little longer shipping though</v>
      </c>
      <c r="I1100" s="6">
        <f t="shared" si="2"/>
        <v>8</v>
      </c>
      <c r="J1100" s="6">
        <f>IFERROR(__xludf.DUMMYFUNCTION("IF(H1100="""","""",
SUM(
ARRAYFORMULA(
IF(
REGEXMATCH(
"" ""&amp;H1100&amp;"" "",
"" ""&amp;Sentiment_Words!A$2:A3730&amp;"" ""
),
1,
0
)
)
)
)"),1.0)</f>
        <v>1</v>
      </c>
      <c r="K1100" s="4">
        <f>IFERROR(__xludf.DUMMYFUNCTION("IF(H1100="""","""",
SUM(
ARRAYFORMULA(
IF(
REGEXMATCH(
"" ""&amp;H1100&amp;"" "",
"" ""&amp;Sentiment_Words!B$2:B3730&amp;"" ""
),
1,
0
)
)
)
)"),0.0)</f>
        <v>0</v>
      </c>
      <c r="L1100" s="7" t="str">
        <f t="shared" si="3"/>
        <v>Value &amp; Convenience</v>
      </c>
      <c r="M1100" s="7" t="str">
        <f t="shared" si="4"/>
        <v>Positive</v>
      </c>
      <c r="N1100" s="7" t="str">
        <f>IFERROR(__xludf.DUMMYFUNCTION("LOWER(
TRIM(
REGEXREPLACE(B1100,""[^a-zA-Z\s]"","""")
)
)
"),"mel m")</f>
        <v>mel m</v>
      </c>
      <c r="O1100" s="7">
        <f t="shared" si="5"/>
        <v>1</v>
      </c>
      <c r="P1100" s="8" t="str">
        <f t="shared" si="6"/>
        <v>No</v>
      </c>
    </row>
    <row r="1101">
      <c r="A1101" s="4" t="s">
        <v>16</v>
      </c>
      <c r="B1101" s="4" t="s">
        <v>3131</v>
      </c>
      <c r="C1101" s="9">
        <v>44903.0</v>
      </c>
      <c r="D1101" s="10">
        <v>44906.0</v>
      </c>
      <c r="E1101" s="4" t="s">
        <v>3132</v>
      </c>
      <c r="F1101" s="4" t="s">
        <v>331</v>
      </c>
      <c r="G1101" s="6" t="str">
        <f>IFERROR(__xludf.DUMMYFUNCTION("REGEXREPLACE(LOWER(F1101),""[^a-z\s]"","""")"),"none")</f>
        <v>none</v>
      </c>
      <c r="H1101" s="4" t="str">
        <f t="shared" si="1"/>
        <v>none</v>
      </c>
      <c r="I1101" s="6">
        <f t="shared" si="2"/>
        <v>1</v>
      </c>
      <c r="J1101" s="6">
        <f>IFERROR(__xludf.DUMMYFUNCTION("IF(H1101="""","""",
SUM(
ARRAYFORMULA(
IF(
REGEXMATCH(
"" ""&amp;H1101&amp;"" "",
"" ""&amp;Sentiment_Words!A$2:A3730&amp;"" ""
),
1,
0
)
)
)
)"),0.0)</f>
        <v>0</v>
      </c>
      <c r="K1101" s="4">
        <f>IFERROR(__xludf.DUMMYFUNCTION("IF(H1101="""","""",
SUM(
ARRAYFORMULA(
IF(
REGEXMATCH(
"" ""&amp;H1101&amp;"" "",
"" ""&amp;Sentiment_Words!B$2:B3730&amp;"" ""
),
1,
0
)
)
)
)"),0.0)</f>
        <v>0</v>
      </c>
      <c r="L1101" s="7" t="str">
        <f t="shared" si="3"/>
        <v>Other</v>
      </c>
      <c r="M1101" s="7" t="str">
        <f t="shared" si="4"/>
        <v>Neutral</v>
      </c>
      <c r="N1101" s="7" t="str">
        <f>IFERROR(__xludf.DUMMYFUNCTION("LOWER(
TRIM(
REGEXREPLACE(B1101,""[^a-zA-Z\s]"","""")
)
)
"),"kyle pollock")</f>
        <v>kyle pollock</v>
      </c>
      <c r="O1101" s="7">
        <f t="shared" si="5"/>
        <v>1</v>
      </c>
      <c r="P1101" s="8" t="str">
        <f t="shared" si="6"/>
        <v>No</v>
      </c>
    </row>
    <row r="1102">
      <c r="A1102" s="4" t="s">
        <v>16</v>
      </c>
      <c r="B1102" s="4" t="s">
        <v>3133</v>
      </c>
      <c r="C1102" s="5">
        <v>44905.0</v>
      </c>
      <c r="D1102" s="10">
        <v>44905.0</v>
      </c>
      <c r="E1102" s="4" t="s">
        <v>3134</v>
      </c>
      <c r="F1102" s="4" t="s">
        <v>3135</v>
      </c>
      <c r="G1102" s="6" t="str">
        <f>IFERROR(__xludf.DUMMYFUNCTION("REGEXREPLACE(LOWER(F1102),""[^a-z\s]"","""")"),"great service and products i use for my pets")</f>
        <v>great service and products i use for my pets</v>
      </c>
      <c r="H1102" s="4" t="str">
        <f t="shared" si="1"/>
        <v>great service products i use my pets</v>
      </c>
      <c r="I1102" s="6">
        <f t="shared" si="2"/>
        <v>7</v>
      </c>
      <c r="J1102" s="6">
        <f>IFERROR(__xludf.DUMMYFUNCTION("IF(H1102="""","""",
SUM(
ARRAYFORMULA(
IF(
REGEXMATCH(
"" ""&amp;H1102&amp;"" "",
"" ""&amp;Sentiment_Words!A$2:A3730&amp;"" ""
),
1,
0
)
)
)
)"),1.0)</f>
        <v>1</v>
      </c>
      <c r="K1102" s="4">
        <f>IFERROR(__xludf.DUMMYFUNCTION("IF(H1102="""","""",
SUM(
ARRAYFORMULA(
IF(
REGEXMATCH(
"" ""&amp;H1102&amp;"" "",
"" ""&amp;Sentiment_Words!B$2:B3730&amp;"" ""
),
1,
0
)
)
)
)"),0.0)</f>
        <v>0</v>
      </c>
      <c r="L1102" s="7" t="str">
        <f t="shared" si="3"/>
        <v>Customer Support</v>
      </c>
      <c r="M1102" s="7" t="str">
        <f t="shared" si="4"/>
        <v>Positive</v>
      </c>
      <c r="N1102" s="7" t="str">
        <f>IFERROR(__xludf.DUMMYFUNCTION("LOWER(
TRIM(
REGEXREPLACE(B1102,""[^a-zA-Z\s]"","""")
)
)
"),"holly henry west")</f>
        <v>holly henry west</v>
      </c>
      <c r="O1102" s="7">
        <f t="shared" si="5"/>
        <v>1</v>
      </c>
      <c r="P1102" s="8" t="str">
        <f t="shared" si="6"/>
        <v>No</v>
      </c>
    </row>
    <row r="1103">
      <c r="A1103" s="4" t="s">
        <v>16</v>
      </c>
      <c r="B1103" s="4" t="s">
        <v>3136</v>
      </c>
      <c r="C1103" s="9">
        <v>44900.0</v>
      </c>
      <c r="D1103" s="10">
        <v>44905.0</v>
      </c>
      <c r="E1103" s="4" t="s">
        <v>3137</v>
      </c>
      <c r="F1103" s="4" t="s">
        <v>3138</v>
      </c>
      <c r="G1103" s="6" t="str">
        <f>IFERROR(__xludf.DUMMYFUNCTION("REGEXREPLACE(LOWER(F1103),""[^a-z\s]"","""")"),"i have had a subscription dogfood on file for  years that is prescription most of the time it is delayed or outright cancelled then i have to call and change to a different flavor in order to get the dog food the last time this happened i had to change th"&amp;"e flavor twice and request a new order  times before i finally got one to ship i even had the vet send me the prescription written for any flavor which i forwarded to you it seems your software program to the vet is not timely")</f>
        <v>i have had a subscription dogfood on file for  years that is prescription most of the time it is delayed or outright cancelled then i have to call and change to a different flavor in order to get the dog food the last time this happened i had to change the flavor twice and request a new order  times before i finally got one to ship i even had the vet send me the prescription written for any flavor which i forwarded to you it seems your software program to the vet is not timely</v>
      </c>
      <c r="H1103" s="4" t="str">
        <f t="shared" si="1"/>
        <v>i have had a subscription dogfood on file years that prescription most of time it delayed or outright cancelled then i have call change a different flavor in order get dog food last time this happened i had change flavor twice request a new order times before i finally got one ship i even had vet send me prescription written any flavor which i forwarded you it seems your software program vet not timely</v>
      </c>
      <c r="I1103" s="6">
        <f t="shared" si="2"/>
        <v>74</v>
      </c>
      <c r="J1103" s="6">
        <f>IFERROR(__xludf.DUMMYFUNCTION("IF(H1103="""","""",
SUM(
ARRAYFORMULA(
IF(
REGEXMATCH(
"" ""&amp;H1103&amp;"" "",
"" ""&amp;Sentiment_Words!A$2:A3730&amp;"" ""
),
1,
0
)
)
)
)"),0.0)</f>
        <v>0</v>
      </c>
      <c r="K1103" s="4">
        <f>IFERROR(__xludf.DUMMYFUNCTION("IF(H1103="""","""",
SUM(
ARRAYFORMULA(
IF(
REGEXMATCH(
"" ""&amp;H1103&amp;"" "",
"" ""&amp;Sentiment_Words!B$2:B3730&amp;"" ""
),
1,
0
)
)
)
)"),2.0)</f>
        <v>2</v>
      </c>
      <c r="L1103" s="7" t="str">
        <f t="shared" si="3"/>
        <v>Fulfillment &amp; Shipping</v>
      </c>
      <c r="M1103" s="7" t="str">
        <f t="shared" si="4"/>
        <v>Negative</v>
      </c>
      <c r="N1103" s="7" t="str">
        <f>IFERROR(__xludf.DUMMYFUNCTION("LOWER(
TRIM(
REGEXREPLACE(B1103,""[^a-zA-Z\s]"","""")
)
)
"),"karen harper")</f>
        <v>karen harper</v>
      </c>
      <c r="O1103" s="7">
        <f t="shared" si="5"/>
        <v>1</v>
      </c>
      <c r="P1103" s="8" t="str">
        <f t="shared" si="6"/>
        <v>No</v>
      </c>
    </row>
    <row r="1104">
      <c r="A1104" s="4" t="s">
        <v>16</v>
      </c>
      <c r="B1104" s="4" t="s">
        <v>3139</v>
      </c>
      <c r="C1104" s="9">
        <v>44897.0</v>
      </c>
      <c r="D1104" s="10">
        <v>44905.0</v>
      </c>
      <c r="E1104" s="4" t="s">
        <v>3140</v>
      </c>
      <c r="F1104" s="4" t="s">
        <v>3141</v>
      </c>
      <c r="G1104" s="6" t="str">
        <f>IFERROR(__xludf.DUMMYFUNCTION("REGEXREPLACE(LOWER(F1104),""[^a-z\s]"","""")"),"i placed ab order for the first time and the product was not going to arrive for over a week that was unexceptable your competition chewy it arrives usually in two days i cancelled my order o and my auto ship")</f>
        <v>i placed ab order for the first time and the product was not going to arrive for over a week that was unexceptable your competition chewy it arrives usually in two days i cancelled my order o and my auto ship</v>
      </c>
      <c r="H1104" s="4" t="str">
        <f t="shared" si="1"/>
        <v>i placed ab order first time product was not going arrive over a week that was unexceptable your competition chewy it arrives usually in two days i cancelled my order o my auto ship</v>
      </c>
      <c r="I1104" s="6">
        <f t="shared" si="2"/>
        <v>34</v>
      </c>
      <c r="J1104" s="6">
        <f>IFERROR(__xludf.DUMMYFUNCTION("IF(H1104="""","""",
SUM(
ARRAYFORMULA(
IF(
REGEXMATCH(
"" ""&amp;H1104&amp;"" "",
"" ""&amp;Sentiment_Words!A$2:A3730&amp;"" ""
),
1,
0
)
)
)
)"),1.0)</f>
        <v>1</v>
      </c>
      <c r="K1104" s="4">
        <f>IFERROR(__xludf.DUMMYFUNCTION("IF(H1104="""","""",
SUM(
ARRAYFORMULA(
IF(
REGEXMATCH(
"" ""&amp;H1104&amp;"" "",
"" ""&amp;Sentiment_Words!B$2:B3730&amp;"" ""
),
1,
0
)
)
)
)"),1.0)</f>
        <v>1</v>
      </c>
      <c r="L1104" s="7" t="str">
        <f t="shared" si="3"/>
        <v>Other</v>
      </c>
      <c r="M1104" s="7" t="str">
        <f t="shared" si="4"/>
        <v>Neutral</v>
      </c>
      <c r="N1104" s="7" t="str">
        <f>IFERROR(__xludf.DUMMYFUNCTION("LOWER(
TRIM(
REGEXREPLACE(B1104,""[^a-zA-Z\s]"","""")
)
)
"),"kathy harveyjones")</f>
        <v>kathy harveyjones</v>
      </c>
      <c r="O1104" s="7">
        <f t="shared" si="5"/>
        <v>1</v>
      </c>
      <c r="P1104" s="8" t="str">
        <f t="shared" si="6"/>
        <v>No</v>
      </c>
    </row>
    <row r="1105">
      <c r="A1105" s="4" t="s">
        <v>16</v>
      </c>
      <c r="B1105" s="4" t="s">
        <v>3142</v>
      </c>
      <c r="C1105" s="5">
        <v>44889.0</v>
      </c>
      <c r="D1105" s="10">
        <v>44905.0</v>
      </c>
      <c r="E1105" s="4" t="s">
        <v>3143</v>
      </c>
      <c r="F1105" s="4" t="s">
        <v>3144</v>
      </c>
      <c r="G1105" s="6" t="str">
        <f>IFERROR(__xludf.DUMMYFUNCTION("REGEXREPLACE(LOWER(F1105),""[^a-z\s]"","""")"),"reliable delivery dels for autoship")</f>
        <v>reliable delivery dels for autoship</v>
      </c>
      <c r="H1105" s="4" t="str">
        <f t="shared" si="1"/>
        <v>reliable delivery dels autoship</v>
      </c>
      <c r="I1105" s="6">
        <f t="shared" si="2"/>
        <v>4</v>
      </c>
      <c r="J1105" s="6">
        <f>IFERROR(__xludf.DUMMYFUNCTION("IF(H1105="""","""",
SUM(
ARRAYFORMULA(
IF(
REGEXMATCH(
"" ""&amp;H1105&amp;"" "",
"" ""&amp;Sentiment_Words!A$2:A3730&amp;"" ""
),
1,
0
)
)
)
)"),1.0)</f>
        <v>1</v>
      </c>
      <c r="K1105" s="4">
        <f>IFERROR(__xludf.DUMMYFUNCTION("IF(H1105="""","""",
SUM(
ARRAYFORMULA(
IF(
REGEXMATCH(
"" ""&amp;H1105&amp;"" "",
"" ""&amp;Sentiment_Words!B$2:B3730&amp;"" ""
),
1,
0
)
)
)
)"),0.0)</f>
        <v>0</v>
      </c>
      <c r="L1105" s="7" t="str">
        <f t="shared" si="3"/>
        <v>Other</v>
      </c>
      <c r="M1105" s="7" t="str">
        <f t="shared" si="4"/>
        <v>Positive</v>
      </c>
      <c r="N1105" s="7" t="str">
        <f>IFERROR(__xludf.DUMMYFUNCTION("LOWER(
TRIM(
REGEXREPLACE(B1105,""[^a-zA-Z\s]"","""")
)
)
"),"bruce malicki")</f>
        <v>bruce malicki</v>
      </c>
      <c r="O1105" s="7">
        <f t="shared" si="5"/>
        <v>1</v>
      </c>
      <c r="P1105" s="8" t="str">
        <f t="shared" si="6"/>
        <v>No</v>
      </c>
    </row>
    <row r="1106">
      <c r="A1106" s="4" t="s">
        <v>16</v>
      </c>
      <c r="B1106" s="4" t="s">
        <v>3145</v>
      </c>
      <c r="C1106" s="5">
        <v>44894.0</v>
      </c>
      <c r="D1106" s="10">
        <v>44905.0</v>
      </c>
      <c r="E1106" s="4" t="s">
        <v>3146</v>
      </c>
      <c r="F1106" s="4" t="s">
        <v>3147</v>
      </c>
      <c r="G1106" s="6" t="str">
        <f>IFERROR(__xludf.DUMMYFUNCTION("REGEXREPLACE(LOWER(F1106),""[^a-z\s]"","""")"),"fast delivery great prices what else could anyone want")</f>
        <v>fast delivery great prices what else could anyone want</v>
      </c>
      <c r="H1106" s="4" t="str">
        <f t="shared" si="1"/>
        <v>fast delivery great prices what else could anyone want</v>
      </c>
      <c r="I1106" s="6">
        <f t="shared" si="2"/>
        <v>9</v>
      </c>
      <c r="J1106" s="6">
        <f>IFERROR(__xludf.DUMMYFUNCTION("IF(H1106="""","""",
SUM(
ARRAYFORMULA(
IF(
REGEXMATCH(
"" ""&amp;H1106&amp;"" "",
"" ""&amp;Sentiment_Words!A$2:A3730&amp;"" ""
),
1,
0
)
)
)
)"),3.0)</f>
        <v>3</v>
      </c>
      <c r="K1106" s="4">
        <f>IFERROR(__xludf.DUMMYFUNCTION("IF(H1106="""","""",
SUM(
ARRAYFORMULA(
IF(
REGEXMATCH(
"" ""&amp;H1106&amp;"" "",
"" ""&amp;Sentiment_Words!B$2:B3730&amp;"" ""
),
1,
0
)
)
)
)"),0.0)</f>
        <v>0</v>
      </c>
      <c r="L1106" s="7" t="str">
        <f t="shared" si="3"/>
        <v>Other</v>
      </c>
      <c r="M1106" s="7" t="str">
        <f t="shared" si="4"/>
        <v>Positive</v>
      </c>
      <c r="N1106" s="7" t="str">
        <f>IFERROR(__xludf.DUMMYFUNCTION("LOWER(
TRIM(
REGEXREPLACE(B1106,""[^a-zA-Z\s]"","""")
)
)
"),"jeff boak")</f>
        <v>jeff boak</v>
      </c>
      <c r="O1106" s="7">
        <f t="shared" si="5"/>
        <v>1</v>
      </c>
      <c r="P1106" s="8" t="str">
        <f t="shared" si="6"/>
        <v>No</v>
      </c>
    </row>
    <row r="1107">
      <c r="A1107" s="4" t="s">
        <v>16</v>
      </c>
      <c r="B1107" s="4" t="s">
        <v>3148</v>
      </c>
      <c r="C1107" s="9">
        <v>44897.0</v>
      </c>
      <c r="D1107" s="10">
        <v>44904.0</v>
      </c>
      <c r="E1107" s="4" t="s">
        <v>1045</v>
      </c>
      <c r="F1107" s="4" t="s">
        <v>3149</v>
      </c>
      <c r="G1107" s="6" t="str">
        <f>IFERROR(__xludf.DUMMYFUNCTION("REGEXREPLACE(LOWER(F1107),""[^a-z\s]"","""")"),"always get excellent customer service if there is an issue vert easy to deal with")</f>
        <v>always get excellent customer service if there is an issue vert easy to deal with</v>
      </c>
      <c r="H1107" s="4" t="str">
        <f t="shared" si="1"/>
        <v>always get excellent customer service if there an issue vert easy deal with</v>
      </c>
      <c r="I1107" s="6">
        <f t="shared" si="2"/>
        <v>13</v>
      </c>
      <c r="J1107" s="6">
        <f>IFERROR(__xludf.DUMMYFUNCTION("IF(H1107="""","""",
SUM(
ARRAYFORMULA(
IF(
REGEXMATCH(
"" ""&amp;H1107&amp;"" "",
"" ""&amp;Sentiment_Words!A$2:A3730&amp;"" ""
),
1,
0
)
)
)
)"),1.0)</f>
        <v>1</v>
      </c>
      <c r="K1107" s="4">
        <f>IFERROR(__xludf.DUMMYFUNCTION("IF(H1107="""","""",
SUM(
ARRAYFORMULA(
IF(
REGEXMATCH(
"" ""&amp;H1107&amp;"" "",
"" ""&amp;Sentiment_Words!B$2:B3730&amp;"" ""
),
1,
0
)
)
)
)"),2.0)</f>
        <v>2</v>
      </c>
      <c r="L1107" s="7" t="str">
        <f t="shared" si="3"/>
        <v>Customer Support</v>
      </c>
      <c r="M1107" s="7" t="str">
        <f t="shared" si="4"/>
        <v>Negative</v>
      </c>
      <c r="N1107" s="7" t="str">
        <f>IFERROR(__xludf.DUMMYFUNCTION("LOWER(
TRIM(
REGEXREPLACE(B1107,""[^a-zA-Z\s]"","""")
)
)
"),"suzanne l fraccaroli")</f>
        <v>suzanne l fraccaroli</v>
      </c>
      <c r="O1107" s="7">
        <f t="shared" si="5"/>
        <v>1</v>
      </c>
      <c r="P1107" s="8" t="str">
        <f t="shared" si="6"/>
        <v>No</v>
      </c>
    </row>
    <row r="1108">
      <c r="A1108" s="4" t="s">
        <v>16</v>
      </c>
      <c r="B1108" s="4" t="s">
        <v>3150</v>
      </c>
      <c r="C1108" s="9">
        <v>44896.0</v>
      </c>
      <c r="D1108" s="10">
        <v>44904.0</v>
      </c>
      <c r="E1108" s="4" t="s">
        <v>3151</v>
      </c>
      <c r="F1108" s="4" t="s">
        <v>3152</v>
      </c>
      <c r="G1108" s="6" t="str">
        <f>IFERROR(__xludf.DUMMYFUNCTION("REGEXREPLACE(LOWER(F1108),""[^a-z\s]"","""")"),"ordered product and it never shipped i had to call customer service to get it shipped")</f>
        <v>ordered product and it never shipped i had to call customer service to get it shipped</v>
      </c>
      <c r="H1108" s="4" t="str">
        <f t="shared" si="1"/>
        <v>ordered product it never shipped i had call customer service get it shipped</v>
      </c>
      <c r="I1108" s="6">
        <f t="shared" si="2"/>
        <v>13</v>
      </c>
      <c r="J1108" s="6">
        <f>IFERROR(__xludf.DUMMYFUNCTION("IF(H1108="""","""",
SUM(
ARRAYFORMULA(
IF(
REGEXMATCH(
"" ""&amp;H1108&amp;"" "",
"" ""&amp;Sentiment_Words!A$2:A3730&amp;"" ""
),
1,
0
)
)
)
)"),0.0)</f>
        <v>0</v>
      </c>
      <c r="K1108" s="4">
        <f>IFERROR(__xludf.DUMMYFUNCTION("IF(H1108="""","""",
SUM(
ARRAYFORMULA(
IF(
REGEXMATCH(
"" ""&amp;H1108&amp;"" "",
"" ""&amp;Sentiment_Words!B$2:B3730&amp;"" ""
),
1,
0
)
)
)
)"),1.0)</f>
        <v>1</v>
      </c>
      <c r="L1108" s="7" t="str">
        <f t="shared" si="3"/>
        <v>Customer Support</v>
      </c>
      <c r="M1108" s="7" t="str">
        <f t="shared" si="4"/>
        <v>Negative</v>
      </c>
      <c r="N1108" s="7" t="str">
        <f>IFERROR(__xludf.DUMMYFUNCTION("LOWER(
TRIM(
REGEXREPLACE(B1108,""[^a-zA-Z\s]"","""")
)
)
"),"spencer")</f>
        <v>spencer</v>
      </c>
      <c r="O1108" s="7">
        <f t="shared" si="5"/>
        <v>1</v>
      </c>
      <c r="P1108" s="8" t="str">
        <f t="shared" si="6"/>
        <v>No</v>
      </c>
    </row>
    <row r="1109">
      <c r="A1109" s="4" t="s">
        <v>16</v>
      </c>
      <c r="B1109" s="4" t="s">
        <v>3153</v>
      </c>
      <c r="C1109" s="5">
        <v>44894.0</v>
      </c>
      <c r="D1109" s="10">
        <v>44904.0</v>
      </c>
      <c r="E1109" s="4" t="s">
        <v>3154</v>
      </c>
      <c r="F1109" s="4" t="s">
        <v>3155</v>
      </c>
      <c r="G1109" s="6" t="str">
        <f>IFERROR(__xludf.DUMMYFUNCTION("REGEXREPLACE(LOWER(F1109),""[^a-z\s]"","""")"),"after my order being cancelled i dont know maybe three times i emailed them to get it cleared up i explain i moved and got married and mention perhaps its my maiden name  ryan tells me fraud says not to process so first i ask okay whats the reason and do "&amp;"i need to call ryan says they cant give out that information  so i call to clear this up and basically get told to order from another company as im considered a fraud so ridiculous and unhelpful ryans customer services needs work")</f>
        <v>after my order being cancelled i dont know maybe three times i emailed them to get it cleared up i explain i moved and got married and mention perhaps its my maiden name  ryan tells me fraud says not to process so first i ask okay whats the reason and do i need to call ryan says they cant give out that information  so i call to clear this up and basically get told to order from another company as im considered a fraud so ridiculous and unhelpful ryans customer services needs work</v>
      </c>
      <c r="H1109" s="4" t="str">
        <f t="shared" si="1"/>
        <v>after my order being cancelled i dont know maybe three times i emailed them get it cleared up i explain i moved got married mention perhaps its my maiden name ryan tells me fraud says not process so first i ask okay whats reason do i need call ryan says they cant give out that information so i call clear this up basically get told order from another company as im considered a fraud so ridiculous unhelpful ryans customer services needs work</v>
      </c>
      <c r="I1109" s="6">
        <f t="shared" si="2"/>
        <v>82</v>
      </c>
      <c r="J1109" s="6">
        <f>IFERROR(__xludf.DUMMYFUNCTION("IF(H1109="""","""",
SUM(
ARRAYFORMULA(
IF(
REGEXMATCH(
"" ""&amp;H1109&amp;"" "",
"" ""&amp;Sentiment_Words!A$2:A3730&amp;"" ""
),
1,
0
)
)
)
)"),0.0)</f>
        <v>0</v>
      </c>
      <c r="K1109" s="4">
        <f>IFERROR(__xludf.DUMMYFUNCTION("IF(H1109="""","""",
SUM(
ARRAYFORMULA(
IF(
REGEXMATCH(
"" ""&amp;H1109&amp;"" "",
"" ""&amp;Sentiment_Words!B$2:B3730&amp;"" ""
),
1,
0
)
)
)
)"),1.0)</f>
        <v>1</v>
      </c>
      <c r="L1109" s="7" t="str">
        <f t="shared" si="3"/>
        <v>Customer Support</v>
      </c>
      <c r="M1109" s="7" t="str">
        <f t="shared" si="4"/>
        <v>Negative</v>
      </c>
      <c r="N1109" s="7" t="str">
        <f>IFERROR(__xludf.DUMMYFUNCTION("LOWER(
TRIM(
REGEXREPLACE(B1109,""[^a-zA-Z\s]"","""")
)
)
"),"chris marmo")</f>
        <v>chris marmo</v>
      </c>
      <c r="O1109" s="7">
        <f t="shared" si="5"/>
        <v>1</v>
      </c>
      <c r="P1109" s="8" t="str">
        <f t="shared" si="6"/>
        <v>No</v>
      </c>
    </row>
    <row r="1110">
      <c r="A1110" s="4" t="s">
        <v>16</v>
      </c>
      <c r="B1110" s="4" t="s">
        <v>3156</v>
      </c>
      <c r="C1110" s="9">
        <v>44903.0</v>
      </c>
      <c r="D1110" s="10">
        <v>44904.0</v>
      </c>
      <c r="E1110" s="4" t="s">
        <v>3157</v>
      </c>
      <c r="F1110" s="4" t="s">
        <v>3158</v>
      </c>
      <c r="G1110" s="6" t="str">
        <f>IFERROR(__xludf.DUMMYFUNCTION("REGEXREPLACE(LOWER(F1110),""[^a-z\s]"","""")"),"i appreciated the ease of ordering but was not really happy with the shipping time it took too long to come")</f>
        <v>i appreciated the ease of ordering but was not really happy with the shipping time it took too long to come</v>
      </c>
      <c r="H1110" s="4" t="str">
        <f t="shared" si="1"/>
        <v>i appreciated ease of ordering but was not really happy with shipping time it took too long come</v>
      </c>
      <c r="I1110" s="6">
        <f t="shared" si="2"/>
        <v>18</v>
      </c>
      <c r="J1110" s="6">
        <f>IFERROR(__xludf.DUMMYFUNCTION("IF(H1110="""","""",
SUM(
ARRAYFORMULA(
IF(
REGEXMATCH(
"" ""&amp;H1110&amp;"" "",
"" ""&amp;Sentiment_Words!A$2:A3730&amp;"" ""
),
1,
0
)
)
)
)"),1.0)</f>
        <v>1</v>
      </c>
      <c r="K1110" s="4">
        <f>IFERROR(__xludf.DUMMYFUNCTION("IF(H1110="""","""",
SUM(
ARRAYFORMULA(
IF(
REGEXMATCH(
"" ""&amp;H1110&amp;"" "",
"" ""&amp;Sentiment_Words!B$2:B3730&amp;"" ""
),
1,
0
)
)
)
)"),0.0)</f>
        <v>0</v>
      </c>
      <c r="L1110" s="7" t="str">
        <f t="shared" si="3"/>
        <v>Other</v>
      </c>
      <c r="M1110" s="7" t="str">
        <f t="shared" si="4"/>
        <v>Positive</v>
      </c>
      <c r="N1110" s="7" t="str">
        <f>IFERROR(__xludf.DUMMYFUNCTION("LOWER(
TRIM(
REGEXREPLACE(B1110,""[^a-zA-Z\s]"","""")
)
)
"),"amber s")</f>
        <v>amber s</v>
      </c>
      <c r="O1110" s="7">
        <f t="shared" si="5"/>
        <v>1</v>
      </c>
      <c r="P1110" s="8" t="str">
        <f t="shared" si="6"/>
        <v>No</v>
      </c>
    </row>
    <row r="1111">
      <c r="A1111" s="4" t="s">
        <v>16</v>
      </c>
      <c r="B1111" s="4" t="s">
        <v>3159</v>
      </c>
      <c r="C1111" s="9">
        <v>44898.0</v>
      </c>
      <c r="D1111" s="10">
        <v>44904.0</v>
      </c>
      <c r="E1111" s="4" t="s">
        <v>3160</v>
      </c>
      <c r="F1111" s="4" t="s">
        <v>3161</v>
      </c>
      <c r="G1111" s="6" t="str">
        <f>IFERROR(__xludf.DUMMYFUNCTION("REGEXREPLACE(LOWER(F1111),""[^a-z\s]"","""")"),"petflow is great fast and efficient customer service is helpful")</f>
        <v>petflow is great fast and efficient customer service is helpful</v>
      </c>
      <c r="H1111" s="4" t="str">
        <f t="shared" si="1"/>
        <v>petflow great fast efficient customer service helpful</v>
      </c>
      <c r="I1111" s="6">
        <f t="shared" si="2"/>
        <v>7</v>
      </c>
      <c r="J1111" s="6">
        <f>IFERROR(__xludf.DUMMYFUNCTION("IF(H1111="""","""",
SUM(
ARRAYFORMULA(
IF(
REGEXMATCH(
"" ""&amp;H1111&amp;"" "",
"" ""&amp;Sentiment_Words!A$2:A3730&amp;"" ""
),
1,
0
)
)
)
)"),4.0)</f>
        <v>4</v>
      </c>
      <c r="K1111" s="4">
        <f>IFERROR(__xludf.DUMMYFUNCTION("IF(H1111="""","""",
SUM(
ARRAYFORMULA(
IF(
REGEXMATCH(
"" ""&amp;H1111&amp;"" "",
"" ""&amp;Sentiment_Words!B$2:B3730&amp;"" ""
),
1,
0
)
)
)
)"),1.0)</f>
        <v>1</v>
      </c>
      <c r="L1111" s="7" t="str">
        <f t="shared" si="3"/>
        <v>Customer Support</v>
      </c>
      <c r="M1111" s="7" t="str">
        <f t="shared" si="4"/>
        <v>Positive</v>
      </c>
      <c r="N1111" s="7" t="str">
        <f>IFERROR(__xludf.DUMMYFUNCTION("LOWER(
TRIM(
REGEXREPLACE(B1111,""[^a-zA-Z\s]"","""")
)
)
"),"pb")</f>
        <v>pb</v>
      </c>
      <c r="O1111" s="7">
        <f t="shared" si="5"/>
        <v>1</v>
      </c>
      <c r="P1111" s="8" t="str">
        <f t="shared" si="6"/>
        <v>No</v>
      </c>
    </row>
    <row r="1112">
      <c r="A1112" s="4" t="s">
        <v>16</v>
      </c>
      <c r="B1112" s="4" t="s">
        <v>3162</v>
      </c>
      <c r="C1112" s="9">
        <v>44903.0</v>
      </c>
      <c r="D1112" s="10">
        <v>44903.0</v>
      </c>
      <c r="E1112" s="4" t="s">
        <v>3163</v>
      </c>
      <c r="F1112" s="4" t="s">
        <v>3164</v>
      </c>
      <c r="G1112" s="6" t="str">
        <f>IFERROR(__xludf.DUMMYFUNCTION("REGEXREPLACE(LOWER(F1112),""[^a-z\s]"","""")"),"i switched to pet flow from chewy bc their prices got high and their customer service dramatically declined the prices and auto ship discounts are much better at pet flow and their customer service personnel are superior to chewys the only reason i gave  "&amp;"stars is bc they dont carry pet fresh cat litter which is my preferred brand and fancy feast cat food is out of stock often this may not be pet flows fault though i will say they have gotten it to me before i have ever ran out however overall i am happy w"&amp;"ith pet flow and would recommend them")</f>
        <v>i switched to pet flow from chewy bc their prices got high and their customer service dramatically declined the prices and auto ship discounts are much better at pet flow and their customer service personnel are superior to chewys the only reason i gave  stars is bc they dont carry pet fresh cat litter which is my preferred brand and fancy feast cat food is out of stock often this may not be pet flows fault though i will say they have gotten it to me before i have ever ran out however overall i am happy with pet flow and would recommend them</v>
      </c>
      <c r="H1112" s="4" t="str">
        <f t="shared" si="1"/>
        <v>i switched pet flow from chewy bc their prices got high their customer service dramatically declined prices auto ship discounts are much better at pet flow their customer service personnel are superior chewys only reason i gave stars bc they dont carry pet fresh cat litter which my preferred brand fancy feast cat food out of stock often this may not be pet flows fault though i will say they have gotten it me before i have ever ran out however overall i am happy with pet flow would recommend them</v>
      </c>
      <c r="I1112" s="6">
        <f t="shared" si="2"/>
        <v>91</v>
      </c>
      <c r="J1112" s="6">
        <f>IFERROR(__xludf.DUMMYFUNCTION("IF(H1112="""","""",
SUM(
ARRAYFORMULA(
IF(
REGEXMATCH(
"" ""&amp;H1112&amp;"" "",
"" ""&amp;Sentiment_Words!A$2:A3730&amp;"" ""
),
1,
0
)
)
)
)"),2.0)</f>
        <v>2</v>
      </c>
      <c r="K1112" s="4">
        <f>IFERROR(__xludf.DUMMYFUNCTION("IF(H1112="""","""",
SUM(
ARRAYFORMULA(
IF(
REGEXMATCH(
"" ""&amp;H1112&amp;"" "",
"" ""&amp;Sentiment_Words!B$2:B3730&amp;"" ""
),
1,
0
)
)
)
)"),2.0)</f>
        <v>2</v>
      </c>
      <c r="L1112" s="7" t="str">
        <f t="shared" si="3"/>
        <v>Customer Support</v>
      </c>
      <c r="M1112" s="7" t="str">
        <f t="shared" si="4"/>
        <v>Neutral</v>
      </c>
      <c r="N1112" s="7" t="str">
        <f>IFERROR(__xludf.DUMMYFUNCTION("LOWER(
TRIM(
REGEXREPLACE(B1112,""[^a-zA-Z\s]"","""")
)
)
"),"ty strawhecker")</f>
        <v>ty strawhecker</v>
      </c>
      <c r="O1112" s="7">
        <f t="shared" si="5"/>
        <v>1</v>
      </c>
      <c r="P1112" s="8" t="str">
        <f t="shared" si="6"/>
        <v>No</v>
      </c>
    </row>
    <row r="1113">
      <c r="A1113" s="4" t="s">
        <v>16</v>
      </c>
      <c r="B1113" s="4" t="s">
        <v>3165</v>
      </c>
      <c r="C1113" s="9">
        <v>44903.0</v>
      </c>
      <c r="D1113" s="10">
        <v>44903.0</v>
      </c>
      <c r="E1113" s="4" t="s">
        <v>3166</v>
      </c>
      <c r="F1113" s="4" t="s">
        <v>3167</v>
      </c>
      <c r="G1113" s="6" t="str">
        <f>IFERROR(__xludf.DUMMYFUNCTION("REGEXREPLACE(LOWER(F1113),""[^a-z\s]"","""")"),"as promised so delivered")</f>
        <v>as promised so delivered</v>
      </c>
      <c r="H1113" s="4" t="str">
        <f t="shared" si="1"/>
        <v>as promised so delivered</v>
      </c>
      <c r="I1113" s="6">
        <f t="shared" si="2"/>
        <v>4</v>
      </c>
      <c r="J1113" s="6">
        <f>IFERROR(__xludf.DUMMYFUNCTION("IF(H1113="""","""",
SUM(
ARRAYFORMULA(
IF(
REGEXMATCH(
"" ""&amp;H1113&amp;"" "",
"" ""&amp;Sentiment_Words!A$2:A3730&amp;"" ""
),
1,
0
)
)
)
)"),1.0)</f>
        <v>1</v>
      </c>
      <c r="K1113" s="4">
        <f>IFERROR(__xludf.DUMMYFUNCTION("IF(H1113="""","""",
SUM(
ARRAYFORMULA(
IF(
REGEXMATCH(
"" ""&amp;H1113&amp;"" "",
"" ""&amp;Sentiment_Words!B$2:B3730&amp;"" ""
),
1,
0
)
)
)
)"),0.0)</f>
        <v>0</v>
      </c>
      <c r="L1113" s="7" t="str">
        <f t="shared" si="3"/>
        <v>Other</v>
      </c>
      <c r="M1113" s="7" t="str">
        <f t="shared" si="4"/>
        <v>Positive</v>
      </c>
      <c r="N1113" s="7" t="str">
        <f>IFERROR(__xludf.DUMMYFUNCTION("LOWER(
TRIM(
REGEXREPLACE(B1113,""[^a-zA-Z\s]"","""")
)
)
"),"anna")</f>
        <v>anna</v>
      </c>
      <c r="O1113" s="7">
        <f t="shared" si="5"/>
        <v>4</v>
      </c>
      <c r="P1113" s="8" t="str">
        <f t="shared" si="6"/>
        <v>Yes</v>
      </c>
    </row>
    <row r="1114">
      <c r="A1114" s="4" t="s">
        <v>16</v>
      </c>
      <c r="B1114" s="4" t="s">
        <v>3168</v>
      </c>
      <c r="C1114" s="9">
        <v>44903.0</v>
      </c>
      <c r="D1114" s="10">
        <v>44903.0</v>
      </c>
      <c r="E1114" s="4" t="s">
        <v>3169</v>
      </c>
      <c r="F1114" s="4" t="s">
        <v>3170</v>
      </c>
      <c r="G1114" s="6" t="str">
        <f>IFERROR(__xludf.DUMMYFUNCTION("REGEXREPLACE(LOWER(F1114),""[^a-z\s]"","""")"),"when i place my order i can relax it arrives quickly and is always fresh and ready for my two senior dogs i am so happy that i have this service and dont have to lug heavy bags of questionable freshness")</f>
        <v>when i place my order i can relax it arrives quickly and is always fresh and ready for my two senior dogs i am so happy that i have this service and dont have to lug heavy bags of questionable freshness</v>
      </c>
      <c r="H1114" s="4" t="str">
        <f t="shared" si="1"/>
        <v>when i place my order i can relax it arrives quickly always fresh ready my two senior dogs i am so happy that i have this service dont have lug heavy bags of questionable freshness</v>
      </c>
      <c r="I1114" s="6">
        <f t="shared" si="2"/>
        <v>35</v>
      </c>
      <c r="J1114" s="6">
        <f>IFERROR(__xludf.DUMMYFUNCTION("IF(H1114="""","""",
SUM(
ARRAYFORMULA(
IF(
REGEXMATCH(
"" ""&amp;H1114&amp;"" "",
"" ""&amp;Sentiment_Words!A$2:A3730&amp;"" ""
),
1,
0
)
)
)
)"),1.0)</f>
        <v>1</v>
      </c>
      <c r="K1114" s="4">
        <f>IFERROR(__xludf.DUMMYFUNCTION("IF(H1114="""","""",
SUM(
ARRAYFORMULA(
IF(
REGEXMATCH(
"" ""&amp;H1114&amp;"" "",
"" ""&amp;Sentiment_Words!B$2:B3730&amp;"" ""
),
1,
0
)
)
)
)"),0.0)</f>
        <v>0</v>
      </c>
      <c r="L1114" s="7" t="str">
        <f t="shared" si="3"/>
        <v>Customer Support</v>
      </c>
      <c r="M1114" s="7" t="str">
        <f t="shared" si="4"/>
        <v>Positive</v>
      </c>
      <c r="N1114" s="7" t="str">
        <f>IFERROR(__xludf.DUMMYFUNCTION("LOWER(
TRIM(
REGEXREPLACE(B1114,""[^a-zA-Z\s]"","""")
)
)
"),"ds")</f>
        <v>ds</v>
      </c>
      <c r="O1114" s="7">
        <f t="shared" si="5"/>
        <v>2</v>
      </c>
      <c r="P1114" s="8" t="str">
        <f t="shared" si="6"/>
        <v>Yes</v>
      </c>
    </row>
    <row r="1115">
      <c r="A1115" s="4" t="s">
        <v>16</v>
      </c>
      <c r="B1115" s="4" t="s">
        <v>3171</v>
      </c>
      <c r="C1115" s="9">
        <v>44902.0</v>
      </c>
      <c r="D1115" s="10">
        <v>44903.0</v>
      </c>
      <c r="E1115" s="4" t="s">
        <v>3172</v>
      </c>
      <c r="F1115" s="4" t="s">
        <v>3173</v>
      </c>
      <c r="G1115" s="6" t="str">
        <f>IFERROR(__xludf.DUMMYFUNCTION("REGEXREPLACE(LOWER(F1115),""[^a-z\s]"","""")"),"i placed an order your company took the money out of my account days went by with no tracking or anything so i called to see what was going on and your tech support told me she didnt know when i would be getting my order so i canceled it than after i canc"&amp;"eled your company sends a email saying it was out of stock i ended up going with chewy theyre are fast and reliable")</f>
        <v>i placed an order your company took the money out of my account days went by with no tracking or anything so i called to see what was going on and your tech support told me she didnt know when i would be getting my order so i canceled it than after i canceled your company sends a email saying it was out of stock i ended up going with chewy theyre are fast and reliable</v>
      </c>
      <c r="H1115" s="4" t="str">
        <f t="shared" si="1"/>
        <v>i placed an order your company took money out of my account days went by with no tracking or anything so i called see what was going on your tech support told me she didnt know when i would be getting my order so i canceled it than after i canceled your company sends a email saying it was out of stock i ended up going with chewy theyre are fast reliable</v>
      </c>
      <c r="I1115" s="6">
        <f t="shared" si="2"/>
        <v>72</v>
      </c>
      <c r="J1115" s="6">
        <f>IFERROR(__xludf.DUMMYFUNCTION("IF(H1115="""","""",
SUM(
ARRAYFORMULA(
IF(
REGEXMATCH(
"" ""&amp;H1115&amp;"" "",
"" ""&amp;Sentiment_Words!A$2:A3730&amp;"" ""
),
1,
0
)
)
)
)"),2.0)</f>
        <v>2</v>
      </c>
      <c r="K1115" s="4">
        <f>IFERROR(__xludf.DUMMYFUNCTION("IF(H1115="""","""",
SUM(
ARRAYFORMULA(
IF(
REGEXMATCH(
"" ""&amp;H1115&amp;"" "",
"" ""&amp;Sentiment_Words!B$2:B3730&amp;"" ""
),
1,
0
)
)
)
)"),1.0)</f>
        <v>1</v>
      </c>
      <c r="L1115" s="7" t="str">
        <f t="shared" si="3"/>
        <v>Customer Support</v>
      </c>
      <c r="M1115" s="7" t="str">
        <f t="shared" si="4"/>
        <v>Positive</v>
      </c>
      <c r="N1115" s="7" t="str">
        <f>IFERROR(__xludf.DUMMYFUNCTION("LOWER(
TRIM(
REGEXREPLACE(B1115,""[^a-zA-Z\s]"","""")
)
)
"),"thomas")</f>
        <v>thomas</v>
      </c>
      <c r="O1115" s="7">
        <f t="shared" si="5"/>
        <v>2</v>
      </c>
      <c r="P1115" s="8" t="str">
        <f t="shared" si="6"/>
        <v>Yes</v>
      </c>
    </row>
    <row r="1116">
      <c r="A1116" s="4" t="s">
        <v>16</v>
      </c>
      <c r="B1116" s="4" t="s">
        <v>3174</v>
      </c>
      <c r="C1116" s="5">
        <v>44862.0</v>
      </c>
      <c r="D1116" s="10">
        <v>44903.0</v>
      </c>
      <c r="E1116" s="4" t="s">
        <v>3175</v>
      </c>
      <c r="F1116" s="4" t="s">
        <v>3176</v>
      </c>
      <c r="G1116" s="6" t="str">
        <f>IFERROR(__xludf.DUMMYFUNCTION("REGEXREPLACE(LOWER(F1116),""[^a-z\s]"","""")"),"my order was easy to place and arrived quickly will order from you again  would recommend")</f>
        <v>my order was easy to place and arrived quickly will order from you again  would recommend</v>
      </c>
      <c r="H1116" s="4" t="str">
        <f t="shared" si="1"/>
        <v>my order was easy place arrived quickly will order from you again would recommend</v>
      </c>
      <c r="I1116" s="6">
        <f t="shared" si="2"/>
        <v>14</v>
      </c>
      <c r="J1116" s="6">
        <f>IFERROR(__xludf.DUMMYFUNCTION("IF(H1116="""","""",
SUM(
ARRAYFORMULA(
IF(
REGEXMATCH(
"" ""&amp;H1116&amp;"" "",
"" ""&amp;Sentiment_Words!A$2:A3730&amp;"" ""
),
1,
0
)
)
)
)"),1.0)</f>
        <v>1</v>
      </c>
      <c r="K1116" s="4">
        <f>IFERROR(__xludf.DUMMYFUNCTION("IF(H1116="""","""",
SUM(
ARRAYFORMULA(
IF(
REGEXMATCH(
"" ""&amp;H1116&amp;"" "",
"" ""&amp;Sentiment_Words!B$2:B3730&amp;"" ""
),
1,
0
)
)
)
)"),0.0)</f>
        <v>0</v>
      </c>
      <c r="L1116" s="7" t="str">
        <f t="shared" si="3"/>
        <v>Other</v>
      </c>
      <c r="M1116" s="7" t="str">
        <f t="shared" si="4"/>
        <v>Positive</v>
      </c>
      <c r="N1116" s="7" t="str">
        <f>IFERROR(__xludf.DUMMYFUNCTION("LOWER(
TRIM(
REGEXREPLACE(B1116,""[^a-zA-Z\s]"","""")
)
)
"),"doggiemistress")</f>
        <v>doggiemistress</v>
      </c>
      <c r="O1116" s="7">
        <f t="shared" si="5"/>
        <v>1</v>
      </c>
      <c r="P1116" s="8" t="str">
        <f t="shared" si="6"/>
        <v>No</v>
      </c>
    </row>
    <row r="1117">
      <c r="A1117" s="4" t="s">
        <v>16</v>
      </c>
      <c r="B1117" s="4" t="s">
        <v>3177</v>
      </c>
      <c r="C1117" s="5">
        <v>44890.0</v>
      </c>
      <c r="D1117" s="10">
        <v>44902.0</v>
      </c>
      <c r="E1117" s="4" t="s">
        <v>2046</v>
      </c>
      <c r="F1117" s="4" t="s">
        <v>3178</v>
      </c>
      <c r="G1117" s="6" t="str">
        <f>IFERROR(__xludf.DUMMYFUNCTION("REGEXREPLACE(LOWER(F1117),""[^a-z\s]"","""")"),"my dogs went crazy over all these treats very happy")</f>
        <v>my dogs went crazy over all these treats very happy</v>
      </c>
      <c r="H1117" s="4" t="str">
        <f t="shared" si="1"/>
        <v>my dogs went crazy over all these treats very happy</v>
      </c>
      <c r="I1117" s="6">
        <f t="shared" si="2"/>
        <v>10</v>
      </c>
      <c r="J1117" s="6">
        <f>IFERROR(__xludf.DUMMYFUNCTION("IF(H1117="""","""",
SUM(
ARRAYFORMULA(
IF(
REGEXMATCH(
"" ""&amp;H1117&amp;"" "",
"" ""&amp;Sentiment_Words!A$2:A3730&amp;"" ""
),
1,
0
)
)
)
)"),1.0)</f>
        <v>1</v>
      </c>
      <c r="K1117" s="4">
        <f>IFERROR(__xludf.DUMMYFUNCTION("IF(H1117="""","""",
SUM(
ARRAYFORMULA(
IF(
REGEXMATCH(
"" ""&amp;H1117&amp;"" "",
"" ""&amp;Sentiment_Words!B$2:B3730&amp;"" ""
),
1,
0
)
)
)
)"),0.0)</f>
        <v>0</v>
      </c>
      <c r="L1117" s="7" t="str">
        <f t="shared" si="3"/>
        <v>Other</v>
      </c>
      <c r="M1117" s="7" t="str">
        <f t="shared" si="4"/>
        <v>Positive</v>
      </c>
      <c r="N1117" s="7" t="str">
        <f>IFERROR(__xludf.DUMMYFUNCTION("LOWER(
TRIM(
REGEXREPLACE(B1117,""[^a-zA-Z\s]"","""")
)
)
"),"lynn kaluhiokalani")</f>
        <v>lynn kaluhiokalani</v>
      </c>
      <c r="O1117" s="7">
        <f t="shared" si="5"/>
        <v>1</v>
      </c>
      <c r="P1117" s="8" t="str">
        <f t="shared" si="6"/>
        <v>No</v>
      </c>
    </row>
    <row r="1118">
      <c r="A1118" s="4" t="s">
        <v>16</v>
      </c>
      <c r="B1118" s="4" t="s">
        <v>3179</v>
      </c>
      <c r="C1118" s="9">
        <v>44898.0</v>
      </c>
      <c r="D1118" s="10">
        <v>44902.0</v>
      </c>
      <c r="E1118" s="4" t="s">
        <v>3180</v>
      </c>
      <c r="F1118" s="4" t="s">
        <v>331</v>
      </c>
      <c r="G1118" s="6" t="str">
        <f>IFERROR(__xludf.DUMMYFUNCTION("REGEXREPLACE(LOWER(F1118),""[^a-z\s]"","""")"),"none")</f>
        <v>none</v>
      </c>
      <c r="H1118" s="4" t="str">
        <f t="shared" si="1"/>
        <v>none</v>
      </c>
      <c r="I1118" s="6">
        <f t="shared" si="2"/>
        <v>1</v>
      </c>
      <c r="J1118" s="6">
        <f>IFERROR(__xludf.DUMMYFUNCTION("IF(H1118="""","""",
SUM(
ARRAYFORMULA(
IF(
REGEXMATCH(
"" ""&amp;H1118&amp;"" "",
"" ""&amp;Sentiment_Words!A$2:A3730&amp;"" ""
),
1,
0
)
)
)
)"),0.0)</f>
        <v>0</v>
      </c>
      <c r="K1118" s="4">
        <f>IFERROR(__xludf.DUMMYFUNCTION("IF(H1118="""","""",
SUM(
ARRAYFORMULA(
IF(
REGEXMATCH(
"" ""&amp;H1118&amp;"" "",
"" ""&amp;Sentiment_Words!B$2:B3730&amp;"" ""
),
1,
0
)
)
)
)"),0.0)</f>
        <v>0</v>
      </c>
      <c r="L1118" s="7" t="str">
        <f t="shared" si="3"/>
        <v>Other</v>
      </c>
      <c r="M1118" s="7" t="str">
        <f t="shared" si="4"/>
        <v>Neutral</v>
      </c>
      <c r="N1118" s="7" t="str">
        <f>IFERROR(__xludf.DUMMYFUNCTION("LOWER(
TRIM(
REGEXREPLACE(B1118,""[^a-zA-Z\s]"","""")
)
)
"),"molly mcmurray")</f>
        <v>molly mcmurray</v>
      </c>
      <c r="O1118" s="7">
        <f t="shared" si="5"/>
        <v>1</v>
      </c>
      <c r="P1118" s="8" t="str">
        <f t="shared" si="6"/>
        <v>No</v>
      </c>
    </row>
    <row r="1119">
      <c r="A1119" s="4" t="s">
        <v>16</v>
      </c>
      <c r="B1119" s="4" t="s">
        <v>3181</v>
      </c>
      <c r="C1119" s="9">
        <v>44898.0</v>
      </c>
      <c r="D1119" s="10">
        <v>44902.0</v>
      </c>
      <c r="E1119" s="4" t="s">
        <v>3182</v>
      </c>
      <c r="F1119" s="4" t="s">
        <v>331</v>
      </c>
      <c r="G1119" s="6" t="str">
        <f>IFERROR(__xludf.DUMMYFUNCTION("REGEXREPLACE(LOWER(F1119),""[^a-z\s]"","""")"),"none")</f>
        <v>none</v>
      </c>
      <c r="H1119" s="4" t="str">
        <f t="shared" si="1"/>
        <v>none</v>
      </c>
      <c r="I1119" s="6">
        <f t="shared" si="2"/>
        <v>1</v>
      </c>
      <c r="J1119" s="6">
        <f>IFERROR(__xludf.DUMMYFUNCTION("IF(H1119="""","""",
SUM(
ARRAYFORMULA(
IF(
REGEXMATCH(
"" ""&amp;H1119&amp;"" "",
"" ""&amp;Sentiment_Words!A$2:A3730&amp;"" ""
),
1,
0
)
)
)
)"),0.0)</f>
        <v>0</v>
      </c>
      <c r="K1119" s="4">
        <f>IFERROR(__xludf.DUMMYFUNCTION("IF(H1119="""","""",
SUM(
ARRAYFORMULA(
IF(
REGEXMATCH(
"" ""&amp;H1119&amp;"" "",
"" ""&amp;Sentiment_Words!B$2:B3730&amp;"" ""
),
1,
0
)
)
)
)"),0.0)</f>
        <v>0</v>
      </c>
      <c r="L1119" s="7" t="str">
        <f t="shared" si="3"/>
        <v>Other</v>
      </c>
      <c r="M1119" s="7" t="str">
        <f t="shared" si="4"/>
        <v>Neutral</v>
      </c>
      <c r="N1119" s="7" t="str">
        <f>IFERROR(__xludf.DUMMYFUNCTION("LOWER(
TRIM(
REGEXREPLACE(B1119,""[^a-zA-Z\s]"","""")
)
)
"),"alicia savino")</f>
        <v>alicia savino</v>
      </c>
      <c r="O1119" s="7">
        <f t="shared" si="5"/>
        <v>1</v>
      </c>
      <c r="P1119" s="8" t="str">
        <f t="shared" si="6"/>
        <v>No</v>
      </c>
    </row>
    <row r="1120">
      <c r="A1120" s="4" t="s">
        <v>16</v>
      </c>
      <c r="B1120" s="4" t="s">
        <v>3183</v>
      </c>
      <c r="C1120" s="9">
        <v>44896.0</v>
      </c>
      <c r="D1120" s="10">
        <v>44902.0</v>
      </c>
      <c r="E1120" s="4" t="s">
        <v>3184</v>
      </c>
      <c r="F1120" s="4" t="s">
        <v>331</v>
      </c>
      <c r="G1120" s="6" t="str">
        <f>IFERROR(__xludf.DUMMYFUNCTION("REGEXREPLACE(LOWER(F1120),""[^a-z\s]"","""")"),"none")</f>
        <v>none</v>
      </c>
      <c r="H1120" s="4" t="str">
        <f t="shared" si="1"/>
        <v>none</v>
      </c>
      <c r="I1120" s="6">
        <f t="shared" si="2"/>
        <v>1</v>
      </c>
      <c r="J1120" s="6">
        <f>IFERROR(__xludf.DUMMYFUNCTION("IF(H1120="""","""",
SUM(
ARRAYFORMULA(
IF(
REGEXMATCH(
"" ""&amp;H1120&amp;"" "",
"" ""&amp;Sentiment_Words!A$2:A3730&amp;"" ""
),
1,
0
)
)
)
)"),0.0)</f>
        <v>0</v>
      </c>
      <c r="K1120" s="4">
        <f>IFERROR(__xludf.DUMMYFUNCTION("IF(H1120="""","""",
SUM(
ARRAYFORMULA(
IF(
REGEXMATCH(
"" ""&amp;H1120&amp;"" "",
"" ""&amp;Sentiment_Words!B$2:B3730&amp;"" ""
),
1,
0
)
)
)
)"),0.0)</f>
        <v>0</v>
      </c>
      <c r="L1120" s="7" t="str">
        <f t="shared" si="3"/>
        <v>Other</v>
      </c>
      <c r="M1120" s="7" t="str">
        <f t="shared" si="4"/>
        <v>Neutral</v>
      </c>
      <c r="N1120" s="7" t="str">
        <f>IFERROR(__xludf.DUMMYFUNCTION("LOWER(
TRIM(
REGEXREPLACE(B1120,""[^a-zA-Z\s]"","""")
)
)
"),"rebecca o")</f>
        <v>rebecca o</v>
      </c>
      <c r="O1120" s="7">
        <f t="shared" si="5"/>
        <v>1</v>
      </c>
      <c r="P1120" s="8" t="str">
        <f t="shared" si="6"/>
        <v>No</v>
      </c>
    </row>
    <row r="1121">
      <c r="A1121" s="4" t="s">
        <v>16</v>
      </c>
      <c r="B1121" s="4" t="s">
        <v>3185</v>
      </c>
      <c r="C1121" s="9">
        <v>44901.0</v>
      </c>
      <c r="D1121" s="10">
        <v>44902.0</v>
      </c>
      <c r="E1121" s="4" t="s">
        <v>3186</v>
      </c>
      <c r="F1121" s="4" t="s">
        <v>331</v>
      </c>
      <c r="G1121" s="6" t="str">
        <f>IFERROR(__xludf.DUMMYFUNCTION("REGEXREPLACE(LOWER(F1121),""[^a-z\s]"","""")"),"none")</f>
        <v>none</v>
      </c>
      <c r="H1121" s="4" t="str">
        <f t="shared" si="1"/>
        <v>none</v>
      </c>
      <c r="I1121" s="6">
        <f t="shared" si="2"/>
        <v>1</v>
      </c>
      <c r="J1121" s="6">
        <f>IFERROR(__xludf.DUMMYFUNCTION("IF(H1121="""","""",
SUM(
ARRAYFORMULA(
IF(
REGEXMATCH(
"" ""&amp;H1121&amp;"" "",
"" ""&amp;Sentiment_Words!A$2:A3730&amp;"" ""
),
1,
0
)
)
)
)"),0.0)</f>
        <v>0</v>
      </c>
      <c r="K1121" s="4">
        <f>IFERROR(__xludf.DUMMYFUNCTION("IF(H1121="""","""",
SUM(
ARRAYFORMULA(
IF(
REGEXMATCH(
"" ""&amp;H1121&amp;"" "",
"" ""&amp;Sentiment_Words!B$2:B3730&amp;"" ""
),
1,
0
)
)
)
)"),0.0)</f>
        <v>0</v>
      </c>
      <c r="L1121" s="7" t="str">
        <f t="shared" si="3"/>
        <v>Other</v>
      </c>
      <c r="M1121" s="7" t="str">
        <f t="shared" si="4"/>
        <v>Neutral</v>
      </c>
      <c r="N1121" s="7" t="str">
        <f>IFERROR(__xludf.DUMMYFUNCTION("LOWER(
TRIM(
REGEXREPLACE(B1121,""[^a-zA-Z\s]"","""")
)
)
"),"victoria schulze")</f>
        <v>victoria schulze</v>
      </c>
      <c r="O1121" s="7">
        <f t="shared" si="5"/>
        <v>1</v>
      </c>
      <c r="P1121" s="8" t="str">
        <f t="shared" si="6"/>
        <v>No</v>
      </c>
    </row>
    <row r="1122">
      <c r="A1122" s="4" t="s">
        <v>16</v>
      </c>
      <c r="B1122" s="4" t="s">
        <v>3187</v>
      </c>
      <c r="C1122" s="9">
        <v>44901.0</v>
      </c>
      <c r="D1122" s="10">
        <v>44902.0</v>
      </c>
      <c r="E1122" s="4" t="s">
        <v>3188</v>
      </c>
      <c r="F1122" s="4" t="s">
        <v>3189</v>
      </c>
      <c r="G1122" s="6" t="str">
        <f>IFERROR(__xludf.DUMMYFUNCTION("REGEXREPLACE(LOWER(F1122),""[^a-z\s]"","""")"),"the representative was understanding of my situation and was quick to resolve the issue very nice and patient")</f>
        <v>the representative was understanding of my situation and was quick to resolve the issue very nice and patient</v>
      </c>
      <c r="H1122" s="4" t="str">
        <f t="shared" si="1"/>
        <v>representative was understanding of my situation was quick resolve issue very nice patient</v>
      </c>
      <c r="I1122" s="6">
        <f t="shared" si="2"/>
        <v>13</v>
      </c>
      <c r="J1122" s="6">
        <f>IFERROR(__xludf.DUMMYFUNCTION("IF(H1122="""","""",
SUM(
ARRAYFORMULA(
IF(
REGEXMATCH(
"" ""&amp;H1122&amp;"" "",
"" ""&amp;Sentiment_Words!A$2:A3730&amp;"" ""
),
1,
0
)
)
)
)"),0.0)</f>
        <v>0</v>
      </c>
      <c r="K1122" s="4">
        <f>IFERROR(__xludf.DUMMYFUNCTION("IF(H1122="""","""",
SUM(
ARRAYFORMULA(
IF(
REGEXMATCH(
"" ""&amp;H1122&amp;"" "",
"" ""&amp;Sentiment_Words!B$2:B3730&amp;"" ""
),
1,
0
)
)
)
)"),1.0)</f>
        <v>1</v>
      </c>
      <c r="L1122" s="7" t="str">
        <f t="shared" si="3"/>
        <v>Other</v>
      </c>
      <c r="M1122" s="7" t="str">
        <f t="shared" si="4"/>
        <v>Negative</v>
      </c>
      <c r="N1122" s="7" t="str">
        <f>IFERROR(__xludf.DUMMYFUNCTION("LOWER(
TRIM(
REGEXREPLACE(B1122,""[^a-zA-Z\s]"","""")
)
)
"),"gina")</f>
        <v>gina</v>
      </c>
      <c r="O1122" s="7">
        <f t="shared" si="5"/>
        <v>2</v>
      </c>
      <c r="P1122" s="8" t="str">
        <f t="shared" si="6"/>
        <v>Yes</v>
      </c>
    </row>
    <row r="1123">
      <c r="A1123" s="4" t="s">
        <v>16</v>
      </c>
      <c r="B1123" s="4" t="s">
        <v>778</v>
      </c>
      <c r="C1123" s="9">
        <v>44901.0</v>
      </c>
      <c r="D1123" s="10">
        <v>44902.0</v>
      </c>
      <c r="E1123" s="4" t="s">
        <v>3190</v>
      </c>
      <c r="F1123" s="4" t="s">
        <v>3191</v>
      </c>
      <c r="G1123" s="6" t="str">
        <f>IFERROR(__xludf.DUMMYFUNCTION("REGEXREPLACE(LOWER(F1123),""[^a-z\s]"","""")"),"great company to work withalways responsivewith quick delivery but costs seem to continue to escalate over last two years as is everything")</f>
        <v>great company to work withalways responsivewith quick delivery but costs seem to continue to escalate over last two years as is everything</v>
      </c>
      <c r="H1123" s="4" t="str">
        <f t="shared" si="1"/>
        <v>great company work withalways responsivewith quick delivery but costs seem continue escalate over last two years as everything</v>
      </c>
      <c r="I1123" s="6">
        <f t="shared" si="2"/>
        <v>18</v>
      </c>
      <c r="J1123" s="6">
        <f>IFERROR(__xludf.DUMMYFUNCTION("IF(H1123="""","""",
SUM(
ARRAYFORMULA(
IF(
REGEXMATCH(
"" ""&amp;H1123&amp;"" "",
"" ""&amp;Sentiment_Words!A$2:A3730&amp;"" ""
),
1,
0
)
)
)
)"),2.0)</f>
        <v>2</v>
      </c>
      <c r="K1123" s="4">
        <f>IFERROR(__xludf.DUMMYFUNCTION("IF(H1123="""","""",
SUM(
ARRAYFORMULA(
IF(
REGEXMATCH(
"" ""&amp;H1123&amp;"" "",
"" ""&amp;Sentiment_Words!B$2:B3730&amp;"" ""
),
1,
0
)
)
)
)"),0.0)</f>
        <v>0</v>
      </c>
      <c r="L1123" s="7" t="str">
        <f t="shared" si="3"/>
        <v>Fulfillment &amp; Shipping</v>
      </c>
      <c r="M1123" s="7" t="str">
        <f t="shared" si="4"/>
        <v>Positive</v>
      </c>
      <c r="N1123" s="7" t="str">
        <f>IFERROR(__xludf.DUMMYFUNCTION("LOWER(
TRIM(
REGEXREPLACE(B1123,""[^a-zA-Z\s]"","""")
)
)
"),"jim")</f>
        <v>jim</v>
      </c>
      <c r="O1123" s="7">
        <f t="shared" si="5"/>
        <v>4</v>
      </c>
      <c r="P1123" s="8" t="str">
        <f t="shared" si="6"/>
        <v>Yes</v>
      </c>
    </row>
    <row r="1124">
      <c r="A1124" s="4" t="s">
        <v>16</v>
      </c>
      <c r="B1124" s="4" t="s">
        <v>1910</v>
      </c>
      <c r="C1124" s="5">
        <v>44888.0</v>
      </c>
      <c r="D1124" s="10">
        <v>44902.0</v>
      </c>
      <c r="E1124" s="4" t="s">
        <v>3192</v>
      </c>
      <c r="F1124" s="4" t="s">
        <v>3193</v>
      </c>
      <c r="G1124" s="6" t="str">
        <f>IFERROR(__xludf.DUMMYFUNCTION("REGEXREPLACE(LOWER(F1124),""[^a-z\s]"","""")"),"my dog is a senior with a heart condition and must have a special lowsodium diet when her food doesnt arrive on time her diet and condition is compromised typically i receive orders in  days i need and depend this reliability my last order took  days to a"&amp;"rrive when i called to inquire about the delay the representative blamed it on the holiday season though there was ample time to deliver sooner")</f>
        <v>my dog is a senior with a heart condition and must have a special lowsodium diet when her food doesnt arrive on time her diet and condition is compromised typically i receive orders in  days i need and depend this reliability my last order took  days to arrive when i called to inquire about the delay the representative blamed it on the holiday season though there was ample time to deliver sooner</v>
      </c>
      <c r="H1124" s="4" t="str">
        <f t="shared" si="1"/>
        <v>my dog a senior with a heart condition must have a special lowsodium diet when her food doesnt arrive on time her diet condition compromised typically i receive orders in days i need depend this reliability my last order took days arrive when i called inquire about delay representative blamed it on holiday season though there was ample time deliver sooner</v>
      </c>
      <c r="I1124" s="6">
        <f t="shared" si="2"/>
        <v>61</v>
      </c>
      <c r="J1124" s="6">
        <f>IFERROR(__xludf.DUMMYFUNCTION("IF(H1124="""","""",
SUM(
ARRAYFORMULA(
IF(
REGEXMATCH(
"" ""&amp;H1124&amp;"" "",
"" ""&amp;Sentiment_Words!A$2:A3730&amp;"" ""
),
1,
0
)
)
)
)"),1.0)</f>
        <v>1</v>
      </c>
      <c r="K1124" s="4">
        <f>IFERROR(__xludf.DUMMYFUNCTION("IF(H1124="""","""",
SUM(
ARRAYFORMULA(
IF(
REGEXMATCH(
"" ""&amp;H1124&amp;"" "",
"" ""&amp;Sentiment_Words!B$2:B3730&amp;"" ""
),
1,
0
)
)
)
)"),1.0)</f>
        <v>1</v>
      </c>
      <c r="L1124" s="7" t="str">
        <f t="shared" si="3"/>
        <v>Fulfillment &amp; Shipping</v>
      </c>
      <c r="M1124" s="7" t="str">
        <f t="shared" si="4"/>
        <v>Neutral</v>
      </c>
      <c r="N1124" s="7" t="str">
        <f>IFERROR(__xludf.DUMMYFUNCTION("LOWER(
TRIM(
REGEXREPLACE(B1124,""[^a-zA-Z\s]"","""")
)
)
"),"diane")</f>
        <v>diane</v>
      </c>
      <c r="O1124" s="7">
        <f t="shared" si="5"/>
        <v>7</v>
      </c>
      <c r="P1124" s="8" t="str">
        <f t="shared" si="6"/>
        <v>Yes</v>
      </c>
    </row>
    <row r="1125">
      <c r="A1125" s="4" t="s">
        <v>16</v>
      </c>
      <c r="B1125" s="4" t="s">
        <v>3194</v>
      </c>
      <c r="C1125" s="5">
        <v>44882.0</v>
      </c>
      <c r="D1125" s="10">
        <v>44901.0</v>
      </c>
      <c r="E1125" s="4" t="s">
        <v>3195</v>
      </c>
      <c r="F1125" s="4" t="s">
        <v>3196</v>
      </c>
      <c r="G1125" s="6" t="str">
        <f>IFERROR(__xludf.DUMMYFUNCTION("REGEXREPLACE(LOWER(F1125),""[^a-z\s]"","""")"),"my little maltese loves the small bites beef frittata i wish you had other flavors in small bites for small breed dogs")</f>
        <v>my little maltese loves the small bites beef frittata i wish you had other flavors in small bites for small breed dogs</v>
      </c>
      <c r="H1125" s="4" t="str">
        <f t="shared" si="1"/>
        <v>my little maltese loves small bites beef frittata i wish you had other flavors in small bites small breed dogs</v>
      </c>
      <c r="I1125" s="6">
        <f t="shared" si="2"/>
        <v>20</v>
      </c>
      <c r="J1125" s="6">
        <f>IFERROR(__xludf.DUMMYFUNCTION("IF(H1125="""","""",
SUM(
ARRAYFORMULA(
IF(
REGEXMATCH(
"" ""&amp;H1125&amp;"" "",
"" ""&amp;Sentiment_Words!A$2:A3730&amp;"" ""
),
1,
0
)
)
)
)"),0.0)</f>
        <v>0</v>
      </c>
      <c r="K1125" s="4">
        <f>IFERROR(__xludf.DUMMYFUNCTION("IF(H1125="""","""",
SUM(
ARRAYFORMULA(
IF(
REGEXMATCH(
"" ""&amp;H1125&amp;"" "",
"" ""&amp;Sentiment_Words!B$2:B3730&amp;"" ""
),
1,
0
)
)
)
)"),0.0)</f>
        <v>0</v>
      </c>
      <c r="L1125" s="7" t="str">
        <f t="shared" si="3"/>
        <v>Other</v>
      </c>
      <c r="M1125" s="7" t="str">
        <f t="shared" si="4"/>
        <v>Neutral</v>
      </c>
      <c r="N1125" s="7" t="str">
        <f>IFERROR(__xludf.DUMMYFUNCTION("LOWER(
TRIM(
REGEXREPLACE(B1125,""[^a-zA-Z\s]"","""")
)
)
"),"lina colella")</f>
        <v>lina colella</v>
      </c>
      <c r="O1125" s="7">
        <f t="shared" si="5"/>
        <v>1</v>
      </c>
      <c r="P1125" s="8" t="str">
        <f t="shared" si="6"/>
        <v>No</v>
      </c>
    </row>
    <row r="1126">
      <c r="A1126" s="4" t="s">
        <v>16</v>
      </c>
      <c r="B1126" s="4" t="s">
        <v>3197</v>
      </c>
      <c r="C1126" s="9">
        <v>44901.0</v>
      </c>
      <c r="D1126" s="10">
        <v>44901.0</v>
      </c>
      <c r="E1126" s="4" t="s">
        <v>3198</v>
      </c>
      <c r="F1126" s="4" t="s">
        <v>3199</v>
      </c>
      <c r="G1126" s="6" t="str">
        <f>IFERROR(__xludf.DUMMYFUNCTION("REGEXREPLACE(LOWER(F1126),""[^a-z\s]"","""")"),"the shipping as surprisingly slow")</f>
        <v>the shipping as surprisingly slow</v>
      </c>
      <c r="H1126" s="4" t="str">
        <f t="shared" si="1"/>
        <v>shipping as surprisingly slow</v>
      </c>
      <c r="I1126" s="6">
        <f t="shared" si="2"/>
        <v>4</v>
      </c>
      <c r="J1126" s="6">
        <f>IFERROR(__xludf.DUMMYFUNCTION("IF(H1126="""","""",
SUM(
ARRAYFORMULA(
IF(
REGEXMATCH(
"" ""&amp;H1126&amp;"" "",
"" ""&amp;Sentiment_Words!A$2:A3730&amp;"" ""
),
1,
0
)
)
)
)"),0.0)</f>
        <v>0</v>
      </c>
      <c r="K1126" s="4">
        <f>IFERROR(__xludf.DUMMYFUNCTION("IF(H1126="""","""",
SUM(
ARRAYFORMULA(
IF(
REGEXMATCH(
"" ""&amp;H1126&amp;"" "",
"" ""&amp;Sentiment_Words!B$2:B3730&amp;"" ""
),
1,
0
)
)
)
)"),0.0)</f>
        <v>0</v>
      </c>
      <c r="L1126" s="7" t="str">
        <f t="shared" si="3"/>
        <v>Other</v>
      </c>
      <c r="M1126" s="7" t="str">
        <f t="shared" si="4"/>
        <v>Neutral</v>
      </c>
      <c r="N1126" s="7" t="str">
        <f>IFERROR(__xludf.DUMMYFUNCTION("LOWER(
TRIM(
REGEXREPLACE(B1126,""[^a-zA-Z\s]"","""")
)
)
"),"laurel cole")</f>
        <v>laurel cole</v>
      </c>
      <c r="O1126" s="7">
        <f t="shared" si="5"/>
        <v>1</v>
      </c>
      <c r="P1126" s="8" t="str">
        <f t="shared" si="6"/>
        <v>No</v>
      </c>
    </row>
    <row r="1127">
      <c r="A1127" s="4" t="s">
        <v>16</v>
      </c>
      <c r="B1127" s="4" t="s">
        <v>3200</v>
      </c>
      <c r="C1127" s="5">
        <v>44894.0</v>
      </c>
      <c r="D1127" s="10">
        <v>44901.0</v>
      </c>
      <c r="E1127" s="4" t="s">
        <v>3201</v>
      </c>
      <c r="F1127" s="4" t="s">
        <v>3202</v>
      </c>
      <c r="G1127" s="6" t="str">
        <f>IFERROR(__xludf.DUMMYFUNCTION("REGEXREPLACE(LOWER(F1127),""[^a-z\s]"","""")"),"so when ordering food for my canaries theres been  times in the shipping process bad experiences two times the orders get returned due to the poor packaging petflow uses dont really understand why  lb bags are shipped in  thin big box without any protecti"&amp;"on inside and that is the reason the bags inside get ripped up plus on top of the shipping company handling the box in a bad way ")</f>
        <v>so when ordering food for my canaries theres been  times in the shipping process bad experiences two times the orders get returned due to the poor packaging petflow uses dont really understand why  lb bags are shipped in  thin big box without any protection inside and that is the reason the bags inside get ripped up plus on top of the shipping company handling the box in a bad way </v>
      </c>
      <c r="H1127" s="4" t="str">
        <f t="shared" si="1"/>
        <v>so when ordering food my canaries theres been times in shipping process bad experiences two times orders get returned due poor packaging petflow uses dont really understand why lb bags are shipped in thin big box without any protection inside that reason bags inside get ripped up plus on top of shipping company handling box in a bad way</v>
      </c>
      <c r="I1127" s="6">
        <f t="shared" si="2"/>
        <v>59</v>
      </c>
      <c r="J1127" s="6">
        <f>IFERROR(__xludf.DUMMYFUNCTION("IF(H1127="""","""",
SUM(
ARRAYFORMULA(
IF(
REGEXMATCH(
"" ""&amp;H1127&amp;"" "",
"" ""&amp;Sentiment_Words!A$2:A3730&amp;"" ""
),
1,
0
)
)
)
)"),0.0)</f>
        <v>0</v>
      </c>
      <c r="K1127" s="4">
        <f>IFERROR(__xludf.DUMMYFUNCTION("IF(H1127="""","""",
SUM(
ARRAYFORMULA(
IF(
REGEXMATCH(
"" ""&amp;H1127&amp;"" "",
"" ""&amp;Sentiment_Words!B$2:B3730&amp;"" ""
),
1,
0
)
)
)
)"),1.0)</f>
        <v>1</v>
      </c>
      <c r="L1127" s="7" t="str">
        <f t="shared" si="3"/>
        <v>Other</v>
      </c>
      <c r="M1127" s="7" t="str">
        <f t="shared" si="4"/>
        <v>Negative</v>
      </c>
      <c r="N1127" s="7" t="str">
        <f>IFERROR(__xludf.DUMMYFUNCTION("LOWER(
TRIM(
REGEXREPLACE(B1127,""[^a-zA-Z\s]"","""")
)
)
"),"alex martinez")</f>
        <v>alex martinez</v>
      </c>
      <c r="O1127" s="7">
        <f t="shared" si="5"/>
        <v>1</v>
      </c>
      <c r="P1127" s="8" t="str">
        <f t="shared" si="6"/>
        <v>No</v>
      </c>
    </row>
    <row r="1128">
      <c r="A1128" s="4" t="s">
        <v>16</v>
      </c>
      <c r="B1128" s="4" t="s">
        <v>3203</v>
      </c>
      <c r="C1128" s="9">
        <v>44898.0</v>
      </c>
      <c r="D1128" s="10">
        <v>44901.0</v>
      </c>
      <c r="E1128" s="4" t="s">
        <v>3204</v>
      </c>
      <c r="F1128" s="4" t="s">
        <v>3205</v>
      </c>
      <c r="G1128" s="6" t="str">
        <f>IFERROR(__xludf.DUMMYFUNCTION("REGEXREPLACE(LOWER(F1128),""[^a-z\s]"","""")"),"first time using pet flow my dog food was ordered in time to arrive three days before a big trip it was delayed and came the day after i left customer service had been called several times
i asked for a refund and was told i would get a credit im going ba"&amp;"ck to chewy until pet flow puts customers first when they make a mistake")</f>
        <v>first time using pet flow my dog food was ordered in time to arrive three days before a big trip it was delayed and came the day after i left customer service had been called several times
i asked for a refund and was told i would get a credit im going back to chewy until pet flow puts customers first when they make a mistake</v>
      </c>
      <c r="H1128" s="4" t="str">
        <f t="shared" si="1"/>
        <v>first time using pet flow my dog food was ordered in time arrive three days before a big trip it was delayed came day after i left customer service had been called several times
i asked a refund was told i would get a credit im going back chewy until pet flow puts customers first when they make a mistake</v>
      </c>
      <c r="I1128" s="6">
        <f t="shared" si="2"/>
        <v>59</v>
      </c>
      <c r="J1128" s="6">
        <f>IFERROR(__xludf.DUMMYFUNCTION("IF(H1128="""","""",
SUM(
ARRAYFORMULA(
IF(
REGEXMATCH(
"" ""&amp;H1128&amp;"" "",
"" ""&amp;Sentiment_Words!A$2:A3730&amp;"" ""
),
1,
0
)
)
)
)"),0.0)</f>
        <v>0</v>
      </c>
      <c r="K1128" s="4">
        <f>IFERROR(__xludf.DUMMYFUNCTION("IF(H1128="""","""",
SUM(
ARRAYFORMULA(
IF(
REGEXMATCH(
"" ""&amp;H1128&amp;"" "",
"" ""&amp;Sentiment_Words!B$2:B3730&amp;"" ""
),
1,
0
)
)
)
)"),3.0)</f>
        <v>3</v>
      </c>
      <c r="L1128" s="7" t="str">
        <f t="shared" si="3"/>
        <v>Customer Support</v>
      </c>
      <c r="M1128" s="7" t="str">
        <f t="shared" si="4"/>
        <v>Negative</v>
      </c>
      <c r="N1128" s="7" t="str">
        <f>IFERROR(__xludf.DUMMYFUNCTION("LOWER(
TRIM(
REGEXREPLACE(B1128,""[^a-zA-Z\s]"","""")
)
)
"),"sharon ellis")</f>
        <v>sharon ellis</v>
      </c>
      <c r="O1128" s="7">
        <f t="shared" si="5"/>
        <v>1</v>
      </c>
      <c r="P1128" s="8" t="str">
        <f t="shared" si="6"/>
        <v>No</v>
      </c>
    </row>
    <row r="1129">
      <c r="A1129" s="4" t="s">
        <v>16</v>
      </c>
      <c r="B1129" s="4" t="s">
        <v>3206</v>
      </c>
      <c r="C1129" s="9">
        <v>44900.0</v>
      </c>
      <c r="D1129" s="10">
        <v>44901.0</v>
      </c>
      <c r="E1129" s="4" t="s">
        <v>3207</v>
      </c>
      <c r="F1129" s="4" t="s">
        <v>3208</v>
      </c>
      <c r="G1129" s="6" t="str">
        <f>IFERROR(__xludf.DUMMYFUNCTION("REGEXREPLACE(LOWER(F1129),""[^a-z\s]"","""")"),"i always order our dogs regular food diet petflow as well as a subscription all items arrive well")</f>
        <v>i always order our dogs regular food diet petflow as well as a subscription all items arrive well</v>
      </c>
      <c r="H1129" s="4" t="str">
        <f t="shared" si="1"/>
        <v>i always order our dogs regular food diet petflow as well as a subscription all items arrive well</v>
      </c>
      <c r="I1129" s="6">
        <f t="shared" si="2"/>
        <v>18</v>
      </c>
      <c r="J1129" s="6">
        <f>IFERROR(__xludf.DUMMYFUNCTION("IF(H1129="""","""",
SUM(
ARRAYFORMULA(
IF(
REGEXMATCH(
"" ""&amp;H1129&amp;"" "",
"" ""&amp;Sentiment_Words!A$2:A3730&amp;"" ""
),
1,
0
)
)
)
)"),0.0)</f>
        <v>0</v>
      </c>
      <c r="K1129" s="4">
        <f>IFERROR(__xludf.DUMMYFUNCTION("IF(H1129="""","""",
SUM(
ARRAYFORMULA(
IF(
REGEXMATCH(
"" ""&amp;H1129&amp;"" "",
"" ""&amp;Sentiment_Words!B$2:B3730&amp;"" ""
),
1,
0
)
)
)
)"),0.0)</f>
        <v>0</v>
      </c>
      <c r="L1129" s="7" t="str">
        <f t="shared" si="3"/>
        <v>Other</v>
      </c>
      <c r="M1129" s="7" t="str">
        <f t="shared" si="4"/>
        <v>Neutral</v>
      </c>
      <c r="N1129" s="7" t="str">
        <f>IFERROR(__xludf.DUMMYFUNCTION("LOWER(
TRIM(
REGEXREPLACE(B1129,""[^a-zA-Z\s]"","""")
)
)
"),"karen kuns")</f>
        <v>karen kuns</v>
      </c>
      <c r="O1129" s="7">
        <f t="shared" si="5"/>
        <v>1</v>
      </c>
      <c r="P1129" s="8" t="str">
        <f t="shared" si="6"/>
        <v>No</v>
      </c>
    </row>
    <row r="1130">
      <c r="A1130" s="4" t="s">
        <v>16</v>
      </c>
      <c r="B1130" s="4" t="s">
        <v>3209</v>
      </c>
      <c r="C1130" s="9">
        <v>44898.0</v>
      </c>
      <c r="D1130" s="10">
        <v>44901.0</v>
      </c>
      <c r="E1130" s="4" t="s">
        <v>3210</v>
      </c>
      <c r="F1130" s="4" t="s">
        <v>3211</v>
      </c>
      <c r="G1130" s="6" t="str">
        <f>IFERROR(__xludf.DUMMYFUNCTION("REGEXREPLACE(LOWER(F1130),""[^a-z\s]"","""")"),"great service i can always depend on pet flow")</f>
        <v>great service i can always depend on pet flow</v>
      </c>
      <c r="H1130" s="4" t="str">
        <f t="shared" si="1"/>
        <v>great service i can always depend on pet flow</v>
      </c>
      <c r="I1130" s="6">
        <f t="shared" si="2"/>
        <v>9</v>
      </c>
      <c r="J1130" s="6">
        <f>IFERROR(__xludf.DUMMYFUNCTION("IF(H1130="""","""",
SUM(
ARRAYFORMULA(
IF(
REGEXMATCH(
"" ""&amp;H1130&amp;"" "",
"" ""&amp;Sentiment_Words!A$2:A3730&amp;"" ""
),
1,
0
)
)
)
)"),1.0)</f>
        <v>1</v>
      </c>
      <c r="K1130" s="4">
        <f>IFERROR(__xludf.DUMMYFUNCTION("IF(H1130="""","""",
SUM(
ARRAYFORMULA(
IF(
REGEXMATCH(
"" ""&amp;H1130&amp;"" "",
"" ""&amp;Sentiment_Words!B$2:B3730&amp;"" ""
),
1,
0
)
)
)
)"),0.0)</f>
        <v>0</v>
      </c>
      <c r="L1130" s="7" t="str">
        <f t="shared" si="3"/>
        <v>Customer Support</v>
      </c>
      <c r="M1130" s="7" t="str">
        <f t="shared" si="4"/>
        <v>Positive</v>
      </c>
      <c r="N1130" s="7" t="str">
        <f>IFERROR(__xludf.DUMMYFUNCTION("LOWER(
TRIM(
REGEXREPLACE(B1130,""[^a-zA-Z\s]"","""")
)
)
"),"mary suggs")</f>
        <v>mary suggs</v>
      </c>
      <c r="O1130" s="7">
        <f t="shared" si="5"/>
        <v>1</v>
      </c>
      <c r="P1130" s="8" t="str">
        <f t="shared" si="6"/>
        <v>No</v>
      </c>
    </row>
    <row r="1131">
      <c r="A1131" s="4" t="s">
        <v>16</v>
      </c>
      <c r="B1131" s="4" t="s">
        <v>3212</v>
      </c>
      <c r="C1131" s="9">
        <v>44900.0</v>
      </c>
      <c r="D1131" s="10">
        <v>44901.0</v>
      </c>
      <c r="E1131" s="4" t="s">
        <v>3213</v>
      </c>
      <c r="F1131" s="4" t="s">
        <v>3214</v>
      </c>
      <c r="G1131" s="6" t="str">
        <f>IFERROR(__xludf.DUMMYFUNCTION("REGEXREPLACE(LOWER(F1131),""[^a-z\s]"","""")"),"an excellent company with wonderful customer service orders are shipped efficiently and with care an added plus is their charitable donation policy")</f>
        <v>an excellent company with wonderful customer service orders are shipped efficiently and with care an added plus is their charitable donation policy</v>
      </c>
      <c r="H1131" s="4" t="str">
        <f t="shared" si="1"/>
        <v>an excellent company with wonderful customer service orders are shipped efficiently with care an added plus their charitable donation policy</v>
      </c>
      <c r="I1131" s="6">
        <f t="shared" si="2"/>
        <v>20</v>
      </c>
      <c r="J1131" s="6">
        <f>IFERROR(__xludf.DUMMYFUNCTION("IF(H1131="""","""",
SUM(
ARRAYFORMULA(
IF(
REGEXMATCH(
"" ""&amp;H1131&amp;"" "",
"" ""&amp;Sentiment_Words!A$2:A3730&amp;"" ""
),
1,
0
)
)
)
)"),1.0)</f>
        <v>1</v>
      </c>
      <c r="K1131" s="4">
        <f>IFERROR(__xludf.DUMMYFUNCTION("IF(H1131="""","""",
SUM(
ARRAYFORMULA(
IF(
REGEXMATCH(
"" ""&amp;H1131&amp;"" "",
"" ""&amp;Sentiment_Words!B$2:B3730&amp;"" ""
),
1,
0
)
)
)
)"),1.0)</f>
        <v>1</v>
      </c>
      <c r="L1131" s="7" t="str">
        <f t="shared" si="3"/>
        <v>Customer Support</v>
      </c>
      <c r="M1131" s="7" t="str">
        <f t="shared" si="4"/>
        <v>Neutral</v>
      </c>
      <c r="N1131" s="7" t="str">
        <f>IFERROR(__xludf.DUMMYFUNCTION("LOWER(
TRIM(
REGEXREPLACE(B1131,""[^a-zA-Z\s]"","""")
)
)
"),"richard w")</f>
        <v>richard w</v>
      </c>
      <c r="O1131" s="7">
        <f t="shared" si="5"/>
        <v>1</v>
      </c>
      <c r="P1131" s="8" t="str">
        <f t="shared" si="6"/>
        <v>No</v>
      </c>
    </row>
    <row r="1132">
      <c r="A1132" s="4" t="s">
        <v>16</v>
      </c>
      <c r="B1132" s="4" t="s">
        <v>56</v>
      </c>
      <c r="C1132" s="5">
        <v>44886.0</v>
      </c>
      <c r="D1132" s="10">
        <v>44900.0</v>
      </c>
      <c r="E1132" s="4" t="s">
        <v>3215</v>
      </c>
      <c r="F1132" s="4" t="s">
        <v>3216</v>
      </c>
      <c r="G1132" s="6" t="str">
        <f>IFERROR(__xludf.DUMMYFUNCTION("REGEXREPLACE(LOWER(F1132),""[^a-z\s]"","""")"),"took over a week before product even got prepared for shipping zero communication")</f>
        <v>took over a week before product even got prepared for shipping zero communication</v>
      </c>
      <c r="H1132" s="4" t="str">
        <f t="shared" si="1"/>
        <v>took over a week before product even got prepared shipping zero communication</v>
      </c>
      <c r="I1132" s="6">
        <f t="shared" si="2"/>
        <v>12</v>
      </c>
      <c r="J1132" s="6">
        <f>IFERROR(__xludf.DUMMYFUNCTION("IF(H1132="""","""",
SUM(
ARRAYFORMULA(
IF(
REGEXMATCH(
"" ""&amp;H1132&amp;"" "",
"" ""&amp;Sentiment_Words!A$2:A3730&amp;"" ""
),
1,
0
)
)
)
)"),0.0)</f>
        <v>0</v>
      </c>
      <c r="K1132" s="4">
        <f>IFERROR(__xludf.DUMMYFUNCTION("IF(H1132="""","""",
SUM(
ARRAYFORMULA(
IF(
REGEXMATCH(
"" ""&amp;H1132&amp;"" "",
"" ""&amp;Sentiment_Words!B$2:B3730&amp;"" ""
),
1,
0
)
)
)
)"),0.0)</f>
        <v>0</v>
      </c>
      <c r="L1132" s="7" t="str">
        <f t="shared" si="3"/>
        <v>Other</v>
      </c>
      <c r="M1132" s="7" t="str">
        <f t="shared" si="4"/>
        <v>Neutral</v>
      </c>
      <c r="N1132" s="7" t="str">
        <f>IFERROR(__xludf.DUMMYFUNCTION("LOWER(
TRIM(
REGEXREPLACE(B1132,""[^a-zA-Z\s]"","""")
)
)
"),"customer")</f>
        <v>customer</v>
      </c>
      <c r="O1132" s="7">
        <f t="shared" si="5"/>
        <v>54</v>
      </c>
      <c r="P1132" s="8" t="str">
        <f t="shared" si="6"/>
        <v>Yes</v>
      </c>
    </row>
    <row r="1133">
      <c r="A1133" s="4" t="s">
        <v>16</v>
      </c>
      <c r="B1133" s="4" t="s">
        <v>3217</v>
      </c>
      <c r="C1133" s="5">
        <v>44886.0</v>
      </c>
      <c r="D1133" s="10">
        <v>44900.0</v>
      </c>
      <c r="E1133" s="4" t="s">
        <v>3218</v>
      </c>
      <c r="F1133" s="4" t="s">
        <v>3219</v>
      </c>
      <c r="G1133" s="6" t="str">
        <f>IFERROR(__xludf.DUMMYFUNCTION("REGEXREPLACE(LOWER(F1133),""[^a-z\s]"","""")"),"instead of a usual delivery of  business days after my orders placement it took  business days and two calls to your service")</f>
        <v>instead of a usual delivery of  business days after my orders placement it took  business days and two calls to your service</v>
      </c>
      <c r="H1133" s="4" t="str">
        <f t="shared" si="1"/>
        <v>instead of a usual delivery of business days after my orders placement it took business days two calls your service</v>
      </c>
      <c r="I1133" s="6">
        <f t="shared" si="2"/>
        <v>20</v>
      </c>
      <c r="J1133" s="6">
        <f>IFERROR(__xludf.DUMMYFUNCTION("IF(H1133="""","""",
SUM(
ARRAYFORMULA(
IF(
REGEXMATCH(
"" ""&amp;H1133&amp;"" "",
"" ""&amp;Sentiment_Words!A$2:A3730&amp;"" ""
),
1,
0
)
)
)
)"),0.0)</f>
        <v>0</v>
      </c>
      <c r="K1133" s="4">
        <f>IFERROR(__xludf.DUMMYFUNCTION("IF(H1133="""","""",
SUM(
ARRAYFORMULA(
IF(
REGEXMATCH(
"" ""&amp;H1133&amp;"" "",
"" ""&amp;Sentiment_Words!B$2:B3730&amp;"" ""
),
1,
0
)
)
)
)"),0.0)</f>
        <v>0</v>
      </c>
      <c r="L1133" s="7" t="str">
        <f t="shared" si="3"/>
        <v>Customer Support</v>
      </c>
      <c r="M1133" s="7" t="str">
        <f t="shared" si="4"/>
        <v>Neutral</v>
      </c>
      <c r="N1133" s="7" t="str">
        <f>IFERROR(__xludf.DUMMYFUNCTION("LOWER(
TRIM(
REGEXREPLACE(B1133,""[^a-zA-Z\s]"","""")
)
)
"),"stanley")</f>
        <v>stanley</v>
      </c>
      <c r="O1133" s="7">
        <f t="shared" si="5"/>
        <v>1</v>
      </c>
      <c r="P1133" s="8" t="str">
        <f t="shared" si="6"/>
        <v>No</v>
      </c>
    </row>
    <row r="1134">
      <c r="A1134" s="4" t="s">
        <v>16</v>
      </c>
      <c r="B1134" s="4" t="s">
        <v>3220</v>
      </c>
      <c r="C1134" s="9">
        <v>44899.0</v>
      </c>
      <c r="D1134" s="10">
        <v>44899.0</v>
      </c>
      <c r="E1134" s="4" t="s">
        <v>3221</v>
      </c>
      <c r="F1134" s="4" t="s">
        <v>3222</v>
      </c>
      <c r="G1134" s="6" t="str">
        <f>IFERROR(__xludf.DUMMYFUNCTION("REGEXREPLACE(LOWER(F1134),""[^a-z\s]"","""")"),"while the prices are much better than chewys the shipping is slow the only reason we wait so long for it to arrive is because of the money we save")</f>
        <v>while the prices are much better than chewys the shipping is slow the only reason we wait so long for it to arrive is because of the money we save</v>
      </c>
      <c r="H1134" s="4" t="str">
        <f t="shared" si="1"/>
        <v>while prices are much better than chewys shipping slow only reason we wait so long it arrive because of money we save</v>
      </c>
      <c r="I1134" s="6">
        <f t="shared" si="2"/>
        <v>22</v>
      </c>
      <c r="J1134" s="6">
        <f>IFERROR(__xludf.DUMMYFUNCTION("IF(H1134="""","""",
SUM(
ARRAYFORMULA(
IF(
REGEXMATCH(
"" ""&amp;H1134&amp;"" "",
"" ""&amp;Sentiment_Words!A$2:A3730&amp;"" ""
),
1,
0
)
)
)
)"),0.0)</f>
        <v>0</v>
      </c>
      <c r="K1134" s="4">
        <f>IFERROR(__xludf.DUMMYFUNCTION("IF(H1134="""","""",
SUM(
ARRAYFORMULA(
IF(
REGEXMATCH(
"" ""&amp;H1134&amp;"" "",
"" ""&amp;Sentiment_Words!B$2:B3730&amp;"" ""
),
1,
0
)
)
)
)"),0.0)</f>
        <v>0</v>
      </c>
      <c r="L1134" s="7" t="str">
        <f t="shared" si="3"/>
        <v>Other</v>
      </c>
      <c r="M1134" s="7" t="str">
        <f t="shared" si="4"/>
        <v>Neutral</v>
      </c>
      <c r="N1134" s="7" t="str">
        <f>IFERROR(__xludf.DUMMYFUNCTION("LOWER(
TRIM(
REGEXREPLACE(B1134,""[^a-zA-Z\s]"","""")
)
)
"),"david adams")</f>
        <v>david adams</v>
      </c>
      <c r="O1134" s="7">
        <f t="shared" si="5"/>
        <v>1</v>
      </c>
      <c r="P1134" s="8" t="str">
        <f t="shared" si="6"/>
        <v>No</v>
      </c>
    </row>
    <row r="1135">
      <c r="A1135" s="4" t="s">
        <v>16</v>
      </c>
      <c r="B1135" s="4" t="s">
        <v>3223</v>
      </c>
      <c r="C1135" s="9">
        <v>44899.0</v>
      </c>
      <c r="D1135" s="10">
        <v>44899.0</v>
      </c>
      <c r="E1135" s="4" t="s">
        <v>3224</v>
      </c>
      <c r="F1135" s="4" t="s">
        <v>3225</v>
      </c>
      <c r="G1135" s="6" t="str">
        <f>IFERROR(__xludf.DUMMYFUNCTION("REGEXREPLACE(LOWER(F1135),""[^a-z\s]"","""")"),"i placed an order for cat food that petflow cancelled with no notice after wondering why it hadnt arrived yet i checked on the status and was told it had been cancelled because they thought my email was fraudulent and if i wanted to place a new order it w"&amp;"ould have to be with a different email to petflow i used apples hidemyemail feature which assigns a random email to protect my real one this feature is being used more and more by people like me who care to protect their email addresses from possibly endi"&amp;"ng up being sold and from receiving junk email it would be great if you would update your system to be more flexible and most importantly please send emails when you decide to cancel an order thankfully i was able to order our cat food from elsewhere and "&amp;"get in two days it before our inventory ran out")</f>
        <v>i placed an order for cat food that petflow cancelled with no notice after wondering why it hadnt arrived yet i checked on the status and was told it had been cancelled because they thought my email was fraudulent and if i wanted to place a new order it would have to be with a different email to petflow i used apples hidemyemail feature which assigns a random email to protect my real one this feature is being used more and more by people like me who care to protect their email addresses from possibly ending up being sold and from receiving junk email it would be great if you would update your system to be more flexible and most importantly please send emails when you decide to cancel an order thankfully i was able to order our cat food from elsewhere and get in two days it before our inventory ran out</v>
      </c>
      <c r="H1135" s="4" t="str">
        <f t="shared" si="1"/>
        <v>i placed an order cat food that petflow cancelled with no notice after wondering why it hadnt arrived yet i checked on status was told it had been cancelled because they thought my email was fraudulent if i wanted place a new order it would have be with a different email petflow i used apples hidemyemail feature which assigns a random email protect my real one this feature being used more more by people like me who care protect their email addresses from possibly ending up being sold from receiving junk email it would be great if you would update your system be more flexible most importantly please send emails when you decide cancel an order thankfully i was able order our cat food from elsewhere get in two days it before our inventory ran out</v>
      </c>
      <c r="I1135" s="6">
        <f t="shared" si="2"/>
        <v>136</v>
      </c>
      <c r="J1135" s="6">
        <f>IFERROR(__xludf.DUMMYFUNCTION("IF(H1135="""","""",
SUM(
ARRAYFORMULA(
IF(
REGEXMATCH(
"" ""&amp;H1135&amp;"" "",
"" ""&amp;Sentiment_Words!A$2:A3730&amp;"" ""
),
1,
0
)
)
)
)"),3.0)</f>
        <v>3</v>
      </c>
      <c r="K1135" s="4">
        <f>IFERROR(__xludf.DUMMYFUNCTION("IF(H1135="""","""",
SUM(
ARRAYFORMULA(
IF(
REGEXMATCH(
"" ""&amp;H1135&amp;"" "",
"" ""&amp;Sentiment_Words!B$2:B3730&amp;"" ""
),
1,
0
)
)
)
)"),1.0)</f>
        <v>1</v>
      </c>
      <c r="L1135" s="7" t="str">
        <f t="shared" si="3"/>
        <v>Other</v>
      </c>
      <c r="M1135" s="7" t="str">
        <f t="shared" si="4"/>
        <v>Positive</v>
      </c>
      <c r="N1135" s="7" t="str">
        <f>IFERROR(__xludf.DUMMYFUNCTION("LOWER(
TRIM(
REGEXREPLACE(B1135,""[^a-zA-Z\s]"","""")
)
)
"),"robin")</f>
        <v>robin</v>
      </c>
      <c r="O1135" s="7">
        <f t="shared" si="5"/>
        <v>3</v>
      </c>
      <c r="P1135" s="8" t="str">
        <f t="shared" si="6"/>
        <v>Yes</v>
      </c>
    </row>
    <row r="1136">
      <c r="A1136" s="4" t="s">
        <v>16</v>
      </c>
      <c r="B1136" s="4" t="s">
        <v>2345</v>
      </c>
      <c r="C1136" s="5">
        <v>44894.0</v>
      </c>
      <c r="D1136" s="10">
        <v>44899.0</v>
      </c>
      <c r="E1136" s="4" t="s">
        <v>3226</v>
      </c>
      <c r="F1136" s="4" t="s">
        <v>3227</v>
      </c>
      <c r="G1136" s="6" t="str">
        <f>IFERROR(__xludf.DUMMYFUNCTION("REGEXREPLACE(LOWER(F1136),""[^a-z\s]"","""")"),"super friendly staff and wonderful company")</f>
        <v>super friendly staff and wonderful company</v>
      </c>
      <c r="H1136" s="4" t="str">
        <f t="shared" si="1"/>
        <v>super friendly staff wonderful company</v>
      </c>
      <c r="I1136" s="6">
        <f t="shared" si="2"/>
        <v>5</v>
      </c>
      <c r="J1136" s="6">
        <f>IFERROR(__xludf.DUMMYFUNCTION("IF(H1136="""","""",
SUM(
ARRAYFORMULA(
IF(
REGEXMATCH(
"" ""&amp;H1136&amp;"" "",
"" ""&amp;Sentiment_Words!A$2:A3730&amp;"" ""
),
1,
0
)
)
)
)"),1.0)</f>
        <v>1</v>
      </c>
      <c r="K1136" s="4">
        <f>IFERROR(__xludf.DUMMYFUNCTION("IF(H1136="""","""",
SUM(
ARRAYFORMULA(
IF(
REGEXMATCH(
"" ""&amp;H1136&amp;"" "",
"" ""&amp;Sentiment_Words!B$2:B3730&amp;"" ""
),
1,
0
)
)
)
)"),0.0)</f>
        <v>0</v>
      </c>
      <c r="L1136" s="7" t="str">
        <f t="shared" si="3"/>
        <v>Other</v>
      </c>
      <c r="M1136" s="7" t="str">
        <f t="shared" si="4"/>
        <v>Positive</v>
      </c>
      <c r="N1136" s="7" t="str">
        <f>IFERROR(__xludf.DUMMYFUNCTION("LOWER(
TRIM(
REGEXREPLACE(B1136,""[^a-zA-Z\s]"","""")
)
)
"),"suzanne")</f>
        <v>suzanne</v>
      </c>
      <c r="O1136" s="7">
        <f t="shared" si="5"/>
        <v>3</v>
      </c>
      <c r="P1136" s="8" t="str">
        <f t="shared" si="6"/>
        <v>Yes</v>
      </c>
    </row>
    <row r="1137">
      <c r="A1137" s="4" t="s">
        <v>16</v>
      </c>
      <c r="B1137" s="4" t="s">
        <v>3228</v>
      </c>
      <c r="C1137" s="9">
        <v>44898.0</v>
      </c>
      <c r="D1137" s="10">
        <v>44899.0</v>
      </c>
      <c r="E1137" s="4" t="s">
        <v>3229</v>
      </c>
      <c r="F1137" s="4" t="s">
        <v>3230</v>
      </c>
      <c r="G1137" s="6" t="str">
        <f>IFERROR(__xludf.DUMMYFUNCTION("REGEXREPLACE(LOWER(F1137),""[^a-z\s]"","""")"),"had a problem with password was locked out and when i called they said too bad you have to wait the time out they did not reset it or help any further")</f>
        <v>had a problem with password was locked out and when i called they said too bad you have to wait the time out they did not reset it or help any further</v>
      </c>
      <c r="H1137" s="4" t="str">
        <f t="shared" si="1"/>
        <v>had a problem with password was locked out when i called they said too bad you have wait time out they did not reset it or help any further</v>
      </c>
      <c r="I1137" s="6">
        <f t="shared" si="2"/>
        <v>29</v>
      </c>
      <c r="J1137" s="6">
        <f>IFERROR(__xludf.DUMMYFUNCTION("IF(H1137="""","""",
SUM(
ARRAYFORMULA(
IF(
REGEXMATCH(
"" ""&amp;H1137&amp;"" "",
"" ""&amp;Sentiment_Words!A$2:A3730&amp;"" ""
),
1,
0
)
)
)
)"),0.0)</f>
        <v>0</v>
      </c>
      <c r="K1137" s="4">
        <f>IFERROR(__xludf.DUMMYFUNCTION("IF(H1137="""","""",
SUM(
ARRAYFORMULA(
IF(
REGEXMATCH(
"" ""&amp;H1137&amp;"" "",
"" ""&amp;Sentiment_Words!B$2:B3730&amp;"" ""
),
1,
0
)
)
)
)"),1.0)</f>
        <v>1</v>
      </c>
      <c r="L1137" s="7" t="str">
        <f t="shared" si="3"/>
        <v>Account &amp; Website</v>
      </c>
      <c r="M1137" s="7" t="str">
        <f t="shared" si="4"/>
        <v>Negative</v>
      </c>
      <c r="N1137" s="7" t="str">
        <f>IFERROR(__xludf.DUMMYFUNCTION("LOWER(
TRIM(
REGEXREPLACE(B1137,""[^a-zA-Z\s]"","""")
)
)
"),"sdo")</f>
        <v>sdo</v>
      </c>
      <c r="O1137" s="7">
        <f t="shared" si="5"/>
        <v>1</v>
      </c>
      <c r="P1137" s="8" t="str">
        <f t="shared" si="6"/>
        <v>No</v>
      </c>
    </row>
    <row r="1138">
      <c r="A1138" s="4" t="s">
        <v>16</v>
      </c>
      <c r="B1138" s="4" t="s">
        <v>3231</v>
      </c>
      <c r="C1138" s="5">
        <v>44894.0</v>
      </c>
      <c r="D1138" s="10">
        <v>44899.0</v>
      </c>
      <c r="E1138" s="4" t="s">
        <v>3232</v>
      </c>
      <c r="F1138" s="4" t="s">
        <v>3233</v>
      </c>
      <c r="G1138" s="6" t="str">
        <f>IFERROR(__xludf.DUMMYFUNCTION("REGEXREPLACE(LOWER(F1138),""[^a-z\s]"","""")"),"absolutely the worst company i have ever used to date for delivery of our dog food will never use them again they like to use the excuse that its the holidays and theyre backed up for deliveries
then shut your doors and stop taking orders until you can d"&amp;"eliver dont waste my time with your bs")</f>
        <v>absolutely the worst company i have ever used to date for delivery of our dog food will never use them again they like to use the excuse that its the holidays and theyre backed up for deliveries
then shut your doors and stop taking orders until you can deliver dont waste my time with your bs</v>
      </c>
      <c r="H1138" s="4" t="str">
        <f t="shared" si="1"/>
        <v>absolutely worst company i have ever used date delivery of our dog food will never use them again they like use excuse that its holidays theyre backed up deliveries
then shut your doors stop taking orders until you can deliver dont waste my time with your bs</v>
      </c>
      <c r="I1138" s="6">
        <f t="shared" si="2"/>
        <v>46</v>
      </c>
      <c r="J1138" s="6">
        <f>IFERROR(__xludf.DUMMYFUNCTION("IF(H1138="""","""",
SUM(
ARRAYFORMULA(
IF(
REGEXMATCH(
"" ""&amp;H1138&amp;"" "",
"" ""&amp;Sentiment_Words!A$2:A3730&amp;"" ""
),
1,
0
)
)
)
)"),0.0)</f>
        <v>0</v>
      </c>
      <c r="K1138" s="4">
        <f>IFERROR(__xludf.DUMMYFUNCTION("IF(H1138="""","""",
SUM(
ARRAYFORMULA(
IF(
REGEXMATCH(
"" ""&amp;H1138&amp;"" "",
"" ""&amp;Sentiment_Words!B$2:B3730&amp;"" ""
),
1,
0
)
)
)
)"),0.0)</f>
        <v>0</v>
      </c>
      <c r="L1138" s="7" t="str">
        <f t="shared" si="3"/>
        <v>Other</v>
      </c>
      <c r="M1138" s="7" t="str">
        <f t="shared" si="4"/>
        <v>Neutral</v>
      </c>
      <c r="N1138" s="7" t="str">
        <f>IFERROR(__xludf.DUMMYFUNCTION("LOWER(
TRIM(
REGEXREPLACE(B1138,""[^a-zA-Z\s]"","""")
)
)
"),"larry")</f>
        <v>larry</v>
      </c>
      <c r="O1138" s="7">
        <f t="shared" si="5"/>
        <v>2</v>
      </c>
      <c r="P1138" s="8" t="str">
        <f t="shared" si="6"/>
        <v>Yes</v>
      </c>
    </row>
    <row r="1139">
      <c r="A1139" s="4" t="s">
        <v>16</v>
      </c>
      <c r="B1139" s="4" t="s">
        <v>3234</v>
      </c>
      <c r="C1139" s="5">
        <v>44887.0</v>
      </c>
      <c r="D1139" s="10">
        <v>44899.0</v>
      </c>
      <c r="E1139" s="4" t="s">
        <v>3235</v>
      </c>
      <c r="F1139" s="4" t="s">
        <v>3236</v>
      </c>
      <c r="G1139" s="6" t="str">
        <f>IFERROR(__xludf.DUMMYFUNCTION("REGEXREPLACE(LOWER(F1139),""[^a-z\s]"","""")"),"ordered dog food with a few toys on wednesday night if youre a pet store and somebody orders dog food well before the weekend you ship it out before the weekend right never again with these people have fun losing money on this order what an absolute joke "&amp;"of a pet supply company unbelievable incompetence and lack of caring")</f>
        <v>ordered dog food with a few toys on wednesday night if youre a pet store and somebody orders dog food well before the weekend you ship it out before the weekend right never again with these people have fun losing money on this order what an absolute joke of a pet supply company unbelievable incompetence and lack of caring</v>
      </c>
      <c r="H1139" s="4" t="str">
        <f t="shared" si="1"/>
        <v>ordered dog food with a few toys on wednesday night if youre a pet store somebody orders dog food well before weekend you ship it out before weekend right never again with these people have fun losing money on this order what an absolute joke of a pet supply company unbelievable incompetence lack of caring</v>
      </c>
      <c r="I1139" s="6">
        <f t="shared" si="2"/>
        <v>55</v>
      </c>
      <c r="J1139" s="6">
        <f>IFERROR(__xludf.DUMMYFUNCTION("IF(H1139="""","""",
SUM(
ARRAYFORMULA(
IF(
REGEXMATCH(
"" ""&amp;H1139&amp;"" "",
"" ""&amp;Sentiment_Words!A$2:A3730&amp;"" ""
),
1,
0
)
)
)
)"),0.0)</f>
        <v>0</v>
      </c>
      <c r="K1139" s="4">
        <f>IFERROR(__xludf.DUMMYFUNCTION("IF(H1139="""","""",
SUM(
ARRAYFORMULA(
IF(
REGEXMATCH(
"" ""&amp;H1139&amp;"" "",
"" ""&amp;Sentiment_Words!B$2:B3730&amp;"" ""
),
1,
0
)
)
)
)"),0.0)</f>
        <v>0</v>
      </c>
      <c r="L1139" s="7" t="str">
        <f t="shared" si="3"/>
        <v>Trust &amp; Experience</v>
      </c>
      <c r="M1139" s="7" t="str">
        <f t="shared" si="4"/>
        <v>Neutral</v>
      </c>
      <c r="N1139" s="7" t="str">
        <f>IFERROR(__xludf.DUMMYFUNCTION("LOWER(
TRIM(
REGEXREPLACE(B1139,""[^a-zA-Z\s]"","""")
)
)
"),"this company sucks")</f>
        <v>this company sucks</v>
      </c>
      <c r="O1139" s="7">
        <f t="shared" si="5"/>
        <v>1</v>
      </c>
      <c r="P1139" s="8" t="str">
        <f t="shared" si="6"/>
        <v>No</v>
      </c>
    </row>
    <row r="1140">
      <c r="A1140" s="4" t="s">
        <v>16</v>
      </c>
      <c r="B1140" s="4" t="s">
        <v>3237</v>
      </c>
      <c r="C1140" s="9">
        <v>44898.0</v>
      </c>
      <c r="D1140" s="10">
        <v>44899.0</v>
      </c>
      <c r="E1140" s="4" t="s">
        <v>3238</v>
      </c>
      <c r="F1140" s="4" t="s">
        <v>331</v>
      </c>
      <c r="G1140" s="6" t="str">
        <f>IFERROR(__xludf.DUMMYFUNCTION("REGEXREPLACE(LOWER(F1140),""[^a-z\s]"","""")"),"none")</f>
        <v>none</v>
      </c>
      <c r="H1140" s="4" t="str">
        <f t="shared" si="1"/>
        <v>none</v>
      </c>
      <c r="I1140" s="6">
        <f t="shared" si="2"/>
        <v>1</v>
      </c>
      <c r="J1140" s="6">
        <f>IFERROR(__xludf.DUMMYFUNCTION("IF(H1140="""","""",
SUM(
ARRAYFORMULA(
IF(
REGEXMATCH(
"" ""&amp;H1140&amp;"" "",
"" ""&amp;Sentiment_Words!A$2:A3730&amp;"" ""
),
1,
0
)
)
)
)"),0.0)</f>
        <v>0</v>
      </c>
      <c r="K1140" s="4">
        <f>IFERROR(__xludf.DUMMYFUNCTION("IF(H1140="""","""",
SUM(
ARRAYFORMULA(
IF(
REGEXMATCH(
"" ""&amp;H1140&amp;"" "",
"" ""&amp;Sentiment_Words!B$2:B3730&amp;"" ""
),
1,
0
)
)
)
)"),0.0)</f>
        <v>0</v>
      </c>
      <c r="L1140" s="7" t="str">
        <f t="shared" si="3"/>
        <v>Other</v>
      </c>
      <c r="M1140" s="7" t="str">
        <f t="shared" si="4"/>
        <v>Neutral</v>
      </c>
      <c r="N1140" s="7" t="str">
        <f>IFERROR(__xludf.DUMMYFUNCTION("LOWER(
TRIM(
REGEXREPLACE(B1140,""[^a-zA-Z\s]"","""")
)
)
"),"malena porter")</f>
        <v>malena porter</v>
      </c>
      <c r="O1140" s="7">
        <f t="shared" si="5"/>
        <v>1</v>
      </c>
      <c r="P1140" s="8" t="str">
        <f t="shared" si="6"/>
        <v>No</v>
      </c>
    </row>
    <row r="1141">
      <c r="A1141" s="4" t="s">
        <v>16</v>
      </c>
      <c r="B1141" s="4" t="s">
        <v>1813</v>
      </c>
      <c r="C1141" s="9">
        <v>44898.0</v>
      </c>
      <c r="D1141" s="10">
        <v>44899.0</v>
      </c>
      <c r="E1141" s="4" t="s">
        <v>3239</v>
      </c>
      <c r="F1141" s="4" t="s">
        <v>331</v>
      </c>
      <c r="G1141" s="6" t="str">
        <f>IFERROR(__xludf.DUMMYFUNCTION("REGEXREPLACE(LOWER(F1141),""[^a-z\s]"","""")"),"none")</f>
        <v>none</v>
      </c>
      <c r="H1141" s="4" t="str">
        <f t="shared" si="1"/>
        <v>none</v>
      </c>
      <c r="I1141" s="6">
        <f t="shared" si="2"/>
        <v>1</v>
      </c>
      <c r="J1141" s="6">
        <f>IFERROR(__xludf.DUMMYFUNCTION("IF(H1141="""","""",
SUM(
ARRAYFORMULA(
IF(
REGEXMATCH(
"" ""&amp;H1141&amp;"" "",
"" ""&amp;Sentiment_Words!A$2:A3730&amp;"" ""
),
1,
0
)
)
)
)"),0.0)</f>
        <v>0</v>
      </c>
      <c r="K1141" s="4">
        <f>IFERROR(__xludf.DUMMYFUNCTION("IF(H1141="""","""",
SUM(
ARRAYFORMULA(
IF(
REGEXMATCH(
"" ""&amp;H1141&amp;"" "",
"" ""&amp;Sentiment_Words!B$2:B3730&amp;"" ""
),
1,
0
)
)
)
)"),0.0)</f>
        <v>0</v>
      </c>
      <c r="L1141" s="7" t="str">
        <f t="shared" si="3"/>
        <v>Other</v>
      </c>
      <c r="M1141" s="7" t="str">
        <f t="shared" si="4"/>
        <v>Neutral</v>
      </c>
      <c r="N1141" s="7" t="str">
        <f>IFERROR(__xludf.DUMMYFUNCTION("LOWER(
TRIM(
REGEXREPLACE(B1141,""[^a-zA-Z\s]"","""")
)
)
"),"james")</f>
        <v>james</v>
      </c>
      <c r="O1141" s="7">
        <f t="shared" si="5"/>
        <v>5</v>
      </c>
      <c r="P1141" s="8" t="str">
        <f t="shared" si="6"/>
        <v>Yes</v>
      </c>
    </row>
    <row r="1142">
      <c r="A1142" s="4" t="s">
        <v>16</v>
      </c>
      <c r="B1142" s="4" t="s">
        <v>3240</v>
      </c>
      <c r="C1142" s="9">
        <v>44896.0</v>
      </c>
      <c r="D1142" s="10">
        <v>44898.0</v>
      </c>
      <c r="E1142" s="4" t="s">
        <v>3241</v>
      </c>
      <c r="F1142" s="4" t="s">
        <v>3242</v>
      </c>
      <c r="G1142" s="6" t="str">
        <f>IFERROR(__xludf.DUMMYFUNCTION("REGEXREPLACE(LOWER(F1142),""[^a-z\s]"","""")"),"i generally like pet flow but i find the website very confusing my cat has prescription food and i sent the script in with the first order when reordered however it asks for this information again i had to call to find out that it isnt necessary")</f>
        <v>i generally like pet flow but i find the website very confusing my cat has prescription food and i sent the script in with the first order when reordered however it asks for this information again i had to call to find out that it isnt necessary</v>
      </c>
      <c r="H1142" s="4" t="str">
        <f t="shared" si="1"/>
        <v>i generally like pet flow but i find website very confusing my cat has prescription food i sent script in with first order when reordered however it asks this information again i had call find out that it isnt necessary</v>
      </c>
      <c r="I1142" s="6">
        <f t="shared" si="2"/>
        <v>40</v>
      </c>
      <c r="J1142" s="6">
        <f>IFERROR(__xludf.DUMMYFUNCTION("IF(H1142="""","""",
SUM(
ARRAYFORMULA(
IF(
REGEXMATCH(
"" ""&amp;H1142&amp;"" "",
"" ""&amp;Sentiment_Words!A$2:A3730&amp;"" ""
),
1,
0
)
)
)
)"),0.0)</f>
        <v>0</v>
      </c>
      <c r="K1142" s="4">
        <f>IFERROR(__xludf.DUMMYFUNCTION("IF(H1142="""","""",
SUM(
ARRAYFORMULA(
IF(
REGEXMATCH(
"" ""&amp;H1142&amp;"" "",
"" ""&amp;Sentiment_Words!B$2:B3730&amp;"" ""
),
1,
0
)
)
)
)"),0.0)</f>
        <v>0</v>
      </c>
      <c r="L1142" s="7" t="str">
        <f t="shared" si="3"/>
        <v>Account &amp; Website</v>
      </c>
      <c r="M1142" s="7" t="str">
        <f t="shared" si="4"/>
        <v>Neutral</v>
      </c>
      <c r="N1142" s="7" t="str">
        <f>IFERROR(__xludf.DUMMYFUNCTION("LOWER(
TRIM(
REGEXREPLACE(B1142,""[^a-zA-Z\s]"","""")
)
)
"),"carole")</f>
        <v>carole</v>
      </c>
      <c r="O1142" s="7">
        <f t="shared" si="5"/>
        <v>2</v>
      </c>
      <c r="P1142" s="8" t="str">
        <f t="shared" si="6"/>
        <v>Yes</v>
      </c>
    </row>
    <row r="1143">
      <c r="A1143" s="4" t="s">
        <v>16</v>
      </c>
      <c r="B1143" s="4" t="s">
        <v>3243</v>
      </c>
      <c r="C1143" s="5">
        <v>44886.0</v>
      </c>
      <c r="D1143" s="10">
        <v>44898.0</v>
      </c>
      <c r="E1143" s="4" t="s">
        <v>3244</v>
      </c>
      <c r="F1143" s="4" t="s">
        <v>3245</v>
      </c>
      <c r="G1143" s="6" t="str">
        <f>IFERROR(__xludf.DUMMYFUNCTION("REGEXREPLACE(LOWER(F1143),""[^a-z\s]"","""")"),"shipment is quick notified timely of any deviation to shipping of order reasonable price")</f>
        <v>shipment is quick notified timely of any deviation to shipping of order reasonable price</v>
      </c>
      <c r="H1143" s="4" t="str">
        <f t="shared" si="1"/>
        <v>shipment quick notified timely of any deviation shipping of order reasonable price</v>
      </c>
      <c r="I1143" s="6">
        <f t="shared" si="2"/>
        <v>12</v>
      </c>
      <c r="J1143" s="6">
        <f>IFERROR(__xludf.DUMMYFUNCTION("IF(H1143="""","""",
SUM(
ARRAYFORMULA(
IF(
REGEXMATCH(
"" ""&amp;H1143&amp;"" "",
"" ""&amp;Sentiment_Words!A$2:A3730&amp;"" ""
),
1,
0
)
)
)
)"),0.0)</f>
        <v>0</v>
      </c>
      <c r="K1143" s="4">
        <f>IFERROR(__xludf.DUMMYFUNCTION("IF(H1143="""","""",
SUM(
ARRAYFORMULA(
IF(
REGEXMATCH(
"" ""&amp;H1143&amp;"" "",
"" ""&amp;Sentiment_Words!B$2:B3730&amp;"" ""
),
1,
0
)
)
)
)"),0.0)</f>
        <v>0</v>
      </c>
      <c r="L1143" s="7" t="str">
        <f t="shared" si="3"/>
        <v>Other</v>
      </c>
      <c r="M1143" s="7" t="str">
        <f t="shared" si="4"/>
        <v>Neutral</v>
      </c>
      <c r="N1143" s="7" t="str">
        <f>IFERROR(__xludf.DUMMYFUNCTION("LOWER(
TRIM(
REGEXREPLACE(B1143,""[^a-zA-Z\s]"","""")
)
)
"),"raven")</f>
        <v>raven</v>
      </c>
      <c r="O1143" s="7">
        <f t="shared" si="5"/>
        <v>1</v>
      </c>
      <c r="P1143" s="8" t="str">
        <f t="shared" si="6"/>
        <v>No</v>
      </c>
    </row>
    <row r="1144">
      <c r="A1144" s="4" t="s">
        <v>16</v>
      </c>
      <c r="B1144" s="4" t="s">
        <v>3246</v>
      </c>
      <c r="C1144" s="5">
        <v>44890.0</v>
      </c>
      <c r="D1144" s="10">
        <v>44898.0</v>
      </c>
      <c r="E1144" s="4" t="s">
        <v>3247</v>
      </c>
      <c r="F1144" s="4" t="s">
        <v>3248</v>
      </c>
      <c r="G1144" s="6" t="str">
        <f>IFERROR(__xludf.DUMMYFUNCTION("REGEXREPLACE(LOWER(F1144),""[^a-z\s]"","""")"),"it was a great experience overall the ordering was easy it was delivered quickly and the price was great")</f>
        <v>it was a great experience overall the ordering was easy it was delivered quickly and the price was great</v>
      </c>
      <c r="H1144" s="4" t="str">
        <f t="shared" si="1"/>
        <v>it was a great experience overall ordering was easy it was delivered quickly price was great</v>
      </c>
      <c r="I1144" s="6">
        <f t="shared" si="2"/>
        <v>16</v>
      </c>
      <c r="J1144" s="6">
        <f>IFERROR(__xludf.DUMMYFUNCTION("IF(H1144="""","""",
SUM(
ARRAYFORMULA(
IF(
REGEXMATCH(
"" ""&amp;H1144&amp;"" "",
"" ""&amp;Sentiment_Words!A$2:A3730&amp;"" ""
),
1,
0
)
)
)
)"),3.0)</f>
        <v>3</v>
      </c>
      <c r="K1144" s="4">
        <f>IFERROR(__xludf.DUMMYFUNCTION("IF(H1144="""","""",
SUM(
ARRAYFORMULA(
IF(
REGEXMATCH(
"" ""&amp;H1144&amp;"" "",
"" ""&amp;Sentiment_Words!B$2:B3730&amp;"" ""
),
1,
0
)
)
)
)"),0.0)</f>
        <v>0</v>
      </c>
      <c r="L1144" s="7" t="str">
        <f t="shared" si="3"/>
        <v>Other</v>
      </c>
      <c r="M1144" s="7" t="str">
        <f t="shared" si="4"/>
        <v>Positive</v>
      </c>
      <c r="N1144" s="7" t="str">
        <f>IFERROR(__xludf.DUMMYFUNCTION("LOWER(
TRIM(
REGEXREPLACE(B1144,""[^a-zA-Z\s]"","""")
)
)
"),"cristina conklin")</f>
        <v>cristina conklin</v>
      </c>
      <c r="O1144" s="7">
        <f t="shared" si="5"/>
        <v>1</v>
      </c>
      <c r="P1144" s="8" t="str">
        <f t="shared" si="6"/>
        <v>No</v>
      </c>
    </row>
    <row r="1145">
      <c r="A1145" s="4" t="s">
        <v>16</v>
      </c>
      <c r="B1145" s="4" t="s">
        <v>3249</v>
      </c>
      <c r="C1145" s="9">
        <v>44897.0</v>
      </c>
      <c r="D1145" s="10">
        <v>44898.0</v>
      </c>
      <c r="E1145" s="4" t="s">
        <v>3250</v>
      </c>
      <c r="F1145" s="4" t="s">
        <v>3251</v>
      </c>
      <c r="G1145" s="6" t="str">
        <f>IFERROR(__xludf.DUMMYFUNCTION("REGEXREPLACE(LOWER(F1145),""[^a-z\s]"","""")"),"the willingness to listen to my issue and try to work out a solution")</f>
        <v>the willingness to listen to my issue and try to work out a solution</v>
      </c>
      <c r="H1145" s="4" t="str">
        <f t="shared" si="1"/>
        <v>willingness listen my issue try work out a solution</v>
      </c>
      <c r="I1145" s="6">
        <f t="shared" si="2"/>
        <v>9</v>
      </c>
      <c r="J1145" s="6">
        <f>IFERROR(__xludf.DUMMYFUNCTION("IF(H1145="""","""",
SUM(
ARRAYFORMULA(
IF(
REGEXMATCH(
"" ""&amp;H1145&amp;"" "",
"" ""&amp;Sentiment_Words!A$2:A3730&amp;"" ""
),
1,
0
)
)
)
)"),1.0)</f>
        <v>1</v>
      </c>
      <c r="K1145" s="4">
        <f>IFERROR(__xludf.DUMMYFUNCTION("IF(H1145="""","""",
SUM(
ARRAYFORMULA(
IF(
REGEXMATCH(
"" ""&amp;H1145&amp;"" "",
"" ""&amp;Sentiment_Words!B$2:B3730&amp;"" ""
),
1,
0
)
)
)
)"),1.0)</f>
        <v>1</v>
      </c>
      <c r="L1145" s="7" t="str">
        <f t="shared" si="3"/>
        <v>Other</v>
      </c>
      <c r="M1145" s="7" t="str">
        <f t="shared" si="4"/>
        <v>Neutral</v>
      </c>
      <c r="N1145" s="7" t="str">
        <f>IFERROR(__xludf.DUMMYFUNCTION("LOWER(
TRIM(
REGEXREPLACE(B1145,""[^a-zA-Z\s]"","""")
)
)
"),"thomas williams")</f>
        <v>thomas williams</v>
      </c>
      <c r="O1145" s="7">
        <f t="shared" si="5"/>
        <v>1</v>
      </c>
      <c r="P1145" s="8" t="str">
        <f t="shared" si="6"/>
        <v>No</v>
      </c>
    </row>
    <row r="1146">
      <c r="A1146" s="4" t="s">
        <v>16</v>
      </c>
      <c r="B1146" s="4" t="s">
        <v>3252</v>
      </c>
      <c r="C1146" s="5">
        <v>44879.0</v>
      </c>
      <c r="D1146" s="10">
        <v>44897.0</v>
      </c>
      <c r="E1146" s="4" t="s">
        <v>3253</v>
      </c>
      <c r="F1146" s="4" t="s">
        <v>3254</v>
      </c>
      <c r="G1146" s="6" t="str">
        <f>IFERROR(__xludf.DUMMYFUNCTION("REGEXREPLACE(LOWER(F1146),""[^a-z\s]"","""")"),"the delivery is on time or close to the scheduled time")</f>
        <v>the delivery is on time or close to the scheduled time</v>
      </c>
      <c r="H1146" s="4" t="str">
        <f t="shared" si="1"/>
        <v>delivery on time or close scheduled time</v>
      </c>
      <c r="I1146" s="6">
        <f t="shared" si="2"/>
        <v>7</v>
      </c>
      <c r="J1146" s="6">
        <f>IFERROR(__xludf.DUMMYFUNCTION("IF(H1146="""","""",
SUM(
ARRAYFORMULA(
IF(
REGEXMATCH(
"" ""&amp;H1146&amp;"" "",
"" ""&amp;Sentiment_Words!A$2:A3730&amp;"" ""
),
1,
0
)
)
)
)"),1.0)</f>
        <v>1</v>
      </c>
      <c r="K1146" s="4">
        <f>IFERROR(__xludf.DUMMYFUNCTION("IF(H1146="""","""",
SUM(
ARRAYFORMULA(
IF(
REGEXMATCH(
"" ""&amp;H1146&amp;"" "",
"" ""&amp;Sentiment_Words!B$2:B3730&amp;"" ""
),
1,
0
)
)
)
)"),0.0)</f>
        <v>0</v>
      </c>
      <c r="L1146" s="7" t="str">
        <f t="shared" si="3"/>
        <v>Other</v>
      </c>
      <c r="M1146" s="7" t="str">
        <f t="shared" si="4"/>
        <v>Positive</v>
      </c>
      <c r="N1146" s="7" t="str">
        <f>IFERROR(__xludf.DUMMYFUNCTION("LOWER(
TRIM(
REGEXREPLACE(B1146,""[^a-zA-Z\s]"","""")
)
)
"),"marky")</f>
        <v>marky</v>
      </c>
      <c r="O1146" s="7">
        <f t="shared" si="5"/>
        <v>1</v>
      </c>
      <c r="P1146" s="8" t="str">
        <f t="shared" si="6"/>
        <v>No</v>
      </c>
    </row>
    <row r="1147">
      <c r="A1147" s="4" t="s">
        <v>16</v>
      </c>
      <c r="B1147" s="4" t="s">
        <v>56</v>
      </c>
      <c r="C1147" s="5">
        <v>44895.0</v>
      </c>
      <c r="D1147" s="10">
        <v>44897.0</v>
      </c>
      <c r="E1147" s="4" t="s">
        <v>3255</v>
      </c>
      <c r="F1147" s="4" t="s">
        <v>3256</v>
      </c>
      <c r="G1147" s="6" t="str">
        <f>IFERROR(__xludf.DUMMYFUNCTION("REGEXREPLACE(LOWER(F1147),""[^a-z\s]"","""")"),"best price anywhere  in fact i bought  for what other shops were selling for the same price for one fast quick shipping totally satisfied customer")</f>
        <v>best price anywhere  in fact i bought  for what other shops were selling for the same price for one fast quick shipping totally satisfied customer</v>
      </c>
      <c r="H1147" s="4" t="str">
        <f t="shared" si="1"/>
        <v>best price anywhere in fact i bought what other shops were selling same price one fast quick shipping totally satisfied customer</v>
      </c>
      <c r="I1147" s="6">
        <f t="shared" si="2"/>
        <v>21</v>
      </c>
      <c r="J1147" s="6">
        <f>IFERROR(__xludf.DUMMYFUNCTION("IF(H1147="""","""",
SUM(
ARRAYFORMULA(
IF(
REGEXMATCH(
"" ""&amp;H1147&amp;"" "",
"" ""&amp;Sentiment_Words!A$2:A3730&amp;"" ""
),
1,
0
)
)
)
)"),2.0)</f>
        <v>2</v>
      </c>
      <c r="K1147" s="4">
        <f>IFERROR(__xludf.DUMMYFUNCTION("IF(H1147="""","""",
SUM(
ARRAYFORMULA(
IF(
REGEXMATCH(
"" ""&amp;H1147&amp;"" "",
"" ""&amp;Sentiment_Words!B$2:B3730&amp;"" ""
),
1,
0
)
)
)
)"),0.0)</f>
        <v>0</v>
      </c>
      <c r="L1147" s="7" t="str">
        <f t="shared" si="3"/>
        <v>Other</v>
      </c>
      <c r="M1147" s="7" t="str">
        <f t="shared" si="4"/>
        <v>Positive</v>
      </c>
      <c r="N1147" s="7" t="str">
        <f>IFERROR(__xludf.DUMMYFUNCTION("LOWER(
TRIM(
REGEXREPLACE(B1147,""[^a-zA-Z\s]"","""")
)
)
"),"customer")</f>
        <v>customer</v>
      </c>
      <c r="O1147" s="7">
        <f t="shared" si="5"/>
        <v>54</v>
      </c>
      <c r="P1147" s="8" t="str">
        <f t="shared" si="6"/>
        <v>Yes</v>
      </c>
    </row>
    <row r="1148">
      <c r="A1148" s="4" t="s">
        <v>16</v>
      </c>
      <c r="B1148" s="4" t="s">
        <v>3257</v>
      </c>
      <c r="C1148" s="9">
        <v>44896.0</v>
      </c>
      <c r="D1148" s="10">
        <v>44897.0</v>
      </c>
      <c r="E1148" s="4" t="s">
        <v>3258</v>
      </c>
      <c r="F1148" s="4" t="s">
        <v>3259</v>
      </c>
      <c r="G1148" s="6" t="str">
        <f>IFERROR(__xludf.DUMMYFUNCTION("REGEXREPLACE(LOWER(F1148),""[^a-z\s]"","""")"),"excellent selection for pet food and product came quickly enjoyed the quality and communication throughout the experience")</f>
        <v>excellent selection for pet food and product came quickly enjoyed the quality and communication throughout the experience</v>
      </c>
      <c r="H1148" s="4" t="str">
        <f t="shared" si="1"/>
        <v>excellent selection pet food product came quickly enjoyed quality communication throughout experience</v>
      </c>
      <c r="I1148" s="6">
        <f t="shared" si="2"/>
        <v>12</v>
      </c>
      <c r="J1148" s="6">
        <f>IFERROR(__xludf.DUMMYFUNCTION("IF(H1148="""","""",
SUM(
ARRAYFORMULA(
IF(
REGEXMATCH(
"" ""&amp;H1148&amp;"" "",
"" ""&amp;Sentiment_Words!A$2:A3730&amp;"" ""
),
1,
0
)
)
)
)"),0.0)</f>
        <v>0</v>
      </c>
      <c r="K1148" s="4">
        <f>IFERROR(__xludf.DUMMYFUNCTION("IF(H1148="""","""",
SUM(
ARRAYFORMULA(
IF(
REGEXMATCH(
"" ""&amp;H1148&amp;"" "",
"" ""&amp;Sentiment_Words!B$2:B3730&amp;"" ""
),
1,
0
)
)
)
)"),0.0)</f>
        <v>0</v>
      </c>
      <c r="L1148" s="7" t="str">
        <f t="shared" si="3"/>
        <v>Other</v>
      </c>
      <c r="M1148" s="7" t="str">
        <f t="shared" si="4"/>
        <v>Neutral</v>
      </c>
      <c r="N1148" s="7" t="str">
        <f>IFERROR(__xludf.DUMMYFUNCTION("LOWER(
TRIM(
REGEXREPLACE(B1148,""[^a-zA-Z\s]"","""")
)
)
"),"debra h")</f>
        <v>debra h</v>
      </c>
      <c r="O1148" s="7">
        <f t="shared" si="5"/>
        <v>1</v>
      </c>
      <c r="P1148" s="8" t="str">
        <f t="shared" si="6"/>
        <v>No</v>
      </c>
    </row>
    <row r="1149">
      <c r="A1149" s="4" t="s">
        <v>16</v>
      </c>
      <c r="B1149" s="4" t="s">
        <v>3260</v>
      </c>
      <c r="C1149" s="5">
        <v>44882.0</v>
      </c>
      <c r="D1149" s="10">
        <v>44897.0</v>
      </c>
      <c r="E1149" s="4" t="s">
        <v>3261</v>
      </c>
      <c r="F1149" s="4" t="s">
        <v>3262</v>
      </c>
      <c r="G1149" s="6" t="str">
        <f>IFERROR(__xludf.DUMMYFUNCTION("REGEXREPLACE(LOWER(F1149),""[^a-z\s]"","""")"),"shipping times and amount of available products")</f>
        <v>shipping times and amount of available products</v>
      </c>
      <c r="H1149" s="4" t="str">
        <f t="shared" si="1"/>
        <v>shipping times amount of available products</v>
      </c>
      <c r="I1149" s="6">
        <f t="shared" si="2"/>
        <v>6</v>
      </c>
      <c r="J1149" s="6">
        <f>IFERROR(__xludf.DUMMYFUNCTION("IF(H1149="""","""",
SUM(
ARRAYFORMULA(
IF(
REGEXMATCH(
"" ""&amp;H1149&amp;"" "",
"" ""&amp;Sentiment_Words!A$2:A3730&amp;"" ""
),
1,
0
)
)
)
)"),1.0)</f>
        <v>1</v>
      </c>
      <c r="K1149" s="4">
        <f>IFERROR(__xludf.DUMMYFUNCTION("IF(H1149="""","""",
SUM(
ARRAYFORMULA(
IF(
REGEXMATCH(
"" ""&amp;H1149&amp;"" "",
"" ""&amp;Sentiment_Words!B$2:B3730&amp;"" ""
),
1,
0
)
)
)
)"),0.0)</f>
        <v>0</v>
      </c>
      <c r="L1149" s="7" t="str">
        <f t="shared" si="3"/>
        <v>Other</v>
      </c>
      <c r="M1149" s="7" t="str">
        <f t="shared" si="4"/>
        <v>Positive</v>
      </c>
      <c r="N1149" s="7" t="str">
        <f>IFERROR(__xludf.DUMMYFUNCTION("LOWER(
TRIM(
REGEXREPLACE(B1149,""[^a-zA-Z\s]"","""")
)
)
"),"susan bjurstrom")</f>
        <v>susan bjurstrom</v>
      </c>
      <c r="O1149" s="7">
        <f t="shared" si="5"/>
        <v>1</v>
      </c>
      <c r="P1149" s="8" t="str">
        <f t="shared" si="6"/>
        <v>No</v>
      </c>
    </row>
    <row r="1150">
      <c r="A1150" s="4" t="s">
        <v>16</v>
      </c>
      <c r="B1150" s="4" t="s">
        <v>3263</v>
      </c>
      <c r="C1150" s="5">
        <v>44893.0</v>
      </c>
      <c r="D1150" s="10">
        <v>44897.0</v>
      </c>
      <c r="E1150" s="4" t="s">
        <v>3264</v>
      </c>
      <c r="F1150" s="4" t="s">
        <v>3265</v>
      </c>
      <c r="G1150" s="6" t="str">
        <f>IFERROR(__xludf.DUMMYFUNCTION("REGEXREPLACE(LOWER(F1150),""[^a-z\s]"","""")"),"customer service was excellent")</f>
        <v>customer service was excellent</v>
      </c>
      <c r="H1150" s="4" t="str">
        <f t="shared" si="1"/>
        <v>customer service was excellent</v>
      </c>
      <c r="I1150" s="6">
        <f t="shared" si="2"/>
        <v>4</v>
      </c>
      <c r="J1150" s="6">
        <f>IFERROR(__xludf.DUMMYFUNCTION("IF(H1150="""","""",
SUM(
ARRAYFORMULA(
IF(
REGEXMATCH(
"" ""&amp;H1150&amp;"" "",
"" ""&amp;Sentiment_Words!A$2:A3730&amp;"" ""
),
1,
0
)
)
)
)"),0.0)</f>
        <v>0</v>
      </c>
      <c r="K1150" s="4">
        <f>IFERROR(__xludf.DUMMYFUNCTION("IF(H1150="""","""",
SUM(
ARRAYFORMULA(
IF(
REGEXMATCH(
"" ""&amp;H1150&amp;"" "",
"" ""&amp;Sentiment_Words!B$2:B3730&amp;"" ""
),
1,
0
)
)
)
)"),1.0)</f>
        <v>1</v>
      </c>
      <c r="L1150" s="7" t="str">
        <f t="shared" si="3"/>
        <v>Customer Support</v>
      </c>
      <c r="M1150" s="7" t="str">
        <f t="shared" si="4"/>
        <v>Negative</v>
      </c>
      <c r="N1150" s="7" t="str">
        <f>IFERROR(__xludf.DUMMYFUNCTION("LOWER(
TRIM(
REGEXREPLACE(B1150,""[^a-zA-Z\s]"","""")
)
)
"),"danny tang")</f>
        <v>danny tang</v>
      </c>
      <c r="O1150" s="7">
        <f t="shared" si="5"/>
        <v>1</v>
      </c>
      <c r="P1150" s="8" t="str">
        <f t="shared" si="6"/>
        <v>No</v>
      </c>
    </row>
    <row r="1151">
      <c r="A1151" s="4" t="s">
        <v>16</v>
      </c>
      <c r="B1151" s="4" t="s">
        <v>3266</v>
      </c>
      <c r="C1151" s="5">
        <v>44886.0</v>
      </c>
      <c r="D1151" s="10">
        <v>44897.0</v>
      </c>
      <c r="E1151" s="4" t="s">
        <v>3267</v>
      </c>
      <c r="F1151" s="4" t="s">
        <v>3268</v>
      </c>
      <c r="G1151" s="6" t="str">
        <f>IFERROR(__xludf.DUMMYFUNCTION("REGEXREPLACE(LOWER(F1151),""[^a-z\s]"","""")"),"super fast shipping good selection of dog foods and good prices")</f>
        <v>super fast shipping good selection of dog foods and good prices</v>
      </c>
      <c r="H1151" s="4" t="str">
        <f t="shared" si="1"/>
        <v>super fast shipping good selection of dog foods good prices</v>
      </c>
      <c r="I1151" s="6">
        <f t="shared" si="2"/>
        <v>10</v>
      </c>
      <c r="J1151" s="6">
        <f>IFERROR(__xludf.DUMMYFUNCTION("IF(H1151="""","""",
SUM(
ARRAYFORMULA(
IF(
REGEXMATCH(
"" ""&amp;H1151&amp;"" "",
"" ""&amp;Sentiment_Words!A$2:A3730&amp;"" ""
),
1,
0
)
)
)
)"),2.0)</f>
        <v>2</v>
      </c>
      <c r="K1151" s="4">
        <f>IFERROR(__xludf.DUMMYFUNCTION("IF(H1151="""","""",
SUM(
ARRAYFORMULA(
IF(
REGEXMATCH(
"" ""&amp;H1151&amp;"" "",
"" ""&amp;Sentiment_Words!B$2:B3730&amp;"" ""
),
1,
0
)
)
)
)"),0.0)</f>
        <v>0</v>
      </c>
      <c r="L1151" s="7" t="str">
        <f t="shared" si="3"/>
        <v>Other</v>
      </c>
      <c r="M1151" s="7" t="str">
        <f t="shared" si="4"/>
        <v>Positive</v>
      </c>
      <c r="N1151" s="7" t="str">
        <f>IFERROR(__xludf.DUMMYFUNCTION("LOWER(
TRIM(
REGEXREPLACE(B1151,""[^a-zA-Z\s]"","""")
)
)
"),"mes")</f>
        <v>mes</v>
      </c>
      <c r="O1151" s="7">
        <f t="shared" si="5"/>
        <v>2</v>
      </c>
      <c r="P1151" s="8" t="str">
        <f t="shared" si="6"/>
        <v>Yes</v>
      </c>
    </row>
    <row r="1152">
      <c r="A1152" s="4" t="s">
        <v>16</v>
      </c>
      <c r="B1152" s="4" t="s">
        <v>3269</v>
      </c>
      <c r="C1152" s="5">
        <v>44889.0</v>
      </c>
      <c r="D1152" s="10">
        <v>44897.0</v>
      </c>
      <c r="E1152" s="4" t="s">
        <v>3270</v>
      </c>
      <c r="F1152" s="4" t="s">
        <v>3271</v>
      </c>
      <c r="G1152" s="6" t="str">
        <f>IFERROR(__xludf.DUMMYFUNCTION("REGEXREPLACE(LOWER(F1152),""[^a-z\s]"","""")"),"tried to get my auto shipment moved up a few days sooner  instead they cancelled it when they finally shipped it appeared that i was only being charged  instead of  i figured bc of the mixup when i checked later in the day the  was added back emailing abo"&amp;"ut it has gotten zero response")</f>
        <v>tried to get my auto shipment moved up a few days sooner  instead they cancelled it when they finally shipped it appeared that i was only being charged  instead of  i figured bc of the mixup when i checked later in the day the  was added back emailing about it has gotten zero response</v>
      </c>
      <c r="H1152" s="4" t="str">
        <f t="shared" si="1"/>
        <v>tried get my auto shipment moved up a few days sooner instead they cancelled it when they finally shipped it appeared that i was only being charged instead of i figured bc of mixup when i checked later in day was added back emailing about it has gotten zero response</v>
      </c>
      <c r="I1152" s="6">
        <f t="shared" si="2"/>
        <v>50</v>
      </c>
      <c r="J1152" s="6">
        <f>IFERROR(__xludf.DUMMYFUNCTION("IF(H1152="""","""",
SUM(
ARRAYFORMULA(
IF(
REGEXMATCH(
"" ""&amp;H1152&amp;"" "",
"" ""&amp;Sentiment_Words!A$2:A3730&amp;"" ""
),
1,
0
)
)
)
)"),0.0)</f>
        <v>0</v>
      </c>
      <c r="K1152" s="4">
        <f>IFERROR(__xludf.DUMMYFUNCTION("IF(H1152="""","""",
SUM(
ARRAYFORMULA(
IF(
REGEXMATCH(
"" ""&amp;H1152&amp;"" "",
"" ""&amp;Sentiment_Words!B$2:B3730&amp;"" ""
),
1,
0
)
)
)
)"),1.0)</f>
        <v>1</v>
      </c>
      <c r="L1152" s="7" t="str">
        <f t="shared" si="3"/>
        <v>Fulfillment &amp; Shipping</v>
      </c>
      <c r="M1152" s="7" t="str">
        <f t="shared" si="4"/>
        <v>Negative</v>
      </c>
      <c r="N1152" s="7" t="str">
        <f>IFERROR(__xludf.DUMMYFUNCTION("LOWER(
TRIM(
REGEXREPLACE(B1152,""[^a-zA-Z\s]"","""")
)
)
"),"shirley")</f>
        <v>shirley</v>
      </c>
      <c r="O1152" s="7">
        <f t="shared" si="5"/>
        <v>4</v>
      </c>
      <c r="P1152" s="8" t="str">
        <f t="shared" si="6"/>
        <v>Yes</v>
      </c>
    </row>
    <row r="1153">
      <c r="A1153" s="4" t="s">
        <v>16</v>
      </c>
      <c r="B1153" s="4" t="s">
        <v>3272</v>
      </c>
      <c r="C1153" s="5">
        <v>44893.0</v>
      </c>
      <c r="D1153" s="10">
        <v>44897.0</v>
      </c>
      <c r="E1153" s="4" t="s">
        <v>3273</v>
      </c>
      <c r="F1153" s="4" t="s">
        <v>3274</v>
      </c>
      <c r="G1153" s="6" t="str">
        <f>IFERROR(__xludf.DUMMYFUNCTION("REGEXREPLACE(LOWER(F1153),""[^a-z\s]"","""")"),"bryan was great he explained things and followed up right away im thankful i connected with him about my issue")</f>
        <v>bryan was great he explained things and followed up right away im thankful i connected with him about my issue</v>
      </c>
      <c r="H1153" s="4" t="str">
        <f t="shared" si="1"/>
        <v>bryan was great he explained things followed up right away im thankful i connected with him about my issue</v>
      </c>
      <c r="I1153" s="6">
        <f t="shared" si="2"/>
        <v>19</v>
      </c>
      <c r="J1153" s="6">
        <f>IFERROR(__xludf.DUMMYFUNCTION("IF(H1153="""","""",
SUM(
ARRAYFORMULA(
IF(
REGEXMATCH(
"" ""&amp;H1153&amp;"" "",
"" ""&amp;Sentiment_Words!A$2:A3730&amp;"" ""
),
1,
0
)
)
)
)"),2.0)</f>
        <v>2</v>
      </c>
      <c r="K1153" s="4">
        <f>IFERROR(__xludf.DUMMYFUNCTION("IF(H1153="""","""",
SUM(
ARRAYFORMULA(
IF(
REGEXMATCH(
"" ""&amp;H1153&amp;"" "",
"" ""&amp;Sentiment_Words!B$2:B3730&amp;"" ""
),
1,
0
)
)
)
)"),1.0)</f>
        <v>1</v>
      </c>
      <c r="L1153" s="7" t="str">
        <f t="shared" si="3"/>
        <v>Other</v>
      </c>
      <c r="M1153" s="7" t="str">
        <f t="shared" si="4"/>
        <v>Positive</v>
      </c>
      <c r="N1153" s="7" t="str">
        <f>IFERROR(__xludf.DUMMYFUNCTION("LOWER(
TRIM(
REGEXREPLACE(B1153,""[^a-zA-Z\s]"","""")
)
)
"),"luke rose")</f>
        <v>luke rose</v>
      </c>
      <c r="O1153" s="7">
        <f t="shared" si="5"/>
        <v>1</v>
      </c>
      <c r="P1153" s="8" t="str">
        <f t="shared" si="6"/>
        <v>No</v>
      </c>
    </row>
    <row r="1154">
      <c r="A1154" s="4" t="s">
        <v>16</v>
      </c>
      <c r="B1154" s="4" t="s">
        <v>3275</v>
      </c>
      <c r="C1154" s="5">
        <v>44893.0</v>
      </c>
      <c r="D1154" s="10">
        <v>44897.0</v>
      </c>
      <c r="E1154" s="4" t="s">
        <v>446</v>
      </c>
      <c r="F1154" s="4" t="s">
        <v>3276</v>
      </c>
      <c r="G1154" s="6" t="str">
        <f>IFERROR(__xludf.DUMMYFUNCTION("REGEXREPLACE(LOWER(F1154),""[^a-z\s]"","""")"),"always fast shipping and always have what i need")</f>
        <v>always fast shipping and always have what i need</v>
      </c>
      <c r="H1154" s="4" t="str">
        <f t="shared" si="1"/>
        <v>always fast shipping always have what i need</v>
      </c>
      <c r="I1154" s="6">
        <f t="shared" si="2"/>
        <v>8</v>
      </c>
      <c r="J1154" s="6">
        <f>IFERROR(__xludf.DUMMYFUNCTION("IF(H1154="""","""",
SUM(
ARRAYFORMULA(
IF(
REGEXMATCH(
"" ""&amp;H1154&amp;"" "",
"" ""&amp;Sentiment_Words!A$2:A3730&amp;"" ""
),
1,
0
)
)
)
)"),1.0)</f>
        <v>1</v>
      </c>
      <c r="K1154" s="4">
        <f>IFERROR(__xludf.DUMMYFUNCTION("IF(H1154="""","""",
SUM(
ARRAYFORMULA(
IF(
REGEXMATCH(
"" ""&amp;H1154&amp;"" "",
"" ""&amp;Sentiment_Words!B$2:B3730&amp;"" ""
),
1,
0
)
)
)
)"),0.0)</f>
        <v>0</v>
      </c>
      <c r="L1154" s="7" t="str">
        <f t="shared" si="3"/>
        <v>Other</v>
      </c>
      <c r="M1154" s="7" t="str">
        <f t="shared" si="4"/>
        <v>Positive</v>
      </c>
      <c r="N1154" s="7" t="str">
        <f>IFERROR(__xludf.DUMMYFUNCTION("LOWER(
TRIM(
REGEXREPLACE(B1154,""[^a-zA-Z\s]"","""")
)
)
"),"susanna s")</f>
        <v>susanna s</v>
      </c>
      <c r="O1154" s="7">
        <f t="shared" si="5"/>
        <v>1</v>
      </c>
      <c r="P1154" s="8" t="str">
        <f t="shared" si="6"/>
        <v>No</v>
      </c>
    </row>
    <row r="1155">
      <c r="A1155" s="4" t="s">
        <v>16</v>
      </c>
      <c r="B1155" s="4" t="s">
        <v>3277</v>
      </c>
      <c r="C1155" s="5">
        <v>44882.0</v>
      </c>
      <c r="D1155" s="10">
        <v>44896.0</v>
      </c>
      <c r="E1155" s="4" t="s">
        <v>3278</v>
      </c>
      <c r="F1155" s="4" t="s">
        <v>3279</v>
      </c>
      <c r="G1155" s="6" t="str">
        <f>IFERROR(__xludf.DUMMYFUNCTION("REGEXREPLACE(LOWER(F1155),""[^a-z\s]"","""")"),"switched over from chewy because natures logic dry dog food was a bit cheaper but shipping is very slow last package arrived opened bully stick sizing is inconsistent and seems foul")</f>
        <v>switched over from chewy because natures logic dry dog food was a bit cheaper but shipping is very slow last package arrived opened bully stick sizing is inconsistent and seems foul</v>
      </c>
      <c r="H1155" s="4" t="str">
        <f t="shared" si="1"/>
        <v>switched over from chewy because natures logic dry dog food was a bit cheaper but shipping very slow last package arrived opened bully stick sizing inconsistent seems foul</v>
      </c>
      <c r="I1155" s="6">
        <f t="shared" si="2"/>
        <v>28</v>
      </c>
      <c r="J1155" s="6">
        <f>IFERROR(__xludf.DUMMYFUNCTION("IF(H1155="""","""",
SUM(
ARRAYFORMULA(
IF(
REGEXMATCH(
"" ""&amp;H1155&amp;"" "",
"" ""&amp;Sentiment_Words!A$2:A3730&amp;"" ""
),
1,
0
)
)
)
)"),1.0)</f>
        <v>1</v>
      </c>
      <c r="K1155" s="4">
        <f>IFERROR(__xludf.DUMMYFUNCTION("IF(H1155="""","""",
SUM(
ARRAYFORMULA(
IF(
REGEXMATCH(
"" ""&amp;H1155&amp;"" "",
"" ""&amp;Sentiment_Words!B$2:B3730&amp;"" ""
),
1,
0
)
)
)
)"),0.0)</f>
        <v>0</v>
      </c>
      <c r="L1155" s="7" t="str">
        <f t="shared" si="3"/>
        <v>Value &amp; Convenience</v>
      </c>
      <c r="M1155" s="7" t="str">
        <f t="shared" si="4"/>
        <v>Positive</v>
      </c>
      <c r="N1155" s="7" t="str">
        <f>IFERROR(__xludf.DUMMYFUNCTION("LOWER(
TRIM(
REGEXREPLACE(B1155,""[^a-zA-Z\s]"","""")
)
)
"),"lisa chappell")</f>
        <v>lisa chappell</v>
      </c>
      <c r="O1155" s="7">
        <f t="shared" si="5"/>
        <v>1</v>
      </c>
      <c r="P1155" s="8" t="str">
        <f t="shared" si="6"/>
        <v>No</v>
      </c>
    </row>
    <row r="1156">
      <c r="A1156" s="4" t="s">
        <v>16</v>
      </c>
      <c r="B1156" s="4" t="s">
        <v>3280</v>
      </c>
      <c r="C1156" s="5">
        <v>44895.0</v>
      </c>
      <c r="D1156" s="10">
        <v>44896.0</v>
      </c>
      <c r="E1156" s="4" t="s">
        <v>3281</v>
      </c>
      <c r="F1156" s="4" t="s">
        <v>3282</v>
      </c>
      <c r="G1156" s="6" t="str">
        <f>IFERROR(__xludf.DUMMYFUNCTION("REGEXREPLACE(LOWER(F1156),""[^a-z\s]"","""")"),"i have no complaints about the company other than you using fedex as your shipper i seem to have issues with them every time always changing delivery dates this time they left the boxes in plain sight in front of my garage allowing them to get wet in the "&amp;"rain before i could get them i have a covered front porch but they ignored that i may look for a new source for my dog food because you use fedex ups would be a much better choice")</f>
        <v>i have no complaints about the company other than you using fedex as your shipper i seem to have issues with them every time always changing delivery dates this time they left the boxes in plain sight in front of my garage allowing them to get wet in the rain before i could get them i have a covered front porch but they ignored that i may look for a new source for my dog food because you use fedex ups would be a much better choice</v>
      </c>
      <c r="H1156" s="4" t="str">
        <f t="shared" si="1"/>
        <v>i have no complaints about company other than you using fedex as your shipper i seem have issues with them every time always changing delivery dates this time they left boxes in plain sight in front of my garage allowing them get wet in rain before i could get them i have a covered front porch but they ignored that i may look a new source my dog food because you use fedex ups would be a much better choice</v>
      </c>
      <c r="I1156" s="6">
        <f t="shared" si="2"/>
        <v>80</v>
      </c>
      <c r="J1156" s="6">
        <f>IFERROR(__xludf.DUMMYFUNCTION("IF(H1156="""","""",
SUM(
ARRAYFORMULA(
IF(
REGEXMATCH(
"" ""&amp;H1156&amp;"" "",
"" ""&amp;Sentiment_Words!A$2:A3730&amp;"" ""
),
1,
0
)
)
)
)"),0.0)</f>
        <v>0</v>
      </c>
      <c r="K1156" s="4">
        <f>IFERROR(__xludf.DUMMYFUNCTION("IF(H1156="""","""",
SUM(
ARRAYFORMULA(
IF(
REGEXMATCH(
"" ""&amp;H1156&amp;"" "",
"" ""&amp;Sentiment_Words!B$2:B3730&amp;"" ""
),
1,
0
)
)
)
)"),1.0)</f>
        <v>1</v>
      </c>
      <c r="L1156" s="7" t="str">
        <f t="shared" si="3"/>
        <v>Customer Support</v>
      </c>
      <c r="M1156" s="7" t="str">
        <f t="shared" si="4"/>
        <v>Negative</v>
      </c>
      <c r="N1156" s="7" t="str">
        <f>IFERROR(__xludf.DUMMYFUNCTION("LOWER(
TRIM(
REGEXREPLACE(B1156,""[^a-zA-Z\s]"","""")
)
)
"),"lacey")</f>
        <v>lacey</v>
      </c>
      <c r="O1156" s="7">
        <f t="shared" si="5"/>
        <v>1</v>
      </c>
      <c r="P1156" s="8" t="str">
        <f t="shared" si="6"/>
        <v>No</v>
      </c>
    </row>
    <row r="1157">
      <c r="A1157" s="4" t="s">
        <v>16</v>
      </c>
      <c r="B1157" s="4" t="s">
        <v>3283</v>
      </c>
      <c r="C1157" s="5">
        <v>44890.0</v>
      </c>
      <c r="D1157" s="10">
        <v>44896.0</v>
      </c>
      <c r="E1157" s="4" t="s">
        <v>3284</v>
      </c>
      <c r="F1157" s="4" t="s">
        <v>3285</v>
      </c>
      <c r="G1157" s="6" t="str">
        <f>IFERROR(__xludf.DUMMYFUNCTION("REGEXREPLACE(LOWER(F1157),""[^a-z\s]"","""")"),"the treats had small fine bones in them")</f>
        <v>the treats had small fine bones in them</v>
      </c>
      <c r="H1157" s="4" t="str">
        <f t="shared" si="1"/>
        <v>treats had small fine bones in them</v>
      </c>
      <c r="I1157" s="6">
        <f t="shared" si="2"/>
        <v>7</v>
      </c>
      <c r="J1157" s="6">
        <f>IFERROR(__xludf.DUMMYFUNCTION("IF(H1157="""","""",
SUM(
ARRAYFORMULA(
IF(
REGEXMATCH(
"" ""&amp;H1157&amp;"" "",
"" ""&amp;Sentiment_Words!A$2:A3730&amp;"" ""
),
1,
0
)
)
)
)"),0.0)</f>
        <v>0</v>
      </c>
      <c r="K1157" s="4">
        <f>IFERROR(__xludf.DUMMYFUNCTION("IF(H1157="""","""",
SUM(
ARRAYFORMULA(
IF(
REGEXMATCH(
"" ""&amp;H1157&amp;"" "",
"" ""&amp;Sentiment_Words!B$2:B3730&amp;"" ""
),
1,
0
)
)
)
)"),0.0)</f>
        <v>0</v>
      </c>
      <c r="L1157" s="7" t="str">
        <f t="shared" si="3"/>
        <v>Other</v>
      </c>
      <c r="M1157" s="7" t="str">
        <f t="shared" si="4"/>
        <v>Neutral</v>
      </c>
      <c r="N1157" s="7" t="str">
        <f>IFERROR(__xludf.DUMMYFUNCTION("LOWER(
TRIM(
REGEXREPLACE(B1157,""[^a-zA-Z\s]"","""")
)
)
"),"teresa mads")</f>
        <v>teresa mads</v>
      </c>
      <c r="O1157" s="7">
        <f t="shared" si="5"/>
        <v>1</v>
      </c>
      <c r="P1157" s="8" t="str">
        <f t="shared" si="6"/>
        <v>No</v>
      </c>
    </row>
    <row r="1158">
      <c r="A1158" s="4" t="s">
        <v>16</v>
      </c>
      <c r="B1158" s="4" t="s">
        <v>3286</v>
      </c>
      <c r="C1158" s="5">
        <v>44895.0</v>
      </c>
      <c r="D1158" s="10">
        <v>44896.0</v>
      </c>
      <c r="E1158" s="4" t="s">
        <v>3287</v>
      </c>
      <c r="F1158" s="4" t="s">
        <v>3288</v>
      </c>
      <c r="G1158" s="6" t="str">
        <f>IFERROR(__xludf.DUMMYFUNCTION("REGEXREPLACE(LOWER(F1158),""[^a-z\s]"","""")"),"i honestly have never done a review ever well i have ordered twice from this company and each time there was issues the first time the help people were amazing and rushed to fix it right away so obviously i ordered again but this time omg i had to make a "&amp;"new email because it locked me out of old account and thats what the help people told me to do then i placed order i never got confirmation saying if it shipped or not so  days after expected ship date i asked the help people took over two days to respond"&amp;" and they said it got flagged by our fraud department not to fill order call this number so i did they couldnt tell me either still waiting for a response when they said they would email me back last night its just ridiculous i have tried and been kind bu"&amp;"t seriously order from amazon less hassle")</f>
        <v>i honestly have never done a review ever well i have ordered twice from this company and each time there was issues the first time the help people were amazing and rushed to fix it right away so obviously i ordered again but this time omg i had to make a new email because it locked me out of old account and thats what the help people told me to do then i placed order i never got confirmation saying if it shipped or not so  days after expected ship date i asked the help people took over two days to respond and they said it got flagged by our fraud department not to fill order call this number so i did they couldnt tell me either still waiting for a response when they said they would email me back last night its just ridiculous i have tried and been kind but seriously order from amazon less hassle</v>
      </c>
      <c r="H1158" s="4" t="str">
        <f t="shared" si="1"/>
        <v>i honestly have never done a review ever well i have ordered twice from this company each time there was issues first time help people were amazing rushed fix it right away so obviously i ordered again but this time omg i had make a new email because it locked me out of old account thats what help people told me do then i placed order i never got confirmation saying if it shipped or not so days after expected ship date i asked help people took over two days respond they said it got flagged by our fraud department not fill order call this number so i did they couldnt tell me either still waiting a response when they said they would email me back last night its just ridiculous i have tried been kind but seriously order from amazon less hassle</v>
      </c>
      <c r="I1158" s="6">
        <f t="shared" si="2"/>
        <v>143</v>
      </c>
      <c r="J1158" s="6">
        <f>IFERROR(__xludf.DUMMYFUNCTION("IF(H1158="""","""",
SUM(
ARRAYFORMULA(
IF(
REGEXMATCH(
"" ""&amp;H1158&amp;"" "",
"" ""&amp;Sentiment_Words!A$2:A3730&amp;"" ""
),
1,
0
)
)
)
)"),0.0)</f>
        <v>0</v>
      </c>
      <c r="K1158" s="4">
        <f>IFERROR(__xludf.DUMMYFUNCTION("IF(H1158="""","""",
SUM(
ARRAYFORMULA(
IF(
REGEXMATCH(
"" ""&amp;H1158&amp;"" "",
"" ""&amp;Sentiment_Words!B$2:B3730&amp;"" ""
),
1,
0
)
)
)
)"),0.0)</f>
        <v>0</v>
      </c>
      <c r="L1158" s="7" t="str">
        <f t="shared" si="3"/>
        <v>Account &amp; Website</v>
      </c>
      <c r="M1158" s="7" t="str">
        <f t="shared" si="4"/>
        <v>Neutral</v>
      </c>
      <c r="N1158" s="7" t="str">
        <f>IFERROR(__xludf.DUMMYFUNCTION("LOWER(
TRIM(
REGEXREPLACE(B1158,""[^a-zA-Z\s]"","""")
)
)
"),"hien")</f>
        <v>hien</v>
      </c>
      <c r="O1158" s="7">
        <f t="shared" si="5"/>
        <v>1</v>
      </c>
      <c r="P1158" s="8" t="str">
        <f t="shared" si="6"/>
        <v>No</v>
      </c>
    </row>
    <row r="1159">
      <c r="A1159" s="4" t="s">
        <v>16</v>
      </c>
      <c r="B1159" s="4" t="s">
        <v>3289</v>
      </c>
      <c r="C1159" s="5">
        <v>44891.0</v>
      </c>
      <c r="D1159" s="10">
        <v>44896.0</v>
      </c>
      <c r="E1159" s="4" t="s">
        <v>3290</v>
      </c>
      <c r="F1159" s="4" t="s">
        <v>331</v>
      </c>
      <c r="G1159" s="6" t="str">
        <f>IFERROR(__xludf.DUMMYFUNCTION("REGEXREPLACE(LOWER(F1159),""[^a-z\s]"","""")"),"none")</f>
        <v>none</v>
      </c>
      <c r="H1159" s="4" t="str">
        <f t="shared" si="1"/>
        <v>none</v>
      </c>
      <c r="I1159" s="6">
        <f t="shared" si="2"/>
        <v>1</v>
      </c>
      <c r="J1159" s="6">
        <f>IFERROR(__xludf.DUMMYFUNCTION("IF(H1159="""","""",
SUM(
ARRAYFORMULA(
IF(
REGEXMATCH(
"" ""&amp;H1159&amp;"" "",
"" ""&amp;Sentiment_Words!A$2:A3730&amp;"" ""
),
1,
0
)
)
)
)"),0.0)</f>
        <v>0</v>
      </c>
      <c r="K1159" s="4">
        <f>IFERROR(__xludf.DUMMYFUNCTION("IF(H1159="""","""",
SUM(
ARRAYFORMULA(
IF(
REGEXMATCH(
"" ""&amp;H1159&amp;"" "",
"" ""&amp;Sentiment_Words!B$2:B3730&amp;"" ""
),
1,
0
)
)
)
)"),0.0)</f>
        <v>0</v>
      </c>
      <c r="L1159" s="7" t="str">
        <f t="shared" si="3"/>
        <v>Other</v>
      </c>
      <c r="M1159" s="7" t="str">
        <f t="shared" si="4"/>
        <v>Neutral</v>
      </c>
      <c r="N1159" s="7" t="str">
        <f>IFERROR(__xludf.DUMMYFUNCTION("LOWER(
TRIM(
REGEXREPLACE(B1159,""[^a-zA-Z\s]"","""")
)
)
"),"rob")</f>
        <v>rob</v>
      </c>
      <c r="O1159" s="7">
        <f t="shared" si="5"/>
        <v>2</v>
      </c>
      <c r="P1159" s="8" t="str">
        <f t="shared" si="6"/>
        <v>Yes</v>
      </c>
    </row>
    <row r="1160">
      <c r="A1160" s="4" t="s">
        <v>16</v>
      </c>
      <c r="B1160" s="4" t="s">
        <v>3291</v>
      </c>
      <c r="C1160" s="5">
        <v>44880.0</v>
      </c>
      <c r="D1160" s="10">
        <v>44896.0</v>
      </c>
      <c r="E1160" s="4" t="s">
        <v>3292</v>
      </c>
      <c r="F1160" s="4" t="s">
        <v>331</v>
      </c>
      <c r="G1160" s="6" t="str">
        <f>IFERROR(__xludf.DUMMYFUNCTION("REGEXREPLACE(LOWER(F1160),""[^a-z\s]"","""")"),"none")</f>
        <v>none</v>
      </c>
      <c r="H1160" s="4" t="str">
        <f t="shared" si="1"/>
        <v>none</v>
      </c>
      <c r="I1160" s="6">
        <f t="shared" si="2"/>
        <v>1</v>
      </c>
      <c r="J1160" s="6">
        <f>IFERROR(__xludf.DUMMYFUNCTION("IF(H1160="""","""",
SUM(
ARRAYFORMULA(
IF(
REGEXMATCH(
"" ""&amp;H1160&amp;"" "",
"" ""&amp;Sentiment_Words!A$2:A3730&amp;"" ""
),
1,
0
)
)
)
)"),0.0)</f>
        <v>0</v>
      </c>
      <c r="K1160" s="4">
        <f>IFERROR(__xludf.DUMMYFUNCTION("IF(H1160="""","""",
SUM(
ARRAYFORMULA(
IF(
REGEXMATCH(
"" ""&amp;H1160&amp;"" "",
"" ""&amp;Sentiment_Words!B$2:B3730&amp;"" ""
),
1,
0
)
)
)
)"),0.0)</f>
        <v>0</v>
      </c>
      <c r="L1160" s="7" t="str">
        <f t="shared" si="3"/>
        <v>Other</v>
      </c>
      <c r="M1160" s="7" t="str">
        <f t="shared" si="4"/>
        <v>Neutral</v>
      </c>
      <c r="N1160" s="7" t="str">
        <f>IFERROR(__xludf.DUMMYFUNCTION("LOWER(
TRIM(
REGEXREPLACE(B1160,""[^a-zA-Z\s]"","""")
)
)
"),"glen cassells")</f>
        <v>glen cassells</v>
      </c>
      <c r="O1160" s="7">
        <f t="shared" si="5"/>
        <v>1</v>
      </c>
      <c r="P1160" s="8" t="str">
        <f t="shared" si="6"/>
        <v>No</v>
      </c>
    </row>
    <row r="1161">
      <c r="A1161" s="4" t="s">
        <v>16</v>
      </c>
      <c r="B1161" s="4" t="s">
        <v>3293</v>
      </c>
      <c r="C1161" s="5">
        <v>44882.0</v>
      </c>
      <c r="D1161" s="4" t="s">
        <v>3294</v>
      </c>
      <c r="E1161" s="4" t="s">
        <v>3295</v>
      </c>
      <c r="F1161" s="4" t="s">
        <v>331</v>
      </c>
      <c r="G1161" s="6" t="str">
        <f>IFERROR(__xludf.DUMMYFUNCTION("REGEXREPLACE(LOWER(F1161),""[^a-z\s]"","""")"),"none")</f>
        <v>none</v>
      </c>
      <c r="H1161" s="4" t="str">
        <f t="shared" si="1"/>
        <v>none</v>
      </c>
      <c r="I1161" s="6">
        <f t="shared" si="2"/>
        <v>1</v>
      </c>
      <c r="J1161" s="6">
        <f>IFERROR(__xludf.DUMMYFUNCTION("IF(H1161="""","""",
SUM(
ARRAYFORMULA(
IF(
REGEXMATCH(
"" ""&amp;H1161&amp;"" "",
"" ""&amp;Sentiment_Words!A$2:A3730&amp;"" ""
),
1,
0
)
)
)
)"),0.0)</f>
        <v>0</v>
      </c>
      <c r="K1161" s="4">
        <f>IFERROR(__xludf.DUMMYFUNCTION("IF(H1161="""","""",
SUM(
ARRAYFORMULA(
IF(
REGEXMATCH(
"" ""&amp;H1161&amp;"" "",
"" ""&amp;Sentiment_Words!B$2:B3730&amp;"" ""
),
1,
0
)
)
)
)"),0.0)</f>
        <v>0</v>
      </c>
      <c r="L1161" s="7" t="str">
        <f t="shared" si="3"/>
        <v>Other</v>
      </c>
      <c r="M1161" s="7" t="str">
        <f t="shared" si="4"/>
        <v>Neutral</v>
      </c>
      <c r="N1161" s="7" t="str">
        <f>IFERROR(__xludf.DUMMYFUNCTION("LOWER(
TRIM(
REGEXREPLACE(B1161,""[^a-zA-Z\s]"","""")
)
)
"),"jobyna")</f>
        <v>jobyna</v>
      </c>
      <c r="O1161" s="7">
        <f t="shared" si="5"/>
        <v>1</v>
      </c>
      <c r="P1161" s="8" t="str">
        <f t="shared" si="6"/>
        <v>No</v>
      </c>
    </row>
    <row r="1162">
      <c r="A1162" s="4" t="s">
        <v>16</v>
      </c>
      <c r="B1162" s="4" t="s">
        <v>3296</v>
      </c>
      <c r="C1162" s="5">
        <v>44895.0</v>
      </c>
      <c r="D1162" s="10">
        <v>44896.0</v>
      </c>
      <c r="E1162" s="4" t="s">
        <v>3297</v>
      </c>
      <c r="F1162" s="4" t="s">
        <v>3298</v>
      </c>
      <c r="G1162" s="6" t="str">
        <f>IFERROR(__xludf.DUMMYFUNCTION("REGEXREPLACE(LOWER(F1162),""[^a-z\s]"","""")"),"didnt receive an acknowledgement from pet flow for on line order placed on a sunday i called monday morning asking for a tracking number and idea of when i could expect the  pounds of dog food i got a snarky no reply never did receive from pet flow any do"&amp;"cumentation of the order luckily the shipment arrived unexpectedly the following wednesday we got lucky given the shipper to be home to receive it during a driving rainstorm bottom linepoor communication customer service")</f>
        <v>didnt receive an acknowledgement from pet flow for on line order placed on a sunday i called monday morning asking for a tracking number and idea of when i could expect the  pounds of dog food i got a snarky no reply never did receive from pet flow any documentation of the order luckily the shipment arrived unexpectedly the following wednesday we got lucky given the shipper to be home to receive it during a driving rainstorm bottom linepoor communication customer service</v>
      </c>
      <c r="H1162" s="4" t="str">
        <f t="shared" si="1"/>
        <v>didnt receive an acknowledgement from pet flow on line order placed on a sunday i called monday morning asking a tracking number idea of when i could expect pounds of dog food i got a snarky no reply never did receive from pet flow any documentation of order luckily shipment arrived unexpectedly following wednesday we got lucky given shipper be home receive it during a driving rainstorm bottom linepoor communication customer service</v>
      </c>
      <c r="I1162" s="6">
        <f t="shared" si="2"/>
        <v>72</v>
      </c>
      <c r="J1162" s="6">
        <f>IFERROR(__xludf.DUMMYFUNCTION("IF(H1162="""","""",
SUM(
ARRAYFORMULA(
IF(
REGEXMATCH(
"" ""&amp;H1162&amp;"" "",
"" ""&amp;Sentiment_Words!A$2:A3730&amp;"" ""
),
1,
0
)
)
)
)"),0.0)</f>
        <v>0</v>
      </c>
      <c r="K1162" s="4">
        <f>IFERROR(__xludf.DUMMYFUNCTION("IF(H1162="""","""",
SUM(
ARRAYFORMULA(
IF(
REGEXMATCH(
"" ""&amp;H1162&amp;"" "",
"" ""&amp;Sentiment_Words!B$2:B3730&amp;"" ""
),
1,
0
)
)
)
)"),1.0)</f>
        <v>1</v>
      </c>
      <c r="L1162" s="7" t="str">
        <f t="shared" si="3"/>
        <v>Customer Support</v>
      </c>
      <c r="M1162" s="7" t="str">
        <f t="shared" si="4"/>
        <v>Negative</v>
      </c>
      <c r="N1162" s="7" t="str">
        <f>IFERROR(__xludf.DUMMYFUNCTION("LOWER(
TRIM(
REGEXREPLACE(B1162,""[^a-zA-Z\s]"","""")
)
)
"),"sue h")</f>
        <v>sue h</v>
      </c>
      <c r="O1162" s="7">
        <f t="shared" si="5"/>
        <v>1</v>
      </c>
      <c r="P1162" s="8" t="str">
        <f t="shared" si="6"/>
        <v>No</v>
      </c>
    </row>
    <row r="1163">
      <c r="A1163" s="4" t="s">
        <v>16</v>
      </c>
      <c r="B1163" s="4" t="s">
        <v>3299</v>
      </c>
      <c r="C1163" s="5">
        <v>44882.0</v>
      </c>
      <c r="D1163" s="10">
        <v>44896.0</v>
      </c>
      <c r="E1163" s="4" t="s">
        <v>3300</v>
      </c>
      <c r="F1163" s="4" t="s">
        <v>3301</v>
      </c>
      <c r="G1163" s="6" t="str">
        <f>IFERROR(__xludf.DUMMYFUNCTION("REGEXREPLACE(LOWER(F1163),""[^a-z\s]"","""")"),"dry kibble ordered on nov  still has not arrived supposed to be delivered today they are very responsive to emails and communications good company but need soem updated shipping procedures bw")</f>
        <v>dry kibble ordered on nov  still has not arrived supposed to be delivered today they are very responsive to emails and communications good company but need soem updated shipping procedures bw</v>
      </c>
      <c r="H1163" s="4" t="str">
        <f t="shared" si="1"/>
        <v>dry kibble ordered on nov still has not arrived supposed be delivered today they are very responsive emails communications good company but need soem updated shipping procedures bw</v>
      </c>
      <c r="I1163" s="6">
        <f t="shared" si="2"/>
        <v>28</v>
      </c>
      <c r="J1163" s="6">
        <f>IFERROR(__xludf.DUMMYFUNCTION("IF(H1163="""","""",
SUM(
ARRAYFORMULA(
IF(
REGEXMATCH(
"" ""&amp;H1163&amp;"" "",
"" ""&amp;Sentiment_Words!A$2:A3730&amp;"" ""
),
1,
0
)
)
)
)"),2.0)</f>
        <v>2</v>
      </c>
      <c r="K1163" s="4">
        <f>IFERROR(__xludf.DUMMYFUNCTION("IF(H1163="""","""",
SUM(
ARRAYFORMULA(
IF(
REGEXMATCH(
"" ""&amp;H1163&amp;"" "",
"" ""&amp;Sentiment_Words!B$2:B3730&amp;"" ""
),
1,
0
)
)
)
)"),0.0)</f>
        <v>0</v>
      </c>
      <c r="L1163" s="7" t="str">
        <f t="shared" si="3"/>
        <v>Other</v>
      </c>
      <c r="M1163" s="7" t="str">
        <f t="shared" si="4"/>
        <v>Positive</v>
      </c>
      <c r="N1163" s="7" t="str">
        <f>IFERROR(__xludf.DUMMYFUNCTION("LOWER(
TRIM(
REGEXREPLACE(B1163,""[^a-zA-Z\s]"","""")
)
)
"),"brian")</f>
        <v>brian</v>
      </c>
      <c r="O1163" s="7">
        <f t="shared" si="5"/>
        <v>2</v>
      </c>
      <c r="P1163" s="8" t="str">
        <f t="shared" si="6"/>
        <v>Yes</v>
      </c>
    </row>
    <row r="1164">
      <c r="A1164" s="4" t="s">
        <v>16</v>
      </c>
      <c r="B1164" s="4" t="s">
        <v>3302</v>
      </c>
      <c r="C1164" s="5">
        <v>44883.0</v>
      </c>
      <c r="D1164" s="10">
        <v>44895.0</v>
      </c>
      <c r="E1164" s="4" t="s">
        <v>3303</v>
      </c>
      <c r="F1164" s="4" t="s">
        <v>3304</v>
      </c>
      <c r="G1164" s="6" t="str">
        <f>IFERROR(__xludf.DUMMYFUNCTION("REGEXREPLACE(LOWER(F1164),""[^a-z\s]"","""")"),"service rep said  business days and it took  days had to go to local store to buy food to get by mailing system slow lately")</f>
        <v>service rep said  business days and it took  days had to go to local store to buy food to get by mailing system slow lately</v>
      </c>
      <c r="H1164" s="4" t="str">
        <f t="shared" si="1"/>
        <v>service rep said business days it took days had go local store buy food get by mailing system slow lately</v>
      </c>
      <c r="I1164" s="6">
        <f t="shared" si="2"/>
        <v>20</v>
      </c>
      <c r="J1164" s="6">
        <f>IFERROR(__xludf.DUMMYFUNCTION("IF(H1164="""","""",
SUM(
ARRAYFORMULA(
IF(
REGEXMATCH(
"" ""&amp;H1164&amp;"" "",
"" ""&amp;Sentiment_Words!A$2:A3730&amp;"" ""
),
1,
0
)
)
)
)"),0.0)</f>
        <v>0</v>
      </c>
      <c r="K1164" s="4">
        <f>IFERROR(__xludf.DUMMYFUNCTION("IF(H1164="""","""",
SUM(
ARRAYFORMULA(
IF(
REGEXMATCH(
"" ""&amp;H1164&amp;"" "",
"" ""&amp;Sentiment_Words!B$2:B3730&amp;"" ""
),
1,
0
)
)
)
)"),0.0)</f>
        <v>0</v>
      </c>
      <c r="L1164" s="7" t="str">
        <f t="shared" si="3"/>
        <v>Customer Support</v>
      </c>
      <c r="M1164" s="7" t="str">
        <f t="shared" si="4"/>
        <v>Neutral</v>
      </c>
      <c r="N1164" s="7" t="str">
        <f>IFERROR(__xludf.DUMMYFUNCTION("LOWER(
TRIM(
REGEXREPLACE(B1164,""[^a-zA-Z\s]"","""")
)
)
"),"sandra odell")</f>
        <v>sandra odell</v>
      </c>
      <c r="O1164" s="7">
        <f t="shared" si="5"/>
        <v>1</v>
      </c>
      <c r="P1164" s="8" t="str">
        <f t="shared" si="6"/>
        <v>No</v>
      </c>
    </row>
    <row r="1165">
      <c r="A1165" s="4" t="s">
        <v>16</v>
      </c>
      <c r="B1165" s="4" t="s">
        <v>3305</v>
      </c>
      <c r="C1165" s="5">
        <v>44887.0</v>
      </c>
      <c r="D1165" s="10">
        <v>44895.0</v>
      </c>
      <c r="E1165" s="4" t="s">
        <v>3306</v>
      </c>
      <c r="F1165" s="4" t="s">
        <v>3307</v>
      </c>
      <c r="G1165" s="6" t="str">
        <f>IFERROR(__xludf.DUMMYFUNCTION("REGEXREPLACE(LOWER(F1165),""[^a-z\s]"","""")"),"i had a concern with my orderthe customer service was outstanding far better than i expected my problem was taken care of very quickly and i will be ordering again soon")</f>
        <v>i had a concern with my orderthe customer service was outstanding far better than i expected my problem was taken care of very quickly and i will be ordering again soon</v>
      </c>
      <c r="H1165" s="4" t="str">
        <f t="shared" si="1"/>
        <v>i had a concern with my orderthe customer service was outstanding far better than i expected my problem was taken care of very quickly i will be ordering again soon</v>
      </c>
      <c r="I1165" s="6">
        <f t="shared" si="2"/>
        <v>30</v>
      </c>
      <c r="J1165" s="6">
        <f>IFERROR(__xludf.DUMMYFUNCTION("IF(H1165="""","""",
SUM(
ARRAYFORMULA(
IF(
REGEXMATCH(
"" ""&amp;H1165&amp;"" "",
"" ""&amp;Sentiment_Words!A$2:A3730&amp;"" ""
),
1,
0
)
)
)
)"),0.0)</f>
        <v>0</v>
      </c>
      <c r="K1165" s="4">
        <f>IFERROR(__xludf.DUMMYFUNCTION("IF(H1165="""","""",
SUM(
ARRAYFORMULA(
IF(
REGEXMATCH(
"" ""&amp;H1165&amp;"" "",
"" ""&amp;Sentiment_Words!B$2:B3730&amp;"" ""
),
1,
0
)
)
)
)"),2.0)</f>
        <v>2</v>
      </c>
      <c r="L1165" s="7" t="str">
        <f t="shared" si="3"/>
        <v>Customer Support</v>
      </c>
      <c r="M1165" s="7" t="str">
        <f t="shared" si="4"/>
        <v>Negative</v>
      </c>
      <c r="N1165" s="7" t="str">
        <f>IFERROR(__xludf.DUMMYFUNCTION("LOWER(
TRIM(
REGEXREPLACE(B1165,""[^a-zA-Z\s]"","""")
)
)
"),"darlene")</f>
        <v>darlene</v>
      </c>
      <c r="O1165" s="7">
        <f t="shared" si="5"/>
        <v>1</v>
      </c>
      <c r="P1165" s="8" t="str">
        <f t="shared" si="6"/>
        <v>No</v>
      </c>
    </row>
    <row r="1166">
      <c r="A1166" s="4" t="s">
        <v>16</v>
      </c>
      <c r="B1166" s="4" t="s">
        <v>3308</v>
      </c>
      <c r="C1166" s="5">
        <v>44894.0</v>
      </c>
      <c r="D1166" s="10">
        <v>44895.0</v>
      </c>
      <c r="E1166" s="4" t="s">
        <v>3309</v>
      </c>
      <c r="F1166" s="4" t="s">
        <v>3310</v>
      </c>
      <c r="G1166" s="6" t="str">
        <f>IFERROR(__xludf.DUMMYFUNCTION("REGEXREPLACE(LOWER(F1166),""[^a-z\s]"","""")"),"it took a very long time and multiple emails to customer service to see why my order didnt ship and i ordered two items only received one and no explanation where the other item is")</f>
        <v>it took a very long time and multiple emails to customer service to see why my order didnt ship and i ordered two items only received one and no explanation where the other item is</v>
      </c>
      <c r="H1166" s="4" t="str">
        <f t="shared" si="1"/>
        <v>it took a very long time multiple emails customer service see why my order didnt ship i ordered two items only received one no explanation where other item</v>
      </c>
      <c r="I1166" s="6">
        <f t="shared" si="2"/>
        <v>28</v>
      </c>
      <c r="J1166" s="6">
        <f>IFERROR(__xludf.DUMMYFUNCTION("IF(H1166="""","""",
SUM(
ARRAYFORMULA(
IF(
REGEXMATCH(
"" ""&amp;H1166&amp;"" "",
"" ""&amp;Sentiment_Words!A$2:A3730&amp;"" ""
),
1,
0
)
)
)
)"),0.0)</f>
        <v>0</v>
      </c>
      <c r="K1166" s="4">
        <f>IFERROR(__xludf.DUMMYFUNCTION("IF(H1166="""","""",
SUM(
ARRAYFORMULA(
IF(
REGEXMATCH(
"" ""&amp;H1166&amp;"" "",
"" ""&amp;Sentiment_Words!B$2:B3730&amp;"" ""
),
1,
0
)
)
)
)"),1.0)</f>
        <v>1</v>
      </c>
      <c r="L1166" s="7" t="str">
        <f t="shared" si="3"/>
        <v>Customer Support</v>
      </c>
      <c r="M1166" s="7" t="str">
        <f t="shared" si="4"/>
        <v>Negative</v>
      </c>
      <c r="N1166" s="7" t="str">
        <f>IFERROR(__xludf.DUMMYFUNCTION("LOWER(
TRIM(
REGEXREPLACE(B1166,""[^a-zA-Z\s]"","""")
)
)
"),"melinda theide")</f>
        <v>melinda theide</v>
      </c>
      <c r="O1166" s="7">
        <f t="shared" si="5"/>
        <v>1</v>
      </c>
      <c r="P1166" s="8" t="str">
        <f t="shared" si="6"/>
        <v>No</v>
      </c>
    </row>
    <row r="1167">
      <c r="A1167" s="4" t="s">
        <v>16</v>
      </c>
      <c r="B1167" s="4" t="s">
        <v>3311</v>
      </c>
      <c r="C1167" s="5">
        <v>44890.0</v>
      </c>
      <c r="D1167" s="10">
        <v>44895.0</v>
      </c>
      <c r="E1167" s="4" t="s">
        <v>3312</v>
      </c>
      <c r="F1167" s="4" t="s">
        <v>3313</v>
      </c>
      <c r="G1167" s="6" t="str">
        <f>IFERROR(__xludf.DUMMYFUNCTION("REGEXREPLACE(LOWER(F1167),""[^a-z\s]"","""")"),"again so many products out of stocknot available which means i have to go to other sources to get what i need")</f>
        <v>again so many products out of stocknot available which means i have to go to other sources to get what i need</v>
      </c>
      <c r="H1167" s="4" t="str">
        <f t="shared" si="1"/>
        <v>again so many products out of stocknot available which means i have go other sources get what i need</v>
      </c>
      <c r="I1167" s="6">
        <f t="shared" si="2"/>
        <v>19</v>
      </c>
      <c r="J1167" s="6">
        <f>IFERROR(__xludf.DUMMYFUNCTION("IF(H1167="""","""",
SUM(
ARRAYFORMULA(
IF(
REGEXMATCH(
"" ""&amp;H1167&amp;"" "",
"" ""&amp;Sentiment_Words!A$2:A3730&amp;"" ""
),
1,
0
)
)
)
)"),1.0)</f>
        <v>1</v>
      </c>
      <c r="K1167" s="4">
        <f>IFERROR(__xludf.DUMMYFUNCTION("IF(H1167="""","""",
SUM(
ARRAYFORMULA(
IF(
REGEXMATCH(
"" ""&amp;H1167&amp;"" "",
"" ""&amp;Sentiment_Words!B$2:B3730&amp;"" ""
),
1,
0
)
)
)
)"),0.0)</f>
        <v>0</v>
      </c>
      <c r="L1167" s="7" t="str">
        <f t="shared" si="3"/>
        <v>Availability</v>
      </c>
      <c r="M1167" s="7" t="str">
        <f t="shared" si="4"/>
        <v>Positive</v>
      </c>
      <c r="N1167" s="7" t="str">
        <f>IFERROR(__xludf.DUMMYFUNCTION("LOWER(
TRIM(
REGEXREPLACE(B1167,""[^a-zA-Z\s]"","""")
)
)
"),"melissa")</f>
        <v>melissa</v>
      </c>
      <c r="O1167" s="7">
        <f t="shared" si="5"/>
        <v>3</v>
      </c>
      <c r="P1167" s="8" t="str">
        <f t="shared" si="6"/>
        <v>Yes</v>
      </c>
    </row>
    <row r="1168">
      <c r="A1168" s="4" t="s">
        <v>16</v>
      </c>
      <c r="B1168" s="4" t="s">
        <v>3314</v>
      </c>
      <c r="C1168" s="5">
        <v>44894.0</v>
      </c>
      <c r="D1168" s="10">
        <v>44895.0</v>
      </c>
      <c r="E1168" s="4" t="s">
        <v>3315</v>
      </c>
      <c r="F1168" s="4" t="s">
        <v>3316</v>
      </c>
      <c r="G1168" s="6" t="str">
        <f>IFERROR(__xludf.DUMMYFUNCTION("REGEXREPLACE(LOWER(F1168),""[^a-z\s]"","""")"),"she was extremely helpful and very kind for the situation i had")</f>
        <v>she was extremely helpful and very kind for the situation i had</v>
      </c>
      <c r="H1168" s="4" t="str">
        <f t="shared" si="1"/>
        <v>she was extremely helpful very kind situation i had</v>
      </c>
      <c r="I1168" s="6">
        <f t="shared" si="2"/>
        <v>9</v>
      </c>
      <c r="J1168" s="6">
        <f>IFERROR(__xludf.DUMMYFUNCTION("IF(H1168="""","""",
SUM(
ARRAYFORMULA(
IF(
REGEXMATCH(
"" ""&amp;H1168&amp;"" "",
"" ""&amp;Sentiment_Words!A$2:A3730&amp;"" ""
),
1,
0
)
)
)
)"),1.0)</f>
        <v>1</v>
      </c>
      <c r="K1168" s="4">
        <f>IFERROR(__xludf.DUMMYFUNCTION("IF(H1168="""","""",
SUM(
ARRAYFORMULA(
IF(
REGEXMATCH(
"" ""&amp;H1168&amp;"" "",
"" ""&amp;Sentiment_Words!B$2:B3730&amp;"" ""
),
1,
0
)
)
)
)"),0.0)</f>
        <v>0</v>
      </c>
      <c r="L1168" s="7" t="str">
        <f t="shared" si="3"/>
        <v>Other</v>
      </c>
      <c r="M1168" s="7" t="str">
        <f t="shared" si="4"/>
        <v>Positive</v>
      </c>
      <c r="N1168" s="7" t="str">
        <f>IFERROR(__xludf.DUMMYFUNCTION("LOWER(
TRIM(
REGEXREPLACE(B1168,""[^a-zA-Z\s]"","""")
)
)
"),"jordan")</f>
        <v>jordan</v>
      </c>
      <c r="O1168" s="7">
        <f t="shared" si="5"/>
        <v>1</v>
      </c>
      <c r="P1168" s="8" t="str">
        <f t="shared" si="6"/>
        <v>No</v>
      </c>
    </row>
    <row r="1169">
      <c r="A1169" s="4" t="s">
        <v>16</v>
      </c>
      <c r="B1169" s="4" t="s">
        <v>3317</v>
      </c>
      <c r="C1169" s="5">
        <v>44886.0</v>
      </c>
      <c r="D1169" s="10">
        <v>44895.0</v>
      </c>
      <c r="E1169" s="4" t="s">
        <v>3318</v>
      </c>
      <c r="F1169" s="4" t="s">
        <v>3319</v>
      </c>
      <c r="G1169" s="6" t="str">
        <f>IFERROR(__xludf.DUMMYFUNCTION("REGEXREPLACE(LOWER(F1169),""[^a-z\s]"","""")"),"the company was prompt in getting my order out the door it took the delivery service some extra time")</f>
        <v>the company was prompt in getting my order out the door it took the delivery service some extra time</v>
      </c>
      <c r="H1169" s="4" t="str">
        <f t="shared" si="1"/>
        <v>company was prompt in getting my order out door it took delivery service some extra time</v>
      </c>
      <c r="I1169" s="6">
        <f t="shared" si="2"/>
        <v>16</v>
      </c>
      <c r="J1169" s="6">
        <f>IFERROR(__xludf.DUMMYFUNCTION("IF(H1169="""","""",
SUM(
ARRAYFORMULA(
IF(
REGEXMATCH(
"" ""&amp;H1169&amp;"" "",
"" ""&amp;Sentiment_Words!A$2:A3730&amp;"" ""
),
1,
0
)
)
)
)"),1.0)</f>
        <v>1</v>
      </c>
      <c r="K1169" s="4">
        <f>IFERROR(__xludf.DUMMYFUNCTION("IF(H1169="""","""",
SUM(
ARRAYFORMULA(
IF(
REGEXMATCH(
"" ""&amp;H1169&amp;"" "",
"" ""&amp;Sentiment_Words!B$2:B3730&amp;"" ""
),
1,
0
)
)
)
)"),0.0)</f>
        <v>0</v>
      </c>
      <c r="L1169" s="7" t="str">
        <f t="shared" si="3"/>
        <v>Customer Support</v>
      </c>
      <c r="M1169" s="7" t="str">
        <f t="shared" si="4"/>
        <v>Positive</v>
      </c>
      <c r="N1169" s="7" t="str">
        <f>IFERROR(__xludf.DUMMYFUNCTION("LOWER(
TRIM(
REGEXREPLACE(B1169,""[^a-zA-Z\s]"","""")
)
)
"),"tami comette")</f>
        <v>tami comette</v>
      </c>
      <c r="O1169" s="7">
        <f t="shared" si="5"/>
        <v>1</v>
      </c>
      <c r="P1169" s="8" t="str">
        <f t="shared" si="6"/>
        <v>No</v>
      </c>
    </row>
    <row r="1170">
      <c r="A1170" s="4" t="s">
        <v>16</v>
      </c>
      <c r="B1170" s="4" t="s">
        <v>3320</v>
      </c>
      <c r="C1170" s="5">
        <v>44883.0</v>
      </c>
      <c r="D1170" s="10">
        <v>44895.0</v>
      </c>
      <c r="E1170" s="4" t="s">
        <v>3321</v>
      </c>
      <c r="F1170" s="4" t="s">
        <v>3322</v>
      </c>
      <c r="G1170" s="6" t="str">
        <f>IFERROR(__xludf.DUMMYFUNCTION("REGEXREPLACE(LOWER(F1170),""[^a-z\s]"","""")"),"five stars
i highly recommend this company their selection is excellent and they are competitively priced")</f>
        <v>five stars
i highly recommend this company their selection is excellent and they are competitively priced</v>
      </c>
      <c r="H1170" s="4" t="str">
        <f t="shared" si="1"/>
        <v>five stars
i highly recommend this company their selection excellent they are competitively priced</v>
      </c>
      <c r="I1170" s="6">
        <f t="shared" si="2"/>
        <v>13</v>
      </c>
      <c r="J1170" s="6">
        <f>IFERROR(__xludf.DUMMYFUNCTION("IF(H1170="""","""",
SUM(
ARRAYFORMULA(
IF(
REGEXMATCH(
"" ""&amp;H1170&amp;"" "",
"" ""&amp;Sentiment_Words!A$2:A3730&amp;"" ""
),
1,
0
)
)
)
)"),0.0)</f>
        <v>0</v>
      </c>
      <c r="K1170" s="4">
        <f>IFERROR(__xludf.DUMMYFUNCTION("IF(H1170="""","""",
SUM(
ARRAYFORMULA(
IF(
REGEXMATCH(
"" ""&amp;H1170&amp;"" "",
"" ""&amp;Sentiment_Words!B$2:B3730&amp;"" ""
),
1,
0
)
)
)
)"),0.0)</f>
        <v>0</v>
      </c>
      <c r="L1170" s="7" t="str">
        <f t="shared" si="3"/>
        <v>Other</v>
      </c>
      <c r="M1170" s="7" t="str">
        <f t="shared" si="4"/>
        <v>Neutral</v>
      </c>
      <c r="N1170" s="7" t="str">
        <f>IFERROR(__xludf.DUMMYFUNCTION("LOWER(
TRIM(
REGEXREPLACE(B1170,""[^a-zA-Z\s]"","""")
)
)
"),"shelley malin")</f>
        <v>shelley malin</v>
      </c>
      <c r="O1170" s="7">
        <f t="shared" si="5"/>
        <v>1</v>
      </c>
      <c r="P1170" s="8" t="str">
        <f t="shared" si="6"/>
        <v>No</v>
      </c>
    </row>
    <row r="1171">
      <c r="A1171" s="4" t="s">
        <v>16</v>
      </c>
      <c r="B1171" s="4" t="s">
        <v>3323</v>
      </c>
      <c r="C1171" s="5">
        <v>44879.0</v>
      </c>
      <c r="D1171" s="10">
        <v>44895.0</v>
      </c>
      <c r="E1171" s="4" t="s">
        <v>3324</v>
      </c>
      <c r="F1171" s="4" t="s">
        <v>3325</v>
      </c>
      <c r="G1171" s="6" t="str">
        <f>IFERROR(__xludf.DUMMYFUNCTION("REGEXREPLACE(LOWER(F1171),""[^a-z\s]"","""")"),"my pomsky  years old loves fromm dog food from petflow
its always fresh  the duck is her favorite she likes the salmon too
food is always shipped quickly
i havent needed customer service but sure they are great too")</f>
        <v>my pomsky  years old loves fromm dog food from petflow
its always fresh  the duck is her favorite she likes the salmon too
food is always shipped quickly
i havent needed customer service but sure they are great too</v>
      </c>
      <c r="H1171" s="4" t="str">
        <f t="shared" si="1"/>
        <v>my pomsky years old loves fromm dog food from petflow
its always fresh duck her favorite she likes salmon too
food always shipped quickly
i havent needed customer service but sure they are great too</v>
      </c>
      <c r="I1171" s="6">
        <f t="shared" si="2"/>
        <v>32</v>
      </c>
      <c r="J1171" s="6">
        <f>IFERROR(__xludf.DUMMYFUNCTION("IF(H1171="""","""",
SUM(
ARRAYFORMULA(
IF(
REGEXMATCH(
"" ""&amp;H1171&amp;"" "",
"" ""&amp;Sentiment_Words!A$2:A3730&amp;"" ""
),
1,
0
)
)
)
)"),1.0)</f>
        <v>1</v>
      </c>
      <c r="K1171" s="4">
        <f>IFERROR(__xludf.DUMMYFUNCTION("IF(H1171="""","""",
SUM(
ARRAYFORMULA(
IF(
REGEXMATCH(
"" ""&amp;H1171&amp;"" "",
"" ""&amp;Sentiment_Words!B$2:B3730&amp;"" ""
),
1,
0
)
)
)
)"),1.0)</f>
        <v>1</v>
      </c>
      <c r="L1171" s="7" t="str">
        <f t="shared" si="3"/>
        <v>Customer Support</v>
      </c>
      <c r="M1171" s="7" t="str">
        <f t="shared" si="4"/>
        <v>Neutral</v>
      </c>
      <c r="N1171" s="7" t="str">
        <f>IFERROR(__xludf.DUMMYFUNCTION("LOWER(
TRIM(
REGEXREPLACE(B1171,""[^a-zA-Z\s]"","""")
)
)
"),"denise")</f>
        <v>denise</v>
      </c>
      <c r="O1171" s="7">
        <f t="shared" si="5"/>
        <v>1</v>
      </c>
      <c r="P1171" s="8" t="str">
        <f t="shared" si="6"/>
        <v>No</v>
      </c>
    </row>
    <row r="1172">
      <c r="A1172" s="4" t="s">
        <v>16</v>
      </c>
      <c r="B1172" s="4" t="s">
        <v>3326</v>
      </c>
      <c r="C1172" s="5">
        <v>44881.0</v>
      </c>
      <c r="D1172" s="10">
        <v>44894.0</v>
      </c>
      <c r="E1172" s="4" t="s">
        <v>3327</v>
      </c>
      <c r="F1172" s="4" t="s">
        <v>3328</v>
      </c>
      <c r="G1172" s="6" t="str">
        <f>IFERROR(__xludf.DUMMYFUNCTION("REGEXREPLACE(LOWER(F1172),""[^a-z\s]"","""")"),"representatives very helpful and friendly great bonuses")</f>
        <v>representatives very helpful and friendly great bonuses</v>
      </c>
      <c r="H1172" s="4" t="str">
        <f t="shared" si="1"/>
        <v>representatives very helpful friendly great bonuses</v>
      </c>
      <c r="I1172" s="6">
        <f t="shared" si="2"/>
        <v>6</v>
      </c>
      <c r="J1172" s="6">
        <f>IFERROR(__xludf.DUMMYFUNCTION("IF(H1172="""","""",
SUM(
ARRAYFORMULA(
IF(
REGEXMATCH(
"" ""&amp;H1172&amp;"" "",
"" ""&amp;Sentiment_Words!A$2:A3730&amp;"" ""
),
1,
0
)
)
)
)"),2.0)</f>
        <v>2</v>
      </c>
      <c r="K1172" s="4">
        <f>IFERROR(__xludf.DUMMYFUNCTION("IF(H1172="""","""",
SUM(
ARRAYFORMULA(
IF(
REGEXMATCH(
"" ""&amp;H1172&amp;"" "",
"" ""&amp;Sentiment_Words!B$2:B3730&amp;"" ""
),
1,
0
)
)
)
)"),0.0)</f>
        <v>0</v>
      </c>
      <c r="L1172" s="7" t="str">
        <f t="shared" si="3"/>
        <v>Other</v>
      </c>
      <c r="M1172" s="7" t="str">
        <f t="shared" si="4"/>
        <v>Positive</v>
      </c>
      <c r="N1172" s="7" t="str">
        <f>IFERROR(__xludf.DUMMYFUNCTION("LOWER(
TRIM(
REGEXREPLACE(B1172,""[^a-zA-Z\s]"","""")
)
)
"),"jack kraut")</f>
        <v>jack kraut</v>
      </c>
      <c r="O1172" s="7">
        <f t="shared" si="5"/>
        <v>1</v>
      </c>
      <c r="P1172" s="8" t="str">
        <f t="shared" si="6"/>
        <v>No</v>
      </c>
    </row>
    <row r="1173">
      <c r="A1173" s="4" t="s">
        <v>16</v>
      </c>
      <c r="B1173" s="4" t="s">
        <v>3329</v>
      </c>
      <c r="C1173" s="5">
        <v>44891.0</v>
      </c>
      <c r="D1173" s="10">
        <v>44894.0</v>
      </c>
      <c r="E1173" s="4" t="s">
        <v>3330</v>
      </c>
      <c r="F1173" s="4" t="s">
        <v>3331</v>
      </c>
      <c r="G1173" s="6" t="str">
        <f>IFERROR(__xludf.DUMMYFUNCTION("REGEXREPLACE(LOWER(F1173),""[^a-z\s]"","""")"),"i can order fromm dog food the website is easy to use the delivery is fast")</f>
        <v>i can order fromm dog food the website is easy to use the delivery is fast</v>
      </c>
      <c r="H1173" s="4" t="str">
        <f t="shared" si="1"/>
        <v>i can order fromm dog food website easy use delivery fast</v>
      </c>
      <c r="I1173" s="6">
        <f t="shared" si="2"/>
        <v>11</v>
      </c>
      <c r="J1173" s="6">
        <f>IFERROR(__xludf.DUMMYFUNCTION("IF(H1173="""","""",
SUM(
ARRAYFORMULA(
IF(
REGEXMATCH(
"" ""&amp;H1173&amp;"" "",
"" ""&amp;Sentiment_Words!A$2:A3730&amp;"" ""
),
1,
0
)
)
)
)"),2.0)</f>
        <v>2</v>
      </c>
      <c r="K1173" s="4">
        <f>IFERROR(__xludf.DUMMYFUNCTION("IF(H1173="""","""",
SUM(
ARRAYFORMULA(
IF(
REGEXMATCH(
"" ""&amp;H1173&amp;"" "",
"" ""&amp;Sentiment_Words!B$2:B3730&amp;"" ""
),
1,
0
)
)
)
)"),0.0)</f>
        <v>0</v>
      </c>
      <c r="L1173" s="7" t="str">
        <f t="shared" si="3"/>
        <v>Account &amp; Website</v>
      </c>
      <c r="M1173" s="7" t="str">
        <f t="shared" si="4"/>
        <v>Positive</v>
      </c>
      <c r="N1173" s="7" t="str">
        <f>IFERROR(__xludf.DUMMYFUNCTION("LOWER(
TRIM(
REGEXREPLACE(B1173,""[^a-zA-Z\s]"","""")
)
)
"),"mary forsythe")</f>
        <v>mary forsythe</v>
      </c>
      <c r="O1173" s="7">
        <f t="shared" si="5"/>
        <v>1</v>
      </c>
      <c r="P1173" s="8" t="str">
        <f t="shared" si="6"/>
        <v>No</v>
      </c>
    </row>
    <row r="1174">
      <c r="A1174" s="4" t="s">
        <v>16</v>
      </c>
      <c r="B1174" s="4" t="s">
        <v>3332</v>
      </c>
      <c r="C1174" s="5">
        <v>44879.0</v>
      </c>
      <c r="D1174" s="10">
        <v>44894.0</v>
      </c>
      <c r="E1174" s="4" t="s">
        <v>3333</v>
      </c>
      <c r="F1174" s="4" t="s">
        <v>3334</v>
      </c>
      <c r="G1174" s="6" t="str">
        <f>IFERROR(__xludf.DUMMYFUNCTION("REGEXREPLACE(LOWER(F1174),""[^a-z\s]"","""")"),"having the product i needed and fast shipping")</f>
        <v>having the product i needed and fast shipping</v>
      </c>
      <c r="H1174" s="4" t="str">
        <f t="shared" si="1"/>
        <v>having product i needed fast shipping</v>
      </c>
      <c r="I1174" s="6">
        <f t="shared" si="2"/>
        <v>6</v>
      </c>
      <c r="J1174" s="6">
        <f>IFERROR(__xludf.DUMMYFUNCTION("IF(H1174="""","""",
SUM(
ARRAYFORMULA(
IF(
REGEXMATCH(
"" ""&amp;H1174&amp;"" "",
"" ""&amp;Sentiment_Words!A$2:A3730&amp;"" ""
),
1,
0
)
)
)
)"),1.0)</f>
        <v>1</v>
      </c>
      <c r="K1174" s="4">
        <f>IFERROR(__xludf.DUMMYFUNCTION("IF(H1174="""","""",
SUM(
ARRAYFORMULA(
IF(
REGEXMATCH(
"" ""&amp;H1174&amp;"" "",
"" ""&amp;Sentiment_Words!B$2:B3730&amp;"" ""
),
1,
0
)
)
)
)"),0.0)</f>
        <v>0</v>
      </c>
      <c r="L1174" s="7" t="str">
        <f t="shared" si="3"/>
        <v>Other</v>
      </c>
      <c r="M1174" s="7" t="str">
        <f t="shared" si="4"/>
        <v>Positive</v>
      </c>
      <c r="N1174" s="7" t="str">
        <f>IFERROR(__xludf.DUMMYFUNCTION("LOWER(
TRIM(
REGEXREPLACE(B1174,""[^a-zA-Z\s]"","""")
)
)
"),"karen")</f>
        <v>karen</v>
      </c>
      <c r="O1174" s="7">
        <f t="shared" si="5"/>
        <v>8</v>
      </c>
      <c r="P1174" s="8" t="str">
        <f t="shared" si="6"/>
        <v>Yes</v>
      </c>
    </row>
    <row r="1175">
      <c r="A1175" s="4" t="s">
        <v>16</v>
      </c>
      <c r="B1175" s="4" t="s">
        <v>3335</v>
      </c>
      <c r="C1175" s="5">
        <v>44893.0</v>
      </c>
      <c r="D1175" s="10">
        <v>44894.0</v>
      </c>
      <c r="E1175" s="4" t="s">
        <v>3336</v>
      </c>
      <c r="F1175" s="4" t="s">
        <v>3337</v>
      </c>
      <c r="G1175" s="6" t="str">
        <f>IFERROR(__xludf.DUMMYFUNCTION("REGEXREPLACE(LOWER(F1175),""[^a-z\s]"","""")"),"always dependable and shipped everything on time let you change the dates on your auto ship just a great company customer service is also awesome")</f>
        <v>always dependable and shipped everything on time let you change the dates on your auto ship just a great company customer service is also awesome</v>
      </c>
      <c r="H1175" s="4" t="str">
        <f t="shared" si="1"/>
        <v>always dependable shipped everything on time let you change dates on your auto ship just a great company customer service also awesome</v>
      </c>
      <c r="I1175" s="6">
        <f t="shared" si="2"/>
        <v>22</v>
      </c>
      <c r="J1175" s="6">
        <f>IFERROR(__xludf.DUMMYFUNCTION("IF(H1175="""","""",
SUM(
ARRAYFORMULA(
IF(
REGEXMATCH(
"" ""&amp;H1175&amp;"" "",
"" ""&amp;Sentiment_Words!A$2:A3730&amp;"" ""
),
1,
0
)
)
)
)"),3.0)</f>
        <v>3</v>
      </c>
      <c r="K1175" s="4">
        <f>IFERROR(__xludf.DUMMYFUNCTION("IF(H1175="""","""",
SUM(
ARRAYFORMULA(
IF(
REGEXMATCH(
"" ""&amp;H1175&amp;"" "",
"" ""&amp;Sentiment_Words!B$2:B3730&amp;"" ""
),
1,
0
)
)
)
)"),1.0)</f>
        <v>1</v>
      </c>
      <c r="L1175" s="7" t="str">
        <f t="shared" si="3"/>
        <v>Customer Support</v>
      </c>
      <c r="M1175" s="7" t="str">
        <f t="shared" si="4"/>
        <v>Positive</v>
      </c>
      <c r="N1175" s="7" t="str">
        <f>IFERROR(__xludf.DUMMYFUNCTION("LOWER(
TRIM(
REGEXREPLACE(B1175,""[^a-zA-Z\s]"","""")
)
)
"),"tammy ross")</f>
        <v>tammy ross</v>
      </c>
      <c r="O1175" s="7">
        <f t="shared" si="5"/>
        <v>1</v>
      </c>
      <c r="P1175" s="8" t="str">
        <f t="shared" si="6"/>
        <v>No</v>
      </c>
    </row>
    <row r="1176">
      <c r="A1176" s="4" t="s">
        <v>16</v>
      </c>
      <c r="B1176" s="4" t="s">
        <v>496</v>
      </c>
      <c r="C1176" s="5">
        <v>44886.0</v>
      </c>
      <c r="D1176" s="10">
        <v>44894.0</v>
      </c>
      <c r="E1176" s="4" t="s">
        <v>3338</v>
      </c>
      <c r="F1176" s="4" t="s">
        <v>3339</v>
      </c>
      <c r="G1176" s="6" t="str">
        <f>IFERROR(__xludf.DUMMYFUNCTION("REGEXREPLACE(LOWER(F1176),""[^a-z\s]"","""")"),"listen to my concern fixed the issue quickly")</f>
        <v>listen to my concern fixed the issue quickly</v>
      </c>
      <c r="H1176" s="4" t="str">
        <f t="shared" si="1"/>
        <v>listen my concern fixed issue quickly</v>
      </c>
      <c r="I1176" s="6">
        <f t="shared" si="2"/>
        <v>6</v>
      </c>
      <c r="J1176" s="6">
        <f>IFERROR(__xludf.DUMMYFUNCTION("IF(H1176="""","""",
SUM(
ARRAYFORMULA(
IF(
REGEXMATCH(
"" ""&amp;H1176&amp;"" "",
"" ""&amp;Sentiment_Words!A$2:A3730&amp;"" ""
),
1,
0
)
)
)
)"),0.0)</f>
        <v>0</v>
      </c>
      <c r="K1176" s="4">
        <f>IFERROR(__xludf.DUMMYFUNCTION("IF(H1176="""","""",
SUM(
ARRAYFORMULA(
IF(
REGEXMATCH(
"" ""&amp;H1176&amp;"" "",
"" ""&amp;Sentiment_Words!B$2:B3730&amp;"" ""
),
1,
0
)
)
)
)"),1.0)</f>
        <v>1</v>
      </c>
      <c r="L1176" s="7" t="str">
        <f t="shared" si="3"/>
        <v>Other</v>
      </c>
      <c r="M1176" s="7" t="str">
        <f t="shared" si="4"/>
        <v>Negative</v>
      </c>
      <c r="N1176" s="7" t="str">
        <f>IFERROR(__xludf.DUMMYFUNCTION("LOWER(
TRIM(
REGEXREPLACE(B1176,""[^a-zA-Z\s]"","""")
)
)
"),"robert")</f>
        <v>robert</v>
      </c>
      <c r="O1176" s="7">
        <f t="shared" si="5"/>
        <v>5</v>
      </c>
      <c r="P1176" s="8" t="str">
        <f t="shared" si="6"/>
        <v>Yes</v>
      </c>
    </row>
    <row r="1177">
      <c r="A1177" s="4" t="s">
        <v>16</v>
      </c>
      <c r="B1177" s="4" t="s">
        <v>3340</v>
      </c>
      <c r="C1177" s="5">
        <v>44893.0</v>
      </c>
      <c r="D1177" s="10">
        <v>44894.0</v>
      </c>
      <c r="E1177" s="4" t="s">
        <v>3341</v>
      </c>
      <c r="F1177" s="4" t="s">
        <v>3342</v>
      </c>
      <c r="G1177" s="6" t="str">
        <f>IFERROR(__xludf.DUMMYFUNCTION("REGEXREPLACE(LOWER(F1177),""[^a-z\s]"","""")"),"have been a client for years only issue is tons of promotions sent via text and never on froms which is the only product we buy")</f>
        <v>have been a client for years only issue is tons of promotions sent via text and never on froms which is the only product we buy</v>
      </c>
      <c r="H1177" s="4" t="str">
        <f t="shared" si="1"/>
        <v>have been a client years only issue tons of promotions sent via text never on froms which only product we buy</v>
      </c>
      <c r="I1177" s="6">
        <f t="shared" si="2"/>
        <v>21</v>
      </c>
      <c r="J1177" s="6">
        <f>IFERROR(__xludf.DUMMYFUNCTION("IF(H1177="""","""",
SUM(
ARRAYFORMULA(
IF(
REGEXMATCH(
"" ""&amp;H1177&amp;"" "",
"" ""&amp;Sentiment_Words!A$2:A3730&amp;"" ""
),
1,
0
)
)
)
)"),0.0)</f>
        <v>0</v>
      </c>
      <c r="K1177" s="4">
        <f>IFERROR(__xludf.DUMMYFUNCTION("IF(H1177="""","""",
SUM(
ARRAYFORMULA(
IF(
REGEXMATCH(
"" ""&amp;H1177&amp;"" "",
"" ""&amp;Sentiment_Words!B$2:B3730&amp;"" ""
),
1,
0
)
)
)
)"),1.0)</f>
        <v>1</v>
      </c>
      <c r="L1177" s="7" t="str">
        <f t="shared" si="3"/>
        <v>Other</v>
      </c>
      <c r="M1177" s="7" t="str">
        <f t="shared" si="4"/>
        <v>Negative</v>
      </c>
      <c r="N1177" s="7" t="str">
        <f>IFERROR(__xludf.DUMMYFUNCTION("LOWER(
TRIM(
REGEXREPLACE(B1177,""[^a-zA-Z\s]"","""")
)
)
"),"henry chandler")</f>
        <v>henry chandler</v>
      </c>
      <c r="O1177" s="7">
        <f t="shared" si="5"/>
        <v>1</v>
      </c>
      <c r="P1177" s="8" t="str">
        <f t="shared" si="6"/>
        <v>No</v>
      </c>
    </row>
    <row r="1178">
      <c r="A1178" s="4" t="s">
        <v>16</v>
      </c>
      <c r="B1178" s="4" t="s">
        <v>3343</v>
      </c>
      <c r="C1178" s="5">
        <v>44885.0</v>
      </c>
      <c r="D1178" s="4" t="s">
        <v>3344</v>
      </c>
      <c r="E1178" s="4" t="s">
        <v>3345</v>
      </c>
      <c r="F1178" s="4" t="s">
        <v>3346</v>
      </c>
      <c r="G1178" s="6" t="str">
        <f>IFERROR(__xludf.DUMMYFUNCTION("REGEXREPLACE(LOWER(F1178),""[^a-z\s]"","""")"),"shipping was delayed for  straight days whilst i was told repeatedly that the item would ship next day generally i would give petflow  stars however this last experience was less than stellar
i want to be fair and mindful that warehouse working condition"&amp;"s are difficult and the pace of filling thousands of daily orders are not an easy task the communication was poor however once the issue was resolved the shipment was promptly delivered and i was given an account credit for the delay")</f>
        <v>shipping was delayed for  straight days whilst i was told repeatedly that the item would ship next day generally i would give petflow  stars however this last experience was less than stellar
i want to be fair and mindful that warehouse working conditions are difficult and the pace of filling thousands of daily orders are not an easy task the communication was poor however once the issue was resolved the shipment was promptly delivered and i was given an account credit for the delay</v>
      </c>
      <c r="H1178" s="4" t="str">
        <f t="shared" si="1"/>
        <v>shipping was delayed straight days whilst i was told repeatedly that item would ship next day generally i would give petflow stars however this last experience was less than stellar
i want be fair mindful that warehouse working conditions are difficult pace of filling thousands of daily orders are not an easy task communication was poor however once issue was resolved shipment was promptly delivered i was given an account credit delay</v>
      </c>
      <c r="I1178" s="6">
        <f t="shared" si="2"/>
        <v>71</v>
      </c>
      <c r="J1178" s="6">
        <f>IFERROR(__xludf.DUMMYFUNCTION("IF(H1178="""","""",
SUM(
ARRAYFORMULA(
IF(
REGEXMATCH(
"" ""&amp;H1178&amp;"" "",
"" ""&amp;Sentiment_Words!A$2:A3730&amp;"" ""
),
1,
0
)
)
)
)"),4.0)</f>
        <v>4</v>
      </c>
      <c r="K1178" s="4">
        <f>IFERROR(__xludf.DUMMYFUNCTION("IF(H1178="""","""",
SUM(
ARRAYFORMULA(
IF(
REGEXMATCH(
"" ""&amp;H1178&amp;"" "",
"" ""&amp;Sentiment_Words!B$2:B3730&amp;"" ""
),
1,
0
)
)
)
)"),3.0)</f>
        <v>3</v>
      </c>
      <c r="L1178" s="7" t="str">
        <f t="shared" si="3"/>
        <v>Fulfillment &amp; Shipping</v>
      </c>
      <c r="M1178" s="7" t="str">
        <f t="shared" si="4"/>
        <v>Positive</v>
      </c>
      <c r="N1178" s="7" t="str">
        <f>IFERROR(__xludf.DUMMYFUNCTION("LOWER(
TRIM(
REGEXREPLACE(B1178,""[^a-zA-Z\s]"","""")
)
)
"),"rescue an animal save your sou")</f>
        <v>rescue an animal save your sou</v>
      </c>
      <c r="O1178" s="7">
        <f t="shared" si="5"/>
        <v>1</v>
      </c>
      <c r="P1178" s="8" t="str">
        <f t="shared" si="6"/>
        <v>No</v>
      </c>
    </row>
    <row r="1179">
      <c r="A1179" s="4" t="s">
        <v>16</v>
      </c>
      <c r="B1179" s="4" t="s">
        <v>3347</v>
      </c>
      <c r="C1179" s="5">
        <v>44888.0</v>
      </c>
      <c r="D1179" s="10">
        <v>44894.0</v>
      </c>
      <c r="E1179" s="4" t="s">
        <v>3348</v>
      </c>
      <c r="F1179" s="4" t="s">
        <v>3349</v>
      </c>
      <c r="G1179" s="6" t="str">
        <f>IFERROR(__xludf.DUMMYFUNCTION("REGEXREPLACE(LOWER(F1179),""[^a-z\s]"","""")"),"first time order for puppy food for our sons puppy and the price was fantastic with free and super fast delivery was very impressed and i am a seasoned value shopper highly recommend and will definitely order from here again")</f>
        <v>first time order for puppy food for our sons puppy and the price was fantastic with free and super fast delivery was very impressed and i am a seasoned value shopper highly recommend and will definitely order from here again</v>
      </c>
      <c r="H1179" s="4" t="str">
        <f t="shared" si="1"/>
        <v>first time order puppy food our sons puppy price was fantastic with free super fast delivery was very impressed i am a seasoned value shopper highly recommend will definitely order from here again</v>
      </c>
      <c r="I1179" s="6">
        <f t="shared" si="2"/>
        <v>33</v>
      </c>
      <c r="J1179" s="6">
        <f>IFERROR(__xludf.DUMMYFUNCTION("IF(H1179="""","""",
SUM(
ARRAYFORMULA(
IF(
REGEXMATCH(
"" ""&amp;H1179&amp;"" "",
"" ""&amp;Sentiment_Words!A$2:A3730&amp;"" ""
),
1,
0
)
)
)
)"),4.0)</f>
        <v>4</v>
      </c>
      <c r="K1179" s="4">
        <f>IFERROR(__xludf.DUMMYFUNCTION("IF(H1179="""","""",
SUM(
ARRAYFORMULA(
IF(
REGEXMATCH(
"" ""&amp;H1179&amp;"" "",
"" ""&amp;Sentiment_Words!B$2:B3730&amp;"" ""
),
1,
0
)
)
)
)"),0.0)</f>
        <v>0</v>
      </c>
      <c r="L1179" s="7" t="str">
        <f t="shared" si="3"/>
        <v>Service Recovery</v>
      </c>
      <c r="M1179" s="7" t="str">
        <f t="shared" si="4"/>
        <v>Positive</v>
      </c>
      <c r="N1179" s="7" t="str">
        <f>IFERROR(__xludf.DUMMYFUNCTION("LOWER(
TRIM(
REGEXREPLACE(B1179,""[^a-zA-Z\s]"","""")
)
)
"),"casey bradshaw")</f>
        <v>casey bradshaw</v>
      </c>
      <c r="O1179" s="7">
        <f t="shared" si="5"/>
        <v>1</v>
      </c>
      <c r="P1179" s="8" t="str">
        <f t="shared" si="6"/>
        <v>No</v>
      </c>
    </row>
    <row r="1180">
      <c r="A1180" s="4" t="s">
        <v>16</v>
      </c>
      <c r="B1180" s="4" t="s">
        <v>3350</v>
      </c>
      <c r="C1180" s="5">
        <v>44879.0</v>
      </c>
      <c r="D1180" s="10">
        <v>44893.0</v>
      </c>
      <c r="E1180" s="4" t="s">
        <v>3351</v>
      </c>
      <c r="F1180" s="4" t="s">
        <v>3352</v>
      </c>
      <c r="G1180" s="6" t="str">
        <f>IFERROR(__xludf.DUMMYFUNCTION("REGEXREPLACE(LOWER(F1180),""[^a-z\s]"","""")"),"most of my experiences have been excellent unfortunately my last order of fussie cat dry food was less than good i normal order the  lbs bag and ive had no issues the cats love it the last order i purchased the  lbs bag and my cats refuse to eat it i did "&amp;"call pet flow to inquire if they had any recalls or issues with the food i was told their was nothing they were aware of i was given a  dollar discount on the purchase of another food the cats normally eat still im disappointed in the food also that i had"&amp;" to get rid of it")</f>
        <v>most of my experiences have been excellent unfortunately my last order of fussie cat dry food was less than good i normal order the  lbs bag and ive had no issues the cats love it the last order i purchased the  lbs bag and my cats refuse to eat it i did call pet flow to inquire if they had any recalls or issues with the food i was told their was nothing they were aware of i was given a  dollar discount on the purchase of another food the cats normally eat still im disappointed in the food also that i had to get rid of it</v>
      </c>
      <c r="H1180" s="4" t="str">
        <f t="shared" si="1"/>
        <v>most of my experiences have been excellent unfortunately my last order of fussie cat dry food was less than good i normal order lbs bag ive had no issues cats love it last order i purchased lbs bag my cats refuse eat it i did call pet flow inquire if they had any recalls or issues with food i was told their was nothing they were aware of i was given a dollar discount on purchase of another food cats normally eat still im disappointed in food also that i had get rid of it</v>
      </c>
      <c r="I1180" s="6">
        <f t="shared" si="2"/>
        <v>95</v>
      </c>
      <c r="J1180" s="6">
        <f>IFERROR(__xludf.DUMMYFUNCTION("IF(H1180="""","""",
SUM(
ARRAYFORMULA(
IF(
REGEXMATCH(
"" ""&amp;H1180&amp;"" "",
"" ""&amp;Sentiment_Words!A$2:A3730&amp;"" ""
),
1,
0
)
)
)
)"),3.0)</f>
        <v>3</v>
      </c>
      <c r="K1180" s="4">
        <f>IFERROR(__xludf.DUMMYFUNCTION("IF(H1180="""","""",
SUM(
ARRAYFORMULA(
IF(
REGEXMATCH(
"" ""&amp;H1180&amp;"" "",
"" ""&amp;Sentiment_Words!B$2:B3730&amp;"" ""
),
1,
0
)
)
)
)"),0.0)</f>
        <v>0</v>
      </c>
      <c r="L1180" s="7" t="str">
        <f t="shared" si="3"/>
        <v>Trust &amp; Experience</v>
      </c>
      <c r="M1180" s="7" t="str">
        <f t="shared" si="4"/>
        <v>Positive</v>
      </c>
      <c r="N1180" s="7" t="str">
        <f>IFERROR(__xludf.DUMMYFUNCTION("LOWER(
TRIM(
REGEXREPLACE(B1180,""[^a-zA-Z\s]"","""")
)
)
"),"njluvsshop")</f>
        <v>njluvsshop</v>
      </c>
      <c r="O1180" s="7">
        <f t="shared" si="5"/>
        <v>1</v>
      </c>
      <c r="P1180" s="8" t="str">
        <f t="shared" si="6"/>
        <v>No</v>
      </c>
    </row>
    <row r="1181">
      <c r="A1181" s="4" t="s">
        <v>16</v>
      </c>
      <c r="B1181" s="4" t="s">
        <v>3353</v>
      </c>
      <c r="C1181" s="9">
        <v>44872.0</v>
      </c>
      <c r="D1181" s="4" t="s">
        <v>3354</v>
      </c>
      <c r="E1181" s="4" t="s">
        <v>3355</v>
      </c>
      <c r="F1181" s="4" t="s">
        <v>331</v>
      </c>
      <c r="G1181" s="6" t="str">
        <f>IFERROR(__xludf.DUMMYFUNCTION("REGEXREPLACE(LOWER(F1181),""[^a-z\s]"","""")"),"none")</f>
        <v>none</v>
      </c>
      <c r="H1181" s="4" t="str">
        <f t="shared" si="1"/>
        <v>none</v>
      </c>
      <c r="I1181" s="6">
        <f t="shared" si="2"/>
        <v>1</v>
      </c>
      <c r="J1181" s="6">
        <f>IFERROR(__xludf.DUMMYFUNCTION("IF(H1181="""","""",
SUM(
ARRAYFORMULA(
IF(
REGEXMATCH(
"" ""&amp;H1181&amp;"" "",
"" ""&amp;Sentiment_Words!A$2:A3730&amp;"" ""
),
1,
0
)
)
)
)"),0.0)</f>
        <v>0</v>
      </c>
      <c r="K1181" s="4">
        <f>IFERROR(__xludf.DUMMYFUNCTION("IF(H1181="""","""",
SUM(
ARRAYFORMULA(
IF(
REGEXMATCH(
"" ""&amp;H1181&amp;"" "",
"" ""&amp;Sentiment_Words!B$2:B3730&amp;"" ""
),
1,
0
)
)
)
)"),0.0)</f>
        <v>0</v>
      </c>
      <c r="L1181" s="7" t="str">
        <f t="shared" si="3"/>
        <v>Other</v>
      </c>
      <c r="M1181" s="7" t="str">
        <f t="shared" si="4"/>
        <v>Neutral</v>
      </c>
      <c r="N1181" s="7" t="str">
        <f>IFERROR(__xludf.DUMMYFUNCTION("LOWER(
TRIM(
REGEXREPLACE(B1181,""[^a-zA-Z\s]"","""")
)
)
"),"james barnett")</f>
        <v>james barnett</v>
      </c>
      <c r="O1181" s="7">
        <f t="shared" si="5"/>
        <v>1</v>
      </c>
      <c r="P1181" s="8" t="str">
        <f t="shared" si="6"/>
        <v>No</v>
      </c>
    </row>
    <row r="1182">
      <c r="A1182" s="4" t="s">
        <v>16</v>
      </c>
      <c r="B1182" s="4" t="s">
        <v>3356</v>
      </c>
      <c r="C1182" s="5">
        <v>44888.0</v>
      </c>
      <c r="D1182" s="10">
        <v>44893.0</v>
      </c>
      <c r="E1182" s="4" t="s">
        <v>3357</v>
      </c>
      <c r="F1182" s="4" t="s">
        <v>3358</v>
      </c>
      <c r="G1182" s="6" t="str">
        <f>IFERROR(__xludf.DUMMYFUNCTION("REGEXREPLACE(LOWER(F1182),""[^a-z\s]"","""")"),"shippingsecond order fr youfirst order completely messed up you can check your logs and see second order said delivery and day of supposed delivery it was still in new jersey got all items both times but not easy process except for ordering and paying wel"&amp;"lll second time anywayfirst time was charged for  deliverys til cleared up believe i will find another place to order again")</f>
        <v>shippingsecond order fr youfirst order completely messed up you can check your logs and see second order said delivery and day of supposed delivery it was still in new jersey got all items both times but not easy process except for ordering and paying wellll second time anywayfirst time was charged for  deliverys til cleared up believe i will find another place to order again</v>
      </c>
      <c r="H1182" s="4" t="str">
        <f t="shared" si="1"/>
        <v>shippingsecond order fr youfirst order completely messed up you can check your logs see second order said delivery day of supposed delivery it was still in new jersey got all items both times but not easy process except ordering paying wellll second time anywayfirst time was charged deliverys til cleared up believe i will find another place order again</v>
      </c>
      <c r="I1182" s="6">
        <f t="shared" si="2"/>
        <v>59</v>
      </c>
      <c r="J1182" s="6">
        <f>IFERROR(__xludf.DUMMYFUNCTION("IF(H1182="""","""",
SUM(
ARRAYFORMULA(
IF(
REGEXMATCH(
"" ""&amp;H1182&amp;"" "",
"" ""&amp;Sentiment_Words!A$2:A3730&amp;"" ""
),
1,
0
)
)
)
)"),1.0)</f>
        <v>1</v>
      </c>
      <c r="K1182" s="4">
        <f>IFERROR(__xludf.DUMMYFUNCTION("IF(H1182="""","""",
SUM(
ARRAYFORMULA(
IF(
REGEXMATCH(
"" ""&amp;H1182&amp;"" "",
"" ""&amp;Sentiment_Words!B$2:B3730&amp;"" ""
),
1,
0
)
)
)
)"),1.0)</f>
        <v>1</v>
      </c>
      <c r="L1182" s="7" t="str">
        <f t="shared" si="3"/>
        <v>Other</v>
      </c>
      <c r="M1182" s="7" t="str">
        <f t="shared" si="4"/>
        <v>Neutral</v>
      </c>
      <c r="N1182" s="7" t="str">
        <f>IFERROR(__xludf.DUMMYFUNCTION("LOWER(
TRIM(
REGEXREPLACE(B1182,""[^a-zA-Z\s]"","""")
)
)
"),"mike bertrand")</f>
        <v>mike bertrand</v>
      </c>
      <c r="O1182" s="7">
        <f t="shared" si="5"/>
        <v>1</v>
      </c>
      <c r="P1182" s="8" t="str">
        <f t="shared" si="6"/>
        <v>No</v>
      </c>
    </row>
    <row r="1183">
      <c r="A1183" s="4" t="s">
        <v>16</v>
      </c>
      <c r="B1183" s="4" t="s">
        <v>3359</v>
      </c>
      <c r="C1183" s="5">
        <v>44880.0</v>
      </c>
      <c r="D1183" s="10">
        <v>44893.0</v>
      </c>
      <c r="E1183" s="4" t="s">
        <v>518</v>
      </c>
      <c r="F1183" s="4" t="s">
        <v>3360</v>
      </c>
      <c r="G1183" s="6" t="str">
        <f>IFERROR(__xludf.DUMMYFUNCTION("REGEXREPLACE(LOWER(F1183),""[^a-z\s]"","""")"),"ive been buying from petflow for years now and been very happy with them prices are competitive items are usually in stock or quickly restocked and shipping is prompt the one time i called customer service as i wanted to add a bag of food id forgotten to "&amp;"include in an order the people were helpful and kind ill continue to shop with them and would recommend them to other pet owners")</f>
        <v>ive been buying from petflow for years now and been very happy with them prices are competitive items are usually in stock or quickly restocked and shipping is prompt the one time i called customer service as i wanted to add a bag of food id forgotten to include in an order the people were helpful and kind ill continue to shop with them and would recommend them to other pet owners</v>
      </c>
      <c r="H1183" s="4" t="str">
        <f t="shared" si="1"/>
        <v>ive been buying from petflow years now been very happy with them prices are competitive items are usually in stock or quickly restocked shipping prompt one time i called customer service as i wanted add a bag of food id forgotten include in an order people were helpful kind ill continue shop with them would recommend them other pet owners</v>
      </c>
      <c r="I1183" s="6">
        <f t="shared" si="2"/>
        <v>60</v>
      </c>
      <c r="J1183" s="6">
        <f>IFERROR(__xludf.DUMMYFUNCTION("IF(H1183="""","""",
SUM(
ARRAYFORMULA(
IF(
REGEXMATCH(
"" ""&amp;H1183&amp;"" "",
"" ""&amp;Sentiment_Words!A$2:A3730&amp;"" ""
),
1,
0
)
)
)
)"),3.0)</f>
        <v>3</v>
      </c>
      <c r="K1183" s="4">
        <f>IFERROR(__xludf.DUMMYFUNCTION("IF(H1183="""","""",
SUM(
ARRAYFORMULA(
IF(
REGEXMATCH(
"" ""&amp;H1183&amp;"" "",
"" ""&amp;Sentiment_Words!B$2:B3730&amp;"" ""
),
1,
0
)
)
)
)"),1.0)</f>
        <v>1</v>
      </c>
      <c r="L1183" s="7" t="str">
        <f t="shared" si="3"/>
        <v>Customer Support</v>
      </c>
      <c r="M1183" s="7" t="str">
        <f t="shared" si="4"/>
        <v>Positive</v>
      </c>
      <c r="N1183" s="7" t="str">
        <f>IFERROR(__xludf.DUMMYFUNCTION("LOWER(
TRIM(
REGEXREPLACE(B1183,""[^a-zA-Z\s]"","""")
)
)
"),"stevens rosemary")</f>
        <v>stevens rosemary</v>
      </c>
      <c r="O1183" s="7">
        <f t="shared" si="5"/>
        <v>1</v>
      </c>
      <c r="P1183" s="8" t="str">
        <f t="shared" si="6"/>
        <v>No</v>
      </c>
    </row>
    <row r="1184">
      <c r="A1184" s="4" t="s">
        <v>16</v>
      </c>
      <c r="B1184" s="4" t="s">
        <v>3361</v>
      </c>
      <c r="C1184" s="5">
        <v>44888.0</v>
      </c>
      <c r="D1184" s="10">
        <v>44892.0</v>
      </c>
      <c r="E1184" s="4" t="s">
        <v>3362</v>
      </c>
      <c r="F1184" s="4" t="s">
        <v>3363</v>
      </c>
      <c r="G1184" s="6" t="str">
        <f>IFERROR(__xludf.DUMMYFUNCTION("REGEXREPLACE(LOWER(F1184),""[^a-z\s]"","""")"),"i placed an order for dog food when i noticed it hadnt shipped after a week i reached out to customer service no reply back over a week later looked up my order status and it showed that it was cancelled was never notified
will never use this company agai"&amp;"n now im buying directly from the manufacturer")</f>
        <v>i placed an order for dog food when i noticed it hadnt shipped after a week i reached out to customer service no reply back over a week later looked up my order status and it showed that it was cancelled was never notified
will never use this company again now im buying directly from the manufacturer</v>
      </c>
      <c r="H1184" s="4" t="str">
        <f t="shared" si="1"/>
        <v>i placed an order dog food when i noticed it hadnt shipped after a week i reached out customer service no reply back over a week later looked up my order status it showed that it was cancelled was never notified
will never use this company again now im buying directly from manufacturer</v>
      </c>
      <c r="I1184" s="6">
        <f t="shared" si="2"/>
        <v>52</v>
      </c>
      <c r="J1184" s="6">
        <f>IFERROR(__xludf.DUMMYFUNCTION("IF(H1184="""","""",
SUM(
ARRAYFORMULA(
IF(
REGEXMATCH(
"" ""&amp;H1184&amp;"" "",
"" ""&amp;Sentiment_Words!A$2:A3730&amp;"" ""
),
1,
0
)
)
)
)"),0.0)</f>
        <v>0</v>
      </c>
      <c r="K1184" s="4">
        <f>IFERROR(__xludf.DUMMYFUNCTION("IF(H1184="""","""",
SUM(
ARRAYFORMULA(
IF(
REGEXMATCH(
"" ""&amp;H1184&amp;"" "",
"" ""&amp;Sentiment_Words!B$2:B3730&amp;"" ""
),
1,
0
)
)
)
)"),2.0)</f>
        <v>2</v>
      </c>
      <c r="L1184" s="7" t="str">
        <f t="shared" si="3"/>
        <v>Customer Support</v>
      </c>
      <c r="M1184" s="7" t="str">
        <f t="shared" si="4"/>
        <v>Negative</v>
      </c>
      <c r="N1184" s="7" t="str">
        <f>IFERROR(__xludf.DUMMYFUNCTION("LOWER(
TRIM(
REGEXREPLACE(B1184,""[^a-zA-Z\s]"","""")
)
)
"),"christine p")</f>
        <v>christine p</v>
      </c>
      <c r="O1184" s="7">
        <f t="shared" si="5"/>
        <v>1</v>
      </c>
      <c r="P1184" s="8" t="str">
        <f t="shared" si="6"/>
        <v>No</v>
      </c>
    </row>
    <row r="1185">
      <c r="A1185" s="4" t="s">
        <v>16</v>
      </c>
      <c r="B1185" s="4" t="s">
        <v>3364</v>
      </c>
      <c r="C1185" s="5">
        <v>44880.0</v>
      </c>
      <c r="D1185" s="10">
        <v>44892.0</v>
      </c>
      <c r="E1185" s="4" t="s">
        <v>3365</v>
      </c>
      <c r="F1185" s="4" t="s">
        <v>3366</v>
      </c>
      <c r="G1185" s="6" t="str">
        <f>IFERROR(__xludf.DUMMYFUNCTION("REGEXREPLACE(LOWER(F1185),""[^a-z\s]"","""")"),"our cats have been put on a sensitive diet and petflow had the best price for what we needed online ordering was simple and shipping was fast will definitely order from them again")</f>
        <v>our cats have been put on a sensitive diet and petflow had the best price for what we needed online ordering was simple and shipping was fast will definitely order from them again</v>
      </c>
      <c r="H1185" s="4" t="str">
        <f t="shared" si="1"/>
        <v>our cats have been put on a sensitive diet petflow had best price what we needed online ordering was simple shipping was fast will definitely order from them again</v>
      </c>
      <c r="I1185" s="6">
        <f t="shared" si="2"/>
        <v>29</v>
      </c>
      <c r="J1185" s="6">
        <f>IFERROR(__xludf.DUMMYFUNCTION("IF(H1185="""","""",
SUM(
ARRAYFORMULA(
IF(
REGEXMATCH(
"" ""&amp;H1185&amp;"" "",
"" ""&amp;Sentiment_Words!A$2:A3730&amp;"" ""
),
1,
0
)
)
)
)"),1.0)</f>
        <v>1</v>
      </c>
      <c r="K1185" s="4">
        <f>IFERROR(__xludf.DUMMYFUNCTION("IF(H1185="""","""",
SUM(
ARRAYFORMULA(
IF(
REGEXMATCH(
"" ""&amp;H1185&amp;"" "",
"" ""&amp;Sentiment_Words!B$2:B3730&amp;"" ""
),
1,
0
)
)
)
)"),0.0)</f>
        <v>0</v>
      </c>
      <c r="L1185" s="7" t="str">
        <f t="shared" si="3"/>
        <v>Other</v>
      </c>
      <c r="M1185" s="7" t="str">
        <f t="shared" si="4"/>
        <v>Positive</v>
      </c>
      <c r="N1185" s="7" t="str">
        <f>IFERROR(__xludf.DUMMYFUNCTION("LOWER(
TRIM(
REGEXREPLACE(B1185,""[^a-zA-Z\s]"","""")
)
)
"),"cathy in new york")</f>
        <v>cathy in new york</v>
      </c>
      <c r="O1185" s="7">
        <f t="shared" si="5"/>
        <v>1</v>
      </c>
      <c r="P1185" s="8" t="str">
        <f t="shared" si="6"/>
        <v>No</v>
      </c>
    </row>
    <row r="1186">
      <c r="A1186" s="4" t="s">
        <v>16</v>
      </c>
      <c r="B1186" s="4" t="s">
        <v>3367</v>
      </c>
      <c r="C1186" s="5">
        <v>44880.0</v>
      </c>
      <c r="D1186" s="10">
        <v>44892.0</v>
      </c>
      <c r="E1186" s="4" t="s">
        <v>3368</v>
      </c>
      <c r="F1186" s="4" t="s">
        <v>3369</v>
      </c>
      <c r="G1186" s="6" t="str">
        <f>IFERROR(__xludf.DUMMYFUNCTION("REGEXREPLACE(LOWER(F1186),""[^a-z\s]"","""")"),"exceptionally responsive customer service also good products")</f>
        <v>exceptionally responsive customer service also good products</v>
      </c>
      <c r="H1186" s="4" t="str">
        <f t="shared" si="1"/>
        <v>exceptionally responsive customer service also good products</v>
      </c>
      <c r="I1186" s="6">
        <f t="shared" si="2"/>
        <v>7</v>
      </c>
      <c r="J1186" s="6">
        <f>IFERROR(__xludf.DUMMYFUNCTION("IF(H1186="""","""",
SUM(
ARRAYFORMULA(
IF(
REGEXMATCH(
"" ""&amp;H1186&amp;"" "",
"" ""&amp;Sentiment_Words!A$2:A3730&amp;"" ""
),
1,
0
)
)
)
)"),1.0)</f>
        <v>1</v>
      </c>
      <c r="K1186" s="4">
        <f>IFERROR(__xludf.DUMMYFUNCTION("IF(H1186="""","""",
SUM(
ARRAYFORMULA(
IF(
REGEXMATCH(
"" ""&amp;H1186&amp;"" "",
"" ""&amp;Sentiment_Words!B$2:B3730&amp;"" ""
),
1,
0
)
)
)
)"),1.0)</f>
        <v>1</v>
      </c>
      <c r="L1186" s="7" t="str">
        <f t="shared" si="3"/>
        <v>Customer Support</v>
      </c>
      <c r="M1186" s="7" t="str">
        <f t="shared" si="4"/>
        <v>Neutral</v>
      </c>
      <c r="N1186" s="7" t="str">
        <f>IFERROR(__xludf.DUMMYFUNCTION("LOWER(
TRIM(
REGEXREPLACE(B1186,""[^a-zA-Z\s]"","""")
)
)
"),"stop spamming me")</f>
        <v>stop spamming me</v>
      </c>
      <c r="O1186" s="7">
        <f t="shared" si="5"/>
        <v>1</v>
      </c>
      <c r="P1186" s="8" t="str">
        <f t="shared" si="6"/>
        <v>No</v>
      </c>
    </row>
    <row r="1187">
      <c r="A1187" s="4" t="s">
        <v>16</v>
      </c>
      <c r="B1187" s="4" t="s">
        <v>3370</v>
      </c>
      <c r="C1187" s="5">
        <v>44882.0</v>
      </c>
      <c r="D1187" s="10">
        <v>44891.0</v>
      </c>
      <c r="E1187" s="4" t="s">
        <v>972</v>
      </c>
      <c r="F1187" s="4" t="s">
        <v>3371</v>
      </c>
      <c r="G1187" s="6" t="str">
        <f>IFERROR(__xludf.DUMMYFUNCTION("REGEXREPLACE(LOWER(F1187),""[^a-z\s]"","""")"),"easy to order prompt shipping competitive prices great service")</f>
        <v>easy to order prompt shipping competitive prices great service</v>
      </c>
      <c r="H1187" s="4" t="str">
        <f t="shared" si="1"/>
        <v>easy order prompt shipping competitive prices great service</v>
      </c>
      <c r="I1187" s="6">
        <f t="shared" si="2"/>
        <v>8</v>
      </c>
      <c r="J1187" s="6">
        <f>IFERROR(__xludf.DUMMYFUNCTION("IF(H1187="""","""",
SUM(
ARRAYFORMULA(
IF(
REGEXMATCH(
"" ""&amp;H1187&amp;"" "",
"" ""&amp;Sentiment_Words!A$2:A3730&amp;"" ""
),
1,
0
)
)
)
)"),3.0)</f>
        <v>3</v>
      </c>
      <c r="K1187" s="4">
        <f>IFERROR(__xludf.DUMMYFUNCTION("IF(H1187="""","""",
SUM(
ARRAYFORMULA(
IF(
REGEXMATCH(
"" ""&amp;H1187&amp;"" "",
"" ""&amp;Sentiment_Words!B$2:B3730&amp;"" ""
),
1,
0
)
)
)
)"),0.0)</f>
        <v>0</v>
      </c>
      <c r="L1187" s="7" t="str">
        <f t="shared" si="3"/>
        <v>Customer Support</v>
      </c>
      <c r="M1187" s="7" t="str">
        <f t="shared" si="4"/>
        <v>Positive</v>
      </c>
      <c r="N1187" s="7" t="str">
        <f>IFERROR(__xludf.DUMMYFUNCTION("LOWER(
TRIM(
REGEXREPLACE(B1187,""[^a-zA-Z\s]"","""")
)
)
"),"pamela kelly")</f>
        <v>pamela kelly</v>
      </c>
      <c r="O1187" s="7">
        <f t="shared" si="5"/>
        <v>1</v>
      </c>
      <c r="P1187" s="8" t="str">
        <f t="shared" si="6"/>
        <v>No</v>
      </c>
    </row>
    <row r="1188">
      <c r="A1188" s="4" t="s">
        <v>16</v>
      </c>
      <c r="B1188" s="4" t="s">
        <v>3372</v>
      </c>
      <c r="C1188" s="5">
        <v>44890.0</v>
      </c>
      <c r="D1188" s="10">
        <v>44891.0</v>
      </c>
      <c r="E1188" s="4" t="s">
        <v>190</v>
      </c>
      <c r="F1188" s="4" t="s">
        <v>3373</v>
      </c>
      <c r="G1188" s="6" t="str">
        <f>IFERROR(__xludf.DUMMYFUNCTION("REGEXREPLACE(LOWER(F1188),""[^a-z\s]"","""")"),"when i received a case of blue buffalo cans in a very damaged box with  cans being severely dented i was immediately sent a full replacement i also ordered  lights for my dogs collar only  works and im hoping to receive replacements for those as well")</f>
        <v>when i received a case of blue buffalo cans in a very damaged box with  cans being severely dented i was immediately sent a full replacement i also ordered  lights for my dogs collar only  works and im hoping to receive replacements for those as well</v>
      </c>
      <c r="H1188" s="4" t="str">
        <f t="shared" si="1"/>
        <v>when i received a case of blue buffalo cans in a very damaged box with cans being severely dented i was immediately sent a full replacement i also ordered lights my dogs collar only works im hoping receive replacements those as well</v>
      </c>
      <c r="I1188" s="6">
        <f t="shared" si="2"/>
        <v>42</v>
      </c>
      <c r="J1188" s="6">
        <f>IFERROR(__xludf.DUMMYFUNCTION("IF(H1188="""","""",
SUM(
ARRAYFORMULA(
IF(
REGEXMATCH(
"" ""&amp;H1188&amp;"" "",
"" ""&amp;Sentiment_Words!A$2:A3730&amp;"" ""
),
1,
0
)
)
)
)"),2.0)</f>
        <v>2</v>
      </c>
      <c r="K1188" s="4">
        <f>IFERROR(__xludf.DUMMYFUNCTION("IF(H1188="""","""",
SUM(
ARRAYFORMULA(
IF(
REGEXMATCH(
"" ""&amp;H1188&amp;"" "",
"" ""&amp;Sentiment_Words!B$2:B3730&amp;"" ""
),
1,
0
)
)
)
)"),0.0)</f>
        <v>0</v>
      </c>
      <c r="L1188" s="7" t="str">
        <f t="shared" si="3"/>
        <v>Other</v>
      </c>
      <c r="M1188" s="7" t="str">
        <f t="shared" si="4"/>
        <v>Positive</v>
      </c>
      <c r="N1188" s="7" t="str">
        <f>IFERROR(__xludf.DUMMYFUNCTION("LOWER(
TRIM(
REGEXREPLACE(B1188,""[^a-zA-Z\s]"","""")
)
)
"),"jeri powell")</f>
        <v>jeri powell</v>
      </c>
      <c r="O1188" s="7">
        <f t="shared" si="5"/>
        <v>1</v>
      </c>
      <c r="P1188" s="8" t="str">
        <f t="shared" si="6"/>
        <v>No</v>
      </c>
    </row>
    <row r="1189">
      <c r="A1189" s="4" t="s">
        <v>16</v>
      </c>
      <c r="B1189" s="4" t="s">
        <v>3374</v>
      </c>
      <c r="C1189" s="5">
        <v>44879.0</v>
      </c>
      <c r="D1189" s="10">
        <v>44891.0</v>
      </c>
      <c r="E1189" s="4" t="s">
        <v>1780</v>
      </c>
      <c r="F1189" s="4" t="s">
        <v>3375</v>
      </c>
      <c r="G1189" s="6" t="str">
        <f>IFERROR(__xludf.DUMMYFUNCTION("REGEXREPLACE(LOWER(F1189),""[^a-z\s]"","""")"),"i love that you donate to pet charities and carry nutrisource")</f>
        <v>i love that you donate to pet charities and carry nutrisource</v>
      </c>
      <c r="H1189" s="4" t="str">
        <f t="shared" si="1"/>
        <v>i love that you donate pet charities carry nutrisource</v>
      </c>
      <c r="I1189" s="6">
        <f t="shared" si="2"/>
        <v>9</v>
      </c>
      <c r="J1189" s="6">
        <f>IFERROR(__xludf.DUMMYFUNCTION("IF(H1189="""","""",
SUM(
ARRAYFORMULA(
IF(
REGEXMATCH(
"" ""&amp;H1189&amp;"" "",
"" ""&amp;Sentiment_Words!A$2:A3730&amp;"" ""
),
1,
0
)
)
)
)"),1.0)</f>
        <v>1</v>
      </c>
      <c r="K1189" s="4">
        <f>IFERROR(__xludf.DUMMYFUNCTION("IF(H1189="""","""",
SUM(
ARRAYFORMULA(
IF(
REGEXMATCH(
"" ""&amp;H1189&amp;"" "",
"" ""&amp;Sentiment_Words!B$2:B3730&amp;"" ""
),
1,
0
)
)
)
)"),0.0)</f>
        <v>0</v>
      </c>
      <c r="L1189" s="7" t="str">
        <f t="shared" si="3"/>
        <v>Other</v>
      </c>
      <c r="M1189" s="7" t="str">
        <f t="shared" si="4"/>
        <v>Positive</v>
      </c>
      <c r="N1189" s="7" t="str">
        <f>IFERROR(__xludf.DUMMYFUNCTION("LOWER(
TRIM(
REGEXREPLACE(B1189,""[^a-zA-Z\s]"","""")
)
)
"),"sasciee")</f>
        <v>sasciee</v>
      </c>
      <c r="O1189" s="7">
        <f t="shared" si="5"/>
        <v>1</v>
      </c>
      <c r="P1189" s="8" t="str">
        <f t="shared" si="6"/>
        <v>No</v>
      </c>
    </row>
    <row r="1190">
      <c r="A1190" s="4" t="s">
        <v>16</v>
      </c>
      <c r="B1190" s="4" t="s">
        <v>3376</v>
      </c>
      <c r="C1190" s="5">
        <v>44879.0</v>
      </c>
      <c r="D1190" s="10">
        <v>44890.0</v>
      </c>
      <c r="E1190" s="4" t="s">
        <v>3377</v>
      </c>
      <c r="F1190" s="4" t="s">
        <v>3378</v>
      </c>
      <c r="G1190" s="6" t="str">
        <f>IFERROR(__xludf.DUMMYFUNCTION("REGEXREPLACE(LOWER(F1190),""[^a-z\s]"","""")"),"quick shipping product works barking has decreased markedly")</f>
        <v>quick shipping product works barking has decreased markedly</v>
      </c>
      <c r="H1190" s="4" t="str">
        <f t="shared" si="1"/>
        <v>quick shipping product works barking has decreased markedly</v>
      </c>
      <c r="I1190" s="6">
        <f t="shared" si="2"/>
        <v>8</v>
      </c>
      <c r="J1190" s="6">
        <f>IFERROR(__xludf.DUMMYFUNCTION("IF(H1190="""","""",
SUM(
ARRAYFORMULA(
IF(
REGEXMATCH(
"" ""&amp;H1190&amp;"" "",
"" ""&amp;Sentiment_Words!A$2:A3730&amp;"" ""
),
1,
0
)
)
)
)"),1.0)</f>
        <v>1</v>
      </c>
      <c r="K1190" s="4">
        <f>IFERROR(__xludf.DUMMYFUNCTION("IF(H1190="""","""",
SUM(
ARRAYFORMULA(
IF(
REGEXMATCH(
"" ""&amp;H1190&amp;"" "",
"" ""&amp;Sentiment_Words!B$2:B3730&amp;"" ""
),
1,
0
)
)
)
)"),0.0)</f>
        <v>0</v>
      </c>
      <c r="L1190" s="7" t="str">
        <f t="shared" si="3"/>
        <v>Other</v>
      </c>
      <c r="M1190" s="7" t="str">
        <f t="shared" si="4"/>
        <v>Positive</v>
      </c>
      <c r="N1190" s="7" t="str">
        <f>IFERROR(__xludf.DUMMYFUNCTION("LOWER(
TRIM(
REGEXREPLACE(B1190,""[^a-zA-Z\s]"","""")
)
)
"),"elizabeth dahl")</f>
        <v>elizabeth dahl</v>
      </c>
      <c r="O1190" s="7">
        <f t="shared" si="5"/>
        <v>1</v>
      </c>
      <c r="P1190" s="8" t="str">
        <f t="shared" si="6"/>
        <v>No</v>
      </c>
    </row>
    <row r="1191">
      <c r="A1191" s="4" t="s">
        <v>16</v>
      </c>
      <c r="B1191" s="4" t="s">
        <v>3379</v>
      </c>
      <c r="C1191" s="5">
        <v>44883.0</v>
      </c>
      <c r="D1191" s="10">
        <v>44890.0</v>
      </c>
      <c r="E1191" s="4" t="s">
        <v>2136</v>
      </c>
      <c r="F1191" s="4" t="s">
        <v>3380</v>
      </c>
      <c r="G1191" s="6" t="str">
        <f>IFERROR(__xludf.DUMMYFUNCTION("REGEXREPLACE(LOWER(F1191),""[^a-z\s]"","""")"),"we needed to order prescription food for our cat and it kept getting cancelled
each time it got cancelled we called and got a different answer fraud dept credit card company etc
each time the person on the phone said they would take care of it
finally som"&amp;"eone must of actually taken care of it because it finally shipped")</f>
        <v>we needed to order prescription food for our cat and it kept getting cancelled
each time it got cancelled we called and got a different answer fraud dept credit card company etc
each time the person on the phone said they would take care of it
finally someone must of actually taken care of it because it finally shipped</v>
      </c>
      <c r="H1191" s="4" t="str">
        <f t="shared" si="1"/>
        <v>we needed order prescription food our cat it kept getting cancelled
each time it got cancelled we called got a different answer fraud dept credit card company etc
each time person on phone said they would take care of it
finally someone must of actually taken care of it because it finally shipped</v>
      </c>
      <c r="I1191" s="6">
        <f t="shared" si="2"/>
        <v>50</v>
      </c>
      <c r="J1191" s="6">
        <f>IFERROR(__xludf.DUMMYFUNCTION("IF(H1191="""","""",
SUM(
ARRAYFORMULA(
IF(
REGEXMATCH(
"" ""&amp;H1191&amp;"" "",
"" ""&amp;Sentiment_Words!A$2:A3730&amp;"" ""
),
1,
0
)
)
)
)"),0.0)</f>
        <v>0</v>
      </c>
      <c r="K1191" s="4">
        <f>IFERROR(__xludf.DUMMYFUNCTION("IF(H1191="""","""",
SUM(
ARRAYFORMULA(
IF(
REGEXMATCH(
"" ""&amp;H1191&amp;"" "",
"" ""&amp;Sentiment_Words!B$2:B3730&amp;"" ""
),
1,
0
)
)
)
)"),1.0)</f>
        <v>1</v>
      </c>
      <c r="L1191" s="7" t="str">
        <f t="shared" si="3"/>
        <v>Other</v>
      </c>
      <c r="M1191" s="7" t="str">
        <f t="shared" si="4"/>
        <v>Negative</v>
      </c>
      <c r="N1191" s="7" t="str">
        <f>IFERROR(__xludf.DUMMYFUNCTION("LOWER(
TRIM(
REGEXREPLACE(B1191,""[^a-zA-Z\s]"","""")
)
)
"),"sally")</f>
        <v>sally</v>
      </c>
      <c r="O1191" s="7">
        <f t="shared" si="5"/>
        <v>2</v>
      </c>
      <c r="P1191" s="8" t="str">
        <f t="shared" si="6"/>
        <v>Yes</v>
      </c>
    </row>
    <row r="1192">
      <c r="A1192" s="4" t="s">
        <v>16</v>
      </c>
      <c r="B1192" s="4" t="s">
        <v>3381</v>
      </c>
      <c r="C1192" s="5">
        <v>44879.0</v>
      </c>
      <c r="D1192" s="10">
        <v>44890.0</v>
      </c>
      <c r="E1192" s="4" t="s">
        <v>3382</v>
      </c>
      <c r="F1192" s="4" t="s">
        <v>3383</v>
      </c>
      <c r="G1192" s="6" t="str">
        <f>IFERROR(__xludf.DUMMYFUNCTION("REGEXREPLACE(LOWER(F1192),""[^a-z\s]"","""")"),"bad customer service overpriced poor quality food shop somewhere else")</f>
        <v>bad customer service overpriced poor quality food shop somewhere else</v>
      </c>
      <c r="H1192" s="4" t="str">
        <f t="shared" si="1"/>
        <v>bad customer service overpriced poor quality food shop somewhere else</v>
      </c>
      <c r="I1192" s="6">
        <f t="shared" si="2"/>
        <v>10</v>
      </c>
      <c r="J1192" s="6">
        <f>IFERROR(__xludf.DUMMYFUNCTION("IF(H1192="""","""",
SUM(
ARRAYFORMULA(
IF(
REGEXMATCH(
"" ""&amp;H1192&amp;"" "",
"" ""&amp;Sentiment_Words!A$2:A3730&amp;"" ""
),
1,
0
)
)
)
)"),0.0)</f>
        <v>0</v>
      </c>
      <c r="K1192" s="4">
        <f>IFERROR(__xludf.DUMMYFUNCTION("IF(H1192="""","""",
SUM(
ARRAYFORMULA(
IF(
REGEXMATCH(
"" ""&amp;H1192&amp;"" "",
"" ""&amp;Sentiment_Words!B$2:B3730&amp;"" ""
),
1,
0
)
)
)
)"),1.0)</f>
        <v>1</v>
      </c>
      <c r="L1192" s="7" t="str">
        <f t="shared" si="3"/>
        <v>Customer Support</v>
      </c>
      <c r="M1192" s="7" t="str">
        <f t="shared" si="4"/>
        <v>Negative</v>
      </c>
      <c r="N1192" s="7" t="str">
        <f>IFERROR(__xludf.DUMMYFUNCTION("LOWER(
TRIM(
REGEXREPLACE(B1192,""[^a-zA-Z\s]"","""")
)
)
"),"julie alms")</f>
        <v>julie alms</v>
      </c>
      <c r="O1192" s="7">
        <f t="shared" si="5"/>
        <v>1</v>
      </c>
      <c r="P1192" s="8" t="str">
        <f t="shared" si="6"/>
        <v>No</v>
      </c>
    </row>
    <row r="1193">
      <c r="A1193" s="4" t="s">
        <v>16</v>
      </c>
      <c r="B1193" s="4" t="s">
        <v>3384</v>
      </c>
      <c r="C1193" s="5">
        <v>44880.0</v>
      </c>
      <c r="D1193" s="10">
        <v>44890.0</v>
      </c>
      <c r="E1193" s="4" t="s">
        <v>3385</v>
      </c>
      <c r="F1193" s="4" t="s">
        <v>3386</v>
      </c>
      <c r="G1193" s="6" t="str">
        <f>IFERROR(__xludf.DUMMYFUNCTION("REGEXREPLACE(LOWER(F1193),""[^a-z\s]"","""")"),"my mind is blown they wont fill my order dumb and useless took almost two weeks to respond to me never seen a company who didnt want business last time ill shop there")</f>
        <v>my mind is blown they wont fill my order dumb and useless took almost two weeks to respond to me never seen a company who didnt want business last time ill shop there</v>
      </c>
      <c r="H1193" s="4" t="str">
        <f t="shared" si="1"/>
        <v>my mind blown they wont fill my order dumb useless took almost two weeks respond me never seen a company who didnt want business last time ill shop there</v>
      </c>
      <c r="I1193" s="6">
        <f t="shared" si="2"/>
        <v>29</v>
      </c>
      <c r="J1193" s="6">
        <f>IFERROR(__xludf.DUMMYFUNCTION("IF(H1193="""","""",
SUM(
ARRAYFORMULA(
IF(
REGEXMATCH(
"" ""&amp;H1193&amp;"" "",
"" ""&amp;Sentiment_Words!A$2:A3730&amp;"" ""
),
1,
0
)
)
)
)"),0.0)</f>
        <v>0</v>
      </c>
      <c r="K1193" s="4">
        <f>IFERROR(__xludf.DUMMYFUNCTION("IF(H1193="""","""",
SUM(
ARRAYFORMULA(
IF(
REGEXMATCH(
"" ""&amp;H1193&amp;"" "",
"" ""&amp;Sentiment_Words!B$2:B3730&amp;"" ""
),
1,
0
)
)
)
)"),0.0)</f>
        <v>0</v>
      </c>
      <c r="L1193" s="7" t="str">
        <f t="shared" si="3"/>
        <v>Other</v>
      </c>
      <c r="M1193" s="7" t="str">
        <f t="shared" si="4"/>
        <v>Neutral</v>
      </c>
      <c r="N1193" s="7" t="str">
        <f>IFERROR(__xludf.DUMMYFUNCTION("LOWER(
TRIM(
REGEXREPLACE(B1193,""[^a-zA-Z\s]"","""")
)
)
"),"c junior")</f>
        <v>c junior</v>
      </c>
      <c r="O1193" s="7">
        <f t="shared" si="5"/>
        <v>1</v>
      </c>
      <c r="P1193" s="8" t="str">
        <f t="shared" si="6"/>
        <v>No</v>
      </c>
    </row>
    <row r="1194">
      <c r="A1194" s="4" t="s">
        <v>16</v>
      </c>
      <c r="B1194" s="4" t="s">
        <v>3387</v>
      </c>
      <c r="C1194" s="5">
        <v>44889.0</v>
      </c>
      <c r="D1194" s="10">
        <v>44890.0</v>
      </c>
      <c r="E1194" s="4" t="s">
        <v>3388</v>
      </c>
      <c r="F1194" s="4" t="s">
        <v>3389</v>
      </c>
      <c r="G1194" s="6" t="str">
        <f>IFERROR(__xludf.DUMMYFUNCTION("REGEXREPLACE(LOWER(F1194),""[^a-z\s]"","""")"),"petflow is a great company they go above and beyond to provide excellent customer service")</f>
        <v>petflow is a great company they go above and beyond to provide excellent customer service</v>
      </c>
      <c r="H1194" s="4" t="str">
        <f t="shared" si="1"/>
        <v>petflow a great company they go above beyond provide excellent customer service</v>
      </c>
      <c r="I1194" s="6">
        <f t="shared" si="2"/>
        <v>12</v>
      </c>
      <c r="J1194" s="6">
        <f>IFERROR(__xludf.DUMMYFUNCTION("IF(H1194="""","""",
SUM(
ARRAYFORMULA(
IF(
REGEXMATCH(
"" ""&amp;H1194&amp;"" "",
"" ""&amp;Sentiment_Words!A$2:A3730&amp;"" ""
),
1,
0
)
)
)
)"),2.0)</f>
        <v>2</v>
      </c>
      <c r="K1194" s="4">
        <f>IFERROR(__xludf.DUMMYFUNCTION("IF(H1194="""","""",
SUM(
ARRAYFORMULA(
IF(
REGEXMATCH(
"" ""&amp;H1194&amp;"" "",
"" ""&amp;Sentiment_Words!B$2:B3730&amp;"" ""
),
1,
0
)
)
)
)"),1.0)</f>
        <v>1</v>
      </c>
      <c r="L1194" s="7" t="str">
        <f t="shared" si="3"/>
        <v>Customer Support</v>
      </c>
      <c r="M1194" s="7" t="str">
        <f t="shared" si="4"/>
        <v>Positive</v>
      </c>
      <c r="N1194" s="7" t="str">
        <f>IFERROR(__xludf.DUMMYFUNCTION("LOWER(
TRIM(
REGEXREPLACE(B1194,""[^a-zA-Z\s]"","""")
)
)
"),"annoyed")</f>
        <v>annoyed</v>
      </c>
      <c r="O1194" s="7">
        <f t="shared" si="5"/>
        <v>1</v>
      </c>
      <c r="P1194" s="8" t="str">
        <f t="shared" si="6"/>
        <v>No</v>
      </c>
    </row>
    <row r="1195">
      <c r="A1195" s="4" t="s">
        <v>16</v>
      </c>
      <c r="B1195" s="4" t="s">
        <v>3390</v>
      </c>
      <c r="C1195" s="5">
        <v>44883.0</v>
      </c>
      <c r="D1195" s="10">
        <v>44889.0</v>
      </c>
      <c r="E1195" s="4" t="s">
        <v>3391</v>
      </c>
      <c r="F1195" s="4" t="s">
        <v>3392</v>
      </c>
      <c r="G1195" s="6" t="str">
        <f>IFERROR(__xludf.DUMMYFUNCTION("REGEXREPLACE(LOWER(F1195),""[^a-z\s]"","""")"),"easy to order fast delivery")</f>
        <v>easy to order fast delivery</v>
      </c>
      <c r="H1195" s="4" t="str">
        <f t="shared" si="1"/>
        <v>easy order fast delivery</v>
      </c>
      <c r="I1195" s="6">
        <f t="shared" si="2"/>
        <v>4</v>
      </c>
      <c r="J1195" s="6">
        <f>IFERROR(__xludf.DUMMYFUNCTION("IF(H1195="""","""",
SUM(
ARRAYFORMULA(
IF(
REGEXMATCH(
"" ""&amp;H1195&amp;"" "",
"" ""&amp;Sentiment_Words!A$2:A3730&amp;"" ""
),
1,
0
)
)
)
)"),3.0)</f>
        <v>3</v>
      </c>
      <c r="K1195" s="4">
        <f>IFERROR(__xludf.DUMMYFUNCTION("IF(H1195="""","""",
SUM(
ARRAYFORMULA(
IF(
REGEXMATCH(
"" ""&amp;H1195&amp;"" "",
"" ""&amp;Sentiment_Words!B$2:B3730&amp;"" ""
),
1,
0
)
)
)
)"),0.0)</f>
        <v>0</v>
      </c>
      <c r="L1195" s="7" t="str">
        <f t="shared" si="3"/>
        <v>Other</v>
      </c>
      <c r="M1195" s="7" t="str">
        <f t="shared" si="4"/>
        <v>Positive</v>
      </c>
      <c r="N1195" s="7" t="str">
        <f>IFERROR(__xludf.DUMMYFUNCTION("LOWER(
TRIM(
REGEXREPLACE(B1195,""[^a-zA-Z\s]"","""")
)
)
"),"kelly vigil")</f>
        <v>kelly vigil</v>
      </c>
      <c r="O1195" s="7">
        <f t="shared" si="5"/>
        <v>1</v>
      </c>
      <c r="P1195" s="8" t="str">
        <f t="shared" si="6"/>
        <v>No</v>
      </c>
    </row>
    <row r="1196">
      <c r="A1196" s="4" t="s">
        <v>16</v>
      </c>
      <c r="B1196" s="4" t="s">
        <v>3393</v>
      </c>
      <c r="C1196" s="5">
        <v>44882.0</v>
      </c>
      <c r="D1196" s="10">
        <v>44889.0</v>
      </c>
      <c r="E1196" s="4" t="s">
        <v>3394</v>
      </c>
      <c r="F1196" s="4" t="s">
        <v>3395</v>
      </c>
      <c r="G1196" s="6" t="str">
        <f>IFERROR(__xludf.DUMMYFUNCTION("REGEXREPLACE(LOWER(F1196),""[^a-z\s]"","""")"),"ive been ordering from petflow for years i used to order from chewy but petflow offered better discounts so i switched to them for most things my only issue with petflow is shipping and thats just such a minor issue that it really isnt even review worthy "&amp;"and doesnt occur often i can set something to ship on a certain day and sometimes it doesnt ship on that dayrare but does happen if i need something in a hurry i purchase elsewhere if i remember on time i will let my normal petflow program go through for "&amp;"that month")</f>
        <v>ive been ordering from petflow for years i used to order from chewy but petflow offered better discounts so i switched to them for most things my only issue with petflow is shipping and thats just such a minor issue that it really isnt even review worthy and doesnt occur often i can set something to ship on a certain day and sometimes it doesnt ship on that dayrare but does happen if i need something in a hurry i purchase elsewhere if i remember on time i will let my normal petflow program go through for that month</v>
      </c>
      <c r="H1196" s="4" t="str">
        <f t="shared" si="1"/>
        <v>ive been ordering from petflow years i used order from chewy but petflow offered better discounts so i switched them most things my only issue with petflow shipping thats just such a minor issue that it really isnt even review worthy doesnt occur often i can set something ship on a certain day sometimes it doesnt ship on that dayrare but does happen if i need something in a hurry i purchase elsewhere if i remember on time i will let my normal petflow program go through that month</v>
      </c>
      <c r="I1196" s="6">
        <f t="shared" si="2"/>
        <v>89</v>
      </c>
      <c r="J1196" s="6">
        <f>IFERROR(__xludf.DUMMYFUNCTION("IF(H1196="""","""",
SUM(
ARRAYFORMULA(
IF(
REGEXMATCH(
"" ""&amp;H1196&amp;"" "",
"" ""&amp;Sentiment_Words!A$2:A3730&amp;"" ""
),
1,
0
)
)
)
)"),1.0)</f>
        <v>1</v>
      </c>
      <c r="K1196" s="4">
        <f>IFERROR(__xludf.DUMMYFUNCTION("IF(H1196="""","""",
SUM(
ARRAYFORMULA(
IF(
REGEXMATCH(
"" ""&amp;H1196&amp;"" "",
"" ""&amp;Sentiment_Words!B$2:B3730&amp;"" ""
),
1,
0
)
)
)
)"),1.0)</f>
        <v>1</v>
      </c>
      <c r="L1196" s="7" t="str">
        <f t="shared" si="3"/>
        <v>Other</v>
      </c>
      <c r="M1196" s="7" t="str">
        <f t="shared" si="4"/>
        <v>Neutral</v>
      </c>
      <c r="N1196" s="7" t="str">
        <f>IFERROR(__xludf.DUMMYFUNCTION("LOWER(
TRIM(
REGEXREPLACE(B1196,""[^a-zA-Z\s]"","""")
)
)
"),"teimuraz bandzava")</f>
        <v>teimuraz bandzava</v>
      </c>
      <c r="O1196" s="7">
        <f t="shared" si="5"/>
        <v>1</v>
      </c>
      <c r="P1196" s="8" t="str">
        <f t="shared" si="6"/>
        <v>No</v>
      </c>
    </row>
    <row r="1197">
      <c r="A1197" s="4" t="s">
        <v>16</v>
      </c>
      <c r="B1197" s="4" t="s">
        <v>3396</v>
      </c>
      <c r="C1197" s="5">
        <v>44879.0</v>
      </c>
      <c r="D1197" s="10">
        <v>44889.0</v>
      </c>
      <c r="E1197" s="4" t="s">
        <v>3397</v>
      </c>
      <c r="F1197" s="4" t="s">
        <v>3398</v>
      </c>
      <c r="G1197" s="6" t="str">
        <f>IFERROR(__xludf.DUMMYFUNCTION("REGEXREPLACE(LOWER(F1197),""[^a-z\s]"","""")"),"you stopped part of my order without telling me at all took me all kinds of communications to find out what the problem was i was not and am not a happy customer check your records for my order  it should tell you what went wrong
how dare you now try and"&amp;" lecture me about what a useful review is")</f>
        <v>you stopped part of my order without telling me at all took me all kinds of communications to find out what the problem was i was not and am not a happy customer check your records for my order  it should tell you what went wrong
how dare you now try and lecture me about what a useful review is</v>
      </c>
      <c r="H1197" s="4" t="str">
        <f t="shared" si="1"/>
        <v>you stopped part of my order without telling me at all took me all kinds of communications find out what problem was i was not am not a happy customer check your records my order it should tell you what went wrong
how dare you now try lecture me about what a useful review</v>
      </c>
      <c r="I1197" s="6">
        <f t="shared" si="2"/>
        <v>53</v>
      </c>
      <c r="J1197" s="6">
        <f>IFERROR(__xludf.DUMMYFUNCTION("IF(H1197="""","""",
SUM(
ARRAYFORMULA(
IF(
REGEXMATCH(
"" ""&amp;H1197&amp;"" "",
"" ""&amp;Sentiment_Words!A$2:A3730&amp;"" ""
),
1,
0
)
)
)
)"),1.0)</f>
        <v>1</v>
      </c>
      <c r="K1197" s="4">
        <f>IFERROR(__xludf.DUMMYFUNCTION("IF(H1197="""","""",
SUM(
ARRAYFORMULA(
IF(
REGEXMATCH(
"" ""&amp;H1197&amp;"" "",
"" ""&amp;Sentiment_Words!B$2:B3730&amp;"" ""
),
1,
0
)
)
)
)"),1.0)</f>
        <v>1</v>
      </c>
      <c r="L1197" s="7" t="str">
        <f t="shared" si="3"/>
        <v>Fulfillment &amp; Shipping</v>
      </c>
      <c r="M1197" s="7" t="str">
        <f t="shared" si="4"/>
        <v>Neutral</v>
      </c>
      <c r="N1197" s="7" t="str">
        <f>IFERROR(__xludf.DUMMYFUNCTION("LOWER(
TRIM(
REGEXREPLACE(B1197,""[^a-zA-Z\s]"","""")
)
)
"),"kathryn riddle")</f>
        <v>kathryn riddle</v>
      </c>
      <c r="O1197" s="7">
        <f t="shared" si="5"/>
        <v>1</v>
      </c>
      <c r="P1197" s="8" t="str">
        <f t="shared" si="6"/>
        <v>No</v>
      </c>
    </row>
    <row r="1198">
      <c r="A1198" s="4" t="s">
        <v>16</v>
      </c>
      <c r="B1198" s="4" t="s">
        <v>3399</v>
      </c>
      <c r="C1198" s="5">
        <v>44888.0</v>
      </c>
      <c r="D1198" s="10">
        <v>44889.0</v>
      </c>
      <c r="E1198" s="4" t="s">
        <v>3400</v>
      </c>
      <c r="F1198" s="4" t="s">
        <v>3401</v>
      </c>
      <c r="G1198" s="6" t="str">
        <f>IFERROR(__xludf.DUMMYFUNCTION("REGEXREPLACE(LOWER(F1198),""[^a-z\s]"","""")"),"my first order was cancelled with no notice
my second order was placed but sent to wrong address via fed ex then i received an email saying that they cant process my order it was already processed so when i called to see what this was about i was told i w"&amp;"ould not be able to place another order and to take it up with my bank still no real answer why they did this")</f>
        <v>my first order was cancelled with no notice
my second order was placed but sent to wrong address via fed ex then i received an email saying that they cant process my order it was already processed so when i called to see what this was about i was told i would not be able to place another order and to take it up with my bank still no real answer why they did this</v>
      </c>
      <c r="H1198" s="4" t="str">
        <f t="shared" si="1"/>
        <v>my first order was cancelled with no notice
my second order was placed but sent wrong address via fed ex then i received an email saying that they cant process my order it was already processed so when i called see what this was about i was told i would not be able place another order take it up with my bank still no real answer why they did this</v>
      </c>
      <c r="I1198" s="6">
        <f t="shared" si="2"/>
        <v>69</v>
      </c>
      <c r="J1198" s="6">
        <f>IFERROR(__xludf.DUMMYFUNCTION("IF(H1198="""","""",
SUM(
ARRAYFORMULA(
IF(
REGEXMATCH(
"" ""&amp;H1198&amp;"" "",
"" ""&amp;Sentiment_Words!A$2:A3730&amp;"" ""
),
1,
0
)
)
)
)"),1.0)</f>
        <v>1</v>
      </c>
      <c r="K1198" s="4">
        <f>IFERROR(__xludf.DUMMYFUNCTION("IF(H1198="""","""",
SUM(
ARRAYFORMULA(
IF(
REGEXMATCH(
"" ""&amp;H1198&amp;"" "",
"" ""&amp;Sentiment_Words!B$2:B3730&amp;"" ""
),
1,
0
)
)
)
)"),2.0)</f>
        <v>2</v>
      </c>
      <c r="L1198" s="7" t="str">
        <f t="shared" si="3"/>
        <v>Fulfillment &amp; Shipping</v>
      </c>
      <c r="M1198" s="7" t="str">
        <f t="shared" si="4"/>
        <v>Negative</v>
      </c>
      <c r="N1198" s="7" t="str">
        <f>IFERROR(__xludf.DUMMYFUNCTION("LOWER(
TRIM(
REGEXREPLACE(B1198,""[^a-zA-Z\s]"","""")
)
)
"),"k")</f>
        <v>k</v>
      </c>
      <c r="O1198" s="7">
        <f t="shared" si="5"/>
        <v>1</v>
      </c>
      <c r="P1198" s="8" t="str">
        <f t="shared" si="6"/>
        <v>No</v>
      </c>
    </row>
    <row r="1199">
      <c r="A1199" s="4" t="s">
        <v>16</v>
      </c>
      <c r="B1199" s="4" t="s">
        <v>3402</v>
      </c>
      <c r="C1199" s="9">
        <v>44838.0</v>
      </c>
      <c r="D1199" s="10">
        <v>44889.0</v>
      </c>
      <c r="E1199" s="4" t="s">
        <v>3403</v>
      </c>
      <c r="F1199" s="4" t="s">
        <v>3404</v>
      </c>
      <c r="G1199" s="6" t="str">
        <f>IFERROR(__xludf.DUMMYFUNCTION("REGEXREPLACE(LOWER(F1199),""[^a-z\s]"","""")"),"the was available and sent promptly")</f>
        <v>the was available and sent promptly</v>
      </c>
      <c r="H1199" s="4" t="str">
        <f t="shared" si="1"/>
        <v>was available sent promptly</v>
      </c>
      <c r="I1199" s="6">
        <f t="shared" si="2"/>
        <v>4</v>
      </c>
      <c r="J1199" s="6">
        <f>IFERROR(__xludf.DUMMYFUNCTION("IF(H1199="""","""",
SUM(
ARRAYFORMULA(
IF(
REGEXMATCH(
"" ""&amp;H1199&amp;"" "",
"" ""&amp;Sentiment_Words!A$2:A3730&amp;"" ""
),
1,
0
)
)
)
)"),1.0)</f>
        <v>1</v>
      </c>
      <c r="K1199" s="4">
        <f>IFERROR(__xludf.DUMMYFUNCTION("IF(H1199="""","""",
SUM(
ARRAYFORMULA(
IF(
REGEXMATCH(
"" ""&amp;H1199&amp;"" "",
"" ""&amp;Sentiment_Words!B$2:B3730&amp;"" ""
),
1,
0
)
)
)
)"),0.0)</f>
        <v>0</v>
      </c>
      <c r="L1199" s="7" t="str">
        <f t="shared" si="3"/>
        <v>Other</v>
      </c>
      <c r="M1199" s="7" t="str">
        <f t="shared" si="4"/>
        <v>Positive</v>
      </c>
      <c r="N1199" s="7" t="str">
        <f>IFERROR(__xludf.DUMMYFUNCTION("LOWER(
TRIM(
REGEXREPLACE(B1199,""[^a-zA-Z\s]"","""")
)
)
"),"ann r")</f>
        <v>ann r</v>
      </c>
      <c r="O1199" s="7">
        <f t="shared" si="5"/>
        <v>1</v>
      </c>
      <c r="P1199" s="8" t="str">
        <f t="shared" si="6"/>
        <v>No</v>
      </c>
    </row>
    <row r="1200">
      <c r="A1200" s="4" t="s">
        <v>16</v>
      </c>
      <c r="B1200" s="4" t="s">
        <v>3405</v>
      </c>
      <c r="C1200" s="5">
        <v>44883.0</v>
      </c>
      <c r="D1200" s="10">
        <v>44889.0</v>
      </c>
      <c r="E1200" s="4" t="s">
        <v>3406</v>
      </c>
      <c r="F1200" s="4" t="s">
        <v>331</v>
      </c>
      <c r="G1200" s="6" t="str">
        <f>IFERROR(__xludf.DUMMYFUNCTION("REGEXREPLACE(LOWER(F1200),""[^a-z\s]"","""")"),"none")</f>
        <v>none</v>
      </c>
      <c r="H1200" s="4" t="str">
        <f t="shared" si="1"/>
        <v>none</v>
      </c>
      <c r="I1200" s="6">
        <f t="shared" si="2"/>
        <v>1</v>
      </c>
      <c r="J1200" s="6">
        <f>IFERROR(__xludf.DUMMYFUNCTION("IF(H1200="""","""",
SUM(
ARRAYFORMULA(
IF(
REGEXMATCH(
"" ""&amp;H1200&amp;"" "",
"" ""&amp;Sentiment_Words!A$2:A3730&amp;"" ""
),
1,
0
)
)
)
)"),0.0)</f>
        <v>0</v>
      </c>
      <c r="K1200" s="4">
        <f>IFERROR(__xludf.DUMMYFUNCTION("IF(H1200="""","""",
SUM(
ARRAYFORMULA(
IF(
REGEXMATCH(
"" ""&amp;H1200&amp;"" "",
"" ""&amp;Sentiment_Words!B$2:B3730&amp;"" ""
),
1,
0
)
)
)
)"),0.0)</f>
        <v>0</v>
      </c>
      <c r="L1200" s="7" t="str">
        <f t="shared" si="3"/>
        <v>Other</v>
      </c>
      <c r="M1200" s="7" t="str">
        <f t="shared" si="4"/>
        <v>Neutral</v>
      </c>
      <c r="N1200" s="7" t="str">
        <f>IFERROR(__xludf.DUMMYFUNCTION("LOWER(
TRIM(
REGEXREPLACE(B1200,""[^a-zA-Z\s]"","""")
)
)
"),"vicki butler")</f>
        <v>vicki butler</v>
      </c>
      <c r="O1200" s="7">
        <f t="shared" si="5"/>
        <v>1</v>
      </c>
      <c r="P1200" s="8" t="str">
        <f t="shared" si="6"/>
        <v>No</v>
      </c>
    </row>
    <row r="1201">
      <c r="A1201" s="4" t="s">
        <v>16</v>
      </c>
      <c r="B1201" s="4" t="s">
        <v>3407</v>
      </c>
      <c r="C1201" s="9">
        <v>44873.0</v>
      </c>
      <c r="D1201" s="10">
        <v>44889.0</v>
      </c>
      <c r="E1201" s="4" t="s">
        <v>3408</v>
      </c>
      <c r="F1201" s="4" t="s">
        <v>331</v>
      </c>
      <c r="G1201" s="6" t="str">
        <f>IFERROR(__xludf.DUMMYFUNCTION("REGEXREPLACE(LOWER(F1201),""[^a-z\s]"","""")"),"none")</f>
        <v>none</v>
      </c>
      <c r="H1201" s="4" t="str">
        <f t="shared" si="1"/>
        <v>none</v>
      </c>
      <c r="I1201" s="6">
        <f t="shared" si="2"/>
        <v>1</v>
      </c>
      <c r="J1201" s="6">
        <f>IFERROR(__xludf.DUMMYFUNCTION("IF(H1201="""","""",
SUM(
ARRAYFORMULA(
IF(
REGEXMATCH(
"" ""&amp;H1201&amp;"" "",
"" ""&amp;Sentiment_Words!A$2:A3730&amp;"" ""
),
1,
0
)
)
)
)"),0.0)</f>
        <v>0</v>
      </c>
      <c r="K1201" s="4">
        <f>IFERROR(__xludf.DUMMYFUNCTION("IF(H1201="""","""",
SUM(
ARRAYFORMULA(
IF(
REGEXMATCH(
"" ""&amp;H1201&amp;"" "",
"" ""&amp;Sentiment_Words!B$2:B3730&amp;"" ""
),
1,
0
)
)
)
)"),0.0)</f>
        <v>0</v>
      </c>
      <c r="L1201" s="7" t="str">
        <f t="shared" si="3"/>
        <v>Other</v>
      </c>
      <c r="M1201" s="7" t="str">
        <f t="shared" si="4"/>
        <v>Neutral</v>
      </c>
      <c r="N1201" s="7" t="str">
        <f>IFERROR(__xludf.DUMMYFUNCTION("LOWER(
TRIM(
REGEXREPLACE(B1201,""[^a-zA-Z\s]"","""")
)
)
"),"eric fisher")</f>
        <v>eric fisher</v>
      </c>
      <c r="O1201" s="7">
        <f t="shared" si="5"/>
        <v>1</v>
      </c>
      <c r="P1201" s="8" t="str">
        <f t="shared" si="6"/>
        <v>No</v>
      </c>
    </row>
    <row r="1202">
      <c r="A1202" s="4" t="s">
        <v>16</v>
      </c>
      <c r="B1202" s="4" t="s">
        <v>3409</v>
      </c>
      <c r="C1202" s="5">
        <v>44888.0</v>
      </c>
      <c r="D1202" s="10">
        <v>44889.0</v>
      </c>
      <c r="E1202" s="4" t="s">
        <v>3410</v>
      </c>
      <c r="F1202" s="4" t="s">
        <v>3411</v>
      </c>
      <c r="G1202" s="6" t="str">
        <f>IFERROR(__xludf.DUMMYFUNCTION("REGEXREPLACE(LOWER(F1202),""[^a-z\s]"","""")"),"the product is great so far the issue that i have is that the clumps from the urine are heavier than any other product that ive used in the past  years")</f>
        <v>the product is great so far the issue that i have is that the clumps from the urine are heavier than any other product that ive used in the past  years</v>
      </c>
      <c r="H1202" s="4" t="str">
        <f t="shared" si="1"/>
        <v>product great so far issue that i have that clumps from urine are heavier than any other product that ive used in past years</v>
      </c>
      <c r="I1202" s="6">
        <f t="shared" si="2"/>
        <v>24</v>
      </c>
      <c r="J1202" s="6">
        <f>IFERROR(__xludf.DUMMYFUNCTION("IF(H1202="""","""",
SUM(
ARRAYFORMULA(
IF(
REGEXMATCH(
"" ""&amp;H1202&amp;"" "",
"" ""&amp;Sentiment_Words!A$2:A3730&amp;"" ""
),
1,
0
)
)
)
)"),1.0)</f>
        <v>1</v>
      </c>
      <c r="K1202" s="4">
        <f>IFERROR(__xludf.DUMMYFUNCTION("IF(H1202="""","""",
SUM(
ARRAYFORMULA(
IF(
REGEXMATCH(
"" ""&amp;H1202&amp;"" "",
"" ""&amp;Sentiment_Words!B$2:B3730&amp;"" ""
),
1,
0
)
)
)
)"),1.0)</f>
        <v>1</v>
      </c>
      <c r="L1202" s="7" t="str">
        <f t="shared" si="3"/>
        <v>Other</v>
      </c>
      <c r="M1202" s="7" t="str">
        <f t="shared" si="4"/>
        <v>Neutral</v>
      </c>
      <c r="N1202" s="7" t="str">
        <f>IFERROR(__xludf.DUMMYFUNCTION("LOWER(
TRIM(
REGEXREPLACE(B1202,""[^a-zA-Z\s]"","""")
)
)
"),"peter jurich")</f>
        <v>peter jurich</v>
      </c>
      <c r="O1202" s="7">
        <f t="shared" si="5"/>
        <v>1</v>
      </c>
      <c r="P1202" s="8" t="str">
        <f t="shared" si="6"/>
        <v>No</v>
      </c>
    </row>
    <row r="1203">
      <c r="A1203" s="4" t="s">
        <v>16</v>
      </c>
      <c r="B1203" s="4" t="s">
        <v>3116</v>
      </c>
      <c r="C1203" s="5">
        <v>44877.0</v>
      </c>
      <c r="D1203" s="10">
        <v>44888.0</v>
      </c>
      <c r="E1203" s="4" t="s">
        <v>3412</v>
      </c>
      <c r="F1203" s="4" t="s">
        <v>3413</v>
      </c>
      <c r="G1203" s="6" t="str">
        <f>IFERROR(__xludf.DUMMYFUNCTION("REGEXREPLACE(LOWER(F1203),""[^a-z\s]"","""")"),"only issue i have is that there is not  count in the bottle  was given only five dollars off my next order")</f>
        <v>only issue i have is that there is not  count in the bottle  was given only five dollars off my next order</v>
      </c>
      <c r="H1203" s="4" t="str">
        <f t="shared" si="1"/>
        <v>only issue i have that there not count in bottle was given only five dollars off my next order</v>
      </c>
      <c r="I1203" s="6">
        <f t="shared" si="2"/>
        <v>19</v>
      </c>
      <c r="J1203" s="6">
        <f>IFERROR(__xludf.DUMMYFUNCTION("IF(H1203="""","""",
SUM(
ARRAYFORMULA(
IF(
REGEXMATCH(
"" ""&amp;H1203&amp;"" "",
"" ""&amp;Sentiment_Words!A$2:A3730&amp;"" ""
),
1,
0
)
)
)
)"),0.0)</f>
        <v>0</v>
      </c>
      <c r="K1203" s="4">
        <f>IFERROR(__xludf.DUMMYFUNCTION("IF(H1203="""","""",
SUM(
ARRAYFORMULA(
IF(
REGEXMATCH(
"" ""&amp;H1203&amp;"" "",
"" ""&amp;Sentiment_Words!B$2:B3730&amp;"" ""
),
1,
0
)
)
)
)"),1.0)</f>
        <v>1</v>
      </c>
      <c r="L1203" s="7" t="str">
        <f t="shared" si="3"/>
        <v>Other</v>
      </c>
      <c r="M1203" s="7" t="str">
        <f t="shared" si="4"/>
        <v>Negative</v>
      </c>
      <c r="N1203" s="7" t="str">
        <f>IFERROR(__xludf.DUMMYFUNCTION("LOWER(
TRIM(
REGEXREPLACE(B1203,""[^a-zA-Z\s]"","""")
)
)
"),"janice")</f>
        <v>janice</v>
      </c>
      <c r="O1203" s="7">
        <f t="shared" si="5"/>
        <v>3</v>
      </c>
      <c r="P1203" s="8" t="str">
        <f t="shared" si="6"/>
        <v>Yes</v>
      </c>
    </row>
    <row r="1204">
      <c r="A1204" s="4" t="s">
        <v>16</v>
      </c>
      <c r="B1204" s="4" t="s">
        <v>3414</v>
      </c>
      <c r="C1204" s="5">
        <v>44883.0</v>
      </c>
      <c r="D1204" s="10">
        <v>44888.0</v>
      </c>
      <c r="E1204" s="4" t="s">
        <v>3415</v>
      </c>
      <c r="F1204" s="4" t="s">
        <v>3416</v>
      </c>
      <c r="G1204" s="6" t="str">
        <f>IFERROR(__xludf.DUMMYFUNCTION("REGEXREPLACE(LOWER(F1204),""[^a-z\s]"","""")"),"took almost  gays to get the puppy food which i ordered a week before getting the puppy then when it did arrive the bag was not properly sealed and food had spilled out all in the box")</f>
        <v>took almost  gays to get the puppy food which i ordered a week before getting the puppy then when it did arrive the bag was not properly sealed and food had spilled out all in the box</v>
      </c>
      <c r="H1204" s="4" t="str">
        <f t="shared" si="1"/>
        <v>took almost gays get puppy food which i ordered a week before getting puppy then when it did arrive bag was not properly sealed food had spilled out all in box</v>
      </c>
      <c r="I1204" s="6">
        <f t="shared" si="2"/>
        <v>31</v>
      </c>
      <c r="J1204" s="6">
        <f>IFERROR(__xludf.DUMMYFUNCTION("IF(H1204="""","""",
SUM(
ARRAYFORMULA(
IF(
REGEXMATCH(
"" ""&amp;H1204&amp;"" "",
"" ""&amp;Sentiment_Words!A$2:A3730&amp;"" ""
),
1,
0
)
)
)
)"),0.0)</f>
        <v>0</v>
      </c>
      <c r="K1204" s="4">
        <f>IFERROR(__xludf.DUMMYFUNCTION("IF(H1204="""","""",
SUM(
ARRAYFORMULA(
IF(
REGEXMATCH(
"" ""&amp;H1204&amp;"" "",
"" ""&amp;Sentiment_Words!B$2:B3730&amp;"" ""
),
1,
0
)
)
)
)"),0.0)</f>
        <v>0</v>
      </c>
      <c r="L1204" s="7" t="str">
        <f t="shared" si="3"/>
        <v>Other</v>
      </c>
      <c r="M1204" s="7" t="str">
        <f t="shared" si="4"/>
        <v>Neutral</v>
      </c>
      <c r="N1204" s="7" t="str">
        <f>IFERROR(__xludf.DUMMYFUNCTION("LOWER(
TRIM(
REGEXREPLACE(B1204,""[^a-zA-Z\s]"","""")
)
)
"),"mary l smith")</f>
        <v>mary l smith</v>
      </c>
      <c r="O1204" s="7">
        <f t="shared" si="5"/>
        <v>1</v>
      </c>
      <c r="P1204" s="8" t="str">
        <f t="shared" si="6"/>
        <v>No</v>
      </c>
    </row>
    <row r="1205">
      <c r="A1205" s="4" t="s">
        <v>16</v>
      </c>
      <c r="B1205" s="4" t="s">
        <v>3417</v>
      </c>
      <c r="C1205" s="5">
        <v>44884.0</v>
      </c>
      <c r="D1205" s="10">
        <v>44887.0</v>
      </c>
      <c r="E1205" s="4" t="s">
        <v>3418</v>
      </c>
      <c r="F1205" s="4" t="s">
        <v>3419</v>
      </c>
      <c r="G1205" s="6" t="str">
        <f>IFERROR(__xludf.DUMMYFUNCTION("REGEXREPLACE(LOWER(F1205),""[^a-z\s]"","""")"),"competitive prices great customer service excellent packaging of products and fast delivery easy website to navigate and get all you are looking for what more can you ask for i highly recommend this company")</f>
        <v>competitive prices great customer service excellent packaging of products and fast delivery easy website to navigate and get all you are looking for what more can you ask for i highly recommend this company</v>
      </c>
      <c r="H1205" s="4" t="str">
        <f t="shared" si="1"/>
        <v>competitive prices great customer service excellent packaging of products fast delivery easy website navigate get all you are looking what more can you ask i highly recommend this company</v>
      </c>
      <c r="I1205" s="6">
        <f t="shared" si="2"/>
        <v>29</v>
      </c>
      <c r="J1205" s="6">
        <f>IFERROR(__xludf.DUMMYFUNCTION("IF(H1205="""","""",
SUM(
ARRAYFORMULA(
IF(
REGEXMATCH(
"" ""&amp;H1205&amp;"" "",
"" ""&amp;Sentiment_Words!A$2:A3730&amp;"" ""
),
1,
0
)
)
)
)"),5.0)</f>
        <v>5</v>
      </c>
      <c r="K1205" s="4">
        <f>IFERROR(__xludf.DUMMYFUNCTION("IF(H1205="""","""",
SUM(
ARRAYFORMULA(
IF(
REGEXMATCH(
"" ""&amp;H1205&amp;"" "",
"" ""&amp;Sentiment_Words!B$2:B3730&amp;"" ""
),
1,
0
)
)
)
)"),1.0)</f>
        <v>1</v>
      </c>
      <c r="L1205" s="7" t="str">
        <f t="shared" si="3"/>
        <v>Customer Support</v>
      </c>
      <c r="M1205" s="7" t="str">
        <f t="shared" si="4"/>
        <v>Positive</v>
      </c>
      <c r="N1205" s="7" t="str">
        <f>IFERROR(__xludf.DUMMYFUNCTION("LOWER(
TRIM(
REGEXREPLACE(B1205,""[^a-zA-Z\s]"","""")
)
)
"),"jeri boswell")</f>
        <v>jeri boswell</v>
      </c>
      <c r="O1205" s="7">
        <f t="shared" si="5"/>
        <v>1</v>
      </c>
      <c r="P1205" s="8" t="str">
        <f t="shared" si="6"/>
        <v>No</v>
      </c>
    </row>
    <row r="1206">
      <c r="A1206" s="4" t="s">
        <v>16</v>
      </c>
      <c r="B1206" s="4" t="s">
        <v>3420</v>
      </c>
      <c r="C1206" s="5">
        <v>44877.0</v>
      </c>
      <c r="D1206" s="10">
        <v>44887.0</v>
      </c>
      <c r="E1206" s="4" t="s">
        <v>2607</v>
      </c>
      <c r="F1206" s="4" t="s">
        <v>3421</v>
      </c>
      <c r="G1206" s="6" t="str">
        <f>IFERROR(__xludf.DUMMYFUNCTION("REGEXREPLACE(LOWER(F1206),""[^a-z\s]"","""")"),"i ordered dog food on line and never received a confirmation a few days later i called and was told the warehouse was working on it three days later i called again and they said it was in the warehouse with the stiff competition on line for pet food  supp"&amp;"lies i dont feel that i need to wait longer then  days for my delivery i cancelled my order")</f>
        <v>i ordered dog food on line and never received a confirmation a few days later i called and was told the warehouse was working on it three days later i called again and they said it was in the warehouse with the stiff competition on line for pet food  supplies i dont feel that i need to wait longer then  days for my delivery i cancelled my order</v>
      </c>
      <c r="H1206" s="4" t="str">
        <f t="shared" si="1"/>
        <v>i ordered dog food on line never received a confirmation a few days later i called was told warehouse was working on it three days later i called again they said it was in warehouse with stiff competition on line pet food supplies i dont feel that i need wait longer then days my delivery i cancelled my order</v>
      </c>
      <c r="I1206" s="6">
        <f t="shared" si="2"/>
        <v>59</v>
      </c>
      <c r="J1206" s="6">
        <f>IFERROR(__xludf.DUMMYFUNCTION("IF(H1206="""","""",
SUM(
ARRAYFORMULA(
IF(
REGEXMATCH(
"" ""&amp;H1206&amp;"" "",
"" ""&amp;Sentiment_Words!A$2:A3730&amp;"" ""
),
1,
0
)
)
)
)"),1.0)</f>
        <v>1</v>
      </c>
      <c r="K1206" s="4">
        <f>IFERROR(__xludf.DUMMYFUNCTION("IF(H1206="""","""",
SUM(
ARRAYFORMULA(
IF(
REGEXMATCH(
"" ""&amp;H1206&amp;"" "",
"" ""&amp;Sentiment_Words!B$2:B3730&amp;"" ""
),
1,
0
)
)
)
)"),1.0)</f>
        <v>1</v>
      </c>
      <c r="L1206" s="7" t="str">
        <f t="shared" si="3"/>
        <v>Fulfillment &amp; Shipping</v>
      </c>
      <c r="M1206" s="7" t="str">
        <f t="shared" si="4"/>
        <v>Neutral</v>
      </c>
      <c r="N1206" s="7" t="str">
        <f>IFERROR(__xludf.DUMMYFUNCTION("LOWER(
TRIM(
REGEXREPLACE(B1206,""[^a-zA-Z\s]"","""")
)
)
"),"k neely")</f>
        <v>k neely</v>
      </c>
      <c r="O1206" s="7">
        <f t="shared" si="5"/>
        <v>1</v>
      </c>
      <c r="P1206" s="8" t="str">
        <f t="shared" si="6"/>
        <v>No</v>
      </c>
    </row>
    <row r="1207">
      <c r="A1207" s="4" t="s">
        <v>16</v>
      </c>
      <c r="B1207" s="4" t="s">
        <v>3422</v>
      </c>
      <c r="C1207" s="5">
        <v>44879.0</v>
      </c>
      <c r="D1207" s="10">
        <v>44887.0</v>
      </c>
      <c r="E1207" s="4" t="s">
        <v>3423</v>
      </c>
      <c r="F1207" s="4" t="s">
        <v>3424</v>
      </c>
      <c r="G1207" s="6" t="str">
        <f>IFERROR(__xludf.DUMMYFUNCTION("REGEXREPLACE(LOWER(F1207),""[^a-z\s]"","""")"),"liked the convenience of getting our pet food delivered what i dislike is the time it takes to get the delivery we were down to our last kibble when the package arrived not sure the service is dependable enough")</f>
        <v>liked the convenience of getting our pet food delivered what i dislike is the time it takes to get the delivery we were down to our last kibble when the package arrived not sure the service is dependable enough</v>
      </c>
      <c r="H1207" s="4" t="str">
        <f t="shared" si="1"/>
        <v>liked convenience of getting our pet food delivered what i dislike time it takes get delivery we were down our last kibble when package arrived not sure service dependable enough</v>
      </c>
      <c r="I1207" s="6">
        <f t="shared" si="2"/>
        <v>30</v>
      </c>
      <c r="J1207" s="6">
        <f>IFERROR(__xludf.DUMMYFUNCTION("IF(H1207="""","""",
SUM(
ARRAYFORMULA(
IF(
REGEXMATCH(
"" ""&amp;H1207&amp;"" "",
"" ""&amp;Sentiment_Words!A$2:A3730&amp;"" ""
),
1,
0
)
)
)
)"),1.0)</f>
        <v>1</v>
      </c>
      <c r="K1207" s="4">
        <f>IFERROR(__xludf.DUMMYFUNCTION("IF(H1207="""","""",
SUM(
ARRAYFORMULA(
IF(
REGEXMATCH(
"" ""&amp;H1207&amp;"" "",
"" ""&amp;Sentiment_Words!B$2:B3730&amp;"" ""
),
1,
0
)
)
)
)"),0.0)</f>
        <v>0</v>
      </c>
      <c r="L1207" s="7" t="str">
        <f t="shared" si="3"/>
        <v>Customer Support</v>
      </c>
      <c r="M1207" s="7" t="str">
        <f t="shared" si="4"/>
        <v>Positive</v>
      </c>
      <c r="N1207" s="7" t="str">
        <f>IFERROR(__xludf.DUMMYFUNCTION("LOWER(
TRIM(
REGEXREPLACE(B1207,""[^a-zA-Z\s]"","""")
)
)
"),"catlover")</f>
        <v>catlover</v>
      </c>
      <c r="O1207" s="7">
        <f t="shared" si="5"/>
        <v>2</v>
      </c>
      <c r="P1207" s="8" t="str">
        <f t="shared" si="6"/>
        <v>Yes</v>
      </c>
    </row>
    <row r="1208">
      <c r="A1208" s="4" t="s">
        <v>16</v>
      </c>
      <c r="B1208" s="4" t="s">
        <v>3425</v>
      </c>
      <c r="C1208" s="5">
        <v>44876.0</v>
      </c>
      <c r="D1208" s="10">
        <v>44887.0</v>
      </c>
      <c r="E1208" s="4" t="s">
        <v>3426</v>
      </c>
      <c r="F1208" s="4" t="s">
        <v>3427</v>
      </c>
      <c r="G1208" s="6" t="str">
        <f>IFERROR(__xludf.DUMMYFUNCTION("REGEXREPLACE(LOWER(F1208),""[^a-z\s]"","""")"),"thank you for this opportunity to provide constructive feedback on my experience
when i received my pet barriers i had ordered two they came on separate days which is fine but they were both in horrible shape on arrival both boxes open on both or one end "&amp;"some taped together others not and i was missing parts luckily i could fashion one entire barrier from the two boxes i am missing a packet of screws and one of the support feet if you could send those to me i would appreciate it and then i will be able to"&amp;" put the second pet barrier in my wifes car the product appears to be of excellent construction and i believe i will have many years use from it the price was reasonable if not cheap for the quality of the product
the shipping although on time  seems to b"&amp;"e a problem")</f>
        <v>thank you for this opportunity to provide constructive feedback on my experience
when i received my pet barriers i had ordered two they came on separate days which is fine but they were both in horrible shape on arrival both boxes open on both or one end some taped together others not and i was missing parts luckily i could fashion one entire barrier from the two boxes i am missing a packet of screws and one of the support feet if you could send those to me i would appreciate it and then i will be able to put the second pet barrier in my wifes car the product appears to be of excellent construction and i believe i will have many years use from it the price was reasonable if not cheap for the quality of the product
the shipping although on time  seems to be a problem</v>
      </c>
      <c r="H1208" s="4" t="str">
        <f t="shared" si="1"/>
        <v>thank you this opportunity provide constructive feedback on my experience
when i received my pet barriers i had ordered two they came on separate days which fine but they were both in horrible shape on arrival both boxes open on both or one end some taped together others not i was missing parts luckily i could fashion one entire barrier from two boxes i am missing a packet of screws one of support feet if you could send those me i would appreciate it then i will be able put second pet barrier in my wifes car product appears be of excellent construction i believe i will have many years use from it price was reasonable if not cheap quality of product
the shipping although on time seems be a problem</v>
      </c>
      <c r="I1208" s="6">
        <f t="shared" si="2"/>
        <v>129</v>
      </c>
      <c r="J1208" s="6">
        <f>IFERROR(__xludf.DUMMYFUNCTION("IF(H1208="""","""",
SUM(
ARRAYFORMULA(
IF(
REGEXMATCH(
"" ""&amp;H1208&amp;"" "",
"" ""&amp;Sentiment_Words!A$2:A3730&amp;"" ""
),
1,
0
)
)
)
)"),2.0)</f>
        <v>2</v>
      </c>
      <c r="K1208" s="4">
        <f>IFERROR(__xludf.DUMMYFUNCTION("IF(H1208="""","""",
SUM(
ARRAYFORMULA(
IF(
REGEXMATCH(
"" ""&amp;H1208&amp;"" "",
"" ""&amp;Sentiment_Words!B$2:B3730&amp;"" ""
),
1,
0
)
)
)
)"),2.0)</f>
        <v>2</v>
      </c>
      <c r="L1208" s="7" t="str">
        <f t="shared" si="3"/>
        <v>Customer Support</v>
      </c>
      <c r="M1208" s="7" t="str">
        <f t="shared" si="4"/>
        <v>Neutral</v>
      </c>
      <c r="N1208" s="7" t="str">
        <f>IFERROR(__xludf.DUMMYFUNCTION("LOWER(
TRIM(
REGEXREPLACE(B1208,""[^a-zA-Z\s]"","""")
)
)
"),"beth miranda")</f>
        <v>beth miranda</v>
      </c>
      <c r="O1208" s="7">
        <f t="shared" si="5"/>
        <v>1</v>
      </c>
      <c r="P1208" s="8" t="str">
        <f t="shared" si="6"/>
        <v>No</v>
      </c>
    </row>
    <row r="1209">
      <c r="A1209" s="4" t="s">
        <v>16</v>
      </c>
      <c r="B1209" s="4" t="s">
        <v>3428</v>
      </c>
      <c r="C1209" s="5">
        <v>44882.0</v>
      </c>
      <c r="D1209" s="10">
        <v>44887.0</v>
      </c>
      <c r="E1209" s="4" t="s">
        <v>3429</v>
      </c>
      <c r="F1209" s="4" t="s">
        <v>3430</v>
      </c>
      <c r="G1209" s="6" t="str">
        <f>IFERROR(__xludf.DUMMYFUNCTION("REGEXREPLACE(LOWER(F1209),""[^a-z\s]"","""")"),"it would be nice to get some discounts for items that are less than ")</f>
        <v>it would be nice to get some discounts for items that are less than </v>
      </c>
      <c r="H1209" s="4" t="str">
        <f t="shared" si="1"/>
        <v>it would be nice get some discounts items that are less than</v>
      </c>
      <c r="I1209" s="6">
        <f t="shared" si="2"/>
        <v>12</v>
      </c>
      <c r="J1209" s="6">
        <f>IFERROR(__xludf.DUMMYFUNCTION("IF(H1209="""","""",
SUM(
ARRAYFORMULA(
IF(
REGEXMATCH(
"" ""&amp;H1209&amp;"" "",
"" ""&amp;Sentiment_Words!A$2:A3730&amp;"" ""
),
1,
0
)
)
)
)"),0.0)</f>
        <v>0</v>
      </c>
      <c r="K1209" s="4">
        <f>IFERROR(__xludf.DUMMYFUNCTION("IF(H1209="""","""",
SUM(
ARRAYFORMULA(
IF(
REGEXMATCH(
"" ""&amp;H1209&amp;"" "",
"" ""&amp;Sentiment_Words!B$2:B3730&amp;"" ""
),
1,
0
)
)
)
)"),0.0)</f>
        <v>0</v>
      </c>
      <c r="L1209" s="7" t="str">
        <f t="shared" si="3"/>
        <v>Other</v>
      </c>
      <c r="M1209" s="7" t="str">
        <f t="shared" si="4"/>
        <v>Neutral</v>
      </c>
      <c r="N1209" s="7" t="str">
        <f>IFERROR(__xludf.DUMMYFUNCTION("LOWER(
TRIM(
REGEXREPLACE(B1209,""[^a-zA-Z\s]"","""")
)
)
"),"sal italiano")</f>
        <v>sal italiano</v>
      </c>
      <c r="O1209" s="7">
        <f t="shared" si="5"/>
        <v>1</v>
      </c>
      <c r="P1209" s="8" t="str">
        <f t="shared" si="6"/>
        <v>No</v>
      </c>
    </row>
    <row r="1210">
      <c r="A1210" s="4" t="s">
        <v>16</v>
      </c>
      <c r="B1210" s="4" t="s">
        <v>3431</v>
      </c>
      <c r="C1210" s="9">
        <v>44874.0</v>
      </c>
      <c r="D1210" s="10">
        <v>44887.0</v>
      </c>
      <c r="E1210" s="4" t="s">
        <v>3432</v>
      </c>
      <c r="F1210" s="4" t="s">
        <v>3433</v>
      </c>
      <c r="G1210" s="6" t="str">
        <f>IFERROR(__xludf.DUMMYFUNCTION("REGEXREPLACE(LOWER(F1210),""[^a-z\s]"","""")"),"i ordered my pet supplies on monday and did not receive it")</f>
        <v>i ordered my pet supplies on monday and did not receive it</v>
      </c>
      <c r="H1210" s="4" t="str">
        <f t="shared" si="1"/>
        <v>i ordered my pet supplies on monday did not receive it</v>
      </c>
      <c r="I1210" s="6">
        <f t="shared" si="2"/>
        <v>11</v>
      </c>
      <c r="J1210" s="6">
        <f>IFERROR(__xludf.DUMMYFUNCTION("IF(H1210="""","""",
SUM(
ARRAYFORMULA(
IF(
REGEXMATCH(
"" ""&amp;H1210&amp;"" "",
"" ""&amp;Sentiment_Words!A$2:A3730&amp;"" ""
),
1,
0
)
)
)
)"),0.0)</f>
        <v>0</v>
      </c>
      <c r="K1210" s="4">
        <f>IFERROR(__xludf.DUMMYFUNCTION("IF(H1210="""","""",
SUM(
ARRAYFORMULA(
IF(
REGEXMATCH(
"" ""&amp;H1210&amp;"" "",
"" ""&amp;Sentiment_Words!B$2:B3730&amp;"" ""
),
1,
0
)
)
)
)"),0.0)</f>
        <v>0</v>
      </c>
      <c r="L1210" s="7" t="str">
        <f t="shared" si="3"/>
        <v>Other</v>
      </c>
      <c r="M1210" s="7" t="str">
        <f t="shared" si="4"/>
        <v>Neutral</v>
      </c>
      <c r="N1210" s="7" t="str">
        <f>IFERROR(__xludf.DUMMYFUNCTION("LOWER(
TRIM(
REGEXREPLACE(B1210,""[^a-zA-Z\s]"","""")
)
)
"),"raymond butts")</f>
        <v>raymond butts</v>
      </c>
      <c r="O1210" s="7">
        <f t="shared" si="5"/>
        <v>1</v>
      </c>
      <c r="P1210" s="8" t="str">
        <f t="shared" si="6"/>
        <v>No</v>
      </c>
    </row>
    <row r="1211">
      <c r="A1211" s="4" t="s">
        <v>16</v>
      </c>
      <c r="B1211" s="4" t="s">
        <v>3434</v>
      </c>
      <c r="C1211" s="5">
        <v>44885.0</v>
      </c>
      <c r="D1211" s="10">
        <v>44886.0</v>
      </c>
      <c r="E1211" s="4" t="s">
        <v>3435</v>
      </c>
      <c r="F1211" s="4" t="s">
        <v>3436</v>
      </c>
      <c r="G1211" s="6" t="str">
        <f>IFERROR(__xludf.DUMMYFUNCTION("REGEXREPLACE(LOWER(F1211),""[^a-z\s]"","""")"),"ive purchased from petflow for many years  usually dog treats and food always good products and good service highly recommend")</f>
        <v>ive purchased from petflow for many years  usually dog treats and food always good products and good service highly recommend</v>
      </c>
      <c r="H1211" s="4" t="str">
        <f t="shared" si="1"/>
        <v>ive purchased from petflow many years usually dog treats food always good products good service highly recommend</v>
      </c>
      <c r="I1211" s="6">
        <f t="shared" si="2"/>
        <v>17</v>
      </c>
      <c r="J1211" s="6">
        <f>IFERROR(__xludf.DUMMYFUNCTION("IF(H1211="""","""",
SUM(
ARRAYFORMULA(
IF(
REGEXMATCH(
"" ""&amp;H1211&amp;"" "",
"" ""&amp;Sentiment_Words!A$2:A3730&amp;"" ""
),
1,
0
)
)
)
)"),1.0)</f>
        <v>1</v>
      </c>
      <c r="K1211" s="4">
        <f>IFERROR(__xludf.DUMMYFUNCTION("IF(H1211="""","""",
SUM(
ARRAYFORMULA(
IF(
REGEXMATCH(
"" ""&amp;H1211&amp;"" "",
"" ""&amp;Sentiment_Words!B$2:B3730&amp;"" ""
),
1,
0
)
)
)
)"),0.0)</f>
        <v>0</v>
      </c>
      <c r="L1211" s="7" t="str">
        <f t="shared" si="3"/>
        <v>Customer Support</v>
      </c>
      <c r="M1211" s="7" t="str">
        <f t="shared" si="4"/>
        <v>Positive</v>
      </c>
      <c r="N1211" s="7" t="str">
        <f>IFERROR(__xludf.DUMMYFUNCTION("LOWER(
TRIM(
REGEXREPLACE(B1211,""[^a-zA-Z\s]"","""")
)
)
"),"george hackney")</f>
        <v>george hackney</v>
      </c>
      <c r="O1211" s="7">
        <f t="shared" si="5"/>
        <v>1</v>
      </c>
      <c r="P1211" s="8" t="str">
        <f t="shared" si="6"/>
        <v>No</v>
      </c>
    </row>
    <row r="1212">
      <c r="A1212" s="4" t="s">
        <v>16</v>
      </c>
      <c r="B1212" s="4" t="s">
        <v>3437</v>
      </c>
      <c r="C1212" s="5">
        <v>44886.0</v>
      </c>
      <c r="D1212" s="10">
        <v>44886.0</v>
      </c>
      <c r="E1212" s="4" t="s">
        <v>3438</v>
      </c>
      <c r="F1212" s="4" t="s">
        <v>3439</v>
      </c>
      <c r="G1212" s="6" t="str">
        <f>IFERROR(__xludf.DUMMYFUNCTION("REGEXREPLACE(LOWER(F1212),""[^a-z\s]"","""")"),"easy to use website and quick delivery ")</f>
        <v>easy to use website and quick delivery </v>
      </c>
      <c r="H1212" s="4" t="str">
        <f t="shared" si="1"/>
        <v>easy use website quick delivery</v>
      </c>
      <c r="I1212" s="6">
        <f t="shared" si="2"/>
        <v>5</v>
      </c>
      <c r="J1212" s="6">
        <f>IFERROR(__xludf.DUMMYFUNCTION("IF(H1212="""","""",
SUM(
ARRAYFORMULA(
IF(
REGEXMATCH(
"" ""&amp;H1212&amp;"" "",
"" ""&amp;Sentiment_Words!A$2:A3730&amp;"" ""
),
1,
0
)
)
)
)"),2.0)</f>
        <v>2</v>
      </c>
      <c r="K1212" s="4">
        <f>IFERROR(__xludf.DUMMYFUNCTION("IF(H1212="""","""",
SUM(
ARRAYFORMULA(
IF(
REGEXMATCH(
"" ""&amp;H1212&amp;"" "",
"" ""&amp;Sentiment_Words!B$2:B3730&amp;"" ""
),
1,
0
)
)
)
)"),0.0)</f>
        <v>0</v>
      </c>
      <c r="L1212" s="7" t="str">
        <f t="shared" si="3"/>
        <v>Account &amp; Website</v>
      </c>
      <c r="M1212" s="7" t="str">
        <f t="shared" si="4"/>
        <v>Positive</v>
      </c>
      <c r="N1212" s="7" t="str">
        <f>IFERROR(__xludf.DUMMYFUNCTION("LOWER(
TRIM(
REGEXREPLACE(B1212,""[^a-zA-Z\s]"","""")
)
)
"),"mark marzino")</f>
        <v>mark marzino</v>
      </c>
      <c r="O1212" s="7">
        <f t="shared" si="5"/>
        <v>1</v>
      </c>
      <c r="P1212" s="8" t="str">
        <f t="shared" si="6"/>
        <v>No</v>
      </c>
    </row>
    <row r="1213">
      <c r="A1213" s="4" t="s">
        <v>16</v>
      </c>
      <c r="B1213" s="4" t="s">
        <v>3440</v>
      </c>
      <c r="C1213" s="5">
        <v>44886.0</v>
      </c>
      <c r="D1213" s="10">
        <v>44886.0</v>
      </c>
      <c r="E1213" s="4" t="s">
        <v>3441</v>
      </c>
      <c r="F1213" s="4" t="s">
        <v>3442</v>
      </c>
      <c r="G1213" s="6" t="str">
        <f>IFERROR(__xludf.DUMMYFUNCTION("REGEXREPLACE(LOWER(F1213),""[^a-z\s]"","""")"),"great service good prices quality products")</f>
        <v>great service good prices quality products</v>
      </c>
      <c r="H1213" s="4" t="str">
        <f t="shared" si="1"/>
        <v>great service good prices quality products</v>
      </c>
      <c r="I1213" s="6">
        <f t="shared" si="2"/>
        <v>6</v>
      </c>
      <c r="J1213" s="6">
        <f>IFERROR(__xludf.DUMMYFUNCTION("IF(H1213="""","""",
SUM(
ARRAYFORMULA(
IF(
REGEXMATCH(
"" ""&amp;H1213&amp;"" "",
"" ""&amp;Sentiment_Words!A$2:A3730&amp;"" ""
),
1,
0
)
)
)
)"),2.0)</f>
        <v>2</v>
      </c>
      <c r="K1213" s="4">
        <f>IFERROR(__xludf.DUMMYFUNCTION("IF(H1213="""","""",
SUM(
ARRAYFORMULA(
IF(
REGEXMATCH(
"" ""&amp;H1213&amp;"" "",
"" ""&amp;Sentiment_Words!B$2:B3730&amp;"" ""
),
1,
0
)
)
)
)"),0.0)</f>
        <v>0</v>
      </c>
      <c r="L1213" s="7" t="str">
        <f t="shared" si="3"/>
        <v>Customer Support</v>
      </c>
      <c r="M1213" s="7" t="str">
        <f t="shared" si="4"/>
        <v>Positive</v>
      </c>
      <c r="N1213" s="7" t="str">
        <f>IFERROR(__xludf.DUMMYFUNCTION("LOWER(
TRIM(
REGEXREPLACE(B1213,""[^a-zA-Z\s]"","""")
)
)
"),"joye thomas")</f>
        <v>joye thomas</v>
      </c>
      <c r="O1213" s="7">
        <f t="shared" si="5"/>
        <v>1</v>
      </c>
      <c r="P1213" s="8" t="str">
        <f t="shared" si="6"/>
        <v>No</v>
      </c>
    </row>
    <row r="1214">
      <c r="A1214" s="4" t="s">
        <v>16</v>
      </c>
      <c r="B1214" s="4" t="s">
        <v>3443</v>
      </c>
      <c r="C1214" s="5">
        <v>44883.0</v>
      </c>
      <c r="D1214" s="10">
        <v>44886.0</v>
      </c>
      <c r="E1214" s="4" t="s">
        <v>3444</v>
      </c>
      <c r="F1214" s="4" t="s">
        <v>3445</v>
      </c>
      <c r="G1214" s="6" t="str">
        <f>IFERROR(__xludf.DUMMYFUNCTION("REGEXREPLACE(LOWER(F1214),""[^a-z\s]"","""")"),"great company always on time with my order")</f>
        <v>great company always on time with my order</v>
      </c>
      <c r="H1214" s="4" t="str">
        <f t="shared" si="1"/>
        <v>great company always on time with my order</v>
      </c>
      <c r="I1214" s="6">
        <f t="shared" si="2"/>
        <v>8</v>
      </c>
      <c r="J1214" s="6">
        <f>IFERROR(__xludf.DUMMYFUNCTION("IF(H1214="""","""",
SUM(
ARRAYFORMULA(
IF(
REGEXMATCH(
"" ""&amp;H1214&amp;"" "",
"" ""&amp;Sentiment_Words!A$2:A3730&amp;"" ""
),
1,
0
)
)
)
)"),2.0)</f>
        <v>2</v>
      </c>
      <c r="K1214" s="4">
        <f>IFERROR(__xludf.DUMMYFUNCTION("IF(H1214="""","""",
SUM(
ARRAYFORMULA(
IF(
REGEXMATCH(
"" ""&amp;H1214&amp;"" "",
"" ""&amp;Sentiment_Words!B$2:B3730&amp;"" ""
),
1,
0
)
)
)
)"),0.0)</f>
        <v>0</v>
      </c>
      <c r="L1214" s="7" t="str">
        <f t="shared" si="3"/>
        <v>Other</v>
      </c>
      <c r="M1214" s="7" t="str">
        <f t="shared" si="4"/>
        <v>Positive</v>
      </c>
      <c r="N1214" s="7" t="str">
        <f>IFERROR(__xludf.DUMMYFUNCTION("LOWER(
TRIM(
REGEXREPLACE(B1214,""[^a-zA-Z\s]"","""")
)
)
"),"kristie")</f>
        <v>kristie</v>
      </c>
      <c r="O1214" s="7">
        <f t="shared" si="5"/>
        <v>1</v>
      </c>
      <c r="P1214" s="8" t="str">
        <f t="shared" si="6"/>
        <v>No</v>
      </c>
    </row>
    <row r="1215">
      <c r="A1215" s="4" t="s">
        <v>16</v>
      </c>
      <c r="B1215" s="4" t="s">
        <v>3446</v>
      </c>
      <c r="C1215" s="5">
        <v>44879.0</v>
      </c>
      <c r="D1215" s="10">
        <v>44886.0</v>
      </c>
      <c r="E1215" s="4" t="s">
        <v>3447</v>
      </c>
      <c r="F1215" s="4" t="s">
        <v>3448</v>
      </c>
      <c r="G1215" s="6" t="str">
        <f>IFERROR(__xludf.DUMMYFUNCTION("REGEXREPLACE(LOWER(F1215),""[^a-z\s]"","""")"),"orders are correct and intact upon delivery which is always fast any issues or delays are quickly communicated the tone of communication is always congenial and helpful and for me i can buy my dogs healthier and preferred foods that the bigbox stores do n"&amp;"ot carry i also like that the sizes of dog toys are often given in actual inches so ican get the appropriate size for my pets")</f>
        <v>orders are correct and intact upon delivery which is always fast any issues or delays are quickly communicated the tone of communication is always congenial and helpful and for me i can buy my dogs healthier and preferred foods that the bigbox stores do not carry i also like that the sizes of dog toys are often given in actual inches so ican get the appropriate size for my pets</v>
      </c>
      <c r="H1215" s="4" t="str">
        <f t="shared" si="1"/>
        <v>orders are correct intact upon delivery which always fast any issues or delays are quickly communicated tone of communication always congenial helpful me i can buy my dogs healthier preferred foods that bigbox stores do not carry i also like that sizes of dog toys are often given in actual inches so ican get appropriate size my pets</v>
      </c>
      <c r="I1215" s="6">
        <f t="shared" si="2"/>
        <v>58</v>
      </c>
      <c r="J1215" s="6">
        <f>IFERROR(__xludf.DUMMYFUNCTION("IF(H1215="""","""",
SUM(
ARRAYFORMULA(
IF(
REGEXMATCH(
"" ""&amp;H1215&amp;"" "",
"" ""&amp;Sentiment_Words!A$2:A3730&amp;"" ""
),
1,
0
)
)
)
)"),2.0)</f>
        <v>2</v>
      </c>
      <c r="K1215" s="4">
        <f>IFERROR(__xludf.DUMMYFUNCTION("IF(H1215="""","""",
SUM(
ARRAYFORMULA(
IF(
REGEXMATCH(
"" ""&amp;H1215&amp;"" "",
"" ""&amp;Sentiment_Words!B$2:B3730&amp;"" ""
),
1,
0
)
)
)
)"),0.0)</f>
        <v>0</v>
      </c>
      <c r="L1215" s="7" t="str">
        <f t="shared" si="3"/>
        <v>Fulfillment &amp; Shipping</v>
      </c>
      <c r="M1215" s="7" t="str">
        <f t="shared" si="4"/>
        <v>Positive</v>
      </c>
      <c r="N1215" s="7" t="str">
        <f>IFERROR(__xludf.DUMMYFUNCTION("LOWER(
TRIM(
REGEXREPLACE(B1215,""[^a-zA-Z\s]"","""")
)
)
"),"erin leigh")</f>
        <v>erin leigh</v>
      </c>
      <c r="O1215" s="7">
        <f t="shared" si="5"/>
        <v>1</v>
      </c>
      <c r="P1215" s="8" t="str">
        <f t="shared" si="6"/>
        <v>No</v>
      </c>
    </row>
    <row r="1216">
      <c r="A1216" s="4" t="s">
        <v>16</v>
      </c>
      <c r="B1216" s="4" t="s">
        <v>3449</v>
      </c>
      <c r="C1216" s="9">
        <v>44874.0</v>
      </c>
      <c r="D1216" s="10">
        <v>44886.0</v>
      </c>
      <c r="E1216" s="4" t="s">
        <v>623</v>
      </c>
      <c r="F1216" s="4" t="s">
        <v>3450</v>
      </c>
      <c r="G1216" s="6" t="str">
        <f>IFERROR(__xludf.DUMMYFUNCTION("REGEXREPLACE(LOWER(F1216),""[^a-z\s]"","""")"),"i love how fast they ship but im annoyed my first order the products were expiring in  weeks so i had to use  bags of sweet potato fries before they expired that didnt happen and they seemed okay so i used them until they were gone
this latest order the f"&amp;"ries dont expire for  months but they are all dried and whitish brown and i threw one bag out im really annoyed and dont have time to sit on hold on the phone for a live person and to go back n forth on email")</f>
        <v>i love how fast they ship but im annoyed my first order the products were expiring in  weeks so i had to use  bags of sweet potato fries before they expired that didnt happen and they seemed okay so i used them until they were gone
this latest order the fries dont expire for  months but they are all dried and whitish brown and i threw one bag out im really annoyed and dont have time to sit on hold on the phone for a live person and to go back n forth on email</v>
      </c>
      <c r="H1216" s="4" t="str">
        <f t="shared" si="1"/>
        <v>i love how fast they ship but im annoyed my first order products were expiring in weeks so i had use bags of sweet potato fries before they expired that didnt happen they seemed okay so i used them until they were gone
this latest order fries dont expire months but they are all dried whitish brown i threw one bag out im really annoyed dont have time sit on hold on phone a live person go back n forth on email</v>
      </c>
      <c r="I1216" s="6">
        <f t="shared" si="2"/>
        <v>81</v>
      </c>
      <c r="J1216" s="6">
        <f>IFERROR(__xludf.DUMMYFUNCTION("IF(H1216="""","""",
SUM(
ARRAYFORMULA(
IF(
REGEXMATCH(
"" ""&amp;H1216&amp;"" "",
"" ""&amp;Sentiment_Words!A$2:A3730&amp;"" ""
),
1,
0
)
)
)
)"),2.0)</f>
        <v>2</v>
      </c>
      <c r="K1216" s="4">
        <f>IFERROR(__xludf.DUMMYFUNCTION("IF(H1216="""","""",
SUM(
ARRAYFORMULA(
IF(
REGEXMATCH(
"" ""&amp;H1216&amp;"" "",
"" ""&amp;Sentiment_Words!B$2:B3730&amp;"" ""
),
1,
0
)
)
)
)"),1.0)</f>
        <v>1</v>
      </c>
      <c r="L1216" s="7" t="str">
        <f t="shared" si="3"/>
        <v>Food Safety</v>
      </c>
      <c r="M1216" s="7" t="str">
        <f t="shared" si="4"/>
        <v>Positive</v>
      </c>
      <c r="N1216" s="7" t="str">
        <f>IFERROR(__xludf.DUMMYFUNCTION("LOWER(
TRIM(
REGEXREPLACE(B1216,""[^a-zA-Z\s]"","""")
)
)
"),"laura garvin")</f>
        <v>laura garvin</v>
      </c>
      <c r="O1216" s="7">
        <f t="shared" si="5"/>
        <v>1</v>
      </c>
      <c r="P1216" s="8" t="str">
        <f t="shared" si="6"/>
        <v>No</v>
      </c>
    </row>
    <row r="1217">
      <c r="A1217" s="4" t="s">
        <v>16</v>
      </c>
      <c r="B1217" s="4" t="s">
        <v>3451</v>
      </c>
      <c r="C1217" s="5">
        <v>44875.0</v>
      </c>
      <c r="D1217" s="10">
        <v>44886.0</v>
      </c>
      <c r="E1217" s="4" t="s">
        <v>3452</v>
      </c>
      <c r="F1217" s="4" t="s">
        <v>331</v>
      </c>
      <c r="G1217" s="6" t="str">
        <f>IFERROR(__xludf.DUMMYFUNCTION("REGEXREPLACE(LOWER(F1217),""[^a-z\s]"","""")"),"none")</f>
        <v>none</v>
      </c>
      <c r="H1217" s="4" t="str">
        <f t="shared" si="1"/>
        <v>none</v>
      </c>
      <c r="I1217" s="6">
        <f t="shared" si="2"/>
        <v>1</v>
      </c>
      <c r="J1217" s="6">
        <f>IFERROR(__xludf.DUMMYFUNCTION("IF(H1217="""","""",
SUM(
ARRAYFORMULA(
IF(
REGEXMATCH(
"" ""&amp;H1217&amp;"" "",
"" ""&amp;Sentiment_Words!A$2:A3730&amp;"" ""
),
1,
0
)
)
)
)"),0.0)</f>
        <v>0</v>
      </c>
      <c r="K1217" s="4">
        <f>IFERROR(__xludf.DUMMYFUNCTION("IF(H1217="""","""",
SUM(
ARRAYFORMULA(
IF(
REGEXMATCH(
"" ""&amp;H1217&amp;"" "",
"" ""&amp;Sentiment_Words!B$2:B3730&amp;"" ""
),
1,
0
)
)
)
)"),0.0)</f>
        <v>0</v>
      </c>
      <c r="L1217" s="7" t="str">
        <f t="shared" si="3"/>
        <v>Other</v>
      </c>
      <c r="M1217" s="7" t="str">
        <f t="shared" si="4"/>
        <v>Neutral</v>
      </c>
      <c r="N1217" s="7" t="str">
        <f>IFERROR(__xludf.DUMMYFUNCTION("LOWER(
TRIM(
REGEXREPLACE(B1217,""[^a-zA-Z\s]"","""")
)
)
"),"karen waxman")</f>
        <v>karen waxman</v>
      </c>
      <c r="O1217" s="7">
        <f t="shared" si="5"/>
        <v>1</v>
      </c>
      <c r="P1217" s="8" t="str">
        <f t="shared" si="6"/>
        <v>No</v>
      </c>
    </row>
    <row r="1218">
      <c r="A1218" s="4" t="s">
        <v>16</v>
      </c>
      <c r="B1218" s="4" t="s">
        <v>3453</v>
      </c>
      <c r="C1218" s="5">
        <v>44876.0</v>
      </c>
      <c r="D1218" s="10">
        <v>44885.0</v>
      </c>
      <c r="E1218" s="4" t="s">
        <v>3454</v>
      </c>
      <c r="F1218" s="4" t="s">
        <v>331</v>
      </c>
      <c r="G1218" s="6" t="str">
        <f>IFERROR(__xludf.DUMMYFUNCTION("REGEXREPLACE(LOWER(F1218),""[^a-z\s]"","""")"),"none")</f>
        <v>none</v>
      </c>
      <c r="H1218" s="4" t="str">
        <f t="shared" si="1"/>
        <v>none</v>
      </c>
      <c r="I1218" s="6">
        <f t="shared" si="2"/>
        <v>1</v>
      </c>
      <c r="J1218" s="6">
        <f>IFERROR(__xludf.DUMMYFUNCTION("IF(H1218="""","""",
SUM(
ARRAYFORMULA(
IF(
REGEXMATCH(
"" ""&amp;H1218&amp;"" "",
"" ""&amp;Sentiment_Words!A$2:A3730&amp;"" ""
),
1,
0
)
)
)
)"),0.0)</f>
        <v>0</v>
      </c>
      <c r="K1218" s="4">
        <f>IFERROR(__xludf.DUMMYFUNCTION("IF(H1218="""","""",
SUM(
ARRAYFORMULA(
IF(
REGEXMATCH(
"" ""&amp;H1218&amp;"" "",
"" ""&amp;Sentiment_Words!B$2:B3730&amp;"" ""
),
1,
0
)
)
)
)"),0.0)</f>
        <v>0</v>
      </c>
      <c r="L1218" s="7" t="str">
        <f t="shared" si="3"/>
        <v>Other</v>
      </c>
      <c r="M1218" s="7" t="str">
        <f t="shared" si="4"/>
        <v>Neutral</v>
      </c>
      <c r="N1218" s="7" t="str">
        <f>IFERROR(__xludf.DUMMYFUNCTION("LOWER(
TRIM(
REGEXREPLACE(B1218,""[^a-zA-Z\s]"","""")
)
)
"),"susan mcclain")</f>
        <v>susan mcclain</v>
      </c>
      <c r="O1218" s="7">
        <f t="shared" si="5"/>
        <v>1</v>
      </c>
      <c r="P1218" s="8" t="str">
        <f t="shared" si="6"/>
        <v>No</v>
      </c>
    </row>
    <row r="1219">
      <c r="A1219" s="4" t="s">
        <v>16</v>
      </c>
      <c r="B1219" s="4" t="s">
        <v>3455</v>
      </c>
      <c r="C1219" s="5">
        <v>44876.0</v>
      </c>
      <c r="D1219" s="10">
        <v>44885.0</v>
      </c>
      <c r="E1219" s="4" t="s">
        <v>3456</v>
      </c>
      <c r="F1219" s="4" t="s">
        <v>331</v>
      </c>
      <c r="G1219" s="6" t="str">
        <f>IFERROR(__xludf.DUMMYFUNCTION("REGEXREPLACE(LOWER(F1219),""[^a-z\s]"","""")"),"none")</f>
        <v>none</v>
      </c>
      <c r="H1219" s="4" t="str">
        <f t="shared" si="1"/>
        <v>none</v>
      </c>
      <c r="I1219" s="6">
        <f t="shared" si="2"/>
        <v>1</v>
      </c>
      <c r="J1219" s="6">
        <f>IFERROR(__xludf.DUMMYFUNCTION("IF(H1219="""","""",
SUM(
ARRAYFORMULA(
IF(
REGEXMATCH(
"" ""&amp;H1219&amp;"" "",
"" ""&amp;Sentiment_Words!A$2:A3730&amp;"" ""
),
1,
0
)
)
)
)"),0.0)</f>
        <v>0</v>
      </c>
      <c r="K1219" s="4">
        <f>IFERROR(__xludf.DUMMYFUNCTION("IF(H1219="""","""",
SUM(
ARRAYFORMULA(
IF(
REGEXMATCH(
"" ""&amp;H1219&amp;"" "",
"" ""&amp;Sentiment_Words!B$2:B3730&amp;"" ""
),
1,
0
)
)
)
)"),0.0)</f>
        <v>0</v>
      </c>
      <c r="L1219" s="7" t="str">
        <f t="shared" si="3"/>
        <v>Other</v>
      </c>
      <c r="M1219" s="7" t="str">
        <f t="shared" si="4"/>
        <v>Neutral</v>
      </c>
      <c r="N1219" s="7" t="str">
        <f>IFERROR(__xludf.DUMMYFUNCTION("LOWER(
TRIM(
REGEXREPLACE(B1219,""[^a-zA-Z\s]"","""")
)
)
"),"paola belli")</f>
        <v>paola belli</v>
      </c>
      <c r="O1219" s="7">
        <f t="shared" si="5"/>
        <v>1</v>
      </c>
      <c r="P1219" s="8" t="str">
        <f t="shared" si="6"/>
        <v>No</v>
      </c>
    </row>
    <row r="1220">
      <c r="A1220" s="4" t="s">
        <v>16</v>
      </c>
      <c r="B1220" s="4" t="s">
        <v>3457</v>
      </c>
      <c r="C1220" s="9">
        <v>44871.0</v>
      </c>
      <c r="D1220" s="10">
        <v>44885.0</v>
      </c>
      <c r="E1220" s="4" t="s">
        <v>3458</v>
      </c>
      <c r="F1220" s="4" t="s">
        <v>331</v>
      </c>
      <c r="G1220" s="6" t="str">
        <f>IFERROR(__xludf.DUMMYFUNCTION("REGEXREPLACE(LOWER(F1220),""[^a-z\s]"","""")"),"none")</f>
        <v>none</v>
      </c>
      <c r="H1220" s="4" t="str">
        <f t="shared" si="1"/>
        <v>none</v>
      </c>
      <c r="I1220" s="6">
        <f t="shared" si="2"/>
        <v>1</v>
      </c>
      <c r="J1220" s="6">
        <f>IFERROR(__xludf.DUMMYFUNCTION("IF(H1220="""","""",
SUM(
ARRAYFORMULA(
IF(
REGEXMATCH(
"" ""&amp;H1220&amp;"" "",
"" ""&amp;Sentiment_Words!A$2:A3730&amp;"" ""
),
1,
0
)
)
)
)"),0.0)</f>
        <v>0</v>
      </c>
      <c r="K1220" s="4">
        <f>IFERROR(__xludf.DUMMYFUNCTION("IF(H1220="""","""",
SUM(
ARRAYFORMULA(
IF(
REGEXMATCH(
"" ""&amp;H1220&amp;"" "",
"" ""&amp;Sentiment_Words!B$2:B3730&amp;"" ""
),
1,
0
)
)
)
)"),0.0)</f>
        <v>0</v>
      </c>
      <c r="L1220" s="7" t="str">
        <f t="shared" si="3"/>
        <v>Other</v>
      </c>
      <c r="M1220" s="7" t="str">
        <f t="shared" si="4"/>
        <v>Neutral</v>
      </c>
      <c r="N1220" s="7" t="str">
        <f>IFERROR(__xludf.DUMMYFUNCTION("LOWER(
TRIM(
REGEXREPLACE(B1220,""[^a-zA-Z\s]"","""")
)
)
"),"ohiodoglover")</f>
        <v>ohiodoglover</v>
      </c>
      <c r="O1220" s="7">
        <f t="shared" si="5"/>
        <v>1</v>
      </c>
      <c r="P1220" s="8" t="str">
        <f t="shared" si="6"/>
        <v>No</v>
      </c>
    </row>
    <row r="1221">
      <c r="A1221" s="4" t="s">
        <v>16</v>
      </c>
      <c r="B1221" s="4" t="s">
        <v>1910</v>
      </c>
      <c r="C1221" s="5">
        <v>44881.0</v>
      </c>
      <c r="D1221" s="10">
        <v>44885.0</v>
      </c>
      <c r="E1221" s="4" t="s">
        <v>3459</v>
      </c>
      <c r="F1221" s="4" t="s">
        <v>331</v>
      </c>
      <c r="G1221" s="6" t="str">
        <f>IFERROR(__xludf.DUMMYFUNCTION("REGEXREPLACE(LOWER(F1221),""[^a-z\s]"","""")"),"none")</f>
        <v>none</v>
      </c>
      <c r="H1221" s="4" t="str">
        <f t="shared" si="1"/>
        <v>none</v>
      </c>
      <c r="I1221" s="6">
        <f t="shared" si="2"/>
        <v>1</v>
      </c>
      <c r="J1221" s="6">
        <f>IFERROR(__xludf.DUMMYFUNCTION("IF(H1221="""","""",
SUM(
ARRAYFORMULA(
IF(
REGEXMATCH(
"" ""&amp;H1221&amp;"" "",
"" ""&amp;Sentiment_Words!A$2:A3730&amp;"" ""
),
1,
0
)
)
)
)"),0.0)</f>
        <v>0</v>
      </c>
      <c r="K1221" s="4">
        <f>IFERROR(__xludf.DUMMYFUNCTION("IF(H1221="""","""",
SUM(
ARRAYFORMULA(
IF(
REGEXMATCH(
"" ""&amp;H1221&amp;"" "",
"" ""&amp;Sentiment_Words!B$2:B3730&amp;"" ""
),
1,
0
)
)
)
)"),0.0)</f>
        <v>0</v>
      </c>
      <c r="L1221" s="7" t="str">
        <f t="shared" si="3"/>
        <v>Other</v>
      </c>
      <c r="M1221" s="7" t="str">
        <f t="shared" si="4"/>
        <v>Neutral</v>
      </c>
      <c r="N1221" s="7" t="str">
        <f>IFERROR(__xludf.DUMMYFUNCTION("LOWER(
TRIM(
REGEXREPLACE(B1221,""[^a-zA-Z\s]"","""")
)
)
"),"diane")</f>
        <v>diane</v>
      </c>
      <c r="O1221" s="7">
        <f t="shared" si="5"/>
        <v>7</v>
      </c>
      <c r="P1221" s="8" t="str">
        <f t="shared" si="6"/>
        <v>Yes</v>
      </c>
    </row>
    <row r="1222">
      <c r="A1222" s="4" t="s">
        <v>16</v>
      </c>
      <c r="B1222" s="4" t="s">
        <v>3460</v>
      </c>
      <c r="C1222" s="5">
        <v>44884.0</v>
      </c>
      <c r="D1222" s="10">
        <v>44885.0</v>
      </c>
      <c r="E1222" s="4" t="s">
        <v>3461</v>
      </c>
      <c r="F1222" s="4" t="s">
        <v>3462</v>
      </c>
      <c r="G1222" s="6" t="str">
        <f>IFERROR(__xludf.DUMMYFUNCTION("REGEXREPLACE(LOWER(F1222),""[^a-z\s]"","""")"),"good products service and price only problem is you are out of stock too often")</f>
        <v>good products service and price only problem is you are out of stock too often</v>
      </c>
      <c r="H1222" s="4" t="str">
        <f t="shared" si="1"/>
        <v>good products service price only problem you are out of stock too often</v>
      </c>
      <c r="I1222" s="6">
        <f t="shared" si="2"/>
        <v>13</v>
      </c>
      <c r="J1222" s="6">
        <f>IFERROR(__xludf.DUMMYFUNCTION("IF(H1222="""","""",
SUM(
ARRAYFORMULA(
IF(
REGEXMATCH(
"" ""&amp;H1222&amp;"" "",
"" ""&amp;Sentiment_Words!A$2:A3730&amp;"" ""
),
1,
0
)
)
)
)"),1.0)</f>
        <v>1</v>
      </c>
      <c r="K1222" s="4">
        <f>IFERROR(__xludf.DUMMYFUNCTION("IF(H1222="""","""",
SUM(
ARRAYFORMULA(
IF(
REGEXMATCH(
"" ""&amp;H1222&amp;"" "",
"" ""&amp;Sentiment_Words!B$2:B3730&amp;"" ""
),
1,
0
)
)
)
)"),2.0)</f>
        <v>2</v>
      </c>
      <c r="L1222" s="7" t="str">
        <f t="shared" si="3"/>
        <v>Customer Support</v>
      </c>
      <c r="M1222" s="7" t="str">
        <f t="shared" si="4"/>
        <v>Negative</v>
      </c>
      <c r="N1222" s="7" t="str">
        <f>IFERROR(__xludf.DUMMYFUNCTION("LOWER(
TRIM(
REGEXREPLACE(B1222,""[^a-zA-Z\s]"","""")
)
)
"),"angela plumley")</f>
        <v>angela plumley</v>
      </c>
      <c r="O1222" s="7">
        <f t="shared" si="5"/>
        <v>1</v>
      </c>
      <c r="P1222" s="8" t="str">
        <f t="shared" si="6"/>
        <v>No</v>
      </c>
    </row>
    <row r="1223">
      <c r="A1223" s="4" t="s">
        <v>16</v>
      </c>
      <c r="B1223" s="4" t="s">
        <v>3463</v>
      </c>
      <c r="C1223" s="5">
        <v>44884.0</v>
      </c>
      <c r="D1223" s="10">
        <v>44885.0</v>
      </c>
      <c r="E1223" s="4" t="s">
        <v>3464</v>
      </c>
      <c r="F1223" s="4" t="s">
        <v>3465</v>
      </c>
      <c r="G1223" s="6" t="str">
        <f>IFERROR(__xludf.DUMMYFUNCTION("REGEXREPLACE(LOWER(F1223),""[^a-z\s]"","""")"),"petflow has provided exceptional service great prices and very good selection of products and foods for my pets for about  years i highly recommend this company")</f>
        <v>petflow has provided exceptional service great prices and very good selection of products and foods for my pets for about  years i highly recommend this company</v>
      </c>
      <c r="H1223" s="4" t="str">
        <f t="shared" si="1"/>
        <v>petflow has provided exceptional service great prices very good selection of products foods my pets about years i highly recommend this company</v>
      </c>
      <c r="I1223" s="6">
        <f t="shared" si="2"/>
        <v>22</v>
      </c>
      <c r="J1223" s="6">
        <f>IFERROR(__xludf.DUMMYFUNCTION("IF(H1223="""","""",
SUM(
ARRAYFORMULA(
IF(
REGEXMATCH(
"" ""&amp;H1223&amp;"" "",
"" ""&amp;Sentiment_Words!A$2:A3730&amp;"" ""
),
1,
0
)
)
)
)"),2.0)</f>
        <v>2</v>
      </c>
      <c r="K1223" s="4">
        <f>IFERROR(__xludf.DUMMYFUNCTION("IF(H1223="""","""",
SUM(
ARRAYFORMULA(
IF(
REGEXMATCH(
"" ""&amp;H1223&amp;"" "",
"" ""&amp;Sentiment_Words!B$2:B3730&amp;"" ""
),
1,
0
)
)
)
)"),0.0)</f>
        <v>0</v>
      </c>
      <c r="L1223" s="7" t="str">
        <f t="shared" si="3"/>
        <v>Customer Support</v>
      </c>
      <c r="M1223" s="7" t="str">
        <f t="shared" si="4"/>
        <v>Positive</v>
      </c>
      <c r="N1223" s="7" t="str">
        <f>IFERROR(__xludf.DUMMYFUNCTION("LOWER(
TRIM(
REGEXREPLACE(B1223,""[^a-zA-Z\s]"","""")
)
)
"),"george t")</f>
        <v>george t</v>
      </c>
      <c r="O1223" s="7">
        <f t="shared" si="5"/>
        <v>1</v>
      </c>
      <c r="P1223" s="8" t="str">
        <f t="shared" si="6"/>
        <v>No</v>
      </c>
    </row>
    <row r="1224">
      <c r="A1224" s="4" t="s">
        <v>16</v>
      </c>
      <c r="B1224" s="4" t="s">
        <v>3466</v>
      </c>
      <c r="C1224" s="5">
        <v>44884.0</v>
      </c>
      <c r="D1224" s="10">
        <v>44885.0</v>
      </c>
      <c r="E1224" s="4" t="s">
        <v>3467</v>
      </c>
      <c r="F1224" s="4" t="s">
        <v>3468</v>
      </c>
      <c r="G1224" s="6" t="str">
        <f>IFERROR(__xludf.DUMMYFUNCTION("REGEXREPLACE(LOWER(F1224),""[^a-z\s]"","""")"),"ordering is easy and shipping is always fast my favorite site for ordering cat food and supplies")</f>
        <v>ordering is easy and shipping is always fast my favorite site for ordering cat food and supplies</v>
      </c>
      <c r="H1224" s="4" t="str">
        <f t="shared" si="1"/>
        <v>ordering easy shipping always fast my favorite site ordering cat food supplies</v>
      </c>
      <c r="I1224" s="6">
        <f t="shared" si="2"/>
        <v>12</v>
      </c>
      <c r="J1224" s="6">
        <f>IFERROR(__xludf.DUMMYFUNCTION("IF(H1224="""","""",
SUM(
ARRAYFORMULA(
IF(
REGEXMATCH(
"" ""&amp;H1224&amp;"" "",
"" ""&amp;Sentiment_Words!A$2:A3730&amp;"" ""
),
1,
0
)
)
)
)"),2.0)</f>
        <v>2</v>
      </c>
      <c r="K1224" s="4">
        <f>IFERROR(__xludf.DUMMYFUNCTION("IF(H1224="""","""",
SUM(
ARRAYFORMULA(
IF(
REGEXMATCH(
"" ""&amp;H1224&amp;"" "",
"" ""&amp;Sentiment_Words!B$2:B3730&amp;"" ""
),
1,
0
)
)
)
)"),0.0)</f>
        <v>0</v>
      </c>
      <c r="L1224" s="7" t="str">
        <f t="shared" si="3"/>
        <v>Other</v>
      </c>
      <c r="M1224" s="7" t="str">
        <f t="shared" si="4"/>
        <v>Positive</v>
      </c>
      <c r="N1224" s="7" t="str">
        <f>IFERROR(__xludf.DUMMYFUNCTION("LOWER(
TRIM(
REGEXREPLACE(B1224,""[^a-zA-Z\s]"","""")
)
)
"),"cecily")</f>
        <v>cecily</v>
      </c>
      <c r="O1224" s="7">
        <f t="shared" si="5"/>
        <v>1</v>
      </c>
      <c r="P1224" s="8" t="str">
        <f t="shared" si="6"/>
        <v>No</v>
      </c>
    </row>
    <row r="1225">
      <c r="A1225" s="4" t="s">
        <v>16</v>
      </c>
      <c r="B1225" s="4" t="s">
        <v>3469</v>
      </c>
      <c r="C1225" s="5">
        <v>44880.0</v>
      </c>
      <c r="D1225" s="10">
        <v>44884.0</v>
      </c>
      <c r="E1225" s="4" t="s">
        <v>3470</v>
      </c>
      <c r="F1225" s="4" t="s">
        <v>3471</v>
      </c>
      <c r="G1225" s="6" t="str">
        <f>IFERROR(__xludf.DUMMYFUNCTION("REGEXREPLACE(LOWER(F1225),""[^a-z\s]"","""")"),"shipping has been so fast each time ive ordered excellent customer service and great selection of pet food and items theyve won my business")</f>
        <v>shipping has been so fast each time ive ordered excellent customer service and great selection of pet food and items theyve won my business</v>
      </c>
      <c r="H1225" s="4" t="str">
        <f t="shared" si="1"/>
        <v>shipping has been so fast each time ive ordered excellent customer service great selection of pet food items theyve won my business</v>
      </c>
      <c r="I1225" s="6">
        <f t="shared" si="2"/>
        <v>22</v>
      </c>
      <c r="J1225" s="6">
        <f>IFERROR(__xludf.DUMMYFUNCTION("IF(H1225="""","""",
SUM(
ARRAYFORMULA(
IF(
REGEXMATCH(
"" ""&amp;H1225&amp;"" "",
"" ""&amp;Sentiment_Words!A$2:A3730&amp;"" ""
),
1,
0
)
)
)
)"),2.0)</f>
        <v>2</v>
      </c>
      <c r="K1225" s="4">
        <f>IFERROR(__xludf.DUMMYFUNCTION("IF(H1225="""","""",
SUM(
ARRAYFORMULA(
IF(
REGEXMATCH(
"" ""&amp;H1225&amp;"" "",
"" ""&amp;Sentiment_Words!B$2:B3730&amp;"" ""
),
1,
0
)
)
)
)"),1.0)</f>
        <v>1</v>
      </c>
      <c r="L1225" s="7" t="str">
        <f t="shared" si="3"/>
        <v>Customer Support</v>
      </c>
      <c r="M1225" s="7" t="str">
        <f t="shared" si="4"/>
        <v>Positive</v>
      </c>
      <c r="N1225" s="7" t="str">
        <f>IFERROR(__xludf.DUMMYFUNCTION("LOWER(
TRIM(
REGEXREPLACE(B1225,""[^a-zA-Z\s]"","""")
)
)
"),"penny goodin")</f>
        <v>penny goodin</v>
      </c>
      <c r="O1225" s="7">
        <f t="shared" si="5"/>
        <v>1</v>
      </c>
      <c r="P1225" s="8" t="str">
        <f t="shared" si="6"/>
        <v>No</v>
      </c>
    </row>
    <row r="1226">
      <c r="A1226" s="4" t="s">
        <v>16</v>
      </c>
      <c r="B1226" s="4" t="s">
        <v>3472</v>
      </c>
      <c r="C1226" s="5">
        <v>44881.0</v>
      </c>
      <c r="D1226" s="10">
        <v>44884.0</v>
      </c>
      <c r="E1226" s="4" t="s">
        <v>3473</v>
      </c>
      <c r="F1226" s="4" t="s">
        <v>3474</v>
      </c>
      <c r="G1226" s="6" t="str">
        <f>IFERROR(__xludf.DUMMYFUNCTION("REGEXREPLACE(LOWER(F1226),""[^a-z\s]"","""")"),"easy to order  delivery was good as well")</f>
        <v>easy to order  delivery was good as well</v>
      </c>
      <c r="H1226" s="4" t="str">
        <f t="shared" si="1"/>
        <v>easy order delivery was good as well</v>
      </c>
      <c r="I1226" s="6">
        <f t="shared" si="2"/>
        <v>7</v>
      </c>
      <c r="J1226" s="6">
        <f>IFERROR(__xludf.DUMMYFUNCTION("IF(H1226="""","""",
SUM(
ARRAYFORMULA(
IF(
REGEXMATCH(
"" ""&amp;H1226&amp;"" "",
"" ""&amp;Sentiment_Words!A$2:A3730&amp;"" ""
),
1,
0
)
)
)
)"),2.0)</f>
        <v>2</v>
      </c>
      <c r="K1226" s="4">
        <f>IFERROR(__xludf.DUMMYFUNCTION("IF(H1226="""","""",
SUM(
ARRAYFORMULA(
IF(
REGEXMATCH(
"" ""&amp;H1226&amp;"" "",
"" ""&amp;Sentiment_Words!B$2:B3730&amp;"" ""
),
1,
0
)
)
)
)"),0.0)</f>
        <v>0</v>
      </c>
      <c r="L1226" s="7" t="str">
        <f t="shared" si="3"/>
        <v>Other</v>
      </c>
      <c r="M1226" s="7" t="str">
        <f t="shared" si="4"/>
        <v>Positive</v>
      </c>
      <c r="N1226" s="7" t="str">
        <f>IFERROR(__xludf.DUMMYFUNCTION("LOWER(
TRIM(
REGEXREPLACE(B1226,""[^a-zA-Z\s]"","""")
)
)
"),"s stavro")</f>
        <v>s stavro</v>
      </c>
      <c r="O1226" s="7">
        <f t="shared" si="5"/>
        <v>1</v>
      </c>
      <c r="P1226" s="8" t="str">
        <f t="shared" si="6"/>
        <v>No</v>
      </c>
    </row>
    <row r="1227">
      <c r="A1227" s="4" t="s">
        <v>16</v>
      </c>
      <c r="B1227" s="4" t="s">
        <v>3475</v>
      </c>
      <c r="C1227" s="9">
        <v>44871.0</v>
      </c>
      <c r="D1227" s="10">
        <v>44884.0</v>
      </c>
      <c r="E1227" s="4" t="s">
        <v>3476</v>
      </c>
      <c r="F1227" s="4" t="s">
        <v>3477</v>
      </c>
      <c r="G1227" s="6" t="str">
        <f>IFERROR(__xludf.DUMMYFUNCTION("REGEXREPLACE(LOWER(F1227),""[^a-z\s]"","""")"),"not as familiar with navigating your website thus found it confusing and confusing perhaps as i use it more ill become better with it products are excellent prices are excellent too")</f>
        <v>not as familiar with navigating your website thus found it confusing and confusing perhaps as i use it more ill become better with it products are excellent prices are excellent too</v>
      </c>
      <c r="H1227" s="4" t="str">
        <f t="shared" si="1"/>
        <v>not as familiar with navigating your website thus found it confusing confusing perhaps as i use it more ill become better with it products are excellent prices are excellent too</v>
      </c>
      <c r="I1227" s="6">
        <f t="shared" si="2"/>
        <v>30</v>
      </c>
      <c r="J1227" s="6">
        <f>IFERROR(__xludf.DUMMYFUNCTION("IF(H1227="""","""",
SUM(
ARRAYFORMULA(
IF(
REGEXMATCH(
"" ""&amp;H1227&amp;"" "",
"" ""&amp;Sentiment_Words!A$2:A3730&amp;"" ""
),
1,
0
)
)
)
)"),1.0)</f>
        <v>1</v>
      </c>
      <c r="K1227" s="4">
        <f>IFERROR(__xludf.DUMMYFUNCTION("IF(H1227="""","""",
SUM(
ARRAYFORMULA(
IF(
REGEXMATCH(
"" ""&amp;H1227&amp;"" "",
"" ""&amp;Sentiment_Words!B$2:B3730&amp;"" ""
),
1,
0
)
)
)
)"),0.0)</f>
        <v>0</v>
      </c>
      <c r="L1227" s="7" t="str">
        <f t="shared" si="3"/>
        <v>Account &amp; Website</v>
      </c>
      <c r="M1227" s="7" t="str">
        <f t="shared" si="4"/>
        <v>Positive</v>
      </c>
      <c r="N1227" s="7" t="str">
        <f>IFERROR(__xludf.DUMMYFUNCTION("LOWER(
TRIM(
REGEXREPLACE(B1227,""[^a-zA-Z\s]"","""")
)
)
"),"sharon")</f>
        <v>sharon</v>
      </c>
      <c r="O1227" s="7">
        <f t="shared" si="5"/>
        <v>5</v>
      </c>
      <c r="P1227" s="8" t="str">
        <f t="shared" si="6"/>
        <v>Yes</v>
      </c>
    </row>
    <row r="1228">
      <c r="A1228" s="4" t="s">
        <v>16</v>
      </c>
      <c r="B1228" s="4" t="s">
        <v>3478</v>
      </c>
      <c r="C1228" s="5">
        <v>44883.0</v>
      </c>
      <c r="D1228" s="10">
        <v>44884.0</v>
      </c>
      <c r="E1228" s="4" t="s">
        <v>3479</v>
      </c>
      <c r="F1228" s="4" t="s">
        <v>3480</v>
      </c>
      <c r="G1228" s="6" t="str">
        <f>IFERROR(__xludf.DUMMYFUNCTION("REGEXREPLACE(LOWER(F1228),""[^a-z\s]"","""")"),"easy website delivery updates and promptness of delivery")</f>
        <v>easy website delivery updates and promptness of delivery</v>
      </c>
      <c r="H1228" s="4" t="str">
        <f t="shared" si="1"/>
        <v>easy website delivery updates promptness of delivery</v>
      </c>
      <c r="I1228" s="6">
        <f t="shared" si="2"/>
        <v>7</v>
      </c>
      <c r="J1228" s="6">
        <f>IFERROR(__xludf.DUMMYFUNCTION("IF(H1228="""","""",
SUM(
ARRAYFORMULA(
IF(
REGEXMATCH(
"" ""&amp;H1228&amp;"" "",
"" ""&amp;Sentiment_Words!A$2:A3730&amp;"" ""
),
1,
0
)
)
)
)"),1.0)</f>
        <v>1</v>
      </c>
      <c r="K1228" s="4">
        <f>IFERROR(__xludf.DUMMYFUNCTION("IF(H1228="""","""",
SUM(
ARRAYFORMULA(
IF(
REGEXMATCH(
"" ""&amp;H1228&amp;"" "",
"" ""&amp;Sentiment_Words!B$2:B3730&amp;"" ""
),
1,
0
)
)
)
)"),0.0)</f>
        <v>0</v>
      </c>
      <c r="L1228" s="7" t="str">
        <f t="shared" si="3"/>
        <v>Account &amp; Website</v>
      </c>
      <c r="M1228" s="7" t="str">
        <f t="shared" si="4"/>
        <v>Positive</v>
      </c>
      <c r="N1228" s="7" t="str">
        <f>IFERROR(__xludf.DUMMYFUNCTION("LOWER(
TRIM(
REGEXREPLACE(B1228,""[^a-zA-Z\s]"","""")
)
)
"),"jeff hale")</f>
        <v>jeff hale</v>
      </c>
      <c r="O1228" s="7">
        <f t="shared" si="5"/>
        <v>1</v>
      </c>
      <c r="P1228" s="8" t="str">
        <f t="shared" si="6"/>
        <v>No</v>
      </c>
    </row>
    <row r="1229">
      <c r="A1229" s="4" t="s">
        <v>16</v>
      </c>
      <c r="B1229" s="4" t="s">
        <v>3481</v>
      </c>
      <c r="C1229" s="5">
        <v>44876.0</v>
      </c>
      <c r="D1229" s="10">
        <v>44884.0</v>
      </c>
      <c r="E1229" s="4" t="s">
        <v>3482</v>
      </c>
      <c r="F1229" s="4" t="s">
        <v>3483</v>
      </c>
      <c r="G1229" s="6" t="str">
        <f>IFERROR(__xludf.DUMMYFUNCTION("REGEXREPLACE(LOWER(F1229),""[^a-z\s]"","""")"),"i never received my package have been waiting about  weeks since order i would recommend petco or something like that")</f>
        <v>i never received my package have been waiting about  weeks since order i would recommend petco or something like that</v>
      </c>
      <c r="H1229" s="4" t="str">
        <f t="shared" si="1"/>
        <v>i never received my package have been waiting about weeks since order i would recommend petco or something like that</v>
      </c>
      <c r="I1229" s="6">
        <f t="shared" si="2"/>
        <v>20</v>
      </c>
      <c r="J1229" s="6">
        <f>IFERROR(__xludf.DUMMYFUNCTION("IF(H1229="""","""",
SUM(
ARRAYFORMULA(
IF(
REGEXMATCH(
"" ""&amp;H1229&amp;"" "",
"" ""&amp;Sentiment_Words!A$2:A3730&amp;"" ""
),
1,
0
)
)
)
)"),0.0)</f>
        <v>0</v>
      </c>
      <c r="K1229" s="4">
        <f>IFERROR(__xludf.DUMMYFUNCTION("IF(H1229="""","""",
SUM(
ARRAYFORMULA(
IF(
REGEXMATCH(
"" ""&amp;H1229&amp;"" "",
"" ""&amp;Sentiment_Words!B$2:B3730&amp;"" ""
),
1,
0
)
)
)
)"),0.0)</f>
        <v>0</v>
      </c>
      <c r="L1229" s="7" t="str">
        <f t="shared" si="3"/>
        <v>Other</v>
      </c>
      <c r="M1229" s="7" t="str">
        <f t="shared" si="4"/>
        <v>Neutral</v>
      </c>
      <c r="N1229" s="7" t="str">
        <f>IFERROR(__xludf.DUMMYFUNCTION("LOWER(
TRIM(
REGEXREPLACE(B1229,""[^a-zA-Z\s]"","""")
)
)
"),"marilyn roth")</f>
        <v>marilyn roth</v>
      </c>
      <c r="O1229" s="7">
        <f t="shared" si="5"/>
        <v>1</v>
      </c>
      <c r="P1229" s="8" t="str">
        <f t="shared" si="6"/>
        <v>No</v>
      </c>
    </row>
    <row r="1230">
      <c r="A1230" s="4" t="s">
        <v>16</v>
      </c>
      <c r="B1230" s="4" t="s">
        <v>3484</v>
      </c>
      <c r="C1230" s="5">
        <v>44883.0</v>
      </c>
      <c r="D1230" s="10">
        <v>44884.0</v>
      </c>
      <c r="E1230" s="4" t="s">
        <v>3485</v>
      </c>
      <c r="F1230" s="4" t="s">
        <v>3486</v>
      </c>
      <c r="G1230" s="6" t="str">
        <f>IFERROR(__xludf.DUMMYFUNCTION("REGEXREPLACE(LOWER(F1230),""[^a-z\s]"","""")"),"a great place to get pet food that is quality for my gigi girl")</f>
        <v>a great place to get pet food that is quality for my gigi girl</v>
      </c>
      <c r="H1230" s="4" t="str">
        <f t="shared" si="1"/>
        <v>a great place get pet food that quality my gigi girl</v>
      </c>
      <c r="I1230" s="6">
        <f t="shared" si="2"/>
        <v>11</v>
      </c>
      <c r="J1230" s="6">
        <f>IFERROR(__xludf.DUMMYFUNCTION("IF(H1230="""","""",
SUM(
ARRAYFORMULA(
IF(
REGEXMATCH(
"" ""&amp;H1230&amp;"" "",
"" ""&amp;Sentiment_Words!A$2:A3730&amp;"" ""
),
1,
0
)
)
)
)"),1.0)</f>
        <v>1</v>
      </c>
      <c r="K1230" s="4">
        <f>IFERROR(__xludf.DUMMYFUNCTION("IF(H1230="""","""",
SUM(
ARRAYFORMULA(
IF(
REGEXMATCH(
"" ""&amp;H1230&amp;"" "",
"" ""&amp;Sentiment_Words!B$2:B3730&amp;"" ""
),
1,
0
)
)
)
)"),0.0)</f>
        <v>0</v>
      </c>
      <c r="L1230" s="7" t="str">
        <f t="shared" si="3"/>
        <v>Other</v>
      </c>
      <c r="M1230" s="7" t="str">
        <f t="shared" si="4"/>
        <v>Positive</v>
      </c>
      <c r="N1230" s="7" t="str">
        <f>IFERROR(__xludf.DUMMYFUNCTION("LOWER(
TRIM(
REGEXREPLACE(B1230,""[^a-zA-Z\s]"","""")
)
)
"),"thomas carran")</f>
        <v>thomas carran</v>
      </c>
      <c r="O1230" s="7">
        <f t="shared" si="5"/>
        <v>1</v>
      </c>
      <c r="P1230" s="8" t="str">
        <f t="shared" si="6"/>
        <v>No</v>
      </c>
    </row>
    <row r="1231">
      <c r="A1231" s="4" t="s">
        <v>16</v>
      </c>
      <c r="B1231" s="4" t="s">
        <v>3487</v>
      </c>
      <c r="C1231" s="5">
        <v>44883.0</v>
      </c>
      <c r="D1231" s="10">
        <v>44884.0</v>
      </c>
      <c r="E1231" s="4" t="s">
        <v>3488</v>
      </c>
      <c r="F1231" s="4" t="s">
        <v>3489</v>
      </c>
      <c r="G1231" s="6" t="str">
        <f>IFERROR(__xludf.DUMMYFUNCTION("REGEXREPLACE(LOWER(F1231),""[^a-z\s]"","""")"),"great experience from ordering to delivery")</f>
        <v>great experience from ordering to delivery</v>
      </c>
      <c r="H1231" s="4" t="str">
        <f t="shared" si="1"/>
        <v>great experience from ordering delivery</v>
      </c>
      <c r="I1231" s="6">
        <f t="shared" si="2"/>
        <v>5</v>
      </c>
      <c r="J1231" s="6">
        <f>IFERROR(__xludf.DUMMYFUNCTION("IF(H1231="""","""",
SUM(
ARRAYFORMULA(
IF(
REGEXMATCH(
"" ""&amp;H1231&amp;"" "",
"" ""&amp;Sentiment_Words!A$2:A3730&amp;"" ""
),
1,
0
)
)
)
)"),1.0)</f>
        <v>1</v>
      </c>
      <c r="K1231" s="4">
        <f>IFERROR(__xludf.DUMMYFUNCTION("IF(H1231="""","""",
SUM(
ARRAYFORMULA(
IF(
REGEXMATCH(
"" ""&amp;H1231&amp;"" "",
"" ""&amp;Sentiment_Words!B$2:B3730&amp;"" ""
),
1,
0
)
)
)
)"),0.0)</f>
        <v>0</v>
      </c>
      <c r="L1231" s="7" t="str">
        <f t="shared" si="3"/>
        <v>Other</v>
      </c>
      <c r="M1231" s="7" t="str">
        <f t="shared" si="4"/>
        <v>Positive</v>
      </c>
      <c r="N1231" s="7" t="str">
        <f>IFERROR(__xludf.DUMMYFUNCTION("LOWER(
TRIM(
REGEXREPLACE(B1231,""[^a-zA-Z\s]"","""")
)
)
"),"ethel houman")</f>
        <v>ethel houman</v>
      </c>
      <c r="O1231" s="7">
        <f t="shared" si="5"/>
        <v>1</v>
      </c>
      <c r="P1231" s="8" t="str">
        <f t="shared" si="6"/>
        <v>No</v>
      </c>
    </row>
    <row r="1232">
      <c r="A1232" s="4" t="s">
        <v>16</v>
      </c>
      <c r="B1232" s="4" t="s">
        <v>3490</v>
      </c>
      <c r="C1232" s="9">
        <v>44872.0</v>
      </c>
      <c r="D1232" s="10">
        <v>44884.0</v>
      </c>
      <c r="E1232" s="4" t="s">
        <v>3491</v>
      </c>
      <c r="F1232" s="4" t="s">
        <v>3492</v>
      </c>
      <c r="G1232" s="6" t="str">
        <f>IFERROR(__xludf.DUMMYFUNCTION("REGEXREPLACE(LOWER(F1232),""[^a-z\s]"","""")"),"the order has been cancelled by petflow and i was not even notified thankfully chewy had my back")</f>
        <v>the order has been cancelled by petflow and i was not even notified thankfully chewy had my back</v>
      </c>
      <c r="H1232" s="4" t="str">
        <f t="shared" si="1"/>
        <v>order has been cancelled by petflow i was not even notified thankfully chewy had my back</v>
      </c>
      <c r="I1232" s="6">
        <f t="shared" si="2"/>
        <v>16</v>
      </c>
      <c r="J1232" s="6">
        <f>IFERROR(__xludf.DUMMYFUNCTION("IF(H1232="""","""",
SUM(
ARRAYFORMULA(
IF(
REGEXMATCH(
"" ""&amp;H1232&amp;"" "",
"" ""&amp;Sentiment_Words!A$2:A3730&amp;"" ""
),
1,
0
)
)
)
)"),1.0)</f>
        <v>1</v>
      </c>
      <c r="K1232" s="4">
        <f>IFERROR(__xludf.DUMMYFUNCTION("IF(H1232="""","""",
SUM(
ARRAYFORMULA(
IF(
REGEXMATCH(
"" ""&amp;H1232&amp;"" "",
"" ""&amp;Sentiment_Words!B$2:B3730&amp;"" ""
),
1,
0
)
)
)
)"),1.0)</f>
        <v>1</v>
      </c>
      <c r="L1232" s="7" t="str">
        <f t="shared" si="3"/>
        <v>Other</v>
      </c>
      <c r="M1232" s="7" t="str">
        <f t="shared" si="4"/>
        <v>Neutral</v>
      </c>
      <c r="N1232" s="7" t="str">
        <f>IFERROR(__xludf.DUMMYFUNCTION("LOWER(
TRIM(
REGEXREPLACE(B1232,""[^a-zA-Z\s]"","""")
)
)
"),"pat")</f>
        <v>pat</v>
      </c>
      <c r="O1232" s="7">
        <f t="shared" si="5"/>
        <v>2</v>
      </c>
      <c r="P1232" s="8" t="str">
        <f t="shared" si="6"/>
        <v>Yes</v>
      </c>
    </row>
    <row r="1233">
      <c r="A1233" s="4" t="s">
        <v>16</v>
      </c>
      <c r="B1233" s="4" t="s">
        <v>3493</v>
      </c>
      <c r="C1233" s="9">
        <v>44872.0</v>
      </c>
      <c r="D1233" s="10">
        <v>44883.0</v>
      </c>
      <c r="E1233" s="4" t="s">
        <v>3494</v>
      </c>
      <c r="F1233" s="4" t="s">
        <v>3495</v>
      </c>
      <c r="G1233" s="6" t="str">
        <f>IFERROR(__xludf.DUMMYFUNCTION("REGEXREPLACE(LOWER(F1233),""[^a-z\s]"","""")"),"i placed a order on  i sent a text on  asking when my order would arrive i was told my order was flagged and never shipped the person didnt know why or what that meant why wouldnt i get a email or a call if a problem was encountered you have all my contac"&amp;"t informationhome address email address phone number credit cardthats horrible customer service i ended up ordering from chewy you lost a customer")</f>
        <v>i placed a order on  i sent a text on  asking when my order would arrive i was told my order was flagged and never shipped the person didnt know why or what that meant why wouldnt i get a email or a call if a problem was encountered you have all my contact informationhome address email address phone number credit cardthats horrible customer service i ended up ordering from chewy you lost a customer</v>
      </c>
      <c r="H1233" s="4" t="str">
        <f t="shared" si="1"/>
        <v>i placed a order on i sent a text on asking when my order would arrive i was told my order was flagged never shipped person didnt know why or what that meant why wouldnt i get a email or a call if a problem was encountered you have all my contact informationhome address email address phone number credit cardthats horrible customer service i ended up ordering from chewy you lost a customer</v>
      </c>
      <c r="I1233" s="6">
        <f t="shared" si="2"/>
        <v>73</v>
      </c>
      <c r="J1233" s="6">
        <f>IFERROR(__xludf.DUMMYFUNCTION("IF(H1233="""","""",
SUM(
ARRAYFORMULA(
IF(
REGEXMATCH(
"" ""&amp;H1233&amp;"" "",
"" ""&amp;Sentiment_Words!A$2:A3730&amp;"" ""
),
1,
0
)
)
)
)"),0.0)</f>
        <v>0</v>
      </c>
      <c r="K1233" s="4">
        <f>IFERROR(__xludf.DUMMYFUNCTION("IF(H1233="""","""",
SUM(
ARRAYFORMULA(
IF(
REGEXMATCH(
"" ""&amp;H1233&amp;"" "",
"" ""&amp;Sentiment_Words!B$2:B3730&amp;"" ""
),
1,
0
)
)
)
)"),2.0)</f>
        <v>2</v>
      </c>
      <c r="L1233" s="7" t="str">
        <f t="shared" si="3"/>
        <v>Customer Support</v>
      </c>
      <c r="M1233" s="7" t="str">
        <f t="shared" si="4"/>
        <v>Negative</v>
      </c>
      <c r="N1233" s="7" t="str">
        <f>IFERROR(__xludf.DUMMYFUNCTION("LOWER(
TRIM(
REGEXREPLACE(B1233,""[^a-zA-Z\s]"","""")
)
)
"),"alla ruchkina")</f>
        <v>alla ruchkina</v>
      </c>
      <c r="O1233" s="7">
        <f t="shared" si="5"/>
        <v>1</v>
      </c>
      <c r="P1233" s="8" t="str">
        <f t="shared" si="6"/>
        <v>No</v>
      </c>
    </row>
    <row r="1234">
      <c r="A1234" s="4" t="s">
        <v>16</v>
      </c>
      <c r="B1234" s="4" t="s">
        <v>3496</v>
      </c>
      <c r="C1234" s="5">
        <v>44881.0</v>
      </c>
      <c r="D1234" s="10">
        <v>44883.0</v>
      </c>
      <c r="E1234" s="4" t="s">
        <v>3497</v>
      </c>
      <c r="F1234" s="4" t="s">
        <v>3498</v>
      </c>
      <c r="G1234" s="6" t="str">
        <f>IFERROR(__xludf.DUMMYFUNCTION("REGEXREPLACE(LOWER(F1234),""[^a-z\s]"","""")"),"fast shipping and always consistent with supply my shih tzu approves and is a happy baby thank you pet flow")</f>
        <v>fast shipping and always consistent with supply my shih tzu approves and is a happy baby thank you pet flow</v>
      </c>
      <c r="H1234" s="4" t="str">
        <f t="shared" si="1"/>
        <v>fast shipping always consistent with supply my shih tzu approves a happy baby thank you pet flow</v>
      </c>
      <c r="I1234" s="6">
        <f t="shared" si="2"/>
        <v>17</v>
      </c>
      <c r="J1234" s="6">
        <f>IFERROR(__xludf.DUMMYFUNCTION("IF(H1234="""","""",
SUM(
ARRAYFORMULA(
IF(
REGEXMATCH(
"" ""&amp;H1234&amp;"" "",
"" ""&amp;Sentiment_Words!A$2:A3730&amp;"" ""
),
1,
0
)
)
)
)"),2.0)</f>
        <v>2</v>
      </c>
      <c r="K1234" s="4">
        <f>IFERROR(__xludf.DUMMYFUNCTION("IF(H1234="""","""",
SUM(
ARRAYFORMULA(
IF(
REGEXMATCH(
"" ""&amp;H1234&amp;"" "",
"" ""&amp;Sentiment_Words!B$2:B3730&amp;"" ""
),
1,
0
)
)
)
)"),0.0)</f>
        <v>0</v>
      </c>
      <c r="L1234" s="7" t="str">
        <f t="shared" si="3"/>
        <v>Other</v>
      </c>
      <c r="M1234" s="7" t="str">
        <f t="shared" si="4"/>
        <v>Positive</v>
      </c>
      <c r="N1234" s="7" t="str">
        <f>IFERROR(__xludf.DUMMYFUNCTION("LOWER(
TRIM(
REGEXREPLACE(B1234,""[^a-zA-Z\s]"","""")
)
)
"),"christina m")</f>
        <v>christina m</v>
      </c>
      <c r="O1234" s="7">
        <f t="shared" si="5"/>
        <v>1</v>
      </c>
      <c r="P1234" s="8" t="str">
        <f t="shared" si="6"/>
        <v>No</v>
      </c>
    </row>
    <row r="1235">
      <c r="A1235" s="4" t="s">
        <v>16</v>
      </c>
      <c r="B1235" s="4" t="s">
        <v>3499</v>
      </c>
      <c r="C1235" s="5">
        <v>44882.0</v>
      </c>
      <c r="D1235" s="10">
        <v>44883.0</v>
      </c>
      <c r="E1235" s="4" t="s">
        <v>3500</v>
      </c>
      <c r="F1235" s="4" t="s">
        <v>3501</v>
      </c>
      <c r="G1235" s="6" t="str">
        <f>IFERROR(__xludf.DUMMYFUNCTION("REGEXREPLACE(LOWER(F1235),""[^a-z\s]"","""")"),"your prevention protection is not accurate please fix it")</f>
        <v>your prevention protection is not accurate please fix it</v>
      </c>
      <c r="H1235" s="4" t="str">
        <f t="shared" si="1"/>
        <v>your prevention protection not accurate please fix it</v>
      </c>
      <c r="I1235" s="6">
        <f t="shared" si="2"/>
        <v>8</v>
      </c>
      <c r="J1235" s="6">
        <f>IFERROR(__xludf.DUMMYFUNCTION("IF(H1235="""","""",
SUM(
ARRAYFORMULA(
IF(
REGEXMATCH(
"" ""&amp;H1235&amp;"" "",
"" ""&amp;Sentiment_Words!A$2:A3730&amp;"" ""
),
1,
0
)
)
)
)"),0.0)</f>
        <v>0</v>
      </c>
      <c r="K1235" s="4">
        <f>IFERROR(__xludf.DUMMYFUNCTION("IF(H1235="""","""",
SUM(
ARRAYFORMULA(
IF(
REGEXMATCH(
"" ""&amp;H1235&amp;"" "",
"" ""&amp;Sentiment_Words!B$2:B3730&amp;"" ""
),
1,
0
)
)
)
)"),0.0)</f>
        <v>0</v>
      </c>
      <c r="L1235" s="7" t="str">
        <f t="shared" si="3"/>
        <v>Other</v>
      </c>
      <c r="M1235" s="7" t="str">
        <f t="shared" si="4"/>
        <v>Neutral</v>
      </c>
      <c r="N1235" s="7" t="str">
        <f>IFERROR(__xludf.DUMMYFUNCTION("LOWER(
TRIM(
REGEXREPLACE(B1235,""[^a-zA-Z\s]"","""")
)
)
"),"michael birchall")</f>
        <v>michael birchall</v>
      </c>
      <c r="O1235" s="7">
        <f t="shared" si="5"/>
        <v>1</v>
      </c>
      <c r="P1235" s="8" t="str">
        <f t="shared" si="6"/>
        <v>No</v>
      </c>
    </row>
    <row r="1236">
      <c r="A1236" s="4" t="s">
        <v>16</v>
      </c>
      <c r="B1236" s="4" t="s">
        <v>3502</v>
      </c>
      <c r="C1236" s="9">
        <v>44873.0</v>
      </c>
      <c r="D1236" s="10">
        <v>44883.0</v>
      </c>
      <c r="E1236" s="4" t="s">
        <v>3503</v>
      </c>
      <c r="F1236" s="4" t="s">
        <v>3504</v>
      </c>
      <c r="G1236" s="6" t="str">
        <f>IFERROR(__xludf.DUMMYFUNCTION("REGEXREPLACE(LOWER(F1236),""[^a-z\s]"","""")"),"shipped to me very fast and no damage packaged well enough to prevent damage i wish fromm allowed discounts for auto ship but i understand it is up to them to allow that not petflows fault at all")</f>
        <v>shipped to me very fast and no damage packaged well enough to prevent damage i wish fromm allowed discounts for auto ship but i understand it is up to them to allow that not petflows fault at all</v>
      </c>
      <c r="H1236" s="4" t="str">
        <f t="shared" si="1"/>
        <v>shipped me very fast no damage packaged well enough prevent damage i wish fromm allowed discounts auto ship but i understand it up them allow that not petflows fault at all</v>
      </c>
      <c r="I1236" s="6">
        <f t="shared" si="2"/>
        <v>31</v>
      </c>
      <c r="J1236" s="6">
        <f>IFERROR(__xludf.DUMMYFUNCTION("IF(H1236="""","""",
SUM(
ARRAYFORMULA(
IF(
REGEXMATCH(
"" ""&amp;H1236&amp;"" "",
"" ""&amp;Sentiment_Words!A$2:A3730&amp;"" ""
),
1,
0
)
)
)
)"),2.0)</f>
        <v>2</v>
      </c>
      <c r="K1236" s="4">
        <f>IFERROR(__xludf.DUMMYFUNCTION("IF(H1236="""","""",
SUM(
ARRAYFORMULA(
IF(
REGEXMATCH(
"" ""&amp;H1236&amp;"" "",
"" ""&amp;Sentiment_Words!B$2:B3730&amp;"" ""
),
1,
0
)
)
)
)"),0.0)</f>
        <v>0</v>
      </c>
      <c r="L1236" s="7" t="str">
        <f t="shared" si="3"/>
        <v>Other</v>
      </c>
      <c r="M1236" s="7" t="str">
        <f t="shared" si="4"/>
        <v>Positive</v>
      </c>
      <c r="N1236" s="7" t="str">
        <f>IFERROR(__xludf.DUMMYFUNCTION("LOWER(
TRIM(
REGEXREPLACE(B1236,""[^a-zA-Z\s]"","""")
)
)
"),"daniel samardzich")</f>
        <v>daniel samardzich</v>
      </c>
      <c r="O1236" s="7">
        <f t="shared" si="5"/>
        <v>1</v>
      </c>
      <c r="P1236" s="8" t="str">
        <f t="shared" si="6"/>
        <v>No</v>
      </c>
    </row>
    <row r="1237">
      <c r="A1237" s="4" t="s">
        <v>16</v>
      </c>
      <c r="B1237" s="4" t="s">
        <v>3505</v>
      </c>
      <c r="C1237" s="5">
        <v>44875.0</v>
      </c>
      <c r="D1237" s="10">
        <v>44883.0</v>
      </c>
      <c r="E1237" s="4" t="s">
        <v>3506</v>
      </c>
      <c r="F1237" s="4" t="s">
        <v>3507</v>
      </c>
      <c r="G1237" s="6" t="str">
        <f>IFERROR(__xludf.DUMMYFUNCTION("REGEXREPLACE(LOWER(F1237),""[^a-z\s]"","""")"),"i appreciated receiving an email when the item i needed was back in stock i waited to buy it from petflow because their price was so much more affordable and this service was so helpful")</f>
        <v>i appreciated receiving an email when the item i needed was back in stock i waited to buy it from petflow because their price was so much more affordable and this service was so helpful</v>
      </c>
      <c r="H1237" s="4" t="str">
        <f t="shared" si="1"/>
        <v>i appreciated receiving an email when item i needed was back in stock i waited buy it from petflow because their price was so much more affordable this service was so helpful</v>
      </c>
      <c r="I1237" s="6">
        <f t="shared" si="2"/>
        <v>32</v>
      </c>
      <c r="J1237" s="6">
        <f>IFERROR(__xludf.DUMMYFUNCTION("IF(H1237="""","""",
SUM(
ARRAYFORMULA(
IF(
REGEXMATCH(
"" ""&amp;H1237&amp;"" "",
"" ""&amp;Sentiment_Words!A$2:A3730&amp;"" ""
),
1,
0
)
)
)
)"),2.0)</f>
        <v>2</v>
      </c>
      <c r="K1237" s="4">
        <f>IFERROR(__xludf.DUMMYFUNCTION("IF(H1237="""","""",
SUM(
ARRAYFORMULA(
IF(
REGEXMATCH(
"" ""&amp;H1237&amp;"" "",
"" ""&amp;Sentiment_Words!B$2:B3730&amp;"" ""
),
1,
0
)
)
)
)"),0.0)</f>
        <v>0</v>
      </c>
      <c r="L1237" s="7" t="str">
        <f t="shared" si="3"/>
        <v>Customer Support</v>
      </c>
      <c r="M1237" s="7" t="str">
        <f t="shared" si="4"/>
        <v>Positive</v>
      </c>
      <c r="N1237" s="7" t="str">
        <f>IFERROR(__xludf.DUMMYFUNCTION("LOWER(
TRIM(
REGEXREPLACE(B1237,""[^a-zA-Z\s]"","""")
)
)
"),"felicia sisk")</f>
        <v>felicia sisk</v>
      </c>
      <c r="O1237" s="7">
        <f t="shared" si="5"/>
        <v>1</v>
      </c>
      <c r="P1237" s="8" t="str">
        <f t="shared" si="6"/>
        <v>No</v>
      </c>
    </row>
    <row r="1238">
      <c r="A1238" s="4" t="s">
        <v>16</v>
      </c>
      <c r="B1238" s="4" t="s">
        <v>3508</v>
      </c>
      <c r="C1238" s="9">
        <v>44869.0</v>
      </c>
      <c r="D1238" s="10">
        <v>44882.0</v>
      </c>
      <c r="E1238" s="4" t="s">
        <v>3509</v>
      </c>
      <c r="F1238" s="4" t="s">
        <v>3510</v>
      </c>
      <c r="G1238" s="6" t="str">
        <f>IFERROR(__xludf.DUMMYFUNCTION("REGEXREPLACE(LOWER(F1238),""[^a-z\s]"","""")"),"second time ordering prescription food told its in stock and a week later they cancel the order stating its not in stock never again")</f>
        <v>second time ordering prescription food told its in stock and a week later they cancel the order stating its not in stock never again</v>
      </c>
      <c r="H1238" s="4" t="str">
        <f t="shared" si="1"/>
        <v>second time ordering prescription food told its in stock a week later they cancel order stating its not in stock never again</v>
      </c>
      <c r="I1238" s="6">
        <f t="shared" si="2"/>
        <v>22</v>
      </c>
      <c r="J1238" s="6">
        <f>IFERROR(__xludf.DUMMYFUNCTION("IF(H1238="""","""",
SUM(
ARRAYFORMULA(
IF(
REGEXMATCH(
"" ""&amp;H1238&amp;"" "",
"" ""&amp;Sentiment_Words!A$2:A3730&amp;"" ""
),
1,
0
)
)
)
)"),0.0)</f>
        <v>0</v>
      </c>
      <c r="K1238" s="4">
        <f>IFERROR(__xludf.DUMMYFUNCTION("IF(H1238="""","""",
SUM(
ARRAYFORMULA(
IF(
REGEXMATCH(
"" ""&amp;H1238&amp;"" "",
"" ""&amp;Sentiment_Words!B$2:B3730&amp;"" ""
),
1,
0
)
)
)
)"),1.0)</f>
        <v>1</v>
      </c>
      <c r="L1238" s="7" t="str">
        <f t="shared" si="3"/>
        <v>Fulfillment &amp; Shipping</v>
      </c>
      <c r="M1238" s="7" t="str">
        <f t="shared" si="4"/>
        <v>Negative</v>
      </c>
      <c r="N1238" s="7" t="str">
        <f>IFERROR(__xludf.DUMMYFUNCTION("LOWER(
TRIM(
REGEXREPLACE(B1238,""[^a-zA-Z\s]"","""")
)
)
"),"jt")</f>
        <v>jt</v>
      </c>
      <c r="O1238" s="7">
        <f t="shared" si="5"/>
        <v>1</v>
      </c>
      <c r="P1238" s="8" t="str">
        <f t="shared" si="6"/>
        <v>No</v>
      </c>
    </row>
    <row r="1239">
      <c r="A1239" s="4" t="s">
        <v>16</v>
      </c>
      <c r="B1239" s="4" t="s">
        <v>3511</v>
      </c>
      <c r="C1239" s="5">
        <v>44876.0</v>
      </c>
      <c r="D1239" s="10">
        <v>44882.0</v>
      </c>
      <c r="E1239" s="4" t="s">
        <v>3512</v>
      </c>
      <c r="F1239" s="4" t="s">
        <v>3513</v>
      </c>
      <c r="G1239" s="6" t="str">
        <f>IFERROR(__xludf.DUMMYFUNCTION("REGEXREPLACE(LOWER(F1239),""[^a-z\s]"","""")"),"i have ordered twice and each time the delivery has been delayed the order this time was not properly packaged and the box was literally falling apart and patched together with more tape than cardboard i am surprised the entire order made it here i wonder"&amp;"ed why you are able to sell the fancy feast at less than everyone else and after examining the cans i think i now know why all the cans are dented and have different numbers indicating that they were made from different lots or perhaps at different factor"&amp;"ies appears to be a compilation of all the scratch and dented product makes me wonder about the quality of the product probably wont be purchasing from you again")</f>
        <v>i have ordered twice and each time the delivery has been delayed the order this time was not properly packaged and the box was literally falling apart and patched together with more tape than cardboard i am surprised the entire order made it here i wondered why you are able to sell the fancy feast at less than everyone else and after examining the cans i think i now know why all the cans are dented and have different numbers indicating that they were made from different lots or perhaps at different factories appears to be a compilation of all the scratch and dented product makes me wonder about the quality of the product probably wont be purchasing from you again</v>
      </c>
      <c r="H1239" s="4" t="str">
        <f t="shared" si="1"/>
        <v>i have ordered twice each time delivery has been delayed order this time was not properly packaged box was literally falling apart patched together with more tape than cardboard i am surprised entire order made it here i wondered why you are able sell fancy feast at less than everyone else after examining cans i think i now know why all cans are dented have different numbers indicating that they were made from different lots or perhaps at different factories appears be a compilation of all scratch dented product makes me wonder about quality of product probably wont be purchasing from you again</v>
      </c>
      <c r="I1239" s="6">
        <f t="shared" si="2"/>
        <v>103</v>
      </c>
      <c r="J1239" s="6">
        <f>IFERROR(__xludf.DUMMYFUNCTION("IF(H1239="""","""",
SUM(
ARRAYFORMULA(
IF(
REGEXMATCH(
"" ""&amp;H1239&amp;"" "",
"" ""&amp;Sentiment_Words!A$2:A3730&amp;"" ""
),
1,
0
)
)
)
)"),1.0)</f>
        <v>1</v>
      </c>
      <c r="K1239" s="4">
        <f>IFERROR(__xludf.DUMMYFUNCTION("IF(H1239="""","""",
SUM(
ARRAYFORMULA(
IF(
REGEXMATCH(
"" ""&amp;H1239&amp;"" "",
"" ""&amp;Sentiment_Words!B$2:B3730&amp;"" ""
),
1,
0
)
)
)
)"),1.0)</f>
        <v>1</v>
      </c>
      <c r="L1239" s="7" t="str">
        <f t="shared" si="3"/>
        <v>Fulfillment &amp; Shipping</v>
      </c>
      <c r="M1239" s="7" t="str">
        <f t="shared" si="4"/>
        <v>Neutral</v>
      </c>
      <c r="N1239" s="7" t="str">
        <f>IFERROR(__xludf.DUMMYFUNCTION("LOWER(
TRIM(
REGEXREPLACE(B1239,""[^a-zA-Z\s]"","""")
)
)
"),"marian m")</f>
        <v>marian m</v>
      </c>
      <c r="O1239" s="7">
        <f t="shared" si="5"/>
        <v>1</v>
      </c>
      <c r="P1239" s="8" t="str">
        <f t="shared" si="6"/>
        <v>No</v>
      </c>
    </row>
    <row r="1240">
      <c r="A1240" s="4" t="s">
        <v>16</v>
      </c>
      <c r="B1240" s="4" t="s">
        <v>3514</v>
      </c>
      <c r="C1240" s="5">
        <v>44876.0</v>
      </c>
      <c r="D1240" s="10">
        <v>44882.0</v>
      </c>
      <c r="E1240" s="4" t="s">
        <v>3515</v>
      </c>
      <c r="F1240" s="4" t="s">
        <v>331</v>
      </c>
      <c r="G1240" s="6" t="str">
        <f>IFERROR(__xludf.DUMMYFUNCTION("REGEXREPLACE(LOWER(F1240),""[^a-z\s]"","""")"),"none")</f>
        <v>none</v>
      </c>
      <c r="H1240" s="4" t="str">
        <f t="shared" si="1"/>
        <v>none</v>
      </c>
      <c r="I1240" s="6">
        <f t="shared" si="2"/>
        <v>1</v>
      </c>
      <c r="J1240" s="6">
        <f>IFERROR(__xludf.DUMMYFUNCTION("IF(H1240="""","""",
SUM(
ARRAYFORMULA(
IF(
REGEXMATCH(
"" ""&amp;H1240&amp;"" "",
"" ""&amp;Sentiment_Words!A$2:A3730&amp;"" ""
),
1,
0
)
)
)
)"),0.0)</f>
        <v>0</v>
      </c>
      <c r="K1240" s="4">
        <f>IFERROR(__xludf.DUMMYFUNCTION("IF(H1240="""","""",
SUM(
ARRAYFORMULA(
IF(
REGEXMATCH(
"" ""&amp;H1240&amp;"" "",
"" ""&amp;Sentiment_Words!B$2:B3730&amp;"" ""
),
1,
0
)
)
)
)"),0.0)</f>
        <v>0</v>
      </c>
      <c r="L1240" s="7" t="str">
        <f t="shared" si="3"/>
        <v>Other</v>
      </c>
      <c r="M1240" s="7" t="str">
        <f t="shared" si="4"/>
        <v>Neutral</v>
      </c>
      <c r="N1240" s="7" t="str">
        <f>IFERROR(__xludf.DUMMYFUNCTION("LOWER(
TRIM(
REGEXREPLACE(B1240,""[^a-zA-Z\s]"","""")
)
)
"),"disappointing")</f>
        <v>disappointing</v>
      </c>
      <c r="O1240" s="7">
        <f t="shared" si="5"/>
        <v>1</v>
      </c>
      <c r="P1240" s="8" t="str">
        <f t="shared" si="6"/>
        <v>No</v>
      </c>
    </row>
    <row r="1241">
      <c r="A1241" s="4" t="s">
        <v>16</v>
      </c>
      <c r="B1241" s="4" t="s">
        <v>3516</v>
      </c>
      <c r="C1241" s="5">
        <v>44879.0</v>
      </c>
      <c r="D1241" s="10">
        <v>44881.0</v>
      </c>
      <c r="E1241" s="4" t="s">
        <v>3517</v>
      </c>
      <c r="F1241" s="4" t="s">
        <v>331</v>
      </c>
      <c r="G1241" s="6" t="str">
        <f>IFERROR(__xludf.DUMMYFUNCTION("REGEXREPLACE(LOWER(F1241),""[^a-z\s]"","""")"),"none")</f>
        <v>none</v>
      </c>
      <c r="H1241" s="4" t="str">
        <f t="shared" si="1"/>
        <v>none</v>
      </c>
      <c r="I1241" s="6">
        <f t="shared" si="2"/>
        <v>1</v>
      </c>
      <c r="J1241" s="6">
        <f>IFERROR(__xludf.DUMMYFUNCTION("IF(H1241="""","""",
SUM(
ARRAYFORMULA(
IF(
REGEXMATCH(
"" ""&amp;H1241&amp;"" "",
"" ""&amp;Sentiment_Words!A$2:A3730&amp;"" ""
),
1,
0
)
)
)
)"),0.0)</f>
        <v>0</v>
      </c>
      <c r="K1241" s="4">
        <f>IFERROR(__xludf.DUMMYFUNCTION("IF(H1241="""","""",
SUM(
ARRAYFORMULA(
IF(
REGEXMATCH(
"" ""&amp;H1241&amp;"" "",
"" ""&amp;Sentiment_Words!B$2:B3730&amp;"" ""
),
1,
0
)
)
)
)"),0.0)</f>
        <v>0</v>
      </c>
      <c r="L1241" s="7" t="str">
        <f t="shared" si="3"/>
        <v>Other</v>
      </c>
      <c r="M1241" s="7" t="str">
        <f t="shared" si="4"/>
        <v>Neutral</v>
      </c>
      <c r="N1241" s="7" t="str">
        <f>IFERROR(__xludf.DUMMYFUNCTION("LOWER(
TRIM(
REGEXREPLACE(B1241,""[^a-zA-Z\s]"","""")
)
)
"),"bergie")</f>
        <v>bergie</v>
      </c>
      <c r="O1241" s="7">
        <f t="shared" si="5"/>
        <v>1</v>
      </c>
      <c r="P1241" s="8" t="str">
        <f t="shared" si="6"/>
        <v>No</v>
      </c>
    </row>
    <row r="1242">
      <c r="A1242" s="4" t="s">
        <v>16</v>
      </c>
      <c r="B1242" s="4" t="s">
        <v>3518</v>
      </c>
      <c r="C1242" s="9">
        <v>44869.0</v>
      </c>
      <c r="D1242" s="10">
        <v>44881.0</v>
      </c>
      <c r="E1242" s="4" t="s">
        <v>3519</v>
      </c>
      <c r="F1242" s="4" t="s">
        <v>3520</v>
      </c>
      <c r="G1242" s="6" t="str">
        <f>IFERROR(__xludf.DUMMYFUNCTION("REGEXREPLACE(LOWER(F1242),""[^a-z\s]"","""")"),"the sales experience was fine delivery not so much again their chosen delivery company left my very heavy package sitting in front of my garage for all to see with no knock or ring at the door to let me know it was there thankfully it wasnt raining that d"&amp;"ay i am not sure if i will order again in the future because of who they use for shipping im happy i have different companies to choose from and next time will likely shop from someone who delivers to my front porch")</f>
        <v>the sales experience was fine delivery not so much again their chosen delivery company left my very heavy package sitting in front of my garage for all to see with no knock or ring at the door to let me know it was there thankfully it wasnt raining that day i am not sure if i will order again in the future because of who they use for shipping im happy i have different companies to choose from and next time will likely shop from someone who delivers to my front porch</v>
      </c>
      <c r="H1242" s="4" t="str">
        <f t="shared" si="1"/>
        <v>sales experience was fine delivery not so much again their chosen delivery company left my very heavy package sitting in front of my garage all see with no knock or ring at door let me know it was there thankfully it wasnt raining that day i am not sure if i will order again in future because of who they use shipping im happy i have different companies choose from next time will likely shop from someone who delivers my front porch</v>
      </c>
      <c r="I1242" s="6">
        <f t="shared" si="2"/>
        <v>82</v>
      </c>
      <c r="J1242" s="6">
        <f>IFERROR(__xludf.DUMMYFUNCTION("IF(H1242="""","""",
SUM(
ARRAYFORMULA(
IF(
REGEXMATCH(
"" ""&amp;H1242&amp;"" "",
"" ""&amp;Sentiment_Words!A$2:A3730&amp;"" ""
),
1,
0
)
)
)
)"),2.0)</f>
        <v>2</v>
      </c>
      <c r="K1242" s="4">
        <f>IFERROR(__xludf.DUMMYFUNCTION("IF(H1242="""","""",
SUM(
ARRAYFORMULA(
IF(
REGEXMATCH(
"" ""&amp;H1242&amp;"" "",
"" ""&amp;Sentiment_Words!B$2:B3730&amp;"" ""
),
1,
0
)
)
)
)"),0.0)</f>
        <v>0</v>
      </c>
      <c r="L1242" s="7" t="str">
        <f t="shared" si="3"/>
        <v>Other</v>
      </c>
      <c r="M1242" s="7" t="str">
        <f t="shared" si="4"/>
        <v>Positive</v>
      </c>
      <c r="N1242" s="7" t="str">
        <f>IFERROR(__xludf.DUMMYFUNCTION("LOWER(
TRIM(
REGEXREPLACE(B1242,""[^a-zA-Z\s]"","""")
)
)
"),"ga b")</f>
        <v>ga b</v>
      </c>
      <c r="O1242" s="7">
        <f t="shared" si="5"/>
        <v>1</v>
      </c>
      <c r="P1242" s="8" t="str">
        <f t="shared" si="6"/>
        <v>No</v>
      </c>
    </row>
    <row r="1243">
      <c r="A1243" s="4" t="s">
        <v>16</v>
      </c>
      <c r="B1243" s="4" t="s">
        <v>3521</v>
      </c>
      <c r="C1243" s="9">
        <v>44874.0</v>
      </c>
      <c r="D1243" s="10">
        <v>44881.0</v>
      </c>
      <c r="E1243" s="4" t="s">
        <v>1045</v>
      </c>
      <c r="F1243" s="4" t="s">
        <v>3522</v>
      </c>
      <c r="G1243" s="6" t="str">
        <f>IFERROR(__xludf.DUMMYFUNCTION("REGEXREPLACE(LOWER(F1243),""[^a-z\s]"","""")"),"the dog food came quickly")</f>
        <v>the dog food came quickly</v>
      </c>
      <c r="H1243" s="4" t="str">
        <f t="shared" si="1"/>
        <v>dog food came quickly</v>
      </c>
      <c r="I1243" s="6">
        <f t="shared" si="2"/>
        <v>4</v>
      </c>
      <c r="J1243" s="6">
        <f>IFERROR(__xludf.DUMMYFUNCTION("IF(H1243="""","""",
SUM(
ARRAYFORMULA(
IF(
REGEXMATCH(
"" ""&amp;H1243&amp;"" "",
"" ""&amp;Sentiment_Words!A$2:A3730&amp;"" ""
),
1,
0
)
)
)
)"),0.0)</f>
        <v>0</v>
      </c>
      <c r="K1243" s="4">
        <f>IFERROR(__xludf.DUMMYFUNCTION("IF(H1243="""","""",
SUM(
ARRAYFORMULA(
IF(
REGEXMATCH(
"" ""&amp;H1243&amp;"" "",
"" ""&amp;Sentiment_Words!B$2:B3730&amp;"" ""
),
1,
0
)
)
)
)"),0.0)</f>
        <v>0</v>
      </c>
      <c r="L1243" s="7" t="str">
        <f t="shared" si="3"/>
        <v>Other</v>
      </c>
      <c r="M1243" s="7" t="str">
        <f t="shared" si="4"/>
        <v>Neutral</v>
      </c>
      <c r="N1243" s="7" t="str">
        <f>IFERROR(__xludf.DUMMYFUNCTION("LOWER(
TRIM(
REGEXREPLACE(B1243,""[^a-zA-Z\s]"","""")
)
)
"),"judy button")</f>
        <v>judy button</v>
      </c>
      <c r="O1243" s="7">
        <f t="shared" si="5"/>
        <v>1</v>
      </c>
      <c r="P1243" s="8" t="str">
        <f t="shared" si="6"/>
        <v>No</v>
      </c>
    </row>
    <row r="1244">
      <c r="A1244" s="4" t="s">
        <v>16</v>
      </c>
      <c r="B1244" s="4" t="s">
        <v>3523</v>
      </c>
      <c r="C1244" s="9">
        <v>44866.0</v>
      </c>
      <c r="D1244" s="10">
        <v>44881.0</v>
      </c>
      <c r="E1244" s="4" t="s">
        <v>3524</v>
      </c>
      <c r="F1244" s="4" t="s">
        <v>3525</v>
      </c>
      <c r="G1244" s="6" t="str">
        <f>IFERROR(__xludf.DUMMYFUNCTION("REGEXREPLACE(LOWER(F1244),""[^a-z\s]"","""")"),"ordered  boxes of arm  hammer fragrance free super scoop cat litter two weeks ago never received it")</f>
        <v>ordered  boxes of arm  hammer fragrance free super scoop cat litter two weeks ago never received it</v>
      </c>
      <c r="H1244" s="4" t="str">
        <f t="shared" si="1"/>
        <v>ordered boxes of arm hammer fragrance free super scoop cat litter two weeks ago never received it</v>
      </c>
      <c r="I1244" s="6">
        <f t="shared" si="2"/>
        <v>17</v>
      </c>
      <c r="J1244" s="6">
        <f>IFERROR(__xludf.DUMMYFUNCTION("IF(H1244="""","""",
SUM(
ARRAYFORMULA(
IF(
REGEXMATCH(
"" ""&amp;H1244&amp;"" "",
"" ""&amp;Sentiment_Words!A$2:A3730&amp;"" ""
),
1,
0
)
)
)
)"),0.0)</f>
        <v>0</v>
      </c>
      <c r="K1244" s="4">
        <f>IFERROR(__xludf.DUMMYFUNCTION("IF(H1244="""","""",
SUM(
ARRAYFORMULA(
IF(
REGEXMATCH(
"" ""&amp;H1244&amp;"" "",
"" ""&amp;Sentiment_Words!B$2:B3730&amp;"" ""
),
1,
0
)
)
)
)"),0.0)</f>
        <v>0</v>
      </c>
      <c r="L1244" s="7" t="str">
        <f t="shared" si="3"/>
        <v>Other</v>
      </c>
      <c r="M1244" s="7" t="str">
        <f t="shared" si="4"/>
        <v>Neutral</v>
      </c>
      <c r="N1244" s="7" t="str">
        <f>IFERROR(__xludf.DUMMYFUNCTION("LOWER(
TRIM(
REGEXREPLACE(B1244,""[^a-zA-Z\s]"","""")
)
)
"),"makayla brain")</f>
        <v>makayla brain</v>
      </c>
      <c r="O1244" s="7">
        <f t="shared" si="5"/>
        <v>1</v>
      </c>
      <c r="P1244" s="8" t="str">
        <f t="shared" si="6"/>
        <v>No</v>
      </c>
    </row>
    <row r="1245">
      <c r="A1245" s="4" t="s">
        <v>16</v>
      </c>
      <c r="B1245" s="4" t="s">
        <v>3526</v>
      </c>
      <c r="C1245" s="5">
        <v>44880.0</v>
      </c>
      <c r="D1245" s="10">
        <v>44881.0</v>
      </c>
      <c r="E1245" s="4" t="s">
        <v>3527</v>
      </c>
      <c r="F1245" s="4" t="s">
        <v>3528</v>
      </c>
      <c r="G1245" s="6" t="str">
        <f>IFERROR(__xludf.DUMMYFUNCTION("REGEXREPLACE(LOWER(F1245),""[^a-z\s]"","""")"),"numerous choices at excellent prices fast shipping excellent customer service highly recommend")</f>
        <v>numerous choices at excellent prices fast shipping excellent customer service highly recommend</v>
      </c>
      <c r="H1245" s="4" t="str">
        <f t="shared" si="1"/>
        <v>numerous choices at excellent prices fast shipping excellent customer service highly recommend</v>
      </c>
      <c r="I1245" s="6">
        <f t="shared" si="2"/>
        <v>12</v>
      </c>
      <c r="J1245" s="6">
        <f>IFERROR(__xludf.DUMMYFUNCTION("IF(H1245="""","""",
SUM(
ARRAYFORMULA(
IF(
REGEXMATCH(
"" ""&amp;H1245&amp;"" "",
"" ""&amp;Sentiment_Words!A$2:A3730&amp;"" ""
),
1,
0
)
)
)
)"),1.0)</f>
        <v>1</v>
      </c>
      <c r="K1245" s="4">
        <f>IFERROR(__xludf.DUMMYFUNCTION("IF(H1245="""","""",
SUM(
ARRAYFORMULA(
IF(
REGEXMATCH(
"" ""&amp;H1245&amp;"" "",
"" ""&amp;Sentiment_Words!B$2:B3730&amp;"" ""
),
1,
0
)
)
)
)"),1.0)</f>
        <v>1</v>
      </c>
      <c r="L1245" s="7" t="str">
        <f t="shared" si="3"/>
        <v>Customer Support</v>
      </c>
      <c r="M1245" s="7" t="str">
        <f t="shared" si="4"/>
        <v>Neutral</v>
      </c>
      <c r="N1245" s="7" t="str">
        <f>IFERROR(__xludf.DUMMYFUNCTION("LOWER(
TRIM(
REGEXREPLACE(B1245,""[^a-zA-Z\s]"","""")
)
)
"),"denise angelo")</f>
        <v>denise angelo</v>
      </c>
      <c r="O1245" s="7">
        <f t="shared" si="5"/>
        <v>1</v>
      </c>
      <c r="P1245" s="8" t="str">
        <f t="shared" si="6"/>
        <v>No</v>
      </c>
    </row>
    <row r="1246">
      <c r="A1246" s="4" t="s">
        <v>16</v>
      </c>
      <c r="B1246" s="4" t="s">
        <v>3529</v>
      </c>
      <c r="C1246" s="5">
        <v>44880.0</v>
      </c>
      <c r="D1246" s="10">
        <v>44881.0</v>
      </c>
      <c r="E1246" s="4" t="s">
        <v>3530</v>
      </c>
      <c r="F1246" s="4" t="s">
        <v>3531</v>
      </c>
      <c r="G1246" s="6" t="str">
        <f>IFERROR(__xludf.DUMMYFUNCTION("REGEXREPLACE(LOWER(F1246),""[^a-z\s]"","""")"),"i was told i would receive a tracking number for my package i placed on friday i did not so i called  days later on tuesday at  i understand the company doesnt work on weekends brian answered the phone he was very rude when i asked for a tracking number s"&amp;"aying why would they have sent it to me when it was the weekend and they close at  on friday like im supposed to know that i called tuesday at  so no tracking number the whole day on monday and tuesday this is my first time ordering from them and will be "&amp;"ordering from another company still no tracking number the email said it would be shipped on monday but still on tuesday at  no tracking number and not shipped im just trying to get dog food and support your business now im ordering from chewy also chewy "&amp;"is cheaper for anyone reading this brian should not be in customer service hes angry for no reason and speaks with attitude will not recommend to my breeders or friends when you order dog food online you dont think its going to be delayed dont use this co"&amp;"mpany youll be wasting your time also we cant get this food in stores in our area")</f>
        <v>i was told i would receive a tracking number for my package i placed on friday i did not so i called  days later on tuesday at  i understand the company doesnt work on weekends brian answered the phone he was very rude when i asked for a tracking number saying why would they have sent it to me when it was the weekend and they close at  on friday like im supposed to know that i called tuesday at  so no tracking number the whole day on monday and tuesday this is my first time ordering from them and will be ordering from another company still no tracking number the email said it would be shipped on monday but still on tuesday at  no tracking number and not shipped im just trying to get dog food and support your business now im ordering from chewy also chewy is cheaper for anyone reading this brian should not be in customer service hes angry for no reason and speaks with attitude will not recommend to my breeders or friends when you order dog food online you dont think its going to be delayed dont use this company youll be wasting your time also we cant get this food in stores in our area</v>
      </c>
      <c r="H1246" s="4" t="str">
        <f t="shared" si="1"/>
        <v>i was told i would receive a tracking number my package i placed on friday i did not so i called days later on tuesday at i understand company doesnt work on weekends brian answered phone he was very rude when i asked a tracking number saying why would they have sent it me when it was weekend they close at on friday like im supposed know that i called tuesday at so no tracking number whole day on monday tuesday this my first time ordering from them will be ordering from another company still no tracking number email said it would be shipped on monday but still on tuesday at no tracking number not shipped im just trying get dog food support your business now im ordering from chewy also chewy cheaper anyone reading this brian should not be in customer service hes angry no reason speaks with attitude will not recommend my breeders or friends when you order dog food online you dont think its going be delayed dont use this company youll be wasting your time also we cant get this food in stores in our area</v>
      </c>
      <c r="I1246" s="6">
        <f t="shared" si="2"/>
        <v>190</v>
      </c>
      <c r="J1246" s="6">
        <f>IFERROR(__xludf.DUMMYFUNCTION("IF(H1246="""","""",
SUM(
ARRAYFORMULA(
IF(
REGEXMATCH(
"" ""&amp;H1246&amp;"" "",
"" ""&amp;Sentiment_Words!A$2:A3730&amp;"" ""
),
1,
0
)
)
)
)"),1.0)</f>
        <v>1</v>
      </c>
      <c r="K1246" s="4">
        <f>IFERROR(__xludf.DUMMYFUNCTION("IF(H1246="""","""",
SUM(
ARRAYFORMULA(
IF(
REGEXMATCH(
"" ""&amp;H1246&amp;"" "",
"" ""&amp;Sentiment_Words!B$2:B3730&amp;"" ""
),
1,
0
)
)
)
)"),2.0)</f>
        <v>2</v>
      </c>
      <c r="L1246" s="7" t="str">
        <f t="shared" si="3"/>
        <v>Customer Support</v>
      </c>
      <c r="M1246" s="7" t="str">
        <f t="shared" si="4"/>
        <v>Negative</v>
      </c>
      <c r="N1246" s="7" t="str">
        <f>IFERROR(__xludf.DUMMYFUNCTION("LOWER(
TRIM(
REGEXREPLACE(B1246,""[^a-zA-Z\s]"","""")
)
)
"),"starr herscovitch")</f>
        <v>starr herscovitch</v>
      </c>
      <c r="O1246" s="7">
        <f t="shared" si="5"/>
        <v>1</v>
      </c>
      <c r="P1246" s="8" t="str">
        <f t="shared" si="6"/>
        <v>No</v>
      </c>
    </row>
    <row r="1247">
      <c r="A1247" s="4" t="s">
        <v>16</v>
      </c>
      <c r="B1247" s="4" t="s">
        <v>3532</v>
      </c>
      <c r="C1247" s="5">
        <v>44880.0</v>
      </c>
      <c r="D1247" s="10">
        <v>44881.0</v>
      </c>
      <c r="E1247" s="4" t="s">
        <v>3533</v>
      </c>
      <c r="F1247" s="4" t="s">
        <v>3534</v>
      </c>
      <c r="G1247" s="6" t="str">
        <f>IFERROR(__xludf.DUMMYFUNCTION("REGEXREPLACE(LOWER(F1247),""[^a-z\s]"","""")"),"i ordered a prescription cat food where the website indicated that it was in stock when i had not received a status update after a few days i sent an email inquiring about the status and was told that it was out of stock which i had suspected since it was"&amp;" out of stock at other online retailers im disappointed that i had to reach out and that the inventory was not kept up to date")</f>
        <v>i ordered a prescription cat food where the website indicated that it was in stock when i had not received a status update after a few days i sent an email inquiring about the status and was told that it was out of stock which i had suspected since it was out of stock at other online retailers im disappointed that i had to reach out and that the inventory was not kept up to date</v>
      </c>
      <c r="H1247" s="4" t="str">
        <f t="shared" si="1"/>
        <v>i ordered a prescription cat food where website indicated that it was in stock when i had not received a status update after a few days i sent an email inquiring about status was told that it was out of stock which i had suspected since it was out of stock at other online retailers im disappointed that i had reach out that inventory was not kept up date</v>
      </c>
      <c r="I1247" s="6">
        <f t="shared" si="2"/>
        <v>69</v>
      </c>
      <c r="J1247" s="6">
        <f>IFERROR(__xludf.DUMMYFUNCTION("IF(H1247="""","""",
SUM(
ARRAYFORMULA(
IF(
REGEXMATCH(
"" ""&amp;H1247&amp;"" "",
"" ""&amp;Sentiment_Words!A$2:A3730&amp;"" ""
),
1,
0
)
)
)
)"),0.0)</f>
        <v>0</v>
      </c>
      <c r="K1247" s="4">
        <f>IFERROR(__xludf.DUMMYFUNCTION("IF(H1247="""","""",
SUM(
ARRAYFORMULA(
IF(
REGEXMATCH(
"" ""&amp;H1247&amp;"" "",
"" ""&amp;Sentiment_Words!B$2:B3730&amp;"" ""
),
1,
0
)
)
)
)"),1.0)</f>
        <v>1</v>
      </c>
      <c r="L1247" s="7" t="str">
        <f t="shared" si="3"/>
        <v>Availability</v>
      </c>
      <c r="M1247" s="7" t="str">
        <f t="shared" si="4"/>
        <v>Negative</v>
      </c>
      <c r="N1247" s="7" t="str">
        <f>IFERROR(__xludf.DUMMYFUNCTION("LOWER(
TRIM(
REGEXREPLACE(B1247,""[^a-zA-Z\s]"","""")
)
)
"),"cassidy craig")</f>
        <v>cassidy craig</v>
      </c>
      <c r="O1247" s="7">
        <f t="shared" si="5"/>
        <v>1</v>
      </c>
      <c r="P1247" s="8" t="str">
        <f t="shared" si="6"/>
        <v>No</v>
      </c>
    </row>
    <row r="1248">
      <c r="A1248" s="4" t="s">
        <v>16</v>
      </c>
      <c r="B1248" s="4" t="s">
        <v>3535</v>
      </c>
      <c r="C1248" s="9">
        <v>44874.0</v>
      </c>
      <c r="D1248" s="10">
        <v>44881.0</v>
      </c>
      <c r="E1248" s="4" t="s">
        <v>3536</v>
      </c>
      <c r="F1248" s="4" t="s">
        <v>3537</v>
      </c>
      <c r="G1248" s="6" t="str">
        <f>IFERROR(__xludf.DUMMYFUNCTION("REGEXREPLACE(LOWER(F1248),""[^a-z\s]"","""")"),"the website doesnt work right horrible to navigate i got food i didnt order whats with that shipping was fast prices were good")</f>
        <v>the website doesnt work right horrible to navigate i got food i didnt order whats with that shipping was fast prices were good</v>
      </c>
      <c r="H1248" s="4" t="str">
        <f t="shared" si="1"/>
        <v>website doesnt work right horrible navigate i got food i didnt order whats with that shipping was fast prices were good</v>
      </c>
      <c r="I1248" s="6">
        <f t="shared" si="2"/>
        <v>21</v>
      </c>
      <c r="J1248" s="6">
        <f>IFERROR(__xludf.DUMMYFUNCTION("IF(H1248="""","""",
SUM(
ARRAYFORMULA(
IF(
REGEXMATCH(
"" ""&amp;H1248&amp;"" "",
"" ""&amp;Sentiment_Words!A$2:A3730&amp;"" ""
),
1,
0
)
)
)
)"),2.0)</f>
        <v>2</v>
      </c>
      <c r="K1248" s="4">
        <f>IFERROR(__xludf.DUMMYFUNCTION("IF(H1248="""","""",
SUM(
ARRAYFORMULA(
IF(
REGEXMATCH(
"" ""&amp;H1248&amp;"" "",
"" ""&amp;Sentiment_Words!B$2:B3730&amp;"" ""
),
1,
0
)
)
)
)"),0.0)</f>
        <v>0</v>
      </c>
      <c r="L1248" s="7" t="str">
        <f t="shared" si="3"/>
        <v>Account &amp; Website</v>
      </c>
      <c r="M1248" s="7" t="str">
        <f t="shared" si="4"/>
        <v>Positive</v>
      </c>
      <c r="N1248" s="7" t="str">
        <f>IFERROR(__xludf.DUMMYFUNCTION("LOWER(
TRIM(
REGEXREPLACE(B1248,""[^a-zA-Z\s]"","""")
)
)
"),"gail")</f>
        <v>gail</v>
      </c>
      <c r="O1248" s="7">
        <f t="shared" si="5"/>
        <v>4</v>
      </c>
      <c r="P1248" s="8" t="str">
        <f t="shared" si="6"/>
        <v>Yes</v>
      </c>
    </row>
    <row r="1249">
      <c r="A1249" s="4" t="s">
        <v>16</v>
      </c>
      <c r="B1249" s="4" t="s">
        <v>3538</v>
      </c>
      <c r="C1249" s="9">
        <v>44867.0</v>
      </c>
      <c r="D1249" s="10">
        <v>44880.0</v>
      </c>
      <c r="E1249" s="4" t="s">
        <v>3539</v>
      </c>
      <c r="F1249" s="4" t="s">
        <v>3540</v>
      </c>
      <c r="G1249" s="6" t="str">
        <f>IFERROR(__xludf.DUMMYFUNCTION("REGEXREPLACE(LOWER(F1249),""[^a-z\s]"","""")"),"purchased toys for my red squirrel he loves them that r safe and durable costumer service truly is customer service helpful polite this company is a joy to deal with")</f>
        <v>purchased toys for my red squirrel he loves them that r safe and durable costumer service truly is customer service helpful polite this company is a joy to deal with</v>
      </c>
      <c r="H1249" s="4" t="str">
        <f t="shared" si="1"/>
        <v>purchased toys my red squirrel he loves them that r safe durable costumer service truly customer service helpful polite this company a joy deal with</v>
      </c>
      <c r="I1249" s="6">
        <f t="shared" si="2"/>
        <v>25</v>
      </c>
      <c r="J1249" s="6">
        <f>IFERROR(__xludf.DUMMYFUNCTION("IF(H1249="""","""",
SUM(
ARRAYFORMULA(
IF(
REGEXMATCH(
"" ""&amp;H1249&amp;"" "",
"" ""&amp;Sentiment_Words!A$2:A3730&amp;"" ""
),
1,
0
)
)
)
)"),1.0)</f>
        <v>1</v>
      </c>
      <c r="K1249" s="4">
        <f>IFERROR(__xludf.DUMMYFUNCTION("IF(H1249="""","""",
SUM(
ARRAYFORMULA(
IF(
REGEXMATCH(
"" ""&amp;H1249&amp;"" "",
"" ""&amp;Sentiment_Words!B$2:B3730&amp;"" ""
),
1,
0
)
)
)
)"),1.0)</f>
        <v>1</v>
      </c>
      <c r="L1249" s="7" t="str">
        <f t="shared" si="3"/>
        <v>Customer Support</v>
      </c>
      <c r="M1249" s="7" t="str">
        <f t="shared" si="4"/>
        <v>Neutral</v>
      </c>
      <c r="N1249" s="7" t="str">
        <f>IFERROR(__xludf.DUMMYFUNCTION("LOWER(
TRIM(
REGEXREPLACE(B1249,""[^a-zA-Z\s]"","""")
)
)
"),"susan vaz")</f>
        <v>susan vaz</v>
      </c>
      <c r="O1249" s="7">
        <f t="shared" si="5"/>
        <v>1</v>
      </c>
      <c r="P1249" s="8" t="str">
        <f t="shared" si="6"/>
        <v>No</v>
      </c>
    </row>
    <row r="1250">
      <c r="A1250" s="4" t="s">
        <v>16</v>
      </c>
      <c r="B1250" s="4" t="s">
        <v>3541</v>
      </c>
      <c r="C1250" s="5">
        <v>44880.0</v>
      </c>
      <c r="D1250" s="10">
        <v>44880.0</v>
      </c>
      <c r="E1250" s="4" t="s">
        <v>3542</v>
      </c>
      <c r="F1250" s="4" t="s">
        <v>3543</v>
      </c>
      <c r="G1250" s="6" t="str">
        <f>IFERROR(__xludf.DUMMYFUNCTION("REGEXREPLACE(LOWER(F1250),""[^a-z\s]"","""")"),"great service and people thank you")</f>
        <v>great service and people thank you</v>
      </c>
      <c r="H1250" s="4" t="str">
        <f t="shared" si="1"/>
        <v>great service people thank you</v>
      </c>
      <c r="I1250" s="6">
        <f t="shared" si="2"/>
        <v>5</v>
      </c>
      <c r="J1250" s="6">
        <f>IFERROR(__xludf.DUMMYFUNCTION("IF(H1250="""","""",
SUM(
ARRAYFORMULA(
IF(
REGEXMATCH(
"" ""&amp;H1250&amp;"" "",
"" ""&amp;Sentiment_Words!A$2:A3730&amp;"" ""
),
1,
0
)
)
)
)"),1.0)</f>
        <v>1</v>
      </c>
      <c r="K1250" s="4">
        <f>IFERROR(__xludf.DUMMYFUNCTION("IF(H1250="""","""",
SUM(
ARRAYFORMULA(
IF(
REGEXMATCH(
"" ""&amp;H1250&amp;"" "",
"" ""&amp;Sentiment_Words!B$2:B3730&amp;"" ""
),
1,
0
)
)
)
)"),0.0)</f>
        <v>0</v>
      </c>
      <c r="L1250" s="7" t="str">
        <f t="shared" si="3"/>
        <v>Customer Support</v>
      </c>
      <c r="M1250" s="7" t="str">
        <f t="shared" si="4"/>
        <v>Positive</v>
      </c>
      <c r="N1250" s="7" t="str">
        <f>IFERROR(__xludf.DUMMYFUNCTION("LOWER(
TRIM(
REGEXREPLACE(B1250,""[^a-zA-Z\s]"","""")
)
)
"),"linda crane")</f>
        <v>linda crane</v>
      </c>
      <c r="O1250" s="7">
        <f t="shared" si="5"/>
        <v>1</v>
      </c>
      <c r="P1250" s="8" t="str">
        <f t="shared" si="6"/>
        <v>No</v>
      </c>
    </row>
    <row r="1251">
      <c r="A1251" s="4" t="s">
        <v>16</v>
      </c>
      <c r="B1251" s="4" t="s">
        <v>3544</v>
      </c>
      <c r="C1251" s="5">
        <v>44877.0</v>
      </c>
      <c r="D1251" s="10">
        <v>44880.0</v>
      </c>
      <c r="E1251" s="4" t="s">
        <v>3545</v>
      </c>
      <c r="F1251" s="4" t="s">
        <v>3546</v>
      </c>
      <c r="G1251" s="6" t="str">
        <f>IFERROR(__xludf.DUMMYFUNCTION("REGEXREPLACE(LOWER(F1251),""[^a-z\s]"","""")"),"i ordered cat food delivery on  and i am still waiting for it to be shipped to me there has been no update")</f>
        <v>i ordered cat food delivery on  and i am still waiting for it to be shipped to me there has been no update</v>
      </c>
      <c r="H1251" s="4" t="str">
        <f t="shared" si="1"/>
        <v>i ordered cat food delivery on i am still waiting it be shipped me there has been no update</v>
      </c>
      <c r="I1251" s="6">
        <f t="shared" si="2"/>
        <v>19</v>
      </c>
      <c r="J1251" s="6">
        <f>IFERROR(__xludf.DUMMYFUNCTION("IF(H1251="""","""",
SUM(
ARRAYFORMULA(
IF(
REGEXMATCH(
"" ""&amp;H1251&amp;"" "",
"" ""&amp;Sentiment_Words!A$2:A3730&amp;"" ""
),
1,
0
)
)
)
)"),0.0)</f>
        <v>0</v>
      </c>
      <c r="K1251" s="4">
        <f>IFERROR(__xludf.DUMMYFUNCTION("IF(H1251="""","""",
SUM(
ARRAYFORMULA(
IF(
REGEXMATCH(
"" ""&amp;H1251&amp;"" "",
"" ""&amp;Sentiment_Words!B$2:B3730&amp;"" ""
),
1,
0
)
)
)
)"),0.0)</f>
        <v>0</v>
      </c>
      <c r="L1251" s="7" t="str">
        <f t="shared" si="3"/>
        <v>Other</v>
      </c>
      <c r="M1251" s="7" t="str">
        <f t="shared" si="4"/>
        <v>Neutral</v>
      </c>
      <c r="N1251" s="7" t="str">
        <f>IFERROR(__xludf.DUMMYFUNCTION("LOWER(
TRIM(
REGEXREPLACE(B1251,""[^a-zA-Z\s]"","""")
)
)
"),"karen reed")</f>
        <v>karen reed</v>
      </c>
      <c r="O1251" s="7">
        <f t="shared" si="5"/>
        <v>1</v>
      </c>
      <c r="P1251" s="8" t="str">
        <f t="shared" si="6"/>
        <v>No</v>
      </c>
    </row>
    <row r="1252">
      <c r="A1252" s="4" t="s">
        <v>16</v>
      </c>
      <c r="B1252" s="4" t="s">
        <v>3547</v>
      </c>
      <c r="C1252" s="9">
        <v>44872.0</v>
      </c>
      <c r="D1252" s="10">
        <v>44880.0</v>
      </c>
      <c r="E1252" s="4" t="s">
        <v>3548</v>
      </c>
      <c r="F1252" s="4" t="s">
        <v>3549</v>
      </c>
      <c r="G1252" s="6" t="str">
        <f>IFERROR(__xludf.DUMMYFUNCTION("REGEXREPLACE(LOWER(F1252),""[^a-z\s]"","""")"),"i love the products they carry i love the communication the only negative is that they are out of my items a lot however i know that probably has more to do with the company who makes it than them")</f>
        <v>i love the products they carry i love the communication the only negative is that they are out of my items a lot however i know that probably has more to do with the company who makes it than them</v>
      </c>
      <c r="H1252" s="4" t="str">
        <f t="shared" si="1"/>
        <v>i love products they carry i love communication only negative that they are out of my items a lot however i know that probably has more do with company who makes it than them</v>
      </c>
      <c r="I1252" s="6">
        <f t="shared" si="2"/>
        <v>34</v>
      </c>
      <c r="J1252" s="6">
        <f>IFERROR(__xludf.DUMMYFUNCTION("IF(H1252="""","""",
SUM(
ARRAYFORMULA(
IF(
REGEXMATCH(
"" ""&amp;H1252&amp;"" "",
"" ""&amp;Sentiment_Words!A$2:A3730&amp;"" ""
),
1,
0
)
)
)
)"),1.0)</f>
        <v>1</v>
      </c>
      <c r="K1252" s="4">
        <f>IFERROR(__xludf.DUMMYFUNCTION("IF(H1252="""","""",
SUM(
ARRAYFORMULA(
IF(
REGEXMATCH(
"" ""&amp;H1252&amp;"" "",
"" ""&amp;Sentiment_Words!B$2:B3730&amp;"" ""
),
1,
0
)
)
)
)"),0.0)</f>
        <v>0</v>
      </c>
      <c r="L1252" s="7" t="str">
        <f t="shared" si="3"/>
        <v>Other</v>
      </c>
      <c r="M1252" s="7" t="str">
        <f t="shared" si="4"/>
        <v>Positive</v>
      </c>
      <c r="N1252" s="7" t="str">
        <f>IFERROR(__xludf.DUMMYFUNCTION("LOWER(
TRIM(
REGEXREPLACE(B1252,""[^a-zA-Z\s]"","""")
)
)
"),"aq")</f>
        <v>aq</v>
      </c>
      <c r="O1252" s="7">
        <f t="shared" si="5"/>
        <v>1</v>
      </c>
      <c r="P1252" s="8" t="str">
        <f t="shared" si="6"/>
        <v>No</v>
      </c>
    </row>
    <row r="1253">
      <c r="A1253" s="4" t="s">
        <v>16</v>
      </c>
      <c r="B1253" s="4" t="s">
        <v>3550</v>
      </c>
      <c r="C1253" s="9">
        <v>44867.0</v>
      </c>
      <c r="D1253" s="10">
        <v>44880.0</v>
      </c>
      <c r="E1253" s="4" t="s">
        <v>3551</v>
      </c>
      <c r="F1253" s="4" t="s">
        <v>3552</v>
      </c>
      <c r="G1253" s="6" t="str">
        <f>IFERROR(__xludf.DUMMYFUNCTION("REGEXREPLACE(LOWER(F1253),""[^a-z\s]"","""")"),"products were in stock website was easy to use prices were comparable to other things online retailers")</f>
        <v>products were in stock website was easy to use prices were comparable to other things online retailers</v>
      </c>
      <c r="H1253" s="4" t="str">
        <f t="shared" si="1"/>
        <v>products were in stock website was easy use prices were comparable other things online retailers</v>
      </c>
      <c r="I1253" s="6">
        <f t="shared" si="2"/>
        <v>15</v>
      </c>
      <c r="J1253" s="6">
        <f>IFERROR(__xludf.DUMMYFUNCTION("IF(H1253="""","""",
SUM(
ARRAYFORMULA(
IF(
REGEXMATCH(
"" ""&amp;H1253&amp;"" "",
"" ""&amp;Sentiment_Words!A$2:A3730&amp;"" ""
),
1,
0
)
)
)
)"),1.0)</f>
        <v>1</v>
      </c>
      <c r="K1253" s="4">
        <f>IFERROR(__xludf.DUMMYFUNCTION("IF(H1253="""","""",
SUM(
ARRAYFORMULA(
IF(
REGEXMATCH(
"" ""&amp;H1253&amp;"" "",
"" ""&amp;Sentiment_Words!B$2:B3730&amp;"" ""
),
1,
0
)
)
)
)"),0.0)</f>
        <v>0</v>
      </c>
      <c r="L1253" s="7" t="str">
        <f t="shared" si="3"/>
        <v>Account &amp; Website</v>
      </c>
      <c r="M1253" s="7" t="str">
        <f t="shared" si="4"/>
        <v>Positive</v>
      </c>
      <c r="N1253" s="7" t="str">
        <f>IFERROR(__xludf.DUMMYFUNCTION("LOWER(
TRIM(
REGEXREPLACE(B1253,""[^a-zA-Z\s]"","""")
)
)
"),"andrew ramseyer")</f>
        <v>andrew ramseyer</v>
      </c>
      <c r="O1253" s="7">
        <f t="shared" si="5"/>
        <v>1</v>
      </c>
      <c r="P1253" s="8" t="str">
        <f t="shared" si="6"/>
        <v>No</v>
      </c>
    </row>
    <row r="1254">
      <c r="A1254" s="4" t="s">
        <v>16</v>
      </c>
      <c r="B1254" s="4" t="s">
        <v>3553</v>
      </c>
      <c r="C1254" s="5">
        <v>44879.0</v>
      </c>
      <c r="D1254" s="10">
        <v>44880.0</v>
      </c>
      <c r="E1254" s="4" t="s">
        <v>3554</v>
      </c>
      <c r="F1254" s="4" t="s">
        <v>3555</v>
      </c>
      <c r="G1254" s="6" t="str">
        <f>IFERROR(__xludf.DUMMYFUNCTION("REGEXREPLACE(LOWER(F1254),""[^a-z\s]"","""")"),"great products fresh free shipping
great pricing")</f>
        <v>great products fresh free shipping
great pricing</v>
      </c>
      <c r="H1254" s="4" t="str">
        <f t="shared" si="1"/>
        <v>great products fresh free shipping
great pricing</v>
      </c>
      <c r="I1254" s="6">
        <f t="shared" si="2"/>
        <v>6</v>
      </c>
      <c r="J1254" s="6">
        <f>IFERROR(__xludf.DUMMYFUNCTION("IF(H1254="""","""",
SUM(
ARRAYFORMULA(
IF(
REGEXMATCH(
"" ""&amp;H1254&amp;"" "",
"" ""&amp;Sentiment_Words!A$2:A3730&amp;"" ""
),
1,
0
)
)
)
)"),1.0)</f>
        <v>1</v>
      </c>
      <c r="K1254" s="4">
        <f>IFERROR(__xludf.DUMMYFUNCTION("IF(H1254="""","""",
SUM(
ARRAYFORMULA(
IF(
REGEXMATCH(
"" ""&amp;H1254&amp;"" "",
"" ""&amp;Sentiment_Words!B$2:B3730&amp;"" ""
),
1,
0
)
)
)
)"),0.0)</f>
        <v>0</v>
      </c>
      <c r="L1254" s="7" t="str">
        <f t="shared" si="3"/>
        <v>Other</v>
      </c>
      <c r="M1254" s="7" t="str">
        <f t="shared" si="4"/>
        <v>Positive</v>
      </c>
      <c r="N1254" s="7" t="str">
        <f>IFERROR(__xludf.DUMMYFUNCTION("LOWER(
TRIM(
REGEXREPLACE(B1254,""[^a-zA-Z\s]"","""")
)
)
"),"nicole")</f>
        <v>nicole</v>
      </c>
      <c r="O1254" s="7">
        <f t="shared" si="5"/>
        <v>2</v>
      </c>
      <c r="P1254" s="8" t="str">
        <f t="shared" si="6"/>
        <v>Yes</v>
      </c>
    </row>
    <row r="1255">
      <c r="A1255" s="4" t="s">
        <v>16</v>
      </c>
      <c r="B1255" s="4" t="s">
        <v>3556</v>
      </c>
      <c r="C1255" s="9">
        <v>44869.0</v>
      </c>
      <c r="D1255" s="10">
        <v>44880.0</v>
      </c>
      <c r="E1255" s="4" t="s">
        <v>3557</v>
      </c>
      <c r="F1255" s="4" t="s">
        <v>3558</v>
      </c>
      <c r="G1255" s="6" t="str">
        <f>IFERROR(__xludf.DUMMYFUNCTION("REGEXREPLACE(LOWER(F1255),""[^a-z\s]"","""")"),"even though the delivery company brought my package a day later than they predicted it was still earlier than the estimated date i got when i placed my order all items arrived in good condition and i got a very reasonable price")</f>
        <v>even though the delivery company brought my package a day later than they predicted it was still earlier than the estimated date i got when i placed my order all items arrived in good condition and i got a very reasonable price</v>
      </c>
      <c r="H1255" s="4" t="str">
        <f t="shared" si="1"/>
        <v>even though delivery company brought my package a day later than they predicted it was still earlier than estimated date i got when i placed my order all items arrived in good condition i got a very reasonable price</v>
      </c>
      <c r="I1255" s="6">
        <f t="shared" si="2"/>
        <v>39</v>
      </c>
      <c r="J1255" s="6">
        <f>IFERROR(__xludf.DUMMYFUNCTION("IF(H1255="""","""",
SUM(
ARRAYFORMULA(
IF(
REGEXMATCH(
"" ""&amp;H1255&amp;"" "",
"" ""&amp;Sentiment_Words!A$2:A3730&amp;"" ""
),
1,
0
)
)
)
)"),1.0)</f>
        <v>1</v>
      </c>
      <c r="K1255" s="4">
        <f>IFERROR(__xludf.DUMMYFUNCTION("IF(H1255="""","""",
SUM(
ARRAYFORMULA(
IF(
REGEXMATCH(
"" ""&amp;H1255&amp;"" "",
"" ""&amp;Sentiment_Words!B$2:B3730&amp;"" ""
),
1,
0
)
)
)
)"),0.0)</f>
        <v>0</v>
      </c>
      <c r="L1255" s="7" t="str">
        <f t="shared" si="3"/>
        <v>Fulfillment &amp; Shipping</v>
      </c>
      <c r="M1255" s="7" t="str">
        <f t="shared" si="4"/>
        <v>Positive</v>
      </c>
      <c r="N1255" s="7" t="str">
        <f>IFERROR(__xludf.DUMMYFUNCTION("LOWER(
TRIM(
REGEXREPLACE(B1255,""[^a-zA-Z\s]"","""")
)
)
"),"gail pray")</f>
        <v>gail pray</v>
      </c>
      <c r="O1255" s="7">
        <f t="shared" si="5"/>
        <v>1</v>
      </c>
      <c r="P1255" s="8" t="str">
        <f t="shared" si="6"/>
        <v>No</v>
      </c>
    </row>
    <row r="1256">
      <c r="A1256" s="4" t="s">
        <v>16</v>
      </c>
      <c r="B1256" s="4" t="s">
        <v>1525</v>
      </c>
      <c r="C1256" s="9">
        <v>44870.0</v>
      </c>
      <c r="D1256" s="10">
        <v>44880.0</v>
      </c>
      <c r="E1256" s="4" t="s">
        <v>3559</v>
      </c>
      <c r="F1256" s="4" t="s">
        <v>3560</v>
      </c>
      <c r="G1256" s="6" t="str">
        <f>IFERROR(__xludf.DUMMYFUNCTION("REGEXREPLACE(LOWER(F1256),""[^a-z\s]"","""")"),"food my pet needs was listed on your website and so i placed an order then a few days later received a message my order could not be filled items should not be listed or show as out of stock if unavailable")</f>
        <v>food my pet needs was listed on your website and so i placed an order then a few days later received a message my order could not be filled items should not be listed or show as out of stock if unavailable</v>
      </c>
      <c r="H1256" s="4" t="str">
        <f t="shared" si="1"/>
        <v>food my pet needs was listed on your website so i placed an order then a few days later received a message my order could not be filled items should not be listed or show as out of stock if unavailable</v>
      </c>
      <c r="I1256" s="6">
        <f t="shared" si="2"/>
        <v>41</v>
      </c>
      <c r="J1256" s="6">
        <f>IFERROR(__xludf.DUMMYFUNCTION("IF(H1256="""","""",
SUM(
ARRAYFORMULA(
IF(
REGEXMATCH(
"" ""&amp;H1256&amp;"" "",
"" ""&amp;Sentiment_Words!A$2:A3730&amp;"" ""
),
1,
0
)
)
)
)"),0.0)</f>
        <v>0</v>
      </c>
      <c r="K1256" s="4">
        <f>IFERROR(__xludf.DUMMYFUNCTION("IF(H1256="""","""",
SUM(
ARRAYFORMULA(
IF(
REGEXMATCH(
"" ""&amp;H1256&amp;"" "",
"" ""&amp;Sentiment_Words!B$2:B3730&amp;"" ""
),
1,
0
)
)
)
)"),2.0)</f>
        <v>2</v>
      </c>
      <c r="L1256" s="7" t="str">
        <f t="shared" si="3"/>
        <v>Fulfillment &amp; Shipping</v>
      </c>
      <c r="M1256" s="7" t="str">
        <f t="shared" si="4"/>
        <v>Negative</v>
      </c>
      <c r="N1256" s="7" t="str">
        <f>IFERROR(__xludf.DUMMYFUNCTION("LOWER(
TRIM(
REGEXREPLACE(B1256,""[^a-zA-Z\s]"","""")
)
)
"),"debra")</f>
        <v>debra</v>
      </c>
      <c r="O1256" s="7">
        <f t="shared" si="5"/>
        <v>3</v>
      </c>
      <c r="P1256" s="8" t="str">
        <f t="shared" si="6"/>
        <v>Yes</v>
      </c>
    </row>
    <row r="1257">
      <c r="A1257" s="4" t="s">
        <v>16</v>
      </c>
      <c r="B1257" s="4" t="s">
        <v>3561</v>
      </c>
      <c r="C1257" s="9">
        <v>44872.0</v>
      </c>
      <c r="D1257" s="10">
        <v>44880.0</v>
      </c>
      <c r="E1257" s="4" t="s">
        <v>3562</v>
      </c>
      <c r="F1257" s="4" t="s">
        <v>3563</v>
      </c>
      <c r="G1257" s="6" t="str">
        <f>IFERROR(__xludf.DUMMYFUNCTION("REGEXREPLACE(LOWER(F1257),""[^a-z\s]"","""")"),"my order got canceled without any notification to me on  separate occasions i found out by checking the website on the status of my order")</f>
        <v>my order got canceled without any notification to me on  separate occasions i found out by checking the website on the status of my order</v>
      </c>
      <c r="H1257" s="4" t="str">
        <f t="shared" si="1"/>
        <v>my order got canceled without any notification me on separate occasions i found out by checking website on status of my order</v>
      </c>
      <c r="I1257" s="6">
        <f t="shared" si="2"/>
        <v>22</v>
      </c>
      <c r="J1257" s="6">
        <f>IFERROR(__xludf.DUMMYFUNCTION("IF(H1257="""","""",
SUM(
ARRAYFORMULA(
IF(
REGEXMATCH(
"" ""&amp;H1257&amp;"" "",
"" ""&amp;Sentiment_Words!A$2:A3730&amp;"" ""
),
1,
0
)
)
)
)"),1.0)</f>
        <v>1</v>
      </c>
      <c r="K1257" s="4">
        <f>IFERROR(__xludf.DUMMYFUNCTION("IF(H1257="""","""",
SUM(
ARRAYFORMULA(
IF(
REGEXMATCH(
"" ""&amp;H1257&amp;"" "",
"" ""&amp;Sentiment_Words!B$2:B3730&amp;"" ""
),
1,
0
)
)
)
)"),0.0)</f>
        <v>0</v>
      </c>
      <c r="L1257" s="7" t="str">
        <f t="shared" si="3"/>
        <v>Account &amp; Website</v>
      </c>
      <c r="M1257" s="7" t="str">
        <f t="shared" si="4"/>
        <v>Positive</v>
      </c>
      <c r="N1257" s="7" t="str">
        <f>IFERROR(__xludf.DUMMYFUNCTION("LOWER(
TRIM(
REGEXREPLACE(B1257,""[^a-zA-Z\s]"","""")
)
)
"),"douglas allan")</f>
        <v>douglas allan</v>
      </c>
      <c r="O1257" s="7">
        <f t="shared" si="5"/>
        <v>1</v>
      </c>
      <c r="P1257" s="8" t="str">
        <f t="shared" si="6"/>
        <v>No</v>
      </c>
    </row>
    <row r="1258">
      <c r="A1258" s="4" t="s">
        <v>16</v>
      </c>
      <c r="B1258" s="4" t="s">
        <v>3564</v>
      </c>
      <c r="C1258" s="9">
        <v>44873.0</v>
      </c>
      <c r="D1258" s="10">
        <v>44880.0</v>
      </c>
      <c r="E1258" s="4" t="s">
        <v>3565</v>
      </c>
      <c r="F1258" s="4" t="s">
        <v>3566</v>
      </c>
      <c r="G1258" s="6" t="str">
        <f>IFERROR(__xludf.DUMMYFUNCTION("REGEXREPLACE(LOWER(F1258),""[^a-z\s]"","""")"),"i am extremely happy with the ease of ordering from you")</f>
        <v>i am extremely happy with the ease of ordering from you</v>
      </c>
      <c r="H1258" s="4" t="str">
        <f t="shared" si="1"/>
        <v>i am extremely happy with ease of ordering from you</v>
      </c>
      <c r="I1258" s="6">
        <f t="shared" si="2"/>
        <v>10</v>
      </c>
      <c r="J1258" s="6">
        <f>IFERROR(__xludf.DUMMYFUNCTION("IF(H1258="""","""",
SUM(
ARRAYFORMULA(
IF(
REGEXMATCH(
"" ""&amp;H1258&amp;"" "",
"" ""&amp;Sentiment_Words!A$2:A3730&amp;"" ""
),
1,
0
)
)
)
)"),1.0)</f>
        <v>1</v>
      </c>
      <c r="K1258" s="4">
        <f>IFERROR(__xludf.DUMMYFUNCTION("IF(H1258="""","""",
SUM(
ARRAYFORMULA(
IF(
REGEXMATCH(
"" ""&amp;H1258&amp;"" "",
"" ""&amp;Sentiment_Words!B$2:B3730&amp;"" ""
),
1,
0
)
)
)
)"),0.0)</f>
        <v>0</v>
      </c>
      <c r="L1258" s="7" t="str">
        <f t="shared" si="3"/>
        <v>Other</v>
      </c>
      <c r="M1258" s="7" t="str">
        <f t="shared" si="4"/>
        <v>Positive</v>
      </c>
      <c r="N1258" s="7" t="str">
        <f>IFERROR(__xludf.DUMMYFUNCTION("LOWER(
TRIM(
REGEXREPLACE(B1258,""[^a-zA-Z\s]"","""")
)
)
"),"rebecca brogan")</f>
        <v>rebecca brogan</v>
      </c>
      <c r="O1258" s="7">
        <f t="shared" si="5"/>
        <v>1</v>
      </c>
      <c r="P1258" s="8" t="str">
        <f t="shared" si="6"/>
        <v>No</v>
      </c>
    </row>
    <row r="1259">
      <c r="A1259" s="4" t="s">
        <v>16</v>
      </c>
      <c r="B1259" s="4" t="s">
        <v>252</v>
      </c>
      <c r="C1259" s="9">
        <v>44869.0</v>
      </c>
      <c r="D1259" s="10">
        <v>44879.0</v>
      </c>
      <c r="E1259" s="4" t="s">
        <v>3567</v>
      </c>
      <c r="F1259" s="4" t="s">
        <v>3568</v>
      </c>
      <c r="G1259" s="6" t="str">
        <f>IFERROR(__xludf.DUMMYFUNCTION("REGEXREPLACE(LOWER(F1259),""[^a-z\s]"","""")"),"ordered two times and both times it was stated in stock after placing the order i was notified sorry out of stock worst website ever if you dont have it in stock ready to ship then dont state in stock")</f>
        <v>ordered two times and both times it was stated in stock after placing the order i was notified sorry out of stock worst website ever if you dont have it in stock ready to ship then dont state in stock</v>
      </c>
      <c r="H1259" s="4" t="str">
        <f t="shared" si="1"/>
        <v>ordered two times both times it was stated in stock after placing order i was notified sorry out of stock worst website ever if you dont have it in stock ready ship then dont state in stock</v>
      </c>
      <c r="I1259" s="6">
        <f t="shared" si="2"/>
        <v>37</v>
      </c>
      <c r="J1259" s="6">
        <f>IFERROR(__xludf.DUMMYFUNCTION("IF(H1259="""","""",
SUM(
ARRAYFORMULA(
IF(
REGEXMATCH(
"" ""&amp;H1259&amp;"" "",
"" ""&amp;Sentiment_Words!A$2:A3730&amp;"" ""
),
1,
0
)
)
)
)"),0.0)</f>
        <v>0</v>
      </c>
      <c r="K1259" s="4">
        <f>IFERROR(__xludf.DUMMYFUNCTION("IF(H1259="""","""",
SUM(
ARRAYFORMULA(
IF(
REGEXMATCH(
"" ""&amp;H1259&amp;"" "",
"" ""&amp;Sentiment_Words!B$2:B3730&amp;"" ""
),
1,
0
)
)
)
)"),1.0)</f>
        <v>1</v>
      </c>
      <c r="L1259" s="7" t="str">
        <f t="shared" si="3"/>
        <v>Availability</v>
      </c>
      <c r="M1259" s="7" t="str">
        <f t="shared" si="4"/>
        <v>Negative</v>
      </c>
      <c r="N1259" s="7" t="str">
        <f>IFERROR(__xludf.DUMMYFUNCTION("LOWER(
TRIM(
REGEXREPLACE(B1259,""[^a-zA-Z\s]"","""")
)
)
"),"lisa")</f>
        <v>lisa</v>
      </c>
      <c r="O1259" s="7">
        <f t="shared" si="5"/>
        <v>8</v>
      </c>
      <c r="P1259" s="8" t="str">
        <f t="shared" si="6"/>
        <v>Yes</v>
      </c>
    </row>
    <row r="1260">
      <c r="A1260" s="4" t="s">
        <v>16</v>
      </c>
      <c r="B1260" s="4" t="s">
        <v>3569</v>
      </c>
      <c r="C1260" s="5">
        <v>44879.0</v>
      </c>
      <c r="D1260" s="10">
        <v>44879.0</v>
      </c>
      <c r="E1260" s="4" t="s">
        <v>3570</v>
      </c>
      <c r="F1260" s="4" t="s">
        <v>331</v>
      </c>
      <c r="G1260" s="6" t="str">
        <f>IFERROR(__xludf.DUMMYFUNCTION("REGEXREPLACE(LOWER(F1260),""[^a-z\s]"","""")"),"none")</f>
        <v>none</v>
      </c>
      <c r="H1260" s="4" t="str">
        <f t="shared" si="1"/>
        <v>none</v>
      </c>
      <c r="I1260" s="6">
        <f t="shared" si="2"/>
        <v>1</v>
      </c>
      <c r="J1260" s="6">
        <f>IFERROR(__xludf.DUMMYFUNCTION("IF(H1260="""","""",
SUM(
ARRAYFORMULA(
IF(
REGEXMATCH(
"" ""&amp;H1260&amp;"" "",
"" ""&amp;Sentiment_Words!A$2:A3730&amp;"" ""
),
1,
0
)
)
)
)"),0.0)</f>
        <v>0</v>
      </c>
      <c r="K1260" s="4">
        <f>IFERROR(__xludf.DUMMYFUNCTION("IF(H1260="""","""",
SUM(
ARRAYFORMULA(
IF(
REGEXMATCH(
"" ""&amp;H1260&amp;"" "",
"" ""&amp;Sentiment_Words!B$2:B3730&amp;"" ""
),
1,
0
)
)
)
)"),0.0)</f>
        <v>0</v>
      </c>
      <c r="L1260" s="7" t="str">
        <f t="shared" si="3"/>
        <v>Other</v>
      </c>
      <c r="M1260" s="7" t="str">
        <f t="shared" si="4"/>
        <v>Neutral</v>
      </c>
      <c r="N1260" s="7" t="str">
        <f>IFERROR(__xludf.DUMMYFUNCTION("LOWER(
TRIM(
REGEXREPLACE(B1260,""[^a-zA-Z\s]"","""")
)
)
"),"mml")</f>
        <v>mml</v>
      </c>
      <c r="O1260" s="7">
        <f t="shared" si="5"/>
        <v>1</v>
      </c>
      <c r="P1260" s="8" t="str">
        <f t="shared" si="6"/>
        <v>No</v>
      </c>
    </row>
    <row r="1261">
      <c r="A1261" s="4" t="s">
        <v>16</v>
      </c>
      <c r="B1261" s="4" t="s">
        <v>3571</v>
      </c>
      <c r="C1261" s="5">
        <v>44861.0</v>
      </c>
      <c r="D1261" s="10">
        <v>44879.0</v>
      </c>
      <c r="E1261" s="4" t="s">
        <v>3572</v>
      </c>
      <c r="F1261" s="4" t="s">
        <v>331</v>
      </c>
      <c r="G1261" s="6" t="str">
        <f>IFERROR(__xludf.DUMMYFUNCTION("REGEXREPLACE(LOWER(F1261),""[^a-z\s]"","""")"),"none")</f>
        <v>none</v>
      </c>
      <c r="H1261" s="4" t="str">
        <f t="shared" si="1"/>
        <v>none</v>
      </c>
      <c r="I1261" s="6">
        <f t="shared" si="2"/>
        <v>1</v>
      </c>
      <c r="J1261" s="6">
        <f>IFERROR(__xludf.DUMMYFUNCTION("IF(H1261="""","""",
SUM(
ARRAYFORMULA(
IF(
REGEXMATCH(
"" ""&amp;H1261&amp;"" "",
"" ""&amp;Sentiment_Words!A$2:A3730&amp;"" ""
),
1,
0
)
)
)
)"),0.0)</f>
        <v>0</v>
      </c>
      <c r="K1261" s="4">
        <f>IFERROR(__xludf.DUMMYFUNCTION("IF(H1261="""","""",
SUM(
ARRAYFORMULA(
IF(
REGEXMATCH(
"" ""&amp;H1261&amp;"" "",
"" ""&amp;Sentiment_Words!B$2:B3730&amp;"" ""
),
1,
0
)
)
)
)"),0.0)</f>
        <v>0</v>
      </c>
      <c r="L1261" s="7" t="str">
        <f t="shared" si="3"/>
        <v>Other</v>
      </c>
      <c r="M1261" s="7" t="str">
        <f t="shared" si="4"/>
        <v>Neutral</v>
      </c>
      <c r="N1261" s="7" t="str">
        <f>IFERROR(__xludf.DUMMYFUNCTION("LOWER(
TRIM(
REGEXREPLACE(B1261,""[^a-zA-Z\s]"","""")
)
)
"),"art hiler")</f>
        <v>art hiler</v>
      </c>
      <c r="O1261" s="7">
        <f t="shared" si="5"/>
        <v>1</v>
      </c>
      <c r="P1261" s="8" t="str">
        <f t="shared" si="6"/>
        <v>No</v>
      </c>
    </row>
    <row r="1262">
      <c r="A1262" s="4" t="s">
        <v>16</v>
      </c>
      <c r="B1262" s="4" t="s">
        <v>3573</v>
      </c>
      <c r="C1262" s="9">
        <v>44874.0</v>
      </c>
      <c r="D1262" s="10">
        <v>44879.0</v>
      </c>
      <c r="E1262" s="4" t="s">
        <v>3574</v>
      </c>
      <c r="F1262" s="4" t="s">
        <v>3575</v>
      </c>
      <c r="G1262" s="6" t="str">
        <f>IFERROR(__xludf.DUMMYFUNCTION("REGEXREPLACE(LOWER(F1262),""[^a-z\s]"","""")"),"id never heard of petflow before they came up in a google search very glad they did i was able to buy some blue buffalo kitten food at a lower price than petsmart petco and chewy
i also got a bunch of my kittens favorite clicker training treats at a reas"&amp;"onable price
i received my order within the timeframe quoted and the packaging was excellent they used a box which was the perfect size not overly large like so many companies do these days im happy with my experience and will certainly buy from petflow "&amp;"again")</f>
        <v>id never heard of petflow before they came up in a google search very glad they did i was able to buy some blue buffalo kitten food at a lower price than petsmart petco and chewy
i also got a bunch of my kittens favorite clicker training treats at a reasonable price
i received my order within the timeframe quoted and the packaging was excellent they used a box which was the perfect size not overly large like so many companies do these days im happy with my experience and will certainly buy from petflow again</v>
      </c>
      <c r="H1262" s="4" t="str">
        <f t="shared" si="1"/>
        <v>id never heard of petflow before they came up in a google search very glad they did i was able buy some blue buffalo kitten food at a lower price than petsmart petco chewy
i also got a bunch of my kittens favorite clicker training treats at a reasonable price
i received my order within timeframe quoted packaging was excellent they used a box which was perfect size not overly large like so many companies do these days im happy with my experience will certainly buy from petflow again</v>
      </c>
      <c r="I1262" s="6">
        <f t="shared" si="2"/>
        <v>87</v>
      </c>
      <c r="J1262" s="6">
        <f>IFERROR(__xludf.DUMMYFUNCTION("IF(H1262="""","""",
SUM(
ARRAYFORMULA(
IF(
REGEXMATCH(
"" ""&amp;H1262&amp;"" "",
"" ""&amp;Sentiment_Words!A$2:A3730&amp;"" ""
),
1,
0
)
)
)
)"),2.0)</f>
        <v>2</v>
      </c>
      <c r="K1262" s="4">
        <f>IFERROR(__xludf.DUMMYFUNCTION("IF(H1262="""","""",
SUM(
ARRAYFORMULA(
IF(
REGEXMATCH(
"" ""&amp;H1262&amp;"" "",
"" ""&amp;Sentiment_Words!B$2:B3730&amp;"" ""
),
1,
0
)
)
)
)"),0.0)</f>
        <v>0</v>
      </c>
      <c r="L1262" s="7" t="str">
        <f t="shared" si="3"/>
        <v>Other</v>
      </c>
      <c r="M1262" s="7" t="str">
        <f t="shared" si="4"/>
        <v>Positive</v>
      </c>
      <c r="N1262" s="7" t="str">
        <f>IFERROR(__xludf.DUMMYFUNCTION("LOWER(
TRIM(
REGEXREPLACE(B1262,""[^a-zA-Z\s]"","""")
)
)
"),"charlene")</f>
        <v>charlene</v>
      </c>
      <c r="O1262" s="7">
        <f t="shared" si="5"/>
        <v>2</v>
      </c>
      <c r="P1262" s="8" t="str">
        <f t="shared" si="6"/>
        <v>Yes</v>
      </c>
    </row>
    <row r="1263">
      <c r="A1263" s="4" t="s">
        <v>16</v>
      </c>
      <c r="B1263" s="4" t="s">
        <v>3576</v>
      </c>
      <c r="C1263" s="9">
        <v>44869.0</v>
      </c>
      <c r="D1263" s="10">
        <v>44879.0</v>
      </c>
      <c r="E1263" s="4" t="s">
        <v>3577</v>
      </c>
      <c r="F1263" s="4" t="s">
        <v>3578</v>
      </c>
      <c r="G1263" s="6" t="str">
        <f>IFERROR(__xludf.DUMMYFUNCTION("REGEXREPLACE(LOWER(F1263),""[^a-z\s]"","""")"),"good communication shipped fast and great product")</f>
        <v>good communication shipped fast and great product</v>
      </c>
      <c r="H1263" s="4" t="str">
        <f t="shared" si="1"/>
        <v>good communication shipped fast great product</v>
      </c>
      <c r="I1263" s="6">
        <f t="shared" si="2"/>
        <v>6</v>
      </c>
      <c r="J1263" s="6">
        <f>IFERROR(__xludf.DUMMYFUNCTION("IF(H1263="""","""",
SUM(
ARRAYFORMULA(
IF(
REGEXMATCH(
"" ""&amp;H1263&amp;"" "",
"" ""&amp;Sentiment_Words!A$2:A3730&amp;"" ""
),
1,
0
)
)
)
)"),3.0)</f>
        <v>3</v>
      </c>
      <c r="K1263" s="4">
        <f>IFERROR(__xludf.DUMMYFUNCTION("IF(H1263="""","""",
SUM(
ARRAYFORMULA(
IF(
REGEXMATCH(
"" ""&amp;H1263&amp;"" "",
"" ""&amp;Sentiment_Words!B$2:B3730&amp;"" ""
),
1,
0
)
)
)
)"),0.0)</f>
        <v>0</v>
      </c>
      <c r="L1263" s="7" t="str">
        <f t="shared" si="3"/>
        <v>Other</v>
      </c>
      <c r="M1263" s="7" t="str">
        <f t="shared" si="4"/>
        <v>Positive</v>
      </c>
      <c r="N1263" s="7" t="str">
        <f>IFERROR(__xludf.DUMMYFUNCTION("LOWER(
TRIM(
REGEXREPLACE(B1263,""[^a-zA-Z\s]"","""")
)
)
"),"rebecca alderman")</f>
        <v>rebecca alderman</v>
      </c>
      <c r="O1263" s="7">
        <f t="shared" si="5"/>
        <v>1</v>
      </c>
      <c r="P1263" s="8" t="str">
        <f t="shared" si="6"/>
        <v>No</v>
      </c>
    </row>
    <row r="1264">
      <c r="A1264" s="4" t="s">
        <v>16</v>
      </c>
      <c r="B1264" s="4" t="s">
        <v>3579</v>
      </c>
      <c r="C1264" s="9">
        <v>44874.0</v>
      </c>
      <c r="D1264" s="10">
        <v>44879.0</v>
      </c>
      <c r="E1264" s="4" t="s">
        <v>2578</v>
      </c>
      <c r="F1264" s="4" t="s">
        <v>3580</v>
      </c>
      <c r="G1264" s="6" t="str">
        <f>IFERROR(__xludf.DUMMYFUNCTION("REGEXREPLACE(LOWER(F1264),""[^a-z\s]"","""")"),"i ordered and the item was not in stock but it doesnt say that online then when i try to reach out to find out ifwhen the item will be in stock communication was minimal to none")</f>
        <v>i ordered and the item was not in stock but it doesnt say that online then when i try to reach out to find out ifwhen the item will be in stock communication was minimal to none</v>
      </c>
      <c r="H1264" s="4" t="str">
        <f t="shared" si="1"/>
        <v>i ordered item was not in stock but it doesnt say that online then when i try reach out find out ifwhen item will be in stock communication was minimal none</v>
      </c>
      <c r="I1264" s="6">
        <f t="shared" si="2"/>
        <v>31</v>
      </c>
      <c r="J1264" s="6">
        <f>IFERROR(__xludf.DUMMYFUNCTION("IF(H1264="""","""",
SUM(
ARRAYFORMULA(
IF(
REGEXMATCH(
"" ""&amp;H1264&amp;"" "",
"" ""&amp;Sentiment_Words!A$2:A3730&amp;"" ""
),
1,
0
)
)
)
)"),0.0)</f>
        <v>0</v>
      </c>
      <c r="K1264" s="4">
        <f>IFERROR(__xludf.DUMMYFUNCTION("IF(H1264="""","""",
SUM(
ARRAYFORMULA(
IF(
REGEXMATCH(
"" ""&amp;H1264&amp;"" "",
"" ""&amp;Sentiment_Words!B$2:B3730&amp;"" ""
),
1,
0
)
)
)
)"),0.0)</f>
        <v>0</v>
      </c>
      <c r="L1264" s="7" t="str">
        <f t="shared" si="3"/>
        <v>Other</v>
      </c>
      <c r="M1264" s="7" t="str">
        <f t="shared" si="4"/>
        <v>Neutral</v>
      </c>
      <c r="N1264" s="7" t="str">
        <f>IFERROR(__xludf.DUMMYFUNCTION("LOWER(
TRIM(
REGEXREPLACE(B1264,""[^a-zA-Z\s]"","""")
)
)
"),"cary brenchley")</f>
        <v>cary brenchley</v>
      </c>
      <c r="O1264" s="7">
        <f t="shared" si="5"/>
        <v>1</v>
      </c>
      <c r="P1264" s="8" t="str">
        <f t="shared" si="6"/>
        <v>No</v>
      </c>
    </row>
    <row r="1265">
      <c r="A1265" s="4" t="s">
        <v>16</v>
      </c>
      <c r="B1265" s="4" t="s">
        <v>3581</v>
      </c>
      <c r="C1265" s="5">
        <v>44864.0</v>
      </c>
      <c r="D1265" s="10">
        <v>44879.0</v>
      </c>
      <c r="E1265" s="4" t="s">
        <v>3582</v>
      </c>
      <c r="F1265" s="4" t="s">
        <v>3583</v>
      </c>
      <c r="G1265" s="6" t="str">
        <f>IFERROR(__xludf.DUMMYFUNCTION("REGEXREPLACE(LOWER(F1265),""[^a-z\s]"","""")"),"customer service is awesome i was having trouble using a couopon and the woman i talked with took care of it its important to me that my purchase will feed a doggie")</f>
        <v>customer service is awesome i was having trouble using a couopon and the woman i talked with took care of it its important to me that my purchase will feed a doggie</v>
      </c>
      <c r="H1265" s="4" t="str">
        <f t="shared" si="1"/>
        <v>customer service awesome i was having trouble using a couopon woman i talked with took care of it its important me that my purchase will feed a doggie</v>
      </c>
      <c r="I1265" s="6">
        <f t="shared" si="2"/>
        <v>28</v>
      </c>
      <c r="J1265" s="6">
        <f>IFERROR(__xludf.DUMMYFUNCTION("IF(H1265="""","""",
SUM(
ARRAYFORMULA(
IF(
REGEXMATCH(
"" ""&amp;H1265&amp;"" "",
"" ""&amp;Sentiment_Words!A$2:A3730&amp;"" ""
),
1,
0
)
)
)
)"),0.0)</f>
        <v>0</v>
      </c>
      <c r="K1265" s="4">
        <f>IFERROR(__xludf.DUMMYFUNCTION("IF(H1265="""","""",
SUM(
ARRAYFORMULA(
IF(
REGEXMATCH(
"" ""&amp;H1265&amp;"" "",
"" ""&amp;Sentiment_Words!B$2:B3730&amp;"" ""
),
1,
0
)
)
)
)"),1.0)</f>
        <v>1</v>
      </c>
      <c r="L1265" s="7" t="str">
        <f t="shared" si="3"/>
        <v>Customer Support</v>
      </c>
      <c r="M1265" s="7" t="str">
        <f t="shared" si="4"/>
        <v>Negative</v>
      </c>
      <c r="N1265" s="7" t="str">
        <f>IFERROR(__xludf.DUMMYFUNCTION("LOWER(
TRIM(
REGEXREPLACE(B1265,""[^a-zA-Z\s]"","""")
)
)
"),"lanay samuelson")</f>
        <v>lanay samuelson</v>
      </c>
      <c r="O1265" s="7">
        <f t="shared" si="5"/>
        <v>1</v>
      </c>
      <c r="P1265" s="8" t="str">
        <f t="shared" si="6"/>
        <v>No</v>
      </c>
    </row>
    <row r="1266">
      <c r="A1266" s="4" t="s">
        <v>16</v>
      </c>
      <c r="B1266" s="4" t="s">
        <v>3584</v>
      </c>
      <c r="C1266" s="5">
        <v>44862.0</v>
      </c>
      <c r="D1266" s="10">
        <v>44879.0</v>
      </c>
      <c r="E1266" s="4" t="s">
        <v>1146</v>
      </c>
      <c r="F1266" s="4" t="s">
        <v>3585</v>
      </c>
      <c r="G1266" s="6" t="str">
        <f>IFERROR(__xludf.DUMMYFUNCTION("REGEXREPLACE(LOWER(F1266),""[^a-z\s]"","""")"),"your website said the wet cat food was in stock i never received my order because you are out of the food")</f>
        <v>your website said the wet cat food was in stock i never received my order because you are out of the food</v>
      </c>
      <c r="H1266" s="4" t="str">
        <f t="shared" si="1"/>
        <v>your website said wet cat food was in stock i never received my order because you are out of food</v>
      </c>
      <c r="I1266" s="6">
        <f t="shared" si="2"/>
        <v>20</v>
      </c>
      <c r="J1266" s="6">
        <f>IFERROR(__xludf.DUMMYFUNCTION("IF(H1266="""","""",
SUM(
ARRAYFORMULA(
IF(
REGEXMATCH(
"" ""&amp;H1266&amp;"" "",
"" ""&amp;Sentiment_Words!A$2:A3730&amp;"" ""
),
1,
0
)
)
)
)"),0.0)</f>
        <v>0</v>
      </c>
      <c r="K1266" s="4">
        <f>IFERROR(__xludf.DUMMYFUNCTION("IF(H1266="""","""",
SUM(
ARRAYFORMULA(
IF(
REGEXMATCH(
"" ""&amp;H1266&amp;"" "",
"" ""&amp;Sentiment_Words!B$2:B3730&amp;"" ""
),
1,
0
)
)
)
)"),0.0)</f>
        <v>0</v>
      </c>
      <c r="L1266" s="7" t="str">
        <f t="shared" si="3"/>
        <v>Account &amp; Website</v>
      </c>
      <c r="M1266" s="7" t="str">
        <f t="shared" si="4"/>
        <v>Neutral</v>
      </c>
      <c r="N1266" s="7" t="str">
        <f>IFERROR(__xludf.DUMMYFUNCTION("LOWER(
TRIM(
REGEXREPLACE(B1266,""[^a-zA-Z\s]"","""")
)
)
"),"carol bronson")</f>
        <v>carol bronson</v>
      </c>
      <c r="O1266" s="7">
        <f t="shared" si="5"/>
        <v>1</v>
      </c>
      <c r="P1266" s="8" t="str">
        <f t="shared" si="6"/>
        <v>No</v>
      </c>
    </row>
    <row r="1267">
      <c r="A1267" s="4" t="s">
        <v>16</v>
      </c>
      <c r="B1267" s="4" t="s">
        <v>3586</v>
      </c>
      <c r="C1267" s="9">
        <v>44866.0</v>
      </c>
      <c r="D1267" s="10">
        <v>44879.0</v>
      </c>
      <c r="E1267" s="4" t="s">
        <v>3587</v>
      </c>
      <c r="F1267" s="4" t="s">
        <v>3588</v>
      </c>
      <c r="G1267" s="6" t="str">
        <f>IFERROR(__xludf.DUMMYFUNCTION("REGEXREPLACE(LOWER(F1267),""[^a-z\s]"","""")"),"always satisfied with the service i have gotten at pet flow delivered in a timely manner packaged well and in good shape when it arrives and products we use are always available")</f>
        <v>always satisfied with the service i have gotten at pet flow delivered in a timely manner packaged well and in good shape when it arrives and products we use are always available</v>
      </c>
      <c r="H1267" s="4" t="str">
        <f t="shared" si="1"/>
        <v>always satisfied with service i have gotten at pet flow delivered in a timely manner packaged well in good shape when it arrives products we use are always available</v>
      </c>
      <c r="I1267" s="6">
        <f t="shared" si="2"/>
        <v>29</v>
      </c>
      <c r="J1267" s="6">
        <f>IFERROR(__xludf.DUMMYFUNCTION("IF(H1267="""","""",
SUM(
ARRAYFORMULA(
IF(
REGEXMATCH(
"" ""&amp;H1267&amp;"" "",
"" ""&amp;Sentiment_Words!A$2:A3730&amp;"" ""
),
1,
0
)
)
)
)"),4.0)</f>
        <v>4</v>
      </c>
      <c r="K1267" s="4">
        <f>IFERROR(__xludf.DUMMYFUNCTION("IF(H1267="""","""",
SUM(
ARRAYFORMULA(
IF(
REGEXMATCH(
"" ""&amp;H1267&amp;"" "",
"" ""&amp;Sentiment_Words!B$2:B3730&amp;"" ""
),
1,
0
)
)
)
)"),0.0)</f>
        <v>0</v>
      </c>
      <c r="L1267" s="7" t="str">
        <f t="shared" si="3"/>
        <v>Customer Support</v>
      </c>
      <c r="M1267" s="7" t="str">
        <f t="shared" si="4"/>
        <v>Positive</v>
      </c>
      <c r="N1267" s="7" t="str">
        <f>IFERROR(__xludf.DUMMYFUNCTION("LOWER(
TRIM(
REGEXREPLACE(B1267,""[^a-zA-Z\s]"","""")
)
)
"),"ambur m")</f>
        <v>ambur m</v>
      </c>
      <c r="O1267" s="7">
        <f t="shared" si="5"/>
        <v>1</v>
      </c>
      <c r="P1267" s="8" t="str">
        <f t="shared" si="6"/>
        <v>No</v>
      </c>
    </row>
    <row r="1268">
      <c r="A1268" s="4" t="s">
        <v>16</v>
      </c>
      <c r="B1268" s="4" t="s">
        <v>3589</v>
      </c>
      <c r="C1268" s="5">
        <v>44865.0</v>
      </c>
      <c r="D1268" s="10">
        <v>44879.0</v>
      </c>
      <c r="E1268" s="4" t="s">
        <v>3590</v>
      </c>
      <c r="F1268" s="4" t="s">
        <v>3591</v>
      </c>
      <c r="G1268" s="6" t="str">
        <f>IFERROR(__xludf.DUMMYFUNCTION("REGEXREPLACE(LOWER(F1268),""[^a-z\s]"","""")"),"great prices timely delivery and great products")</f>
        <v>great prices timely delivery and great products</v>
      </c>
      <c r="H1268" s="4" t="str">
        <f t="shared" si="1"/>
        <v>great prices timely delivery great products</v>
      </c>
      <c r="I1268" s="6">
        <f t="shared" si="2"/>
        <v>6</v>
      </c>
      <c r="J1268" s="6">
        <f>IFERROR(__xludf.DUMMYFUNCTION("IF(H1268="""","""",
SUM(
ARRAYFORMULA(
IF(
REGEXMATCH(
"" ""&amp;H1268&amp;"" "",
"" ""&amp;Sentiment_Words!A$2:A3730&amp;"" ""
),
1,
0
)
)
)
)"),1.0)</f>
        <v>1</v>
      </c>
      <c r="K1268" s="4">
        <f>IFERROR(__xludf.DUMMYFUNCTION("IF(H1268="""","""",
SUM(
ARRAYFORMULA(
IF(
REGEXMATCH(
"" ""&amp;H1268&amp;"" "",
"" ""&amp;Sentiment_Words!B$2:B3730&amp;"" ""
),
1,
0
)
)
)
)"),0.0)</f>
        <v>0</v>
      </c>
      <c r="L1268" s="7" t="str">
        <f t="shared" si="3"/>
        <v>Other</v>
      </c>
      <c r="M1268" s="7" t="str">
        <f t="shared" si="4"/>
        <v>Positive</v>
      </c>
      <c r="N1268" s="7" t="str">
        <f>IFERROR(__xludf.DUMMYFUNCTION("LOWER(
TRIM(
REGEXREPLACE(B1268,""[^a-zA-Z\s]"","""")
)
)
"),"dan march")</f>
        <v>dan march</v>
      </c>
      <c r="O1268" s="7">
        <f t="shared" si="5"/>
        <v>1</v>
      </c>
      <c r="P1268" s="8" t="str">
        <f t="shared" si="6"/>
        <v>No</v>
      </c>
    </row>
    <row r="1269">
      <c r="A1269" s="4" t="s">
        <v>16</v>
      </c>
      <c r="B1269" s="4" t="s">
        <v>3592</v>
      </c>
      <c r="C1269" s="9">
        <v>44869.0</v>
      </c>
      <c r="D1269" s="10">
        <v>44878.0</v>
      </c>
      <c r="E1269" s="4" t="s">
        <v>181</v>
      </c>
      <c r="F1269" s="4" t="s">
        <v>3593</v>
      </c>
      <c r="G1269" s="6" t="str">
        <f>IFERROR(__xludf.DUMMYFUNCTION("REGEXREPLACE(LOWER(F1269),""[^a-z\s]"","""")"),"package arrived promptly and was wellpacked ordering was easy the product is just what my cats love too  and its hard to find")</f>
        <v>package arrived promptly and was wellpacked ordering was easy the product is just what my cats love too  and its hard to find</v>
      </c>
      <c r="H1269" s="4" t="str">
        <f t="shared" si="1"/>
        <v>package arrived promptly was wellpacked ordering was easy product just what my cats love too its hard find</v>
      </c>
      <c r="I1269" s="6">
        <f t="shared" si="2"/>
        <v>18</v>
      </c>
      <c r="J1269" s="6">
        <f>IFERROR(__xludf.DUMMYFUNCTION("IF(H1269="""","""",
SUM(
ARRAYFORMULA(
IF(
REGEXMATCH(
"" ""&amp;H1269&amp;"" "",
"" ""&amp;Sentiment_Words!A$2:A3730&amp;"" ""
),
1,
0
)
)
)
)"),2.0)</f>
        <v>2</v>
      </c>
      <c r="K1269" s="4">
        <f>IFERROR(__xludf.DUMMYFUNCTION("IF(H1269="""","""",
SUM(
ARRAYFORMULA(
IF(
REGEXMATCH(
"" ""&amp;H1269&amp;"" "",
"" ""&amp;Sentiment_Words!B$2:B3730&amp;"" ""
),
1,
0
)
)
)
)"),0.0)</f>
        <v>0</v>
      </c>
      <c r="L1269" s="7" t="str">
        <f t="shared" si="3"/>
        <v>Other</v>
      </c>
      <c r="M1269" s="7" t="str">
        <f t="shared" si="4"/>
        <v>Positive</v>
      </c>
      <c r="N1269" s="7" t="str">
        <f>IFERROR(__xludf.DUMMYFUNCTION("LOWER(
TRIM(
REGEXREPLACE(B1269,""[^a-zA-Z\s]"","""")
)
)
"),"wendy stelmack")</f>
        <v>wendy stelmack</v>
      </c>
      <c r="O1269" s="7">
        <f t="shared" si="5"/>
        <v>1</v>
      </c>
      <c r="P1269" s="8" t="str">
        <f t="shared" si="6"/>
        <v>No</v>
      </c>
    </row>
    <row r="1270">
      <c r="A1270" s="4" t="s">
        <v>16</v>
      </c>
      <c r="B1270" s="4" t="s">
        <v>3594</v>
      </c>
      <c r="C1270" s="5">
        <v>44862.0</v>
      </c>
      <c r="D1270" s="10">
        <v>44878.0</v>
      </c>
      <c r="E1270" s="4" t="s">
        <v>3595</v>
      </c>
      <c r="F1270" s="4" t="s">
        <v>3596</v>
      </c>
      <c r="G1270" s="6" t="str">
        <f>IFERROR(__xludf.DUMMYFUNCTION("REGEXREPLACE(LOWER(F1270),""[^a-z\s]"","""")"),"prices great and selectiondeals appealing preparation and shipping could be quicker customer service agent was snarky
still choosing over chewy ")</f>
        <v>prices great and selectiondeals appealing preparation and shipping could be quicker customer service agent was snarky
still choosing over chewy </v>
      </c>
      <c r="H1270" s="4" t="str">
        <f t="shared" si="1"/>
        <v>prices great selectiondeals appealing preparation shipping could be quicker customer service agent was snarky
still choosing over chewy</v>
      </c>
      <c r="I1270" s="6">
        <f t="shared" si="2"/>
        <v>17</v>
      </c>
      <c r="J1270" s="6">
        <f>IFERROR(__xludf.DUMMYFUNCTION("IF(H1270="""","""",
SUM(
ARRAYFORMULA(
IF(
REGEXMATCH(
"" ""&amp;H1270&amp;"" "",
"" ""&amp;Sentiment_Words!A$2:A3730&amp;"" ""
),
1,
0
)
)
)
)"),1.0)</f>
        <v>1</v>
      </c>
      <c r="K1270" s="4">
        <f>IFERROR(__xludf.DUMMYFUNCTION("IF(H1270="""","""",
SUM(
ARRAYFORMULA(
IF(
REGEXMATCH(
"" ""&amp;H1270&amp;"" "",
"" ""&amp;Sentiment_Words!B$2:B3730&amp;"" ""
),
1,
0
)
)
)
)"),1.0)</f>
        <v>1</v>
      </c>
      <c r="L1270" s="7" t="str">
        <f t="shared" si="3"/>
        <v>Customer Support</v>
      </c>
      <c r="M1270" s="7" t="str">
        <f t="shared" si="4"/>
        <v>Neutral</v>
      </c>
      <c r="N1270" s="7" t="str">
        <f>IFERROR(__xludf.DUMMYFUNCTION("LOWER(
TRIM(
REGEXREPLACE(B1270,""[^a-zA-Z\s]"","""")
)
)
"),"robin munson")</f>
        <v>robin munson</v>
      </c>
      <c r="O1270" s="7">
        <f t="shared" si="5"/>
        <v>1</v>
      </c>
      <c r="P1270" s="8" t="str">
        <f t="shared" si="6"/>
        <v>No</v>
      </c>
    </row>
    <row r="1271">
      <c r="A1271" s="4" t="s">
        <v>16</v>
      </c>
      <c r="B1271" s="4" t="s">
        <v>3597</v>
      </c>
      <c r="C1271" s="9">
        <v>44872.0</v>
      </c>
      <c r="D1271" s="10">
        <v>44878.0</v>
      </c>
      <c r="E1271" s="4" t="s">
        <v>3598</v>
      </c>
      <c r="F1271" s="4" t="s">
        <v>3599</v>
      </c>
      <c r="G1271" s="6" t="str">
        <f>IFERROR(__xludf.DUMMYFUNCTION("REGEXREPLACE(LOWER(F1271),""[^a-z\s]"","""")"),"speedy service with a personal touch they also carry some brands we cant get elsewhere they are lifesavers")</f>
        <v>speedy service with a personal touch they also carry some brands we cant get elsewhere they are lifesavers</v>
      </c>
      <c r="H1271" s="4" t="str">
        <f t="shared" si="1"/>
        <v>speedy service with a personal touch they also carry some brands we cant get elsewhere they are lifesavers</v>
      </c>
      <c r="I1271" s="6">
        <f t="shared" si="2"/>
        <v>18</v>
      </c>
      <c r="J1271" s="6">
        <f>IFERROR(__xludf.DUMMYFUNCTION("IF(H1271="""","""",
SUM(
ARRAYFORMULA(
IF(
REGEXMATCH(
"" ""&amp;H1271&amp;"" "",
"" ""&amp;Sentiment_Words!A$2:A3730&amp;"" ""
),
1,
0
)
)
)
)"),0.0)</f>
        <v>0</v>
      </c>
      <c r="K1271" s="4">
        <f>IFERROR(__xludf.DUMMYFUNCTION("IF(H1271="""","""",
SUM(
ARRAYFORMULA(
IF(
REGEXMATCH(
"" ""&amp;H1271&amp;"" "",
"" ""&amp;Sentiment_Words!B$2:B3730&amp;"" ""
),
1,
0
)
)
)
)"),0.0)</f>
        <v>0</v>
      </c>
      <c r="L1271" s="7" t="str">
        <f t="shared" si="3"/>
        <v>Customer Support</v>
      </c>
      <c r="M1271" s="7" t="str">
        <f t="shared" si="4"/>
        <v>Neutral</v>
      </c>
      <c r="N1271" s="7" t="str">
        <f>IFERROR(__xludf.DUMMYFUNCTION("LOWER(
TRIM(
REGEXREPLACE(B1271,""[^a-zA-Z\s]"","""")
)
)
"),"lilnlus ma")</f>
        <v>lilnlus ma</v>
      </c>
      <c r="O1271" s="7">
        <f t="shared" si="5"/>
        <v>1</v>
      </c>
      <c r="P1271" s="8" t="str">
        <f t="shared" si="6"/>
        <v>No</v>
      </c>
    </row>
    <row r="1272">
      <c r="A1272" s="4" t="s">
        <v>16</v>
      </c>
      <c r="B1272" s="4" t="s">
        <v>3600</v>
      </c>
      <c r="C1272" s="9">
        <v>44874.0</v>
      </c>
      <c r="D1272" s="10">
        <v>44878.0</v>
      </c>
      <c r="E1272" s="4" t="s">
        <v>3601</v>
      </c>
      <c r="F1272" s="4" t="s">
        <v>3602</v>
      </c>
      <c r="G1272" s="6" t="str">
        <f>IFERROR(__xludf.DUMMYFUNCTION("REGEXREPLACE(LOWER(F1272),""[^a-z\s]"","""")"),"very quick service on fromm dog food for our new puppy we were not able to find this brand elsewhere  happily pet flow was able to keep him on his regular brand ")</f>
        <v>very quick service on fromm dog food for our new puppy we were not able to find this brand elsewhere  happily pet flow was able to keep him on his regular brand </v>
      </c>
      <c r="H1272" s="4" t="str">
        <f t="shared" si="1"/>
        <v>very quick service on fromm dog food our new puppy we were not able find this brand elsewhere happily pet flow was able keep him on his regular brand</v>
      </c>
      <c r="I1272" s="6">
        <f t="shared" si="2"/>
        <v>29</v>
      </c>
      <c r="J1272" s="6">
        <f>IFERROR(__xludf.DUMMYFUNCTION("IF(H1272="""","""",
SUM(
ARRAYFORMULA(
IF(
REGEXMATCH(
"" ""&amp;H1272&amp;"" "",
"" ""&amp;Sentiment_Words!A$2:A3730&amp;"" ""
),
1,
0
)
)
)
)"),1.0)</f>
        <v>1</v>
      </c>
      <c r="K1272" s="4">
        <f>IFERROR(__xludf.DUMMYFUNCTION("IF(H1272="""","""",
SUM(
ARRAYFORMULA(
IF(
REGEXMATCH(
"" ""&amp;H1272&amp;"" "",
"" ""&amp;Sentiment_Words!B$2:B3730&amp;"" ""
),
1,
0
)
)
)
)"),0.0)</f>
        <v>0</v>
      </c>
      <c r="L1272" s="7" t="str">
        <f t="shared" si="3"/>
        <v>Customer Support</v>
      </c>
      <c r="M1272" s="7" t="str">
        <f t="shared" si="4"/>
        <v>Positive</v>
      </c>
      <c r="N1272" s="7" t="str">
        <f>IFERROR(__xludf.DUMMYFUNCTION("LOWER(
TRIM(
REGEXREPLACE(B1272,""[^a-zA-Z\s]"","""")
)
)
"),"frederick irwin")</f>
        <v>frederick irwin</v>
      </c>
      <c r="O1272" s="7">
        <f t="shared" si="5"/>
        <v>1</v>
      </c>
      <c r="P1272" s="8" t="str">
        <f t="shared" si="6"/>
        <v>No</v>
      </c>
    </row>
    <row r="1273">
      <c r="A1273" s="4" t="s">
        <v>16</v>
      </c>
      <c r="B1273" s="4" t="s">
        <v>3603</v>
      </c>
      <c r="C1273" s="9">
        <v>44867.0</v>
      </c>
      <c r="D1273" s="10">
        <v>44877.0</v>
      </c>
      <c r="E1273" s="4" t="s">
        <v>3604</v>
      </c>
      <c r="F1273" s="4" t="s">
        <v>3605</v>
      </c>
      <c r="G1273" s="6" t="str">
        <f>IFERROR(__xludf.DUMMYFUNCTION("REGEXREPLACE(LOWER(F1273),""[^a-z\s]"","""")"),"fraud team kept flagging my credit card and cancelling my shipment even though ive purchased here many times and there was no issue with my bank")</f>
        <v>fraud team kept flagging my credit card and cancelling my shipment even though ive purchased here many times and there was no issue with my bank</v>
      </c>
      <c r="H1273" s="4" t="str">
        <f t="shared" si="1"/>
        <v>fraud team kept flagging my credit card cancelling my shipment even though ive purchased here many times there was no issue with my bank</v>
      </c>
      <c r="I1273" s="6">
        <f t="shared" si="2"/>
        <v>24</v>
      </c>
      <c r="J1273" s="6">
        <f>IFERROR(__xludf.DUMMYFUNCTION("IF(H1273="""","""",
SUM(
ARRAYFORMULA(
IF(
REGEXMATCH(
"" ""&amp;H1273&amp;"" "",
"" ""&amp;Sentiment_Words!A$2:A3730&amp;"" ""
),
1,
0
)
)
)
)"),0.0)</f>
        <v>0</v>
      </c>
      <c r="K1273" s="4">
        <f>IFERROR(__xludf.DUMMYFUNCTION("IF(H1273="""","""",
SUM(
ARRAYFORMULA(
IF(
REGEXMATCH(
"" ""&amp;H1273&amp;"" "",
"" ""&amp;Sentiment_Words!B$2:B3730&amp;"" ""
),
1,
0
)
)
)
)"),1.0)</f>
        <v>1</v>
      </c>
      <c r="L1273" s="7" t="str">
        <f t="shared" si="3"/>
        <v>Other</v>
      </c>
      <c r="M1273" s="7" t="str">
        <f t="shared" si="4"/>
        <v>Negative</v>
      </c>
      <c r="N1273" s="7" t="str">
        <f>IFERROR(__xludf.DUMMYFUNCTION("LOWER(
TRIM(
REGEXREPLACE(B1273,""[^a-zA-Z\s]"","""")
)
)
"),"gourmet gal")</f>
        <v>gourmet gal</v>
      </c>
      <c r="O1273" s="7">
        <f t="shared" si="5"/>
        <v>1</v>
      </c>
      <c r="P1273" s="8" t="str">
        <f t="shared" si="6"/>
        <v>No</v>
      </c>
    </row>
    <row r="1274">
      <c r="A1274" s="4" t="s">
        <v>16</v>
      </c>
      <c r="B1274" s="4" t="s">
        <v>3606</v>
      </c>
      <c r="C1274" s="5">
        <v>44877.0</v>
      </c>
      <c r="D1274" s="10">
        <v>44877.0</v>
      </c>
      <c r="E1274" s="4" t="s">
        <v>3607</v>
      </c>
      <c r="F1274" s="4" t="s">
        <v>3608</v>
      </c>
      <c r="G1274" s="6" t="str">
        <f>IFERROR(__xludf.DUMMYFUNCTION("REGEXREPLACE(LOWER(F1274),""[^a-z\s]"","""")"),"variety of flavors for fancy feast wet cat food is limited right now but i was able to find what i wanted at a great price at pet flow shipping was fast")</f>
        <v>variety of flavors for fancy feast wet cat food is limited right now but i was able to find what i wanted at a great price at pet flow shipping was fast</v>
      </c>
      <c r="H1274" s="4" t="str">
        <f t="shared" si="1"/>
        <v>variety of flavors fancy feast wet cat food limited right now but i was able find what i wanted at a great price at pet flow shipping was fast</v>
      </c>
      <c r="I1274" s="6">
        <f t="shared" si="2"/>
        <v>29</v>
      </c>
      <c r="J1274" s="6">
        <f>IFERROR(__xludf.DUMMYFUNCTION("IF(H1274="""","""",
SUM(
ARRAYFORMULA(
IF(
REGEXMATCH(
"" ""&amp;H1274&amp;"" "",
"" ""&amp;Sentiment_Words!A$2:A3730&amp;"" ""
),
1,
0
)
)
)
)"),3.0)</f>
        <v>3</v>
      </c>
      <c r="K1274" s="4">
        <f>IFERROR(__xludf.DUMMYFUNCTION("IF(H1274="""","""",
SUM(
ARRAYFORMULA(
IF(
REGEXMATCH(
"" ""&amp;H1274&amp;"" "",
"" ""&amp;Sentiment_Words!B$2:B3730&amp;"" ""
),
1,
0
)
)
)
)"),0.0)</f>
        <v>0</v>
      </c>
      <c r="L1274" s="7" t="str">
        <f t="shared" si="3"/>
        <v>Other</v>
      </c>
      <c r="M1274" s="7" t="str">
        <f t="shared" si="4"/>
        <v>Positive</v>
      </c>
      <c r="N1274" s="7" t="str">
        <f>IFERROR(__xludf.DUMMYFUNCTION("LOWER(
TRIM(
REGEXREPLACE(B1274,""[^a-zA-Z\s]"","""")
)
)
"),"michael principe")</f>
        <v>michael principe</v>
      </c>
      <c r="O1274" s="7">
        <f t="shared" si="5"/>
        <v>1</v>
      </c>
      <c r="P1274" s="8" t="str">
        <f t="shared" si="6"/>
        <v>No</v>
      </c>
    </row>
    <row r="1275">
      <c r="A1275" s="4" t="s">
        <v>16</v>
      </c>
      <c r="B1275" s="4" t="s">
        <v>3609</v>
      </c>
      <c r="C1275" s="9">
        <v>44866.0</v>
      </c>
      <c r="D1275" s="10">
        <v>44877.0</v>
      </c>
      <c r="E1275" s="4" t="s">
        <v>3610</v>
      </c>
      <c r="F1275" s="4" t="s">
        <v>3611</v>
      </c>
      <c r="G1275" s="6" t="str">
        <f>IFERROR(__xludf.DUMMYFUNCTION("REGEXREPLACE(LOWER(F1275),""[^a-z\s]"","""")"),"the order i placed arrived on time i question whether this product was the actual item from the original product made by another company my beagle would not eat this brand but ate the real brand from the manufacturer the dog food didnt even look like the "&amp;"real food")</f>
        <v>the order i placed arrived on time i question whether this product was the actual item from the original product made by another company my beagle would not eat this brand but ate the real brand from the manufacturer the dog food didnt even look like the real food</v>
      </c>
      <c r="H1275" s="4" t="str">
        <f t="shared" si="1"/>
        <v>order i placed arrived on time i question whether this product was actual item from original product made by another company my beagle would not eat this brand but ate real brand from manufacturer dog food didnt even look like real food</v>
      </c>
      <c r="I1275" s="6">
        <f t="shared" si="2"/>
        <v>42</v>
      </c>
      <c r="J1275" s="6">
        <f>IFERROR(__xludf.DUMMYFUNCTION("IF(H1275="""","""",
SUM(
ARRAYFORMULA(
IF(
REGEXMATCH(
"" ""&amp;H1275&amp;"" "",
"" ""&amp;Sentiment_Words!A$2:A3730&amp;"" ""
),
1,
0
)
)
)
)"),1.0)</f>
        <v>1</v>
      </c>
      <c r="K1275" s="4">
        <f>IFERROR(__xludf.DUMMYFUNCTION("IF(H1275="""","""",
SUM(
ARRAYFORMULA(
IF(
REGEXMATCH(
"" ""&amp;H1275&amp;"" "",
"" ""&amp;Sentiment_Words!B$2:B3730&amp;"" ""
),
1,
0
)
)
)
)"),0.0)</f>
        <v>0</v>
      </c>
      <c r="L1275" s="7" t="str">
        <f t="shared" si="3"/>
        <v>Other</v>
      </c>
      <c r="M1275" s="7" t="str">
        <f t="shared" si="4"/>
        <v>Positive</v>
      </c>
      <c r="N1275" s="7" t="str">
        <f>IFERROR(__xludf.DUMMYFUNCTION("LOWER(
TRIM(
REGEXREPLACE(B1275,""[^a-zA-Z\s]"","""")
)
)
"),"monica feagan")</f>
        <v>monica feagan</v>
      </c>
      <c r="O1275" s="7">
        <f t="shared" si="5"/>
        <v>1</v>
      </c>
      <c r="P1275" s="8" t="str">
        <f t="shared" si="6"/>
        <v>No</v>
      </c>
    </row>
    <row r="1276">
      <c r="A1276" s="4" t="s">
        <v>16</v>
      </c>
      <c r="B1276" s="4" t="s">
        <v>3612</v>
      </c>
      <c r="C1276" s="9">
        <v>44866.0</v>
      </c>
      <c r="D1276" s="10">
        <v>44877.0</v>
      </c>
      <c r="E1276" s="4" t="s">
        <v>3613</v>
      </c>
      <c r="F1276" s="4" t="s">
        <v>3614</v>
      </c>
      <c r="G1276" s="6" t="str">
        <f>IFERROR(__xludf.DUMMYFUNCTION("REGEXREPLACE(LOWER(F1276),""[^a-z\s]"","""")"),"love science diet pet food and love their price")</f>
        <v>love science diet pet food and love their price</v>
      </c>
      <c r="H1276" s="4" t="str">
        <f t="shared" si="1"/>
        <v>love science diet pet food love their price</v>
      </c>
      <c r="I1276" s="6">
        <f t="shared" si="2"/>
        <v>8</v>
      </c>
      <c r="J1276" s="6">
        <f>IFERROR(__xludf.DUMMYFUNCTION("IF(H1276="""","""",
SUM(
ARRAYFORMULA(
IF(
REGEXMATCH(
"" ""&amp;H1276&amp;"" "",
"" ""&amp;Sentiment_Words!A$2:A3730&amp;"" ""
),
1,
0
)
)
)
)"),1.0)</f>
        <v>1</v>
      </c>
      <c r="K1276" s="4">
        <f>IFERROR(__xludf.DUMMYFUNCTION("IF(H1276="""","""",
SUM(
ARRAYFORMULA(
IF(
REGEXMATCH(
"" ""&amp;H1276&amp;"" "",
"" ""&amp;Sentiment_Words!B$2:B3730&amp;"" ""
),
1,
0
)
)
)
)"),0.0)</f>
        <v>0</v>
      </c>
      <c r="L1276" s="7" t="str">
        <f t="shared" si="3"/>
        <v>Other</v>
      </c>
      <c r="M1276" s="7" t="str">
        <f t="shared" si="4"/>
        <v>Positive</v>
      </c>
      <c r="N1276" s="7" t="str">
        <f>IFERROR(__xludf.DUMMYFUNCTION("LOWER(
TRIM(
REGEXREPLACE(B1276,""[^a-zA-Z\s]"","""")
)
)
"),"tracy")</f>
        <v>tracy</v>
      </c>
      <c r="O1276" s="7">
        <f t="shared" si="5"/>
        <v>3</v>
      </c>
      <c r="P1276" s="8" t="str">
        <f t="shared" si="6"/>
        <v>Yes</v>
      </c>
    </row>
    <row r="1277">
      <c r="A1277" s="4" t="s">
        <v>16</v>
      </c>
      <c r="B1277" s="4" t="s">
        <v>3615</v>
      </c>
      <c r="C1277" s="5">
        <v>44876.0</v>
      </c>
      <c r="D1277" s="10">
        <v>44877.0</v>
      </c>
      <c r="E1277" s="4" t="s">
        <v>3616</v>
      </c>
      <c r="F1277" s="4" t="s">
        <v>3617</v>
      </c>
      <c r="G1277" s="6" t="str">
        <f>IFERROR(__xludf.DUMMYFUNCTION("REGEXREPLACE(LOWER(F1277),""[^a-z\s]"","""")"),"happy with petflow good prices delivered timely packaged well")</f>
        <v>happy with petflow good prices delivered timely packaged well</v>
      </c>
      <c r="H1277" s="4" t="str">
        <f t="shared" si="1"/>
        <v>happy with petflow good prices delivered timely packaged well</v>
      </c>
      <c r="I1277" s="6">
        <f t="shared" si="2"/>
        <v>9</v>
      </c>
      <c r="J1277" s="6">
        <f>IFERROR(__xludf.DUMMYFUNCTION("IF(H1277="""","""",
SUM(
ARRAYFORMULA(
IF(
REGEXMATCH(
"" ""&amp;H1277&amp;"" "",
"" ""&amp;Sentiment_Words!A$2:A3730&amp;"" ""
),
1,
0
)
)
)
)"),3.0)</f>
        <v>3</v>
      </c>
      <c r="K1277" s="4">
        <f>IFERROR(__xludf.DUMMYFUNCTION("IF(H1277="""","""",
SUM(
ARRAYFORMULA(
IF(
REGEXMATCH(
"" ""&amp;H1277&amp;"" "",
"" ""&amp;Sentiment_Words!B$2:B3730&amp;"" ""
),
1,
0
)
)
)
)"),0.0)</f>
        <v>0</v>
      </c>
      <c r="L1277" s="7" t="str">
        <f t="shared" si="3"/>
        <v>Other</v>
      </c>
      <c r="M1277" s="7" t="str">
        <f t="shared" si="4"/>
        <v>Positive</v>
      </c>
      <c r="N1277" s="7" t="str">
        <f>IFERROR(__xludf.DUMMYFUNCTION("LOWER(
TRIM(
REGEXREPLACE(B1277,""[^a-zA-Z\s]"","""")
)
)
"),"ladonna swaim")</f>
        <v>ladonna swaim</v>
      </c>
      <c r="O1277" s="7">
        <f t="shared" si="5"/>
        <v>1</v>
      </c>
      <c r="P1277" s="8" t="str">
        <f t="shared" si="6"/>
        <v>No</v>
      </c>
    </row>
    <row r="1278">
      <c r="A1278" s="4" t="s">
        <v>16</v>
      </c>
      <c r="B1278" s="4" t="s">
        <v>3618</v>
      </c>
      <c r="C1278" s="9">
        <v>44874.0</v>
      </c>
      <c r="D1278" s="10">
        <v>44877.0</v>
      </c>
      <c r="E1278" s="4" t="s">
        <v>3619</v>
      </c>
      <c r="F1278" s="4" t="s">
        <v>3620</v>
      </c>
      <c r="G1278" s="6" t="str">
        <f>IFERROR(__xludf.DUMMYFUNCTION("REGEXREPLACE(LOWER(F1278),""[^a-z\s]"","""")"),"my dog loves petflow pet food the taste is very good the logistics is also very fast and the nutrition is very balanced")</f>
        <v>my dog loves petflow pet food the taste is very good the logistics is also very fast and the nutrition is very balanced</v>
      </c>
      <c r="H1278" s="4" t="str">
        <f t="shared" si="1"/>
        <v>my dog loves petflow pet food taste very good logistics also very fast nutrition very balanced</v>
      </c>
      <c r="I1278" s="6">
        <f t="shared" si="2"/>
        <v>16</v>
      </c>
      <c r="J1278" s="6">
        <f>IFERROR(__xludf.DUMMYFUNCTION("IF(H1278="""","""",
SUM(
ARRAYFORMULA(
IF(
REGEXMATCH(
"" ""&amp;H1278&amp;"" "",
"" ""&amp;Sentiment_Words!A$2:A3730&amp;"" ""
),
1,
0
)
)
)
)"),2.0)</f>
        <v>2</v>
      </c>
      <c r="K1278" s="4">
        <f>IFERROR(__xludf.DUMMYFUNCTION("IF(H1278="""","""",
SUM(
ARRAYFORMULA(
IF(
REGEXMATCH(
"" ""&amp;H1278&amp;"" "",
"" ""&amp;Sentiment_Words!B$2:B3730&amp;"" ""
),
1,
0
)
)
)
)"),0.0)</f>
        <v>0</v>
      </c>
      <c r="L1278" s="7" t="str">
        <f t="shared" si="3"/>
        <v>Other</v>
      </c>
      <c r="M1278" s="7" t="str">
        <f t="shared" si="4"/>
        <v>Positive</v>
      </c>
      <c r="N1278" s="7" t="str">
        <f>IFERROR(__xludf.DUMMYFUNCTION("LOWER(
TRIM(
REGEXREPLACE(B1278,""[^a-zA-Z\s]"","""")
)
)
"),"ashley")</f>
        <v>ashley</v>
      </c>
      <c r="O1278" s="7">
        <f t="shared" si="5"/>
        <v>2</v>
      </c>
      <c r="P1278" s="8" t="str">
        <f t="shared" si="6"/>
        <v>Yes</v>
      </c>
    </row>
    <row r="1279">
      <c r="A1279" s="4" t="s">
        <v>16</v>
      </c>
      <c r="B1279" s="4" t="s">
        <v>3621</v>
      </c>
      <c r="C1279" s="9">
        <v>44867.0</v>
      </c>
      <c r="D1279" s="10">
        <v>44877.0</v>
      </c>
      <c r="E1279" s="4" t="s">
        <v>3622</v>
      </c>
      <c r="F1279" s="4" t="s">
        <v>3623</v>
      </c>
      <c r="G1279" s="6" t="str">
        <f>IFERROR(__xludf.DUMMYFUNCTION("REGEXREPLACE(LOWER(F1279),""[^a-z\s]"","""")"),"products are great customer service is excellent shipping is fast thank you very much")</f>
        <v>products are great customer service is excellent shipping is fast thank you very much</v>
      </c>
      <c r="H1279" s="4" t="str">
        <f t="shared" si="1"/>
        <v>products are great customer service excellent shipping fast thank you very much</v>
      </c>
      <c r="I1279" s="6">
        <f t="shared" si="2"/>
        <v>12</v>
      </c>
      <c r="J1279" s="6">
        <f>IFERROR(__xludf.DUMMYFUNCTION("IF(H1279="""","""",
SUM(
ARRAYFORMULA(
IF(
REGEXMATCH(
"" ""&amp;H1279&amp;"" "",
"" ""&amp;Sentiment_Words!A$2:A3730&amp;"" ""
),
1,
0
)
)
)
)"),3.0)</f>
        <v>3</v>
      </c>
      <c r="K1279" s="4">
        <f>IFERROR(__xludf.DUMMYFUNCTION("IF(H1279="""","""",
SUM(
ARRAYFORMULA(
IF(
REGEXMATCH(
"" ""&amp;H1279&amp;"" "",
"" ""&amp;Sentiment_Words!B$2:B3730&amp;"" ""
),
1,
0
)
)
)
)"),1.0)</f>
        <v>1</v>
      </c>
      <c r="L1279" s="7" t="str">
        <f t="shared" si="3"/>
        <v>Customer Support</v>
      </c>
      <c r="M1279" s="7" t="str">
        <f t="shared" si="4"/>
        <v>Positive</v>
      </c>
      <c r="N1279" s="7" t="str">
        <f>IFERROR(__xludf.DUMMYFUNCTION("LOWER(
TRIM(
REGEXREPLACE(B1279,""[^a-zA-Z\s]"","""")
)
)
"),"michael james")</f>
        <v>michael james</v>
      </c>
      <c r="O1279" s="7">
        <f t="shared" si="5"/>
        <v>1</v>
      </c>
      <c r="P1279" s="8" t="str">
        <f t="shared" si="6"/>
        <v>No</v>
      </c>
    </row>
    <row r="1280">
      <c r="A1280" s="4" t="s">
        <v>16</v>
      </c>
      <c r="B1280" s="4" t="s">
        <v>3624</v>
      </c>
      <c r="C1280" s="5">
        <v>44876.0</v>
      </c>
      <c r="D1280" s="10">
        <v>44876.0</v>
      </c>
      <c r="E1280" s="4" t="s">
        <v>3625</v>
      </c>
      <c r="F1280" s="4" t="s">
        <v>331</v>
      </c>
      <c r="G1280" s="6" t="str">
        <f>IFERROR(__xludf.DUMMYFUNCTION("REGEXREPLACE(LOWER(F1280),""[^a-z\s]"","""")"),"none")</f>
        <v>none</v>
      </c>
      <c r="H1280" s="4" t="str">
        <f t="shared" si="1"/>
        <v>none</v>
      </c>
      <c r="I1280" s="6">
        <f t="shared" si="2"/>
        <v>1</v>
      </c>
      <c r="J1280" s="6">
        <f>IFERROR(__xludf.DUMMYFUNCTION("IF(H1280="""","""",
SUM(
ARRAYFORMULA(
IF(
REGEXMATCH(
"" ""&amp;H1280&amp;"" "",
"" ""&amp;Sentiment_Words!A$2:A3730&amp;"" ""
),
1,
0
)
)
)
)"),0.0)</f>
        <v>0</v>
      </c>
      <c r="K1280" s="4">
        <f>IFERROR(__xludf.DUMMYFUNCTION("IF(H1280="""","""",
SUM(
ARRAYFORMULA(
IF(
REGEXMATCH(
"" ""&amp;H1280&amp;"" "",
"" ""&amp;Sentiment_Words!B$2:B3730&amp;"" ""
),
1,
0
)
)
)
)"),0.0)</f>
        <v>0</v>
      </c>
      <c r="L1280" s="7" t="str">
        <f t="shared" si="3"/>
        <v>Other</v>
      </c>
      <c r="M1280" s="7" t="str">
        <f t="shared" si="4"/>
        <v>Neutral</v>
      </c>
      <c r="N1280" s="7" t="str">
        <f>IFERROR(__xludf.DUMMYFUNCTION("LOWER(
TRIM(
REGEXREPLACE(B1280,""[^a-zA-Z\s]"","""")
)
)
"),"jordan rogers")</f>
        <v>jordan rogers</v>
      </c>
      <c r="O1280" s="7">
        <f t="shared" si="5"/>
        <v>1</v>
      </c>
      <c r="P1280" s="8" t="str">
        <f t="shared" si="6"/>
        <v>No</v>
      </c>
    </row>
    <row r="1281">
      <c r="A1281" s="4" t="s">
        <v>16</v>
      </c>
      <c r="B1281" s="4" t="s">
        <v>3626</v>
      </c>
      <c r="C1281" s="5">
        <v>44875.0</v>
      </c>
      <c r="D1281" s="10">
        <v>44876.0</v>
      </c>
      <c r="E1281" s="4" t="s">
        <v>2180</v>
      </c>
      <c r="F1281" s="4" t="s">
        <v>331</v>
      </c>
      <c r="G1281" s="6" t="str">
        <f>IFERROR(__xludf.DUMMYFUNCTION("REGEXREPLACE(LOWER(F1281),""[^a-z\s]"","""")"),"none")</f>
        <v>none</v>
      </c>
      <c r="H1281" s="4" t="str">
        <f t="shared" si="1"/>
        <v>none</v>
      </c>
      <c r="I1281" s="6">
        <f t="shared" si="2"/>
        <v>1</v>
      </c>
      <c r="J1281" s="6">
        <f>IFERROR(__xludf.DUMMYFUNCTION("IF(H1281="""","""",
SUM(
ARRAYFORMULA(
IF(
REGEXMATCH(
"" ""&amp;H1281&amp;"" "",
"" ""&amp;Sentiment_Words!A$2:A3730&amp;"" ""
),
1,
0
)
)
)
)"),0.0)</f>
        <v>0</v>
      </c>
      <c r="K1281" s="4">
        <f>IFERROR(__xludf.DUMMYFUNCTION("IF(H1281="""","""",
SUM(
ARRAYFORMULA(
IF(
REGEXMATCH(
"" ""&amp;H1281&amp;"" "",
"" ""&amp;Sentiment_Words!B$2:B3730&amp;"" ""
),
1,
0
)
)
)
)"),0.0)</f>
        <v>0</v>
      </c>
      <c r="L1281" s="7" t="str">
        <f t="shared" si="3"/>
        <v>Other</v>
      </c>
      <c r="M1281" s="7" t="str">
        <f t="shared" si="4"/>
        <v>Neutral</v>
      </c>
      <c r="N1281" s="7" t="str">
        <f>IFERROR(__xludf.DUMMYFUNCTION("LOWER(
TRIM(
REGEXREPLACE(B1281,""[^a-zA-Z\s]"","""")
)
)
"),"shelly")</f>
        <v>shelly</v>
      </c>
      <c r="O1281" s="7">
        <f t="shared" si="5"/>
        <v>1</v>
      </c>
      <c r="P1281" s="8" t="str">
        <f t="shared" si="6"/>
        <v>No</v>
      </c>
    </row>
    <row r="1282">
      <c r="A1282" s="4" t="s">
        <v>16</v>
      </c>
      <c r="B1282" s="4" t="s">
        <v>3627</v>
      </c>
      <c r="C1282" s="5">
        <v>44875.0</v>
      </c>
      <c r="D1282" s="10">
        <v>44876.0</v>
      </c>
      <c r="E1282" s="4" t="s">
        <v>3628</v>
      </c>
      <c r="F1282" s="4" t="s">
        <v>3629</v>
      </c>
      <c r="G1282" s="6" t="str">
        <f>IFERROR(__xludf.DUMMYFUNCTION("REGEXREPLACE(LOWER(F1282),""[^a-z\s]"","""")"),"pros very wide selection of dog and cat items i think you could probably find what you would get at any other petretailer comparable prices the website was easy enough to navigate and there were discount codes available
cons the autoship that i set up did"&amp;" not get shipped until about  days after the chosen date the packaging is not as environmentally friendly as i had hoped  lots of plastic air pockets that really cant be recycled customer service interactions were odd i sent an email asking when my shipme"&amp;"nt would be sent out and the autoreply started with the line during these difficult times difficult times for the company for humanity for me it was just bizarre and im surprised that whoever came up with that got it approved a few days later i received a"&amp;"n email from an actual agent asking for my order number because they couldnt find the info how can you not find my info what type of recordkeeping system are you using that you cant look up a client and see all of their purchases and the statuses
overall "&amp;"the cons feel like growing pains i work for a startup and i understand how those earlier days can be ill continue purchasing from them at the end of the day i was able to purchase what i wanted at a discounted price and the items arrived in a reasonable t"&amp;"ime frame so overall a decent first impression")</f>
        <v>pros very wide selection of dog and cat items i think you could probably find what you would get at any other petretailer comparable prices the website was easy enough to navigate and there were discount codes available
cons the autoship that i set up did not get shipped until about  days after the chosen date the packaging is not as environmentally friendly as i had hoped  lots of plastic air pockets that really cant be recycled customer service interactions were odd i sent an email asking when my shipment would be sent out and the autoreply started with the line during these difficult times difficult times for the company for humanity for me it was just bizarre and im surprised that whoever came up with that got it approved a few days later i received an email from an actual agent asking for my order number because they couldnt find the info how can you not find my info what type of recordkeeping system are you using that you cant look up a client and see all of their purchases and the statuses
overall the cons feel like growing pains i work for a startup and i understand how those earlier days can be ill continue purchasing from them at the end of the day i was able to purchase what i wanted at a discounted price and the items arrived in a reasonable time frame so overall a decent first impression</v>
      </c>
      <c r="H1282" s="4" t="str">
        <f t="shared" si="1"/>
        <v>pros very wide selection of dog cat items i think you could probably find what you would get at any other petretailer comparable prices website was easy enough navigate there were discount codes available
cons autoship that i set up did not get shipped until about days after chosen date packaging not as environmentally friendly as i had hoped lots of plastic air pockets that really cant be recycled customer service interactions were odd i sent an email asking when my shipment would be sent out autoreply started with line during these difficult times difficult times company humanity me it was just bizarre im surprised that whoever came up with that got it approved a few days later i received an email from an actual agent asking my order number because they couldnt find info how can you not find my info what type of recordkeeping system are you using that you cant look up a client see all of their purchases statuses
overall cons feel like growing pains i work a startup i understand how those earlier days can be ill continue purchasing from them at end of day i was able purchase what i wanted at a discounted price items arrived in a reasonable time frame so overall a decent first impression</v>
      </c>
      <c r="I1282" s="6">
        <f t="shared" si="2"/>
        <v>212</v>
      </c>
      <c r="J1282" s="6">
        <f>IFERROR(__xludf.DUMMYFUNCTION("IF(H1282="""","""",
SUM(
ARRAYFORMULA(
IF(
REGEXMATCH(
"" ""&amp;H1282&amp;"" "",
"" ""&amp;Sentiment_Words!A$2:A3730&amp;"" ""
),
1,
0
)
)
)
)"),2.0)</f>
        <v>2</v>
      </c>
      <c r="K1282" s="4">
        <f>IFERROR(__xludf.DUMMYFUNCTION("IF(H1282="""","""",
SUM(
ARRAYFORMULA(
IF(
REGEXMATCH(
"" ""&amp;H1282&amp;"" "",
"" ""&amp;Sentiment_Words!B$2:B3730&amp;"" ""
),
1,
0
)
)
)
)"),1.0)</f>
        <v>1</v>
      </c>
      <c r="L1282" s="7" t="str">
        <f t="shared" si="3"/>
        <v>Customer Support</v>
      </c>
      <c r="M1282" s="7" t="str">
        <f t="shared" si="4"/>
        <v>Positive</v>
      </c>
      <c r="N1282" s="7" t="str">
        <f>IFERROR(__xludf.DUMMYFUNCTION("LOWER(
TRIM(
REGEXREPLACE(B1282,""[^a-zA-Z\s]"","""")
)
)
"),"ashley p")</f>
        <v>ashley p</v>
      </c>
      <c r="O1282" s="7">
        <f t="shared" si="5"/>
        <v>1</v>
      </c>
      <c r="P1282" s="8" t="str">
        <f t="shared" si="6"/>
        <v>No</v>
      </c>
    </row>
    <row r="1283">
      <c r="A1283" s="4" t="s">
        <v>16</v>
      </c>
      <c r="B1283" s="4" t="s">
        <v>3630</v>
      </c>
      <c r="C1283" s="5">
        <v>44865.0</v>
      </c>
      <c r="D1283" s="10">
        <v>44876.0</v>
      </c>
      <c r="E1283" s="4" t="s">
        <v>3631</v>
      </c>
      <c r="F1283" s="4" t="s">
        <v>3632</v>
      </c>
      <c r="G1283" s="6" t="str">
        <f>IFERROR(__xludf.DUMMYFUNCTION("REGEXREPLACE(LOWER(F1283),""[^a-z\s]"","""")"),"i will forever be a customer food gets here fast and helps other dogs in need every time you purchase plus i prefer to support a small business highly recommend and have passed on to friends")</f>
        <v>i will forever be a customer food gets here fast and helps other dogs in need every time you purchase plus i prefer to support a small business highly recommend and have passed on to friends</v>
      </c>
      <c r="H1283" s="4" t="str">
        <f t="shared" si="1"/>
        <v>i will forever be a customer food gets here fast helps other dogs in need every time you purchase plus i prefer support a small business highly recommend have passed on friends</v>
      </c>
      <c r="I1283" s="6">
        <f t="shared" si="2"/>
        <v>32</v>
      </c>
      <c r="J1283" s="6">
        <f>IFERROR(__xludf.DUMMYFUNCTION("IF(H1283="""","""",
SUM(
ARRAYFORMULA(
IF(
REGEXMATCH(
"" ""&amp;H1283&amp;"" "",
"" ""&amp;Sentiment_Words!A$2:A3730&amp;"" ""
),
1,
0
)
)
)
)"),2.0)</f>
        <v>2</v>
      </c>
      <c r="K1283" s="4">
        <f>IFERROR(__xludf.DUMMYFUNCTION("IF(H1283="""","""",
SUM(
ARRAYFORMULA(
IF(
REGEXMATCH(
"" ""&amp;H1283&amp;"" "",
"" ""&amp;Sentiment_Words!B$2:B3730&amp;"" ""
),
1,
0
)
)
)
)"),0.0)</f>
        <v>0</v>
      </c>
      <c r="L1283" s="7" t="str">
        <f t="shared" si="3"/>
        <v>Customer Support</v>
      </c>
      <c r="M1283" s="7" t="str">
        <f t="shared" si="4"/>
        <v>Positive</v>
      </c>
      <c r="N1283" s="7" t="str">
        <f>IFERROR(__xludf.DUMMYFUNCTION("LOWER(
TRIM(
REGEXREPLACE(B1283,""[^a-zA-Z\s]"","""")
)
)
"),"bobbi")</f>
        <v>bobbi</v>
      </c>
      <c r="O1283" s="7">
        <f t="shared" si="5"/>
        <v>1</v>
      </c>
      <c r="P1283" s="8" t="str">
        <f t="shared" si="6"/>
        <v>No</v>
      </c>
    </row>
    <row r="1284">
      <c r="A1284" s="4" t="s">
        <v>16</v>
      </c>
      <c r="B1284" s="4" t="s">
        <v>3633</v>
      </c>
      <c r="C1284" s="9">
        <v>44869.0</v>
      </c>
      <c r="D1284" s="10">
        <v>44876.0</v>
      </c>
      <c r="E1284" s="4" t="s">
        <v>190</v>
      </c>
      <c r="F1284" s="4" t="s">
        <v>3634</v>
      </c>
      <c r="G1284" s="6" t="str">
        <f>IFERROR(__xludf.DUMMYFUNCTION("REGEXREPLACE(LOWER(F1284),""[^a-z\s]"","""")"),"was able to place my order easily the only issue was a slight delay in delivery due to warehouse stocking i was quickly notified that my delivery would arrive a day later and i was delighted when it did")</f>
        <v>was able to place my order easily the only issue was a slight delay in delivery due to warehouse stocking i was quickly notified that my delivery would arrive a day later and i was delighted when it did</v>
      </c>
      <c r="H1284" s="4" t="str">
        <f t="shared" si="1"/>
        <v>was able place my order easily only issue was a slight delay in delivery due warehouse stocking i was quickly notified that my delivery would arrive a day later i was delighted when it did</v>
      </c>
      <c r="I1284" s="6">
        <f t="shared" si="2"/>
        <v>35</v>
      </c>
      <c r="J1284" s="6">
        <f>IFERROR(__xludf.DUMMYFUNCTION("IF(H1284="""","""",
SUM(
ARRAYFORMULA(
IF(
REGEXMATCH(
"" ""&amp;H1284&amp;"" "",
"" ""&amp;Sentiment_Words!A$2:A3730&amp;"" ""
),
1,
0
)
)
)
)"),1.0)</f>
        <v>1</v>
      </c>
      <c r="K1284" s="4">
        <f>IFERROR(__xludf.DUMMYFUNCTION("IF(H1284="""","""",
SUM(
ARRAYFORMULA(
IF(
REGEXMATCH(
"" ""&amp;H1284&amp;"" "",
"" ""&amp;Sentiment_Words!B$2:B3730&amp;"" ""
),
1,
0
)
)
)
)"),2.0)</f>
        <v>2</v>
      </c>
      <c r="L1284" s="7" t="str">
        <f t="shared" si="3"/>
        <v>Fulfillment &amp; Shipping</v>
      </c>
      <c r="M1284" s="7" t="str">
        <f t="shared" si="4"/>
        <v>Negative</v>
      </c>
      <c r="N1284" s="7" t="str">
        <f>IFERROR(__xludf.DUMMYFUNCTION("LOWER(
TRIM(
REGEXREPLACE(B1284,""[^a-zA-Z\s]"","""")
)
)
"),"sophie brooks")</f>
        <v>sophie brooks</v>
      </c>
      <c r="O1284" s="7">
        <f t="shared" si="5"/>
        <v>1</v>
      </c>
      <c r="P1284" s="8" t="str">
        <f t="shared" si="6"/>
        <v>No</v>
      </c>
    </row>
    <row r="1285">
      <c r="A1285" s="4" t="s">
        <v>16</v>
      </c>
      <c r="B1285" s="4" t="s">
        <v>3635</v>
      </c>
      <c r="C1285" s="9">
        <v>44868.0</v>
      </c>
      <c r="D1285" s="10">
        <v>44876.0</v>
      </c>
      <c r="E1285" s="4" t="s">
        <v>3636</v>
      </c>
      <c r="F1285" s="4" t="s">
        <v>3637</v>
      </c>
      <c r="G1285" s="6" t="str">
        <f>IFERROR(__xludf.DUMMYFUNCTION("REGEXREPLACE(LOWER(F1285),""[^a-z\s]"","""")"),"i placed an order and two days later i received an email from you saying something like your fraud review team advised you not to fill my order no explanation ive never had anything like this happen to me before")</f>
        <v>i placed an order and two days later i received an email from you saying something like your fraud review team advised you not to fill my order no explanation ive never had anything like this happen to me before</v>
      </c>
      <c r="H1285" s="4" t="str">
        <f t="shared" si="1"/>
        <v>i placed an order two days later i received an email from you saying something like your fraud review team advised you not fill my order no explanation ive never had anything like this happen me before</v>
      </c>
      <c r="I1285" s="6">
        <f t="shared" si="2"/>
        <v>37</v>
      </c>
      <c r="J1285" s="6">
        <f>IFERROR(__xludf.DUMMYFUNCTION("IF(H1285="""","""",
SUM(
ARRAYFORMULA(
IF(
REGEXMATCH(
"" ""&amp;H1285&amp;"" "",
"" ""&amp;Sentiment_Words!A$2:A3730&amp;"" ""
),
1,
0
)
)
)
)"),0.0)</f>
        <v>0</v>
      </c>
      <c r="K1285" s="4">
        <f>IFERROR(__xludf.DUMMYFUNCTION("IF(H1285="""","""",
SUM(
ARRAYFORMULA(
IF(
REGEXMATCH(
"" ""&amp;H1285&amp;"" "",
"" ""&amp;Sentiment_Words!B$2:B3730&amp;"" ""
),
1,
0
)
)
)
)"),0.0)</f>
        <v>0</v>
      </c>
      <c r="L1285" s="7" t="str">
        <f t="shared" si="3"/>
        <v>Fulfillment &amp; Shipping</v>
      </c>
      <c r="M1285" s="7" t="str">
        <f t="shared" si="4"/>
        <v>Neutral</v>
      </c>
      <c r="N1285" s="7" t="str">
        <f>IFERROR(__xludf.DUMMYFUNCTION("LOWER(
TRIM(
REGEXREPLACE(B1285,""[^a-zA-Z\s]"","""")
)
)
"),"roman bowsser")</f>
        <v>roman bowsser</v>
      </c>
      <c r="O1285" s="7">
        <f t="shared" si="5"/>
        <v>1</v>
      </c>
      <c r="P1285" s="8" t="str">
        <f t="shared" si="6"/>
        <v>No</v>
      </c>
    </row>
    <row r="1286">
      <c r="A1286" s="4" t="s">
        <v>16</v>
      </c>
      <c r="B1286" s="4" t="s">
        <v>3638</v>
      </c>
      <c r="C1286" s="5">
        <v>44875.0</v>
      </c>
      <c r="D1286" s="10">
        <v>44876.0</v>
      </c>
      <c r="E1286" s="4" t="s">
        <v>3639</v>
      </c>
      <c r="F1286" s="4" t="s">
        <v>3640</v>
      </c>
      <c r="G1286" s="6" t="str">
        <f>IFERROR(__xludf.DUMMYFUNCTION("REGEXREPLACE(LOWER(F1286),""[^a-z\s]"","""")"),"my orders are always on time if not im promptly notified expectations are properly set ")</f>
        <v>my orders are always on time if not im promptly notified expectations are properly set </v>
      </c>
      <c r="H1286" s="4" t="str">
        <f t="shared" si="1"/>
        <v>my orders are always on time if not im promptly notified expectations are properly set</v>
      </c>
      <c r="I1286" s="6">
        <f t="shared" si="2"/>
        <v>15</v>
      </c>
      <c r="J1286" s="6">
        <f>IFERROR(__xludf.DUMMYFUNCTION("IF(H1286="""","""",
SUM(
ARRAYFORMULA(
IF(
REGEXMATCH(
"" ""&amp;H1286&amp;"" "",
"" ""&amp;Sentiment_Words!A$2:A3730&amp;"" ""
),
1,
0
)
)
)
)"),1.0)</f>
        <v>1</v>
      </c>
      <c r="K1286" s="4">
        <f>IFERROR(__xludf.DUMMYFUNCTION("IF(H1286="""","""",
SUM(
ARRAYFORMULA(
IF(
REGEXMATCH(
"" ""&amp;H1286&amp;"" "",
"" ""&amp;Sentiment_Words!B$2:B3730&amp;"" ""
),
1,
0
)
)
)
)"),0.0)</f>
        <v>0</v>
      </c>
      <c r="L1286" s="7" t="str">
        <f t="shared" si="3"/>
        <v>Other</v>
      </c>
      <c r="M1286" s="7" t="str">
        <f t="shared" si="4"/>
        <v>Positive</v>
      </c>
      <c r="N1286" s="7" t="str">
        <f>IFERROR(__xludf.DUMMYFUNCTION("LOWER(
TRIM(
REGEXREPLACE(B1286,""[^a-zA-Z\s]"","""")
)
)
"),"reyvonna white")</f>
        <v>reyvonna white</v>
      </c>
      <c r="O1286" s="7">
        <f t="shared" si="5"/>
        <v>1</v>
      </c>
      <c r="P1286" s="8" t="str">
        <f t="shared" si="6"/>
        <v>No</v>
      </c>
    </row>
    <row r="1287">
      <c r="A1287" s="4" t="s">
        <v>16</v>
      </c>
      <c r="B1287" s="4" t="s">
        <v>3641</v>
      </c>
      <c r="C1287" s="5">
        <v>44844.0</v>
      </c>
      <c r="D1287" s="10">
        <v>44876.0</v>
      </c>
      <c r="E1287" s="4" t="s">
        <v>3642</v>
      </c>
      <c r="F1287" s="4" t="s">
        <v>3643</v>
      </c>
      <c r="G1287" s="6" t="str">
        <f>IFERROR(__xludf.DUMMYFUNCTION("REGEXREPLACE(LOWER(F1287),""[^a-z\s]"","""")"),"i love the company but communication is bad ive had a standing order for a long time and they where unable to fill the dog food there was no communication or replacement i had to place this order on my own very disappointed")</f>
        <v>i love the company but communication is bad ive had a standing order for a long time and they where unable to fill the dog food there was no communication or replacement i had to place this order on my own very disappointed</v>
      </c>
      <c r="H1287" s="4" t="str">
        <f t="shared" si="1"/>
        <v>i love company but communication bad ive had a standing order a long time they where unable fill dog food there was no communication or replacement i had place this order on my own very disappointed</v>
      </c>
      <c r="I1287" s="6">
        <f t="shared" si="2"/>
        <v>36</v>
      </c>
      <c r="J1287" s="6">
        <f>IFERROR(__xludf.DUMMYFUNCTION("IF(H1287="""","""",
SUM(
ARRAYFORMULA(
IF(
REGEXMATCH(
"" ""&amp;H1287&amp;"" "",
"" ""&amp;Sentiment_Words!A$2:A3730&amp;"" ""
),
1,
0
)
)
)
)"),1.0)</f>
        <v>1</v>
      </c>
      <c r="K1287" s="4">
        <f>IFERROR(__xludf.DUMMYFUNCTION("IF(H1287="""","""",
SUM(
ARRAYFORMULA(
IF(
REGEXMATCH(
"" ""&amp;H1287&amp;"" "",
"" ""&amp;Sentiment_Words!B$2:B3730&amp;"" ""
),
1,
0
)
)
)
)"),0.0)</f>
        <v>0</v>
      </c>
      <c r="L1287" s="7" t="str">
        <f t="shared" si="3"/>
        <v>Trust &amp; Experience</v>
      </c>
      <c r="M1287" s="7" t="str">
        <f t="shared" si="4"/>
        <v>Positive</v>
      </c>
      <c r="N1287" s="7" t="str">
        <f>IFERROR(__xludf.DUMMYFUNCTION("LOWER(
TRIM(
REGEXREPLACE(B1287,""[^a-zA-Z\s]"","""")
)
)
"),"mo")</f>
        <v>mo</v>
      </c>
      <c r="O1287" s="7">
        <f t="shared" si="5"/>
        <v>1</v>
      </c>
      <c r="P1287" s="8" t="str">
        <f t="shared" si="6"/>
        <v>No</v>
      </c>
    </row>
    <row r="1288">
      <c r="A1288" s="4" t="s">
        <v>16</v>
      </c>
      <c r="B1288" s="4" t="s">
        <v>3644</v>
      </c>
      <c r="C1288" s="9">
        <v>44869.0</v>
      </c>
      <c r="D1288" s="10">
        <v>44876.0</v>
      </c>
      <c r="E1288" s="4" t="s">
        <v>3645</v>
      </c>
      <c r="F1288" s="4" t="s">
        <v>3646</v>
      </c>
      <c r="G1288" s="6" t="str">
        <f>IFERROR(__xludf.DUMMYFUNCTION("REGEXREPLACE(LOWER(F1288),""[^a-z\s]"","""")"),"the order was processed as always however i was surprised it took so long to receive i used to order and get it within  days this time it took ")</f>
        <v>the order was processed as always however i was surprised it took so long to receive i used to order and get it within  days this time it took </v>
      </c>
      <c r="H1288" s="4" t="str">
        <f t="shared" si="1"/>
        <v>order was processed as always however i was surprised it took so long receive i used order get it within days this time it took</v>
      </c>
      <c r="I1288" s="6">
        <f t="shared" si="2"/>
        <v>25</v>
      </c>
      <c r="J1288" s="6">
        <f>IFERROR(__xludf.DUMMYFUNCTION("IF(H1288="""","""",
SUM(
ARRAYFORMULA(
IF(
REGEXMATCH(
"" ""&amp;H1288&amp;"" "",
"" ""&amp;Sentiment_Words!A$2:A3730&amp;"" ""
),
1,
0
)
)
)
)"),0.0)</f>
        <v>0</v>
      </c>
      <c r="K1288" s="4">
        <f>IFERROR(__xludf.DUMMYFUNCTION("IF(H1288="""","""",
SUM(
ARRAYFORMULA(
IF(
REGEXMATCH(
"" ""&amp;H1288&amp;"" "",
"" ""&amp;Sentiment_Words!B$2:B3730&amp;"" ""
),
1,
0
)
)
)
)"),0.0)</f>
        <v>0</v>
      </c>
      <c r="L1288" s="7" t="str">
        <f t="shared" si="3"/>
        <v>Other</v>
      </c>
      <c r="M1288" s="7" t="str">
        <f t="shared" si="4"/>
        <v>Neutral</v>
      </c>
      <c r="N1288" s="7" t="str">
        <f>IFERROR(__xludf.DUMMYFUNCTION("LOWER(
TRIM(
REGEXREPLACE(B1288,""[^a-zA-Z\s]"","""")
)
)
"),"rh")</f>
        <v>rh</v>
      </c>
      <c r="O1288" s="7">
        <f t="shared" si="5"/>
        <v>1</v>
      </c>
      <c r="P1288" s="8" t="str">
        <f t="shared" si="6"/>
        <v>No</v>
      </c>
    </row>
    <row r="1289">
      <c r="A1289" s="4" t="s">
        <v>16</v>
      </c>
      <c r="B1289" s="4" t="s">
        <v>3647</v>
      </c>
      <c r="C1289" s="9">
        <v>44869.0</v>
      </c>
      <c r="D1289" s="10">
        <v>44876.0</v>
      </c>
      <c r="E1289" s="4" t="s">
        <v>3648</v>
      </c>
      <c r="F1289" s="4" t="s">
        <v>3649</v>
      </c>
      <c r="G1289" s="6" t="str">
        <f>IFERROR(__xludf.DUMMYFUNCTION("REGEXREPLACE(LOWER(F1289),""[^a-z\s]"","""")"),"on time delivery and ease of use website")</f>
        <v>on time delivery and ease of use website</v>
      </c>
      <c r="H1289" s="4" t="str">
        <f t="shared" si="1"/>
        <v>on time delivery ease of use website</v>
      </c>
      <c r="I1289" s="6">
        <f t="shared" si="2"/>
        <v>7</v>
      </c>
      <c r="J1289" s="6">
        <f>IFERROR(__xludf.DUMMYFUNCTION("IF(H1289="""","""",
SUM(
ARRAYFORMULA(
IF(
REGEXMATCH(
"" ""&amp;H1289&amp;"" "",
"" ""&amp;Sentiment_Words!A$2:A3730&amp;"" ""
),
1,
0
)
)
)
)"),1.0)</f>
        <v>1</v>
      </c>
      <c r="K1289" s="4">
        <f>IFERROR(__xludf.DUMMYFUNCTION("IF(H1289="""","""",
SUM(
ARRAYFORMULA(
IF(
REGEXMATCH(
"" ""&amp;H1289&amp;"" "",
"" ""&amp;Sentiment_Words!B$2:B3730&amp;"" ""
),
1,
0
)
)
)
)"),0.0)</f>
        <v>0</v>
      </c>
      <c r="L1289" s="7" t="str">
        <f t="shared" si="3"/>
        <v>Account &amp; Website</v>
      </c>
      <c r="M1289" s="7" t="str">
        <f t="shared" si="4"/>
        <v>Positive</v>
      </c>
      <c r="N1289" s="7" t="str">
        <f>IFERROR(__xludf.DUMMYFUNCTION("LOWER(
TRIM(
REGEXREPLACE(B1289,""[^a-zA-Z\s]"","""")
)
)
"),"yvette")</f>
        <v>yvette</v>
      </c>
      <c r="O1289" s="7">
        <f t="shared" si="5"/>
        <v>1</v>
      </c>
      <c r="P1289" s="8" t="str">
        <f t="shared" si="6"/>
        <v>No</v>
      </c>
    </row>
    <row r="1290">
      <c r="A1290" s="4" t="s">
        <v>16</v>
      </c>
      <c r="B1290" s="4" t="s">
        <v>3650</v>
      </c>
      <c r="C1290" s="5">
        <v>44864.0</v>
      </c>
      <c r="D1290" s="10">
        <v>44876.0</v>
      </c>
      <c r="E1290" s="4" t="s">
        <v>3651</v>
      </c>
      <c r="F1290" s="4" t="s">
        <v>3652</v>
      </c>
      <c r="G1290" s="6" t="str">
        <f>IFERROR(__xludf.DUMMYFUNCTION("REGEXREPLACE(LOWER(F1290),""[^a-z\s]"","""")"),"the product i was looking for was available and was able to place my order without a hassle")</f>
        <v>the product i was looking for was available and was able to place my order without a hassle</v>
      </c>
      <c r="H1290" s="4" t="str">
        <f t="shared" si="1"/>
        <v>product i was looking was available was able place my order without a hassle</v>
      </c>
      <c r="I1290" s="6">
        <f t="shared" si="2"/>
        <v>14</v>
      </c>
      <c r="J1290" s="6">
        <f>IFERROR(__xludf.DUMMYFUNCTION("IF(H1290="""","""",
SUM(
ARRAYFORMULA(
IF(
REGEXMATCH(
"" ""&amp;H1290&amp;"" "",
"" ""&amp;Sentiment_Words!A$2:A3730&amp;"" ""
),
1,
0
)
)
)
)"),2.0)</f>
        <v>2</v>
      </c>
      <c r="K1290" s="4">
        <f>IFERROR(__xludf.DUMMYFUNCTION("IF(H1290="""","""",
SUM(
ARRAYFORMULA(
IF(
REGEXMATCH(
"" ""&amp;H1290&amp;"" "",
"" ""&amp;Sentiment_Words!B$2:B3730&amp;"" ""
),
1,
0
)
)
)
)"),0.0)</f>
        <v>0</v>
      </c>
      <c r="L1290" s="7" t="str">
        <f t="shared" si="3"/>
        <v>Other</v>
      </c>
      <c r="M1290" s="7" t="str">
        <f t="shared" si="4"/>
        <v>Positive</v>
      </c>
      <c r="N1290" s="7" t="str">
        <f>IFERROR(__xludf.DUMMYFUNCTION("LOWER(
TRIM(
REGEXREPLACE(B1290,""[^a-zA-Z\s]"","""")
)
)
"),"perla buchsbaum")</f>
        <v>perla buchsbaum</v>
      </c>
      <c r="O1290" s="7">
        <f t="shared" si="5"/>
        <v>1</v>
      </c>
      <c r="P1290" s="8" t="str">
        <f t="shared" si="6"/>
        <v>No</v>
      </c>
    </row>
    <row r="1291">
      <c r="A1291" s="4" t="s">
        <v>16</v>
      </c>
      <c r="B1291" s="4" t="s">
        <v>2667</v>
      </c>
      <c r="C1291" s="9">
        <v>44867.0</v>
      </c>
      <c r="D1291" s="10">
        <v>44875.0</v>
      </c>
      <c r="E1291" s="4" t="s">
        <v>3653</v>
      </c>
      <c r="F1291" s="4" t="s">
        <v>3654</v>
      </c>
      <c r="G1291" s="6" t="str">
        <f>IFERROR(__xludf.DUMMYFUNCTION("REGEXREPLACE(LOWER(F1291),""[^a-z\s]"","""")"),"it was great service and my stuff was delivered quickly")</f>
        <v>it was great service and my stuff was delivered quickly</v>
      </c>
      <c r="H1291" s="4" t="str">
        <f t="shared" si="1"/>
        <v>it was great service my stuff was delivered quickly</v>
      </c>
      <c r="I1291" s="6">
        <f t="shared" si="2"/>
        <v>9</v>
      </c>
      <c r="J1291" s="6">
        <f>IFERROR(__xludf.DUMMYFUNCTION("IF(H1291="""","""",
SUM(
ARRAYFORMULA(
IF(
REGEXMATCH(
"" ""&amp;H1291&amp;"" "",
"" ""&amp;Sentiment_Words!A$2:A3730&amp;"" ""
),
1,
0
)
)
)
)"),2.0)</f>
        <v>2</v>
      </c>
      <c r="K1291" s="4">
        <f>IFERROR(__xludf.DUMMYFUNCTION("IF(H1291="""","""",
SUM(
ARRAYFORMULA(
IF(
REGEXMATCH(
"" ""&amp;H1291&amp;"" "",
"" ""&amp;Sentiment_Words!B$2:B3730&amp;"" ""
),
1,
0
)
)
)
)"),0.0)</f>
        <v>0</v>
      </c>
      <c r="L1291" s="7" t="str">
        <f t="shared" si="3"/>
        <v>Customer Support</v>
      </c>
      <c r="M1291" s="7" t="str">
        <f t="shared" si="4"/>
        <v>Positive</v>
      </c>
      <c r="N1291" s="7" t="str">
        <f>IFERROR(__xludf.DUMMYFUNCTION("LOWER(
TRIM(
REGEXREPLACE(B1291,""[^a-zA-Z\s]"","""")
)
)
"),"gail")</f>
        <v>gail</v>
      </c>
      <c r="O1291" s="7">
        <f t="shared" si="5"/>
        <v>4</v>
      </c>
      <c r="P1291" s="8" t="str">
        <f t="shared" si="6"/>
        <v>Yes</v>
      </c>
    </row>
    <row r="1292">
      <c r="A1292" s="4" t="s">
        <v>16</v>
      </c>
      <c r="B1292" s="4" t="s">
        <v>3655</v>
      </c>
      <c r="C1292" s="5">
        <v>44863.0</v>
      </c>
      <c r="D1292" s="10">
        <v>44875.0</v>
      </c>
      <c r="E1292" s="4" t="s">
        <v>3656</v>
      </c>
      <c r="F1292" s="4" t="s">
        <v>3657</v>
      </c>
      <c r="G1292" s="6" t="str">
        <f>IFERROR(__xludf.DUMMYFUNCTION("REGEXREPLACE(LOWER(F1292),""[^a-z\s]"","""")"),"i just recently discovered petflow and they provided me with the best price customer service and speedy delivery for the item that i was looking for i will definitely choose petflow for future purchases")</f>
        <v>i just recently discovered petflow and they provided me with the best price customer service and speedy delivery for the item that i was looking for i will definitely choose petflow for future purchases</v>
      </c>
      <c r="H1292" s="4" t="str">
        <f t="shared" si="1"/>
        <v>i just recently discovered petflow they provided me with best price customer service speedy delivery item that i was looking i will definitely choose petflow future purchases</v>
      </c>
      <c r="I1292" s="6">
        <f t="shared" si="2"/>
        <v>27</v>
      </c>
      <c r="J1292" s="6">
        <f>IFERROR(__xludf.DUMMYFUNCTION("IF(H1292="""","""",
SUM(
ARRAYFORMULA(
IF(
REGEXMATCH(
"" ""&amp;H1292&amp;"" "",
"" ""&amp;Sentiment_Words!A$2:A3730&amp;"" ""
),
1,
0
)
)
)
)"),0.0)</f>
        <v>0</v>
      </c>
      <c r="K1292" s="4">
        <f>IFERROR(__xludf.DUMMYFUNCTION("IF(H1292="""","""",
SUM(
ARRAYFORMULA(
IF(
REGEXMATCH(
"" ""&amp;H1292&amp;"" "",
"" ""&amp;Sentiment_Words!B$2:B3730&amp;"" ""
),
1,
0
)
)
)
)"),1.0)</f>
        <v>1</v>
      </c>
      <c r="L1292" s="7" t="str">
        <f t="shared" si="3"/>
        <v>Customer Support</v>
      </c>
      <c r="M1292" s="7" t="str">
        <f t="shared" si="4"/>
        <v>Negative</v>
      </c>
      <c r="N1292" s="7" t="str">
        <f>IFERROR(__xludf.DUMMYFUNCTION("LOWER(
TRIM(
REGEXREPLACE(B1292,""[^a-zA-Z\s]"","""")
)
)
"),"paula brock")</f>
        <v>paula brock</v>
      </c>
      <c r="O1292" s="7">
        <f t="shared" si="5"/>
        <v>1</v>
      </c>
      <c r="P1292" s="8" t="str">
        <f t="shared" si="6"/>
        <v>No</v>
      </c>
    </row>
    <row r="1293">
      <c r="A1293" s="4" t="s">
        <v>16</v>
      </c>
      <c r="B1293" s="4" t="s">
        <v>3658</v>
      </c>
      <c r="C1293" s="9">
        <v>44866.0</v>
      </c>
      <c r="D1293" s="10">
        <v>44875.0</v>
      </c>
      <c r="E1293" s="4" t="s">
        <v>3659</v>
      </c>
      <c r="F1293" s="4" t="s">
        <v>3660</v>
      </c>
      <c r="G1293" s="6" t="str">
        <f>IFERROR(__xludf.DUMMYFUNCTION("REGEXREPLACE(LOWER(F1293),""[^a-z\s]"","""")"),"great customer service and dog food arrived on time")</f>
        <v>great customer service and dog food arrived on time</v>
      </c>
      <c r="H1293" s="4" t="str">
        <f t="shared" si="1"/>
        <v>great customer service dog food arrived on time</v>
      </c>
      <c r="I1293" s="6">
        <f t="shared" si="2"/>
        <v>8</v>
      </c>
      <c r="J1293" s="6">
        <f>IFERROR(__xludf.DUMMYFUNCTION("IF(H1293="""","""",
SUM(
ARRAYFORMULA(
IF(
REGEXMATCH(
"" ""&amp;H1293&amp;"" "",
"" ""&amp;Sentiment_Words!A$2:A3730&amp;"" ""
),
1,
0
)
)
)
)"),3.0)</f>
        <v>3</v>
      </c>
      <c r="K1293" s="4">
        <f>IFERROR(__xludf.DUMMYFUNCTION("IF(H1293="""","""",
SUM(
ARRAYFORMULA(
IF(
REGEXMATCH(
"" ""&amp;H1293&amp;"" "",
"" ""&amp;Sentiment_Words!B$2:B3730&amp;"" ""
),
1,
0
)
)
)
)"),1.0)</f>
        <v>1</v>
      </c>
      <c r="L1293" s="7" t="str">
        <f t="shared" si="3"/>
        <v>Customer Support</v>
      </c>
      <c r="M1293" s="7" t="str">
        <f t="shared" si="4"/>
        <v>Positive</v>
      </c>
      <c r="N1293" s="7" t="str">
        <f>IFERROR(__xludf.DUMMYFUNCTION("LOWER(
TRIM(
REGEXREPLACE(B1293,""[^a-zA-Z\s]"","""")
)
)
"),"steven c")</f>
        <v>steven c</v>
      </c>
      <c r="O1293" s="7">
        <f t="shared" si="5"/>
        <v>1</v>
      </c>
      <c r="P1293" s="8" t="str">
        <f t="shared" si="6"/>
        <v>No</v>
      </c>
    </row>
    <row r="1294">
      <c r="A1294" s="4" t="s">
        <v>16</v>
      </c>
      <c r="B1294" s="4" t="s">
        <v>3661</v>
      </c>
      <c r="C1294" s="9">
        <v>44867.0</v>
      </c>
      <c r="D1294" s="10">
        <v>44875.0</v>
      </c>
      <c r="E1294" s="4" t="s">
        <v>3662</v>
      </c>
      <c r="F1294" s="4" t="s">
        <v>3663</v>
      </c>
      <c r="G1294" s="6" t="str">
        <f>IFERROR(__xludf.DUMMYFUNCTION("REGEXREPLACE(LOWER(F1294),""[^a-z\s]"","""")"),"shipping was quick my order was accurate customer service is fantastic")</f>
        <v>shipping was quick my order was accurate customer service is fantastic</v>
      </c>
      <c r="H1294" s="4" t="str">
        <f t="shared" si="1"/>
        <v>shipping was quick my order was accurate customer service fantastic</v>
      </c>
      <c r="I1294" s="6">
        <f t="shared" si="2"/>
        <v>10</v>
      </c>
      <c r="J1294" s="6">
        <f>IFERROR(__xludf.DUMMYFUNCTION("IF(H1294="""","""",
SUM(
ARRAYFORMULA(
IF(
REGEXMATCH(
"" ""&amp;H1294&amp;"" "",
"" ""&amp;Sentiment_Words!A$2:A3730&amp;"" ""
),
1,
0
)
)
)
)"),0.0)</f>
        <v>0</v>
      </c>
      <c r="K1294" s="4">
        <f>IFERROR(__xludf.DUMMYFUNCTION("IF(H1294="""","""",
SUM(
ARRAYFORMULA(
IF(
REGEXMATCH(
"" ""&amp;H1294&amp;"" "",
"" ""&amp;Sentiment_Words!B$2:B3730&amp;"" ""
),
1,
0
)
)
)
)"),1.0)</f>
        <v>1</v>
      </c>
      <c r="L1294" s="7" t="str">
        <f t="shared" si="3"/>
        <v>Customer Support</v>
      </c>
      <c r="M1294" s="7" t="str">
        <f t="shared" si="4"/>
        <v>Negative</v>
      </c>
      <c r="N1294" s="7" t="str">
        <f>IFERROR(__xludf.DUMMYFUNCTION("LOWER(
TRIM(
REGEXREPLACE(B1294,""[^a-zA-Z\s]"","""")
)
)
"),"donna grubbs")</f>
        <v>donna grubbs</v>
      </c>
      <c r="O1294" s="7">
        <f t="shared" si="5"/>
        <v>1</v>
      </c>
      <c r="P1294" s="8" t="str">
        <f t="shared" si="6"/>
        <v>No</v>
      </c>
    </row>
    <row r="1295">
      <c r="A1295" s="4" t="s">
        <v>16</v>
      </c>
      <c r="B1295" s="4" t="s">
        <v>3664</v>
      </c>
      <c r="C1295" s="9">
        <v>44874.0</v>
      </c>
      <c r="D1295" s="10">
        <v>44875.0</v>
      </c>
      <c r="E1295" s="4" t="s">
        <v>3665</v>
      </c>
      <c r="F1295" s="4" t="s">
        <v>3666</v>
      </c>
      <c r="G1295" s="6" t="str">
        <f>IFERROR(__xludf.DUMMYFUNCTION("REGEXREPLACE(LOWER(F1295),""[^a-z\s]"","""")"),"terribly disappointed with this retailer order was confirmed yet i never received a shipping notification when i requested a status update was told their fraud prevention team suggested not filling the order what a load of crap i use the identical payment"&amp;" source on a daily basis without issues or did they not actually have product to fulfill the order will never know i invest quite a bit of money monthly for pet care and was hoping to have a new source in petflow never again their loss")</f>
        <v>terribly disappointed with this retailer order was confirmed yet i never received a shipping notification when i requested a status update was told their fraud prevention team suggested not filling the order what a load of crap i use the identical payment source on a daily basis without issues or did they not actually have product to fulfill the order will never know i invest quite a bit of money monthly for pet care and was hoping to have a new source in petflow never again their loss</v>
      </c>
      <c r="H1295" s="4" t="str">
        <f t="shared" si="1"/>
        <v>terribly disappointed with this retailer order was confirmed yet i never received a shipping notification when i requested a status update was told their fraud prevention team suggested not filling order what a load of crap i use identical payment source on a daily basis without issues or did they not actually have product fulfill order will never know i invest quite a bit of money monthly pet care was hoping have a new source in petflow never again their loss</v>
      </c>
      <c r="I1295" s="6">
        <f t="shared" si="2"/>
        <v>81</v>
      </c>
      <c r="J1295" s="6">
        <f>IFERROR(__xludf.DUMMYFUNCTION("IF(H1295="""","""",
SUM(
ARRAYFORMULA(
IF(
REGEXMATCH(
"" ""&amp;H1295&amp;"" "",
"" ""&amp;Sentiment_Words!A$2:A3730&amp;"" ""
),
1,
0
)
)
)
)"),0.0)</f>
        <v>0</v>
      </c>
      <c r="K1295" s="4">
        <f>IFERROR(__xludf.DUMMYFUNCTION("IF(H1295="""","""",
SUM(
ARRAYFORMULA(
IF(
REGEXMATCH(
"" ""&amp;H1295&amp;"" "",
"" ""&amp;Sentiment_Words!B$2:B3730&amp;"" ""
),
1,
0
)
)
)
)"),0.0)</f>
        <v>0</v>
      </c>
      <c r="L1295" s="7" t="str">
        <f t="shared" si="3"/>
        <v>Trust &amp; Experience</v>
      </c>
      <c r="M1295" s="7" t="str">
        <f t="shared" si="4"/>
        <v>Neutral</v>
      </c>
      <c r="N1295" s="7" t="str">
        <f>IFERROR(__xludf.DUMMYFUNCTION("LOWER(
TRIM(
REGEXREPLACE(B1295,""[^a-zA-Z\s]"","""")
)
)
"),"happycamper")</f>
        <v>happycamper</v>
      </c>
      <c r="O1295" s="7">
        <f t="shared" si="5"/>
        <v>1</v>
      </c>
      <c r="P1295" s="8" t="str">
        <f t="shared" si="6"/>
        <v>No</v>
      </c>
    </row>
    <row r="1296">
      <c r="A1296" s="4" t="s">
        <v>16</v>
      </c>
      <c r="B1296" s="4" t="s">
        <v>3667</v>
      </c>
      <c r="C1296" s="9">
        <v>44867.0</v>
      </c>
      <c r="D1296" s="4" t="s">
        <v>3668</v>
      </c>
      <c r="E1296" s="4" t="s">
        <v>3669</v>
      </c>
      <c r="F1296" s="4" t="s">
        <v>3670</v>
      </c>
      <c r="G1296" s="6" t="str">
        <f>IFERROR(__xludf.DUMMYFUNCTION("REGEXREPLACE(LOWER(F1296),""[^a-z\s]"","""")"),"easy to order and i received everything very fastwith free shipping im planning on buying more pet items from this site for sure its rare that you receive ordered things within  days from most pet sites for free unless you pay")</f>
        <v>easy to order and i received everything very fastwith free shipping im planning on buying more pet items from this site for sure its rare that you receive ordered things within  days from most pet sites for free unless you pay</v>
      </c>
      <c r="H1296" s="4" t="str">
        <f t="shared" si="1"/>
        <v>easy order i received everything very fastwith free shipping im planning on buying more pet items from this site sure its rare that you receive ordered things within days from most pet sites free unless you pay</v>
      </c>
      <c r="I1296" s="6">
        <f t="shared" si="2"/>
        <v>37</v>
      </c>
      <c r="J1296" s="6">
        <f>IFERROR(__xludf.DUMMYFUNCTION("IF(H1296="""","""",
SUM(
ARRAYFORMULA(
IF(
REGEXMATCH(
"" ""&amp;H1296&amp;"" "",
"" ""&amp;Sentiment_Words!A$2:A3730&amp;"" ""
),
1,
0
)
)
)
)"),1.0)</f>
        <v>1</v>
      </c>
      <c r="K1296" s="4">
        <f>IFERROR(__xludf.DUMMYFUNCTION("IF(H1296="""","""",
SUM(
ARRAYFORMULA(
IF(
REGEXMATCH(
"" ""&amp;H1296&amp;"" "",
"" ""&amp;Sentiment_Words!B$2:B3730&amp;"" ""
),
1,
0
)
)
)
)"),0.0)</f>
        <v>0</v>
      </c>
      <c r="L1296" s="7" t="str">
        <f t="shared" si="3"/>
        <v>Other</v>
      </c>
      <c r="M1296" s="7" t="str">
        <f t="shared" si="4"/>
        <v>Positive</v>
      </c>
      <c r="N1296" s="7" t="str">
        <f>IFERROR(__xludf.DUMMYFUNCTION("LOWER(
TRIM(
REGEXREPLACE(B1296,""[^a-zA-Z\s]"","""")
)
)
"),"naja ayers")</f>
        <v>naja ayers</v>
      </c>
      <c r="O1296" s="7">
        <f t="shared" si="5"/>
        <v>1</v>
      </c>
      <c r="P1296" s="8" t="str">
        <f t="shared" si="6"/>
        <v>No</v>
      </c>
    </row>
    <row r="1297">
      <c r="A1297" s="4" t="s">
        <v>16</v>
      </c>
      <c r="B1297" s="4" t="s">
        <v>3671</v>
      </c>
      <c r="C1297" s="5">
        <v>44861.0</v>
      </c>
      <c r="D1297" s="10">
        <v>44875.0</v>
      </c>
      <c r="E1297" s="4" t="s">
        <v>3672</v>
      </c>
      <c r="F1297" s="4" t="s">
        <v>3673</v>
      </c>
      <c r="G1297" s="6" t="str">
        <f>IFERROR(__xludf.DUMMYFUNCTION("REGEXREPLACE(LOWER(F1297),""[^a-z\s]"","""")"),"i needed to get my prescription pet food that was sold out everywhere this was the only place that had it submitting my vet info for the prescription was easy and the food arrived quickly")</f>
        <v>i needed to get my prescription pet food that was sold out everywhere this was the only place that had it submitting my vet info for the prescription was easy and the food arrived quickly</v>
      </c>
      <c r="H1297" s="4" t="str">
        <f t="shared" si="1"/>
        <v>i needed get my prescription pet food that was sold out everywhere this was only place that had it submitting my vet info prescription was easy food arrived quickly</v>
      </c>
      <c r="I1297" s="6">
        <f t="shared" si="2"/>
        <v>29</v>
      </c>
      <c r="J1297" s="6">
        <f>IFERROR(__xludf.DUMMYFUNCTION("IF(H1297="""","""",
SUM(
ARRAYFORMULA(
IF(
REGEXMATCH(
"" ""&amp;H1297&amp;"" "",
"" ""&amp;Sentiment_Words!A$2:A3730&amp;"" ""
),
1,
0
)
)
)
)"),1.0)</f>
        <v>1</v>
      </c>
      <c r="K1297" s="4">
        <f>IFERROR(__xludf.DUMMYFUNCTION("IF(H1297="""","""",
SUM(
ARRAYFORMULA(
IF(
REGEXMATCH(
"" ""&amp;H1297&amp;"" "",
"" ""&amp;Sentiment_Words!B$2:B3730&amp;"" ""
),
1,
0
)
)
)
)"),0.0)</f>
        <v>0</v>
      </c>
      <c r="L1297" s="7" t="str">
        <f t="shared" si="3"/>
        <v>Other</v>
      </c>
      <c r="M1297" s="7" t="str">
        <f t="shared" si="4"/>
        <v>Positive</v>
      </c>
      <c r="N1297" s="7" t="str">
        <f>IFERROR(__xludf.DUMMYFUNCTION("LOWER(
TRIM(
REGEXREPLACE(B1297,""[^a-zA-Z\s]"","""")
)
)
"),"randi k")</f>
        <v>randi k</v>
      </c>
      <c r="O1297" s="7">
        <f t="shared" si="5"/>
        <v>1</v>
      </c>
      <c r="P1297" s="8" t="str">
        <f t="shared" si="6"/>
        <v>No</v>
      </c>
    </row>
    <row r="1298">
      <c r="A1298" s="4" t="s">
        <v>16</v>
      </c>
      <c r="B1298" s="4" t="s">
        <v>3674</v>
      </c>
      <c r="C1298" s="9">
        <v>44871.0</v>
      </c>
      <c r="D1298" s="10">
        <v>44875.0</v>
      </c>
      <c r="E1298" s="4" t="s">
        <v>3675</v>
      </c>
      <c r="F1298" s="4" t="s">
        <v>3676</v>
      </c>
      <c r="G1298" s="6" t="str">
        <f>IFERROR(__xludf.DUMMYFUNCTION("REGEXREPLACE(LOWER(F1298),""[^a-z\s]"","""")"),"company was great in fulfilling my order of hills rx derm complete dry dog food although a delay between veterinarian to petflow in the timeliness of my order some of that was beyond petflows control once things were in order the order came as expected an"&amp;"d overall i was happy with the experience")</f>
        <v>company was great in fulfilling my order of hills rx derm complete dry dog food although a delay between veterinarian to petflow in the timeliness of my order some of that was beyond petflows control once things were in order the order came as expected and overall i was happy with the experience</v>
      </c>
      <c r="H1298" s="4" t="str">
        <f t="shared" si="1"/>
        <v>company was great in fulfilling my order of hills rx derm complete dry dog food although a delay between veterinarian petflow in timeliness of my order some of that was beyond petflows control once things were in order order came as expected overall i was happy with experience</v>
      </c>
      <c r="I1298" s="6">
        <f t="shared" si="2"/>
        <v>48</v>
      </c>
      <c r="J1298" s="6">
        <f>IFERROR(__xludf.DUMMYFUNCTION("IF(H1298="""","""",
SUM(
ARRAYFORMULA(
IF(
REGEXMATCH(
"" ""&amp;H1298&amp;"" "",
"" ""&amp;Sentiment_Words!A$2:A3730&amp;"" ""
),
1,
0
)
)
)
)"),3.0)</f>
        <v>3</v>
      </c>
      <c r="K1298" s="4">
        <f>IFERROR(__xludf.DUMMYFUNCTION("IF(H1298="""","""",
SUM(
ARRAYFORMULA(
IF(
REGEXMATCH(
"" ""&amp;H1298&amp;"" "",
"" ""&amp;Sentiment_Words!B$2:B3730&amp;"" ""
),
1,
0
)
)
)
)"),1.0)</f>
        <v>1</v>
      </c>
      <c r="L1298" s="7" t="str">
        <f t="shared" si="3"/>
        <v>Fulfillment &amp; Shipping</v>
      </c>
      <c r="M1298" s="7" t="str">
        <f t="shared" si="4"/>
        <v>Positive</v>
      </c>
      <c r="N1298" s="7" t="str">
        <f>IFERROR(__xludf.DUMMYFUNCTION("LOWER(
TRIM(
REGEXREPLACE(B1298,""[^a-zA-Z\s]"","""")
)
)
"),"christine swiszcz")</f>
        <v>christine swiszcz</v>
      </c>
      <c r="O1298" s="7">
        <f t="shared" si="5"/>
        <v>1</v>
      </c>
      <c r="P1298" s="8" t="str">
        <f t="shared" si="6"/>
        <v>No</v>
      </c>
    </row>
    <row r="1299">
      <c r="A1299" s="4" t="s">
        <v>16</v>
      </c>
      <c r="B1299" s="4" t="s">
        <v>3677</v>
      </c>
      <c r="C1299" s="9">
        <v>44870.0</v>
      </c>
      <c r="D1299" s="10">
        <v>44875.0</v>
      </c>
      <c r="E1299" s="4" t="s">
        <v>3678</v>
      </c>
      <c r="F1299" s="4" t="s">
        <v>3679</v>
      </c>
      <c r="G1299" s="6" t="str">
        <f>IFERROR(__xludf.DUMMYFUNCTION("REGEXREPLACE(LOWER(F1299),""[^a-z\s]"","""")"),"competitive prices good selection of bird food quick shipping")</f>
        <v>competitive prices good selection of bird food quick shipping</v>
      </c>
      <c r="H1299" s="4" t="str">
        <f t="shared" si="1"/>
        <v>competitive prices good selection of bird food quick shipping</v>
      </c>
      <c r="I1299" s="6">
        <f t="shared" si="2"/>
        <v>9</v>
      </c>
      <c r="J1299" s="6">
        <f>IFERROR(__xludf.DUMMYFUNCTION("IF(H1299="""","""",
SUM(
ARRAYFORMULA(
IF(
REGEXMATCH(
"" ""&amp;H1299&amp;"" "",
"" ""&amp;Sentiment_Words!A$2:A3730&amp;"" ""
),
1,
0
)
)
)
)"),1.0)</f>
        <v>1</v>
      </c>
      <c r="K1299" s="4">
        <f>IFERROR(__xludf.DUMMYFUNCTION("IF(H1299="""","""",
SUM(
ARRAYFORMULA(
IF(
REGEXMATCH(
"" ""&amp;H1299&amp;"" "",
"" ""&amp;Sentiment_Words!B$2:B3730&amp;"" ""
),
1,
0
)
)
)
)"),0.0)</f>
        <v>0</v>
      </c>
      <c r="L1299" s="7" t="str">
        <f t="shared" si="3"/>
        <v>Other</v>
      </c>
      <c r="M1299" s="7" t="str">
        <f t="shared" si="4"/>
        <v>Positive</v>
      </c>
      <c r="N1299" s="7" t="str">
        <f>IFERROR(__xludf.DUMMYFUNCTION("LOWER(
TRIM(
REGEXREPLACE(B1299,""[^a-zA-Z\s]"","""")
)
)
"),"anja metz")</f>
        <v>anja metz</v>
      </c>
      <c r="O1299" s="7">
        <f t="shared" si="5"/>
        <v>1</v>
      </c>
      <c r="P1299" s="8" t="str">
        <f t="shared" si="6"/>
        <v>No</v>
      </c>
    </row>
    <row r="1300">
      <c r="A1300" s="4" t="s">
        <v>16</v>
      </c>
      <c r="B1300" s="4" t="s">
        <v>3680</v>
      </c>
      <c r="C1300" s="9">
        <v>44872.0</v>
      </c>
      <c r="D1300" s="10">
        <v>44875.0</v>
      </c>
      <c r="E1300" s="4" t="s">
        <v>3681</v>
      </c>
      <c r="F1300" s="4" t="s">
        <v>3682</v>
      </c>
      <c r="G1300" s="6" t="str">
        <f>IFERROR(__xludf.DUMMYFUNCTION("REGEXREPLACE(LOWER(F1300),""[^a-z\s]"","""")"),"my order is constantly being canceled why cant i stay on a list until the product is back in stock so it can be shipped to me")</f>
        <v>my order is constantly being canceled why cant i stay on a list until the product is back in stock so it can be shipped to me</v>
      </c>
      <c r="H1300" s="4" t="str">
        <f t="shared" si="1"/>
        <v>my order constantly being canceled why cant i stay on a list until product back in stock so it can be shipped me</v>
      </c>
      <c r="I1300" s="6">
        <f t="shared" si="2"/>
        <v>23</v>
      </c>
      <c r="J1300" s="6">
        <f>IFERROR(__xludf.DUMMYFUNCTION("IF(H1300="""","""",
SUM(
ARRAYFORMULA(
IF(
REGEXMATCH(
"" ""&amp;H1300&amp;"" "",
"" ""&amp;Sentiment_Words!A$2:A3730&amp;"" ""
),
1,
0
)
)
)
)"),0.0)</f>
        <v>0</v>
      </c>
      <c r="K1300" s="4">
        <f>IFERROR(__xludf.DUMMYFUNCTION("IF(H1300="""","""",
SUM(
ARRAYFORMULA(
IF(
REGEXMATCH(
"" ""&amp;H1300&amp;"" "",
"" ""&amp;Sentiment_Words!B$2:B3730&amp;"" ""
),
1,
0
)
)
)
)"),0.0)</f>
        <v>0</v>
      </c>
      <c r="L1300" s="7" t="str">
        <f t="shared" si="3"/>
        <v>Other</v>
      </c>
      <c r="M1300" s="7" t="str">
        <f t="shared" si="4"/>
        <v>Neutral</v>
      </c>
      <c r="N1300" s="7" t="str">
        <f>IFERROR(__xludf.DUMMYFUNCTION("LOWER(
TRIM(
REGEXREPLACE(B1300,""[^a-zA-Z\s]"","""")
)
)
"),"rebecca soto")</f>
        <v>rebecca soto</v>
      </c>
      <c r="O1300" s="7">
        <f t="shared" si="5"/>
        <v>1</v>
      </c>
      <c r="P1300" s="8" t="str">
        <f t="shared" si="6"/>
        <v>No</v>
      </c>
    </row>
    <row r="1301">
      <c r="A1301" s="4" t="s">
        <v>16</v>
      </c>
      <c r="B1301" s="4" t="s">
        <v>3683</v>
      </c>
      <c r="C1301" s="5">
        <v>44762.0</v>
      </c>
      <c r="D1301" s="10">
        <v>44874.0</v>
      </c>
      <c r="E1301" s="4" t="s">
        <v>3684</v>
      </c>
      <c r="F1301" s="4" t="s">
        <v>3685</v>
      </c>
      <c r="G1301" s="6" t="str">
        <f>IFERROR(__xludf.DUMMYFUNCTION("REGEXREPLACE(LOWER(F1301),""[^a-z\s]"","""")"),"for over a year i have an autosubscribe food order the price went up on the food and i reached out to see if you would honor a competitors price without hesitation you did thank you so much for your superior customer service and quick and seamless orderde"&amp;"livery")</f>
        <v>for over a year i have an autosubscribe food order the price went up on the food and i reached out to see if you would honor a competitors price without hesitation you did thank you so much for your superior customer service and quick and seamless orderdelivery</v>
      </c>
      <c r="H1301" s="4" t="str">
        <f t="shared" si="1"/>
        <v>over a year i have an autosubscribe food order price went up on food i reached out see if you would honor a competitors price without hesitation you did thank you so much your superior customer service quick seamless orderdelivery</v>
      </c>
      <c r="I1301" s="6">
        <f t="shared" si="2"/>
        <v>40</v>
      </c>
      <c r="J1301" s="6">
        <f>IFERROR(__xludf.DUMMYFUNCTION("IF(H1301="""","""",
SUM(
ARRAYFORMULA(
IF(
REGEXMATCH(
"" ""&amp;H1301&amp;"" "",
"" ""&amp;Sentiment_Words!A$2:A3730&amp;"" ""
),
1,
0
)
)
)
)"),0.0)</f>
        <v>0</v>
      </c>
      <c r="K1301" s="4">
        <f>IFERROR(__xludf.DUMMYFUNCTION("IF(H1301="""","""",
SUM(
ARRAYFORMULA(
IF(
REGEXMATCH(
"" ""&amp;H1301&amp;"" "",
"" ""&amp;Sentiment_Words!B$2:B3730&amp;"" ""
),
1,
0
)
)
)
)"),1.0)</f>
        <v>1</v>
      </c>
      <c r="L1301" s="7" t="str">
        <f t="shared" si="3"/>
        <v>Customer Support</v>
      </c>
      <c r="M1301" s="7" t="str">
        <f t="shared" si="4"/>
        <v>Negative</v>
      </c>
      <c r="N1301" s="7" t="str">
        <f>IFERROR(__xludf.DUMMYFUNCTION("LOWER(
TRIM(
REGEXREPLACE(B1301,""[^a-zA-Z\s]"","""")
)
)
"),"julie hagenchurchman")</f>
        <v>julie hagenchurchman</v>
      </c>
      <c r="O1301" s="7">
        <f t="shared" si="5"/>
        <v>1</v>
      </c>
      <c r="P1301" s="8" t="str">
        <f t="shared" si="6"/>
        <v>No</v>
      </c>
    </row>
    <row r="1302">
      <c r="A1302" s="4" t="s">
        <v>16</v>
      </c>
      <c r="B1302" s="4" t="s">
        <v>3686</v>
      </c>
      <c r="C1302" s="5">
        <v>44862.0</v>
      </c>
      <c r="D1302" s="10">
        <v>44874.0</v>
      </c>
      <c r="E1302" s="4" t="s">
        <v>3687</v>
      </c>
      <c r="F1302" s="4" t="s">
        <v>3688</v>
      </c>
      <c r="G1302" s="6" t="str">
        <f>IFERROR(__xludf.DUMMYFUNCTION("REGEXREPLACE(LOWER(F1302),""[^a-z\s]"","""")"),"the web site is easy to use great deals on all pet supplies wide variety of pet foods especially for what i need for my cavalier i recommended petflow to all my pet parents")</f>
        <v>the web site is easy to use great deals on all pet supplies wide variety of pet foods especially for what i need for my cavalier i recommended petflow to all my pet parents</v>
      </c>
      <c r="H1302" s="4" t="str">
        <f t="shared" si="1"/>
        <v>web site easy use great deals on all pet supplies wide variety of pet foods especially what i need my cavalier i recommended petflow all my pet parents</v>
      </c>
      <c r="I1302" s="6">
        <f t="shared" si="2"/>
        <v>28</v>
      </c>
      <c r="J1302" s="6">
        <f>IFERROR(__xludf.DUMMYFUNCTION("IF(H1302="""","""",
SUM(
ARRAYFORMULA(
IF(
REGEXMATCH(
"" ""&amp;H1302&amp;"" "",
"" ""&amp;Sentiment_Words!A$2:A3730&amp;"" ""
),
1,
0
)
)
)
)"),2.0)</f>
        <v>2</v>
      </c>
      <c r="K1302" s="4">
        <f>IFERROR(__xludf.DUMMYFUNCTION("IF(H1302="""","""",
SUM(
ARRAYFORMULA(
IF(
REGEXMATCH(
"" ""&amp;H1302&amp;"" "",
"" ""&amp;Sentiment_Words!B$2:B3730&amp;"" ""
),
1,
0
)
)
)
)"),0.0)</f>
        <v>0</v>
      </c>
      <c r="L1302" s="7" t="str">
        <f t="shared" si="3"/>
        <v>Other</v>
      </c>
      <c r="M1302" s="7" t="str">
        <f t="shared" si="4"/>
        <v>Positive</v>
      </c>
      <c r="N1302" s="7" t="str">
        <f>IFERROR(__xludf.DUMMYFUNCTION("LOWER(
TRIM(
REGEXREPLACE(B1302,""[^a-zA-Z\s]"","""")
)
)
"),"jeanne marie thallmayer")</f>
        <v>jeanne marie thallmayer</v>
      </c>
      <c r="O1302" s="7">
        <f t="shared" si="5"/>
        <v>1</v>
      </c>
      <c r="P1302" s="8" t="str">
        <f t="shared" si="6"/>
        <v>No</v>
      </c>
    </row>
    <row r="1303">
      <c r="A1303" s="4" t="s">
        <v>16</v>
      </c>
      <c r="B1303" s="4" t="s">
        <v>3689</v>
      </c>
      <c r="C1303" s="9">
        <v>44869.0</v>
      </c>
      <c r="D1303" s="10">
        <v>44874.0</v>
      </c>
      <c r="E1303" s="4" t="s">
        <v>3690</v>
      </c>
      <c r="F1303" s="4" t="s">
        <v>3691</v>
      </c>
      <c r="G1303" s="6" t="str">
        <f>IFERROR(__xludf.DUMMYFUNCTION("REGEXREPLACE(LOWER(F1303),""[^a-z\s]"","""")"),"ordered cat food on sale  cases received email item was out of stock very disappointed should have been offered sale price when item returned to stock")</f>
        <v>ordered cat food on sale  cases received email item was out of stock very disappointed should have been offered sale price when item returned to stock</v>
      </c>
      <c r="H1303" s="4" t="str">
        <f t="shared" si="1"/>
        <v>ordered cat food on sale cases received email item was out of stock very disappointed should have been offered sale price when item returned stock</v>
      </c>
      <c r="I1303" s="6">
        <f t="shared" si="2"/>
        <v>25</v>
      </c>
      <c r="J1303" s="6">
        <f>IFERROR(__xludf.DUMMYFUNCTION("IF(H1303="""","""",
SUM(
ARRAYFORMULA(
IF(
REGEXMATCH(
"" ""&amp;H1303&amp;"" "",
"" ""&amp;Sentiment_Words!A$2:A3730&amp;"" ""
),
1,
0
)
)
)
)"),0.0)</f>
        <v>0</v>
      </c>
      <c r="K1303" s="4">
        <f>IFERROR(__xludf.DUMMYFUNCTION("IF(H1303="""","""",
SUM(
ARRAYFORMULA(
IF(
REGEXMATCH(
"" ""&amp;H1303&amp;"" "",
"" ""&amp;Sentiment_Words!B$2:B3730&amp;"" ""
),
1,
0
)
)
)
)"),2.0)</f>
        <v>2</v>
      </c>
      <c r="L1303" s="7" t="str">
        <f t="shared" si="3"/>
        <v>Availability</v>
      </c>
      <c r="M1303" s="7" t="str">
        <f t="shared" si="4"/>
        <v>Negative</v>
      </c>
      <c r="N1303" s="7" t="str">
        <f>IFERROR(__xludf.DUMMYFUNCTION("LOWER(
TRIM(
REGEXREPLACE(B1303,""[^a-zA-Z\s]"","""")
)
)
"),"robin schmincke")</f>
        <v>robin schmincke</v>
      </c>
      <c r="O1303" s="7">
        <f t="shared" si="5"/>
        <v>1</v>
      </c>
      <c r="P1303" s="8" t="str">
        <f t="shared" si="6"/>
        <v>No</v>
      </c>
    </row>
    <row r="1304">
      <c r="A1304" s="4" t="s">
        <v>16</v>
      </c>
      <c r="B1304" s="4" t="s">
        <v>3692</v>
      </c>
      <c r="C1304" s="9">
        <v>44873.0</v>
      </c>
      <c r="D1304" s="10">
        <v>44874.0</v>
      </c>
      <c r="E1304" s="4" t="s">
        <v>3693</v>
      </c>
      <c r="F1304" s="4" t="s">
        <v>3694</v>
      </c>
      <c r="G1304" s="6" t="str">
        <f>IFERROR(__xludf.DUMMYFUNCTION("REGEXREPLACE(LOWER(F1304),""[^a-z\s]"","""")"),"wonderful fast fast")</f>
        <v>wonderful fast fast</v>
      </c>
      <c r="H1304" s="4" t="str">
        <f t="shared" si="1"/>
        <v>wonderful fast fast</v>
      </c>
      <c r="I1304" s="6">
        <f t="shared" si="2"/>
        <v>3</v>
      </c>
      <c r="J1304" s="6">
        <f>IFERROR(__xludf.DUMMYFUNCTION("IF(H1304="""","""",
SUM(
ARRAYFORMULA(
IF(
REGEXMATCH(
"" ""&amp;H1304&amp;"" "",
"" ""&amp;Sentiment_Words!A$2:A3730&amp;"" ""
),
1,
0
)
)
)
)"),2.0)</f>
        <v>2</v>
      </c>
      <c r="K1304" s="4">
        <f>IFERROR(__xludf.DUMMYFUNCTION("IF(H1304="""","""",
SUM(
ARRAYFORMULA(
IF(
REGEXMATCH(
"" ""&amp;H1304&amp;"" "",
"" ""&amp;Sentiment_Words!B$2:B3730&amp;"" ""
),
1,
0
)
)
)
)"),0.0)</f>
        <v>0</v>
      </c>
      <c r="L1304" s="7" t="str">
        <f t="shared" si="3"/>
        <v>Other</v>
      </c>
      <c r="M1304" s="7" t="str">
        <f t="shared" si="4"/>
        <v>Positive</v>
      </c>
      <c r="N1304" s="7" t="str">
        <f>IFERROR(__xludf.DUMMYFUNCTION("LOWER(
TRIM(
REGEXREPLACE(B1304,""[^a-zA-Z\s]"","""")
)
)
"),"candy and brian")</f>
        <v>candy and brian</v>
      </c>
      <c r="O1304" s="7">
        <f t="shared" si="5"/>
        <v>1</v>
      </c>
      <c r="P1304" s="8" t="str">
        <f t="shared" si="6"/>
        <v>No</v>
      </c>
    </row>
    <row r="1305">
      <c r="A1305" s="4" t="s">
        <v>16</v>
      </c>
      <c r="B1305" s="4" t="s">
        <v>3695</v>
      </c>
      <c r="C1305" s="9">
        <v>44873.0</v>
      </c>
      <c r="D1305" s="10">
        <v>44874.0</v>
      </c>
      <c r="E1305" s="4" t="s">
        <v>3696</v>
      </c>
      <c r="F1305" s="4" t="s">
        <v>3697</v>
      </c>
      <c r="G1305" s="6" t="str">
        <f>IFERROR(__xludf.DUMMYFUNCTION("REGEXREPLACE(LOWER(F1305),""[^a-z\s]"","""")"),"had to inquire whether or not my order had shipped which it hadnt inquired twice and was told both times had not been shipped on the second inquiry i also asked that if it was not going to be shipped today  to cancel interestingly it has been shipped toda"&amp;"y")</f>
        <v>had to inquire whether or not my order had shipped which it hadnt inquired twice and was told both times had not been shipped on the second inquiry i also asked that if it was not going to be shipped today  to cancel interestingly it has been shipped today</v>
      </c>
      <c r="H1305" s="4" t="str">
        <f t="shared" si="1"/>
        <v>had inquire whether or not my order had shipped which it hadnt inquired twice was told both times had not been shipped on second inquiry i also asked that if it was not going be shipped today cancel interestingly it has been shipped today</v>
      </c>
      <c r="I1305" s="6">
        <f t="shared" si="2"/>
        <v>44</v>
      </c>
      <c r="J1305" s="6">
        <f>IFERROR(__xludf.DUMMYFUNCTION("IF(H1305="""","""",
SUM(
ARRAYFORMULA(
IF(
REGEXMATCH(
"" ""&amp;H1305&amp;"" "",
"" ""&amp;Sentiment_Words!A$2:A3730&amp;"" ""
),
1,
0
)
)
)
)"),0.0)</f>
        <v>0</v>
      </c>
      <c r="K1305" s="4">
        <f>IFERROR(__xludf.DUMMYFUNCTION("IF(H1305="""","""",
SUM(
ARRAYFORMULA(
IF(
REGEXMATCH(
"" ""&amp;H1305&amp;"" "",
"" ""&amp;Sentiment_Words!B$2:B3730&amp;"" ""
),
1,
0
)
)
)
)"),0.0)</f>
        <v>0</v>
      </c>
      <c r="L1305" s="7" t="str">
        <f t="shared" si="3"/>
        <v>Other</v>
      </c>
      <c r="M1305" s="7" t="str">
        <f t="shared" si="4"/>
        <v>Neutral</v>
      </c>
      <c r="N1305" s="7" t="str">
        <f>IFERROR(__xludf.DUMMYFUNCTION("LOWER(
TRIM(
REGEXREPLACE(B1305,""[^a-zA-Z\s]"","""")
)
)
"),"valerie")</f>
        <v>valerie</v>
      </c>
      <c r="O1305" s="7">
        <f t="shared" si="5"/>
        <v>1</v>
      </c>
      <c r="P1305" s="8" t="str">
        <f t="shared" si="6"/>
        <v>No</v>
      </c>
    </row>
    <row r="1306">
      <c r="A1306" s="4" t="s">
        <v>16</v>
      </c>
      <c r="B1306" s="4" t="s">
        <v>3698</v>
      </c>
      <c r="C1306" s="5">
        <v>44859.0</v>
      </c>
      <c r="D1306" s="10">
        <v>44874.0</v>
      </c>
      <c r="E1306" s="4" t="s">
        <v>3699</v>
      </c>
      <c r="F1306" s="4" t="s">
        <v>3700</v>
      </c>
      <c r="G1306" s="6" t="str">
        <f>IFERROR(__xludf.DUMMYFUNCTION("REGEXREPLACE(LOWER(F1306),""[^a-z\s]"","""")"),"i have a difficult time finding this product and petflow had what i needed fast delivery")</f>
        <v>i have a difficult time finding this product and petflow had what i needed fast delivery</v>
      </c>
      <c r="H1306" s="4" t="str">
        <f t="shared" si="1"/>
        <v>i have a difficult time finding this product petflow had what i needed fast delivery</v>
      </c>
      <c r="I1306" s="6">
        <f t="shared" si="2"/>
        <v>15</v>
      </c>
      <c r="J1306" s="6">
        <f>IFERROR(__xludf.DUMMYFUNCTION("IF(H1306="""","""",
SUM(
ARRAYFORMULA(
IF(
REGEXMATCH(
"" ""&amp;H1306&amp;"" "",
"" ""&amp;Sentiment_Words!A$2:A3730&amp;"" ""
),
1,
0
)
)
)
)"),2.0)</f>
        <v>2</v>
      </c>
      <c r="K1306" s="4">
        <f>IFERROR(__xludf.DUMMYFUNCTION("IF(H1306="""","""",
SUM(
ARRAYFORMULA(
IF(
REGEXMATCH(
"" ""&amp;H1306&amp;"" "",
"" ""&amp;Sentiment_Words!B$2:B3730&amp;"" ""
),
1,
0
)
)
)
)"),0.0)</f>
        <v>0</v>
      </c>
      <c r="L1306" s="7" t="str">
        <f t="shared" si="3"/>
        <v>Other</v>
      </c>
      <c r="M1306" s="7" t="str">
        <f t="shared" si="4"/>
        <v>Positive</v>
      </c>
      <c r="N1306" s="7" t="str">
        <f>IFERROR(__xludf.DUMMYFUNCTION("LOWER(
TRIM(
REGEXREPLACE(B1306,""[^a-zA-Z\s]"","""")
)
)
"),"joyce barber")</f>
        <v>joyce barber</v>
      </c>
      <c r="O1306" s="7">
        <f t="shared" si="5"/>
        <v>1</v>
      </c>
      <c r="P1306" s="8" t="str">
        <f t="shared" si="6"/>
        <v>No</v>
      </c>
    </row>
    <row r="1307">
      <c r="A1307" s="4" t="s">
        <v>16</v>
      </c>
      <c r="B1307" s="4" t="s">
        <v>3701</v>
      </c>
      <c r="C1307" s="9">
        <v>44869.0</v>
      </c>
      <c r="D1307" s="10">
        <v>44874.0</v>
      </c>
      <c r="E1307" s="4" t="s">
        <v>518</v>
      </c>
      <c r="F1307" s="4" t="s">
        <v>3702</v>
      </c>
      <c r="G1307" s="6" t="str">
        <f>IFERROR(__xludf.DUMMYFUNCTION("REGEXREPLACE(LOWER(F1307),""[^a-z\s]"","""")"),"great prices fast shipping and they actually have the dog food i need in the right size bag that i cant find anywhere else so glad i stumbled upon this company")</f>
        <v>great prices fast shipping and they actually have the dog food i need in the right size bag that i cant find anywhere else so glad i stumbled upon this company</v>
      </c>
      <c r="H1307" s="4" t="str">
        <f t="shared" si="1"/>
        <v>great prices fast shipping they actually have dog food i need in right size bag that i cant find anywhere else so glad i stumbled upon this company</v>
      </c>
      <c r="I1307" s="6">
        <f t="shared" si="2"/>
        <v>28</v>
      </c>
      <c r="J1307" s="6">
        <f>IFERROR(__xludf.DUMMYFUNCTION("IF(H1307="""","""",
SUM(
ARRAYFORMULA(
IF(
REGEXMATCH(
"" ""&amp;H1307&amp;"" "",
"" ""&amp;Sentiment_Words!A$2:A3730&amp;"" ""
),
1,
0
)
)
)
)"),2.0)</f>
        <v>2</v>
      </c>
      <c r="K1307" s="4">
        <f>IFERROR(__xludf.DUMMYFUNCTION("IF(H1307="""","""",
SUM(
ARRAYFORMULA(
IF(
REGEXMATCH(
"" ""&amp;H1307&amp;"" "",
"" ""&amp;Sentiment_Words!B$2:B3730&amp;"" ""
),
1,
0
)
)
)
)"),0.0)</f>
        <v>0</v>
      </c>
      <c r="L1307" s="7" t="str">
        <f t="shared" si="3"/>
        <v>Other</v>
      </c>
      <c r="M1307" s="7" t="str">
        <f t="shared" si="4"/>
        <v>Positive</v>
      </c>
      <c r="N1307" s="7" t="str">
        <f>IFERROR(__xludf.DUMMYFUNCTION("LOWER(
TRIM(
REGEXREPLACE(B1307,""[^a-zA-Z\s]"","""")
)
)
"),"jennifer h")</f>
        <v>jennifer h</v>
      </c>
      <c r="O1307" s="7">
        <f t="shared" si="5"/>
        <v>1</v>
      </c>
      <c r="P1307" s="8" t="str">
        <f t="shared" si="6"/>
        <v>No</v>
      </c>
    </row>
    <row r="1308">
      <c r="A1308" s="4" t="s">
        <v>16</v>
      </c>
      <c r="B1308" s="4" t="s">
        <v>1724</v>
      </c>
      <c r="C1308" s="9">
        <v>44873.0</v>
      </c>
      <c r="D1308" s="10">
        <v>44874.0</v>
      </c>
      <c r="E1308" s="4" t="s">
        <v>3703</v>
      </c>
      <c r="F1308" s="4" t="s">
        <v>3704</v>
      </c>
      <c r="G1308" s="6" t="str">
        <f>IFERROR(__xludf.DUMMYFUNCTION("REGEXREPLACE(LOWER(F1308),""[^a-z\s]"","""")"),"ordered food got message later that it was out of stock so website isnt accurately updated waited as they said they would ship as soon as they got it in stock then i got a message that they canceled my order so this was the first and last time i will try "&amp;"this site")</f>
        <v>ordered food got message later that it was out of stock so website isnt accurately updated waited as they said they would ship as soon as they got it in stock then i got a message that they canceled my order so this was the first and last time i will try this site</v>
      </c>
      <c r="H1308" s="4" t="str">
        <f t="shared" si="1"/>
        <v>ordered food got message later that it was out of stock so website isnt accurately updated waited as they said they would ship as soon as they got it in stock then i got a message that they canceled my order so this was first last time i will try this site</v>
      </c>
      <c r="I1308" s="6">
        <f t="shared" si="2"/>
        <v>52</v>
      </c>
      <c r="J1308" s="6">
        <f>IFERROR(__xludf.DUMMYFUNCTION("IF(H1308="""","""",
SUM(
ARRAYFORMULA(
IF(
REGEXMATCH(
"" ""&amp;H1308&amp;"" "",
"" ""&amp;Sentiment_Words!A$2:A3730&amp;"" ""
),
1,
0
)
)
)
)"),0.0)</f>
        <v>0</v>
      </c>
      <c r="K1308" s="4">
        <f>IFERROR(__xludf.DUMMYFUNCTION("IF(H1308="""","""",
SUM(
ARRAYFORMULA(
IF(
REGEXMATCH(
"" ""&amp;H1308&amp;"" "",
"" ""&amp;Sentiment_Words!B$2:B3730&amp;"" ""
),
1,
0
)
)
)
)"),1.0)</f>
        <v>1</v>
      </c>
      <c r="L1308" s="7" t="str">
        <f t="shared" si="3"/>
        <v>Fulfillment &amp; Shipping</v>
      </c>
      <c r="M1308" s="7" t="str">
        <f t="shared" si="4"/>
        <v>Negative</v>
      </c>
      <c r="N1308" s="7" t="str">
        <f>IFERROR(__xludf.DUMMYFUNCTION("LOWER(
TRIM(
REGEXREPLACE(B1308,""[^a-zA-Z\s]"","""")
)
)
"),"lisa")</f>
        <v>lisa</v>
      </c>
      <c r="O1308" s="7">
        <f t="shared" si="5"/>
        <v>8</v>
      </c>
      <c r="P1308" s="8" t="str">
        <f t="shared" si="6"/>
        <v>Yes</v>
      </c>
    </row>
    <row r="1309">
      <c r="A1309" s="4" t="s">
        <v>16</v>
      </c>
      <c r="B1309" s="4" t="s">
        <v>3705</v>
      </c>
      <c r="C1309" s="9">
        <v>44873.0</v>
      </c>
      <c r="D1309" s="10">
        <v>44873.0</v>
      </c>
      <c r="E1309" s="4" t="s">
        <v>3706</v>
      </c>
      <c r="F1309" s="4" t="s">
        <v>3707</v>
      </c>
      <c r="G1309" s="6" t="str">
        <f>IFERROR(__xludf.DUMMYFUNCTION("REGEXREPLACE(LOWER(F1309),""[^a-z\s]"","""")"),"quick quick delivery after several deliveries of same order  lb bag of prescription dry cat food the shipping box holding the bag has become more compact and instead of a  foot long of brown packing paper crumpled and wrapped around the bag to fend off da"&amp;"mage makes a great tail come halloween has been replaced by a  foot by  inch bubble pack with  bubbles oh yeh kittens turned it into a toy")</f>
        <v>quick quick delivery after several deliveries of same order  lb bag of prescription dry cat food the shipping box holding the bag has become more compact and instead of a  foot long of brown packing paper crumpled and wrapped around the bag to fend off damage makes a great tail come halloween has been replaced by a  foot by  inch bubble pack with  bubbles oh yeh kittens turned it into a toy</v>
      </c>
      <c r="H1309" s="4" t="str">
        <f t="shared" si="1"/>
        <v>quick quick delivery after several deliveries of same order lb bag of prescription dry cat food shipping box holding bag has become more compact instead of a foot long of brown packing paper crumpled wrapped around bag fend off damage makes a great tail come halloween has been replaced by a foot by inch bubble pack with bubbles oh yeh kittens turned it into a toy</v>
      </c>
      <c r="I1309" s="6">
        <f t="shared" si="2"/>
        <v>66</v>
      </c>
      <c r="J1309" s="6">
        <f>IFERROR(__xludf.DUMMYFUNCTION("IF(H1309="""","""",
SUM(
ARRAYFORMULA(
IF(
REGEXMATCH(
"" ""&amp;H1309&amp;"" "",
"" ""&amp;Sentiment_Words!A$2:A3730&amp;"" ""
),
1,
0
)
)
)
)"),2.0)</f>
        <v>2</v>
      </c>
      <c r="K1309" s="4">
        <f>IFERROR(__xludf.DUMMYFUNCTION("IF(H1309="""","""",
SUM(
ARRAYFORMULA(
IF(
REGEXMATCH(
"" ""&amp;H1309&amp;"" "",
"" ""&amp;Sentiment_Words!B$2:B3730&amp;"" ""
),
1,
0
)
)
)
)"),0.0)</f>
        <v>0</v>
      </c>
      <c r="L1309" s="7" t="str">
        <f t="shared" si="3"/>
        <v>Other</v>
      </c>
      <c r="M1309" s="7" t="str">
        <f t="shared" si="4"/>
        <v>Positive</v>
      </c>
      <c r="N1309" s="7" t="str">
        <f>IFERROR(__xludf.DUMMYFUNCTION("LOWER(
TRIM(
REGEXREPLACE(B1309,""[^a-zA-Z\s]"","""")
)
)
"),"ron henderson")</f>
        <v>ron henderson</v>
      </c>
      <c r="O1309" s="7">
        <f t="shared" si="5"/>
        <v>1</v>
      </c>
      <c r="P1309" s="8" t="str">
        <f t="shared" si="6"/>
        <v>No</v>
      </c>
    </row>
    <row r="1310">
      <c r="A1310" s="4" t="s">
        <v>16</v>
      </c>
      <c r="B1310" s="4" t="s">
        <v>3708</v>
      </c>
      <c r="C1310" s="5">
        <v>44865.0</v>
      </c>
      <c r="D1310" s="10">
        <v>44873.0</v>
      </c>
      <c r="E1310" s="4" t="s">
        <v>3709</v>
      </c>
      <c r="F1310" s="4" t="s">
        <v>3710</v>
      </c>
      <c r="G1310" s="6" t="str">
        <f>IFERROR(__xludf.DUMMYFUNCTION("REGEXREPLACE(LOWER(F1310),""[^a-z\s]"","""")"),"i love petflow i prefer them to chewy and petsmart i feel like they are geared more towards the consumer and their pets and not political posturing i buy for my pets and want a company committed to my pets")</f>
        <v>i love petflow i prefer them to chewy and petsmart i feel like they are geared more towards the consumer and their pets and not political posturing i buy for my pets and want a company committed to my pets</v>
      </c>
      <c r="H1310" s="4" t="str">
        <f t="shared" si="1"/>
        <v>i love petflow i prefer them chewy petsmart i feel like they are geared more towards consumer their pets not political posturing i buy my pets want a company committed my pets</v>
      </c>
      <c r="I1310" s="6">
        <f t="shared" si="2"/>
        <v>32</v>
      </c>
      <c r="J1310" s="6">
        <f>IFERROR(__xludf.DUMMYFUNCTION("IF(H1310="""","""",
SUM(
ARRAYFORMULA(
IF(
REGEXMATCH(
"" ""&amp;H1310&amp;"" "",
"" ""&amp;Sentiment_Words!A$2:A3730&amp;"" ""
),
1,
0
)
)
)
)"),2.0)</f>
        <v>2</v>
      </c>
      <c r="K1310" s="4">
        <f>IFERROR(__xludf.DUMMYFUNCTION("IF(H1310="""","""",
SUM(
ARRAYFORMULA(
IF(
REGEXMATCH(
"" ""&amp;H1310&amp;"" "",
"" ""&amp;Sentiment_Words!B$2:B3730&amp;"" ""
),
1,
0
)
)
)
)"),0.0)</f>
        <v>0</v>
      </c>
      <c r="L1310" s="7" t="str">
        <f t="shared" si="3"/>
        <v>Other</v>
      </c>
      <c r="M1310" s="7" t="str">
        <f t="shared" si="4"/>
        <v>Positive</v>
      </c>
      <c r="N1310" s="7" t="str">
        <f>IFERROR(__xludf.DUMMYFUNCTION("LOWER(
TRIM(
REGEXREPLACE(B1310,""[^a-zA-Z\s]"","""")
)
)
"),"sal quintero")</f>
        <v>sal quintero</v>
      </c>
      <c r="O1310" s="7">
        <f t="shared" si="5"/>
        <v>1</v>
      </c>
      <c r="P1310" s="8" t="str">
        <f t="shared" si="6"/>
        <v>No</v>
      </c>
    </row>
    <row r="1311">
      <c r="A1311" s="4" t="s">
        <v>16</v>
      </c>
      <c r="B1311" s="4" t="s">
        <v>3711</v>
      </c>
      <c r="C1311" s="5">
        <v>44856.0</v>
      </c>
      <c r="D1311" s="10">
        <v>44873.0</v>
      </c>
      <c r="E1311" s="4" t="s">
        <v>3712</v>
      </c>
      <c r="F1311" s="4" t="s">
        <v>3713</v>
      </c>
      <c r="G1311" s="6" t="str">
        <f>IFERROR(__xludf.DUMMYFUNCTION("REGEXREPLACE(LOWER(F1311),""[^a-z\s]"","""")"),"csr told me my card was fraudulent and my order would not ship i bought dog food from another place and then i notice petflow had shipped my order after telling me it was cancelled i wont shop here again")</f>
        <v>csr told me my card was fraudulent and my order would not ship i bought dog food from another place and then i notice petflow had shipped my order after telling me it was cancelled i wont shop here again</v>
      </c>
      <c r="H1311" s="4" t="str">
        <f t="shared" si="1"/>
        <v>csr told me my card was fraudulent my order would not ship i bought dog food from another place then i notice petflow had shipped my order after telling me it was cancelled i wont shop here again</v>
      </c>
      <c r="I1311" s="6">
        <f t="shared" si="2"/>
        <v>38</v>
      </c>
      <c r="J1311" s="6">
        <f>IFERROR(__xludf.DUMMYFUNCTION("IF(H1311="""","""",
SUM(
ARRAYFORMULA(
IF(
REGEXMATCH(
"" ""&amp;H1311&amp;"" "",
"" ""&amp;Sentiment_Words!A$2:A3730&amp;"" ""
),
1,
0
)
)
)
)"),0.0)</f>
        <v>0</v>
      </c>
      <c r="K1311" s="4">
        <f>IFERROR(__xludf.DUMMYFUNCTION("IF(H1311="""","""",
SUM(
ARRAYFORMULA(
IF(
REGEXMATCH(
"" ""&amp;H1311&amp;"" "",
"" ""&amp;Sentiment_Words!B$2:B3730&amp;"" ""
),
1,
0
)
)
)
)"),1.0)</f>
        <v>1</v>
      </c>
      <c r="L1311" s="7" t="str">
        <f t="shared" si="3"/>
        <v>Other</v>
      </c>
      <c r="M1311" s="7" t="str">
        <f t="shared" si="4"/>
        <v>Negative</v>
      </c>
      <c r="N1311" s="7" t="str">
        <f>IFERROR(__xludf.DUMMYFUNCTION("LOWER(
TRIM(
REGEXREPLACE(B1311,""[^a-zA-Z\s]"","""")
)
)
"),"brent mccaig")</f>
        <v>brent mccaig</v>
      </c>
      <c r="O1311" s="7">
        <f t="shared" si="5"/>
        <v>1</v>
      </c>
      <c r="P1311" s="8" t="str">
        <f t="shared" si="6"/>
        <v>No</v>
      </c>
    </row>
    <row r="1312">
      <c r="A1312" s="4" t="s">
        <v>16</v>
      </c>
      <c r="B1312" s="4" t="s">
        <v>3714</v>
      </c>
      <c r="C1312" s="9">
        <v>44872.0</v>
      </c>
      <c r="D1312" s="10">
        <v>44873.0</v>
      </c>
      <c r="E1312" s="4" t="s">
        <v>3715</v>
      </c>
      <c r="F1312" s="4" t="s">
        <v>3716</v>
      </c>
      <c r="G1312" s="6" t="str">
        <f>IFERROR(__xludf.DUMMYFUNCTION("REGEXREPLACE(LOWER(F1312),""[^a-z\s]"","""")"),"easy to order
my order was a repeat order and the site made it easy to identify the previous order
the site facilitated the scanning for coupons which gave me a discount
communications regarding order placement shipping and delivery were timely and accura"&amp;"te
the item delivered was as ordered
overall a swift smooth transaction
highly recommended")</f>
        <v>easy to order
my order was a repeat order and the site made it easy to identify the previous order
the site facilitated the scanning for coupons which gave me a discount
communications regarding order placement shipping and delivery were timely and accurate
the item delivered was as ordered
overall a swift smooth transaction
highly recommended</v>
      </c>
      <c r="H1312" s="4" t="str">
        <f t="shared" si="1"/>
        <v>easy order
my order was a repeat order site made it easy identify previous order
the site facilitated scanning coupons which gave me a discount
communications regarding order placement shipping delivery were timely accurate
the item delivered was as ordered
overall a swift smooth transaction
highly recommended</v>
      </c>
      <c r="I1312" s="6">
        <f t="shared" si="2"/>
        <v>41</v>
      </c>
      <c r="J1312" s="6">
        <f>IFERROR(__xludf.DUMMYFUNCTION("IF(H1312="""","""",
SUM(
ARRAYFORMULA(
IF(
REGEXMATCH(
"" ""&amp;H1312&amp;"" "",
"" ""&amp;Sentiment_Words!A$2:A3730&amp;"" ""
),
1,
0
)
)
)
)"),2.0)</f>
        <v>2</v>
      </c>
      <c r="K1312" s="4">
        <f>IFERROR(__xludf.DUMMYFUNCTION("IF(H1312="""","""",
SUM(
ARRAYFORMULA(
IF(
REGEXMATCH(
"" ""&amp;H1312&amp;"" "",
"" ""&amp;Sentiment_Words!B$2:B3730&amp;"" ""
),
1,
0
)
)
)
)"),0.0)</f>
        <v>0</v>
      </c>
      <c r="L1312" s="7" t="str">
        <f t="shared" si="3"/>
        <v>Other</v>
      </c>
      <c r="M1312" s="7" t="str">
        <f t="shared" si="4"/>
        <v>Positive</v>
      </c>
      <c r="N1312" s="7" t="str">
        <f>IFERROR(__xludf.DUMMYFUNCTION("LOWER(
TRIM(
REGEXREPLACE(B1312,""[^a-zA-Z\s]"","""")
)
)
"),"richard beard")</f>
        <v>richard beard</v>
      </c>
      <c r="O1312" s="7">
        <f t="shared" si="5"/>
        <v>1</v>
      </c>
      <c r="P1312" s="8" t="str">
        <f t="shared" si="6"/>
        <v>No</v>
      </c>
    </row>
    <row r="1313">
      <c r="A1313" s="4" t="s">
        <v>16</v>
      </c>
      <c r="B1313" s="4" t="s">
        <v>3717</v>
      </c>
      <c r="C1313" s="9">
        <v>44870.0</v>
      </c>
      <c r="D1313" s="10">
        <v>44873.0</v>
      </c>
      <c r="E1313" s="4" t="s">
        <v>3718</v>
      </c>
      <c r="F1313" s="4" t="s">
        <v>3719</v>
      </c>
      <c r="G1313" s="6" t="str">
        <f>IFERROR(__xludf.DUMMYFUNCTION("REGEXREPLACE(LOWER(F1313),""[^a-z\s]"","""")"),"weve been using petflow for many years now and every aspect of their service has always been amazing premium kibble reasonable price and product arrives quickly")</f>
        <v>weve been using petflow for many years now and every aspect of their service has always been amazing premium kibble reasonable price and product arrives quickly</v>
      </c>
      <c r="H1313" s="4" t="str">
        <f t="shared" si="1"/>
        <v>weve been using petflow many years now every aspect of their service has always been amazing premium kibble reasonable price product arrives quickly</v>
      </c>
      <c r="I1313" s="6">
        <f t="shared" si="2"/>
        <v>23</v>
      </c>
      <c r="J1313" s="6">
        <f>IFERROR(__xludf.DUMMYFUNCTION("IF(H1313="""","""",
SUM(
ARRAYFORMULA(
IF(
REGEXMATCH(
"" ""&amp;H1313&amp;"" "",
"" ""&amp;Sentiment_Words!A$2:A3730&amp;"" ""
),
1,
0
)
)
)
)"),0.0)</f>
        <v>0</v>
      </c>
      <c r="K1313" s="4">
        <f>IFERROR(__xludf.DUMMYFUNCTION("IF(H1313="""","""",
SUM(
ARRAYFORMULA(
IF(
REGEXMATCH(
"" ""&amp;H1313&amp;"" "",
"" ""&amp;Sentiment_Words!B$2:B3730&amp;"" ""
),
1,
0
)
)
)
)"),0.0)</f>
        <v>0</v>
      </c>
      <c r="L1313" s="7" t="str">
        <f t="shared" si="3"/>
        <v>Customer Support</v>
      </c>
      <c r="M1313" s="7" t="str">
        <f t="shared" si="4"/>
        <v>Neutral</v>
      </c>
      <c r="N1313" s="7" t="str">
        <f>IFERROR(__xludf.DUMMYFUNCTION("LOWER(
TRIM(
REGEXREPLACE(B1313,""[^a-zA-Z\s]"","""")
)
)
"),"christopher munns")</f>
        <v>christopher munns</v>
      </c>
      <c r="O1313" s="7">
        <f t="shared" si="5"/>
        <v>1</v>
      </c>
      <c r="P1313" s="8" t="str">
        <f t="shared" si="6"/>
        <v>No</v>
      </c>
    </row>
    <row r="1314">
      <c r="A1314" s="4" t="s">
        <v>16</v>
      </c>
      <c r="B1314" s="4" t="s">
        <v>3720</v>
      </c>
      <c r="C1314" s="5">
        <v>44865.0</v>
      </c>
      <c r="D1314" s="10">
        <v>44873.0</v>
      </c>
      <c r="E1314" s="4" t="s">
        <v>3721</v>
      </c>
      <c r="F1314" s="4" t="s">
        <v>3722</v>
      </c>
      <c r="G1314" s="6" t="str">
        <f>IFERROR(__xludf.DUMMYFUNCTION("REGEXREPLACE(LOWER(F1314),""[^a-z\s]"","""")"),"always delivered quickly and you carry high quality cat food thank you")</f>
        <v>always delivered quickly and you carry high quality cat food thank you</v>
      </c>
      <c r="H1314" s="4" t="str">
        <f t="shared" si="1"/>
        <v>always delivered quickly you carry high quality cat food thank you</v>
      </c>
      <c r="I1314" s="6">
        <f t="shared" si="2"/>
        <v>11</v>
      </c>
      <c r="J1314" s="6">
        <f>IFERROR(__xludf.DUMMYFUNCTION("IF(H1314="""","""",
SUM(
ARRAYFORMULA(
IF(
REGEXMATCH(
"" ""&amp;H1314&amp;"" "",
"" ""&amp;Sentiment_Words!A$2:A3730&amp;"" ""
),
1,
0
)
)
)
)"),1.0)</f>
        <v>1</v>
      </c>
      <c r="K1314" s="4">
        <f>IFERROR(__xludf.DUMMYFUNCTION("IF(H1314="""","""",
SUM(
ARRAYFORMULA(
IF(
REGEXMATCH(
"" ""&amp;H1314&amp;"" "",
"" ""&amp;Sentiment_Words!B$2:B3730&amp;"" ""
),
1,
0
)
)
)
)"),0.0)</f>
        <v>0</v>
      </c>
      <c r="L1314" s="7" t="str">
        <f t="shared" si="3"/>
        <v>Other</v>
      </c>
      <c r="M1314" s="7" t="str">
        <f t="shared" si="4"/>
        <v>Positive</v>
      </c>
      <c r="N1314" s="7" t="str">
        <f>IFERROR(__xludf.DUMMYFUNCTION("LOWER(
TRIM(
REGEXREPLACE(B1314,""[^a-zA-Z\s]"","""")
)
)
"),"julie r")</f>
        <v>julie r</v>
      </c>
      <c r="O1314" s="7">
        <f t="shared" si="5"/>
        <v>1</v>
      </c>
      <c r="P1314" s="8" t="str">
        <f t="shared" si="6"/>
        <v>No</v>
      </c>
    </row>
    <row r="1315">
      <c r="A1315" s="4" t="s">
        <v>16</v>
      </c>
      <c r="B1315" s="4" t="s">
        <v>3723</v>
      </c>
      <c r="C1315" s="9">
        <v>44866.0</v>
      </c>
      <c r="D1315" s="10">
        <v>44873.0</v>
      </c>
      <c r="E1315" s="4" t="s">
        <v>3724</v>
      </c>
      <c r="F1315" s="4" t="s">
        <v>3725</v>
      </c>
      <c r="G1315" s="6" t="str">
        <f>IFERROR(__xludf.DUMMYFUNCTION("REGEXREPLACE(LOWER(F1315),""[^a-z\s]"","""")"),"i ordered a couple hundred dollars worth of stuff all but  items were unable to be shipped and on backorder why do they have items listened that they clearly dont have in stock one or two items  ok but pretty much my entire order you might want to call an"&amp;"d ask if they have the items you want before ordering what a joke")</f>
        <v>i ordered a couple hundred dollars worth of stuff all but  items were unable to be shipped and on backorder why do they have items listened that they clearly dont have in stock one or two items  ok but pretty much my entire order you might want to call and ask if they have the items you want before ordering what a joke</v>
      </c>
      <c r="H1315" s="4" t="str">
        <f t="shared" si="1"/>
        <v>i ordered a couple hundred dollars worth of stuff all but items were unable be shipped on backorder why do they have items listened that they clearly dont have in stock one or two items ok but pretty much my entire order you might want call ask if they have items you want before ordering what a joke</v>
      </c>
      <c r="I1315" s="6">
        <f t="shared" si="2"/>
        <v>58</v>
      </c>
      <c r="J1315" s="6">
        <f>IFERROR(__xludf.DUMMYFUNCTION("IF(H1315="""","""",
SUM(
ARRAYFORMULA(
IF(
REGEXMATCH(
"" ""&amp;H1315&amp;"" "",
"" ""&amp;Sentiment_Words!A$2:A3730&amp;"" ""
),
1,
0
)
)
)
)"),1.0)</f>
        <v>1</v>
      </c>
      <c r="K1315" s="4">
        <f>IFERROR(__xludf.DUMMYFUNCTION("IF(H1315="""","""",
SUM(
ARRAYFORMULA(
IF(
REGEXMATCH(
"" ""&amp;H1315&amp;"" "",
"" ""&amp;Sentiment_Words!B$2:B3730&amp;"" ""
),
1,
0
)
)
)
)"),0.0)</f>
        <v>0</v>
      </c>
      <c r="L1315" s="7" t="str">
        <f t="shared" si="3"/>
        <v>Other</v>
      </c>
      <c r="M1315" s="7" t="str">
        <f t="shared" si="4"/>
        <v>Positive</v>
      </c>
      <c r="N1315" s="7" t="str">
        <f>IFERROR(__xludf.DUMMYFUNCTION("LOWER(
TRIM(
REGEXREPLACE(B1315,""[^a-zA-Z\s]"","""")
)
)
"),"mary leader")</f>
        <v>mary leader</v>
      </c>
      <c r="O1315" s="7">
        <f t="shared" si="5"/>
        <v>1</v>
      </c>
      <c r="P1315" s="8" t="str">
        <f t="shared" si="6"/>
        <v>No</v>
      </c>
    </row>
    <row r="1316">
      <c r="A1316" s="4" t="s">
        <v>16</v>
      </c>
      <c r="B1316" s="4" t="s">
        <v>3726</v>
      </c>
      <c r="C1316" s="9">
        <v>44872.0</v>
      </c>
      <c r="D1316" s="10">
        <v>44873.0</v>
      </c>
      <c r="E1316" s="4" t="s">
        <v>3727</v>
      </c>
      <c r="F1316" s="4" t="s">
        <v>3728</v>
      </c>
      <c r="G1316" s="6" t="str">
        <f>IFERROR(__xludf.DUMMYFUNCTION("REGEXREPLACE(LOWER(F1316),""[^a-z\s]"","""")"),"main complaint  damaged cans over and over again
i have been told to call and requests additional packing additional boxes email notifications on auto ship status i do all these things and still petflow comes up short
if something is out of stock at the"&amp;" time of shipping not at the time of ordering zero communication even though petflow has charged your card
repeated damaged shipments regardless of my continuous phone calls to them requesting split shipments and additional packing as they themselves tol"&amp;"d me to do every time i call it is a different excuse
ive had credits applied to my account and assured they will be applied to my next order no i have to call and make sure they do it sometimes they cant find it have to hunt for it and blame someone els"&amp;"e that works there for the error
after repeatedly calling in and telling them about dented cans arriving here and the external boxes showing no damage calling in prior to shipping and requesting two boxes and additional packaging as they told me to do st"&amp;"ill damage they dont listen and have a book full of excuses
the last order just two days ago and the previous order had many dented cans and many orders before some actually crushed top to bottom not the manufacturers fault i checked so who fedex i reall"&amp;"y dont care whos to blame i want quality product delivered to my door step and proper treatment you could learn a thing or two from amazon
this last order had  dented cans out of  thats bad
correct the problem both in your shipping department and your c"&amp;"ustomer service department before you lose business")</f>
        <v>main complaint  damaged cans over and over again
i have been told to call and requests additional packing additional boxes email notifications on auto ship status i do all these things and still petflow comes up short
if something is out of stock at the time of shipping not at the time of ordering zero communication even though petflow has charged your card
repeated damaged shipments regardless of my continuous phone calls to them requesting split shipments and additional packing as they themselves told me to do every time i call it is a different excuse
ive had credits applied to my account and assured they will be applied to my next order no i have to call and make sure they do it sometimes they cant find it have to hunt for it and blame someone else that works there for the error
after repeatedly calling in and telling them about dented cans arriving here and the external boxes showing no damage calling in prior to shipping and requesting two boxes and additional packaging as they told me to do still damage they dont listen and have a book full of excuses
the last order just two days ago and the previous order had many dented cans and many orders before some actually crushed top to bottom not the manufacturers fault i checked so who fedex i really dont care whos to blame i want quality product delivered to my door step and proper treatment you could learn a thing or two from amazon
this last order had  dented cans out of  thats bad
correct the problem both in your shipping department and your customer service department before you lose business</v>
      </c>
      <c r="H1316" s="4" t="str">
        <f t="shared" si="1"/>
        <v>main complaint damaged cans over over again
i have been told call requests additional packing additional boxes email notifications on auto ship status i do all these things still petflow comes up short
if something out of stock at time of shipping not at time of ordering zero communication even though petflow has charged your card
repeated damaged shipments regardless of my continuous phone calls them requesting split shipments additional packing as they themselves told me do every time i call it a different excuse
ive had credits applied my account assured they will be applied my next order no i have call make sure they do it sometimes they cant find it have hunt it blame someone else that works there error
after repeatedly calling in telling them about dented cans arriving here external boxes showing no damage calling in prior shipping requesting two boxes additional packaging as they told me do still damage they dont listen have a book full of excuses
the last order just two days ago previous order had many dented cans many orders before some actually crushed top bottom not manufacturers fault i checked so who fedex i really dont care whos blame i want quality product delivered my door step proper treatment you could learn a thing or two from amazon
this last order had dented cans out of thats bad
correct problem both in your shipping department your customer service department before you lose business</v>
      </c>
      <c r="I1316" s="6">
        <f t="shared" si="2"/>
        <v>235</v>
      </c>
      <c r="J1316" s="6">
        <f>IFERROR(__xludf.DUMMYFUNCTION("IF(H1316="""","""",
SUM(
ARRAYFORMULA(
IF(
REGEXMATCH(
"" ""&amp;H1316&amp;"" "",
"" ""&amp;Sentiment_Words!A$2:A3730&amp;"" ""
),
1,
0
)
)
)
)"),3.0)</f>
        <v>3</v>
      </c>
      <c r="K1316" s="4">
        <f>IFERROR(__xludf.DUMMYFUNCTION("IF(H1316="""","""",
SUM(
ARRAYFORMULA(
IF(
REGEXMATCH(
"" ""&amp;H1316&amp;"" "",
"" ""&amp;Sentiment_Words!B$2:B3730&amp;"" ""
),
1,
0
)
)
)
)"),3.0)</f>
        <v>3</v>
      </c>
      <c r="L1316" s="7" t="str">
        <f t="shared" si="3"/>
        <v>Customer Support</v>
      </c>
      <c r="M1316" s="7" t="str">
        <f t="shared" si="4"/>
        <v>Neutral</v>
      </c>
      <c r="N1316" s="7" t="str">
        <f>IFERROR(__xludf.DUMMYFUNCTION("LOWER(
TRIM(
REGEXREPLACE(B1316,""[^a-zA-Z\s]"","""")
)
)
"),"jasmine williams")</f>
        <v>jasmine williams</v>
      </c>
      <c r="O1316" s="7">
        <f t="shared" si="5"/>
        <v>1</v>
      </c>
      <c r="P1316" s="8" t="str">
        <f t="shared" si="6"/>
        <v>No</v>
      </c>
    </row>
    <row r="1317">
      <c r="A1317" s="4" t="s">
        <v>16</v>
      </c>
      <c r="B1317" s="4" t="s">
        <v>3729</v>
      </c>
      <c r="C1317" s="9">
        <v>44871.0</v>
      </c>
      <c r="D1317" s="10">
        <v>44873.0</v>
      </c>
      <c r="E1317" s="4" t="s">
        <v>3730</v>
      </c>
      <c r="F1317" s="4" t="s">
        <v>3731</v>
      </c>
      <c r="G1317" s="6" t="str">
        <f>IFERROR(__xludf.DUMMYFUNCTION("REGEXREPLACE(LOWER(F1317),""[^a-z\s]"","""")"),"spoke with a rep named ryan and he was extremely rude and hung up after saying have a good day because he couldnt answer my questions about a product pet flow says they have in stock")</f>
        <v>spoke with a rep named ryan and he was extremely rude and hung up after saying have a good day because he couldnt answer my questions about a product pet flow says they have in stock</v>
      </c>
      <c r="H1317" s="4" t="str">
        <f t="shared" si="1"/>
        <v>spoke with a rep named ryan he was extremely rude hung up after saying have a good day because he couldnt answer my questions about a product pet flow says they have in stock</v>
      </c>
      <c r="I1317" s="6">
        <f t="shared" si="2"/>
        <v>34</v>
      </c>
      <c r="J1317" s="6">
        <f>IFERROR(__xludf.DUMMYFUNCTION("IF(H1317="""","""",
SUM(
ARRAYFORMULA(
IF(
REGEXMATCH(
"" ""&amp;H1317&amp;"" "",
"" ""&amp;Sentiment_Words!A$2:A3730&amp;"" ""
),
1,
0
)
)
)
)"),1.0)</f>
        <v>1</v>
      </c>
      <c r="K1317" s="4">
        <f>IFERROR(__xludf.DUMMYFUNCTION("IF(H1317="""","""",
SUM(
ARRAYFORMULA(
IF(
REGEXMATCH(
"" ""&amp;H1317&amp;"" "",
"" ""&amp;Sentiment_Words!B$2:B3730&amp;"" ""
),
1,
0
)
)
)
)"),0.0)</f>
        <v>0</v>
      </c>
      <c r="L1317" s="7" t="str">
        <f t="shared" si="3"/>
        <v>Other</v>
      </c>
      <c r="M1317" s="7" t="str">
        <f t="shared" si="4"/>
        <v>Positive</v>
      </c>
      <c r="N1317" s="7" t="str">
        <f>IFERROR(__xludf.DUMMYFUNCTION("LOWER(
TRIM(
REGEXREPLACE(B1317,""[^a-zA-Z\s]"","""")
)
)
"),"dobetterbileave")</f>
        <v>dobetterbileave</v>
      </c>
      <c r="O1317" s="7">
        <f t="shared" si="5"/>
        <v>1</v>
      </c>
      <c r="P1317" s="8" t="str">
        <f t="shared" si="6"/>
        <v>No</v>
      </c>
    </row>
    <row r="1318">
      <c r="A1318" s="4" t="s">
        <v>16</v>
      </c>
      <c r="B1318" s="4" t="s">
        <v>3732</v>
      </c>
      <c r="C1318" s="9">
        <v>44872.0</v>
      </c>
      <c r="D1318" s="10">
        <v>44873.0</v>
      </c>
      <c r="E1318" s="4" t="s">
        <v>3733</v>
      </c>
      <c r="F1318" s="4" t="s">
        <v>3734</v>
      </c>
      <c r="G1318" s="6" t="str">
        <f>IFERROR(__xludf.DUMMYFUNCTION("REGEXREPLACE(LOWER(F1318),""[^a-z\s]"","""")"),"products were damaged and petflow replaced them immediately l")</f>
        <v>products were damaged and petflow replaced them immediately l</v>
      </c>
      <c r="H1318" s="4" t="str">
        <f t="shared" si="1"/>
        <v>products were damaged petflow replaced them immediately l</v>
      </c>
      <c r="I1318" s="6">
        <f t="shared" si="2"/>
        <v>8</v>
      </c>
      <c r="J1318" s="6">
        <f>IFERROR(__xludf.DUMMYFUNCTION("IF(H1318="""","""",
SUM(
ARRAYFORMULA(
IF(
REGEXMATCH(
"" ""&amp;H1318&amp;"" "",
"" ""&amp;Sentiment_Words!A$2:A3730&amp;"" ""
),
1,
0
)
)
)
)"),1.0)</f>
        <v>1</v>
      </c>
      <c r="K1318" s="4">
        <f>IFERROR(__xludf.DUMMYFUNCTION("IF(H1318="""","""",
SUM(
ARRAYFORMULA(
IF(
REGEXMATCH(
"" ""&amp;H1318&amp;"" "",
"" ""&amp;Sentiment_Words!B$2:B3730&amp;"" ""
),
1,
0
)
)
)
)"),0.0)</f>
        <v>0</v>
      </c>
      <c r="L1318" s="7" t="str">
        <f t="shared" si="3"/>
        <v>Other</v>
      </c>
      <c r="M1318" s="7" t="str">
        <f t="shared" si="4"/>
        <v>Positive</v>
      </c>
      <c r="N1318" s="7" t="str">
        <f>IFERROR(__xludf.DUMMYFUNCTION("LOWER(
TRIM(
REGEXREPLACE(B1318,""[^a-zA-Z\s]"","""")
)
)
"),"khairul alam")</f>
        <v>khairul alam</v>
      </c>
      <c r="O1318" s="7">
        <f t="shared" si="5"/>
        <v>1</v>
      </c>
      <c r="P1318" s="8" t="str">
        <f t="shared" si="6"/>
        <v>No</v>
      </c>
    </row>
    <row r="1319">
      <c r="A1319" s="4" t="s">
        <v>16</v>
      </c>
      <c r="B1319" s="4" t="s">
        <v>3735</v>
      </c>
      <c r="C1319" s="5">
        <v>44861.0</v>
      </c>
      <c r="D1319" s="10">
        <v>44873.0</v>
      </c>
      <c r="E1319" s="4" t="s">
        <v>359</v>
      </c>
      <c r="F1319" s="4" t="s">
        <v>3736</v>
      </c>
      <c r="G1319" s="6" t="str">
        <f>IFERROR(__xludf.DUMMYFUNCTION("REGEXREPLACE(LOWER(F1319),""[^a-z\s]"","""")"),"everything as described fast service")</f>
        <v>everything as described fast service</v>
      </c>
      <c r="H1319" s="4" t="str">
        <f t="shared" si="1"/>
        <v>everything as described fast service</v>
      </c>
      <c r="I1319" s="6">
        <f t="shared" si="2"/>
        <v>5</v>
      </c>
      <c r="J1319" s="6">
        <f>IFERROR(__xludf.DUMMYFUNCTION("IF(H1319="""","""",
SUM(
ARRAYFORMULA(
IF(
REGEXMATCH(
"" ""&amp;H1319&amp;"" "",
"" ""&amp;Sentiment_Words!A$2:A3730&amp;"" ""
),
1,
0
)
)
)
)"),1.0)</f>
        <v>1</v>
      </c>
      <c r="K1319" s="4">
        <f>IFERROR(__xludf.DUMMYFUNCTION("IF(H1319="""","""",
SUM(
ARRAYFORMULA(
IF(
REGEXMATCH(
"" ""&amp;H1319&amp;"" "",
"" ""&amp;Sentiment_Words!B$2:B3730&amp;"" ""
),
1,
0
)
)
)
)"),0.0)</f>
        <v>0</v>
      </c>
      <c r="L1319" s="7" t="str">
        <f t="shared" si="3"/>
        <v>Customer Support</v>
      </c>
      <c r="M1319" s="7" t="str">
        <f t="shared" si="4"/>
        <v>Positive</v>
      </c>
      <c r="N1319" s="7" t="str">
        <f>IFERROR(__xludf.DUMMYFUNCTION("LOWER(
TRIM(
REGEXREPLACE(B1319,""[^a-zA-Z\s]"","""")
)
)
"),"kathryn marshburn")</f>
        <v>kathryn marshburn</v>
      </c>
      <c r="O1319" s="7">
        <f t="shared" si="5"/>
        <v>1</v>
      </c>
      <c r="P1319" s="8" t="str">
        <f t="shared" si="6"/>
        <v>No</v>
      </c>
    </row>
    <row r="1320">
      <c r="A1320" s="4" t="s">
        <v>16</v>
      </c>
      <c r="B1320" s="4" t="s">
        <v>3737</v>
      </c>
      <c r="C1320" s="5">
        <v>44865.0</v>
      </c>
      <c r="D1320" s="10">
        <v>44873.0</v>
      </c>
      <c r="E1320" s="4" t="s">
        <v>3738</v>
      </c>
      <c r="F1320" s="4" t="s">
        <v>3739</v>
      </c>
      <c r="G1320" s="6" t="str">
        <f>IFERROR(__xludf.DUMMYFUNCTION("REGEXREPLACE(LOWER(F1320),""[^a-z\s]"","""")"),"i like that shipment can happen the same same day as the order date delivery is fast packaging can be better as ive gotten several dented cans")</f>
        <v>i like that shipment can happen the same same day as the order date delivery is fast packaging can be better as ive gotten several dented cans</v>
      </c>
      <c r="H1320" s="4" t="str">
        <f t="shared" si="1"/>
        <v>i like that shipment can happen same same day as order date delivery fast packaging can be better as ive gotten several dented cans</v>
      </c>
      <c r="I1320" s="6">
        <f t="shared" si="2"/>
        <v>24</v>
      </c>
      <c r="J1320" s="6">
        <f>IFERROR(__xludf.DUMMYFUNCTION("IF(H1320="""","""",
SUM(
ARRAYFORMULA(
IF(
REGEXMATCH(
"" ""&amp;H1320&amp;"" "",
"" ""&amp;Sentiment_Words!A$2:A3730&amp;"" ""
),
1,
0
)
)
)
)"),1.0)</f>
        <v>1</v>
      </c>
      <c r="K1320" s="4">
        <f>IFERROR(__xludf.DUMMYFUNCTION("IF(H1320="""","""",
SUM(
ARRAYFORMULA(
IF(
REGEXMATCH(
"" ""&amp;H1320&amp;"" "",
"" ""&amp;Sentiment_Words!B$2:B3730&amp;"" ""
),
1,
0
)
)
)
)"),0.0)</f>
        <v>0</v>
      </c>
      <c r="L1320" s="7" t="str">
        <f t="shared" si="3"/>
        <v>Other</v>
      </c>
      <c r="M1320" s="7" t="str">
        <f t="shared" si="4"/>
        <v>Positive</v>
      </c>
      <c r="N1320" s="7" t="str">
        <f>IFERROR(__xludf.DUMMYFUNCTION("LOWER(
TRIM(
REGEXREPLACE(B1320,""[^a-zA-Z\s]"","""")
)
)
"),"anatoly tokar")</f>
        <v>anatoly tokar</v>
      </c>
      <c r="O1320" s="7">
        <f t="shared" si="5"/>
        <v>1</v>
      </c>
      <c r="P1320" s="8" t="str">
        <f t="shared" si="6"/>
        <v>No</v>
      </c>
    </row>
    <row r="1321">
      <c r="A1321" s="4" t="s">
        <v>16</v>
      </c>
      <c r="B1321" s="4" t="s">
        <v>3740</v>
      </c>
      <c r="C1321" s="5">
        <v>44860.0</v>
      </c>
      <c r="D1321" s="10">
        <v>44872.0</v>
      </c>
      <c r="E1321" s="4" t="s">
        <v>3741</v>
      </c>
      <c r="F1321" s="4" t="s">
        <v>331</v>
      </c>
      <c r="G1321" s="6" t="str">
        <f>IFERROR(__xludf.DUMMYFUNCTION("REGEXREPLACE(LOWER(F1321),""[^a-z\s]"","""")"),"none")</f>
        <v>none</v>
      </c>
      <c r="H1321" s="4" t="str">
        <f t="shared" si="1"/>
        <v>none</v>
      </c>
      <c r="I1321" s="6">
        <f t="shared" si="2"/>
        <v>1</v>
      </c>
      <c r="J1321" s="6">
        <f>IFERROR(__xludf.DUMMYFUNCTION("IF(H1321="""","""",
SUM(
ARRAYFORMULA(
IF(
REGEXMATCH(
"" ""&amp;H1321&amp;"" "",
"" ""&amp;Sentiment_Words!A$2:A3730&amp;"" ""
),
1,
0
)
)
)
)"),0.0)</f>
        <v>0</v>
      </c>
      <c r="K1321" s="4">
        <f>IFERROR(__xludf.DUMMYFUNCTION("IF(H1321="""","""",
SUM(
ARRAYFORMULA(
IF(
REGEXMATCH(
"" ""&amp;H1321&amp;"" "",
"" ""&amp;Sentiment_Words!B$2:B3730&amp;"" ""
),
1,
0
)
)
)
)"),0.0)</f>
        <v>0</v>
      </c>
      <c r="L1321" s="7" t="str">
        <f t="shared" si="3"/>
        <v>Other</v>
      </c>
      <c r="M1321" s="7" t="str">
        <f t="shared" si="4"/>
        <v>Neutral</v>
      </c>
      <c r="N1321" s="7" t="str">
        <f>IFERROR(__xludf.DUMMYFUNCTION("LOWER(
TRIM(
REGEXREPLACE(B1321,""[^a-zA-Z\s]"","""")
)
)
"),"mias mommy nunez")</f>
        <v>mias mommy nunez</v>
      </c>
      <c r="O1321" s="7">
        <f t="shared" si="5"/>
        <v>1</v>
      </c>
      <c r="P1321" s="8" t="str">
        <f t="shared" si="6"/>
        <v>No</v>
      </c>
    </row>
    <row r="1322">
      <c r="A1322" s="4" t="s">
        <v>16</v>
      </c>
      <c r="B1322" s="4" t="s">
        <v>3742</v>
      </c>
      <c r="C1322" s="9">
        <v>44872.0</v>
      </c>
      <c r="D1322" s="10">
        <v>44872.0</v>
      </c>
      <c r="E1322" s="4" t="s">
        <v>3743</v>
      </c>
      <c r="F1322" s="4" t="s">
        <v>3744</v>
      </c>
      <c r="G1322" s="6" t="str">
        <f>IFERROR(__xludf.DUMMYFUNCTION("REGEXREPLACE(LOWER(F1322),""[^a-z\s]"","""")"),"this company has very quickly response and nice servicepeople are very friendly and helpful")</f>
        <v>this company has very quickly response and nice servicepeople are very friendly and helpful</v>
      </c>
      <c r="H1322" s="4" t="str">
        <f t="shared" si="1"/>
        <v>this company has very quickly response nice servicepeople are very friendly helpful</v>
      </c>
      <c r="I1322" s="6">
        <f t="shared" si="2"/>
        <v>12</v>
      </c>
      <c r="J1322" s="6">
        <f>IFERROR(__xludf.DUMMYFUNCTION("IF(H1322="""","""",
SUM(
ARRAYFORMULA(
IF(
REGEXMATCH(
"" ""&amp;H1322&amp;"" "",
"" ""&amp;Sentiment_Words!A$2:A3730&amp;"" ""
),
1,
0
)
)
)
)"),1.0)</f>
        <v>1</v>
      </c>
      <c r="K1322" s="4">
        <f>IFERROR(__xludf.DUMMYFUNCTION("IF(H1322="""","""",
SUM(
ARRAYFORMULA(
IF(
REGEXMATCH(
"" ""&amp;H1322&amp;"" "",
"" ""&amp;Sentiment_Words!B$2:B3730&amp;"" ""
),
1,
0
)
)
)
)"),0.0)</f>
        <v>0</v>
      </c>
      <c r="L1322" s="7" t="str">
        <f t="shared" si="3"/>
        <v>Customer Support</v>
      </c>
      <c r="M1322" s="7" t="str">
        <f t="shared" si="4"/>
        <v>Positive</v>
      </c>
      <c r="N1322" s="7" t="str">
        <f>IFERROR(__xludf.DUMMYFUNCTION("LOWER(
TRIM(
REGEXREPLACE(B1322,""[^a-zA-Z\s]"","""")
)
)
"),"iraida trusova")</f>
        <v>iraida trusova</v>
      </c>
      <c r="O1322" s="7">
        <f t="shared" si="5"/>
        <v>1</v>
      </c>
      <c r="P1322" s="8" t="str">
        <f t="shared" si="6"/>
        <v>No</v>
      </c>
    </row>
    <row r="1323">
      <c r="A1323" s="4" t="s">
        <v>16</v>
      </c>
      <c r="B1323" s="4" t="s">
        <v>3745</v>
      </c>
      <c r="C1323" s="5">
        <v>44859.0</v>
      </c>
      <c r="D1323" s="10">
        <v>44872.0</v>
      </c>
      <c r="E1323" s="4" t="s">
        <v>3746</v>
      </c>
      <c r="F1323" s="4" t="s">
        <v>3747</v>
      </c>
      <c r="G1323" s="6" t="str">
        <f>IFERROR(__xludf.DUMMYFUNCTION("REGEXREPLACE(LOWER(F1323),""[^a-z\s]"","""")"),"i ordered prescription food for my sick cat submitted my vets prescription with the order made the payment and my vet confirmed it was approved the same day its not on backorder but it has now been two weeks and my order still hasnt shipped or been delive"&amp;"red and i havent received any responses to my inquiries")</f>
        <v>i ordered prescription food for my sick cat submitted my vets prescription with the order made the payment and my vet confirmed it was approved the same day its not on backorder but it has now been two weeks and my order still hasnt shipped or been delivered and i havent received any responses to my inquiries</v>
      </c>
      <c r="H1323" s="4" t="str">
        <f t="shared" si="1"/>
        <v>i ordered prescription food my sick cat submitted my vets prescription with order made payment my vet confirmed it was approved same day its not on backorder but it has now been two weeks my order still hasnt shipped or been delivered i havent received any responses my inquiries</v>
      </c>
      <c r="I1323" s="6">
        <f t="shared" si="2"/>
        <v>49</v>
      </c>
      <c r="J1323" s="6">
        <f>IFERROR(__xludf.DUMMYFUNCTION("IF(H1323="""","""",
SUM(
ARRAYFORMULA(
IF(
REGEXMATCH(
"" ""&amp;H1323&amp;"" "",
"" ""&amp;Sentiment_Words!A$2:A3730&amp;"" ""
),
1,
0
)
)
)
)"),1.0)</f>
        <v>1</v>
      </c>
      <c r="K1323" s="4">
        <f>IFERROR(__xludf.DUMMYFUNCTION("IF(H1323="""","""",
SUM(
ARRAYFORMULA(
IF(
REGEXMATCH(
"" ""&amp;H1323&amp;"" "",
"" ""&amp;Sentiment_Words!B$2:B3730&amp;"" ""
),
1,
0
)
)
)
)"),0.0)</f>
        <v>0</v>
      </c>
      <c r="L1323" s="7" t="str">
        <f t="shared" si="3"/>
        <v>Other</v>
      </c>
      <c r="M1323" s="7" t="str">
        <f t="shared" si="4"/>
        <v>Positive</v>
      </c>
      <c r="N1323" s="7" t="str">
        <f>IFERROR(__xludf.DUMMYFUNCTION("LOWER(
TRIM(
REGEXREPLACE(B1323,""[^a-zA-Z\s]"","""")
)
)
"),"lily")</f>
        <v>lily</v>
      </c>
      <c r="O1323" s="7">
        <f t="shared" si="5"/>
        <v>1</v>
      </c>
      <c r="P1323" s="8" t="str">
        <f t="shared" si="6"/>
        <v>No</v>
      </c>
    </row>
    <row r="1324">
      <c r="A1324" s="4" t="s">
        <v>16</v>
      </c>
      <c r="B1324" s="4" t="s">
        <v>3748</v>
      </c>
      <c r="C1324" s="9">
        <v>44869.0</v>
      </c>
      <c r="D1324" s="10">
        <v>44872.0</v>
      </c>
      <c r="E1324" s="4" t="s">
        <v>3749</v>
      </c>
      <c r="F1324" s="4" t="s">
        <v>3750</v>
      </c>
      <c r="G1324" s="6" t="str">
        <f>IFERROR(__xludf.DUMMYFUNCTION("REGEXREPLACE(LOWER(F1324),""[^a-z\s]"","""")"),"having the dog food delivered takes a large load off my schedule the delivery people are very courteous and friendly")</f>
        <v>having the dog food delivered takes a large load off my schedule the delivery people are very courteous and friendly</v>
      </c>
      <c r="H1324" s="4" t="str">
        <f t="shared" si="1"/>
        <v>having dog food delivered takes a large load off my schedule delivery people are very courteous friendly</v>
      </c>
      <c r="I1324" s="6">
        <f t="shared" si="2"/>
        <v>17</v>
      </c>
      <c r="J1324" s="6">
        <f>IFERROR(__xludf.DUMMYFUNCTION("IF(H1324="""","""",
SUM(
ARRAYFORMULA(
IF(
REGEXMATCH(
"" ""&amp;H1324&amp;"" "",
"" ""&amp;Sentiment_Words!A$2:A3730&amp;"" ""
),
1,
0
)
)
)
)"),2.0)</f>
        <v>2</v>
      </c>
      <c r="K1324" s="4">
        <f>IFERROR(__xludf.DUMMYFUNCTION("IF(H1324="""","""",
SUM(
ARRAYFORMULA(
IF(
REGEXMATCH(
"" ""&amp;H1324&amp;"" "",
"" ""&amp;Sentiment_Words!B$2:B3730&amp;"" ""
),
1,
0
)
)
)
)"),0.0)</f>
        <v>0</v>
      </c>
      <c r="L1324" s="7" t="str">
        <f t="shared" si="3"/>
        <v>Other</v>
      </c>
      <c r="M1324" s="7" t="str">
        <f t="shared" si="4"/>
        <v>Positive</v>
      </c>
      <c r="N1324" s="7" t="str">
        <f>IFERROR(__xludf.DUMMYFUNCTION("LOWER(
TRIM(
REGEXREPLACE(B1324,""[^a-zA-Z\s]"","""")
)
)
"),"phyllis beasley")</f>
        <v>phyllis beasley</v>
      </c>
      <c r="O1324" s="7">
        <f t="shared" si="5"/>
        <v>1</v>
      </c>
      <c r="P1324" s="8" t="str">
        <f t="shared" si="6"/>
        <v>No</v>
      </c>
    </row>
    <row r="1325">
      <c r="A1325" s="4" t="s">
        <v>16</v>
      </c>
      <c r="B1325" s="4" t="s">
        <v>3751</v>
      </c>
      <c r="C1325" s="9">
        <v>44871.0</v>
      </c>
      <c r="D1325" s="10">
        <v>44872.0</v>
      </c>
      <c r="E1325" s="4" t="s">
        <v>3752</v>
      </c>
      <c r="F1325" s="4" t="s">
        <v>3753</v>
      </c>
      <c r="G1325" s="6" t="str">
        <f>IFERROR(__xludf.DUMMYFUNCTION("REGEXREPLACE(LOWER(F1325),""[^a-z\s]"","""")"),"i had paused my auto ship then ordered what i needed weeks later i have another shipment of  lbs of dog food")</f>
        <v>i had paused my auto ship then ordered what i needed weeks later i have another shipment of  lbs of dog food</v>
      </c>
      <c r="H1325" s="4" t="str">
        <f t="shared" si="1"/>
        <v>i had paused my auto ship then ordered what i needed weeks later i have another shipment of lbs of dog food</v>
      </c>
      <c r="I1325" s="6">
        <f t="shared" si="2"/>
        <v>22</v>
      </c>
      <c r="J1325" s="6">
        <f>IFERROR(__xludf.DUMMYFUNCTION("IF(H1325="""","""",
SUM(
ARRAYFORMULA(
IF(
REGEXMATCH(
"" ""&amp;H1325&amp;"" "",
"" ""&amp;Sentiment_Words!A$2:A3730&amp;"" ""
),
1,
0
)
)
)
)"),1.0)</f>
        <v>1</v>
      </c>
      <c r="K1325" s="4">
        <f>IFERROR(__xludf.DUMMYFUNCTION("IF(H1325="""","""",
SUM(
ARRAYFORMULA(
IF(
REGEXMATCH(
"" ""&amp;H1325&amp;"" "",
"" ""&amp;Sentiment_Words!B$2:B3730&amp;"" ""
),
1,
0
)
)
)
)"),0.0)</f>
        <v>0</v>
      </c>
      <c r="L1325" s="7" t="str">
        <f t="shared" si="3"/>
        <v>Fulfillment &amp; Shipping</v>
      </c>
      <c r="M1325" s="7" t="str">
        <f t="shared" si="4"/>
        <v>Positive</v>
      </c>
      <c r="N1325" s="7" t="str">
        <f>IFERROR(__xludf.DUMMYFUNCTION("LOWER(
TRIM(
REGEXREPLACE(B1325,""[^a-zA-Z\s]"","""")
)
)
"),"carol clarke")</f>
        <v>carol clarke</v>
      </c>
      <c r="O1325" s="7">
        <f t="shared" si="5"/>
        <v>1</v>
      </c>
      <c r="P1325" s="8" t="str">
        <f t="shared" si="6"/>
        <v>No</v>
      </c>
    </row>
    <row r="1326">
      <c r="A1326" s="4" t="s">
        <v>16</v>
      </c>
      <c r="B1326" s="4" t="s">
        <v>3754</v>
      </c>
      <c r="C1326" s="9">
        <v>44869.0</v>
      </c>
      <c r="D1326" s="10">
        <v>44872.0</v>
      </c>
      <c r="E1326" s="4" t="s">
        <v>3755</v>
      </c>
      <c r="F1326" s="4" t="s">
        <v>3756</v>
      </c>
      <c r="G1326" s="6" t="str">
        <f>IFERROR(__xludf.DUMMYFUNCTION("REGEXREPLACE(LOWER(F1326),""[^a-z\s]"","""")"),"petflow is unfortunately very inconsistent with their delivery we recently received  orders within  days after not getting anything for approximately  weeks")</f>
        <v>petflow is unfortunately very inconsistent with their delivery we recently received  orders within  days after not getting anything for approximately  weeks</v>
      </c>
      <c r="H1326" s="4" t="str">
        <f t="shared" si="1"/>
        <v>petflow unfortunately very inconsistent with their delivery we recently received orders within days after not getting anything approximately weeks</v>
      </c>
      <c r="I1326" s="6">
        <f t="shared" si="2"/>
        <v>19</v>
      </c>
      <c r="J1326" s="6">
        <f>IFERROR(__xludf.DUMMYFUNCTION("IF(H1326="""","""",
SUM(
ARRAYFORMULA(
IF(
REGEXMATCH(
"" ""&amp;H1326&amp;"" "",
"" ""&amp;Sentiment_Words!A$2:A3730&amp;"" ""
),
1,
0
)
)
)
)"),0.0)</f>
        <v>0</v>
      </c>
      <c r="K1326" s="4">
        <f>IFERROR(__xludf.DUMMYFUNCTION("IF(H1326="""","""",
SUM(
ARRAYFORMULA(
IF(
REGEXMATCH(
"" ""&amp;H1326&amp;"" "",
"" ""&amp;Sentiment_Words!B$2:B3730&amp;"" ""
),
1,
0
)
)
)
)"),0.0)</f>
        <v>0</v>
      </c>
      <c r="L1326" s="7" t="str">
        <f t="shared" si="3"/>
        <v>Other</v>
      </c>
      <c r="M1326" s="7" t="str">
        <f t="shared" si="4"/>
        <v>Neutral</v>
      </c>
      <c r="N1326" s="7" t="str">
        <f>IFERROR(__xludf.DUMMYFUNCTION("LOWER(
TRIM(
REGEXREPLACE(B1326,""[^a-zA-Z\s]"","""")
)
)
"),"m savage")</f>
        <v>m savage</v>
      </c>
      <c r="O1326" s="7">
        <f t="shared" si="5"/>
        <v>1</v>
      </c>
      <c r="P1326" s="8" t="str">
        <f t="shared" si="6"/>
        <v>No</v>
      </c>
    </row>
    <row r="1327">
      <c r="A1327" s="4" t="s">
        <v>16</v>
      </c>
      <c r="B1327" s="4" t="s">
        <v>3757</v>
      </c>
      <c r="C1327" s="9">
        <v>44866.0</v>
      </c>
      <c r="D1327" s="10">
        <v>44872.0</v>
      </c>
      <c r="E1327" s="4" t="s">
        <v>3758</v>
      </c>
      <c r="F1327" s="4" t="s">
        <v>3759</v>
      </c>
      <c r="G1327" s="6" t="str">
        <f>IFERROR(__xludf.DUMMYFUNCTION("REGEXREPLACE(LOWER(F1327),""[^a-z\s]"","""")"),"great service had the product i needed shipped and received in very reasonable time i will shop with petflow again")</f>
        <v>great service had the product i needed shipped and received in very reasonable time i will shop with petflow again</v>
      </c>
      <c r="H1327" s="4" t="str">
        <f t="shared" si="1"/>
        <v>great service had product i needed shipped received in very reasonable time i will shop with petflow again</v>
      </c>
      <c r="I1327" s="6">
        <f t="shared" si="2"/>
        <v>18</v>
      </c>
      <c r="J1327" s="6">
        <f>IFERROR(__xludf.DUMMYFUNCTION("IF(H1327="""","""",
SUM(
ARRAYFORMULA(
IF(
REGEXMATCH(
"" ""&amp;H1327&amp;"" "",
"" ""&amp;Sentiment_Words!A$2:A3730&amp;"" ""
),
1,
0
)
)
)
)"),1.0)</f>
        <v>1</v>
      </c>
      <c r="K1327" s="4">
        <f>IFERROR(__xludf.DUMMYFUNCTION("IF(H1327="""","""",
SUM(
ARRAYFORMULA(
IF(
REGEXMATCH(
"" ""&amp;H1327&amp;"" "",
"" ""&amp;Sentiment_Words!B$2:B3730&amp;"" ""
),
1,
0
)
)
)
)"),0.0)</f>
        <v>0</v>
      </c>
      <c r="L1327" s="7" t="str">
        <f t="shared" si="3"/>
        <v>Customer Support</v>
      </c>
      <c r="M1327" s="7" t="str">
        <f t="shared" si="4"/>
        <v>Positive</v>
      </c>
      <c r="N1327" s="7" t="str">
        <f>IFERROR(__xludf.DUMMYFUNCTION("LOWER(
TRIM(
REGEXREPLACE(B1327,""[^a-zA-Z\s]"","""")
)
)
"),"angela white")</f>
        <v>angela white</v>
      </c>
      <c r="O1327" s="7">
        <f t="shared" si="5"/>
        <v>1</v>
      </c>
      <c r="P1327" s="8" t="str">
        <f t="shared" si="6"/>
        <v>No</v>
      </c>
    </row>
    <row r="1328">
      <c r="A1328" s="4" t="s">
        <v>16</v>
      </c>
      <c r="B1328" s="4" t="s">
        <v>3760</v>
      </c>
      <c r="C1328" s="5">
        <v>44847.0</v>
      </c>
      <c r="D1328" s="10">
        <v>44872.0</v>
      </c>
      <c r="E1328" s="4" t="s">
        <v>3761</v>
      </c>
      <c r="F1328" s="4" t="s">
        <v>3762</v>
      </c>
      <c r="G1328" s="6" t="str">
        <f>IFERROR(__xludf.DUMMYFUNCTION("REGEXREPLACE(LOWER(F1328),""[^a-z\s]"","""")"),"two orders placed at different times showed in stock gave all my billing info got confirmation of order a week later got an email order canceled due to no stock my cat needed this food asap  was quite disappointed that it took a week to notify me two time"&amp;"s they did this i will not count on petflow again instead i will shop elsewhere")</f>
        <v>two orders placed at different times showed in stock gave all my billing info got confirmation of order a week later got an email order canceled due to no stock my cat needed this food asap  was quite disappointed that it took a week to notify me two times they did this i will not count on petflow again instead i will shop elsewhere</v>
      </c>
      <c r="H1328" s="4" t="str">
        <f t="shared" si="1"/>
        <v>two orders placed at different times showed in stock gave all my billing info got confirmation of order a week later got an email order canceled due no stock my cat needed this food asap was quite disappointed that it took a week notify me two times they did this i will not count on petflow again instead i will shop elsewhere</v>
      </c>
      <c r="I1328" s="6">
        <f t="shared" si="2"/>
        <v>62</v>
      </c>
      <c r="J1328" s="6">
        <f>IFERROR(__xludf.DUMMYFUNCTION("IF(H1328="""","""",
SUM(
ARRAYFORMULA(
IF(
REGEXMATCH(
"" ""&amp;H1328&amp;"" "",
"" ""&amp;Sentiment_Words!A$2:A3730&amp;"" ""
),
1,
0
)
)
)
)"),0.0)</f>
        <v>0</v>
      </c>
      <c r="K1328" s="4">
        <f>IFERROR(__xludf.DUMMYFUNCTION("IF(H1328="""","""",
SUM(
ARRAYFORMULA(
IF(
REGEXMATCH(
"" ""&amp;H1328&amp;"" "",
"" ""&amp;Sentiment_Words!B$2:B3730&amp;"" ""
),
1,
0
)
)
)
)"),0.0)</f>
        <v>0</v>
      </c>
      <c r="L1328" s="7" t="str">
        <f t="shared" si="3"/>
        <v>Fulfillment &amp; Shipping</v>
      </c>
      <c r="M1328" s="7" t="str">
        <f t="shared" si="4"/>
        <v>Neutral</v>
      </c>
      <c r="N1328" s="7" t="str">
        <f>IFERROR(__xludf.DUMMYFUNCTION("LOWER(
TRIM(
REGEXREPLACE(B1328,""[^a-zA-Z\s]"","""")
)
)
"),"p rick")</f>
        <v>p rick</v>
      </c>
      <c r="O1328" s="7">
        <f t="shared" si="5"/>
        <v>1</v>
      </c>
      <c r="P1328" s="8" t="str">
        <f t="shared" si="6"/>
        <v>No</v>
      </c>
    </row>
    <row r="1329">
      <c r="A1329" s="4" t="s">
        <v>16</v>
      </c>
      <c r="B1329" s="4" t="s">
        <v>3763</v>
      </c>
      <c r="C1329" s="9">
        <v>44871.0</v>
      </c>
      <c r="D1329" s="10">
        <v>44871.0</v>
      </c>
      <c r="E1329" s="4" t="s">
        <v>3764</v>
      </c>
      <c r="F1329" s="4" t="s">
        <v>3765</v>
      </c>
      <c r="G1329" s="6" t="str">
        <f>IFERROR(__xludf.DUMMYFUNCTION("REGEXREPLACE(LOWER(F1329),""[^a-z\s]"","""")"),"as usual many of the cans were dented in shipping i assume makes it difficult to stack and store
may not order again")</f>
        <v>as usual many of the cans were dented in shipping i assume makes it difficult to stack and store
may not order again</v>
      </c>
      <c r="H1329" s="4" t="str">
        <f t="shared" si="1"/>
        <v>as usual many of cans were dented in shipping i assume makes it difficult stack store
may not order again</v>
      </c>
      <c r="I1329" s="6">
        <f t="shared" si="2"/>
        <v>19</v>
      </c>
      <c r="J1329" s="6">
        <f>IFERROR(__xludf.DUMMYFUNCTION("IF(H1329="""","""",
SUM(
ARRAYFORMULA(
IF(
REGEXMATCH(
"" ""&amp;H1329&amp;"" "",
"" ""&amp;Sentiment_Words!A$2:A3730&amp;"" ""
),
1,
0
)
)
)
)"),0.0)</f>
        <v>0</v>
      </c>
      <c r="K1329" s="4">
        <f>IFERROR(__xludf.DUMMYFUNCTION("IF(H1329="""","""",
SUM(
ARRAYFORMULA(
IF(
REGEXMATCH(
"" ""&amp;H1329&amp;"" "",
"" ""&amp;Sentiment_Words!B$2:B3730&amp;"" ""
),
1,
0
)
)
)
)"),0.0)</f>
        <v>0</v>
      </c>
      <c r="L1329" s="7" t="str">
        <f t="shared" si="3"/>
        <v>Other</v>
      </c>
      <c r="M1329" s="7" t="str">
        <f t="shared" si="4"/>
        <v>Neutral</v>
      </c>
      <c r="N1329" s="7" t="str">
        <f>IFERROR(__xludf.DUMMYFUNCTION("LOWER(
TRIM(
REGEXREPLACE(B1329,""[^a-zA-Z\s]"","""")
)
)
"),"william baumgartner")</f>
        <v>william baumgartner</v>
      </c>
      <c r="O1329" s="7">
        <f t="shared" si="5"/>
        <v>1</v>
      </c>
      <c r="P1329" s="8" t="str">
        <f t="shared" si="6"/>
        <v>No</v>
      </c>
    </row>
    <row r="1330">
      <c r="A1330" s="4" t="s">
        <v>16</v>
      </c>
      <c r="B1330" s="4" t="s">
        <v>56</v>
      </c>
      <c r="C1330" s="5">
        <v>44853.0</v>
      </c>
      <c r="D1330" s="10">
        <v>44871.0</v>
      </c>
      <c r="E1330" s="4" t="s">
        <v>3766</v>
      </c>
      <c r="F1330" s="4" t="s">
        <v>3767</v>
      </c>
      <c r="G1330" s="6" t="str">
        <f>IFERROR(__xludf.DUMMYFUNCTION("REGEXREPLACE(LOWER(F1330),""[^a-z\s]"","""")"),"i had a issue with my picky cat he would not eat the food i purchased i contacted them and they helped me out")</f>
        <v>i had a issue with my picky cat he would not eat the food i purchased i contacted them and they helped me out</v>
      </c>
      <c r="H1330" s="4" t="str">
        <f t="shared" si="1"/>
        <v>i had a issue with my picky cat he would not eat food i purchased i contacted them they helped me out</v>
      </c>
      <c r="I1330" s="6">
        <f t="shared" si="2"/>
        <v>22</v>
      </c>
      <c r="J1330" s="6">
        <f>IFERROR(__xludf.DUMMYFUNCTION("IF(H1330="""","""",
SUM(
ARRAYFORMULA(
IF(
REGEXMATCH(
"" ""&amp;H1330&amp;"" "",
"" ""&amp;Sentiment_Words!A$2:A3730&amp;"" ""
),
1,
0
)
)
)
)"),0.0)</f>
        <v>0</v>
      </c>
      <c r="K1330" s="4">
        <f>IFERROR(__xludf.DUMMYFUNCTION("IF(H1330="""","""",
SUM(
ARRAYFORMULA(
IF(
REGEXMATCH(
"" ""&amp;H1330&amp;"" "",
"" ""&amp;Sentiment_Words!B$2:B3730&amp;"" ""
),
1,
0
)
)
)
)"),1.0)</f>
        <v>1</v>
      </c>
      <c r="L1330" s="7" t="str">
        <f t="shared" si="3"/>
        <v>Other</v>
      </c>
      <c r="M1330" s="7" t="str">
        <f t="shared" si="4"/>
        <v>Negative</v>
      </c>
      <c r="N1330" s="7" t="str">
        <f>IFERROR(__xludf.DUMMYFUNCTION("LOWER(
TRIM(
REGEXREPLACE(B1330,""[^a-zA-Z\s]"","""")
)
)
"),"customer")</f>
        <v>customer</v>
      </c>
      <c r="O1330" s="7">
        <f t="shared" si="5"/>
        <v>54</v>
      </c>
      <c r="P1330" s="8" t="str">
        <f t="shared" si="6"/>
        <v>Yes</v>
      </c>
    </row>
    <row r="1331">
      <c r="A1331" s="4" t="s">
        <v>16</v>
      </c>
      <c r="B1331" s="4" t="s">
        <v>3768</v>
      </c>
      <c r="C1331" s="9">
        <v>44867.0</v>
      </c>
      <c r="D1331" s="10">
        <v>44871.0</v>
      </c>
      <c r="E1331" s="4" t="s">
        <v>3769</v>
      </c>
      <c r="F1331" s="4" t="s">
        <v>3770</v>
      </c>
      <c r="G1331" s="6" t="str">
        <f>IFERROR(__xludf.DUMMYFUNCTION("REGEXREPLACE(LOWER(F1331),""[^a-z\s]"","""")"),"great product and shipping was fast they communicated every step of the way will definitely order from them again")</f>
        <v>great product and shipping was fast they communicated every step of the way will definitely order from them again</v>
      </c>
      <c r="H1331" s="4" t="str">
        <f t="shared" si="1"/>
        <v>great product shipping was fast they communicated every step of way will definitely order from them again</v>
      </c>
      <c r="I1331" s="6">
        <f t="shared" si="2"/>
        <v>17</v>
      </c>
      <c r="J1331" s="6">
        <f>IFERROR(__xludf.DUMMYFUNCTION("IF(H1331="""","""",
SUM(
ARRAYFORMULA(
IF(
REGEXMATCH(
"" ""&amp;H1331&amp;"" "",
"" ""&amp;Sentiment_Words!A$2:A3730&amp;"" ""
),
1,
0
)
)
)
)"),2.0)</f>
        <v>2</v>
      </c>
      <c r="K1331" s="4">
        <f>IFERROR(__xludf.DUMMYFUNCTION("IF(H1331="""","""",
SUM(
ARRAYFORMULA(
IF(
REGEXMATCH(
"" ""&amp;H1331&amp;"" "",
"" ""&amp;Sentiment_Words!B$2:B3730&amp;"" ""
),
1,
0
)
)
)
)"),0.0)</f>
        <v>0</v>
      </c>
      <c r="L1331" s="7" t="str">
        <f t="shared" si="3"/>
        <v>Other</v>
      </c>
      <c r="M1331" s="7" t="str">
        <f t="shared" si="4"/>
        <v>Positive</v>
      </c>
      <c r="N1331" s="7" t="str">
        <f>IFERROR(__xludf.DUMMYFUNCTION("LOWER(
TRIM(
REGEXREPLACE(B1331,""[^a-zA-Z\s]"","""")
)
)
"),"tram")</f>
        <v>tram</v>
      </c>
      <c r="O1331" s="7">
        <f t="shared" si="5"/>
        <v>1</v>
      </c>
      <c r="P1331" s="8" t="str">
        <f t="shared" si="6"/>
        <v>No</v>
      </c>
    </row>
    <row r="1332">
      <c r="A1332" s="4" t="s">
        <v>16</v>
      </c>
      <c r="B1332" s="4" t="s">
        <v>3771</v>
      </c>
      <c r="C1332" s="9">
        <v>44870.0</v>
      </c>
      <c r="D1332" s="10">
        <v>44871.0</v>
      </c>
      <c r="E1332" s="4" t="s">
        <v>3772</v>
      </c>
      <c r="F1332" s="4" t="s">
        <v>3773</v>
      </c>
      <c r="G1332" s="6" t="str">
        <f>IFERROR(__xludf.DUMMYFUNCTION("REGEXREPLACE(LOWER(F1332),""[^a-z\s]"","""")"),"the discount on my order the order itself and the delivery time are all  star
 maybe you should change the name from petflow to  star")</f>
        <v>the discount on my order the order itself and the delivery time are all  star
 maybe you should change the name from petflow to  star</v>
      </c>
      <c r="H1332" s="4" t="str">
        <f t="shared" si="1"/>
        <v>discount on my order order itself delivery time are all star
 maybe you should change name from petflow star</v>
      </c>
      <c r="I1332" s="6">
        <f t="shared" si="2"/>
        <v>19</v>
      </c>
      <c r="J1332" s="6">
        <f>IFERROR(__xludf.DUMMYFUNCTION("IF(H1332="""","""",
SUM(
ARRAYFORMULA(
IF(
REGEXMATCH(
"" ""&amp;H1332&amp;"" "",
"" ""&amp;Sentiment_Words!A$2:A3730&amp;"" ""
),
1,
0
)
)
)
)"),0.0)</f>
        <v>0</v>
      </c>
      <c r="K1332" s="4">
        <f>IFERROR(__xludf.DUMMYFUNCTION("IF(H1332="""","""",
SUM(
ARRAYFORMULA(
IF(
REGEXMATCH(
"" ""&amp;H1332&amp;"" "",
"" ""&amp;Sentiment_Words!B$2:B3730&amp;"" ""
),
1,
0
)
)
)
)"),0.0)</f>
        <v>0</v>
      </c>
      <c r="L1332" s="7" t="str">
        <f t="shared" si="3"/>
        <v>Other</v>
      </c>
      <c r="M1332" s="7" t="str">
        <f t="shared" si="4"/>
        <v>Neutral</v>
      </c>
      <c r="N1332" s="7" t="str">
        <f>IFERROR(__xludf.DUMMYFUNCTION("LOWER(
TRIM(
REGEXREPLACE(B1332,""[^a-zA-Z\s]"","""")
)
)
"),"mike l")</f>
        <v>mike l</v>
      </c>
      <c r="O1332" s="7">
        <f t="shared" si="5"/>
        <v>1</v>
      </c>
      <c r="P1332" s="8" t="str">
        <f t="shared" si="6"/>
        <v>No</v>
      </c>
    </row>
    <row r="1333">
      <c r="A1333" s="4" t="s">
        <v>16</v>
      </c>
      <c r="B1333" s="4" t="s">
        <v>3774</v>
      </c>
      <c r="C1333" s="9">
        <v>44867.0</v>
      </c>
      <c r="D1333" s="10">
        <v>44871.0</v>
      </c>
      <c r="E1333" s="4" t="s">
        <v>3775</v>
      </c>
      <c r="F1333" s="4" t="s">
        <v>3776</v>
      </c>
      <c r="G1333" s="6" t="str">
        <f>IFERROR(__xludf.DUMMYFUNCTION("REGEXREPLACE(LOWER(F1333),""[^a-z\s]"","""")"),"i appreciate that i can quickly reach a customer service representative on the phone when i have a question about a product or an order and im glad that petflow donates food to needy animals i also like that petflow is not connected to companies that sell"&amp;" live animals however on my last two orders i needed to call customer services to address respectively a delivery delay and an incorrect credit card charge")</f>
        <v>i appreciate that i can quickly reach a customer service representative on the phone when i have a question about a product or an order and im glad that petflow donates food to needy animals i also like that petflow is not connected to companies that sell live animals however on my last two orders i needed to call customer services to address respectively a delivery delay and an incorrect credit card charge</v>
      </c>
      <c r="H1333" s="4" t="str">
        <f t="shared" si="1"/>
        <v>i appreciate that i can quickly reach a customer service representative on phone when i have a question about a product or an order im glad that petflow donates food needy animals i also like that petflow not connected companies that sell live animals however on my last two orders i needed call customer services address respectively a delivery delay an incorrect credit card charge</v>
      </c>
      <c r="I1333" s="6">
        <f t="shared" si="2"/>
        <v>65</v>
      </c>
      <c r="J1333" s="6">
        <f>IFERROR(__xludf.DUMMYFUNCTION("IF(H1333="""","""",
SUM(
ARRAYFORMULA(
IF(
REGEXMATCH(
"" ""&amp;H1333&amp;"" "",
"" ""&amp;Sentiment_Words!A$2:A3730&amp;"" ""
),
1,
0
)
)
)
)"),0.0)</f>
        <v>0</v>
      </c>
      <c r="K1333" s="4">
        <f>IFERROR(__xludf.DUMMYFUNCTION("IF(H1333="""","""",
SUM(
ARRAYFORMULA(
IF(
REGEXMATCH(
"" ""&amp;H1333&amp;"" "",
"" ""&amp;Sentiment_Words!B$2:B3730&amp;"" ""
),
1,
0
)
)
)
)"),3.0)</f>
        <v>3</v>
      </c>
      <c r="L1333" s="7" t="str">
        <f t="shared" si="3"/>
        <v>Customer Support</v>
      </c>
      <c r="M1333" s="7" t="str">
        <f t="shared" si="4"/>
        <v>Negative</v>
      </c>
      <c r="N1333" s="7" t="str">
        <f>IFERROR(__xludf.DUMMYFUNCTION("LOWER(
TRIM(
REGEXREPLACE(B1333,""[^a-zA-Z\s]"","""")
)
)
"),"christine j")</f>
        <v>christine j</v>
      </c>
      <c r="O1333" s="7">
        <f t="shared" si="5"/>
        <v>1</v>
      </c>
      <c r="P1333" s="8" t="str">
        <f t="shared" si="6"/>
        <v>No</v>
      </c>
    </row>
    <row r="1334">
      <c r="A1334" s="4" t="s">
        <v>16</v>
      </c>
      <c r="B1334" s="4" t="s">
        <v>3777</v>
      </c>
      <c r="C1334" s="9">
        <v>44868.0</v>
      </c>
      <c r="D1334" s="10">
        <v>44871.0</v>
      </c>
      <c r="E1334" s="4" t="s">
        <v>3778</v>
      </c>
      <c r="F1334" s="4" t="s">
        <v>3779</v>
      </c>
      <c r="G1334" s="6" t="str">
        <f>IFERROR(__xludf.DUMMYFUNCTION("REGEXREPLACE(LOWER(F1334),""[^a-z\s]"","""")"),"while i needed this product and was up on its delivery time id like pre notification of sending this allows me to plan about being home etc")</f>
        <v>while i needed this product and was up on its delivery time id like pre notification of sending this allows me to plan about being home etc</v>
      </c>
      <c r="H1334" s="4" t="str">
        <f t="shared" si="1"/>
        <v>while i needed this product was up on its delivery time id like pre notification of sending this allows me plan about being home etc</v>
      </c>
      <c r="I1334" s="6">
        <f t="shared" si="2"/>
        <v>25</v>
      </c>
      <c r="J1334" s="6">
        <f>IFERROR(__xludf.DUMMYFUNCTION("IF(H1334="""","""",
SUM(
ARRAYFORMULA(
IF(
REGEXMATCH(
"" ""&amp;H1334&amp;"" "",
"" ""&amp;Sentiment_Words!A$2:A3730&amp;"" ""
),
1,
0
)
)
)
)"),0.0)</f>
        <v>0</v>
      </c>
      <c r="K1334" s="4">
        <f>IFERROR(__xludf.DUMMYFUNCTION("IF(H1334="""","""",
SUM(
ARRAYFORMULA(
IF(
REGEXMATCH(
"" ""&amp;H1334&amp;"" "",
"" ""&amp;Sentiment_Words!B$2:B3730&amp;"" ""
),
1,
0
)
)
)
)"),0.0)</f>
        <v>0</v>
      </c>
      <c r="L1334" s="7" t="str">
        <f t="shared" si="3"/>
        <v>Other</v>
      </c>
      <c r="M1334" s="7" t="str">
        <f t="shared" si="4"/>
        <v>Neutral</v>
      </c>
      <c r="N1334" s="7" t="str">
        <f>IFERROR(__xludf.DUMMYFUNCTION("LOWER(
TRIM(
REGEXREPLACE(B1334,""[^a-zA-Z\s]"","""")
)
)
"),"sandra boyas")</f>
        <v>sandra boyas</v>
      </c>
      <c r="O1334" s="7">
        <f t="shared" si="5"/>
        <v>1</v>
      </c>
      <c r="P1334" s="8" t="str">
        <f t="shared" si="6"/>
        <v>No</v>
      </c>
    </row>
    <row r="1335">
      <c r="A1335" s="4" t="s">
        <v>16</v>
      </c>
      <c r="B1335" s="4" t="s">
        <v>3780</v>
      </c>
      <c r="C1335" s="9">
        <v>44870.0</v>
      </c>
      <c r="D1335" s="10">
        <v>44871.0</v>
      </c>
      <c r="E1335" s="4" t="s">
        <v>3781</v>
      </c>
      <c r="F1335" s="4" t="s">
        <v>3782</v>
      </c>
      <c r="G1335" s="6" t="str">
        <f>IFERROR(__xludf.DUMMYFUNCTION("REGEXREPLACE(LOWER(F1335),""[^a-z\s]"","""")"),"i ordered a prescription diet for my cat and accidentally typed the incorrect vet in for the prescription referral  one that has a very similar name as that of my vet petflow emailed me that the vet didnt have any records of my cat  and i when contacted t"&amp;"hem confused i found out why
i talked with someone in customer service gave the correct name of the vet and the customer service rep said he would process the reorder i explained that i was nearly out of food and asked if it could be expedited but they d"&amp;"ont do that
however the food hasnt arrived  it should have come this week i just checked my order and it was cancelled never reprocessed like the customer service rep said he would do
i am completely out of food  just reordered it now because chewy who "&amp;"i usually purchase from doesnt even have the food this is not good for my cat to be going so long without the proper food")</f>
        <v>i ordered a prescription diet for my cat and accidentally typed the incorrect vet in for the prescription referral  one that has a very similar name as that of my vet petflow emailed me that the vet didnt have any records of my cat  and i when contacted them confused i found out why
i talked with someone in customer service gave the correct name of the vet and the customer service rep said he would process the reorder i explained that i was nearly out of food and asked if it could be expedited but they dont do that
however the food hasnt arrived  it should have come this week i just checked my order and it was cancelled never reprocessed like the customer service rep said he would do
i am completely out of food  just reordered it now because chewy who i usually purchase from doesnt even have the food this is not good for my cat to be going so long without the proper food</v>
      </c>
      <c r="H1335" s="4" t="str">
        <f t="shared" si="1"/>
        <v>i ordered a prescription diet my cat accidentally typed incorrect vet in prescription referral one that has a very similar name as that of my vet petflow emailed me that vet didnt have any records of my cat i when contacted them confused i found out why
i talked with someone in customer service gave correct name of vet customer service rep said he would process reorder i explained that i was nearly out of food asked if it could be expedited but they dont do that
however food hasnt arrived it should have come this week i just checked my order it was cancelled never reprocessed like customer service rep said he would do
i am completely out of food just reordered it now because chewy who i usually purchase from doesnt even have food this not good my cat be going so long without proper food</v>
      </c>
      <c r="I1335" s="6">
        <f t="shared" si="2"/>
        <v>145</v>
      </c>
      <c r="J1335" s="6">
        <f>IFERROR(__xludf.DUMMYFUNCTION("IF(H1335="""","""",
SUM(
ARRAYFORMULA(
IF(
REGEXMATCH(
"" ""&amp;H1335&amp;"" "",
"" ""&amp;Sentiment_Words!A$2:A3730&amp;"" ""
),
1,
0
)
)
)
)"),2.0)</f>
        <v>2</v>
      </c>
      <c r="K1335" s="4">
        <f>IFERROR(__xludf.DUMMYFUNCTION("IF(H1335="""","""",
SUM(
ARRAYFORMULA(
IF(
REGEXMATCH(
"" ""&amp;H1335&amp;"" "",
"" ""&amp;Sentiment_Words!B$2:B3730&amp;"" ""
),
1,
0
)
)
)
)"),3.0)</f>
        <v>3</v>
      </c>
      <c r="L1335" s="7" t="str">
        <f t="shared" si="3"/>
        <v>Customer Support</v>
      </c>
      <c r="M1335" s="7" t="str">
        <f t="shared" si="4"/>
        <v>Negative</v>
      </c>
      <c r="N1335" s="7" t="str">
        <f>IFERROR(__xludf.DUMMYFUNCTION("LOWER(
TRIM(
REGEXREPLACE(B1335,""[^a-zA-Z\s]"","""")
)
)
"),"diane r")</f>
        <v>diane r</v>
      </c>
      <c r="O1335" s="7">
        <f t="shared" si="5"/>
        <v>1</v>
      </c>
      <c r="P1335" s="8" t="str">
        <f t="shared" si="6"/>
        <v>No</v>
      </c>
    </row>
    <row r="1336">
      <c r="A1336" s="4" t="s">
        <v>16</v>
      </c>
      <c r="B1336" s="4" t="s">
        <v>3783</v>
      </c>
      <c r="C1336" s="5">
        <v>44853.0</v>
      </c>
      <c r="D1336" s="10">
        <v>44870.0</v>
      </c>
      <c r="E1336" s="4" t="s">
        <v>3784</v>
      </c>
      <c r="F1336" s="4" t="s">
        <v>3785</v>
      </c>
      <c r="G1336" s="6" t="str">
        <f>IFERROR(__xludf.DUMMYFUNCTION("REGEXREPLACE(LOWER(F1336),""[^a-z\s]"","""")"),"your website needs to be better maintained i ordered product listed as being in stock and got a confirmation email then two days later ordercwas cancelled with no explanation i called and the only reason you got  stars is customer support was so nice howe"&amp;"ver the product i was told had been out of stock for a while so you wasted a week of my time")</f>
        <v>your website needs to be better maintained i ordered product listed as being in stock and got a confirmation email then two days later ordercwas cancelled with no explanation i called and the only reason you got  stars is customer support was so nice however the product i was told had been out of stock for a while so you wasted a week of my time</v>
      </c>
      <c r="H1336" s="4" t="str">
        <f t="shared" si="1"/>
        <v>your website needs be better maintained i ordered product listed as being in stock got a confirmation email then two days later ordercwas cancelled with no explanation i called only reason you got stars customer support was so nice however product i was told had been out of stock a while so you wasted a week of my time</v>
      </c>
      <c r="I1336" s="6">
        <f t="shared" si="2"/>
        <v>59</v>
      </c>
      <c r="J1336" s="6">
        <f>IFERROR(__xludf.DUMMYFUNCTION("IF(H1336="""","""",
SUM(
ARRAYFORMULA(
IF(
REGEXMATCH(
"" ""&amp;H1336&amp;"" "",
"" ""&amp;Sentiment_Words!A$2:A3730&amp;"" ""
),
1,
0
)
)
)
)"),0.0)</f>
        <v>0</v>
      </c>
      <c r="K1336" s="4">
        <f>IFERROR(__xludf.DUMMYFUNCTION("IF(H1336="""","""",
SUM(
ARRAYFORMULA(
IF(
REGEXMATCH(
"" ""&amp;H1336&amp;"" "",
"" ""&amp;Sentiment_Words!B$2:B3730&amp;"" ""
),
1,
0
)
)
)
)"),2.0)</f>
        <v>2</v>
      </c>
      <c r="L1336" s="7" t="str">
        <f t="shared" si="3"/>
        <v>Customer Support</v>
      </c>
      <c r="M1336" s="7" t="str">
        <f t="shared" si="4"/>
        <v>Negative</v>
      </c>
      <c r="N1336" s="7" t="str">
        <f>IFERROR(__xludf.DUMMYFUNCTION("LOWER(
TRIM(
REGEXREPLACE(B1336,""[^a-zA-Z\s]"","""")
)
)
"),"gina andrews")</f>
        <v>gina andrews</v>
      </c>
      <c r="O1336" s="7">
        <f t="shared" si="5"/>
        <v>1</v>
      </c>
      <c r="P1336" s="8" t="str">
        <f t="shared" si="6"/>
        <v>No</v>
      </c>
    </row>
    <row r="1337">
      <c r="A1337" s="4" t="s">
        <v>16</v>
      </c>
      <c r="B1337" s="4" t="s">
        <v>3786</v>
      </c>
      <c r="C1337" s="5">
        <v>44859.0</v>
      </c>
      <c r="D1337" s="10">
        <v>44870.0</v>
      </c>
      <c r="E1337" s="4" t="s">
        <v>3787</v>
      </c>
      <c r="F1337" s="4" t="s">
        <v>3788</v>
      </c>
      <c r="G1337" s="6" t="str">
        <f>IFERROR(__xludf.DUMMYFUNCTION("REGEXREPLACE(LOWER(F1337),""[^a-z\s]"","""")"),"items that were on backorder were listed as in stock on the website customer service wasnt helpful couldnt say when the items might be back in stock called back to cancel the order after finding the items cheaper on amazon and was told that the items were"&amp;" already back in stock and were processing my order couldnt be canceled i was later informed by email that my order had been canceled and a refund issued")</f>
        <v>items that were on backorder were listed as in stock on the website customer service wasnt helpful couldnt say when the items might be back in stock called back to cancel the order after finding the items cheaper on amazon and was told that the items were already back in stock and were processing my order couldnt be canceled i was later informed by email that my order had been canceled and a refund issued</v>
      </c>
      <c r="H1337" s="4" t="str">
        <f t="shared" si="1"/>
        <v>items that were on backorder were listed as in stock on website customer service wasnt helpful couldnt say when items might be back in stock called back cancel order after finding items cheaper on amazon was told that items were already back in stock were processing my order couldnt be canceled i was later informed by email that my order had been canceled a refund issued</v>
      </c>
      <c r="I1337" s="6">
        <f t="shared" si="2"/>
        <v>66</v>
      </c>
      <c r="J1337" s="6">
        <f>IFERROR(__xludf.DUMMYFUNCTION("IF(H1337="""","""",
SUM(
ARRAYFORMULA(
IF(
REGEXMATCH(
"" ""&amp;H1337&amp;"" "",
"" ""&amp;Sentiment_Words!A$2:A3730&amp;"" ""
),
1,
0
)
)
)
)"),2.0)</f>
        <v>2</v>
      </c>
      <c r="K1337" s="4">
        <f>IFERROR(__xludf.DUMMYFUNCTION("IF(H1337="""","""",
SUM(
ARRAYFORMULA(
IF(
REGEXMATCH(
"" ""&amp;H1337&amp;"" "",
"" ""&amp;Sentiment_Words!B$2:B3730&amp;"" ""
),
1,
0
)
)
)
)"),2.0)</f>
        <v>2</v>
      </c>
      <c r="L1337" s="7" t="str">
        <f t="shared" si="3"/>
        <v>Customer Support</v>
      </c>
      <c r="M1337" s="7" t="str">
        <f t="shared" si="4"/>
        <v>Neutral</v>
      </c>
      <c r="N1337" s="7" t="str">
        <f>IFERROR(__xludf.DUMMYFUNCTION("LOWER(
TRIM(
REGEXREPLACE(B1337,""[^a-zA-Z\s]"","""")
)
)
"),"john ambrose")</f>
        <v>john ambrose</v>
      </c>
      <c r="O1337" s="7">
        <f t="shared" si="5"/>
        <v>1</v>
      </c>
      <c r="P1337" s="8" t="str">
        <f t="shared" si="6"/>
        <v>No</v>
      </c>
    </row>
    <row r="1338">
      <c r="A1338" s="4" t="s">
        <v>16</v>
      </c>
      <c r="B1338" s="4" t="s">
        <v>3789</v>
      </c>
      <c r="C1338" s="5">
        <v>44859.0</v>
      </c>
      <c r="D1338" s="10">
        <v>44870.0</v>
      </c>
      <c r="E1338" s="4" t="s">
        <v>3790</v>
      </c>
      <c r="F1338" s="4" t="s">
        <v>3791</v>
      </c>
      <c r="G1338" s="6" t="str">
        <f>IFERROR(__xludf.DUMMYFUNCTION("REGEXREPLACE(LOWER(F1338),""[^a-z\s]"","""")"),"i have tried to order cat food at least  times this year from petflow and they have canceled every order due to supply shortages even though when i placed my orders the food showed on the website as in stock it has been very frustrating and i am tired of "&amp;"wasting my time ordering from them when they dont have the products in stock as their website indicates")</f>
        <v>i have tried to order cat food at least  times this year from petflow and they have canceled every order due to supply shortages even though when i placed my orders the food showed on the website as in stock it has been very frustrating and i am tired of wasting my time ordering from them when they dont have the products in stock as their website indicates</v>
      </c>
      <c r="H1338" s="4" t="str">
        <f t="shared" si="1"/>
        <v>i have tried order cat food at least times this year from petflow they have canceled every order due supply shortages even though when i placed my orders food showed on website as in stock it has been very frustrating i am tired of wasting my time ordering from them when they dont have products in stock as their website indicates</v>
      </c>
      <c r="I1338" s="6">
        <f t="shared" si="2"/>
        <v>61</v>
      </c>
      <c r="J1338" s="6">
        <f>IFERROR(__xludf.DUMMYFUNCTION("IF(H1338="""","""",
SUM(
ARRAYFORMULA(
IF(
REGEXMATCH(
"" ""&amp;H1338&amp;"" "",
"" ""&amp;Sentiment_Words!A$2:A3730&amp;"" ""
),
1,
0
)
)
)
)"),0.0)</f>
        <v>0</v>
      </c>
      <c r="K1338" s="4">
        <f>IFERROR(__xludf.DUMMYFUNCTION("IF(H1338="""","""",
SUM(
ARRAYFORMULA(
IF(
REGEXMATCH(
"" ""&amp;H1338&amp;"" "",
"" ""&amp;Sentiment_Words!B$2:B3730&amp;"" ""
),
1,
0
)
)
)
)"),1.0)</f>
        <v>1</v>
      </c>
      <c r="L1338" s="7" t="str">
        <f t="shared" si="3"/>
        <v>Account &amp; Website</v>
      </c>
      <c r="M1338" s="7" t="str">
        <f t="shared" si="4"/>
        <v>Negative</v>
      </c>
      <c r="N1338" s="7" t="str">
        <f>IFERROR(__xludf.DUMMYFUNCTION("LOWER(
TRIM(
REGEXREPLACE(B1338,""[^a-zA-Z\s]"","""")
)
)
"),"mj")</f>
        <v>mj</v>
      </c>
      <c r="O1338" s="7">
        <f t="shared" si="5"/>
        <v>2</v>
      </c>
      <c r="P1338" s="8" t="str">
        <f t="shared" si="6"/>
        <v>Yes</v>
      </c>
    </row>
    <row r="1339">
      <c r="A1339" s="4" t="s">
        <v>16</v>
      </c>
      <c r="B1339" s="4" t="s">
        <v>3792</v>
      </c>
      <c r="C1339" s="5">
        <v>44859.0</v>
      </c>
      <c r="D1339" s="4" t="s">
        <v>3793</v>
      </c>
      <c r="E1339" s="4" t="s">
        <v>3794</v>
      </c>
      <c r="F1339" s="4" t="s">
        <v>3795</v>
      </c>
      <c r="G1339" s="6" t="str">
        <f>IFERROR(__xludf.DUMMYFUNCTION("REGEXREPLACE(LOWER(F1339),""[^a-z\s]"","""")"),"i placed an order  and signedup for ongoing orders but the next email i received was one offering a discount that was never offered to me  until after i ordered and signed on for reapeat orders
thats terrible 
that is not a way to do business with repeat "&amp;"customers")</f>
        <v>i placed an order  and signedup for ongoing orders but the next email i received was one offering a discount that was never offered to me  until after i ordered and signed on for reapeat orders
thats terrible 
that is not a way to do business with repeat customers</v>
      </c>
      <c r="H1339" s="4" t="str">
        <f t="shared" si="1"/>
        <v>i placed an order signedup ongoing orders but next email i received was one offering a discount that was never offered me until after i ordered signed on reapeat orders
thats terrible 
that not a way do business with repeat customers</v>
      </c>
      <c r="I1339" s="6">
        <f t="shared" si="2"/>
        <v>40</v>
      </c>
      <c r="J1339" s="6">
        <f>IFERROR(__xludf.DUMMYFUNCTION("IF(H1339="""","""",
SUM(
ARRAYFORMULA(
IF(
REGEXMATCH(
"" ""&amp;H1339&amp;"" "",
"" ""&amp;Sentiment_Words!A$2:A3730&amp;"" ""
),
1,
0
)
)
)
)"),0.0)</f>
        <v>0</v>
      </c>
      <c r="K1339" s="4">
        <f>IFERROR(__xludf.DUMMYFUNCTION("IF(H1339="""","""",
SUM(
ARRAYFORMULA(
IF(
REGEXMATCH(
"" ""&amp;H1339&amp;"" "",
"" ""&amp;Sentiment_Words!B$2:B3730&amp;"" ""
),
1,
0
)
)
)
)"),1.0)</f>
        <v>1</v>
      </c>
      <c r="L1339" s="7" t="str">
        <f t="shared" si="3"/>
        <v>Other</v>
      </c>
      <c r="M1339" s="7" t="str">
        <f t="shared" si="4"/>
        <v>Negative</v>
      </c>
      <c r="N1339" s="7" t="str">
        <f>IFERROR(__xludf.DUMMYFUNCTION("LOWER(
TRIM(
REGEXREPLACE(B1339,""[^a-zA-Z\s]"","""")
)
)
"),"n lucci")</f>
        <v>n lucci</v>
      </c>
      <c r="O1339" s="7">
        <f t="shared" si="5"/>
        <v>1</v>
      </c>
      <c r="P1339" s="8" t="str">
        <f t="shared" si="6"/>
        <v>No</v>
      </c>
    </row>
    <row r="1340">
      <c r="A1340" s="4" t="s">
        <v>16</v>
      </c>
      <c r="B1340" s="4" t="s">
        <v>3796</v>
      </c>
      <c r="C1340" s="9">
        <v>44869.0</v>
      </c>
      <c r="D1340" s="10">
        <v>44870.0</v>
      </c>
      <c r="E1340" s="4" t="s">
        <v>3797</v>
      </c>
      <c r="F1340" s="4" t="s">
        <v>3798</v>
      </c>
      <c r="G1340" s="6" t="str">
        <f>IFERROR(__xludf.DUMMYFUNCTION("REGEXREPLACE(LOWER(F1340),""[^a-z\s]"","""")"),"both times that i have ordered from petflow my orders had delayed shipping dispite me calling and emailing them")</f>
        <v>both times that i have ordered from petflow my orders had delayed shipping dispite me calling and emailing them</v>
      </c>
      <c r="H1340" s="4" t="str">
        <f t="shared" si="1"/>
        <v>both times that i have ordered from petflow my orders had delayed shipping dispite me calling emailing them</v>
      </c>
      <c r="I1340" s="6">
        <f t="shared" si="2"/>
        <v>18</v>
      </c>
      <c r="J1340" s="6">
        <f>IFERROR(__xludf.DUMMYFUNCTION("IF(H1340="""","""",
SUM(
ARRAYFORMULA(
IF(
REGEXMATCH(
"" ""&amp;H1340&amp;"" "",
"" ""&amp;Sentiment_Words!A$2:A3730&amp;"" ""
),
1,
0
)
)
)
)"),0.0)</f>
        <v>0</v>
      </c>
      <c r="K1340" s="4">
        <f>IFERROR(__xludf.DUMMYFUNCTION("IF(H1340="""","""",
SUM(
ARRAYFORMULA(
IF(
REGEXMATCH(
"" ""&amp;H1340&amp;"" "",
"" ""&amp;Sentiment_Words!B$2:B3730&amp;"" ""
),
1,
0
)
)
)
)"),1.0)</f>
        <v>1</v>
      </c>
      <c r="L1340" s="7" t="str">
        <f t="shared" si="3"/>
        <v>Fulfillment &amp; Shipping</v>
      </c>
      <c r="M1340" s="7" t="str">
        <f t="shared" si="4"/>
        <v>Negative</v>
      </c>
      <c r="N1340" s="7" t="str">
        <f>IFERROR(__xludf.DUMMYFUNCTION("LOWER(
TRIM(
REGEXREPLACE(B1340,""[^a-zA-Z\s]"","""")
)
)
"),"melissa richard")</f>
        <v>melissa richard</v>
      </c>
      <c r="O1340" s="7">
        <f t="shared" si="5"/>
        <v>1</v>
      </c>
      <c r="P1340" s="8" t="str">
        <f t="shared" si="6"/>
        <v>No</v>
      </c>
    </row>
    <row r="1341">
      <c r="A1341" s="4" t="s">
        <v>16</v>
      </c>
      <c r="B1341" s="4" t="s">
        <v>3799</v>
      </c>
      <c r="C1341" s="5">
        <v>44858.0</v>
      </c>
      <c r="D1341" s="10">
        <v>44870.0</v>
      </c>
      <c r="E1341" s="4" t="s">
        <v>3800</v>
      </c>
      <c r="F1341" s="4" t="s">
        <v>3801</v>
      </c>
      <c r="G1341" s="6" t="str">
        <f>IFERROR(__xludf.DUMMYFUNCTION("REGEXREPLACE(LOWER(F1341),""[^a-z\s]"","""")"),"i placed an order online because it showed the item in stock i didnt receive any notifications that it wasnt in stock until i emailed in a query at that point all i received was a notification that my order was canceled again with no reason as to why very"&amp;" frustrating")</f>
        <v>i placed an order online because it showed the item in stock i didnt receive any notifications that it wasnt in stock until i emailed in a query at that point all i received was a notification that my order was canceled again with no reason as to why very frustrating</v>
      </c>
      <c r="H1341" s="4" t="str">
        <f t="shared" si="1"/>
        <v>i placed an order online because it showed item in stock i didnt receive any notifications that it wasnt in stock until i emailed in a query at that point all i received was a notification that my order was canceled again with no reason as why very frustrating</v>
      </c>
      <c r="I1341" s="6">
        <f t="shared" si="2"/>
        <v>49</v>
      </c>
      <c r="J1341" s="6">
        <f>IFERROR(__xludf.DUMMYFUNCTION("IF(H1341="""","""",
SUM(
ARRAYFORMULA(
IF(
REGEXMATCH(
"" ""&amp;H1341&amp;"" "",
"" ""&amp;Sentiment_Words!A$2:A3730&amp;"" ""
),
1,
0
)
)
)
)"),0.0)</f>
        <v>0</v>
      </c>
      <c r="K1341" s="4">
        <f>IFERROR(__xludf.DUMMYFUNCTION("IF(H1341="""","""",
SUM(
ARRAYFORMULA(
IF(
REGEXMATCH(
"" ""&amp;H1341&amp;"" "",
"" ""&amp;Sentiment_Words!B$2:B3730&amp;"" ""
),
1,
0
)
)
)
)"),1.0)</f>
        <v>1</v>
      </c>
      <c r="L1341" s="7" t="str">
        <f t="shared" si="3"/>
        <v>Other</v>
      </c>
      <c r="M1341" s="7" t="str">
        <f t="shared" si="4"/>
        <v>Negative</v>
      </c>
      <c r="N1341" s="7" t="str">
        <f>IFERROR(__xludf.DUMMYFUNCTION("LOWER(
TRIM(
REGEXREPLACE(B1341,""[^a-zA-Z\s]"","""")
)
)
"),"carrie roberts")</f>
        <v>carrie roberts</v>
      </c>
      <c r="O1341" s="7">
        <f t="shared" si="5"/>
        <v>1</v>
      </c>
      <c r="P1341" s="8" t="str">
        <f t="shared" si="6"/>
        <v>No</v>
      </c>
    </row>
    <row r="1342">
      <c r="A1342" s="4" t="s">
        <v>16</v>
      </c>
      <c r="B1342" s="4" t="s">
        <v>3802</v>
      </c>
      <c r="C1342" s="5">
        <v>44856.0</v>
      </c>
      <c r="D1342" s="10">
        <v>44870.0</v>
      </c>
      <c r="E1342" s="4" t="s">
        <v>3803</v>
      </c>
      <c r="F1342" s="4" t="s">
        <v>3804</v>
      </c>
      <c r="G1342" s="6" t="str">
        <f>IFERROR(__xludf.DUMMYFUNCTION("REGEXREPLACE(LOWER(F1342),""[^a-z\s]"","""")"),"i would not have provided my personal information if i had known you dont have what i need not happy ")</f>
        <v>i would not have provided my personal information if i had known you dont have what i need not happy </v>
      </c>
      <c r="H1342" s="4" t="str">
        <f t="shared" si="1"/>
        <v>i would not have provided my personal information if i had known you dont have what i need not happy</v>
      </c>
      <c r="I1342" s="6">
        <f t="shared" si="2"/>
        <v>20</v>
      </c>
      <c r="J1342" s="6">
        <f>IFERROR(__xludf.DUMMYFUNCTION("IF(H1342="""","""",
SUM(
ARRAYFORMULA(
IF(
REGEXMATCH(
"" ""&amp;H1342&amp;"" "",
"" ""&amp;Sentiment_Words!A$2:A3730&amp;"" ""
),
1,
0
)
)
)
)"),1.0)</f>
        <v>1</v>
      </c>
      <c r="K1342" s="4">
        <f>IFERROR(__xludf.DUMMYFUNCTION("IF(H1342="""","""",
SUM(
ARRAYFORMULA(
IF(
REGEXMATCH(
"" ""&amp;H1342&amp;"" "",
"" ""&amp;Sentiment_Words!B$2:B3730&amp;"" ""
),
1,
0
)
)
)
)"),0.0)</f>
        <v>0</v>
      </c>
      <c r="L1342" s="7" t="str">
        <f t="shared" si="3"/>
        <v>Other</v>
      </c>
      <c r="M1342" s="7" t="str">
        <f t="shared" si="4"/>
        <v>Positive</v>
      </c>
      <c r="N1342" s="7" t="str">
        <f>IFERROR(__xludf.DUMMYFUNCTION("LOWER(
TRIM(
REGEXREPLACE(B1342,""[^a-zA-Z\s]"","""")
)
)
"),"denise anderson")</f>
        <v>denise anderson</v>
      </c>
      <c r="O1342" s="7">
        <f t="shared" si="5"/>
        <v>1</v>
      </c>
      <c r="P1342" s="8" t="str">
        <f t="shared" si="6"/>
        <v>No</v>
      </c>
    </row>
    <row r="1343">
      <c r="A1343" s="4" t="s">
        <v>16</v>
      </c>
      <c r="B1343" s="4" t="s">
        <v>3805</v>
      </c>
      <c r="C1343" s="9">
        <v>44867.0</v>
      </c>
      <c r="D1343" s="10">
        <v>44869.0</v>
      </c>
      <c r="E1343" s="4" t="s">
        <v>3806</v>
      </c>
      <c r="F1343" s="4" t="s">
        <v>3807</v>
      </c>
      <c r="G1343" s="6" t="str">
        <f>IFERROR(__xludf.DUMMYFUNCTION("REGEXREPLACE(LOWER(F1343),""[^a-z\s]"","""")"),"petflow has grown on me i have used their competitor for a long time but tried petflow when i initiated a food change i have found petflow to be responsive and helpful quite honestly i feel their service has continued to improve over the time i have been "&amp;"using them they")</f>
        <v>petflow has grown on me i have used their competitor for a long time but tried petflow when i initiated a food change i have found petflow to be responsive and helpful quite honestly i feel their service has continued to improve over the time i have been using them they</v>
      </c>
      <c r="H1343" s="4" t="str">
        <f t="shared" si="1"/>
        <v>petflow has grown on me i have used their competitor a long time but tried petflow when i initiated a food change i have found petflow be responsive helpful quite honestly i feel their service has continued improve over time i have been using them they</v>
      </c>
      <c r="I1343" s="6">
        <f t="shared" si="2"/>
        <v>46</v>
      </c>
      <c r="J1343" s="6">
        <f>IFERROR(__xludf.DUMMYFUNCTION("IF(H1343="""","""",
SUM(
ARRAYFORMULA(
IF(
REGEXMATCH(
"" ""&amp;H1343&amp;"" "",
"" ""&amp;Sentiment_Words!A$2:A3730&amp;"" ""
),
1,
0
)
)
)
)"),2.0)</f>
        <v>2</v>
      </c>
      <c r="K1343" s="4">
        <f>IFERROR(__xludf.DUMMYFUNCTION("IF(H1343="""","""",
SUM(
ARRAYFORMULA(
IF(
REGEXMATCH(
"" ""&amp;H1343&amp;"" "",
"" ""&amp;Sentiment_Words!B$2:B3730&amp;"" ""
),
1,
0
)
)
)
)"),0.0)</f>
        <v>0</v>
      </c>
      <c r="L1343" s="7" t="str">
        <f t="shared" si="3"/>
        <v>Customer Support</v>
      </c>
      <c r="M1343" s="7" t="str">
        <f t="shared" si="4"/>
        <v>Positive</v>
      </c>
      <c r="N1343" s="7" t="str">
        <f>IFERROR(__xludf.DUMMYFUNCTION("LOWER(
TRIM(
REGEXREPLACE(B1343,""[^a-zA-Z\s]"","""")
)
)
"),"jane")</f>
        <v>jane</v>
      </c>
      <c r="O1343" s="7">
        <f t="shared" si="5"/>
        <v>4</v>
      </c>
      <c r="P1343" s="8" t="str">
        <f t="shared" si="6"/>
        <v>Yes</v>
      </c>
    </row>
    <row r="1344">
      <c r="A1344" s="4" t="s">
        <v>16</v>
      </c>
      <c r="B1344" s="4" t="s">
        <v>3808</v>
      </c>
      <c r="C1344" s="9">
        <v>44869.0</v>
      </c>
      <c r="D1344" s="10">
        <v>44869.0</v>
      </c>
      <c r="E1344" s="4" t="s">
        <v>3809</v>
      </c>
      <c r="F1344" s="4" t="s">
        <v>3810</v>
      </c>
      <c r="G1344" s="6" t="str">
        <f>IFERROR(__xludf.DUMMYFUNCTION("REGEXREPLACE(LOWER(F1344),""[^a-z\s]"","""")"),"great product and shipping times im so happy to have found this company")</f>
        <v>great product and shipping times im so happy to have found this company</v>
      </c>
      <c r="H1344" s="4" t="str">
        <f t="shared" si="1"/>
        <v>great product shipping times im so happy have found this company</v>
      </c>
      <c r="I1344" s="6">
        <f t="shared" si="2"/>
        <v>11</v>
      </c>
      <c r="J1344" s="6">
        <f>IFERROR(__xludf.DUMMYFUNCTION("IF(H1344="""","""",
SUM(
ARRAYFORMULA(
IF(
REGEXMATCH(
"" ""&amp;H1344&amp;"" "",
"" ""&amp;Sentiment_Words!A$2:A3730&amp;"" ""
),
1,
0
)
)
)
)"),3.0)</f>
        <v>3</v>
      </c>
      <c r="K1344" s="4">
        <f>IFERROR(__xludf.DUMMYFUNCTION("IF(H1344="""","""",
SUM(
ARRAYFORMULA(
IF(
REGEXMATCH(
"" ""&amp;H1344&amp;"" "",
"" ""&amp;Sentiment_Words!B$2:B3730&amp;"" ""
),
1,
0
)
)
)
)"),0.0)</f>
        <v>0</v>
      </c>
      <c r="L1344" s="7" t="str">
        <f t="shared" si="3"/>
        <v>Other</v>
      </c>
      <c r="M1344" s="7" t="str">
        <f t="shared" si="4"/>
        <v>Positive</v>
      </c>
      <c r="N1344" s="7" t="str">
        <f>IFERROR(__xludf.DUMMYFUNCTION("LOWER(
TRIM(
REGEXREPLACE(B1344,""[^a-zA-Z\s]"","""")
)
)
"),"heather thacker")</f>
        <v>heather thacker</v>
      </c>
      <c r="O1344" s="7">
        <f t="shared" si="5"/>
        <v>1</v>
      </c>
      <c r="P1344" s="8" t="str">
        <f t="shared" si="6"/>
        <v>No</v>
      </c>
    </row>
    <row r="1345">
      <c r="A1345" s="4" t="s">
        <v>16</v>
      </c>
      <c r="B1345" s="4" t="s">
        <v>1925</v>
      </c>
      <c r="C1345" s="9">
        <v>44867.0</v>
      </c>
      <c r="D1345" s="10">
        <v>44869.0</v>
      </c>
      <c r="E1345" s="4" t="s">
        <v>3811</v>
      </c>
      <c r="F1345" s="4" t="s">
        <v>3812</v>
      </c>
      <c r="G1345" s="6" t="str">
        <f>IFERROR(__xludf.DUMMYFUNCTION("REGEXREPLACE(LOWER(F1345),""[^a-z\s]"","""")"),"very knowledgeable and helpful assistance over the phone quality product prices cant be beat")</f>
        <v>very knowledgeable and helpful assistance over the phone quality product prices cant be beat</v>
      </c>
      <c r="H1345" s="4" t="str">
        <f t="shared" si="1"/>
        <v>very knowledgeable helpful assistance over phone quality product prices cant be beat</v>
      </c>
      <c r="I1345" s="6">
        <f t="shared" si="2"/>
        <v>12</v>
      </c>
      <c r="J1345" s="6">
        <f>IFERROR(__xludf.DUMMYFUNCTION("IF(H1345="""","""",
SUM(
ARRAYFORMULA(
IF(
REGEXMATCH(
"" ""&amp;H1345&amp;"" "",
"" ""&amp;Sentiment_Words!A$2:A3730&amp;"" ""
),
1,
0
)
)
)
)"),1.0)</f>
        <v>1</v>
      </c>
      <c r="K1345" s="4">
        <f>IFERROR(__xludf.DUMMYFUNCTION("IF(H1345="""","""",
SUM(
ARRAYFORMULA(
IF(
REGEXMATCH(
"" ""&amp;H1345&amp;"" "",
"" ""&amp;Sentiment_Words!B$2:B3730&amp;"" ""
),
1,
0
)
)
)
)"),0.0)</f>
        <v>0</v>
      </c>
      <c r="L1345" s="7" t="str">
        <f t="shared" si="3"/>
        <v>Other</v>
      </c>
      <c r="M1345" s="7" t="str">
        <f t="shared" si="4"/>
        <v>Positive</v>
      </c>
      <c r="N1345" s="7" t="str">
        <f>IFERROR(__xludf.DUMMYFUNCTION("LOWER(
TRIM(
REGEXREPLACE(B1345,""[^a-zA-Z\s]"","""")
)
)
"),"steven")</f>
        <v>steven</v>
      </c>
      <c r="O1345" s="7">
        <f t="shared" si="5"/>
        <v>2</v>
      </c>
      <c r="P1345" s="8" t="str">
        <f t="shared" si="6"/>
        <v>Yes</v>
      </c>
    </row>
    <row r="1346">
      <c r="A1346" s="4" t="s">
        <v>16</v>
      </c>
      <c r="B1346" s="4" t="s">
        <v>3813</v>
      </c>
      <c r="C1346" s="5">
        <v>44864.0</v>
      </c>
      <c r="D1346" s="10">
        <v>44869.0</v>
      </c>
      <c r="E1346" s="4" t="s">
        <v>3814</v>
      </c>
      <c r="F1346" s="4" t="s">
        <v>3815</v>
      </c>
      <c r="G1346" s="6" t="str">
        <f>IFERROR(__xludf.DUMMYFUNCTION("REGEXREPLACE(LOWER(F1346),""[^a-z\s]"","""")"),"the item i needed was in stock priced better than the competition and arrived timely as needed")</f>
        <v>the item i needed was in stock priced better than the competition and arrived timely as needed</v>
      </c>
      <c r="H1346" s="4" t="str">
        <f t="shared" si="1"/>
        <v>item i needed was in stock priced better than competition arrived timely as needed</v>
      </c>
      <c r="I1346" s="6">
        <f t="shared" si="2"/>
        <v>14</v>
      </c>
      <c r="J1346" s="6">
        <f>IFERROR(__xludf.DUMMYFUNCTION("IF(H1346="""","""",
SUM(
ARRAYFORMULA(
IF(
REGEXMATCH(
"" ""&amp;H1346&amp;"" "",
"" ""&amp;Sentiment_Words!A$2:A3730&amp;"" ""
),
1,
0
)
)
)
)"),0.0)</f>
        <v>0</v>
      </c>
      <c r="K1346" s="4">
        <f>IFERROR(__xludf.DUMMYFUNCTION("IF(H1346="""","""",
SUM(
ARRAYFORMULA(
IF(
REGEXMATCH(
"" ""&amp;H1346&amp;"" "",
"" ""&amp;Sentiment_Words!B$2:B3730&amp;"" ""
),
1,
0
)
)
)
)"),0.0)</f>
        <v>0</v>
      </c>
      <c r="L1346" s="7" t="str">
        <f t="shared" si="3"/>
        <v>Other</v>
      </c>
      <c r="M1346" s="7" t="str">
        <f t="shared" si="4"/>
        <v>Neutral</v>
      </c>
      <c r="N1346" s="7" t="str">
        <f>IFERROR(__xludf.DUMMYFUNCTION("LOWER(
TRIM(
REGEXREPLACE(B1346,""[^a-zA-Z\s]"","""")
)
)
"),"tom w")</f>
        <v>tom w</v>
      </c>
      <c r="O1346" s="7">
        <f t="shared" si="5"/>
        <v>1</v>
      </c>
      <c r="P1346" s="8" t="str">
        <f t="shared" si="6"/>
        <v>No</v>
      </c>
    </row>
    <row r="1347">
      <c r="A1347" s="4" t="s">
        <v>16</v>
      </c>
      <c r="B1347" s="4" t="s">
        <v>3816</v>
      </c>
      <c r="C1347" s="5">
        <v>44865.0</v>
      </c>
      <c r="D1347" s="10">
        <v>44869.0</v>
      </c>
      <c r="E1347" s="4" t="s">
        <v>190</v>
      </c>
      <c r="F1347" s="4" t="s">
        <v>3817</v>
      </c>
      <c r="G1347" s="6" t="str">
        <f>IFERROR(__xludf.DUMMYFUNCTION("REGEXREPLACE(LOWER(F1347),""[^a-z\s]"","""")"),"recently i ordered over  in treats they came in one large box and half of the treats raw freeze dried had turned to dust in their packages it was likely due to rough handling during shipping that had never happened before and ive been ordering treats from"&amp;" petflow for years i called customer service and they shipped replacements the next day i was so impressed i can always count on petflow to deliver what i order to give great value and now i know they also believe in making right whatever may go wrong tha"&amp;"nks")</f>
        <v>recently i ordered over  in treats they came in one large box and half of the treats raw freeze dried had turned to dust in their packages it was likely due to rough handling during shipping that had never happened before and ive been ordering treats from petflow for years i called customer service and they shipped replacements the next day i was so impressed i can always count on petflow to deliver what i order to give great value and now i know they also believe in making right whatever may go wrong thanks</v>
      </c>
      <c r="H1347" s="4" t="str">
        <f t="shared" si="1"/>
        <v>recently i ordered over in treats they came in one large box half of treats raw freeze dried had turned dust in their packages it was likely due rough handling during shipping that had never happened before ive been ordering treats from petflow years i called customer service they shipped replacements next day i was so impressed i can always count on petflow deliver what i order give great value now i know they also believe in making right whatever may go wrong thanks</v>
      </c>
      <c r="I1347" s="6">
        <f t="shared" si="2"/>
        <v>84</v>
      </c>
      <c r="J1347" s="6">
        <f>IFERROR(__xludf.DUMMYFUNCTION("IF(H1347="""","""",
SUM(
ARRAYFORMULA(
IF(
REGEXMATCH(
"" ""&amp;H1347&amp;"" "",
"" ""&amp;Sentiment_Words!A$2:A3730&amp;"" ""
),
1,
0
)
)
)
)"),3.0)</f>
        <v>3</v>
      </c>
      <c r="K1347" s="4">
        <f>IFERROR(__xludf.DUMMYFUNCTION("IF(H1347="""","""",
SUM(
ARRAYFORMULA(
IF(
REGEXMATCH(
"" ""&amp;H1347&amp;"" "",
"" ""&amp;Sentiment_Words!B$2:B3730&amp;"" ""
),
1,
0
)
)
)
)"),2.0)</f>
        <v>2</v>
      </c>
      <c r="L1347" s="7" t="str">
        <f t="shared" si="3"/>
        <v>Customer Support</v>
      </c>
      <c r="M1347" s="7" t="str">
        <f t="shared" si="4"/>
        <v>Positive</v>
      </c>
      <c r="N1347" s="7" t="str">
        <f>IFERROR(__xludf.DUMMYFUNCTION("LOWER(
TRIM(
REGEXREPLACE(B1347,""[^a-zA-Z\s]"","""")
)
)
"),"lynn")</f>
        <v>lynn</v>
      </c>
      <c r="O1347" s="7">
        <f t="shared" si="5"/>
        <v>4</v>
      </c>
      <c r="P1347" s="8" t="str">
        <f t="shared" si="6"/>
        <v>Yes</v>
      </c>
    </row>
    <row r="1348">
      <c r="A1348" s="4" t="s">
        <v>16</v>
      </c>
      <c r="B1348" s="4" t="s">
        <v>3818</v>
      </c>
      <c r="C1348" s="5">
        <v>44863.0</v>
      </c>
      <c r="D1348" s="10">
        <v>44869.0</v>
      </c>
      <c r="E1348" s="4" t="s">
        <v>3819</v>
      </c>
      <c r="F1348" s="4" t="s">
        <v>3820</v>
      </c>
      <c r="G1348" s="6" t="str">
        <f>IFERROR(__xludf.DUMMYFUNCTION("REGEXREPLACE(LOWER(F1348),""[^a-z\s]"","""")"),"i guess my card was declined for my second order of fromms cat food  cases but instead of telling me by text email call i was just ignored when i was down to one lonely can and wondering where my cat food wasi emailed no response to my question just a wel"&amp;"l get back to you later then i called and found out the problem ohmy the person i spoke with could care less if i ordered or not she actually said my card would be declined again if we tried it again true but i have other cards she told me if it came nj w"&amp;"ould take at least a week to california if las vegas a day but she didnt know or wasnt able to tell where it would come from soi bought  cases of fromm from the pet store down the street should have done that in the first place i guess got a big piece of "&amp;"i could care less from petflow")</f>
        <v>i guess my card was declined for my second order of fromms cat food  cases but instead of telling me by text email call i was just ignored when i was down to one lonely can and wondering where my cat food wasi emailed no response to my question just a well get back to you later then i called and found out the problem ohmy the person i spoke with could care less if i ordered or not she actually said my card would be declined again if we tried it again true but i have other cards she told me if it came nj would take at least a week to california if las vegas a day but she didnt know or wasnt able to tell where it would come from soi bought  cases of fromm from the pet store down the street should have done that in the first place i guess got a big piece of i could care less from petflow</v>
      </c>
      <c r="H1348" s="4" t="str">
        <f t="shared" si="1"/>
        <v>i guess my card was declined my second order of fromms cat food cases but instead of telling me by text email call i was just ignored when i was down one lonely can wondering where my cat food wasi emailed no response my question just a well get back you later then i called found out problem ohmy person i spoke with could care less if i ordered or not she actually said my card would be declined again if we tried it again true but i have other cards she told me if it came nj would take at least a week california if las vegas a day but she didnt know or wasnt able tell where it would come from soi bought cases of fromm from pet store down street should have done that in first place i guess got a big piece of i could care less from petflow</v>
      </c>
      <c r="I1348" s="6">
        <f t="shared" si="2"/>
        <v>153</v>
      </c>
      <c r="J1348" s="6">
        <f>IFERROR(__xludf.DUMMYFUNCTION("IF(H1348="""","""",
SUM(
ARRAYFORMULA(
IF(
REGEXMATCH(
"" ""&amp;H1348&amp;"" "",
"" ""&amp;Sentiment_Words!A$2:A3730&amp;"" ""
),
1,
0
)
)
)
)"),2.0)</f>
        <v>2</v>
      </c>
      <c r="K1348" s="4">
        <f>IFERROR(__xludf.DUMMYFUNCTION("IF(H1348="""","""",
SUM(
ARRAYFORMULA(
IF(
REGEXMATCH(
"" ""&amp;H1348&amp;"" "",
"" ""&amp;Sentiment_Words!B$2:B3730&amp;"" ""
),
1,
0
)
)
)
)"),3.0)</f>
        <v>3</v>
      </c>
      <c r="L1348" s="7" t="str">
        <f t="shared" si="3"/>
        <v>Customer Support</v>
      </c>
      <c r="M1348" s="7" t="str">
        <f t="shared" si="4"/>
        <v>Negative</v>
      </c>
      <c r="N1348" s="7" t="str">
        <f>IFERROR(__xludf.DUMMYFUNCTION("LOWER(
TRIM(
REGEXREPLACE(B1348,""[^a-zA-Z\s]"","""")
)
)
"),"miss christine")</f>
        <v>miss christine</v>
      </c>
      <c r="O1348" s="7">
        <f t="shared" si="5"/>
        <v>1</v>
      </c>
      <c r="P1348" s="8" t="str">
        <f t="shared" si="6"/>
        <v>No</v>
      </c>
    </row>
    <row r="1349">
      <c r="A1349" s="4" t="s">
        <v>16</v>
      </c>
      <c r="B1349" s="4" t="s">
        <v>3821</v>
      </c>
      <c r="C1349" s="9">
        <v>44866.0</v>
      </c>
      <c r="D1349" s="10">
        <v>44869.0</v>
      </c>
      <c r="E1349" s="4" t="s">
        <v>3822</v>
      </c>
      <c r="F1349" s="4" t="s">
        <v>3823</v>
      </c>
      <c r="G1349" s="6" t="str">
        <f>IFERROR(__xludf.DUMMYFUNCTION("REGEXREPLACE(LOWER(F1349),""[^a-z\s]"","""")"),"your website lied and said a product was in stock when it wasnt we ordered it and heard nothing from you i had to call several times and then i was finally told my order was canceled because it was back ordered so was it never in stock to begin with ill n"&amp;"ever order or attempt to order through your company again")</f>
        <v>your website lied and said a product was in stock when it wasnt we ordered it and heard nothing from you i had to call several times and then i was finally told my order was canceled because it was back ordered so was it never in stock to begin with ill never order or attempt to order through your company again</v>
      </c>
      <c r="H1349" s="4" t="str">
        <f t="shared" si="1"/>
        <v>your website lied said a product was in stock when it wasnt we ordered it heard nothing from you i had call several times then i was finally told my order was canceled because it was back ordered so was it never in stock begin with ill never order or attempt order through your company again</v>
      </c>
      <c r="I1349" s="6">
        <f t="shared" si="2"/>
        <v>56</v>
      </c>
      <c r="J1349" s="6">
        <f>IFERROR(__xludf.DUMMYFUNCTION("IF(H1349="""","""",
SUM(
ARRAYFORMULA(
IF(
REGEXMATCH(
"" ""&amp;H1349&amp;"" "",
"" ""&amp;Sentiment_Words!A$2:A3730&amp;"" ""
),
1,
0
)
)
)
)"),0.0)</f>
        <v>0</v>
      </c>
      <c r="K1349" s="4">
        <f>IFERROR(__xludf.DUMMYFUNCTION("IF(H1349="""","""",
SUM(
ARRAYFORMULA(
IF(
REGEXMATCH(
"" ""&amp;H1349&amp;"" "",
"" ""&amp;Sentiment_Words!B$2:B3730&amp;"" ""
),
1,
0
)
)
)
)"),0.0)</f>
        <v>0</v>
      </c>
      <c r="L1349" s="7" t="str">
        <f t="shared" si="3"/>
        <v>Account &amp; Website</v>
      </c>
      <c r="M1349" s="7" t="str">
        <f t="shared" si="4"/>
        <v>Neutral</v>
      </c>
      <c r="N1349" s="7" t="str">
        <f>IFERROR(__xludf.DUMMYFUNCTION("LOWER(
TRIM(
REGEXREPLACE(B1349,""[^a-zA-Z\s]"","""")
)
)
"),"jim russo")</f>
        <v>jim russo</v>
      </c>
      <c r="O1349" s="7">
        <f t="shared" si="5"/>
        <v>1</v>
      </c>
      <c r="P1349" s="8" t="str">
        <f t="shared" si="6"/>
        <v>No</v>
      </c>
    </row>
    <row r="1350">
      <c r="A1350" s="4" t="s">
        <v>16</v>
      </c>
      <c r="B1350" s="4" t="s">
        <v>3824</v>
      </c>
      <c r="C1350" s="9">
        <v>44866.0</v>
      </c>
      <c r="D1350" s="10">
        <v>44869.0</v>
      </c>
      <c r="E1350" s="4" t="s">
        <v>3825</v>
      </c>
      <c r="F1350" s="4" t="s">
        <v>3826</v>
      </c>
      <c r="G1350" s="6" t="str">
        <f>IFERROR(__xludf.DUMMYFUNCTION("REGEXREPLACE(LOWER(F1350),""[^a-z\s]"","""")"),"i had a slight issue with a couple of the cans that were shipped and the customer service representative said they would issue a credit on my next order very professional and courteous service")</f>
        <v>i had a slight issue with a couple of the cans that were shipped and the customer service representative said they would issue a credit on my next order very professional and courteous service</v>
      </c>
      <c r="H1350" s="4" t="str">
        <f t="shared" si="1"/>
        <v>i had a slight issue with a couple of cans that were shipped customer service representative said they would issue a credit on my next order very professional courteous service</v>
      </c>
      <c r="I1350" s="6">
        <f t="shared" si="2"/>
        <v>30</v>
      </c>
      <c r="J1350" s="6">
        <f>IFERROR(__xludf.DUMMYFUNCTION("IF(H1350="""","""",
SUM(
ARRAYFORMULA(
IF(
REGEXMATCH(
"" ""&amp;H1350&amp;"" "",
"" ""&amp;Sentiment_Words!A$2:A3730&amp;"" ""
),
1,
0
)
)
)
)"),1.0)</f>
        <v>1</v>
      </c>
      <c r="K1350" s="4">
        <f>IFERROR(__xludf.DUMMYFUNCTION("IF(H1350="""","""",
SUM(
ARRAYFORMULA(
IF(
REGEXMATCH(
"" ""&amp;H1350&amp;"" "",
"" ""&amp;Sentiment_Words!B$2:B3730&amp;"" ""
),
1,
0
)
)
)
)"),2.0)</f>
        <v>2</v>
      </c>
      <c r="L1350" s="7" t="str">
        <f t="shared" si="3"/>
        <v>Customer Support</v>
      </c>
      <c r="M1350" s="7" t="str">
        <f t="shared" si="4"/>
        <v>Negative</v>
      </c>
      <c r="N1350" s="7" t="str">
        <f>IFERROR(__xludf.DUMMYFUNCTION("LOWER(
TRIM(
REGEXREPLACE(B1350,""[^a-zA-Z\s]"","""")
)
)
"),"nelson tiburcio")</f>
        <v>nelson tiburcio</v>
      </c>
      <c r="O1350" s="7">
        <f t="shared" si="5"/>
        <v>1</v>
      </c>
      <c r="P1350" s="8" t="str">
        <f t="shared" si="6"/>
        <v>No</v>
      </c>
    </row>
    <row r="1351">
      <c r="A1351" s="4" t="s">
        <v>16</v>
      </c>
      <c r="B1351" s="4" t="s">
        <v>3827</v>
      </c>
      <c r="C1351" s="9">
        <v>44868.0</v>
      </c>
      <c r="D1351" s="10">
        <v>44869.0</v>
      </c>
      <c r="E1351" s="4" t="s">
        <v>3828</v>
      </c>
      <c r="F1351" s="4" t="s">
        <v>3829</v>
      </c>
      <c r="G1351" s="6" t="str">
        <f>IFERROR(__xludf.DUMMYFUNCTION("REGEXREPLACE(LOWER(F1351),""[^a-z\s]"","""")"),"my order was cancelled and i did not know it no email nothing i had to log into my account to find out i have reordered and hopefully product will be sent")</f>
        <v>my order was cancelled and i did not know it no email nothing i had to log into my account to find out i have reordered and hopefully product will be sent</v>
      </c>
      <c r="H1351" s="4" t="str">
        <f t="shared" si="1"/>
        <v>my order was cancelled i did not know it no email nothing i had log into my account find out i have reordered hopefully product will be sent</v>
      </c>
      <c r="I1351" s="6">
        <f t="shared" si="2"/>
        <v>28</v>
      </c>
      <c r="J1351" s="6">
        <f>IFERROR(__xludf.DUMMYFUNCTION("IF(H1351="""","""",
SUM(
ARRAYFORMULA(
IF(
REGEXMATCH(
"" ""&amp;H1351&amp;"" "",
"" ""&amp;Sentiment_Words!A$2:A3730&amp;"" ""
),
1,
0
)
)
)
)"),0.0)</f>
        <v>0</v>
      </c>
      <c r="K1351" s="4">
        <f>IFERROR(__xludf.DUMMYFUNCTION("IF(H1351="""","""",
SUM(
ARRAYFORMULA(
IF(
REGEXMATCH(
"" ""&amp;H1351&amp;"" "",
"" ""&amp;Sentiment_Words!B$2:B3730&amp;"" ""
),
1,
0
)
)
)
)"),1.0)</f>
        <v>1</v>
      </c>
      <c r="L1351" s="7" t="str">
        <f t="shared" si="3"/>
        <v>Account &amp; Website</v>
      </c>
      <c r="M1351" s="7" t="str">
        <f t="shared" si="4"/>
        <v>Negative</v>
      </c>
      <c r="N1351" s="7" t="str">
        <f>IFERROR(__xludf.DUMMYFUNCTION("LOWER(
TRIM(
REGEXREPLACE(B1351,""[^a-zA-Z\s]"","""")
)
)
"),"linda rankin")</f>
        <v>linda rankin</v>
      </c>
      <c r="O1351" s="7">
        <f t="shared" si="5"/>
        <v>1</v>
      </c>
      <c r="P1351" s="8" t="str">
        <f t="shared" si="6"/>
        <v>No</v>
      </c>
    </row>
    <row r="1352">
      <c r="A1352" s="4" t="s">
        <v>16</v>
      </c>
      <c r="B1352" s="4" t="s">
        <v>3830</v>
      </c>
      <c r="C1352" s="5">
        <v>44854.0</v>
      </c>
      <c r="D1352" s="10">
        <v>44868.0</v>
      </c>
      <c r="E1352" s="4" t="s">
        <v>3831</v>
      </c>
      <c r="F1352" s="4" t="s">
        <v>3832</v>
      </c>
      <c r="G1352" s="6" t="str">
        <f>IFERROR(__xludf.DUMMYFUNCTION("REGEXREPLACE(LOWER(F1352),""[^a-z\s]"","""")"),"everything i always need personal help with my orders which usually include a prescription for my cat the prescription i have is a open one that i usually have to send a picture of and petflow seems the only online site that will talk to me personally in "&amp;"order to get this done as opposed to taking the cat to the vet each time and having to pay  to ")</f>
        <v>everything i always need personal help with my orders which usually include a prescription for my cat the prescription i have is a open one that i usually have to send a picture of and petflow seems the only online site that will talk to me personally in order to get this done as opposed to taking the cat to the vet each time and having to pay  to </v>
      </c>
      <c r="H1352" s="4" t="str">
        <f t="shared" si="1"/>
        <v>everything i always need personal help with my orders which usually include a prescription my cat prescription i have a open one that i usually have send a picture of petflow seems only online site that will talk me personally in order get this done as opposed taking cat vet each time having pay</v>
      </c>
      <c r="I1352" s="6">
        <f t="shared" si="2"/>
        <v>54</v>
      </c>
      <c r="J1352" s="6">
        <f>IFERROR(__xludf.DUMMYFUNCTION("IF(H1352="""","""",
SUM(
ARRAYFORMULA(
IF(
REGEXMATCH(
"" ""&amp;H1352&amp;"" "",
"" ""&amp;Sentiment_Words!A$2:A3730&amp;"" ""
),
1,
0
)
)
)
)"),0.0)</f>
        <v>0</v>
      </c>
      <c r="K1352" s="4">
        <f>IFERROR(__xludf.DUMMYFUNCTION("IF(H1352="""","""",
SUM(
ARRAYFORMULA(
IF(
REGEXMATCH(
"" ""&amp;H1352&amp;"" "",
"" ""&amp;Sentiment_Words!B$2:B3730&amp;"" ""
),
1,
0
)
)
)
)"),0.0)</f>
        <v>0</v>
      </c>
      <c r="L1352" s="7" t="str">
        <f t="shared" si="3"/>
        <v>Other</v>
      </c>
      <c r="M1352" s="7" t="str">
        <f t="shared" si="4"/>
        <v>Neutral</v>
      </c>
      <c r="N1352" s="7" t="str">
        <f>IFERROR(__xludf.DUMMYFUNCTION("LOWER(
TRIM(
REGEXREPLACE(B1352,""[^a-zA-Z\s]"","""")
)
)
"),"phil dahlquist")</f>
        <v>phil dahlquist</v>
      </c>
      <c r="O1352" s="7">
        <f t="shared" si="5"/>
        <v>1</v>
      </c>
      <c r="P1352" s="8" t="str">
        <f t="shared" si="6"/>
        <v>No</v>
      </c>
    </row>
    <row r="1353">
      <c r="A1353" s="4" t="s">
        <v>16</v>
      </c>
      <c r="B1353" s="4" t="s">
        <v>3833</v>
      </c>
      <c r="C1353" s="5">
        <v>44859.0</v>
      </c>
      <c r="D1353" s="10">
        <v>44868.0</v>
      </c>
      <c r="E1353" s="4" t="s">
        <v>3834</v>
      </c>
      <c r="F1353" s="4" t="s">
        <v>3835</v>
      </c>
      <c r="G1353" s="6" t="str">
        <f>IFERROR(__xludf.DUMMYFUNCTION("REGEXREPLACE(LOWER(F1353),""[^a-z\s]"","""")"),"the people on the phone are friendly and helpful")</f>
        <v>the people on the phone are friendly and helpful</v>
      </c>
      <c r="H1353" s="4" t="str">
        <f t="shared" si="1"/>
        <v>people on phone are friendly helpful</v>
      </c>
      <c r="I1353" s="6">
        <f t="shared" si="2"/>
        <v>6</v>
      </c>
      <c r="J1353" s="6">
        <f>IFERROR(__xludf.DUMMYFUNCTION("IF(H1353="""","""",
SUM(
ARRAYFORMULA(
IF(
REGEXMATCH(
"" ""&amp;H1353&amp;"" "",
"" ""&amp;Sentiment_Words!A$2:A3730&amp;"" ""
),
1,
0
)
)
)
)"),1.0)</f>
        <v>1</v>
      </c>
      <c r="K1353" s="4">
        <f>IFERROR(__xludf.DUMMYFUNCTION("IF(H1353="""","""",
SUM(
ARRAYFORMULA(
IF(
REGEXMATCH(
"" ""&amp;H1353&amp;"" "",
"" ""&amp;Sentiment_Words!B$2:B3730&amp;"" ""
),
1,
0
)
)
)
)"),0.0)</f>
        <v>0</v>
      </c>
      <c r="L1353" s="7" t="str">
        <f t="shared" si="3"/>
        <v>Other</v>
      </c>
      <c r="M1353" s="7" t="str">
        <f t="shared" si="4"/>
        <v>Positive</v>
      </c>
      <c r="N1353" s="7" t="str">
        <f>IFERROR(__xludf.DUMMYFUNCTION("LOWER(
TRIM(
REGEXREPLACE(B1353,""[^a-zA-Z\s]"","""")
)
)
"),"russ")</f>
        <v>russ</v>
      </c>
      <c r="O1353" s="7">
        <f t="shared" si="5"/>
        <v>1</v>
      </c>
      <c r="P1353" s="8" t="str">
        <f t="shared" si="6"/>
        <v>No</v>
      </c>
    </row>
    <row r="1354">
      <c r="A1354" s="4" t="s">
        <v>16</v>
      </c>
      <c r="B1354" s="4" t="s">
        <v>3836</v>
      </c>
      <c r="C1354" s="5">
        <v>44864.0</v>
      </c>
      <c r="D1354" s="10">
        <v>44868.0</v>
      </c>
      <c r="E1354" s="4" t="s">
        <v>3837</v>
      </c>
      <c r="F1354" s="4" t="s">
        <v>3838</v>
      </c>
      <c r="G1354" s="6" t="str">
        <f>IFERROR(__xludf.DUMMYFUNCTION("REGEXREPLACE(LOWER(F1354),""[^a-z\s]"","""")"),"what a great business to work with when i made an error and ordered the wrong food  customer service was happy to take it back and get me the right food
what a pleasure to work with such nice and helpful staff a most unusual treat today")</f>
        <v>what a great business to work with when i made an error and ordered the wrong food  customer service was happy to take it back and get me the right food
what a pleasure to work with such nice and helpful staff a most unusual treat today</v>
      </c>
      <c r="H1354" s="4" t="str">
        <f t="shared" si="1"/>
        <v>what a great business work with when i made an error ordered wrong food customer service was happy take it back get me right food
what a pleasure work with such nice helpful staff a most unusual treat today</v>
      </c>
      <c r="I1354" s="6">
        <f t="shared" si="2"/>
        <v>38</v>
      </c>
      <c r="J1354" s="6">
        <f>IFERROR(__xludf.DUMMYFUNCTION("IF(H1354="""","""",
SUM(
ARRAYFORMULA(
IF(
REGEXMATCH(
"" ""&amp;H1354&amp;"" "",
"" ""&amp;Sentiment_Words!A$2:A3730&amp;"" ""
),
1,
0
)
)
)
)"),3.0)</f>
        <v>3</v>
      </c>
      <c r="K1354" s="4">
        <f>IFERROR(__xludf.DUMMYFUNCTION("IF(H1354="""","""",
SUM(
ARRAYFORMULA(
IF(
REGEXMATCH(
"" ""&amp;H1354&amp;"" "",
"" ""&amp;Sentiment_Words!B$2:B3730&amp;"" ""
),
1,
0
)
)
)
)"),2.0)</f>
        <v>2</v>
      </c>
      <c r="L1354" s="7" t="str">
        <f t="shared" si="3"/>
        <v>Customer Support</v>
      </c>
      <c r="M1354" s="7" t="str">
        <f t="shared" si="4"/>
        <v>Positive</v>
      </c>
      <c r="N1354" s="7" t="str">
        <f>IFERROR(__xludf.DUMMYFUNCTION("LOWER(
TRIM(
REGEXREPLACE(B1354,""[^a-zA-Z\s]"","""")
)
)
"),"noel hirsch")</f>
        <v>noel hirsch</v>
      </c>
      <c r="O1354" s="7">
        <f t="shared" si="5"/>
        <v>1</v>
      </c>
      <c r="P1354" s="8" t="str">
        <f t="shared" si="6"/>
        <v>No</v>
      </c>
    </row>
    <row r="1355">
      <c r="A1355" s="4" t="s">
        <v>16</v>
      </c>
      <c r="B1355" s="4" t="s">
        <v>3839</v>
      </c>
      <c r="C1355" s="5">
        <v>44855.0</v>
      </c>
      <c r="D1355" s="10">
        <v>44868.0</v>
      </c>
      <c r="E1355" s="4" t="s">
        <v>3840</v>
      </c>
      <c r="F1355" s="4" t="s">
        <v>3841</v>
      </c>
      <c r="G1355" s="6" t="str">
        <f>IFERROR(__xludf.DUMMYFUNCTION("REGEXREPLACE(LOWER(F1355),""[^a-z\s]"","""")"),"i originally ordered a  can case of cd chicken stew and a  can case of cd tuna stew and was told that they were both in stock about a week later i got the case of chicken stew but but still am waiting for the case of tuna stew i just called a little while"&amp;" ago to see why the case ot tuna stew hasent shipped yet and was told that it was out of stock number onewhy was i told that it was in stock when i originally ordered it and now im told its out of stock did they ship my order to someone else second thats "&amp;"for giving me a heads up that it isall of a suddenout of stock my cat really needs this food it is the only thing she can eat")</f>
        <v>i originally ordered a  can case of cd chicken stew and a  can case of cd tuna stew and was told that they were both in stock about a week later i got the case of chicken stew but but still am waiting for the case of tuna stew i just called a little while ago to see why the case ot tuna stew hasent shipped yet and was told that it was out of stock number onewhy was i told that it was in stock when i originally ordered it and now im told its out of stock did they ship my order to someone else second thats for giving me a heads up that it isall of a suddenout of stock my cat really needs this food it is the only thing she can eat</v>
      </c>
      <c r="H1355" s="4" t="str">
        <f t="shared" si="1"/>
        <v>i originally ordered a can case of cd chicken stew a can case of cd tuna stew was told that they were both in stock about a week later i got case of chicken stew but but still am waiting case of tuna stew i just called a little while ago see why case ot tuna stew hasent shipped yet was told that it was out of stock number onewhy was i told that it was in stock when i originally ordered it now im told its out of stock did they ship my order someone else second thats giving me a heads up that it isall of a suddenout of stock my cat really needs this food it only thing she can eat</v>
      </c>
      <c r="I1355" s="6">
        <f t="shared" si="2"/>
        <v>124</v>
      </c>
      <c r="J1355" s="6">
        <f>IFERROR(__xludf.DUMMYFUNCTION("IF(H1355="""","""",
SUM(
ARRAYFORMULA(
IF(
REGEXMATCH(
"" ""&amp;H1355&amp;"" "",
"" ""&amp;Sentiment_Words!A$2:A3730&amp;"" ""
),
1,
0
)
)
)
)"),0.0)</f>
        <v>0</v>
      </c>
      <c r="K1355" s="4">
        <f>IFERROR(__xludf.DUMMYFUNCTION("IF(H1355="""","""",
SUM(
ARRAYFORMULA(
IF(
REGEXMATCH(
"" ""&amp;H1355&amp;"" "",
"" ""&amp;Sentiment_Words!B$2:B3730&amp;"" ""
),
1,
0
)
)
)
)"),1.0)</f>
        <v>1</v>
      </c>
      <c r="L1355" s="7" t="str">
        <f t="shared" si="3"/>
        <v>Fulfillment &amp; Shipping</v>
      </c>
      <c r="M1355" s="7" t="str">
        <f t="shared" si="4"/>
        <v>Negative</v>
      </c>
      <c r="N1355" s="7" t="str">
        <f>IFERROR(__xludf.DUMMYFUNCTION("LOWER(
TRIM(
REGEXREPLACE(B1355,""[^a-zA-Z\s]"","""")
)
)
"),"gene smith")</f>
        <v>gene smith</v>
      </c>
      <c r="O1355" s="7">
        <f t="shared" si="5"/>
        <v>1</v>
      </c>
      <c r="P1355" s="8" t="str">
        <f t="shared" si="6"/>
        <v>No</v>
      </c>
    </row>
    <row r="1356">
      <c r="A1356" s="4" t="s">
        <v>16</v>
      </c>
      <c r="B1356" s="4" t="s">
        <v>3842</v>
      </c>
      <c r="C1356" s="9">
        <v>44867.0</v>
      </c>
      <c r="D1356" s="10">
        <v>44868.0</v>
      </c>
      <c r="E1356" s="4" t="s">
        <v>3843</v>
      </c>
      <c r="F1356" s="4" t="s">
        <v>3844</v>
      </c>
      <c r="G1356" s="6" t="str">
        <f>IFERROR(__xludf.DUMMYFUNCTION("REGEXREPLACE(LOWER(F1356),""[^a-z\s]"","""")"),"excellent product ive been buying from them for years and fast service")</f>
        <v>excellent product ive been buying from them for years and fast service</v>
      </c>
      <c r="H1356" s="4" t="str">
        <f t="shared" si="1"/>
        <v>excellent product ive been buying from them years fast service</v>
      </c>
      <c r="I1356" s="6">
        <f t="shared" si="2"/>
        <v>10</v>
      </c>
      <c r="J1356" s="6">
        <f>IFERROR(__xludf.DUMMYFUNCTION("IF(H1356="""","""",
SUM(
ARRAYFORMULA(
IF(
REGEXMATCH(
"" ""&amp;H1356&amp;"" "",
"" ""&amp;Sentiment_Words!A$2:A3730&amp;"" ""
),
1,
0
)
)
)
)"),1.0)</f>
        <v>1</v>
      </c>
      <c r="K1356" s="4">
        <f>IFERROR(__xludf.DUMMYFUNCTION("IF(H1356="""","""",
SUM(
ARRAYFORMULA(
IF(
REGEXMATCH(
"" ""&amp;H1356&amp;"" "",
"" ""&amp;Sentiment_Words!B$2:B3730&amp;"" ""
),
1,
0
)
)
)
)"),0.0)</f>
        <v>0</v>
      </c>
      <c r="L1356" s="7" t="str">
        <f t="shared" si="3"/>
        <v>Customer Support</v>
      </c>
      <c r="M1356" s="7" t="str">
        <f t="shared" si="4"/>
        <v>Positive</v>
      </c>
      <c r="N1356" s="7" t="str">
        <f>IFERROR(__xludf.DUMMYFUNCTION("LOWER(
TRIM(
REGEXREPLACE(B1356,""[^a-zA-Z\s]"","""")
)
)
"),"ahchicotose")</f>
        <v>ahchicotose</v>
      </c>
      <c r="O1356" s="7">
        <f t="shared" si="5"/>
        <v>1</v>
      </c>
      <c r="P1356" s="8" t="str">
        <f t="shared" si="6"/>
        <v>No</v>
      </c>
    </row>
    <row r="1357">
      <c r="A1357" s="4" t="s">
        <v>16</v>
      </c>
      <c r="B1357" s="4" t="s">
        <v>3845</v>
      </c>
      <c r="C1357" s="9">
        <v>44867.0</v>
      </c>
      <c r="D1357" s="10">
        <v>44868.0</v>
      </c>
      <c r="E1357" s="4" t="s">
        <v>3846</v>
      </c>
      <c r="F1357" s="4" t="s">
        <v>3847</v>
      </c>
      <c r="G1357" s="6" t="str">
        <f>IFERROR(__xludf.DUMMYFUNCTION("REGEXREPLACE(LOWER(F1357),""[^a-z\s]"","""")"),"i ordered  cases of the hills cd wet can food one stew and one fish i only received the stew my invoice shows that i was charged for both
but no explanation on why i didnt get the full order")</f>
        <v>i ordered  cases of the hills cd wet can food one stew and one fish i only received the stew my invoice shows that i was charged for both
but no explanation on why i didnt get the full order</v>
      </c>
      <c r="H1357" s="4" t="str">
        <f t="shared" si="1"/>
        <v>i ordered cases of hills cd wet can food one stew one fish i only received stew my invoice shows that i was charged both
but no explanation on why i didnt get full order</v>
      </c>
      <c r="I1357" s="6">
        <f t="shared" si="2"/>
        <v>34</v>
      </c>
      <c r="J1357" s="6">
        <f>IFERROR(__xludf.DUMMYFUNCTION("IF(H1357="""","""",
SUM(
ARRAYFORMULA(
IF(
REGEXMATCH(
"" ""&amp;H1357&amp;"" "",
"" ""&amp;Sentiment_Words!A$2:A3730&amp;"" ""
),
1,
0
)
)
)
)"),0.0)</f>
        <v>0</v>
      </c>
      <c r="K1357" s="4">
        <f>IFERROR(__xludf.DUMMYFUNCTION("IF(H1357="""","""",
SUM(
ARRAYFORMULA(
IF(
REGEXMATCH(
"" ""&amp;H1357&amp;"" "",
"" ""&amp;Sentiment_Words!B$2:B3730&amp;"" ""
),
1,
0
)
)
)
)"),0.0)</f>
        <v>0</v>
      </c>
      <c r="L1357" s="7" t="str">
        <f t="shared" si="3"/>
        <v>Other</v>
      </c>
      <c r="M1357" s="7" t="str">
        <f t="shared" si="4"/>
        <v>Neutral</v>
      </c>
      <c r="N1357" s="7" t="str">
        <f>IFERROR(__xludf.DUMMYFUNCTION("LOWER(
TRIM(
REGEXREPLACE(B1357,""[^a-zA-Z\s]"","""")
)
)
"),"maitri libellule")</f>
        <v>maitri libellule</v>
      </c>
      <c r="O1357" s="7">
        <f t="shared" si="5"/>
        <v>1</v>
      </c>
      <c r="P1357" s="8" t="str">
        <f t="shared" si="6"/>
        <v>No</v>
      </c>
    </row>
    <row r="1358">
      <c r="A1358" s="4" t="s">
        <v>16</v>
      </c>
      <c r="B1358" s="4" t="s">
        <v>3848</v>
      </c>
      <c r="C1358" s="5">
        <v>44855.0</v>
      </c>
      <c r="D1358" s="10">
        <v>44868.0</v>
      </c>
      <c r="E1358" s="4" t="s">
        <v>3849</v>
      </c>
      <c r="F1358" s="4" t="s">
        <v>3850</v>
      </c>
      <c r="G1358" s="6" t="str">
        <f>IFERROR(__xludf.DUMMYFUNCTION("REGEXREPLACE(LOWER(F1358),""[^a-z\s]"","""")"),"wanted to order dog kibble but the price on the select and description page was  but when i started processing the order the cart jumped it to  i called and explained the problem the guy hung up on me i called again and the second guy also hung up on me p"&amp;"etflow will never see another order for anything from this family")</f>
        <v>wanted to order dog kibble but the price on the select and description page was  but when i started processing the order the cart jumped it to  i called and explained the problem the guy hung up on me i called again and the second guy also hung up on me petflow will never see another order for anything from this family</v>
      </c>
      <c r="H1358" s="4" t="str">
        <f t="shared" si="1"/>
        <v>wanted order dog kibble but price on select description page was but when i started processing order cart jumped it i called explained problem guy hung up on me i called again second guy also hung up on me petflow will never see another order anything from this family</v>
      </c>
      <c r="I1358" s="6">
        <f t="shared" si="2"/>
        <v>49</v>
      </c>
      <c r="J1358" s="6">
        <f>IFERROR(__xludf.DUMMYFUNCTION("IF(H1358="""","""",
SUM(
ARRAYFORMULA(
IF(
REGEXMATCH(
"" ""&amp;H1358&amp;"" "",
"" ""&amp;Sentiment_Words!A$2:A3730&amp;"" ""
),
1,
0
)
)
)
)"),0.0)</f>
        <v>0</v>
      </c>
      <c r="K1358" s="4">
        <f>IFERROR(__xludf.DUMMYFUNCTION("IF(H1358="""","""",
SUM(
ARRAYFORMULA(
IF(
REGEXMATCH(
"" ""&amp;H1358&amp;"" "",
"" ""&amp;Sentiment_Words!B$2:B3730&amp;"" ""
),
1,
0
)
)
)
)"),1.0)</f>
        <v>1</v>
      </c>
      <c r="L1358" s="7" t="str">
        <f t="shared" si="3"/>
        <v>Other</v>
      </c>
      <c r="M1358" s="7" t="str">
        <f t="shared" si="4"/>
        <v>Negative</v>
      </c>
      <c r="N1358" s="7" t="str">
        <f>IFERROR(__xludf.DUMMYFUNCTION("LOWER(
TRIM(
REGEXREPLACE(B1358,""[^a-zA-Z\s]"","""")
)
)
"),"pauly")</f>
        <v>pauly</v>
      </c>
      <c r="O1358" s="7">
        <f t="shared" si="5"/>
        <v>1</v>
      </c>
      <c r="P1358" s="8" t="str">
        <f t="shared" si="6"/>
        <v>No</v>
      </c>
    </row>
    <row r="1359">
      <c r="A1359" s="4" t="s">
        <v>16</v>
      </c>
      <c r="B1359" s="4" t="s">
        <v>3851</v>
      </c>
      <c r="C1359" s="9">
        <v>44867.0</v>
      </c>
      <c r="D1359" s="10">
        <v>44867.0</v>
      </c>
      <c r="E1359" s="4" t="s">
        <v>3852</v>
      </c>
      <c r="F1359" s="4" t="s">
        <v>3853</v>
      </c>
      <c r="G1359" s="6" t="str">
        <f>IFERROR(__xludf.DUMMYFUNCTION("REGEXREPLACE(LOWER(F1359),""[^a-z\s]"","""")"),"would give this company zero stars if possible have ordered from chewy petco pet nirvana and vetsource with absolutely no issues whatsoever using the same credit card i used for petflow however twice petflow cancelled my order with no notice i didnt disco"&amp;"ver until i contacted them to see why  weeks later my orders still hadnt arrived i only ordered from them because the cat food i needed wasnt available through other vendors they told me their security system red flagged my account what does that mean pro"&amp;"bably that they were out of the food i ordered but dont update their website to prevent an order going through on an out of stock item run away")</f>
        <v>would give this company zero stars if possible have ordered from chewy petco pet nirvana and vetsource with absolutely no issues whatsoever using the same credit card i used for petflow however twice petflow cancelled my order with no notice i didnt discover until i contacted them to see why  weeks later my orders still hadnt arrived i only ordered from them because the cat food i needed wasnt available through other vendors they told me their security system red flagged my account what does that mean probably that they were out of the food i ordered but dont update their website to prevent an order going through on an out of stock item run away</v>
      </c>
      <c r="H1359" s="4" t="str">
        <f t="shared" si="1"/>
        <v>would give this company zero stars if possible have ordered from chewy petco pet nirvana vetsource with absolutely no issues whatsoever using same credit card i used petflow however twice petflow cancelled my order with no notice i didnt discover until i contacted them see why weeks later my orders still hadnt arrived i only ordered from them because cat food i needed wasnt available through other vendors they told me their security system red flagged my account what does that mean probably that they were out of food i ordered but dont update their website prevent an order going through on an out of stock item run away</v>
      </c>
      <c r="I1359" s="6">
        <f t="shared" si="2"/>
        <v>109</v>
      </c>
      <c r="J1359" s="6">
        <f>IFERROR(__xludf.DUMMYFUNCTION("IF(H1359="""","""",
SUM(
ARRAYFORMULA(
IF(
REGEXMATCH(
"" ""&amp;H1359&amp;"" "",
"" ""&amp;Sentiment_Words!A$2:A3730&amp;"" ""
),
1,
0
)
)
)
)"),2.0)</f>
        <v>2</v>
      </c>
      <c r="K1359" s="4">
        <f>IFERROR(__xludf.DUMMYFUNCTION("IF(H1359="""","""",
SUM(
ARRAYFORMULA(
IF(
REGEXMATCH(
"" ""&amp;H1359&amp;"" "",
"" ""&amp;Sentiment_Words!B$2:B3730&amp;"" ""
),
1,
0
)
)
)
)"),2.0)</f>
        <v>2</v>
      </c>
      <c r="L1359" s="7" t="str">
        <f t="shared" si="3"/>
        <v>Fulfillment &amp; Shipping</v>
      </c>
      <c r="M1359" s="7" t="str">
        <f t="shared" si="4"/>
        <v>Neutral</v>
      </c>
      <c r="N1359" s="7" t="str">
        <f>IFERROR(__xludf.DUMMYFUNCTION("LOWER(
TRIM(
REGEXREPLACE(B1359,""[^a-zA-Z\s]"","""")
)
)
"),"hr teel")</f>
        <v>hr teel</v>
      </c>
      <c r="O1359" s="7">
        <f t="shared" si="5"/>
        <v>1</v>
      </c>
      <c r="P1359" s="8" t="str">
        <f t="shared" si="6"/>
        <v>No</v>
      </c>
    </row>
    <row r="1360">
      <c r="A1360" s="4" t="s">
        <v>16</v>
      </c>
      <c r="B1360" s="4" t="s">
        <v>3854</v>
      </c>
      <c r="C1360" s="5">
        <v>44845.0</v>
      </c>
      <c r="D1360" s="10">
        <v>44867.0</v>
      </c>
      <c r="E1360" s="4" t="s">
        <v>3855</v>
      </c>
      <c r="F1360" s="4" t="s">
        <v>3856</v>
      </c>
      <c r="G1360" s="6" t="str">
        <f>IFERROR(__xludf.DUMMYFUNCTION("REGEXREPLACE(LOWER(F1360),""[^a-z\s]"","""")"),"i have tried to order food for my cat  times each time the order being cancelled because they did not have the product in stock i didnt understand why the would show a product in stock when in fact they didnt have it")</f>
        <v>i have tried to order food for my cat  times each time the order being cancelled because they did not have the product in stock i didnt understand why the would show a product in stock when in fact they didnt have it</v>
      </c>
      <c r="H1360" s="4" t="str">
        <f t="shared" si="1"/>
        <v>i have tried order food my cat times each time order being cancelled because they did not have product in stock i didnt understand why would show a product in stock when in fact they didnt have it</v>
      </c>
      <c r="I1360" s="6">
        <f t="shared" si="2"/>
        <v>38</v>
      </c>
      <c r="J1360" s="6">
        <f>IFERROR(__xludf.DUMMYFUNCTION("IF(H1360="""","""",
SUM(
ARRAYFORMULA(
IF(
REGEXMATCH(
"" ""&amp;H1360&amp;"" "",
"" ""&amp;Sentiment_Words!A$2:A3730&amp;"" ""
),
1,
0
)
)
)
)"),0.0)</f>
        <v>0</v>
      </c>
      <c r="K1360" s="4">
        <f>IFERROR(__xludf.DUMMYFUNCTION("IF(H1360="""","""",
SUM(
ARRAYFORMULA(
IF(
REGEXMATCH(
"" ""&amp;H1360&amp;"" "",
"" ""&amp;Sentiment_Words!B$2:B3730&amp;"" ""
),
1,
0
)
)
)
)"),1.0)</f>
        <v>1</v>
      </c>
      <c r="L1360" s="7" t="str">
        <f t="shared" si="3"/>
        <v>Other</v>
      </c>
      <c r="M1360" s="7" t="str">
        <f t="shared" si="4"/>
        <v>Negative</v>
      </c>
      <c r="N1360" s="7" t="str">
        <f>IFERROR(__xludf.DUMMYFUNCTION("LOWER(
TRIM(
REGEXREPLACE(B1360,""[^a-zA-Z\s]"","""")
)
)
"),"happy camper")</f>
        <v>happy camper</v>
      </c>
      <c r="O1360" s="7">
        <f t="shared" si="5"/>
        <v>1</v>
      </c>
      <c r="P1360" s="8" t="str">
        <f t="shared" si="6"/>
        <v>No</v>
      </c>
    </row>
    <row r="1361">
      <c r="A1361" s="4" t="s">
        <v>16</v>
      </c>
      <c r="B1361" s="4" t="s">
        <v>455</v>
      </c>
      <c r="C1361" s="9">
        <v>44835.0</v>
      </c>
      <c r="D1361" s="10">
        <v>44867.0</v>
      </c>
      <c r="E1361" s="4" t="s">
        <v>3857</v>
      </c>
      <c r="F1361" s="4" t="s">
        <v>331</v>
      </c>
      <c r="G1361" s="6" t="str">
        <f>IFERROR(__xludf.DUMMYFUNCTION("REGEXREPLACE(LOWER(F1361),""[^a-z\s]"","""")"),"none")</f>
        <v>none</v>
      </c>
      <c r="H1361" s="4" t="str">
        <f t="shared" si="1"/>
        <v>none</v>
      </c>
      <c r="I1361" s="6">
        <f t="shared" si="2"/>
        <v>1</v>
      </c>
      <c r="J1361" s="6">
        <f>IFERROR(__xludf.DUMMYFUNCTION("IF(H1361="""","""",
SUM(
ARRAYFORMULA(
IF(
REGEXMATCH(
"" ""&amp;H1361&amp;"" "",
"" ""&amp;Sentiment_Words!A$2:A3730&amp;"" ""
),
1,
0
)
)
)
)"),0.0)</f>
        <v>0</v>
      </c>
      <c r="K1361" s="4">
        <f>IFERROR(__xludf.DUMMYFUNCTION("IF(H1361="""","""",
SUM(
ARRAYFORMULA(
IF(
REGEXMATCH(
"" ""&amp;H1361&amp;"" "",
"" ""&amp;Sentiment_Words!B$2:B3730&amp;"" ""
),
1,
0
)
)
)
)"),0.0)</f>
        <v>0</v>
      </c>
      <c r="L1361" s="7" t="str">
        <f t="shared" si="3"/>
        <v>Other</v>
      </c>
      <c r="M1361" s="7" t="str">
        <f t="shared" si="4"/>
        <v>Neutral</v>
      </c>
      <c r="N1361" s="7" t="str">
        <f>IFERROR(__xludf.DUMMYFUNCTION("LOWER(
TRIM(
REGEXREPLACE(B1361,""[^a-zA-Z\s]"","""")
)
)
"),"anonymous")</f>
        <v>anonymous</v>
      </c>
      <c r="O1361" s="7">
        <f t="shared" si="5"/>
        <v>9</v>
      </c>
      <c r="P1361" s="8" t="str">
        <f t="shared" si="6"/>
        <v>Yes</v>
      </c>
    </row>
    <row r="1362">
      <c r="A1362" s="4" t="s">
        <v>16</v>
      </c>
      <c r="B1362" s="4" t="s">
        <v>3858</v>
      </c>
      <c r="C1362" s="5">
        <v>44862.0</v>
      </c>
      <c r="D1362" s="10">
        <v>44863.0</v>
      </c>
      <c r="E1362" s="4" t="s">
        <v>3859</v>
      </c>
      <c r="F1362" s="4" t="s">
        <v>3860</v>
      </c>
      <c r="G1362" s="6" t="str">
        <f>IFERROR(__xludf.DUMMYFUNCTION("REGEXREPLACE(LOWER(F1362),""[^a-z\s]"","""")"),"great product exactly how it was described
works great for my dogs")</f>
        <v>great product exactly how it was described
works great for my dogs</v>
      </c>
      <c r="H1362" s="4" t="str">
        <f t="shared" si="1"/>
        <v>great product exactly how it was described
works great my dogs</v>
      </c>
      <c r="I1362" s="6">
        <f t="shared" si="2"/>
        <v>10</v>
      </c>
      <c r="J1362" s="6">
        <f>IFERROR(__xludf.DUMMYFUNCTION("IF(H1362="""","""",
SUM(
ARRAYFORMULA(
IF(
REGEXMATCH(
"" ""&amp;H1362&amp;"" "",
"" ""&amp;Sentiment_Words!A$2:A3730&amp;"" ""
),
1,
0
)
)
)
)"),1.0)</f>
        <v>1</v>
      </c>
      <c r="K1362" s="4">
        <f>IFERROR(__xludf.DUMMYFUNCTION("IF(H1362="""","""",
SUM(
ARRAYFORMULA(
IF(
REGEXMATCH(
"" ""&amp;H1362&amp;"" "",
"" ""&amp;Sentiment_Words!B$2:B3730&amp;"" ""
),
1,
0
)
)
)
)"),0.0)</f>
        <v>0</v>
      </c>
      <c r="L1362" s="7" t="str">
        <f t="shared" si="3"/>
        <v>Other</v>
      </c>
      <c r="M1362" s="7" t="str">
        <f t="shared" si="4"/>
        <v>Positive</v>
      </c>
      <c r="N1362" s="7" t="str">
        <f>IFERROR(__xludf.DUMMYFUNCTION("LOWER(
TRIM(
REGEXREPLACE(B1362,""[^a-zA-Z\s]"","""")
)
)
"),"marcela reilly")</f>
        <v>marcela reilly</v>
      </c>
      <c r="O1362" s="7">
        <f t="shared" si="5"/>
        <v>1</v>
      </c>
      <c r="P1362" s="8" t="str">
        <f t="shared" si="6"/>
        <v>No</v>
      </c>
    </row>
    <row r="1363">
      <c r="A1363" s="4" t="s">
        <v>16</v>
      </c>
      <c r="B1363" s="4" t="s">
        <v>3861</v>
      </c>
      <c r="C1363" s="5">
        <v>44856.0</v>
      </c>
      <c r="D1363" s="10">
        <v>44857.0</v>
      </c>
      <c r="E1363" s="4" t="s">
        <v>3862</v>
      </c>
      <c r="F1363" s="4" t="s">
        <v>3863</v>
      </c>
      <c r="G1363" s="6" t="str">
        <f>IFERROR(__xludf.DUMMYFUNCTION("REGEXREPLACE(LOWER(F1363),""[^a-z\s]"","""")"),"so glad i found this company products in stock and ships quickly appreciate the great service")</f>
        <v>so glad i found this company products in stock and ships quickly appreciate the great service</v>
      </c>
      <c r="H1363" s="4" t="str">
        <f t="shared" si="1"/>
        <v>so glad i found this company products in stock ships quickly appreciate great service</v>
      </c>
      <c r="I1363" s="6">
        <f t="shared" si="2"/>
        <v>14</v>
      </c>
      <c r="J1363" s="6">
        <f>IFERROR(__xludf.DUMMYFUNCTION("IF(H1363="""","""",
SUM(
ARRAYFORMULA(
IF(
REGEXMATCH(
"" ""&amp;H1363&amp;"" "",
"" ""&amp;Sentiment_Words!A$2:A3730&amp;"" ""
),
1,
0
)
)
)
)"),2.0)</f>
        <v>2</v>
      </c>
      <c r="K1363" s="4">
        <f>IFERROR(__xludf.DUMMYFUNCTION("IF(H1363="""","""",
SUM(
ARRAYFORMULA(
IF(
REGEXMATCH(
"" ""&amp;H1363&amp;"" "",
"" ""&amp;Sentiment_Words!B$2:B3730&amp;"" ""
),
1,
0
)
)
)
)"),0.0)</f>
        <v>0</v>
      </c>
      <c r="L1363" s="7" t="str">
        <f t="shared" si="3"/>
        <v>Customer Support</v>
      </c>
      <c r="M1363" s="7" t="str">
        <f t="shared" si="4"/>
        <v>Positive</v>
      </c>
      <c r="N1363" s="7" t="str">
        <f>IFERROR(__xludf.DUMMYFUNCTION("LOWER(
TRIM(
REGEXREPLACE(B1363,""[^a-zA-Z\s]"","""")
)
)
"),"vickie mullins")</f>
        <v>vickie mullins</v>
      </c>
      <c r="O1363" s="7">
        <f t="shared" si="5"/>
        <v>1</v>
      </c>
      <c r="P1363" s="8" t="str">
        <f t="shared" si="6"/>
        <v>No</v>
      </c>
    </row>
    <row r="1364">
      <c r="A1364" s="4" t="s">
        <v>16</v>
      </c>
      <c r="B1364" s="4" t="s">
        <v>3864</v>
      </c>
      <c r="C1364" s="5">
        <v>44856.0</v>
      </c>
      <c r="D1364" s="10">
        <v>44857.0</v>
      </c>
      <c r="E1364" s="4" t="s">
        <v>3865</v>
      </c>
      <c r="F1364" s="4" t="s">
        <v>3866</v>
      </c>
      <c r="G1364" s="6" t="str">
        <f>IFERROR(__xludf.DUMMYFUNCTION("REGEXREPLACE(LOWER(F1364),""[^a-z\s]"","""")"),"i was never told you did not have the product instock i ordered it and my debit card was charged three days later i was told you were out of stock and refunded me next time tell me you were out of stock and dont make me go through the process of ordering "&amp;"something you clearly dis not have in stock")</f>
        <v>i was never told you did not have the product instock i ordered it and my debit card was charged three days later i was told you were out of stock and refunded me next time tell me you were out of stock and dont make me go through the process of ordering something you clearly dis not have in stock</v>
      </c>
      <c r="H1364" s="4" t="str">
        <f t="shared" si="1"/>
        <v>i was never told you did not have product instock i ordered it my debit card was charged three days later i was told you were out of stock refunded me next time tell me you were out of stock dont make me go through process of ordering something you clearly dis not have in stock</v>
      </c>
      <c r="I1364" s="6">
        <f t="shared" si="2"/>
        <v>56</v>
      </c>
      <c r="J1364" s="6">
        <f>IFERROR(__xludf.DUMMYFUNCTION("IF(H1364="""","""",
SUM(
ARRAYFORMULA(
IF(
REGEXMATCH(
"" ""&amp;H1364&amp;"" "",
"" ""&amp;Sentiment_Words!A$2:A3730&amp;"" ""
),
1,
0
)
)
)
)"),0.0)</f>
        <v>0</v>
      </c>
      <c r="K1364" s="4">
        <f>IFERROR(__xludf.DUMMYFUNCTION("IF(H1364="""","""",
SUM(
ARRAYFORMULA(
IF(
REGEXMATCH(
"" ""&amp;H1364&amp;"" "",
"" ""&amp;Sentiment_Words!B$2:B3730&amp;"" ""
),
1,
0
)
)
)
)"),1.0)</f>
        <v>1</v>
      </c>
      <c r="L1364" s="7" t="str">
        <f t="shared" si="3"/>
        <v>Fulfillment &amp; Shipping</v>
      </c>
      <c r="M1364" s="7" t="str">
        <f t="shared" si="4"/>
        <v>Negative</v>
      </c>
      <c r="N1364" s="7" t="str">
        <f>IFERROR(__xludf.DUMMYFUNCTION("LOWER(
TRIM(
REGEXREPLACE(B1364,""[^a-zA-Z\s]"","""")
)
)
"),"kimberly mcbride")</f>
        <v>kimberly mcbride</v>
      </c>
      <c r="O1364" s="7">
        <f t="shared" si="5"/>
        <v>1</v>
      </c>
      <c r="P1364" s="8" t="str">
        <f t="shared" si="6"/>
        <v>No</v>
      </c>
    </row>
    <row r="1365">
      <c r="A1365" s="4" t="s">
        <v>16</v>
      </c>
      <c r="B1365" s="4" t="s">
        <v>3867</v>
      </c>
      <c r="C1365" s="5">
        <v>44844.0</v>
      </c>
      <c r="D1365" s="10">
        <v>44854.0</v>
      </c>
      <c r="E1365" s="4" t="s">
        <v>3868</v>
      </c>
      <c r="F1365" s="4" t="s">
        <v>3869</v>
      </c>
      <c r="G1365" s="6" t="str">
        <f>IFERROR(__xludf.DUMMYFUNCTION("REGEXREPLACE(LOWER(F1365),""[^a-z\s]"","""")"),"both orders was delivered on time petflow provides a tracker number so that you can track your order items in both boxes came spillproof and dog food bags were tightly sealed petflow also offered me  off both of my boxed items thusfar our house yorkipoo a"&amp;"nd maltese both like the salmon and lentils along with the turkey and sweet potato grainfree dog food glad that i didnt waste my money i have only tried the elanco advantage flea tick shampoo on both dogs and so far it seems to have some works to it but w"&amp;"ith more time im sure it will be much more powerful with lessing their dog itches")</f>
        <v>both orders was delivered on time petflow provides a tracker number so that you can track your order items in both boxes came spillproof and dog food bags were tightly sealed petflow also offered me  off both of my boxed items thusfar our house yorkipoo and maltese both like the salmon and lentils along with the turkey and sweet potato grainfree dog food glad that i didnt waste my money i have only tried the elanco advantage flea tick shampoo on both dogs and so far it seems to have some works to it but with more time im sure it will be much more powerful with lessing their dog itches</v>
      </c>
      <c r="H1365" s="4" t="str">
        <f t="shared" si="1"/>
        <v>both orders was delivered on time petflow provides a tracker number so that you can track your order items in both boxes came spillproof dog food bags were tightly sealed petflow also offered me off both of my boxed items thusfar our house yorkipoo maltese both like salmon lentils along with turkey sweet potato grainfree dog food glad that i didnt waste my money i have only tried elanco advantage flea tick shampoo on both dogs so far it seems have some works it but with more time im sure it will be much more powerful with lessing their dog itches</v>
      </c>
      <c r="I1365" s="6">
        <f t="shared" si="2"/>
        <v>101</v>
      </c>
      <c r="J1365" s="6">
        <f>IFERROR(__xludf.DUMMYFUNCTION("IF(H1365="""","""",
SUM(
ARRAYFORMULA(
IF(
REGEXMATCH(
"" ""&amp;H1365&amp;"" "",
"" ""&amp;Sentiment_Words!A$2:A3730&amp;"" ""
),
1,
0
)
)
)
)"),3.0)</f>
        <v>3</v>
      </c>
      <c r="K1365" s="4">
        <f>IFERROR(__xludf.DUMMYFUNCTION("IF(H1365="""","""",
SUM(
ARRAYFORMULA(
IF(
REGEXMATCH(
"" ""&amp;H1365&amp;"" "",
"" ""&amp;Sentiment_Words!B$2:B3730&amp;"" ""
),
1,
0
)
)
)
)"),0.0)</f>
        <v>0</v>
      </c>
      <c r="L1365" s="7" t="str">
        <f t="shared" si="3"/>
        <v>Other</v>
      </c>
      <c r="M1365" s="7" t="str">
        <f t="shared" si="4"/>
        <v>Positive</v>
      </c>
      <c r="N1365" s="7" t="str">
        <f>IFERROR(__xludf.DUMMYFUNCTION("LOWER(
TRIM(
REGEXREPLACE(B1365,""[^a-zA-Z\s]"","""")
)
)
"),"tam")</f>
        <v>tam</v>
      </c>
      <c r="O1365" s="7">
        <f t="shared" si="5"/>
        <v>1</v>
      </c>
      <c r="P1365" s="8" t="str">
        <f t="shared" si="6"/>
        <v>No</v>
      </c>
    </row>
    <row r="1366">
      <c r="A1366" s="4" t="s">
        <v>16</v>
      </c>
      <c r="B1366" s="4" t="s">
        <v>3870</v>
      </c>
      <c r="C1366" s="5">
        <v>44851.0</v>
      </c>
      <c r="D1366" s="10">
        <v>44852.0</v>
      </c>
      <c r="E1366" s="4" t="s">
        <v>3871</v>
      </c>
      <c r="F1366" s="4" t="s">
        <v>3872</v>
      </c>
      <c r="G1366" s="6" t="str">
        <f>IFERROR(__xludf.DUMMYFUNCTION("REGEXREPLACE(LOWER(F1366),""[^a-z\s]"","""")"),"it is nice product")</f>
        <v>it is nice product</v>
      </c>
      <c r="H1366" s="4" t="str">
        <f t="shared" si="1"/>
        <v>it nice product</v>
      </c>
      <c r="I1366" s="6">
        <f t="shared" si="2"/>
        <v>3</v>
      </c>
      <c r="J1366" s="6">
        <f>IFERROR(__xludf.DUMMYFUNCTION("IF(H1366="""","""",
SUM(
ARRAYFORMULA(
IF(
REGEXMATCH(
"" ""&amp;H1366&amp;"" "",
"" ""&amp;Sentiment_Words!A$2:A3730&amp;"" ""
),
1,
0
)
)
)
)"),0.0)</f>
        <v>0</v>
      </c>
      <c r="K1366" s="4">
        <f>IFERROR(__xludf.DUMMYFUNCTION("IF(H1366="""","""",
SUM(
ARRAYFORMULA(
IF(
REGEXMATCH(
"" ""&amp;H1366&amp;"" "",
"" ""&amp;Sentiment_Words!B$2:B3730&amp;"" ""
),
1,
0
)
)
)
)"),0.0)</f>
        <v>0</v>
      </c>
      <c r="L1366" s="7" t="str">
        <f t="shared" si="3"/>
        <v>Other</v>
      </c>
      <c r="M1366" s="7" t="str">
        <f t="shared" si="4"/>
        <v>Neutral</v>
      </c>
      <c r="N1366" s="7" t="str">
        <f>IFERROR(__xludf.DUMMYFUNCTION("LOWER(
TRIM(
REGEXREPLACE(B1366,""[^a-zA-Z\s]"","""")
)
)
"),"mahmoud alnajar")</f>
        <v>mahmoud alnajar</v>
      </c>
      <c r="O1366" s="7">
        <f t="shared" si="5"/>
        <v>1</v>
      </c>
      <c r="P1366" s="8" t="str">
        <f t="shared" si="6"/>
        <v>No</v>
      </c>
    </row>
    <row r="1367">
      <c r="A1367" s="4" t="s">
        <v>16</v>
      </c>
      <c r="B1367" s="4" t="s">
        <v>3873</v>
      </c>
      <c r="C1367" s="5">
        <v>44834.0</v>
      </c>
      <c r="D1367" s="4" t="s">
        <v>3874</v>
      </c>
      <c r="E1367" s="4" t="s">
        <v>3875</v>
      </c>
      <c r="F1367" s="4" t="s">
        <v>3876</v>
      </c>
      <c r="G1367" s="6" t="str">
        <f>IFERROR(__xludf.DUMMYFUNCTION("REGEXREPLACE(LOWER(F1367),""[^a-z\s]"","""")"),"pet flow kept canceling my order and asking me to resubmit it even though it was out of stock they gave me deep discounts on the order but they were never able to deliver it this is a serious situation because my cat cannot live without her prescription f"&amp;"ood they said a manager would call but they never did i ordered from chewy and they delivered the order within  hours on a weekend thanks to chewy my cat is alive do not order from pet flow they will not fulfill your order they are unprofessional and thei"&amp;"r customer service is the worst i have ever experienced i would give them less than one star but i do not have that option")</f>
        <v>pet flow kept canceling my order and asking me to resubmit it even though it was out of stock they gave me deep discounts on the order but they were never able to deliver it this is a serious situation because my cat cannot live without her prescription food they said a manager would call but they never did i ordered from chewy and they delivered the order within  hours on a weekend thanks to chewy my cat is alive do not order from pet flow they will not fulfill your order they are unprofessional and their customer service is the worst i have ever experienced i would give them less than one star but i do not have that option</v>
      </c>
      <c r="H1367" s="4" t="str">
        <f t="shared" si="1"/>
        <v>pet flow kept canceling my order asking me resubmit it even though it was out of stock they gave me deep discounts on order but they were never able deliver it this a serious situation because my cat cannot live without her prescription food they said a manager would call but they never did i ordered from chewy they delivered order within hours on a weekend thanks chewy my cat alive do not order from pet flow they will not fulfill your order they are unprofessional their customer service worst i have ever experienced i would give them less than one star but i do not have that option</v>
      </c>
      <c r="I1367" s="6">
        <f t="shared" si="2"/>
        <v>109</v>
      </c>
      <c r="J1367" s="6">
        <f>IFERROR(__xludf.DUMMYFUNCTION("IF(H1367="""","""",
SUM(
ARRAYFORMULA(
IF(
REGEXMATCH(
"" ""&amp;H1367&amp;"" "",
"" ""&amp;Sentiment_Words!A$2:A3730&amp;"" ""
),
1,
0
)
)
)
)"),2.0)</f>
        <v>2</v>
      </c>
      <c r="K1367" s="4">
        <f>IFERROR(__xludf.DUMMYFUNCTION("IF(H1367="""","""",
SUM(
ARRAYFORMULA(
IF(
REGEXMATCH(
"" ""&amp;H1367&amp;"" "",
"" ""&amp;Sentiment_Words!B$2:B3730&amp;"" ""
),
1,
0
)
)
)
)"),2.0)</f>
        <v>2</v>
      </c>
      <c r="L1367" s="7" t="str">
        <f t="shared" si="3"/>
        <v>Customer Support</v>
      </c>
      <c r="M1367" s="7" t="str">
        <f t="shared" si="4"/>
        <v>Neutral</v>
      </c>
      <c r="N1367" s="7" t="str">
        <f>IFERROR(__xludf.DUMMYFUNCTION("LOWER(
TRIM(
REGEXREPLACE(B1367,""[^a-zA-Z\s]"","""")
)
)
"),"rita defranco")</f>
        <v>rita defranco</v>
      </c>
      <c r="O1367" s="7">
        <f t="shared" si="5"/>
        <v>1</v>
      </c>
      <c r="P1367" s="8" t="str">
        <f t="shared" si="6"/>
        <v>No</v>
      </c>
    </row>
    <row r="1368">
      <c r="A1368" s="4" t="s">
        <v>16</v>
      </c>
      <c r="B1368" s="4" t="s">
        <v>3877</v>
      </c>
      <c r="C1368" s="5">
        <v>44821.0</v>
      </c>
      <c r="D1368" s="10">
        <v>44833.0</v>
      </c>
      <c r="E1368" s="4" t="s">
        <v>3878</v>
      </c>
      <c r="F1368" s="4" t="s">
        <v>3879</v>
      </c>
      <c r="G1368" s="6" t="str">
        <f>IFERROR(__xludf.DUMMYFUNCTION("REGEXREPLACE(LOWER(F1368),""[^a-z\s]"","""")"),"hello
i really enjoyed the experience of shopping with petflow
at first the purchase was cancelled because the product was out of stock pet flow solved the issue i was informed at every step the prices are very competitive
i can say that petflow is my fav"&amp;"orite store now")</f>
        <v>hello
i really enjoyed the experience of shopping with petflow
at first the purchase was cancelled because the product was out of stock pet flow solved the issue i was informed at every step the prices are very competitive
i can say that petflow is my favorite store now</v>
      </c>
      <c r="H1368" s="4" t="str">
        <f t="shared" si="1"/>
        <v>hello
i really enjoyed experience of shopping with petflow
at first purchase was cancelled because product was out of stock pet flow solved issue i was informed at every step prices are very competitive
i can say that petflow my favorite store now</v>
      </c>
      <c r="I1368" s="6">
        <f t="shared" si="2"/>
        <v>40</v>
      </c>
      <c r="J1368" s="6">
        <f>IFERROR(__xludf.DUMMYFUNCTION("IF(H1368="""","""",
SUM(
ARRAYFORMULA(
IF(
REGEXMATCH(
"" ""&amp;H1368&amp;"" "",
"" ""&amp;Sentiment_Words!A$2:A3730&amp;"" ""
),
1,
0
)
)
)
)"),0.0)</f>
        <v>0</v>
      </c>
      <c r="K1368" s="4">
        <f>IFERROR(__xludf.DUMMYFUNCTION("IF(H1368="""","""",
SUM(
ARRAYFORMULA(
IF(
REGEXMATCH(
"" ""&amp;H1368&amp;"" "",
"" ""&amp;Sentiment_Words!B$2:B3730&amp;"" ""
),
1,
0
)
)
)
)"),3.0)</f>
        <v>3</v>
      </c>
      <c r="L1368" s="7" t="str">
        <f t="shared" si="3"/>
        <v>Availability</v>
      </c>
      <c r="M1368" s="7" t="str">
        <f t="shared" si="4"/>
        <v>Negative</v>
      </c>
      <c r="N1368" s="7" t="str">
        <f>IFERROR(__xludf.DUMMYFUNCTION("LOWER(
TRIM(
REGEXREPLACE(B1368,""[^a-zA-Z\s]"","""")
)
)
"),"jaqueline bugallo pascucci")</f>
        <v>jaqueline bugallo pascucci</v>
      </c>
      <c r="O1368" s="7">
        <f t="shared" si="5"/>
        <v>1</v>
      </c>
      <c r="P1368" s="8" t="str">
        <f t="shared" si="6"/>
        <v>No</v>
      </c>
    </row>
    <row r="1369">
      <c r="A1369" s="4" t="s">
        <v>16</v>
      </c>
      <c r="B1369" s="4" t="s">
        <v>3880</v>
      </c>
      <c r="C1369" s="5">
        <v>44833.0</v>
      </c>
      <c r="D1369" s="10">
        <v>44833.0</v>
      </c>
      <c r="E1369" s="4" t="s">
        <v>3881</v>
      </c>
      <c r="F1369" s="4" t="s">
        <v>3882</v>
      </c>
      <c r="G1369" s="6" t="str">
        <f>IFERROR(__xludf.DUMMYFUNCTION("REGEXREPLACE(LOWER(F1369),""[^a-z\s]"","""")"),"customer service is great delivery is a bit slow order shipped september  and its september th and i still do have my item")</f>
        <v>customer service is great delivery is a bit slow order shipped september  and its september th and i still do have my item</v>
      </c>
      <c r="H1369" s="4" t="str">
        <f t="shared" si="1"/>
        <v>customer service great delivery a bit slow order shipped september its september th i still do have my item</v>
      </c>
      <c r="I1369" s="6">
        <f t="shared" si="2"/>
        <v>19</v>
      </c>
      <c r="J1369" s="6">
        <f>IFERROR(__xludf.DUMMYFUNCTION("IF(H1369="""","""",
SUM(
ARRAYFORMULA(
IF(
REGEXMATCH(
"" ""&amp;H1369&amp;"" "",
"" ""&amp;Sentiment_Words!A$2:A3730&amp;"" ""
),
1,
0
)
)
)
)"),1.0)</f>
        <v>1</v>
      </c>
      <c r="K1369" s="4">
        <f>IFERROR(__xludf.DUMMYFUNCTION("IF(H1369="""","""",
SUM(
ARRAYFORMULA(
IF(
REGEXMATCH(
"" ""&amp;H1369&amp;"" "",
"" ""&amp;Sentiment_Words!B$2:B3730&amp;"" ""
),
1,
0
)
)
)
)"),1.0)</f>
        <v>1</v>
      </c>
      <c r="L1369" s="7" t="str">
        <f t="shared" si="3"/>
        <v>Customer Support</v>
      </c>
      <c r="M1369" s="7" t="str">
        <f t="shared" si="4"/>
        <v>Neutral</v>
      </c>
      <c r="N1369" s="7" t="str">
        <f>IFERROR(__xludf.DUMMYFUNCTION("LOWER(
TRIM(
REGEXREPLACE(B1369,""[^a-zA-Z\s]"","""")
)
)
"),"janesa calone")</f>
        <v>janesa calone</v>
      </c>
      <c r="O1369" s="7">
        <f t="shared" si="5"/>
        <v>1</v>
      </c>
      <c r="P1369" s="8" t="str">
        <f t="shared" si="6"/>
        <v>No</v>
      </c>
    </row>
    <row r="1370">
      <c r="A1370" s="4" t="s">
        <v>16</v>
      </c>
      <c r="B1370" s="4" t="s">
        <v>3883</v>
      </c>
      <c r="C1370" s="5">
        <v>44826.0</v>
      </c>
      <c r="D1370" s="10">
        <v>44833.0</v>
      </c>
      <c r="E1370" s="4" t="s">
        <v>3884</v>
      </c>
      <c r="F1370" s="4" t="s">
        <v>3885</v>
      </c>
      <c r="G1370" s="6" t="str">
        <f>IFERROR(__xludf.DUMMYFUNCTION("REGEXREPLACE(LOWER(F1370),""[^a-z\s]"","""")"),"cheapest place to purchase my dogs fromm dog food and it always arrives on my doorstep fresh i feel confident in purchasing with petflow")</f>
        <v>cheapest place to purchase my dogs fromm dog food and it always arrives on my doorstep fresh i feel confident in purchasing with petflow</v>
      </c>
      <c r="H1370" s="4" t="str">
        <f t="shared" si="1"/>
        <v>cheapest place purchase my dogs fromm dog food it always arrives on my doorstep fresh i feel confident in purchasing with petflow</v>
      </c>
      <c r="I1370" s="6">
        <f t="shared" si="2"/>
        <v>22</v>
      </c>
      <c r="J1370" s="6">
        <f>IFERROR(__xludf.DUMMYFUNCTION("IF(H1370="""","""",
SUM(
ARRAYFORMULA(
IF(
REGEXMATCH(
"" ""&amp;H1370&amp;"" "",
"" ""&amp;Sentiment_Words!A$2:A3730&amp;"" ""
),
1,
0
)
)
)
)"),0.0)</f>
        <v>0</v>
      </c>
      <c r="K1370" s="4">
        <f>IFERROR(__xludf.DUMMYFUNCTION("IF(H1370="""","""",
SUM(
ARRAYFORMULA(
IF(
REGEXMATCH(
"" ""&amp;H1370&amp;"" "",
"" ""&amp;Sentiment_Words!B$2:B3730&amp;"" ""
),
1,
0
)
)
)
)"),0.0)</f>
        <v>0</v>
      </c>
      <c r="L1370" s="7" t="str">
        <f t="shared" si="3"/>
        <v>Other</v>
      </c>
      <c r="M1370" s="7" t="str">
        <f t="shared" si="4"/>
        <v>Neutral</v>
      </c>
      <c r="N1370" s="7" t="str">
        <f>IFERROR(__xludf.DUMMYFUNCTION("LOWER(
TRIM(
REGEXREPLACE(B1370,""[^a-zA-Z\s]"","""")
)
)
"),"d c")</f>
        <v>d c</v>
      </c>
      <c r="O1370" s="7">
        <f t="shared" si="5"/>
        <v>1</v>
      </c>
      <c r="P1370" s="8" t="str">
        <f t="shared" si="6"/>
        <v>No</v>
      </c>
    </row>
    <row r="1371">
      <c r="A1371" s="4" t="s">
        <v>16</v>
      </c>
      <c r="B1371" s="4" t="s">
        <v>3886</v>
      </c>
      <c r="C1371" s="5">
        <v>44827.0</v>
      </c>
      <c r="D1371" s="10">
        <v>44833.0</v>
      </c>
      <c r="E1371" s="4" t="s">
        <v>3887</v>
      </c>
      <c r="F1371" s="4" t="s">
        <v>3888</v>
      </c>
      <c r="G1371" s="6" t="str">
        <f>IFERROR(__xludf.DUMMYFUNCTION("REGEXREPLACE(LOWER(F1371),""[^a-z\s]"","""")"),"i was pleased to find what i needed at a good price but also saw a number of things that were much higher than on other sites my order was shipped within  hrs and arrived in good condition i appreciate the messages keeping me informed every step of the wa"&amp;"y and there are good offers sent to me i would use petflow again")</f>
        <v>i was pleased to find what i needed at a good price but also saw a number of things that were much higher than on other sites my order was shipped within  hrs and arrived in good condition i appreciate the messages keeping me informed every step of the way and there are good offers sent to me i would use petflow again</v>
      </c>
      <c r="H1371" s="4" t="str">
        <f t="shared" si="1"/>
        <v>i was pleased find what i needed at a good price but also saw a number of things that were much higher than on other sites my order was shipped within hrs arrived in good condition i appreciate messages keeping me informed every step of way there are good offers sent me i would use petflow again</v>
      </c>
      <c r="I1371" s="6">
        <f t="shared" si="2"/>
        <v>57</v>
      </c>
      <c r="J1371" s="6">
        <f>IFERROR(__xludf.DUMMYFUNCTION("IF(H1371="""","""",
SUM(
ARRAYFORMULA(
IF(
REGEXMATCH(
"" ""&amp;H1371&amp;"" "",
"" ""&amp;Sentiment_Words!A$2:A3730&amp;"" ""
),
1,
0
)
)
)
)"),1.0)</f>
        <v>1</v>
      </c>
      <c r="K1371" s="4">
        <f>IFERROR(__xludf.DUMMYFUNCTION("IF(H1371="""","""",
SUM(
ARRAYFORMULA(
IF(
REGEXMATCH(
"" ""&amp;H1371&amp;"" "",
"" ""&amp;Sentiment_Words!B$2:B3730&amp;"" ""
),
1,
0
)
)
)
)"),0.0)</f>
        <v>0</v>
      </c>
      <c r="L1371" s="7" t="str">
        <f t="shared" si="3"/>
        <v>Other</v>
      </c>
      <c r="M1371" s="7" t="str">
        <f t="shared" si="4"/>
        <v>Positive</v>
      </c>
      <c r="N1371" s="7" t="str">
        <f>IFERROR(__xludf.DUMMYFUNCTION("LOWER(
TRIM(
REGEXREPLACE(B1371,""[^a-zA-Z\s]"","""")
)
)
"),"rose h arkansas")</f>
        <v>rose h arkansas</v>
      </c>
      <c r="O1371" s="7">
        <f t="shared" si="5"/>
        <v>1</v>
      </c>
      <c r="P1371" s="8" t="str">
        <f t="shared" si="6"/>
        <v>No</v>
      </c>
    </row>
    <row r="1372">
      <c r="A1372" s="4" t="s">
        <v>16</v>
      </c>
      <c r="B1372" s="4" t="s">
        <v>3889</v>
      </c>
      <c r="C1372" s="9">
        <v>44806.0</v>
      </c>
      <c r="D1372" s="10">
        <v>44833.0</v>
      </c>
      <c r="E1372" s="4" t="s">
        <v>3890</v>
      </c>
      <c r="F1372" s="4" t="s">
        <v>3891</v>
      </c>
      <c r="G1372" s="6" t="str">
        <f>IFERROR(__xludf.DUMMYFUNCTION("REGEXREPLACE(LOWER(F1372),""[^a-z\s]"","""")"),"thank goodness for petflow i needed prescription treats i could not find any where even my vets office was out i had not heard of petflow before and you came to me and my lab bellas rescue fast shipping thank you we appreciate you so much we will be back")</f>
        <v>thank goodness for petflow i needed prescription treats i could not find any where even my vets office was out i had not heard of petflow before and you came to me and my lab bellas rescue fast shipping thank you we appreciate you so much we will be back</v>
      </c>
      <c r="H1372" s="4" t="str">
        <f t="shared" si="1"/>
        <v>thank goodness petflow i needed prescription treats i could not find any where even my vets office was out i had not heard of petflow before you came me my lab bellas rescue fast shipping thank you we appreciate you so much we will be back</v>
      </c>
      <c r="I1372" s="6">
        <f t="shared" si="2"/>
        <v>46</v>
      </c>
      <c r="J1372" s="6">
        <f>IFERROR(__xludf.DUMMYFUNCTION("IF(H1372="""","""",
SUM(
ARRAYFORMULA(
IF(
REGEXMATCH(
"" ""&amp;H1372&amp;"" "",
"" ""&amp;Sentiment_Words!A$2:A3730&amp;"" ""
),
1,
0
)
)
)
)"),1.0)</f>
        <v>1</v>
      </c>
      <c r="K1372" s="4">
        <f>IFERROR(__xludf.DUMMYFUNCTION("IF(H1372="""","""",
SUM(
ARRAYFORMULA(
IF(
REGEXMATCH(
"" ""&amp;H1372&amp;"" "",
"" ""&amp;Sentiment_Words!B$2:B3730&amp;"" ""
),
1,
0
)
)
)
)"),0.0)</f>
        <v>0</v>
      </c>
      <c r="L1372" s="7" t="str">
        <f t="shared" si="3"/>
        <v>Other</v>
      </c>
      <c r="M1372" s="7" t="str">
        <f t="shared" si="4"/>
        <v>Positive</v>
      </c>
      <c r="N1372" s="7" t="str">
        <f>IFERROR(__xludf.DUMMYFUNCTION("LOWER(
TRIM(
REGEXREPLACE(B1372,""[^a-zA-Z\s]"","""")
)
)
"),"leroy fhlug")</f>
        <v>leroy fhlug</v>
      </c>
      <c r="O1372" s="7">
        <f t="shared" si="5"/>
        <v>1</v>
      </c>
      <c r="P1372" s="8" t="str">
        <f t="shared" si="6"/>
        <v>No</v>
      </c>
    </row>
    <row r="1373">
      <c r="A1373" s="4" t="s">
        <v>16</v>
      </c>
      <c r="B1373" s="4" t="s">
        <v>3892</v>
      </c>
      <c r="C1373" s="5">
        <v>44828.0</v>
      </c>
      <c r="D1373" s="10">
        <v>44832.0</v>
      </c>
      <c r="E1373" s="4" t="s">
        <v>3893</v>
      </c>
      <c r="F1373" s="4" t="s">
        <v>3894</v>
      </c>
      <c r="G1373" s="6" t="str">
        <f>IFERROR(__xludf.DUMMYFUNCTION("REGEXREPLACE(LOWER(F1373),""[^a-z\s]"","""")"),"an honest informative explanation my cats appreciate it please send me your list of us cat food manufacturers i fiddled with your email until i couldnt view it or print it
thanks")</f>
        <v>an honest informative explanation my cats appreciate it please send me your list of us cat food manufacturers i fiddled with your email until i couldnt view it or print it
thanks</v>
      </c>
      <c r="H1373" s="4" t="str">
        <f t="shared" si="1"/>
        <v>an honest informative explanation my cats appreciate it please send me your list of us cat food manufacturers i fiddled with your email until i couldnt view it or print it
thanks</v>
      </c>
      <c r="I1373" s="6">
        <f t="shared" si="2"/>
        <v>31</v>
      </c>
      <c r="J1373" s="6">
        <f>IFERROR(__xludf.DUMMYFUNCTION("IF(H1373="""","""",
SUM(
ARRAYFORMULA(
IF(
REGEXMATCH(
"" ""&amp;H1373&amp;"" "",
"" ""&amp;Sentiment_Words!A$2:A3730&amp;"" ""
),
1,
0
)
)
)
)"),0.0)</f>
        <v>0</v>
      </c>
      <c r="K1373" s="4">
        <f>IFERROR(__xludf.DUMMYFUNCTION("IF(H1373="""","""",
SUM(
ARRAYFORMULA(
IF(
REGEXMATCH(
"" ""&amp;H1373&amp;"" "",
"" ""&amp;Sentiment_Words!B$2:B3730&amp;"" ""
),
1,
0
)
)
)
)"),0.0)</f>
        <v>0</v>
      </c>
      <c r="L1373" s="7" t="str">
        <f t="shared" si="3"/>
        <v>Other</v>
      </c>
      <c r="M1373" s="7" t="str">
        <f t="shared" si="4"/>
        <v>Neutral</v>
      </c>
      <c r="N1373" s="7" t="str">
        <f>IFERROR(__xludf.DUMMYFUNCTION("LOWER(
TRIM(
REGEXREPLACE(B1373,""[^a-zA-Z\s]"","""")
)
)
"),"charlene gallardo")</f>
        <v>charlene gallardo</v>
      </c>
      <c r="O1373" s="7">
        <f t="shared" si="5"/>
        <v>1</v>
      </c>
      <c r="P1373" s="8" t="str">
        <f t="shared" si="6"/>
        <v>No</v>
      </c>
    </row>
    <row r="1374">
      <c r="A1374" s="4" t="s">
        <v>16</v>
      </c>
      <c r="B1374" s="4" t="s">
        <v>3895</v>
      </c>
      <c r="C1374" s="5">
        <v>44830.0</v>
      </c>
      <c r="D1374" s="10">
        <v>44832.0</v>
      </c>
      <c r="E1374" s="4" t="s">
        <v>3896</v>
      </c>
      <c r="F1374" s="4" t="s">
        <v>3897</v>
      </c>
      <c r="G1374" s="6" t="str">
        <f>IFERROR(__xludf.DUMMYFUNCTION("REGEXREPLACE(LOWER(F1374),""[^a-z\s]"","""")"),"love this cat tower my girls have a great time climbing and lounging its very sturdy and was delivered promptly thank you")</f>
        <v>love this cat tower my girls have a great time climbing and lounging its very sturdy and was delivered promptly thank you</v>
      </c>
      <c r="H1374" s="4" t="str">
        <f t="shared" si="1"/>
        <v>love this cat tower my girls have a great time climbing lounging its very sturdy was delivered promptly thank you</v>
      </c>
      <c r="I1374" s="6">
        <f t="shared" si="2"/>
        <v>20</v>
      </c>
      <c r="J1374" s="6">
        <f>IFERROR(__xludf.DUMMYFUNCTION("IF(H1374="""","""",
SUM(
ARRAYFORMULA(
IF(
REGEXMATCH(
"" ""&amp;H1374&amp;"" "",
"" ""&amp;Sentiment_Words!A$2:A3730&amp;"" ""
),
1,
0
)
)
)
)"),3.0)</f>
        <v>3</v>
      </c>
      <c r="K1374" s="4">
        <f>IFERROR(__xludf.DUMMYFUNCTION("IF(H1374="""","""",
SUM(
ARRAYFORMULA(
IF(
REGEXMATCH(
"" ""&amp;H1374&amp;"" "",
"" ""&amp;Sentiment_Words!B$2:B3730&amp;"" ""
),
1,
0
)
)
)
)"),0.0)</f>
        <v>0</v>
      </c>
      <c r="L1374" s="7" t="str">
        <f t="shared" si="3"/>
        <v>Other</v>
      </c>
      <c r="M1374" s="7" t="str">
        <f t="shared" si="4"/>
        <v>Positive</v>
      </c>
      <c r="N1374" s="7" t="str">
        <f>IFERROR(__xludf.DUMMYFUNCTION("LOWER(
TRIM(
REGEXREPLACE(B1374,""[^a-zA-Z\s]"","""")
)
)
"),"walt hunt")</f>
        <v>walt hunt</v>
      </c>
      <c r="O1374" s="7">
        <f t="shared" si="5"/>
        <v>1</v>
      </c>
      <c r="P1374" s="8" t="str">
        <f t="shared" si="6"/>
        <v>No</v>
      </c>
    </row>
    <row r="1375">
      <c r="A1375" s="4" t="s">
        <v>16</v>
      </c>
      <c r="B1375" s="4" t="s">
        <v>2033</v>
      </c>
      <c r="C1375" s="5">
        <v>44824.0</v>
      </c>
      <c r="D1375" s="10">
        <v>44832.0</v>
      </c>
      <c r="E1375" s="4" t="s">
        <v>3898</v>
      </c>
      <c r="F1375" s="4" t="s">
        <v>3899</v>
      </c>
      <c r="G1375" s="6" t="str">
        <f>IFERROR(__xludf.DUMMYFUNCTION("REGEXREPLACE(LOWER(F1375),""[^a-z\s]"","""")"),"great products and reviews that help pet parents too bad items dont ship during the weekend great products and resources thanks")</f>
        <v>great products and reviews that help pet parents too bad items dont ship during the weekend great products and resources thanks</v>
      </c>
      <c r="H1375" s="4" t="str">
        <f t="shared" si="1"/>
        <v>great products reviews that help pet parents too bad items dont ship during weekend great products resources thanks</v>
      </c>
      <c r="I1375" s="6">
        <f t="shared" si="2"/>
        <v>18</v>
      </c>
      <c r="J1375" s="6">
        <f>IFERROR(__xludf.DUMMYFUNCTION("IF(H1375="""","""",
SUM(
ARRAYFORMULA(
IF(
REGEXMATCH(
"" ""&amp;H1375&amp;"" "",
"" ""&amp;Sentiment_Words!A$2:A3730&amp;"" ""
),
1,
0
)
)
)
)"),1.0)</f>
        <v>1</v>
      </c>
      <c r="K1375" s="4">
        <f>IFERROR(__xludf.DUMMYFUNCTION("IF(H1375="""","""",
SUM(
ARRAYFORMULA(
IF(
REGEXMATCH(
"" ""&amp;H1375&amp;"" "",
"" ""&amp;Sentiment_Words!B$2:B3730&amp;"" ""
),
1,
0
)
)
)
)"),0.0)</f>
        <v>0</v>
      </c>
      <c r="L1375" s="7" t="str">
        <f t="shared" si="3"/>
        <v>Other</v>
      </c>
      <c r="M1375" s="7" t="str">
        <f t="shared" si="4"/>
        <v>Positive</v>
      </c>
      <c r="N1375" s="7" t="str">
        <f>IFERROR(__xludf.DUMMYFUNCTION("LOWER(
TRIM(
REGEXREPLACE(B1375,""[^a-zA-Z\s]"","""")
)
)
"),"ap")</f>
        <v>ap</v>
      </c>
      <c r="O1375" s="7">
        <f t="shared" si="5"/>
        <v>2</v>
      </c>
      <c r="P1375" s="8" t="str">
        <f t="shared" si="6"/>
        <v>Yes</v>
      </c>
    </row>
    <row r="1376">
      <c r="A1376" s="4" t="s">
        <v>16</v>
      </c>
      <c r="B1376" s="4" t="s">
        <v>3900</v>
      </c>
      <c r="C1376" s="5">
        <v>44831.0</v>
      </c>
      <c r="D1376" s="10">
        <v>44832.0</v>
      </c>
      <c r="E1376" s="4" t="s">
        <v>3901</v>
      </c>
      <c r="F1376" s="4" t="s">
        <v>3902</v>
      </c>
      <c r="G1376" s="6" t="str">
        <f>IFERROR(__xludf.DUMMYFUNCTION("REGEXREPLACE(LOWER(F1376),""[^a-z\s]"","""")"),"they were very helpful  my cat food was delivered on time")</f>
        <v>they were very helpful  my cat food was delivered on time</v>
      </c>
      <c r="H1376" s="4" t="str">
        <f t="shared" si="1"/>
        <v>they were very helpful my cat food was delivered on time</v>
      </c>
      <c r="I1376" s="6">
        <f t="shared" si="2"/>
        <v>11</v>
      </c>
      <c r="J1376" s="6">
        <f>IFERROR(__xludf.DUMMYFUNCTION("IF(H1376="""","""",
SUM(
ARRAYFORMULA(
IF(
REGEXMATCH(
"" ""&amp;H1376&amp;"" "",
"" ""&amp;Sentiment_Words!A$2:A3730&amp;"" ""
),
1,
0
)
)
)
)"),3.0)</f>
        <v>3</v>
      </c>
      <c r="K1376" s="4">
        <f>IFERROR(__xludf.DUMMYFUNCTION("IF(H1376="""","""",
SUM(
ARRAYFORMULA(
IF(
REGEXMATCH(
"" ""&amp;H1376&amp;"" "",
"" ""&amp;Sentiment_Words!B$2:B3730&amp;"" ""
),
1,
0
)
)
)
)"),0.0)</f>
        <v>0</v>
      </c>
      <c r="L1376" s="7" t="str">
        <f t="shared" si="3"/>
        <v>Other</v>
      </c>
      <c r="M1376" s="7" t="str">
        <f t="shared" si="4"/>
        <v>Positive</v>
      </c>
      <c r="N1376" s="7" t="str">
        <f>IFERROR(__xludf.DUMMYFUNCTION("LOWER(
TRIM(
REGEXREPLACE(B1376,""[^a-zA-Z\s]"","""")
)
)
"),"daniel glunt")</f>
        <v>daniel glunt</v>
      </c>
      <c r="O1376" s="7">
        <f t="shared" si="5"/>
        <v>1</v>
      </c>
      <c r="P1376" s="8" t="str">
        <f t="shared" si="6"/>
        <v>No</v>
      </c>
    </row>
    <row r="1377">
      <c r="A1377" s="4" t="s">
        <v>16</v>
      </c>
      <c r="B1377" s="4" t="s">
        <v>3903</v>
      </c>
      <c r="C1377" s="5">
        <v>44824.0</v>
      </c>
      <c r="D1377" s="10">
        <v>44832.0</v>
      </c>
      <c r="E1377" s="4" t="s">
        <v>3904</v>
      </c>
      <c r="F1377" s="4" t="s">
        <v>3905</v>
      </c>
      <c r="G1377" s="6" t="str">
        <f>IFERROR(__xludf.DUMMYFUNCTION("REGEXREPLACE(LOWER(F1377),""[^a-z\s]"","""")"),"it took longer that buying it directly or with other companies")</f>
        <v>it took longer that buying it directly or with other companies</v>
      </c>
      <c r="H1377" s="4" t="str">
        <f t="shared" si="1"/>
        <v>it took longer that buying it directly or with other companies</v>
      </c>
      <c r="I1377" s="6">
        <f t="shared" si="2"/>
        <v>11</v>
      </c>
      <c r="J1377" s="6">
        <f>IFERROR(__xludf.DUMMYFUNCTION("IF(H1377="""","""",
SUM(
ARRAYFORMULA(
IF(
REGEXMATCH(
"" ""&amp;H1377&amp;"" "",
"" ""&amp;Sentiment_Words!A$2:A3730&amp;"" ""
),
1,
0
)
)
)
)"),0.0)</f>
        <v>0</v>
      </c>
      <c r="K1377" s="4">
        <f>IFERROR(__xludf.DUMMYFUNCTION("IF(H1377="""","""",
SUM(
ARRAYFORMULA(
IF(
REGEXMATCH(
"" ""&amp;H1377&amp;"" "",
"" ""&amp;Sentiment_Words!B$2:B3730&amp;"" ""
),
1,
0
)
)
)
)"),0.0)</f>
        <v>0</v>
      </c>
      <c r="L1377" s="7" t="str">
        <f t="shared" si="3"/>
        <v>Other</v>
      </c>
      <c r="M1377" s="7" t="str">
        <f t="shared" si="4"/>
        <v>Neutral</v>
      </c>
      <c r="N1377" s="7" t="str">
        <f>IFERROR(__xludf.DUMMYFUNCTION("LOWER(
TRIM(
REGEXREPLACE(B1377,""[^a-zA-Z\s]"","""")
)
)
"),"sue mogle")</f>
        <v>sue mogle</v>
      </c>
      <c r="O1377" s="7">
        <f t="shared" si="5"/>
        <v>1</v>
      </c>
      <c r="P1377" s="8" t="str">
        <f t="shared" si="6"/>
        <v>No</v>
      </c>
    </row>
    <row r="1378">
      <c r="A1378" s="4" t="s">
        <v>16</v>
      </c>
      <c r="B1378" s="4" t="s">
        <v>3906</v>
      </c>
      <c r="C1378" s="5">
        <v>44824.0</v>
      </c>
      <c r="D1378" s="10">
        <v>44832.0</v>
      </c>
      <c r="E1378" s="4" t="s">
        <v>3907</v>
      </c>
      <c r="F1378" s="4" t="s">
        <v>3908</v>
      </c>
      <c r="G1378" s="6" t="str">
        <f>IFERROR(__xludf.DUMMYFUNCTION("REGEXREPLACE(LOWER(F1378),""[^a-z\s]"","""")"),"i have been getting auto deliveries for many years recently went on line to order and set up a new auto delivery for new puppy my ship to address was no longer correct i fixed it went to order the food and it flipped back to the bill to address i fixed it"&amp;" but the order still shipped to wrong address i called and customer service tried to change the delivery address but it still delivered to wrong address i called and the guy said tough luck no way did the system work incorrectly and change my address to t"&amp;"he bill to i still do not have the food i bought some locally the bill to address is  hrs away and i rarely go there i will not be ordering from you guys again not exactly sure of the date")</f>
        <v>i have been getting auto deliveries for many years recently went on line to order and set up a new auto delivery for new puppy my ship to address was no longer correct i fixed it went to order the food and it flipped back to the bill to address i fixed it but the order still shipped to wrong address i called and customer service tried to change the delivery address but it still delivered to wrong address i called and the guy said tough luck no way did the system work incorrectly and change my address to the bill to i still do not have the food i bought some locally the bill to address is  hrs away and i rarely go there i will not be ordering from you guys again not exactly sure of the date</v>
      </c>
      <c r="H1378" s="4" t="str">
        <f t="shared" si="1"/>
        <v>i have been getting auto deliveries many years recently went on line order set up a new auto delivery new puppy my ship address was no longer correct i fixed it went order food it flipped back bill address i fixed it but order still shipped wrong address i called customer service tried change delivery address but it still delivered wrong address i called guy said tough luck no way did system work incorrectly change my address bill i still do not have food i bought some locally bill address hrs away i rarely go there i will not be ordering from you guys again not exactly sure of date</v>
      </c>
      <c r="I1378" s="6">
        <f t="shared" si="2"/>
        <v>110</v>
      </c>
      <c r="J1378" s="6">
        <f>IFERROR(__xludf.DUMMYFUNCTION("IF(H1378="""","""",
SUM(
ARRAYFORMULA(
IF(
REGEXMATCH(
"" ""&amp;H1378&amp;"" "",
"" ""&amp;Sentiment_Words!A$2:A3730&amp;"" ""
),
1,
0
)
)
)
)"),1.0)</f>
        <v>1</v>
      </c>
      <c r="K1378" s="4">
        <f>IFERROR(__xludf.DUMMYFUNCTION("IF(H1378="""","""",
SUM(
ARRAYFORMULA(
IF(
REGEXMATCH(
"" ""&amp;H1378&amp;"" "",
"" ""&amp;Sentiment_Words!B$2:B3730&amp;"" ""
),
1,
0
)
)
)
)"),2.0)</f>
        <v>2</v>
      </c>
      <c r="L1378" s="7" t="str">
        <f t="shared" si="3"/>
        <v>Customer Support</v>
      </c>
      <c r="M1378" s="7" t="str">
        <f t="shared" si="4"/>
        <v>Negative</v>
      </c>
      <c r="N1378" s="7" t="str">
        <f>IFERROR(__xludf.DUMMYFUNCTION("LOWER(
TRIM(
REGEXREPLACE(B1378,""[^a-zA-Z\s]"","""")
)
)
"),"ada frasca")</f>
        <v>ada frasca</v>
      </c>
      <c r="O1378" s="7">
        <f t="shared" si="5"/>
        <v>1</v>
      </c>
      <c r="P1378" s="8" t="str">
        <f t="shared" si="6"/>
        <v>No</v>
      </c>
    </row>
    <row r="1379">
      <c r="A1379" s="4" t="s">
        <v>16</v>
      </c>
      <c r="B1379" s="4" t="s">
        <v>3909</v>
      </c>
      <c r="C1379" s="5">
        <v>44817.0</v>
      </c>
      <c r="D1379" s="10">
        <v>44832.0</v>
      </c>
      <c r="E1379" s="4" t="s">
        <v>3910</v>
      </c>
      <c r="F1379" s="4" t="s">
        <v>3911</v>
      </c>
      <c r="G1379" s="6" t="str">
        <f>IFERROR(__xludf.DUMMYFUNCTION("REGEXREPLACE(LOWER(F1379),""[^a-z\s]"","""")"),"petflow is great i place my order within  days i have dog food sooo convenient to have it shipped right to your door ive been doing business with them now for  years and will continue")</f>
        <v>petflow is great i place my order within  days i have dog food sooo convenient to have it shipped right to your door ive been doing business with them now for  years and will continue</v>
      </c>
      <c r="H1379" s="4" t="str">
        <f t="shared" si="1"/>
        <v>petflow great i place my order within days i have dog food sooo convenient have it shipped right your door ive been doing business with them now years will continue</v>
      </c>
      <c r="I1379" s="6">
        <f t="shared" si="2"/>
        <v>30</v>
      </c>
      <c r="J1379" s="6">
        <f>IFERROR(__xludf.DUMMYFUNCTION("IF(H1379="""","""",
SUM(
ARRAYFORMULA(
IF(
REGEXMATCH(
"" ""&amp;H1379&amp;"" "",
"" ""&amp;Sentiment_Words!A$2:A3730&amp;"" ""
),
1,
0
)
)
)
)"),2.0)</f>
        <v>2</v>
      </c>
      <c r="K1379" s="4">
        <f>IFERROR(__xludf.DUMMYFUNCTION("IF(H1379="""","""",
SUM(
ARRAYFORMULA(
IF(
REGEXMATCH(
"" ""&amp;H1379&amp;"" "",
"" ""&amp;Sentiment_Words!B$2:B3730&amp;"" ""
),
1,
0
)
)
)
)"),0.0)</f>
        <v>0</v>
      </c>
      <c r="L1379" s="7" t="str">
        <f t="shared" si="3"/>
        <v>Value &amp; Convenience</v>
      </c>
      <c r="M1379" s="7" t="str">
        <f t="shared" si="4"/>
        <v>Positive</v>
      </c>
      <c r="N1379" s="7" t="str">
        <f>IFERROR(__xludf.DUMMYFUNCTION("LOWER(
TRIM(
REGEXREPLACE(B1379,""[^a-zA-Z\s]"","""")
)
)
"),"marsha mueller")</f>
        <v>marsha mueller</v>
      </c>
      <c r="O1379" s="7">
        <f t="shared" si="5"/>
        <v>1</v>
      </c>
      <c r="P1379" s="8" t="str">
        <f t="shared" si="6"/>
        <v>No</v>
      </c>
    </row>
    <row r="1380">
      <c r="A1380" s="4" t="s">
        <v>16</v>
      </c>
      <c r="B1380" s="4" t="s">
        <v>3912</v>
      </c>
      <c r="C1380" s="5">
        <v>44831.0</v>
      </c>
      <c r="D1380" s="10">
        <v>44831.0</v>
      </c>
      <c r="E1380" s="4" t="s">
        <v>3166</v>
      </c>
      <c r="F1380" s="4" t="s">
        <v>3913</v>
      </c>
      <c r="G1380" s="6" t="str">
        <f>IFERROR(__xludf.DUMMYFUNCTION("REGEXREPLACE(LOWER(F1380),""[^a-z\s]"","""")"),"if i could give it zero i would they never contacted the vet despite giving them fax phone and email and contacting them on multiple occasions i have a prescription for the same dog food but i tried ordering snacks i have a prescription for the dog food i"&amp;"t works for snacks as well according to my vet petsmart and chewycom still if you require a separate authorization get in touch with my vet i have no trouble reaching mathematician after  days still no authorization")</f>
        <v>if i could give it zero i would they never contacted the vet despite giving them fax phone and email and contacting them on multiple occasions i have a prescription for the same dog food but i tried ordering snacks i have a prescription for the dog food it works for snacks as well according to my vet petsmart and chewycom still if you require a separate authorization get in touch with my vet i have no trouble reaching mathematician after  days still no authorization</v>
      </c>
      <c r="H1380" s="4" t="str">
        <f t="shared" si="1"/>
        <v>if i could give it zero i would they never contacted vet despite giving them fax phone email contacting them on multiple occasions i have a prescription same dog food but i tried ordering snacks i have a prescription dog food it works snacks as well according my vet petsmart chewycom still if you require a separate authorization get in touch with my vet i have no trouble reaching mathematician after days still no authorization</v>
      </c>
      <c r="I1380" s="6">
        <f t="shared" si="2"/>
        <v>75</v>
      </c>
      <c r="J1380" s="6">
        <f>IFERROR(__xludf.DUMMYFUNCTION("IF(H1380="""","""",
SUM(
ARRAYFORMULA(
IF(
REGEXMATCH(
"" ""&amp;H1380&amp;"" "",
"" ""&amp;Sentiment_Words!A$2:A3730&amp;"" ""
),
1,
0
)
)
)
)"),1.0)</f>
        <v>1</v>
      </c>
      <c r="K1380" s="4">
        <f>IFERROR(__xludf.DUMMYFUNCTION("IF(H1380="""","""",
SUM(
ARRAYFORMULA(
IF(
REGEXMATCH(
"" ""&amp;H1380&amp;"" "",
"" ""&amp;Sentiment_Words!B$2:B3730&amp;"" ""
),
1,
0
)
)
)
)"),0.0)</f>
        <v>0</v>
      </c>
      <c r="L1380" s="7" t="str">
        <f t="shared" si="3"/>
        <v>Other</v>
      </c>
      <c r="M1380" s="7" t="str">
        <f t="shared" si="4"/>
        <v>Positive</v>
      </c>
      <c r="N1380" s="7" t="str">
        <f>IFERROR(__xludf.DUMMYFUNCTION("LOWER(
TRIM(
REGEXREPLACE(B1380,""[^a-zA-Z\s]"","""")
)
)
"),"jill")</f>
        <v>jill</v>
      </c>
      <c r="O1380" s="7">
        <f t="shared" si="5"/>
        <v>1</v>
      </c>
      <c r="P1380" s="8" t="str">
        <f t="shared" si="6"/>
        <v>No</v>
      </c>
    </row>
    <row r="1381">
      <c r="A1381" s="4" t="s">
        <v>16</v>
      </c>
      <c r="B1381" s="4" t="s">
        <v>3914</v>
      </c>
      <c r="C1381" s="5">
        <v>44823.0</v>
      </c>
      <c r="D1381" s="10">
        <v>44831.0</v>
      </c>
      <c r="E1381" s="4" t="s">
        <v>3915</v>
      </c>
      <c r="F1381" s="4" t="s">
        <v>3916</v>
      </c>
      <c r="G1381" s="6" t="str">
        <f>IFERROR(__xludf.DUMMYFUNCTION("REGEXREPLACE(LOWER(F1381),""[^a-z\s]"","""")"),"fast shipping and good prices for hard to find dog food")</f>
        <v>fast shipping and good prices for hard to find dog food</v>
      </c>
      <c r="H1381" s="4" t="str">
        <f t="shared" si="1"/>
        <v>fast shipping good prices hard find dog food</v>
      </c>
      <c r="I1381" s="6">
        <f t="shared" si="2"/>
        <v>8</v>
      </c>
      <c r="J1381" s="6">
        <f>IFERROR(__xludf.DUMMYFUNCTION("IF(H1381="""","""",
SUM(
ARRAYFORMULA(
IF(
REGEXMATCH(
"" ""&amp;H1381&amp;"" "",
"" ""&amp;Sentiment_Words!A$2:A3730&amp;"" ""
),
1,
0
)
)
)
)"),2.0)</f>
        <v>2</v>
      </c>
      <c r="K1381" s="4">
        <f>IFERROR(__xludf.DUMMYFUNCTION("IF(H1381="""","""",
SUM(
ARRAYFORMULA(
IF(
REGEXMATCH(
"" ""&amp;H1381&amp;"" "",
"" ""&amp;Sentiment_Words!B$2:B3730&amp;"" ""
),
1,
0
)
)
)
)"),0.0)</f>
        <v>0</v>
      </c>
      <c r="L1381" s="7" t="str">
        <f t="shared" si="3"/>
        <v>Other</v>
      </c>
      <c r="M1381" s="7" t="str">
        <f t="shared" si="4"/>
        <v>Positive</v>
      </c>
      <c r="N1381" s="7" t="str">
        <f>IFERROR(__xludf.DUMMYFUNCTION("LOWER(
TRIM(
REGEXREPLACE(B1381,""[^a-zA-Z\s]"","""")
)
)
"),"ria")</f>
        <v>ria</v>
      </c>
      <c r="O1381" s="7">
        <f t="shared" si="5"/>
        <v>1</v>
      </c>
      <c r="P1381" s="8" t="str">
        <f t="shared" si="6"/>
        <v>No</v>
      </c>
    </row>
    <row r="1382">
      <c r="A1382" s="4" t="s">
        <v>16</v>
      </c>
      <c r="B1382" s="4" t="s">
        <v>3917</v>
      </c>
      <c r="C1382" s="5">
        <v>44830.0</v>
      </c>
      <c r="D1382" s="10">
        <v>44831.0</v>
      </c>
      <c r="E1382" s="4" t="s">
        <v>3918</v>
      </c>
      <c r="F1382" s="4" t="s">
        <v>3919</v>
      </c>
      <c r="G1382" s="6" t="str">
        <f>IFERROR(__xludf.DUMMYFUNCTION("REGEXREPLACE(LOWER(F1382),""[^a-z\s]"","""")"),"great selection timely shipping the boxes are still crap they show up half open beaten up sometimes too small for the bags of food causing them to be ripped open if i could get nutrisource food somewhere convenient i would not use petflow")</f>
        <v>great selection timely shipping the boxes are still crap they show up half open beaten up sometimes too small for the bags of food causing them to be ripped open if i could get nutrisource food somewhere convenient i would not use petflow</v>
      </c>
      <c r="H1382" s="4" t="str">
        <f t="shared" si="1"/>
        <v>great selection timely shipping boxes are still crap they show up half open beaten up sometimes too small bags of food causing them be ripped open if i could get nutrisource food somewhere convenient i would not use petflow</v>
      </c>
      <c r="I1382" s="6">
        <f t="shared" si="2"/>
        <v>39</v>
      </c>
      <c r="J1382" s="6">
        <f>IFERROR(__xludf.DUMMYFUNCTION("IF(H1382="""","""",
SUM(
ARRAYFORMULA(
IF(
REGEXMATCH(
"" ""&amp;H1382&amp;"" "",
"" ""&amp;Sentiment_Words!A$2:A3730&amp;"" ""
),
1,
0
)
)
)
)"),2.0)</f>
        <v>2</v>
      </c>
      <c r="K1382" s="4">
        <f>IFERROR(__xludf.DUMMYFUNCTION("IF(H1382="""","""",
SUM(
ARRAYFORMULA(
IF(
REGEXMATCH(
"" ""&amp;H1382&amp;"" "",
"" ""&amp;Sentiment_Words!B$2:B3730&amp;"" ""
),
1,
0
)
)
)
)"),0.0)</f>
        <v>0</v>
      </c>
      <c r="L1382" s="7" t="str">
        <f t="shared" si="3"/>
        <v>Value &amp; Convenience</v>
      </c>
      <c r="M1382" s="7" t="str">
        <f t="shared" si="4"/>
        <v>Positive</v>
      </c>
      <c r="N1382" s="7" t="str">
        <f>IFERROR(__xludf.DUMMYFUNCTION("LOWER(
TRIM(
REGEXREPLACE(B1382,""[^a-zA-Z\s]"","""")
)
)
"),"ronald garlick")</f>
        <v>ronald garlick</v>
      </c>
      <c r="O1382" s="7">
        <f t="shared" si="5"/>
        <v>1</v>
      </c>
      <c r="P1382" s="8" t="str">
        <f t="shared" si="6"/>
        <v>No</v>
      </c>
    </row>
    <row r="1383">
      <c r="A1383" s="4" t="s">
        <v>16</v>
      </c>
      <c r="B1383" s="4" t="s">
        <v>3920</v>
      </c>
      <c r="C1383" s="5">
        <v>44825.0</v>
      </c>
      <c r="D1383" s="10">
        <v>44831.0</v>
      </c>
      <c r="E1383" s="4" t="s">
        <v>3921</v>
      </c>
      <c r="F1383" s="4" t="s">
        <v>3922</v>
      </c>
      <c r="G1383" s="6" t="str">
        <f>IFERROR(__xludf.DUMMYFUNCTION("REGEXREPLACE(LOWER(F1383),""[^a-z\s]"","""")"),"i ordered some thing and the order was approved by the vet because it was a prescription then i found out five days later that the order was not being fulfilled because it was out of stock it seems as if the company should know what it has and doesnt have"&amp;" in stock before it accepts an order")</f>
        <v>i ordered some thing and the order was approved by the vet because it was a prescription then i found out five days later that the order was not being fulfilled because it was out of stock it seems as if the company should know what it has and doesnt have in stock before it accepts an order</v>
      </c>
      <c r="H1383" s="4" t="str">
        <f t="shared" si="1"/>
        <v>i ordered some thing order was approved by vet because it was a prescription then i found out five days later that order was not being fulfilled because it was out of stock it seems as if company should know what it has doesnt have in stock before it accepts an order</v>
      </c>
      <c r="I1383" s="6">
        <f t="shared" si="2"/>
        <v>52</v>
      </c>
      <c r="J1383" s="6">
        <f>IFERROR(__xludf.DUMMYFUNCTION("IF(H1383="""","""",
SUM(
ARRAYFORMULA(
IF(
REGEXMATCH(
"" ""&amp;H1383&amp;"" "",
"" ""&amp;Sentiment_Words!A$2:A3730&amp;"" ""
),
1,
0
)
)
)
)"),1.0)</f>
        <v>1</v>
      </c>
      <c r="K1383" s="4">
        <f>IFERROR(__xludf.DUMMYFUNCTION("IF(H1383="""","""",
SUM(
ARRAYFORMULA(
IF(
REGEXMATCH(
"" ""&amp;H1383&amp;"" "",
"" ""&amp;Sentiment_Words!B$2:B3730&amp;"" ""
),
1,
0
)
)
)
)"),1.0)</f>
        <v>1</v>
      </c>
      <c r="L1383" s="7" t="str">
        <f t="shared" si="3"/>
        <v>Fulfillment &amp; Shipping</v>
      </c>
      <c r="M1383" s="7" t="str">
        <f t="shared" si="4"/>
        <v>Neutral</v>
      </c>
      <c r="N1383" s="7" t="str">
        <f>IFERROR(__xludf.DUMMYFUNCTION("LOWER(
TRIM(
REGEXREPLACE(B1383,""[^a-zA-Z\s]"","""")
)
)
"),"rick")</f>
        <v>rick</v>
      </c>
      <c r="O1383" s="7">
        <f t="shared" si="5"/>
        <v>1</v>
      </c>
      <c r="P1383" s="8" t="str">
        <f t="shared" si="6"/>
        <v>No</v>
      </c>
    </row>
    <row r="1384">
      <c r="A1384" s="4" t="s">
        <v>16</v>
      </c>
      <c r="B1384" s="4" t="s">
        <v>3923</v>
      </c>
      <c r="C1384" s="5">
        <v>44819.0</v>
      </c>
      <c r="D1384" s="10">
        <v>44831.0</v>
      </c>
      <c r="E1384" s="4" t="s">
        <v>3924</v>
      </c>
      <c r="F1384" s="4" t="s">
        <v>3925</v>
      </c>
      <c r="G1384" s="6" t="str">
        <f>IFERROR(__xludf.DUMMYFUNCTION("REGEXREPLACE(LOWER(F1384),""[^a-z\s]"","""")"),"have spoken to  people to get an order of dry dog food on auto ship to no avail process started late aug with everyone saying it would ship asap i still do not have it i dont understand what the problem is")</f>
        <v>have spoken to  people to get an order of dry dog food on auto ship to no avail process started late aug with everyone saying it would ship asap i still do not have it i dont understand what the problem is</v>
      </c>
      <c r="H1384" s="4" t="str">
        <f t="shared" si="1"/>
        <v>have spoken people get an order of dry dog food on auto ship no avail process started late aug with everyone saying it would ship asap i still do not have it i dont understand what problem</v>
      </c>
      <c r="I1384" s="6">
        <f t="shared" si="2"/>
        <v>37</v>
      </c>
      <c r="J1384" s="6">
        <f>IFERROR(__xludf.DUMMYFUNCTION("IF(H1384="""","""",
SUM(
ARRAYFORMULA(
IF(
REGEXMATCH(
"" ""&amp;H1384&amp;"" "",
"" ""&amp;Sentiment_Words!A$2:A3730&amp;"" ""
),
1,
0
)
)
)
)"),1.0)</f>
        <v>1</v>
      </c>
      <c r="K1384" s="4">
        <f>IFERROR(__xludf.DUMMYFUNCTION("IF(H1384="""","""",
SUM(
ARRAYFORMULA(
IF(
REGEXMATCH(
"" ""&amp;H1384&amp;"" "",
"" ""&amp;Sentiment_Words!B$2:B3730&amp;"" ""
),
1,
0
)
)
)
)"),1.0)</f>
        <v>1</v>
      </c>
      <c r="L1384" s="7" t="str">
        <f t="shared" si="3"/>
        <v>Fulfillment &amp; Shipping</v>
      </c>
      <c r="M1384" s="7" t="str">
        <f t="shared" si="4"/>
        <v>Neutral</v>
      </c>
      <c r="N1384" s="7" t="str">
        <f>IFERROR(__xludf.DUMMYFUNCTION("LOWER(
TRIM(
REGEXREPLACE(B1384,""[^a-zA-Z\s]"","""")
)
)
"),"jennifer abbottwalker")</f>
        <v>jennifer abbottwalker</v>
      </c>
      <c r="O1384" s="7">
        <f t="shared" si="5"/>
        <v>1</v>
      </c>
      <c r="P1384" s="8" t="str">
        <f t="shared" si="6"/>
        <v>No</v>
      </c>
    </row>
    <row r="1385">
      <c r="A1385" s="4" t="s">
        <v>16</v>
      </c>
      <c r="B1385" s="4" t="s">
        <v>3926</v>
      </c>
      <c r="C1385" s="5">
        <v>44801.0</v>
      </c>
      <c r="D1385" s="10">
        <v>44830.0</v>
      </c>
      <c r="E1385" s="4" t="s">
        <v>3927</v>
      </c>
      <c r="F1385" s="4" t="s">
        <v>3928</v>
      </c>
      <c r="G1385" s="6" t="str">
        <f>IFERROR(__xludf.DUMMYFUNCTION("REGEXREPLACE(LOWER(F1385),""[^a-z\s]"","""")"),"my cat needs prescription hills yd after going thru the verification process  stopping my search i was told you couldnt source it wasted time waiting i was informed after the fact wish i had known in the beginning")</f>
        <v>my cat needs prescription hills yd after going thru the verification process  stopping my search i was told you couldnt source it wasted time waiting i was informed after the fact wish i had known in the beginning</v>
      </c>
      <c r="H1385" s="4" t="str">
        <f t="shared" si="1"/>
        <v>my cat needs prescription hills yd after going thru verification process stopping my search i was told you couldnt source it wasted time waiting i was informed after fact wish i had known in beginning</v>
      </c>
      <c r="I1385" s="6">
        <f t="shared" si="2"/>
        <v>35</v>
      </c>
      <c r="J1385" s="6">
        <f>IFERROR(__xludf.DUMMYFUNCTION("IF(H1385="""","""",
SUM(
ARRAYFORMULA(
IF(
REGEXMATCH(
"" ""&amp;H1385&amp;"" "",
"" ""&amp;Sentiment_Words!A$2:A3730&amp;"" ""
),
1,
0
)
)
)
)"),0.0)</f>
        <v>0</v>
      </c>
      <c r="K1385" s="4">
        <f>IFERROR(__xludf.DUMMYFUNCTION("IF(H1385="""","""",
SUM(
ARRAYFORMULA(
IF(
REGEXMATCH(
"" ""&amp;H1385&amp;"" "",
"" ""&amp;Sentiment_Words!B$2:B3730&amp;"" ""
),
1,
0
)
)
)
)"),0.0)</f>
        <v>0</v>
      </c>
      <c r="L1385" s="7" t="str">
        <f t="shared" si="3"/>
        <v>Other</v>
      </c>
      <c r="M1385" s="7" t="str">
        <f t="shared" si="4"/>
        <v>Neutral</v>
      </c>
      <c r="N1385" s="7" t="str">
        <f>IFERROR(__xludf.DUMMYFUNCTION("LOWER(
TRIM(
REGEXREPLACE(B1385,""[^a-zA-Z\s]"","""")
)
)
"),"candee zenklusen")</f>
        <v>candee zenklusen</v>
      </c>
      <c r="O1385" s="7">
        <f t="shared" si="5"/>
        <v>1</v>
      </c>
      <c r="P1385" s="8" t="str">
        <f t="shared" si="6"/>
        <v>No</v>
      </c>
    </row>
    <row r="1386">
      <c r="A1386" s="4" t="s">
        <v>16</v>
      </c>
      <c r="B1386" s="4" t="s">
        <v>3929</v>
      </c>
      <c r="C1386" s="5">
        <v>44823.0</v>
      </c>
      <c r="D1386" s="10">
        <v>44830.0</v>
      </c>
      <c r="E1386" s="4" t="s">
        <v>3930</v>
      </c>
      <c r="F1386" s="4" t="s">
        <v>3931</v>
      </c>
      <c r="G1386" s="6" t="str">
        <f>IFERROR(__xludf.DUMMYFUNCTION("REGEXREPLACE(LOWER(F1386),""[^a-z\s]"","""")"),"ive been using petflow for quite a while now and have had nothing but positive experiences generally i receive my order in about four days or less")</f>
        <v>ive been using petflow for quite a while now and have had nothing but positive experiences generally i receive my order in about four days or less</v>
      </c>
      <c r="H1386" s="4" t="str">
        <f t="shared" si="1"/>
        <v>ive been using petflow quite a while now have had nothing but positive experiences generally i receive my order in about four days or less</v>
      </c>
      <c r="I1386" s="6">
        <f t="shared" si="2"/>
        <v>25</v>
      </c>
      <c r="J1386" s="6">
        <f>IFERROR(__xludf.DUMMYFUNCTION("IF(H1386="""","""",
SUM(
ARRAYFORMULA(
IF(
REGEXMATCH(
"" ""&amp;H1386&amp;"" "",
"" ""&amp;Sentiment_Words!A$2:A3730&amp;"" ""
),
1,
0
)
)
)
)"),0.0)</f>
        <v>0</v>
      </c>
      <c r="K1386" s="4">
        <f>IFERROR(__xludf.DUMMYFUNCTION("IF(H1386="""","""",
SUM(
ARRAYFORMULA(
IF(
REGEXMATCH(
"" ""&amp;H1386&amp;"" "",
"" ""&amp;Sentiment_Words!B$2:B3730&amp;"" ""
),
1,
0
)
)
)
)"),0.0)</f>
        <v>0</v>
      </c>
      <c r="L1386" s="7" t="str">
        <f t="shared" si="3"/>
        <v>Other</v>
      </c>
      <c r="M1386" s="7" t="str">
        <f t="shared" si="4"/>
        <v>Neutral</v>
      </c>
      <c r="N1386" s="7" t="str">
        <f>IFERROR(__xludf.DUMMYFUNCTION("LOWER(
TRIM(
REGEXREPLACE(B1386,""[^a-zA-Z\s]"","""")
)
)
"),"timmy bjorkquist")</f>
        <v>timmy bjorkquist</v>
      </c>
      <c r="O1386" s="7">
        <f t="shared" si="5"/>
        <v>1</v>
      </c>
      <c r="P1386" s="8" t="str">
        <f t="shared" si="6"/>
        <v>No</v>
      </c>
    </row>
    <row r="1387">
      <c r="A1387" s="4" t="s">
        <v>16</v>
      </c>
      <c r="B1387" s="4" t="s">
        <v>3932</v>
      </c>
      <c r="C1387" s="5">
        <v>44819.0</v>
      </c>
      <c r="D1387" s="10">
        <v>44830.0</v>
      </c>
      <c r="E1387" s="4" t="s">
        <v>3933</v>
      </c>
      <c r="F1387" s="4" t="s">
        <v>331</v>
      </c>
      <c r="G1387" s="6" t="str">
        <f>IFERROR(__xludf.DUMMYFUNCTION("REGEXREPLACE(LOWER(F1387),""[^a-z\s]"","""")"),"none")</f>
        <v>none</v>
      </c>
      <c r="H1387" s="4" t="str">
        <f t="shared" si="1"/>
        <v>none</v>
      </c>
      <c r="I1387" s="6">
        <f t="shared" si="2"/>
        <v>1</v>
      </c>
      <c r="J1387" s="6">
        <f>IFERROR(__xludf.DUMMYFUNCTION("IF(H1387="""","""",
SUM(
ARRAYFORMULA(
IF(
REGEXMATCH(
"" ""&amp;H1387&amp;"" "",
"" ""&amp;Sentiment_Words!A$2:A3730&amp;"" ""
),
1,
0
)
)
)
)"),0.0)</f>
        <v>0</v>
      </c>
      <c r="K1387" s="4">
        <f>IFERROR(__xludf.DUMMYFUNCTION("IF(H1387="""","""",
SUM(
ARRAYFORMULA(
IF(
REGEXMATCH(
"" ""&amp;H1387&amp;"" "",
"" ""&amp;Sentiment_Words!B$2:B3730&amp;"" ""
),
1,
0
)
)
)
)"),0.0)</f>
        <v>0</v>
      </c>
      <c r="L1387" s="7" t="str">
        <f t="shared" si="3"/>
        <v>Other</v>
      </c>
      <c r="M1387" s="7" t="str">
        <f t="shared" si="4"/>
        <v>Neutral</v>
      </c>
      <c r="N1387" s="7" t="str">
        <f>IFERROR(__xludf.DUMMYFUNCTION("LOWER(
TRIM(
REGEXREPLACE(B1387,""[^a-zA-Z\s]"","""")
)
)
"),"william g")</f>
        <v>william g</v>
      </c>
      <c r="O1387" s="7">
        <f t="shared" si="5"/>
        <v>1</v>
      </c>
      <c r="P1387" s="8" t="str">
        <f t="shared" si="6"/>
        <v>No</v>
      </c>
    </row>
    <row r="1388">
      <c r="A1388" s="4" t="s">
        <v>16</v>
      </c>
      <c r="B1388" s="4" t="s">
        <v>3934</v>
      </c>
      <c r="C1388" s="5">
        <v>44823.0</v>
      </c>
      <c r="D1388" s="10">
        <v>44830.0</v>
      </c>
      <c r="E1388" s="4" t="s">
        <v>3935</v>
      </c>
      <c r="F1388" s="4" t="s">
        <v>3936</v>
      </c>
      <c r="G1388" s="6" t="str">
        <f>IFERROR(__xludf.DUMMYFUNCTION("REGEXREPLACE(LOWER(F1388),""[^a-z\s]"","""")"),"ordered on  received  via fedex
the box it came in was trashed more than likely from shipping and handling i would suggest using sturdier or reinforced boxes but that probably would add more cost one of the bags was leaking food it seems the bag was not "&amp;"sealed properly at the factory fortunately only a few bits came out of the bag but the freshness of the food is suspect since i dont know how long the bag had been open the packaging is on petflow the open bag is on nutrisource")</f>
        <v>ordered on  received  via fedex
the box it came in was trashed more than likely from shipping and handling i would suggest using sturdier or reinforced boxes but that probably would add more cost one of the bags was leaking food it seems the bag was not sealed properly at the factory fortunately only a few bits came out of the bag but the freshness of the food is suspect since i dont know how long the bag had been open the packaging is on petflow the open bag is on nutrisource</v>
      </c>
      <c r="H1388" s="4" t="str">
        <f t="shared" si="1"/>
        <v>ordered on received via fedex
the box it came in was trashed more than likely from shipping handling i would suggest using sturdier or reinforced boxes but that probably would add more cost one of bags was leaking food it seems bag was not sealed properly at factory fortunately only a few bits came out of bag but freshness of food suspect since i dont know how long bag had been open packaging on petflow open bag on nutrisource</v>
      </c>
      <c r="I1388" s="6">
        <f t="shared" si="2"/>
        <v>78</v>
      </c>
      <c r="J1388" s="6">
        <f>IFERROR(__xludf.DUMMYFUNCTION("IF(H1388="""","""",
SUM(
ARRAYFORMULA(
IF(
REGEXMATCH(
"" ""&amp;H1388&amp;"" "",
"" ""&amp;Sentiment_Words!A$2:A3730&amp;"" ""
),
1,
0
)
)
)
)"),0.0)</f>
        <v>0</v>
      </c>
      <c r="K1388" s="4">
        <f>IFERROR(__xludf.DUMMYFUNCTION("IF(H1388="""","""",
SUM(
ARRAYFORMULA(
IF(
REGEXMATCH(
"" ""&amp;H1388&amp;"" "",
"" ""&amp;Sentiment_Words!B$2:B3730&amp;"" ""
),
1,
0
)
)
)
)"),0.0)</f>
        <v>0</v>
      </c>
      <c r="L1388" s="7" t="str">
        <f t="shared" si="3"/>
        <v>Other</v>
      </c>
      <c r="M1388" s="7" t="str">
        <f t="shared" si="4"/>
        <v>Neutral</v>
      </c>
      <c r="N1388" s="7" t="str">
        <f>IFERROR(__xludf.DUMMYFUNCTION("LOWER(
TRIM(
REGEXREPLACE(B1388,""[^a-zA-Z\s]"","""")
)
)
"),"captain stumpy")</f>
        <v>captain stumpy</v>
      </c>
      <c r="O1388" s="7">
        <f t="shared" si="5"/>
        <v>1</v>
      </c>
      <c r="P1388" s="8" t="str">
        <f t="shared" si="6"/>
        <v>No</v>
      </c>
    </row>
    <row r="1389">
      <c r="A1389" s="4" t="s">
        <v>16</v>
      </c>
      <c r="B1389" s="4" t="s">
        <v>3937</v>
      </c>
      <c r="C1389" s="5">
        <v>44819.0</v>
      </c>
      <c r="D1389" s="10">
        <v>44830.0</v>
      </c>
      <c r="E1389" s="4" t="s">
        <v>3938</v>
      </c>
      <c r="F1389" s="4" t="s">
        <v>3939</v>
      </c>
      <c r="G1389" s="6" t="str">
        <f>IFERROR(__xludf.DUMMYFUNCTION("REGEXREPLACE(LOWER(F1389),""[^a-z\s]"","""")"),"delivery of the product was sloppy
it was raining and the box was left outside where there is a dry place available")</f>
        <v>delivery of the product was sloppy
it was raining and the box was left outside where there is a dry place available</v>
      </c>
      <c r="H1389" s="4" t="str">
        <f t="shared" si="1"/>
        <v>delivery of product was sloppy
it was raining box was left outside where there a dry place available</v>
      </c>
      <c r="I1389" s="6">
        <f t="shared" si="2"/>
        <v>17</v>
      </c>
      <c r="J1389" s="6">
        <f>IFERROR(__xludf.DUMMYFUNCTION("IF(H1389="""","""",
SUM(
ARRAYFORMULA(
IF(
REGEXMATCH(
"" ""&amp;H1389&amp;"" "",
"" ""&amp;Sentiment_Words!A$2:A3730&amp;"" ""
),
1,
0
)
)
)
)"),1.0)</f>
        <v>1</v>
      </c>
      <c r="K1389" s="4">
        <f>IFERROR(__xludf.DUMMYFUNCTION("IF(H1389="""","""",
SUM(
ARRAYFORMULA(
IF(
REGEXMATCH(
"" ""&amp;H1389&amp;"" "",
"" ""&amp;Sentiment_Words!B$2:B3730&amp;"" ""
),
1,
0
)
)
)
)"),0.0)</f>
        <v>0</v>
      </c>
      <c r="L1389" s="7" t="str">
        <f t="shared" si="3"/>
        <v>Other</v>
      </c>
      <c r="M1389" s="7" t="str">
        <f t="shared" si="4"/>
        <v>Positive</v>
      </c>
      <c r="N1389" s="7" t="str">
        <f>IFERROR(__xludf.DUMMYFUNCTION("LOWER(
TRIM(
REGEXREPLACE(B1389,""[^a-zA-Z\s]"","""")
)
)
"),"alexandra parra")</f>
        <v>alexandra parra</v>
      </c>
      <c r="O1389" s="7">
        <f t="shared" si="5"/>
        <v>1</v>
      </c>
      <c r="P1389" s="8" t="str">
        <f t="shared" si="6"/>
        <v>No</v>
      </c>
    </row>
    <row r="1390">
      <c r="A1390" s="4" t="s">
        <v>16</v>
      </c>
      <c r="B1390" s="4" t="s">
        <v>3940</v>
      </c>
      <c r="C1390" s="5">
        <v>44823.0</v>
      </c>
      <c r="D1390" s="10">
        <v>44830.0</v>
      </c>
      <c r="E1390" s="4" t="s">
        <v>3941</v>
      </c>
      <c r="F1390" s="4" t="s">
        <v>3942</v>
      </c>
      <c r="G1390" s="6" t="str">
        <f>IFERROR(__xludf.DUMMYFUNCTION("REGEXREPLACE(LOWER(F1390),""[^a-z\s]"","""")"),"my only complaint is that the bags of dogfood were not packed properly instead of the big  pound bag being in the usual big boxes that it usually arrives in the  pound bag was crammed into the same size box as the  pound bag with the result that the box a"&amp;"rrived in damaged condition and had been taped up along the way i was quite surprised that it the bag and not burst please make sure that your shipping department does not do that again")</f>
        <v>my only complaint is that the bags of dogfood were not packed properly instead of the big  pound bag being in the usual big boxes that it usually arrives in the  pound bag was crammed into the same size box as the  pound bag with the result that the box arrived in damaged condition and had been taped up along the way i was quite surprised that it the bag and not burst please make sure that your shipping department does not do that again</v>
      </c>
      <c r="H1390" s="4" t="str">
        <f t="shared" si="1"/>
        <v>my only complaint that bags of dogfood were not packed properly instead of big pound bag being in usual big boxes that it usually arrives in pound bag was crammed into same size box as pound bag with result that box arrived in damaged condition had been taped up along way i was quite surprised that it bag not burst please make sure that your shipping department does not do that again</v>
      </c>
      <c r="I1390" s="6">
        <f t="shared" si="2"/>
        <v>72</v>
      </c>
      <c r="J1390" s="6">
        <f>IFERROR(__xludf.DUMMYFUNCTION("IF(H1390="""","""",
SUM(
ARRAYFORMULA(
IF(
REGEXMATCH(
"" ""&amp;H1390&amp;"" "",
"" ""&amp;Sentiment_Words!A$2:A3730&amp;"" ""
),
1,
0
)
)
)
)"),0.0)</f>
        <v>0</v>
      </c>
      <c r="K1390" s="4">
        <f>IFERROR(__xludf.DUMMYFUNCTION("IF(H1390="""","""",
SUM(
ARRAYFORMULA(
IF(
REGEXMATCH(
"" ""&amp;H1390&amp;"" "",
"" ""&amp;Sentiment_Words!B$2:B3730&amp;"" ""
),
1,
0
)
)
)
)"),0.0)</f>
        <v>0</v>
      </c>
      <c r="L1390" s="7" t="str">
        <f t="shared" si="3"/>
        <v>Other</v>
      </c>
      <c r="M1390" s="7" t="str">
        <f t="shared" si="4"/>
        <v>Neutral</v>
      </c>
      <c r="N1390" s="7" t="str">
        <f>IFERROR(__xludf.DUMMYFUNCTION("LOWER(
TRIM(
REGEXREPLACE(B1390,""[^a-zA-Z\s]"","""")
)
)
"),"frederic steinhardt")</f>
        <v>frederic steinhardt</v>
      </c>
      <c r="O1390" s="7">
        <f t="shared" si="5"/>
        <v>1</v>
      </c>
      <c r="P1390" s="8" t="str">
        <f t="shared" si="6"/>
        <v>No</v>
      </c>
    </row>
    <row r="1391">
      <c r="A1391" s="4" t="s">
        <v>16</v>
      </c>
      <c r="B1391" s="4" t="s">
        <v>3943</v>
      </c>
      <c r="C1391" s="9">
        <v>44809.0</v>
      </c>
      <c r="D1391" s="10">
        <v>44830.0</v>
      </c>
      <c r="E1391" s="4" t="s">
        <v>3944</v>
      </c>
      <c r="F1391" s="4" t="s">
        <v>3945</v>
      </c>
      <c r="G1391" s="6" t="str">
        <f>IFERROR(__xludf.DUMMYFUNCTION("REGEXREPLACE(LOWER(F1391),""[^a-z\s]"","""")"),"great prices of several items we use thank you")</f>
        <v>great prices of several items we use thank you</v>
      </c>
      <c r="H1391" s="4" t="str">
        <f t="shared" si="1"/>
        <v>great prices of several items we use thank you</v>
      </c>
      <c r="I1391" s="6">
        <f t="shared" si="2"/>
        <v>9</v>
      </c>
      <c r="J1391" s="6">
        <f>IFERROR(__xludf.DUMMYFUNCTION("IF(H1391="""","""",
SUM(
ARRAYFORMULA(
IF(
REGEXMATCH(
"" ""&amp;H1391&amp;"" "",
"" ""&amp;Sentiment_Words!A$2:A3730&amp;"" ""
),
1,
0
)
)
)
)"),1.0)</f>
        <v>1</v>
      </c>
      <c r="K1391" s="4">
        <f>IFERROR(__xludf.DUMMYFUNCTION("IF(H1391="""","""",
SUM(
ARRAYFORMULA(
IF(
REGEXMATCH(
"" ""&amp;H1391&amp;"" "",
"" ""&amp;Sentiment_Words!B$2:B3730&amp;"" ""
),
1,
0
)
)
)
)"),0.0)</f>
        <v>0</v>
      </c>
      <c r="L1391" s="7" t="str">
        <f t="shared" si="3"/>
        <v>Other</v>
      </c>
      <c r="M1391" s="7" t="str">
        <f t="shared" si="4"/>
        <v>Positive</v>
      </c>
      <c r="N1391" s="7" t="str">
        <f>IFERROR(__xludf.DUMMYFUNCTION("LOWER(
TRIM(
REGEXREPLACE(B1391,""[^a-zA-Z\s]"","""")
)
)
"),"jacqui")</f>
        <v>jacqui</v>
      </c>
      <c r="O1391" s="7">
        <f t="shared" si="5"/>
        <v>1</v>
      </c>
      <c r="P1391" s="8" t="str">
        <f t="shared" si="6"/>
        <v>No</v>
      </c>
    </row>
    <row r="1392">
      <c r="A1392" s="4" t="s">
        <v>16</v>
      </c>
      <c r="B1392" s="4" t="s">
        <v>3946</v>
      </c>
      <c r="C1392" s="5">
        <v>44816.0</v>
      </c>
      <c r="D1392" s="10">
        <v>44829.0</v>
      </c>
      <c r="E1392" s="4" t="s">
        <v>3947</v>
      </c>
      <c r="F1392" s="4" t="s">
        <v>3948</v>
      </c>
      <c r="G1392" s="6" t="str">
        <f>IFERROR(__xludf.DUMMYFUNCTION("REGEXREPLACE(LOWER(F1392),""[^a-z\s]"","""")"),"the best prices in stock merchandise and quick shipping would use them again")</f>
        <v>the best prices in stock merchandise and quick shipping would use them again</v>
      </c>
      <c r="H1392" s="4" t="str">
        <f t="shared" si="1"/>
        <v>best prices in stock merchandise quick shipping would use them again</v>
      </c>
      <c r="I1392" s="6">
        <f t="shared" si="2"/>
        <v>11</v>
      </c>
      <c r="J1392" s="6">
        <f>IFERROR(__xludf.DUMMYFUNCTION("IF(H1392="""","""",
SUM(
ARRAYFORMULA(
IF(
REGEXMATCH(
"" ""&amp;H1392&amp;"" "",
"" ""&amp;Sentiment_Words!A$2:A3730&amp;"" ""
),
1,
0
)
)
)
)"),0.0)</f>
        <v>0</v>
      </c>
      <c r="K1392" s="4">
        <f>IFERROR(__xludf.DUMMYFUNCTION("IF(H1392="""","""",
SUM(
ARRAYFORMULA(
IF(
REGEXMATCH(
"" ""&amp;H1392&amp;"" "",
"" ""&amp;Sentiment_Words!B$2:B3730&amp;"" ""
),
1,
0
)
)
)
)"),0.0)</f>
        <v>0</v>
      </c>
      <c r="L1392" s="7" t="str">
        <f t="shared" si="3"/>
        <v>Other</v>
      </c>
      <c r="M1392" s="7" t="str">
        <f t="shared" si="4"/>
        <v>Neutral</v>
      </c>
      <c r="N1392" s="7" t="str">
        <f>IFERROR(__xludf.DUMMYFUNCTION("LOWER(
TRIM(
REGEXREPLACE(B1392,""[^a-zA-Z\s]"","""")
)
)
"),"hofty")</f>
        <v>hofty</v>
      </c>
      <c r="O1392" s="7">
        <f t="shared" si="5"/>
        <v>1</v>
      </c>
      <c r="P1392" s="8" t="str">
        <f t="shared" si="6"/>
        <v>No</v>
      </c>
    </row>
    <row r="1393">
      <c r="A1393" s="4" t="s">
        <v>16</v>
      </c>
      <c r="B1393" s="4" t="s">
        <v>3949</v>
      </c>
      <c r="C1393" s="5">
        <v>44820.0</v>
      </c>
      <c r="D1393" s="10">
        <v>44829.0</v>
      </c>
      <c r="E1393" s="4" t="s">
        <v>3950</v>
      </c>
      <c r="F1393" s="4" t="s">
        <v>3951</v>
      </c>
      <c r="G1393" s="6" t="str">
        <f>IFERROR(__xludf.DUMMYFUNCTION("REGEXREPLACE(LOWER(F1393),""[^a-z\s]"","""")"),"petflow carries fromm healthy weight for senior dogs bandit loves it bandits favorite is treat is the inch pizzle chews he has to have them")</f>
        <v>petflow carries fromm healthy weight for senior dogs bandit loves it bandits favorite is treat is the inch pizzle chews he has to have them</v>
      </c>
      <c r="H1393" s="4" t="str">
        <f t="shared" si="1"/>
        <v>petflow carries fromm healthy weight senior dogs bandit loves it bandits favorite treat inch pizzle chews he has have them</v>
      </c>
      <c r="I1393" s="6">
        <f t="shared" si="2"/>
        <v>20</v>
      </c>
      <c r="J1393" s="6">
        <f>IFERROR(__xludf.DUMMYFUNCTION("IF(H1393="""","""",
SUM(
ARRAYFORMULA(
IF(
REGEXMATCH(
"" ""&amp;H1393&amp;"" "",
"" ""&amp;Sentiment_Words!A$2:A3730&amp;"" ""
),
1,
0
)
)
)
)"),0.0)</f>
        <v>0</v>
      </c>
      <c r="K1393" s="4">
        <f>IFERROR(__xludf.DUMMYFUNCTION("IF(H1393="""","""",
SUM(
ARRAYFORMULA(
IF(
REGEXMATCH(
"" ""&amp;H1393&amp;"" "",
"" ""&amp;Sentiment_Words!B$2:B3730&amp;"" ""
),
1,
0
)
)
)
)"),0.0)</f>
        <v>0</v>
      </c>
      <c r="L1393" s="7" t="str">
        <f t="shared" si="3"/>
        <v>Other</v>
      </c>
      <c r="M1393" s="7" t="str">
        <f t="shared" si="4"/>
        <v>Neutral</v>
      </c>
      <c r="N1393" s="7" t="str">
        <f>IFERROR(__xludf.DUMMYFUNCTION("LOWER(
TRIM(
REGEXREPLACE(B1393,""[^a-zA-Z\s]"","""")
)
)
"),"kimberley lightcap")</f>
        <v>kimberley lightcap</v>
      </c>
      <c r="O1393" s="7">
        <f t="shared" si="5"/>
        <v>1</v>
      </c>
      <c r="P1393" s="8" t="str">
        <f t="shared" si="6"/>
        <v>No</v>
      </c>
    </row>
    <row r="1394">
      <c r="A1394" s="4" t="s">
        <v>16</v>
      </c>
      <c r="B1394" s="4" t="s">
        <v>3952</v>
      </c>
      <c r="C1394" s="5">
        <v>44821.0</v>
      </c>
      <c r="D1394" s="10">
        <v>44829.0</v>
      </c>
      <c r="E1394" s="4" t="s">
        <v>3953</v>
      </c>
      <c r="F1394" s="4" t="s">
        <v>3954</v>
      </c>
      <c r="G1394" s="6" t="str">
        <f>IFERROR(__xludf.DUMMYFUNCTION("REGEXREPLACE(LOWER(F1394),""[^a-z\s]"","""")"),"my order was cancelled without any notification it was a sizeable order on a brand new account but not providing notification was both inconvenient and has left me scrambling
the prices will result in me trying to order from petflow again but the experie"&amp;"nced service to date has not been ideal")</f>
        <v>my order was cancelled without any notification it was a sizeable order on a brand new account but not providing notification was both inconvenient and has left me scrambling
the prices will result in me trying to order from petflow again but the experienced service to date has not been ideal</v>
      </c>
      <c r="H1394" s="4" t="str">
        <f t="shared" si="1"/>
        <v>my order was cancelled without any notification it was a sizeable order on a brand new account but not providing notification was both inconvenient has left me scrambling
the prices will result in me trying order from petflow again but experienced service date has not been ideal</v>
      </c>
      <c r="I1394" s="6">
        <f t="shared" si="2"/>
        <v>46</v>
      </c>
      <c r="J1394" s="6">
        <f>IFERROR(__xludf.DUMMYFUNCTION("IF(H1394="""","""",
SUM(
ARRAYFORMULA(
IF(
REGEXMATCH(
"" ""&amp;H1394&amp;"" "",
"" ""&amp;Sentiment_Words!A$2:A3730&amp;"" ""
),
1,
0
)
)
)
)"),0.0)</f>
        <v>0</v>
      </c>
      <c r="K1394" s="4">
        <f>IFERROR(__xludf.DUMMYFUNCTION("IF(H1394="""","""",
SUM(
ARRAYFORMULA(
IF(
REGEXMATCH(
"" ""&amp;H1394&amp;"" "",
"" ""&amp;Sentiment_Words!B$2:B3730&amp;"" ""
),
1,
0
)
)
)
)"),1.0)</f>
        <v>1</v>
      </c>
      <c r="L1394" s="7" t="str">
        <f t="shared" si="3"/>
        <v>Customer Support</v>
      </c>
      <c r="M1394" s="7" t="str">
        <f t="shared" si="4"/>
        <v>Negative</v>
      </c>
      <c r="N1394" s="7" t="str">
        <f>IFERROR(__xludf.DUMMYFUNCTION("LOWER(
TRIM(
REGEXREPLACE(B1394,""[^a-zA-Z\s]"","""")
)
)
"),"brenda mitchell")</f>
        <v>brenda mitchell</v>
      </c>
      <c r="O1394" s="7">
        <f t="shared" si="5"/>
        <v>1</v>
      </c>
      <c r="P1394" s="8" t="str">
        <f t="shared" si="6"/>
        <v>No</v>
      </c>
    </row>
    <row r="1395">
      <c r="A1395" s="4" t="s">
        <v>16</v>
      </c>
      <c r="B1395" s="4" t="s">
        <v>3955</v>
      </c>
      <c r="C1395" s="5">
        <v>44826.0</v>
      </c>
      <c r="D1395" s="10">
        <v>44829.0</v>
      </c>
      <c r="E1395" s="4" t="s">
        <v>3956</v>
      </c>
      <c r="F1395" s="4" t="s">
        <v>3957</v>
      </c>
      <c r="G1395" s="6" t="str">
        <f>IFERROR(__xludf.DUMMYFUNCTION("REGEXREPLACE(LOWER(F1395),""[^a-z\s]"","""")"),"i appreciate the discount and sales offered to your large selection of product my items arrive carefully packed and i have yet to receive one dented can or damaged item keep doing what your doing")</f>
        <v>i appreciate the discount and sales offered to your large selection of product my items arrive carefully packed and i have yet to receive one dented can or damaged item keep doing what your doing</v>
      </c>
      <c r="H1395" s="4" t="str">
        <f t="shared" si="1"/>
        <v>i appreciate discount sales offered your large selection of product my items arrive carefully packed i have yet receive one dented can or damaged item keep doing what your doing</v>
      </c>
      <c r="I1395" s="6">
        <f t="shared" si="2"/>
        <v>30</v>
      </c>
      <c r="J1395" s="6">
        <f>IFERROR(__xludf.DUMMYFUNCTION("IF(H1395="""","""",
SUM(
ARRAYFORMULA(
IF(
REGEXMATCH(
"" ""&amp;H1395&amp;"" "",
"" ""&amp;Sentiment_Words!A$2:A3730&amp;"" ""
),
1,
0
)
)
)
)"),0.0)</f>
        <v>0</v>
      </c>
      <c r="K1395" s="4">
        <f>IFERROR(__xludf.DUMMYFUNCTION("IF(H1395="""","""",
SUM(
ARRAYFORMULA(
IF(
REGEXMATCH(
"" ""&amp;H1395&amp;"" "",
"" ""&amp;Sentiment_Words!B$2:B3730&amp;"" ""
),
1,
0
)
)
)
)"),0.0)</f>
        <v>0</v>
      </c>
      <c r="L1395" s="7" t="str">
        <f t="shared" si="3"/>
        <v>Other</v>
      </c>
      <c r="M1395" s="7" t="str">
        <f t="shared" si="4"/>
        <v>Neutral</v>
      </c>
      <c r="N1395" s="7" t="str">
        <f>IFERROR(__xludf.DUMMYFUNCTION("LOWER(
TRIM(
REGEXREPLACE(B1395,""[^a-zA-Z\s]"","""")
)
)
"),"hma")</f>
        <v>hma</v>
      </c>
      <c r="O1395" s="7">
        <f t="shared" si="5"/>
        <v>1</v>
      </c>
      <c r="P1395" s="8" t="str">
        <f t="shared" si="6"/>
        <v>No</v>
      </c>
    </row>
    <row r="1396">
      <c r="A1396" s="4" t="s">
        <v>16</v>
      </c>
      <c r="B1396" s="4" t="s">
        <v>3958</v>
      </c>
      <c r="C1396" s="5">
        <v>44816.0</v>
      </c>
      <c r="D1396" s="10">
        <v>44829.0</v>
      </c>
      <c r="E1396" s="4" t="s">
        <v>3959</v>
      </c>
      <c r="F1396" s="4" t="s">
        <v>3960</v>
      </c>
      <c r="G1396" s="6" t="str">
        <f>IFERROR(__xludf.DUMMYFUNCTION("REGEXREPLACE(LOWER(F1396),""[^a-z\s]"","""")"),"stop accepting orders for items you do not have in stock this has happened twice now")</f>
        <v>stop accepting orders for items you do not have in stock this has happened twice now</v>
      </c>
      <c r="H1396" s="4" t="str">
        <f t="shared" si="1"/>
        <v>stop accepting orders items you do not have in stock this has happened twice now</v>
      </c>
      <c r="I1396" s="6">
        <f t="shared" si="2"/>
        <v>15</v>
      </c>
      <c r="J1396" s="6">
        <f>IFERROR(__xludf.DUMMYFUNCTION("IF(H1396="""","""",
SUM(
ARRAYFORMULA(
IF(
REGEXMATCH(
"" ""&amp;H1396&amp;"" "",
"" ""&amp;Sentiment_Words!A$2:A3730&amp;"" ""
),
1,
0
)
)
)
)"),0.0)</f>
        <v>0</v>
      </c>
      <c r="K1396" s="4">
        <f>IFERROR(__xludf.DUMMYFUNCTION("IF(H1396="""","""",
SUM(
ARRAYFORMULA(
IF(
REGEXMATCH(
"" ""&amp;H1396&amp;"" "",
"" ""&amp;Sentiment_Words!B$2:B3730&amp;"" ""
),
1,
0
)
)
)
)"),0.0)</f>
        <v>0</v>
      </c>
      <c r="L1396" s="7" t="str">
        <f t="shared" si="3"/>
        <v>Other</v>
      </c>
      <c r="M1396" s="7" t="str">
        <f t="shared" si="4"/>
        <v>Neutral</v>
      </c>
      <c r="N1396" s="7" t="str">
        <f>IFERROR(__xludf.DUMMYFUNCTION("LOWER(
TRIM(
REGEXREPLACE(B1396,""[^a-zA-Z\s]"","""")
)
)
"),"siameez")</f>
        <v>siameez</v>
      </c>
      <c r="O1396" s="7">
        <f t="shared" si="5"/>
        <v>1</v>
      </c>
      <c r="P1396" s="8" t="str">
        <f t="shared" si="6"/>
        <v>No</v>
      </c>
    </row>
    <row r="1397">
      <c r="A1397" s="4" t="s">
        <v>16</v>
      </c>
      <c r="B1397" s="4" t="s">
        <v>3961</v>
      </c>
      <c r="C1397" s="5">
        <v>44828.0</v>
      </c>
      <c r="D1397" s="10">
        <v>44829.0</v>
      </c>
      <c r="E1397" s="4" t="s">
        <v>3962</v>
      </c>
      <c r="F1397" s="4" t="s">
        <v>3963</v>
      </c>
      <c r="G1397" s="6" t="str">
        <f>IFERROR(__xludf.DUMMYFUNCTION("REGEXREPLACE(LOWER(F1397),""[^a-z\s]"","""")"),"always a great experience with petflow product is of great quality and ships fast only place i can find these ears in bulk")</f>
        <v>always a great experience with petflow product is of great quality and ships fast only place i can find these ears in bulk</v>
      </c>
      <c r="H1397" s="4" t="str">
        <f t="shared" si="1"/>
        <v>always a great experience with petflow product of great quality ships fast only place i can find these ears in bulk</v>
      </c>
      <c r="I1397" s="6">
        <f t="shared" si="2"/>
        <v>21</v>
      </c>
      <c r="J1397" s="6">
        <f>IFERROR(__xludf.DUMMYFUNCTION("IF(H1397="""","""",
SUM(
ARRAYFORMULA(
IF(
REGEXMATCH(
"" ""&amp;H1397&amp;"" "",
"" ""&amp;Sentiment_Words!A$2:A3730&amp;"" ""
),
1,
0
)
)
)
)"),2.0)</f>
        <v>2</v>
      </c>
      <c r="K1397" s="4">
        <f>IFERROR(__xludf.DUMMYFUNCTION("IF(H1397="""","""",
SUM(
ARRAYFORMULA(
IF(
REGEXMATCH(
"" ""&amp;H1397&amp;"" "",
"" ""&amp;Sentiment_Words!B$2:B3730&amp;"" ""
),
1,
0
)
)
)
)"),0.0)</f>
        <v>0</v>
      </c>
      <c r="L1397" s="7" t="str">
        <f t="shared" si="3"/>
        <v>Other</v>
      </c>
      <c r="M1397" s="7" t="str">
        <f t="shared" si="4"/>
        <v>Positive</v>
      </c>
      <c r="N1397" s="7" t="str">
        <f>IFERROR(__xludf.DUMMYFUNCTION("LOWER(
TRIM(
REGEXREPLACE(B1397,""[^a-zA-Z\s]"","""")
)
)
"),"steven ganung")</f>
        <v>steven ganung</v>
      </c>
      <c r="O1397" s="7">
        <f t="shared" si="5"/>
        <v>1</v>
      </c>
      <c r="P1397" s="8" t="str">
        <f t="shared" si="6"/>
        <v>No</v>
      </c>
    </row>
    <row r="1398">
      <c r="A1398" s="4" t="s">
        <v>16</v>
      </c>
      <c r="B1398" s="4" t="s">
        <v>3964</v>
      </c>
      <c r="C1398" s="5">
        <v>44820.0</v>
      </c>
      <c r="D1398" s="10">
        <v>44829.0</v>
      </c>
      <c r="E1398" s="4" t="s">
        <v>3965</v>
      </c>
      <c r="F1398" s="4" t="s">
        <v>3966</v>
      </c>
      <c r="G1398" s="6" t="str">
        <f>IFERROR(__xludf.DUMMYFUNCTION("REGEXREPLACE(LOWER(F1398),""[^a-z\s]"","""")"),"my dog food order arrived with  exploded and dented cans petflows  email reply was to tell me they will credit my card  today is  and my card has yet to be credited i am not happy about this order number  placed on ")</f>
        <v>my dog food order arrived with  exploded and dented cans petflows  email reply was to tell me they will credit my card  today is  and my card has yet to be credited i am not happy about this order number  placed on </v>
      </c>
      <c r="H1398" s="4" t="str">
        <f t="shared" si="1"/>
        <v>my dog food order arrived with exploded dented cans petflows email reply was tell me they will credit my card today my card has yet be credited i am not happy about this order number placed on</v>
      </c>
      <c r="I1398" s="6">
        <f t="shared" si="2"/>
        <v>37</v>
      </c>
      <c r="J1398" s="6">
        <f>IFERROR(__xludf.DUMMYFUNCTION("IF(H1398="""","""",
SUM(
ARRAYFORMULA(
IF(
REGEXMATCH(
"" ""&amp;H1398&amp;"" "",
"" ""&amp;Sentiment_Words!A$2:A3730&amp;"" ""
),
1,
0
)
)
)
)"),1.0)</f>
        <v>1</v>
      </c>
      <c r="K1398" s="4">
        <f>IFERROR(__xludf.DUMMYFUNCTION("IF(H1398="""","""",
SUM(
ARRAYFORMULA(
IF(
REGEXMATCH(
"" ""&amp;H1398&amp;"" "",
"" ""&amp;Sentiment_Words!B$2:B3730&amp;"" ""
),
1,
0
)
)
)
)"),0.0)</f>
        <v>0</v>
      </c>
      <c r="L1398" s="7" t="str">
        <f t="shared" si="3"/>
        <v>Other</v>
      </c>
      <c r="M1398" s="7" t="str">
        <f t="shared" si="4"/>
        <v>Positive</v>
      </c>
      <c r="N1398" s="7" t="str">
        <f>IFERROR(__xludf.DUMMYFUNCTION("LOWER(
TRIM(
REGEXREPLACE(B1398,""[^a-zA-Z\s]"","""")
)
)
"),"jennifer schilling")</f>
        <v>jennifer schilling</v>
      </c>
      <c r="O1398" s="7">
        <f t="shared" si="5"/>
        <v>1</v>
      </c>
      <c r="P1398" s="8" t="str">
        <f t="shared" si="6"/>
        <v>No</v>
      </c>
    </row>
    <row r="1399">
      <c r="A1399" s="4" t="s">
        <v>16</v>
      </c>
      <c r="B1399" s="4" t="s">
        <v>1875</v>
      </c>
      <c r="C1399" s="5">
        <v>44816.0</v>
      </c>
      <c r="D1399" s="10">
        <v>44829.0</v>
      </c>
      <c r="E1399" s="4" t="s">
        <v>3967</v>
      </c>
      <c r="F1399" s="4" t="s">
        <v>3968</v>
      </c>
      <c r="G1399" s="6" t="str">
        <f>IFERROR(__xludf.DUMMYFUNCTION("REGEXREPLACE(LOWER(F1399),""[^a-z\s]"","""")"),"first time using petflow and im happy with the service i now have autoship with them used chewy autoship in the past but their service has become unreliable in past few months petflow was able to supply prescription food that was out of stock at chewy")</f>
        <v>first time using petflow and im happy with the service i now have autoship with them used chewy autoship in the past but their service has become unreliable in past few months petflow was able to supply prescription food that was out of stock at chewy</v>
      </c>
      <c r="H1399" s="4" t="str">
        <f t="shared" si="1"/>
        <v>first time using petflow im happy with service i now have autoship with them used chewy autoship in past but their service has become unreliable in past few months petflow was able supply prescription food that was out of stock at chewy</v>
      </c>
      <c r="I1399" s="6">
        <f t="shared" si="2"/>
        <v>42</v>
      </c>
      <c r="J1399" s="6">
        <f>IFERROR(__xludf.DUMMYFUNCTION("IF(H1399="""","""",
SUM(
ARRAYFORMULA(
IF(
REGEXMATCH(
"" ""&amp;H1399&amp;"" "",
"" ""&amp;Sentiment_Words!A$2:A3730&amp;"" ""
),
1,
0
)
)
)
)"),2.0)</f>
        <v>2</v>
      </c>
      <c r="K1399" s="4">
        <f>IFERROR(__xludf.DUMMYFUNCTION("IF(H1399="""","""",
SUM(
ARRAYFORMULA(
IF(
REGEXMATCH(
"" ""&amp;H1399&amp;"" "",
"" ""&amp;Sentiment_Words!B$2:B3730&amp;"" ""
),
1,
0
)
)
)
)"),1.0)</f>
        <v>1</v>
      </c>
      <c r="L1399" s="7" t="str">
        <f t="shared" si="3"/>
        <v>Customer Support</v>
      </c>
      <c r="M1399" s="7" t="str">
        <f t="shared" si="4"/>
        <v>Positive</v>
      </c>
      <c r="N1399" s="7" t="str">
        <f>IFERROR(__xludf.DUMMYFUNCTION("LOWER(
TRIM(
REGEXREPLACE(B1399,""[^a-zA-Z\s]"","""")
)
)
"),"pamela")</f>
        <v>pamela</v>
      </c>
      <c r="O1399" s="7">
        <f t="shared" si="5"/>
        <v>3</v>
      </c>
      <c r="P1399" s="8" t="str">
        <f t="shared" si="6"/>
        <v>Yes</v>
      </c>
    </row>
    <row r="1400">
      <c r="A1400" s="4" t="s">
        <v>16</v>
      </c>
      <c r="B1400" s="4" t="s">
        <v>3969</v>
      </c>
      <c r="C1400" s="5">
        <v>44818.0</v>
      </c>
      <c r="D1400" s="10">
        <v>44828.0</v>
      </c>
      <c r="E1400" s="4" t="s">
        <v>3970</v>
      </c>
      <c r="F1400" s="4" t="s">
        <v>3971</v>
      </c>
      <c r="G1400" s="6" t="str">
        <f>IFERROR(__xludf.DUMMYFUNCTION("REGEXREPLACE(LOWER(F1400),""[^a-z\s]"","""")"),"products and pricing are wonderful shipping is slow compared to chewy thats the only downfall")</f>
        <v>products and pricing are wonderful shipping is slow compared to chewy thats the only downfall</v>
      </c>
      <c r="H1400" s="4" t="str">
        <f t="shared" si="1"/>
        <v>products pricing are wonderful shipping slow compared chewy thats only downfall</v>
      </c>
      <c r="I1400" s="6">
        <f t="shared" si="2"/>
        <v>11</v>
      </c>
      <c r="J1400" s="6">
        <f>IFERROR(__xludf.DUMMYFUNCTION("IF(H1400="""","""",
SUM(
ARRAYFORMULA(
IF(
REGEXMATCH(
"" ""&amp;H1400&amp;"" "",
"" ""&amp;Sentiment_Words!A$2:A3730&amp;"" ""
),
1,
0
)
)
)
)"),1.0)</f>
        <v>1</v>
      </c>
      <c r="K1400" s="4">
        <f>IFERROR(__xludf.DUMMYFUNCTION("IF(H1400="""","""",
SUM(
ARRAYFORMULA(
IF(
REGEXMATCH(
"" ""&amp;H1400&amp;"" "",
"" ""&amp;Sentiment_Words!B$2:B3730&amp;"" ""
),
1,
0
)
)
)
)"),0.0)</f>
        <v>0</v>
      </c>
      <c r="L1400" s="7" t="str">
        <f t="shared" si="3"/>
        <v>Other</v>
      </c>
      <c r="M1400" s="7" t="str">
        <f t="shared" si="4"/>
        <v>Positive</v>
      </c>
      <c r="N1400" s="7" t="str">
        <f>IFERROR(__xludf.DUMMYFUNCTION("LOWER(
TRIM(
REGEXREPLACE(B1400,""[^a-zA-Z\s]"","""")
)
)
"),"donna m")</f>
        <v>donna m</v>
      </c>
      <c r="O1400" s="7">
        <f t="shared" si="5"/>
        <v>1</v>
      </c>
      <c r="P1400" s="8" t="str">
        <f t="shared" si="6"/>
        <v>No</v>
      </c>
    </row>
    <row r="1401">
      <c r="A1401" s="4" t="s">
        <v>16</v>
      </c>
      <c r="B1401" s="4" t="s">
        <v>3972</v>
      </c>
      <c r="C1401" s="9">
        <v>44811.0</v>
      </c>
      <c r="D1401" s="10">
        <v>44828.0</v>
      </c>
      <c r="E1401" s="4" t="s">
        <v>3973</v>
      </c>
      <c r="F1401" s="4" t="s">
        <v>3974</v>
      </c>
      <c r="G1401" s="6" t="str">
        <f>IFERROR(__xludf.DUMMYFUNCTION("REGEXREPLACE(LOWER(F1401),""[^a-z\s]"","""")"),"orders are not packed properly and arrive dented this is not the first time customer service did in fact send me a new oder")</f>
        <v>orders are not packed properly and arrive dented this is not the first time customer service did in fact send me a new oder</v>
      </c>
      <c r="H1401" s="4" t="str">
        <f t="shared" si="1"/>
        <v>orders are not packed properly arrive dented this not first time customer service did in fact send me a new oder</v>
      </c>
      <c r="I1401" s="6">
        <f t="shared" si="2"/>
        <v>21</v>
      </c>
      <c r="J1401" s="6">
        <f>IFERROR(__xludf.DUMMYFUNCTION("IF(H1401="""","""",
SUM(
ARRAYFORMULA(
IF(
REGEXMATCH(
"" ""&amp;H1401&amp;"" "",
"" ""&amp;Sentiment_Words!A$2:A3730&amp;"" ""
),
1,
0
)
)
)
)"),0.0)</f>
        <v>0</v>
      </c>
      <c r="K1401" s="4">
        <f>IFERROR(__xludf.DUMMYFUNCTION("IF(H1401="""","""",
SUM(
ARRAYFORMULA(
IF(
REGEXMATCH(
"" ""&amp;H1401&amp;"" "",
"" ""&amp;Sentiment_Words!B$2:B3730&amp;"" ""
),
1,
0
)
)
)
)"),1.0)</f>
        <v>1</v>
      </c>
      <c r="L1401" s="7" t="str">
        <f t="shared" si="3"/>
        <v>Customer Support</v>
      </c>
      <c r="M1401" s="7" t="str">
        <f t="shared" si="4"/>
        <v>Negative</v>
      </c>
      <c r="N1401" s="7" t="str">
        <f>IFERROR(__xludf.DUMMYFUNCTION("LOWER(
TRIM(
REGEXREPLACE(B1401,""[^a-zA-Z\s]"","""")
)
)
"),"jborine")</f>
        <v>jborine</v>
      </c>
      <c r="O1401" s="7">
        <f t="shared" si="5"/>
        <v>1</v>
      </c>
      <c r="P1401" s="8" t="str">
        <f t="shared" si="6"/>
        <v>No</v>
      </c>
    </row>
    <row r="1402">
      <c r="A1402" s="4" t="s">
        <v>16</v>
      </c>
      <c r="B1402" s="4" t="s">
        <v>3975</v>
      </c>
      <c r="C1402" s="5">
        <v>44827.0</v>
      </c>
      <c r="D1402" s="10">
        <v>44828.0</v>
      </c>
      <c r="E1402" s="4" t="s">
        <v>3976</v>
      </c>
      <c r="F1402" s="4" t="s">
        <v>3977</v>
      </c>
      <c r="G1402" s="6" t="str">
        <f>IFERROR(__xludf.DUMMYFUNCTION("REGEXREPLACE(LOWER(F1402),""[^a-z\s]"","""")"),"it was entirely on me to send a prescription the order was sat on for weeks and eventually was cancelled without me asking for it now your site shows its out of stock just literally the worst order ive tried to place for prescription food  for which my ca"&amp;"t has had to go without because i kept trying to actually get my damn order filled jfc")</f>
        <v>it was entirely on me to send a prescription the order was sat on for weeks and eventually was cancelled without me asking for it now your site shows its out of stock just literally the worst order ive tried to place for prescription food  for which my cat has had to go without because i kept trying to actually get my damn order filled jfc</v>
      </c>
      <c r="H1402" s="4" t="str">
        <f t="shared" si="1"/>
        <v>it was entirely on me send a prescription order was sat on weeks eventually was cancelled without me asking it now your site shows its out of stock just literally worst order ive tried place prescription food which my cat has had go without because i kept trying actually get my damn order filled jfc</v>
      </c>
      <c r="I1402" s="6">
        <f t="shared" si="2"/>
        <v>55</v>
      </c>
      <c r="J1402" s="6">
        <f>IFERROR(__xludf.DUMMYFUNCTION("IF(H1402="""","""",
SUM(
ARRAYFORMULA(
IF(
REGEXMATCH(
"" ""&amp;H1402&amp;"" "",
"" ""&amp;Sentiment_Words!A$2:A3730&amp;"" ""
),
1,
0
)
)
)
)"),0.0)</f>
        <v>0</v>
      </c>
      <c r="K1402" s="4">
        <f>IFERROR(__xludf.DUMMYFUNCTION("IF(H1402="""","""",
SUM(
ARRAYFORMULA(
IF(
REGEXMATCH(
"" ""&amp;H1402&amp;"" "",
"" ""&amp;Sentiment_Words!B$2:B3730&amp;"" ""
),
1,
0
)
)
)
)"),2.0)</f>
        <v>2</v>
      </c>
      <c r="L1402" s="7" t="str">
        <f t="shared" si="3"/>
        <v>Availability</v>
      </c>
      <c r="M1402" s="7" t="str">
        <f t="shared" si="4"/>
        <v>Negative</v>
      </c>
      <c r="N1402" s="7" t="str">
        <f>IFERROR(__xludf.DUMMYFUNCTION("LOWER(
TRIM(
REGEXREPLACE(B1402,""[^a-zA-Z\s]"","""")
)
)
"),"brenda")</f>
        <v>brenda</v>
      </c>
      <c r="O1402" s="7">
        <f t="shared" si="5"/>
        <v>7</v>
      </c>
      <c r="P1402" s="8" t="str">
        <f t="shared" si="6"/>
        <v>Yes</v>
      </c>
    </row>
    <row r="1403">
      <c r="A1403" s="4" t="s">
        <v>16</v>
      </c>
      <c r="B1403" s="4" t="s">
        <v>3978</v>
      </c>
      <c r="C1403" s="5">
        <v>44825.0</v>
      </c>
      <c r="D1403" s="10">
        <v>44828.0</v>
      </c>
      <c r="E1403" s="4" t="s">
        <v>3979</v>
      </c>
      <c r="F1403" s="4" t="s">
        <v>3980</v>
      </c>
      <c r="G1403" s="6" t="str">
        <f>IFERROR(__xludf.DUMMYFUNCTION("REGEXREPLACE(LOWER(F1403),""[^a-z\s]"","""")"),"after receiving an email requesting i contact my vet to facilitate getting required prescription for my dog my vet had received no such request i called customer service requesting another prescription be submitted i was treated with arrogance disrespect "&amp;"and unprofessional behavior i canceled my order and will never ever us your company again")</f>
        <v>after receiving an email requesting i contact my vet to facilitate getting required prescription for my dog my vet had received no such request i called customer service requesting another prescription be submitted i was treated with arrogance disrespect and unprofessional behavior i canceled my order and will never ever us your company again</v>
      </c>
      <c r="H1403" s="4" t="str">
        <f t="shared" si="1"/>
        <v>after receiving an email requesting i contact my vet facilitate getting required prescription my dog my vet had received no such request i called customer service requesting another prescription be submitted i was treated with arrogance disrespect unprofessional behavior i canceled my order will never ever us your company again</v>
      </c>
      <c r="I1403" s="6">
        <f t="shared" si="2"/>
        <v>50</v>
      </c>
      <c r="J1403" s="6">
        <f>IFERROR(__xludf.DUMMYFUNCTION("IF(H1403="""","""",
SUM(
ARRAYFORMULA(
IF(
REGEXMATCH(
"" ""&amp;H1403&amp;"" "",
"" ""&amp;Sentiment_Words!A$2:A3730&amp;"" ""
),
1,
0
)
)
)
)"),0.0)</f>
        <v>0</v>
      </c>
      <c r="K1403" s="4">
        <f>IFERROR(__xludf.DUMMYFUNCTION("IF(H1403="""","""",
SUM(
ARRAYFORMULA(
IF(
REGEXMATCH(
"" ""&amp;H1403&amp;"" "",
"" ""&amp;Sentiment_Words!B$2:B3730&amp;"" ""
),
1,
0
)
)
)
)"),1.0)</f>
        <v>1</v>
      </c>
      <c r="L1403" s="7" t="str">
        <f t="shared" si="3"/>
        <v>Customer Support</v>
      </c>
      <c r="M1403" s="7" t="str">
        <f t="shared" si="4"/>
        <v>Negative</v>
      </c>
      <c r="N1403" s="7" t="str">
        <f>IFERROR(__xludf.DUMMYFUNCTION("LOWER(
TRIM(
REGEXREPLACE(B1403,""[^a-zA-Z\s]"","""")
)
)
"),"debbie flores")</f>
        <v>debbie flores</v>
      </c>
      <c r="O1403" s="7">
        <f t="shared" si="5"/>
        <v>1</v>
      </c>
      <c r="P1403" s="8" t="str">
        <f t="shared" si="6"/>
        <v>No</v>
      </c>
    </row>
    <row r="1404">
      <c r="A1404" s="4" t="s">
        <v>16</v>
      </c>
      <c r="B1404" s="4" t="s">
        <v>3981</v>
      </c>
      <c r="C1404" s="5">
        <v>44820.0</v>
      </c>
      <c r="D1404" s="10">
        <v>44828.0</v>
      </c>
      <c r="E1404" s="4" t="s">
        <v>3982</v>
      </c>
      <c r="F1404" s="4" t="s">
        <v>3983</v>
      </c>
      <c r="G1404" s="6" t="str">
        <f>IFERROR(__xludf.DUMMYFUNCTION("REGEXREPLACE(LOWER(F1404),""[^a-z\s]"","""")")," thumbs down its  my order was supposed to arrive  today i was told the fraud department canceled my order for reasons they wont disclose they didnt tell me the order was canceled i was simply left waiting when i attempted to reorder payment they said the"&amp;" fish food was that out of stock")</f>
        <v> thumbs down its  my order was supposed to arrive  today i was told the fraud department canceled my order for reasons they wont disclose they didnt tell me the order was canceled i was simply left waiting when i attempted to reorder payment they said the fish food was that out of stock</v>
      </c>
      <c r="H1404" s="4" t="str">
        <f t="shared" si="1"/>
        <v>thumbs down its my order was supposed arrive today i was told fraud department canceled my order reasons they wont disclose they didnt tell me order was canceled i was simply left waiting when i attempted reorder payment they said fish food was that out of stock</v>
      </c>
      <c r="I1404" s="6">
        <f t="shared" si="2"/>
        <v>47</v>
      </c>
      <c r="J1404" s="6">
        <f>IFERROR(__xludf.DUMMYFUNCTION("IF(H1404="""","""",
SUM(
ARRAYFORMULA(
IF(
REGEXMATCH(
"" ""&amp;H1404&amp;"" "",
"" ""&amp;Sentiment_Words!A$2:A3730&amp;"" ""
),
1,
0
)
)
)
)"),0.0)</f>
        <v>0</v>
      </c>
      <c r="K1404" s="4">
        <f>IFERROR(__xludf.DUMMYFUNCTION("IF(H1404="""","""",
SUM(
ARRAYFORMULA(
IF(
REGEXMATCH(
"" ""&amp;H1404&amp;"" "",
"" ""&amp;Sentiment_Words!B$2:B3730&amp;"" ""
),
1,
0
)
)
)
)"),1.0)</f>
        <v>1</v>
      </c>
      <c r="L1404" s="7" t="str">
        <f t="shared" si="3"/>
        <v>Availability</v>
      </c>
      <c r="M1404" s="7" t="str">
        <f t="shared" si="4"/>
        <v>Negative</v>
      </c>
      <c r="N1404" s="7" t="str">
        <f>IFERROR(__xludf.DUMMYFUNCTION("LOWER(
TRIM(
REGEXREPLACE(B1404,""[^a-zA-Z\s]"","""")
)
)
"),"patti martinez")</f>
        <v>patti martinez</v>
      </c>
      <c r="O1404" s="7">
        <f t="shared" si="5"/>
        <v>1</v>
      </c>
      <c r="P1404" s="8" t="str">
        <f t="shared" si="6"/>
        <v>No</v>
      </c>
    </row>
    <row r="1405">
      <c r="A1405" s="4" t="s">
        <v>16</v>
      </c>
      <c r="B1405" s="4" t="s">
        <v>3984</v>
      </c>
      <c r="C1405" s="9">
        <v>44813.0</v>
      </c>
      <c r="D1405" s="10">
        <v>44828.0</v>
      </c>
      <c r="E1405" s="4" t="s">
        <v>3985</v>
      </c>
      <c r="F1405" s="4" t="s">
        <v>331</v>
      </c>
      <c r="G1405" s="6" t="str">
        <f>IFERROR(__xludf.DUMMYFUNCTION("REGEXREPLACE(LOWER(F1405),""[^a-z\s]"","""")"),"none")</f>
        <v>none</v>
      </c>
      <c r="H1405" s="4" t="str">
        <f t="shared" si="1"/>
        <v>none</v>
      </c>
      <c r="I1405" s="6">
        <f t="shared" si="2"/>
        <v>1</v>
      </c>
      <c r="J1405" s="6">
        <f>IFERROR(__xludf.DUMMYFUNCTION("IF(H1405="""","""",
SUM(
ARRAYFORMULA(
IF(
REGEXMATCH(
"" ""&amp;H1405&amp;"" "",
"" ""&amp;Sentiment_Words!A$2:A3730&amp;"" ""
),
1,
0
)
)
)
)"),0.0)</f>
        <v>0</v>
      </c>
      <c r="K1405" s="4">
        <f>IFERROR(__xludf.DUMMYFUNCTION("IF(H1405="""","""",
SUM(
ARRAYFORMULA(
IF(
REGEXMATCH(
"" ""&amp;H1405&amp;"" "",
"" ""&amp;Sentiment_Words!B$2:B3730&amp;"" ""
),
1,
0
)
)
)
)"),0.0)</f>
        <v>0</v>
      </c>
      <c r="L1405" s="7" t="str">
        <f t="shared" si="3"/>
        <v>Other</v>
      </c>
      <c r="M1405" s="7" t="str">
        <f t="shared" si="4"/>
        <v>Neutral</v>
      </c>
      <c r="N1405" s="7" t="str">
        <f>IFERROR(__xludf.DUMMYFUNCTION("LOWER(
TRIM(
REGEXREPLACE(B1405,""[^a-zA-Z\s]"","""")
)
)
"),"drew nelson")</f>
        <v>drew nelson</v>
      </c>
      <c r="O1405" s="7">
        <f t="shared" si="5"/>
        <v>1</v>
      </c>
      <c r="P1405" s="8" t="str">
        <f t="shared" si="6"/>
        <v>No</v>
      </c>
    </row>
    <row r="1406">
      <c r="A1406" s="4" t="s">
        <v>16</v>
      </c>
      <c r="B1406" s="4" t="s">
        <v>3986</v>
      </c>
      <c r="C1406" s="5">
        <v>44819.0</v>
      </c>
      <c r="D1406" s="10">
        <v>44827.0</v>
      </c>
      <c r="E1406" s="4" t="s">
        <v>3362</v>
      </c>
      <c r="F1406" s="4" t="s">
        <v>331</v>
      </c>
      <c r="G1406" s="6" t="str">
        <f>IFERROR(__xludf.DUMMYFUNCTION("REGEXREPLACE(LOWER(F1406),""[^a-z\s]"","""")"),"none")</f>
        <v>none</v>
      </c>
      <c r="H1406" s="4" t="str">
        <f t="shared" si="1"/>
        <v>none</v>
      </c>
      <c r="I1406" s="6">
        <f t="shared" si="2"/>
        <v>1</v>
      </c>
      <c r="J1406" s="6">
        <f>IFERROR(__xludf.DUMMYFUNCTION("IF(H1406="""","""",
SUM(
ARRAYFORMULA(
IF(
REGEXMATCH(
"" ""&amp;H1406&amp;"" "",
"" ""&amp;Sentiment_Words!A$2:A3730&amp;"" ""
),
1,
0
)
)
)
)"),0.0)</f>
        <v>0</v>
      </c>
      <c r="K1406" s="4">
        <f>IFERROR(__xludf.DUMMYFUNCTION("IF(H1406="""","""",
SUM(
ARRAYFORMULA(
IF(
REGEXMATCH(
"" ""&amp;H1406&amp;"" "",
"" ""&amp;Sentiment_Words!B$2:B3730&amp;"" ""
),
1,
0
)
)
)
)"),0.0)</f>
        <v>0</v>
      </c>
      <c r="L1406" s="7" t="str">
        <f t="shared" si="3"/>
        <v>Other</v>
      </c>
      <c r="M1406" s="7" t="str">
        <f t="shared" si="4"/>
        <v>Neutral</v>
      </c>
      <c r="N1406" s="7" t="str">
        <f>IFERROR(__xludf.DUMMYFUNCTION("LOWER(
TRIM(
REGEXREPLACE(B1406,""[^a-zA-Z\s]"","""")
)
)
"),"geraldine hagan")</f>
        <v>geraldine hagan</v>
      </c>
      <c r="O1406" s="7">
        <f t="shared" si="5"/>
        <v>1</v>
      </c>
      <c r="P1406" s="8" t="str">
        <f t="shared" si="6"/>
        <v>No</v>
      </c>
    </row>
    <row r="1407">
      <c r="A1407" s="4" t="s">
        <v>16</v>
      </c>
      <c r="B1407" s="4" t="s">
        <v>3987</v>
      </c>
      <c r="C1407" s="5">
        <v>44826.0</v>
      </c>
      <c r="D1407" s="10">
        <v>44827.0</v>
      </c>
      <c r="E1407" s="4" t="s">
        <v>3988</v>
      </c>
      <c r="F1407" s="4" t="s">
        <v>331</v>
      </c>
      <c r="G1407" s="6" t="str">
        <f>IFERROR(__xludf.DUMMYFUNCTION("REGEXREPLACE(LOWER(F1407),""[^a-z\s]"","""")"),"none")</f>
        <v>none</v>
      </c>
      <c r="H1407" s="4" t="str">
        <f t="shared" si="1"/>
        <v>none</v>
      </c>
      <c r="I1407" s="6">
        <f t="shared" si="2"/>
        <v>1</v>
      </c>
      <c r="J1407" s="6">
        <f>IFERROR(__xludf.DUMMYFUNCTION("IF(H1407="""","""",
SUM(
ARRAYFORMULA(
IF(
REGEXMATCH(
"" ""&amp;H1407&amp;"" "",
"" ""&amp;Sentiment_Words!A$2:A3730&amp;"" ""
),
1,
0
)
)
)
)"),0.0)</f>
        <v>0</v>
      </c>
      <c r="K1407" s="4">
        <f>IFERROR(__xludf.DUMMYFUNCTION("IF(H1407="""","""",
SUM(
ARRAYFORMULA(
IF(
REGEXMATCH(
"" ""&amp;H1407&amp;"" "",
"" ""&amp;Sentiment_Words!B$2:B3730&amp;"" ""
),
1,
0
)
)
)
)"),0.0)</f>
        <v>0</v>
      </c>
      <c r="L1407" s="7" t="str">
        <f t="shared" si="3"/>
        <v>Other</v>
      </c>
      <c r="M1407" s="7" t="str">
        <f t="shared" si="4"/>
        <v>Neutral</v>
      </c>
      <c r="N1407" s="7" t="str">
        <f>IFERROR(__xludf.DUMMYFUNCTION("LOWER(
TRIM(
REGEXREPLACE(B1407,""[^a-zA-Z\s]"","""")
)
)
"),"elizabeth cunningham")</f>
        <v>elizabeth cunningham</v>
      </c>
      <c r="O1407" s="7">
        <f t="shared" si="5"/>
        <v>1</v>
      </c>
      <c r="P1407" s="8" t="str">
        <f t="shared" si="6"/>
        <v>No</v>
      </c>
    </row>
    <row r="1408">
      <c r="A1408" s="4" t="s">
        <v>16</v>
      </c>
      <c r="B1408" s="4" t="s">
        <v>3989</v>
      </c>
      <c r="C1408" s="5">
        <v>44819.0</v>
      </c>
      <c r="D1408" s="10">
        <v>44827.0</v>
      </c>
      <c r="E1408" s="4" t="s">
        <v>3990</v>
      </c>
      <c r="F1408" s="4" t="s">
        <v>3991</v>
      </c>
      <c r="G1408" s="6" t="str">
        <f>IFERROR(__xludf.DUMMYFUNCTION("REGEXREPLACE(LOWER(F1408),""[^a-z\s]"","""")"),"good service and fast delivery")</f>
        <v>good service and fast delivery</v>
      </c>
      <c r="H1408" s="4" t="str">
        <f t="shared" si="1"/>
        <v>good service fast delivery</v>
      </c>
      <c r="I1408" s="6">
        <f t="shared" si="2"/>
        <v>4</v>
      </c>
      <c r="J1408" s="6">
        <f>IFERROR(__xludf.DUMMYFUNCTION("IF(H1408="""","""",
SUM(
ARRAYFORMULA(
IF(
REGEXMATCH(
"" ""&amp;H1408&amp;"" "",
"" ""&amp;Sentiment_Words!A$2:A3730&amp;"" ""
),
1,
0
)
)
)
)"),3.0)</f>
        <v>3</v>
      </c>
      <c r="K1408" s="4">
        <f>IFERROR(__xludf.DUMMYFUNCTION("IF(H1408="""","""",
SUM(
ARRAYFORMULA(
IF(
REGEXMATCH(
"" ""&amp;H1408&amp;"" "",
"" ""&amp;Sentiment_Words!B$2:B3730&amp;"" ""
),
1,
0
)
)
)
)"),0.0)</f>
        <v>0</v>
      </c>
      <c r="L1408" s="7" t="str">
        <f t="shared" si="3"/>
        <v>Customer Support</v>
      </c>
      <c r="M1408" s="7" t="str">
        <f t="shared" si="4"/>
        <v>Positive</v>
      </c>
      <c r="N1408" s="7" t="str">
        <f>IFERROR(__xludf.DUMMYFUNCTION("LOWER(
TRIM(
REGEXREPLACE(B1408,""[^a-zA-Z\s]"","""")
)
)
"),"carlos g")</f>
        <v>carlos g</v>
      </c>
      <c r="O1408" s="7">
        <f t="shared" si="5"/>
        <v>1</v>
      </c>
      <c r="P1408" s="8" t="str">
        <f t="shared" si="6"/>
        <v>No</v>
      </c>
    </row>
    <row r="1409">
      <c r="A1409" s="4" t="s">
        <v>16</v>
      </c>
      <c r="B1409" s="4" t="s">
        <v>3992</v>
      </c>
      <c r="C1409" s="5">
        <v>44820.0</v>
      </c>
      <c r="D1409" s="10">
        <v>44827.0</v>
      </c>
      <c r="E1409" s="4" t="s">
        <v>3993</v>
      </c>
      <c r="F1409" s="4" t="s">
        <v>3994</v>
      </c>
      <c r="G1409" s="6" t="str">
        <f>IFERROR(__xludf.DUMMYFUNCTION("REGEXREPLACE(LOWER(F1409),""[^a-z\s]"","""")"),"i have purchased from petflow regularly for a number of years they have good prices often the best they ship quickly and ive never had an issue whats not to love")</f>
        <v>i have purchased from petflow regularly for a number of years they have good prices often the best they ship quickly and ive never had an issue whats not to love</v>
      </c>
      <c r="H1409" s="4" t="str">
        <f t="shared" si="1"/>
        <v>i have purchased from petflow regularly a number of years they have good prices often best they ship quickly ive never had an issue whats not love</v>
      </c>
      <c r="I1409" s="6">
        <f t="shared" si="2"/>
        <v>27</v>
      </c>
      <c r="J1409" s="6">
        <f>IFERROR(__xludf.DUMMYFUNCTION("IF(H1409="""","""",
SUM(
ARRAYFORMULA(
IF(
REGEXMATCH(
"" ""&amp;H1409&amp;"" "",
"" ""&amp;Sentiment_Words!A$2:A3730&amp;"" ""
),
1,
0
)
)
)
)"),2.0)</f>
        <v>2</v>
      </c>
      <c r="K1409" s="4">
        <f>IFERROR(__xludf.DUMMYFUNCTION("IF(H1409="""","""",
SUM(
ARRAYFORMULA(
IF(
REGEXMATCH(
"" ""&amp;H1409&amp;"" "",
"" ""&amp;Sentiment_Words!B$2:B3730&amp;"" ""
),
1,
0
)
)
)
)"),1.0)</f>
        <v>1</v>
      </c>
      <c r="L1409" s="7" t="str">
        <f t="shared" si="3"/>
        <v>Other</v>
      </c>
      <c r="M1409" s="7" t="str">
        <f t="shared" si="4"/>
        <v>Positive</v>
      </c>
      <c r="N1409" s="7" t="str">
        <f>IFERROR(__xludf.DUMMYFUNCTION("LOWER(
TRIM(
REGEXREPLACE(B1409,""[^a-zA-Z\s]"","""")
)
)
"),"lara m")</f>
        <v>lara m</v>
      </c>
      <c r="O1409" s="7">
        <f t="shared" si="5"/>
        <v>1</v>
      </c>
      <c r="P1409" s="8" t="str">
        <f t="shared" si="6"/>
        <v>No</v>
      </c>
    </row>
    <row r="1410">
      <c r="A1410" s="4" t="s">
        <v>16</v>
      </c>
      <c r="B1410" s="4" t="s">
        <v>1634</v>
      </c>
      <c r="C1410" s="5">
        <v>44820.0</v>
      </c>
      <c r="D1410" s="10">
        <v>44827.0</v>
      </c>
      <c r="E1410" s="4" t="s">
        <v>3995</v>
      </c>
      <c r="F1410" s="4" t="s">
        <v>3996</v>
      </c>
      <c r="G1410" s="6" t="str">
        <f>IFERROR(__xludf.DUMMYFUNCTION("REGEXREPLACE(LOWER(F1410),""[^a-z\s]"","""")"),"my scooters food got here in a very timely manner he loves this food and it is hard to find in our area the cost is reasonable though it would be nice if there was ever a sale on it thank you petflow for helping me provide the best for my fur baby")</f>
        <v>my scooters food got here in a very timely manner he loves this food and it is hard to find in our area the cost is reasonable though it would be nice if there was ever a sale on it thank you petflow for helping me provide the best for my fur baby</v>
      </c>
      <c r="H1410" s="4" t="str">
        <f t="shared" si="1"/>
        <v>my scooters food got here in a very timely manner he loves this food it hard find in our area cost reasonable though it would be nice if there was ever a sale on it thank you petflow helping me provide best my fur baby</v>
      </c>
      <c r="I1410" s="6">
        <f t="shared" si="2"/>
        <v>45</v>
      </c>
      <c r="J1410" s="6">
        <f>IFERROR(__xludf.DUMMYFUNCTION("IF(H1410="""","""",
SUM(
ARRAYFORMULA(
IF(
REGEXMATCH(
"" ""&amp;H1410&amp;"" "",
"" ""&amp;Sentiment_Words!A$2:A3730&amp;"" ""
),
1,
0
)
)
)
)"),0.0)</f>
        <v>0</v>
      </c>
      <c r="K1410" s="4">
        <f>IFERROR(__xludf.DUMMYFUNCTION("IF(H1410="""","""",
SUM(
ARRAYFORMULA(
IF(
REGEXMATCH(
"" ""&amp;H1410&amp;"" "",
"" ""&amp;Sentiment_Words!B$2:B3730&amp;"" ""
),
1,
0
)
)
)
)"),0.0)</f>
        <v>0</v>
      </c>
      <c r="L1410" s="7" t="str">
        <f t="shared" si="3"/>
        <v>Other</v>
      </c>
      <c r="M1410" s="7" t="str">
        <f t="shared" si="4"/>
        <v>Neutral</v>
      </c>
      <c r="N1410" s="7" t="str">
        <f>IFERROR(__xludf.DUMMYFUNCTION("LOWER(
TRIM(
REGEXREPLACE(B1410,""[^a-zA-Z\s]"","""")
)
)
"),"deborah")</f>
        <v>deborah</v>
      </c>
      <c r="O1410" s="7">
        <f t="shared" si="5"/>
        <v>4</v>
      </c>
      <c r="P1410" s="8" t="str">
        <f t="shared" si="6"/>
        <v>Yes</v>
      </c>
    </row>
    <row r="1411">
      <c r="A1411" s="4" t="s">
        <v>16</v>
      </c>
      <c r="B1411" s="4" t="s">
        <v>1456</v>
      </c>
      <c r="C1411" s="5">
        <v>44821.0</v>
      </c>
      <c r="D1411" s="10">
        <v>44826.0</v>
      </c>
      <c r="E1411" s="4" t="s">
        <v>3997</v>
      </c>
      <c r="F1411" s="4" t="s">
        <v>3998</v>
      </c>
      <c r="G1411" s="6" t="str">
        <f>IFERROR(__xludf.DUMMYFUNCTION("REGEXREPLACE(LOWER(F1411),""[^a-z\s]"","""")"),"i was very disappointed with my experience i was looking everywhere for the prescription cat food my furbaby needs and petflow was the only place that showed having it in stock but by the time they finally got around to contacting my vet nearly a week aft"&amp;"er i placed my order it was no longer available sorry they needed to step it up a bit and contact my vet sooner rather than later i would have only given  stars but the customer service people i talked to when trying to track down what my order status was"&amp;" were very nice that earned the extra star")</f>
        <v>i was very disappointed with my experience i was looking everywhere for the prescription cat food my furbaby needs and petflow was the only place that showed having it in stock but by the time they finally got around to contacting my vet nearly a week after i placed my order it was no longer available sorry they needed to step it up a bit and contact my vet sooner rather than later i would have only given  stars but the customer service people i talked to when trying to track down what my order status was were very nice that earned the extra star</v>
      </c>
      <c r="H1411" s="4" t="str">
        <f t="shared" si="1"/>
        <v>i was very disappointed with my experience i was looking everywhere prescription cat food my furbaby needs petflow was only place that showed having it in stock but by time they finally got around contacting my vet nearly a week after i placed my order it was no longer available sorry they needed step it up a bit contact my vet sooner rather than later i would have only given stars but customer service people i talked when trying track down what my order status was were very nice that earned extra star</v>
      </c>
      <c r="I1411" s="6">
        <f t="shared" si="2"/>
        <v>93</v>
      </c>
      <c r="J1411" s="6">
        <f>IFERROR(__xludf.DUMMYFUNCTION("IF(H1411="""","""",
SUM(
ARRAYFORMULA(
IF(
REGEXMATCH(
"" ""&amp;H1411&amp;"" "",
"" ""&amp;Sentiment_Words!A$2:A3730&amp;"" ""
),
1,
0
)
)
)
)"),1.0)</f>
        <v>1</v>
      </c>
      <c r="K1411" s="4">
        <f>IFERROR(__xludf.DUMMYFUNCTION("IF(H1411="""","""",
SUM(
ARRAYFORMULA(
IF(
REGEXMATCH(
"" ""&amp;H1411&amp;"" "",
"" ""&amp;Sentiment_Words!B$2:B3730&amp;"" ""
),
1,
0
)
)
)
)"),1.0)</f>
        <v>1</v>
      </c>
      <c r="L1411" s="7" t="str">
        <f t="shared" si="3"/>
        <v>Customer Support</v>
      </c>
      <c r="M1411" s="7" t="str">
        <f t="shared" si="4"/>
        <v>Neutral</v>
      </c>
      <c r="N1411" s="7" t="str">
        <f>IFERROR(__xludf.DUMMYFUNCTION("LOWER(
TRIM(
REGEXREPLACE(B1411,""[^a-zA-Z\s]"","""")
)
)
"),"kathy")</f>
        <v>kathy</v>
      </c>
      <c r="O1411" s="7">
        <f t="shared" si="5"/>
        <v>5</v>
      </c>
      <c r="P1411" s="8" t="str">
        <f t="shared" si="6"/>
        <v>Yes</v>
      </c>
    </row>
    <row r="1412">
      <c r="A1412" s="4" t="s">
        <v>16</v>
      </c>
      <c r="B1412" s="4" t="s">
        <v>3999</v>
      </c>
      <c r="C1412" s="5">
        <v>44823.0</v>
      </c>
      <c r="D1412" s="10">
        <v>44826.0</v>
      </c>
      <c r="E1412" s="4" t="s">
        <v>3355</v>
      </c>
      <c r="F1412" s="4" t="s">
        <v>4000</v>
      </c>
      <c r="G1412" s="6" t="str">
        <f>IFERROR(__xludf.DUMMYFUNCTION("REGEXREPLACE(LOWER(F1412),""[^a-z\s]"","""")"),"ziggy went nuts over the treats its his crack cocaine will definitely order again")</f>
        <v>ziggy went nuts over the treats its his crack cocaine will definitely order again</v>
      </c>
      <c r="H1412" s="4" t="str">
        <f t="shared" si="1"/>
        <v>ziggy went nuts over treats its his crack cocaine will definitely order again</v>
      </c>
      <c r="I1412" s="6">
        <f t="shared" si="2"/>
        <v>13</v>
      </c>
      <c r="J1412" s="6">
        <f>IFERROR(__xludf.DUMMYFUNCTION("IF(H1412="""","""",
SUM(
ARRAYFORMULA(
IF(
REGEXMATCH(
"" ""&amp;H1412&amp;"" "",
"" ""&amp;Sentiment_Words!A$2:A3730&amp;"" ""
),
1,
0
)
)
)
)"),0.0)</f>
        <v>0</v>
      </c>
      <c r="K1412" s="4">
        <f>IFERROR(__xludf.DUMMYFUNCTION("IF(H1412="""","""",
SUM(
ARRAYFORMULA(
IF(
REGEXMATCH(
"" ""&amp;H1412&amp;"" "",
"" ""&amp;Sentiment_Words!B$2:B3730&amp;"" ""
),
1,
0
)
)
)
)"),0.0)</f>
        <v>0</v>
      </c>
      <c r="L1412" s="7" t="str">
        <f t="shared" si="3"/>
        <v>Other</v>
      </c>
      <c r="M1412" s="7" t="str">
        <f t="shared" si="4"/>
        <v>Neutral</v>
      </c>
      <c r="N1412" s="7" t="str">
        <f>IFERROR(__xludf.DUMMYFUNCTION("LOWER(
TRIM(
REGEXREPLACE(B1412,""[^a-zA-Z\s]"","""")
)
)
"),"elizabeth jackson")</f>
        <v>elizabeth jackson</v>
      </c>
      <c r="O1412" s="7">
        <f t="shared" si="5"/>
        <v>1</v>
      </c>
      <c r="P1412" s="8" t="str">
        <f t="shared" si="6"/>
        <v>No</v>
      </c>
    </row>
    <row r="1413">
      <c r="A1413" s="4" t="s">
        <v>16</v>
      </c>
      <c r="B1413" s="4" t="s">
        <v>4001</v>
      </c>
      <c r="C1413" s="5">
        <v>44819.0</v>
      </c>
      <c r="D1413" s="10">
        <v>44826.0</v>
      </c>
      <c r="E1413" s="4" t="s">
        <v>4002</v>
      </c>
      <c r="F1413" s="4" t="s">
        <v>4003</v>
      </c>
      <c r="G1413" s="6" t="str">
        <f>IFERROR(__xludf.DUMMYFUNCTION("REGEXREPLACE(LOWER(F1413),""[^a-z\s]"","""")"),"your service and products have always been excellent the only glitch was on my last autoship i never received notice that my order was getting ready to ship if i had i would have pushed it to a week later its not a big deal but i like having the advance n"&amp;"otice in case i want to adjust the shipping date")</f>
        <v>your service and products have always been excellent the only glitch was on my last autoship i never received notice that my order was getting ready to ship if i had i would have pushed it to a week later its not a big deal but i like having the advance notice in case i want to adjust the shipping date</v>
      </c>
      <c r="H1413" s="4" t="str">
        <f t="shared" si="1"/>
        <v>your service products have always been excellent only glitch was on my last autoship i never received notice that my order was getting ready ship if i had i would have pushed it a week later its not a big deal but i like having advance notice in case i want adjust shipping date</v>
      </c>
      <c r="I1413" s="6">
        <f t="shared" si="2"/>
        <v>54</v>
      </c>
      <c r="J1413" s="6">
        <f>IFERROR(__xludf.DUMMYFUNCTION("IF(H1413="""","""",
SUM(
ARRAYFORMULA(
IF(
REGEXMATCH(
"" ""&amp;H1413&amp;"" "",
"" ""&amp;Sentiment_Words!A$2:A3730&amp;"" ""
),
1,
0
)
)
)
)"),0.0)</f>
        <v>0</v>
      </c>
      <c r="K1413" s="4">
        <f>IFERROR(__xludf.DUMMYFUNCTION("IF(H1413="""","""",
SUM(
ARRAYFORMULA(
IF(
REGEXMATCH(
"" ""&amp;H1413&amp;"" "",
"" ""&amp;Sentiment_Words!B$2:B3730&amp;"" ""
),
1,
0
)
)
)
)"),0.0)</f>
        <v>0</v>
      </c>
      <c r="L1413" s="7" t="str">
        <f t="shared" si="3"/>
        <v>Customer Support</v>
      </c>
      <c r="M1413" s="7" t="str">
        <f t="shared" si="4"/>
        <v>Neutral</v>
      </c>
      <c r="N1413" s="7" t="str">
        <f>IFERROR(__xludf.DUMMYFUNCTION("LOWER(
TRIM(
REGEXREPLACE(B1413,""[^a-zA-Z\s]"","""")
)
)
"),"barbara jones")</f>
        <v>barbara jones</v>
      </c>
      <c r="O1413" s="7">
        <f t="shared" si="5"/>
        <v>1</v>
      </c>
      <c r="P1413" s="8" t="str">
        <f t="shared" si="6"/>
        <v>No</v>
      </c>
    </row>
    <row r="1414">
      <c r="A1414" s="4" t="s">
        <v>16</v>
      </c>
      <c r="B1414" s="4" t="s">
        <v>4004</v>
      </c>
      <c r="C1414" s="9">
        <v>44811.0</v>
      </c>
      <c r="D1414" s="10">
        <v>44826.0</v>
      </c>
      <c r="E1414" s="4" t="s">
        <v>4005</v>
      </c>
      <c r="F1414" s="4" t="s">
        <v>4006</v>
      </c>
      <c r="G1414" s="6" t="str">
        <f>IFERROR(__xludf.DUMMYFUNCTION("REGEXREPLACE(LOWER(F1414),""[^a-z\s]"","""")"),"i believe your website was corrupted and my account breached leading to several orders that i did not authorize there was faulty information shown for example the website showed order  xzy was just placed today but when i asked your rep about that order n"&amp;"umber he told me that was an order number from years ago again convinced your website is at fault i asked him to consider more than just me changing my password etc and he was disinterested in the beneficial info i was providing him he cared less about th"&amp;"e good of your company but got snotty on the phone as i repeatedly asked him to take an interest and when i asked to speak to his manager he told me he would have someone call me i cant imagine ordering from petflow in the future")</f>
        <v>i believe your website was corrupted and my account breached leading to several orders that i did not authorize there was faulty information shown for example the website showed order  xzy was just placed today but when i asked your rep about that order number he told me that was an order number from years ago again convinced your website is at fault i asked him to consider more than just me changing my password etc and he was disinterested in the beneficial info i was providing him he cared less about the good of your company but got snotty on the phone as i repeatedly asked him to take an interest and when i asked to speak to his manager he told me he would have someone call me i cant imagine ordering from petflow in the future</v>
      </c>
      <c r="H1414" s="4" t="str">
        <f t="shared" si="1"/>
        <v>i believe your website was corrupted my account breached leading several orders that i did not authorize there was faulty information shown example website showed order xzy was just placed today but when i asked your rep about that order number he told me that was an order number from years ago again convinced your website at fault i asked him consider more than just me changing my password etc he was disinterested in beneficial info i was providing him he cared less about good of your company but got snotty on phone as i repeatedly asked him take an interest when i asked speak his manager he told me he would have someone call me i cant imagine ordering from petflow in future</v>
      </c>
      <c r="I1414" s="6">
        <f t="shared" si="2"/>
        <v>124</v>
      </c>
      <c r="J1414" s="6">
        <f>IFERROR(__xludf.DUMMYFUNCTION("IF(H1414="""","""",
SUM(
ARRAYFORMULA(
IF(
REGEXMATCH(
"" ""&amp;H1414&amp;"" "",
"" ""&amp;Sentiment_Words!A$2:A3730&amp;"" ""
),
1,
0
)
)
)
)"),1.0)</f>
        <v>1</v>
      </c>
      <c r="K1414" s="4">
        <f>IFERROR(__xludf.DUMMYFUNCTION("IF(H1414="""","""",
SUM(
ARRAYFORMULA(
IF(
REGEXMATCH(
"" ""&amp;H1414&amp;"" "",
"" ""&amp;Sentiment_Words!B$2:B3730&amp;"" ""
),
1,
0
)
)
)
)"),0.0)</f>
        <v>0</v>
      </c>
      <c r="L1414" s="7" t="str">
        <f t="shared" si="3"/>
        <v>Account &amp; Website</v>
      </c>
      <c r="M1414" s="7" t="str">
        <f t="shared" si="4"/>
        <v>Positive</v>
      </c>
      <c r="N1414" s="7" t="str">
        <f>IFERROR(__xludf.DUMMYFUNCTION("LOWER(
TRIM(
REGEXREPLACE(B1414,""[^a-zA-Z\s]"","""")
)
)
"),"kathy wesolowski")</f>
        <v>kathy wesolowski</v>
      </c>
      <c r="O1414" s="7">
        <f t="shared" si="5"/>
        <v>1</v>
      </c>
      <c r="P1414" s="8" t="str">
        <f t="shared" si="6"/>
        <v>No</v>
      </c>
    </row>
    <row r="1415">
      <c r="A1415" s="4" t="s">
        <v>16</v>
      </c>
      <c r="B1415" s="4" t="s">
        <v>4007</v>
      </c>
      <c r="C1415" s="5">
        <v>44816.0</v>
      </c>
      <c r="D1415" s="10">
        <v>44826.0</v>
      </c>
      <c r="E1415" s="4" t="s">
        <v>4008</v>
      </c>
      <c r="F1415" s="4" t="s">
        <v>4009</v>
      </c>
      <c r="G1415" s="6" t="str">
        <f>IFERROR(__xludf.DUMMYFUNCTION("REGEXREPLACE(LOWER(F1415),""[^a-z\s]"","""")"),"good food cheap easy")</f>
        <v>good food cheap easy</v>
      </c>
      <c r="H1415" s="4" t="str">
        <f t="shared" si="1"/>
        <v>good food cheap easy</v>
      </c>
      <c r="I1415" s="6">
        <f t="shared" si="2"/>
        <v>4</v>
      </c>
      <c r="J1415" s="6">
        <f>IFERROR(__xludf.DUMMYFUNCTION("IF(H1415="""","""",
SUM(
ARRAYFORMULA(
IF(
REGEXMATCH(
"" ""&amp;H1415&amp;"" "",
"" ""&amp;Sentiment_Words!A$2:A3730&amp;"" ""
),
1,
0
)
)
)
)"),2.0)</f>
        <v>2</v>
      </c>
      <c r="K1415" s="4">
        <f>IFERROR(__xludf.DUMMYFUNCTION("IF(H1415="""","""",
SUM(
ARRAYFORMULA(
IF(
REGEXMATCH(
"" ""&amp;H1415&amp;"" "",
"" ""&amp;Sentiment_Words!B$2:B3730&amp;"" ""
),
1,
0
)
)
)
)"),0.0)</f>
        <v>0</v>
      </c>
      <c r="L1415" s="7" t="str">
        <f t="shared" si="3"/>
        <v>Other</v>
      </c>
      <c r="M1415" s="7" t="str">
        <f t="shared" si="4"/>
        <v>Positive</v>
      </c>
      <c r="N1415" s="7" t="str">
        <f>IFERROR(__xludf.DUMMYFUNCTION("LOWER(
TRIM(
REGEXREPLACE(B1415,""[^a-zA-Z\s]"","""")
)
)
"),"dan")</f>
        <v>dan</v>
      </c>
      <c r="O1415" s="7">
        <f t="shared" si="5"/>
        <v>2</v>
      </c>
      <c r="P1415" s="8" t="str">
        <f t="shared" si="6"/>
        <v>Yes</v>
      </c>
    </row>
    <row r="1416">
      <c r="A1416" s="4" t="s">
        <v>16</v>
      </c>
      <c r="B1416" s="4" t="s">
        <v>4010</v>
      </c>
      <c r="C1416" s="5">
        <v>44825.0</v>
      </c>
      <c r="D1416" s="10">
        <v>44826.0</v>
      </c>
      <c r="E1416" s="4" t="s">
        <v>4011</v>
      </c>
      <c r="F1416" s="4" t="s">
        <v>4012</v>
      </c>
      <c r="G1416" s="6" t="str">
        <f>IFERROR(__xludf.DUMMYFUNCTION("REGEXREPLACE(LOWER(F1416),""[^a-z\s]"","""")"),"i placed a subscription order for prescription food for my pet petflow claimed they had it in stock i was wondering where my order was so i logged into my account to find that the order was canceled because they did not have it in stock the did not cancel"&amp;" my autoshipment just my order i had to call them to cancel my autoshipment they also gave me a welcome coupon i would have had free shipment but my welcome coupon disqualified me for for free shipping what good was the coupon i am not thrilled with petfl"&amp;"ow and will not use them")</f>
        <v>i placed a subscription order for prescription food for my pet petflow claimed they had it in stock i was wondering where my order was so i logged into my account to find that the order was canceled because they did not have it in stock the did not cancel my autoshipment just my order i had to call them to cancel my autoshipment they also gave me a welcome coupon i would have had free shipment but my welcome coupon disqualified me for for free shipping what good was the coupon i am not thrilled with petflow and will not use them</v>
      </c>
      <c r="H1416" s="4" t="str">
        <f t="shared" si="1"/>
        <v>i placed a subscription order prescription food my pet petflow claimed they had it in stock i was wondering where my order was so i logged into my account find that order was canceled because they did not have it in stock did not cancel my autoshipment just my order i had call them cancel my autoshipment they also gave me a welcome coupon i would have had free shipment but my welcome coupon disqualified me for free shipping what good was coupon i am not thrilled with petflow will not use them</v>
      </c>
      <c r="I1416" s="6">
        <f t="shared" si="2"/>
        <v>93</v>
      </c>
      <c r="J1416" s="6">
        <f>IFERROR(__xludf.DUMMYFUNCTION("IF(H1416="""","""",
SUM(
ARRAYFORMULA(
IF(
REGEXMATCH(
"" ""&amp;H1416&amp;"" "",
"" ""&amp;Sentiment_Words!A$2:A3730&amp;"" ""
),
1,
0
)
)
)
)"),1.0)</f>
        <v>1</v>
      </c>
      <c r="K1416" s="4">
        <f>IFERROR(__xludf.DUMMYFUNCTION("IF(H1416="""","""",
SUM(
ARRAYFORMULA(
IF(
REGEXMATCH(
"" ""&amp;H1416&amp;"" "",
"" ""&amp;Sentiment_Words!B$2:B3730&amp;"" ""
),
1,
0
)
)
)
)"),0.0)</f>
        <v>0</v>
      </c>
      <c r="L1416" s="7" t="str">
        <f t="shared" si="3"/>
        <v>Account &amp; Website</v>
      </c>
      <c r="M1416" s="7" t="str">
        <f t="shared" si="4"/>
        <v>Positive</v>
      </c>
      <c r="N1416" s="7" t="str">
        <f>IFERROR(__xludf.DUMMYFUNCTION("LOWER(
TRIM(
REGEXREPLACE(B1416,""[^a-zA-Z\s]"","""")
)
)
"),"jaclyn koester")</f>
        <v>jaclyn koester</v>
      </c>
      <c r="O1416" s="7">
        <f t="shared" si="5"/>
        <v>1</v>
      </c>
      <c r="P1416" s="8" t="str">
        <f t="shared" si="6"/>
        <v>No</v>
      </c>
    </row>
    <row r="1417">
      <c r="A1417" s="4" t="s">
        <v>16</v>
      </c>
      <c r="B1417" s="4" t="s">
        <v>4013</v>
      </c>
      <c r="C1417" s="5">
        <v>44816.0</v>
      </c>
      <c r="D1417" s="10">
        <v>44826.0</v>
      </c>
      <c r="E1417" s="4" t="s">
        <v>4014</v>
      </c>
      <c r="F1417" s="4" t="s">
        <v>4015</v>
      </c>
      <c r="G1417" s="6" t="str">
        <f>IFERROR(__xludf.DUMMYFUNCTION("REGEXREPLACE(LOWER(F1417),""[^a-z\s]"","""")"),"it would be nice to get some of the discount codes for nonauto ship orders for frequent order customers
thanks petflow")</f>
        <v>it would be nice to get some of the discount codes for nonauto ship orders for frequent order customers
thanks petflow</v>
      </c>
      <c r="H1417" s="4" t="str">
        <f t="shared" si="1"/>
        <v>it would be nice get some of discount codes nonauto ship orders frequent order customers
thanks petflow</v>
      </c>
      <c r="I1417" s="6">
        <f t="shared" si="2"/>
        <v>16</v>
      </c>
      <c r="J1417" s="6">
        <f>IFERROR(__xludf.DUMMYFUNCTION("IF(H1417="""","""",
SUM(
ARRAYFORMULA(
IF(
REGEXMATCH(
"" ""&amp;H1417&amp;"" "",
"" ""&amp;Sentiment_Words!A$2:A3730&amp;"" ""
),
1,
0
)
)
)
)"),0.0)</f>
        <v>0</v>
      </c>
      <c r="K1417" s="4">
        <f>IFERROR(__xludf.DUMMYFUNCTION("IF(H1417="""","""",
SUM(
ARRAYFORMULA(
IF(
REGEXMATCH(
"" ""&amp;H1417&amp;"" "",
"" ""&amp;Sentiment_Words!B$2:B3730&amp;"" ""
),
1,
0
)
)
)
)"),0.0)</f>
        <v>0</v>
      </c>
      <c r="L1417" s="7" t="str">
        <f t="shared" si="3"/>
        <v>Account &amp; Website</v>
      </c>
      <c r="M1417" s="7" t="str">
        <f t="shared" si="4"/>
        <v>Neutral</v>
      </c>
      <c r="N1417" s="7" t="str">
        <f>IFERROR(__xludf.DUMMYFUNCTION("LOWER(
TRIM(
REGEXREPLACE(B1417,""[^a-zA-Z\s]"","""")
)
)
"),"phillip lavery")</f>
        <v>phillip lavery</v>
      </c>
      <c r="O1417" s="7">
        <f t="shared" si="5"/>
        <v>1</v>
      </c>
      <c r="P1417" s="8" t="str">
        <f t="shared" si="6"/>
        <v>No</v>
      </c>
    </row>
    <row r="1418">
      <c r="A1418" s="4" t="s">
        <v>16</v>
      </c>
      <c r="B1418" s="4" t="s">
        <v>4016</v>
      </c>
      <c r="C1418" s="5">
        <v>44825.0</v>
      </c>
      <c r="D1418" s="10">
        <v>44826.0</v>
      </c>
      <c r="E1418" s="4" t="s">
        <v>4017</v>
      </c>
      <c r="F1418" s="4" t="s">
        <v>4018</v>
      </c>
      <c r="G1418" s="6" t="str">
        <f>IFERROR(__xludf.DUMMYFUNCTION("REGEXREPLACE(LOWER(F1418),""[^a-z\s]"","""")"),"website advertised canned yd thyroid cat food so we ordered a case after a week we were told it wasnt available which left us scrambling for thyroid food for our cat")</f>
        <v>website advertised canned yd thyroid cat food so we ordered a case after a week we were told it wasnt available which left us scrambling for thyroid food for our cat</v>
      </c>
      <c r="H1418" s="4" t="str">
        <f t="shared" si="1"/>
        <v>website advertised canned yd thyroid cat food so we ordered a case after a week we were told it wasnt available which left us scrambling thyroid food our cat</v>
      </c>
      <c r="I1418" s="6">
        <f t="shared" si="2"/>
        <v>29</v>
      </c>
      <c r="J1418" s="6">
        <f>IFERROR(__xludf.DUMMYFUNCTION("IF(H1418="""","""",
SUM(
ARRAYFORMULA(
IF(
REGEXMATCH(
"" ""&amp;H1418&amp;"" "",
"" ""&amp;Sentiment_Words!A$2:A3730&amp;"" ""
),
1,
0
)
)
)
)"),1.0)</f>
        <v>1</v>
      </c>
      <c r="K1418" s="4">
        <f>IFERROR(__xludf.DUMMYFUNCTION("IF(H1418="""","""",
SUM(
ARRAYFORMULA(
IF(
REGEXMATCH(
"" ""&amp;H1418&amp;"" "",
"" ""&amp;Sentiment_Words!B$2:B3730&amp;"" ""
),
1,
0
)
)
)
)"),0.0)</f>
        <v>0</v>
      </c>
      <c r="L1418" s="7" t="str">
        <f t="shared" si="3"/>
        <v>Account &amp; Website</v>
      </c>
      <c r="M1418" s="7" t="str">
        <f t="shared" si="4"/>
        <v>Positive</v>
      </c>
      <c r="N1418" s="7" t="str">
        <f>IFERROR(__xludf.DUMMYFUNCTION("LOWER(
TRIM(
REGEXREPLACE(B1418,""[^a-zA-Z\s]"","""")
)
)
"),"z c w")</f>
        <v>z c w</v>
      </c>
      <c r="O1418" s="7">
        <f t="shared" si="5"/>
        <v>1</v>
      </c>
      <c r="P1418" s="8" t="str">
        <f t="shared" si="6"/>
        <v>No</v>
      </c>
    </row>
    <row r="1419">
      <c r="A1419" s="4" t="s">
        <v>16</v>
      </c>
      <c r="B1419" s="4" t="s">
        <v>4019</v>
      </c>
      <c r="C1419" s="5">
        <v>44819.0</v>
      </c>
      <c r="D1419" s="10">
        <v>44826.0</v>
      </c>
      <c r="E1419" s="4" t="s">
        <v>4020</v>
      </c>
      <c r="F1419" s="4" t="s">
        <v>4021</v>
      </c>
      <c r="G1419" s="6" t="str">
        <f>IFERROR(__xludf.DUMMYFUNCTION("REGEXREPLACE(LOWER(F1419),""[^a-z\s]"","""")"),"i gave you a top score because we ordered food from you guys all the time this time i didnt get any emails i looked in my junk folder there was nothing there i had to call twice to figure out what was going on i hope you can improve this process")</f>
        <v>i gave you a top score because we ordered food from you guys all the time this time i didnt get any emails i looked in my junk folder there was nothing there i had to call twice to figure out what was going on i hope you can improve this process</v>
      </c>
      <c r="H1419" s="4" t="str">
        <f t="shared" si="1"/>
        <v>i gave you a top score because we ordered food from you guys all time this time i didnt get any emails i looked in my junk folder there was nothing there i had call twice figure out what was going on i hope you can improve this process</v>
      </c>
      <c r="I1419" s="6">
        <f t="shared" si="2"/>
        <v>49</v>
      </c>
      <c r="J1419" s="6">
        <f>IFERROR(__xludf.DUMMYFUNCTION("IF(H1419="""","""",
SUM(
ARRAYFORMULA(
IF(
REGEXMATCH(
"" ""&amp;H1419&amp;"" "",
"" ""&amp;Sentiment_Words!A$2:A3730&amp;"" ""
),
1,
0
)
)
)
)"),0.0)</f>
        <v>0</v>
      </c>
      <c r="K1419" s="4">
        <f>IFERROR(__xludf.DUMMYFUNCTION("IF(H1419="""","""",
SUM(
ARRAYFORMULA(
IF(
REGEXMATCH(
"" ""&amp;H1419&amp;"" "",
"" ""&amp;Sentiment_Words!B$2:B3730&amp;"" ""
),
1,
0
)
)
)
)"),0.0)</f>
        <v>0</v>
      </c>
      <c r="L1419" s="7" t="str">
        <f t="shared" si="3"/>
        <v>Other</v>
      </c>
      <c r="M1419" s="7" t="str">
        <f t="shared" si="4"/>
        <v>Neutral</v>
      </c>
      <c r="N1419" s="7" t="str">
        <f>IFERROR(__xludf.DUMMYFUNCTION("LOWER(
TRIM(
REGEXREPLACE(B1419,""[^a-zA-Z\s]"","""")
)
)
"),"david blake")</f>
        <v>david blake</v>
      </c>
      <c r="O1419" s="7">
        <f t="shared" si="5"/>
        <v>1</v>
      </c>
      <c r="P1419" s="8" t="str">
        <f t="shared" si="6"/>
        <v>No</v>
      </c>
    </row>
    <row r="1420">
      <c r="A1420" s="4" t="s">
        <v>16</v>
      </c>
      <c r="B1420" s="4" t="s">
        <v>4022</v>
      </c>
      <c r="C1420" s="5">
        <v>44823.0</v>
      </c>
      <c r="D1420" s="10">
        <v>44826.0</v>
      </c>
      <c r="E1420" s="4" t="s">
        <v>4023</v>
      </c>
      <c r="F1420" s="4" t="s">
        <v>4024</v>
      </c>
      <c r="G1420" s="6" t="str">
        <f>IFERROR(__xludf.DUMMYFUNCTION("REGEXREPLACE(LOWER(F1420),""[^a-z\s]"","""")"),"have enjoyed using this site to help take care of our for babies great selection decent pricesdelivery on time")</f>
        <v>have enjoyed using this site to help take care of our for babies great selection decent pricesdelivery on time</v>
      </c>
      <c r="H1420" s="4" t="str">
        <f t="shared" si="1"/>
        <v>have enjoyed using this site help take care of our babies great selection decent pricesdelivery on time</v>
      </c>
      <c r="I1420" s="6">
        <f t="shared" si="2"/>
        <v>17</v>
      </c>
      <c r="J1420" s="6">
        <f>IFERROR(__xludf.DUMMYFUNCTION("IF(H1420="""","""",
SUM(
ARRAYFORMULA(
IF(
REGEXMATCH(
"" ""&amp;H1420&amp;"" "",
"" ""&amp;Sentiment_Words!A$2:A3730&amp;"" ""
),
1,
0
)
)
)
)"),2.0)</f>
        <v>2</v>
      </c>
      <c r="K1420" s="4">
        <f>IFERROR(__xludf.DUMMYFUNCTION("IF(H1420="""","""",
SUM(
ARRAYFORMULA(
IF(
REGEXMATCH(
"" ""&amp;H1420&amp;"" "",
"" ""&amp;Sentiment_Words!B$2:B3730&amp;"" ""
),
1,
0
)
)
)
)"),0.0)</f>
        <v>0</v>
      </c>
      <c r="L1420" s="7" t="str">
        <f t="shared" si="3"/>
        <v>Other</v>
      </c>
      <c r="M1420" s="7" t="str">
        <f t="shared" si="4"/>
        <v>Positive</v>
      </c>
      <c r="N1420" s="7" t="str">
        <f>IFERROR(__xludf.DUMMYFUNCTION("LOWER(
TRIM(
REGEXREPLACE(B1420,""[^a-zA-Z\s]"","""")
)
)
"),"kathie potega")</f>
        <v>kathie potega</v>
      </c>
      <c r="O1420" s="7">
        <f t="shared" si="5"/>
        <v>1</v>
      </c>
      <c r="P1420" s="8" t="str">
        <f t="shared" si="6"/>
        <v>No</v>
      </c>
    </row>
    <row r="1421">
      <c r="A1421" s="4" t="s">
        <v>16</v>
      </c>
      <c r="B1421" s="4" t="s">
        <v>4025</v>
      </c>
      <c r="C1421" s="5">
        <v>44825.0</v>
      </c>
      <c r="D1421" s="10">
        <v>44826.0</v>
      </c>
      <c r="E1421" s="4" t="s">
        <v>4026</v>
      </c>
      <c r="F1421" s="4" t="s">
        <v>4027</v>
      </c>
      <c r="G1421" s="6" t="str">
        <f>IFERROR(__xludf.DUMMYFUNCTION("REGEXREPLACE(LOWER(F1421),""[^a-z\s]"","""")"),"our girls love the dreambone peanut butter sticks and they are always out or extra expensive on other sites this price is great")</f>
        <v>our girls love the dreambone peanut butter sticks and they are always out or extra expensive on other sites this price is great</v>
      </c>
      <c r="H1421" s="4" t="str">
        <f t="shared" si="1"/>
        <v>our girls love dreambone peanut butter sticks they are always out or extra expensive on other sites this price great</v>
      </c>
      <c r="I1421" s="6">
        <f t="shared" si="2"/>
        <v>20</v>
      </c>
      <c r="J1421" s="6">
        <f>IFERROR(__xludf.DUMMYFUNCTION("IF(H1421="""","""",
SUM(
ARRAYFORMULA(
IF(
REGEXMATCH(
"" ""&amp;H1421&amp;"" "",
"" ""&amp;Sentiment_Words!A$2:A3730&amp;"" ""
),
1,
0
)
)
)
)"),2.0)</f>
        <v>2</v>
      </c>
      <c r="K1421" s="4">
        <f>IFERROR(__xludf.DUMMYFUNCTION("IF(H1421="""","""",
SUM(
ARRAYFORMULA(
IF(
REGEXMATCH(
"" ""&amp;H1421&amp;"" "",
"" ""&amp;Sentiment_Words!B$2:B3730&amp;"" ""
),
1,
0
)
)
)
)"),0.0)</f>
        <v>0</v>
      </c>
      <c r="L1421" s="7" t="str">
        <f t="shared" si="3"/>
        <v>Other</v>
      </c>
      <c r="M1421" s="7" t="str">
        <f t="shared" si="4"/>
        <v>Positive</v>
      </c>
      <c r="N1421" s="7" t="str">
        <f>IFERROR(__xludf.DUMMYFUNCTION("LOWER(
TRIM(
REGEXREPLACE(B1421,""[^a-zA-Z\s]"","""")
)
)
"),"barb")</f>
        <v>barb</v>
      </c>
      <c r="O1421" s="7">
        <f t="shared" si="5"/>
        <v>1</v>
      </c>
      <c r="P1421" s="8" t="str">
        <f t="shared" si="6"/>
        <v>No</v>
      </c>
    </row>
    <row r="1422">
      <c r="A1422" s="4" t="s">
        <v>16</v>
      </c>
      <c r="B1422" s="4" t="s">
        <v>4028</v>
      </c>
      <c r="C1422" s="5">
        <v>44821.0</v>
      </c>
      <c r="D1422" s="10">
        <v>44826.0</v>
      </c>
      <c r="E1422" s="4" t="s">
        <v>4029</v>
      </c>
      <c r="F1422" s="4" t="s">
        <v>4030</v>
      </c>
      <c r="G1422" s="6" t="str">
        <f>IFERROR(__xludf.DUMMYFUNCTION("REGEXREPLACE(LOWER(F1422),""[^a-z\s]"","""")"),"i had a good experience with this company i ordered my dogs food and received a great price order arrived in the time frame and condition expected i will be reordering as needed
thank you")</f>
        <v>i had a good experience with this company i ordered my dogs food and received a great price order arrived in the time frame and condition expected i will be reordering as needed
thank you</v>
      </c>
      <c r="H1422" s="4" t="str">
        <f t="shared" si="1"/>
        <v>i had a good experience with this company i ordered my dogs food received a great price order arrived in time frame condition expected i will be reordering as needed
thank you</v>
      </c>
      <c r="I1422" s="6">
        <f t="shared" si="2"/>
        <v>31</v>
      </c>
      <c r="J1422" s="6">
        <f>IFERROR(__xludf.DUMMYFUNCTION("IF(H1422="""","""",
SUM(
ARRAYFORMULA(
IF(
REGEXMATCH(
"" ""&amp;H1422&amp;"" "",
"" ""&amp;Sentiment_Words!A$2:A3730&amp;"" ""
),
1,
0
)
)
)
)"),2.0)</f>
        <v>2</v>
      </c>
      <c r="K1422" s="4">
        <f>IFERROR(__xludf.DUMMYFUNCTION("IF(H1422="""","""",
SUM(
ARRAYFORMULA(
IF(
REGEXMATCH(
"" ""&amp;H1422&amp;"" "",
"" ""&amp;Sentiment_Words!B$2:B3730&amp;"" ""
),
1,
0
)
)
)
)"),0.0)</f>
        <v>0</v>
      </c>
      <c r="L1422" s="7" t="str">
        <f t="shared" si="3"/>
        <v>Other</v>
      </c>
      <c r="M1422" s="7" t="str">
        <f t="shared" si="4"/>
        <v>Positive</v>
      </c>
      <c r="N1422" s="7" t="str">
        <f>IFERROR(__xludf.DUMMYFUNCTION("LOWER(
TRIM(
REGEXREPLACE(B1422,""[^a-zA-Z\s]"","""")
)
)
"),"sheliaj")</f>
        <v>sheliaj</v>
      </c>
      <c r="O1422" s="7">
        <f t="shared" si="5"/>
        <v>1</v>
      </c>
      <c r="P1422" s="8" t="str">
        <f t="shared" si="6"/>
        <v>No</v>
      </c>
    </row>
    <row r="1423">
      <c r="A1423" s="4" t="s">
        <v>16</v>
      </c>
      <c r="B1423" s="4" t="s">
        <v>4031</v>
      </c>
      <c r="C1423" s="5">
        <v>44820.0</v>
      </c>
      <c r="D1423" s="10">
        <v>44825.0</v>
      </c>
      <c r="E1423" s="4" t="s">
        <v>4032</v>
      </c>
      <c r="F1423" s="4" t="s">
        <v>4033</v>
      </c>
      <c r="G1423" s="6" t="str">
        <f>IFERROR(__xludf.DUMMYFUNCTION("REGEXREPLACE(LOWER(F1423),""[^a-z\s]"","""")"),"my pups love all of the toys we ordered from petflow most of the toys we ordered are made by kong toys are great for our young aggressive chewer as well as our fairly active  year old senior pup ordering was easy prices are great")</f>
        <v>my pups love all of the toys we ordered from petflow most of the toys we ordered are made by kong toys are great for our young aggressive chewer as well as our fairly active  year old senior pup ordering was easy prices are great</v>
      </c>
      <c r="H1423" s="4" t="str">
        <f t="shared" si="1"/>
        <v>my pups love all of toys we ordered from petflow most of toys we ordered are made by kong toys are great our young aggressive chewer as well as our fairly active year old senior pup ordering was easy prices are great</v>
      </c>
      <c r="I1423" s="6">
        <f t="shared" si="2"/>
        <v>42</v>
      </c>
      <c r="J1423" s="6">
        <f>IFERROR(__xludf.DUMMYFUNCTION("IF(H1423="""","""",
SUM(
ARRAYFORMULA(
IF(
REGEXMATCH(
"" ""&amp;H1423&amp;"" "",
"" ""&amp;Sentiment_Words!A$2:A3730&amp;"" ""
),
1,
0
)
)
)
)"),3.0)</f>
        <v>3</v>
      </c>
      <c r="K1423" s="4">
        <f>IFERROR(__xludf.DUMMYFUNCTION("IF(H1423="""","""",
SUM(
ARRAYFORMULA(
IF(
REGEXMATCH(
"" ""&amp;H1423&amp;"" "",
"" ""&amp;Sentiment_Words!B$2:B3730&amp;"" ""
),
1,
0
)
)
)
)"),0.0)</f>
        <v>0</v>
      </c>
      <c r="L1423" s="7" t="str">
        <f t="shared" si="3"/>
        <v>Other</v>
      </c>
      <c r="M1423" s="7" t="str">
        <f t="shared" si="4"/>
        <v>Positive</v>
      </c>
      <c r="N1423" s="7" t="str">
        <f>IFERROR(__xludf.DUMMYFUNCTION("LOWER(
TRIM(
REGEXREPLACE(B1423,""[^a-zA-Z\s]"","""")
)
)
"),"eightblueeyes")</f>
        <v>eightblueeyes</v>
      </c>
      <c r="O1423" s="7">
        <f t="shared" si="5"/>
        <v>1</v>
      </c>
      <c r="P1423" s="8" t="str">
        <f t="shared" si="6"/>
        <v>No</v>
      </c>
    </row>
    <row r="1424">
      <c r="A1424" s="4" t="s">
        <v>16</v>
      </c>
      <c r="B1424" s="4" t="s">
        <v>4034</v>
      </c>
      <c r="C1424" s="5">
        <v>44825.0</v>
      </c>
      <c r="D1424" s="10">
        <v>44825.0</v>
      </c>
      <c r="E1424" s="4" t="s">
        <v>4035</v>
      </c>
      <c r="F1424" s="4" t="s">
        <v>4036</v>
      </c>
      <c r="G1424" s="6" t="str">
        <f>IFERROR(__xludf.DUMMYFUNCTION("REGEXREPLACE(LOWER(F1424),""[^a-z\s]"","""")"),"i submitted a signed prescription from my vet through email for  orders and kept receiving emails from this vendor telling me they couldnt ship until the prescription is verified then more emails saying they would approve it if i would submit a prescripti"&amp;"on from my vet i have been trying to cancel my orders but it wont allow me because its pending prescription approval having to provide a prescription for dog snacks is ridiculous to begin with i wager its much easier for a person to obtain a script for na"&amp;"rcotics than for a pet owner whose best friend is suddenly sick and cant get products due to a impossible system shame on vetenarians")</f>
        <v>i submitted a signed prescription from my vet through email for  orders and kept receiving emails from this vendor telling me they couldnt ship until the prescription is verified then more emails saying they would approve it if i would submit a prescription from my vet i have been trying to cancel my orders but it wont allow me because its pending prescription approval having to provide a prescription for dog snacks is ridiculous to begin with i wager its much easier for a person to obtain a script for narcotics than for a pet owner whose best friend is suddenly sick and cant get products due to a impossible system shame on vetenarians</v>
      </c>
      <c r="H1424" s="4" t="str">
        <f t="shared" si="1"/>
        <v>i submitted a signed prescription from my vet through email orders kept receiving emails from this vendor telling me they couldnt ship until prescription verified then more emails saying they would approve it if i would submit a prescription from my vet i have been trying cancel my orders but it wont allow me because its pending prescription approval having provide a prescription dog snacks ridiculous begin with i wager its much easier a person obtain a script narcotics than a pet owner whose best friend suddenly sick cant get products due a impossible system shame on vetenarians</v>
      </c>
      <c r="I1424" s="6">
        <f t="shared" si="2"/>
        <v>98</v>
      </c>
      <c r="J1424" s="6">
        <f>IFERROR(__xludf.DUMMYFUNCTION("IF(H1424="""","""",
SUM(
ARRAYFORMULA(
IF(
REGEXMATCH(
"" ""&amp;H1424&amp;"" "",
"" ""&amp;Sentiment_Words!A$2:A3730&amp;"" ""
),
1,
0
)
)
)
)"),0.0)</f>
        <v>0</v>
      </c>
      <c r="K1424" s="4">
        <f>IFERROR(__xludf.DUMMYFUNCTION("IF(H1424="""","""",
SUM(
ARRAYFORMULA(
IF(
REGEXMATCH(
"" ""&amp;H1424&amp;"" "",
"" ""&amp;Sentiment_Words!B$2:B3730&amp;"" ""
),
1,
0
)
)
)
)"),0.0)</f>
        <v>0</v>
      </c>
      <c r="L1424" s="7" t="str">
        <f t="shared" si="3"/>
        <v>Other</v>
      </c>
      <c r="M1424" s="7" t="str">
        <f t="shared" si="4"/>
        <v>Neutral</v>
      </c>
      <c r="N1424" s="7" t="str">
        <f>IFERROR(__xludf.DUMMYFUNCTION("LOWER(
TRIM(
REGEXREPLACE(B1424,""[^a-zA-Z\s]"","""")
)
)
"),"ellen soliscohen")</f>
        <v>ellen soliscohen</v>
      </c>
      <c r="O1424" s="7">
        <f t="shared" si="5"/>
        <v>1</v>
      </c>
      <c r="P1424" s="8" t="str">
        <f t="shared" si="6"/>
        <v>No</v>
      </c>
    </row>
    <row r="1425">
      <c r="A1425" s="4" t="s">
        <v>16</v>
      </c>
      <c r="B1425" s="4" t="s">
        <v>4037</v>
      </c>
      <c r="C1425" s="9">
        <v>44813.0</v>
      </c>
      <c r="D1425" s="10">
        <v>44825.0</v>
      </c>
      <c r="E1425" s="4" t="s">
        <v>4038</v>
      </c>
      <c r="F1425" s="4" t="s">
        <v>4039</v>
      </c>
      <c r="G1425" s="6" t="str">
        <f>IFERROR(__xludf.DUMMYFUNCTION("REGEXREPLACE(LOWER(F1425),""[^a-z\s]"","""")"),"great communication free and fast shipping and they carry an item thats out of stock everywhere")</f>
        <v>great communication free and fast shipping and they carry an item thats out of stock everywhere</v>
      </c>
      <c r="H1425" s="4" t="str">
        <f t="shared" si="1"/>
        <v>great communication free fast shipping they carry an item thats out of stock everywhere</v>
      </c>
      <c r="I1425" s="6">
        <f t="shared" si="2"/>
        <v>14</v>
      </c>
      <c r="J1425" s="6">
        <f>IFERROR(__xludf.DUMMYFUNCTION("IF(H1425="""","""",
SUM(
ARRAYFORMULA(
IF(
REGEXMATCH(
"" ""&amp;H1425&amp;"" "",
"" ""&amp;Sentiment_Words!A$2:A3730&amp;"" ""
),
1,
0
)
)
)
)"),2.0)</f>
        <v>2</v>
      </c>
      <c r="K1425" s="4">
        <f>IFERROR(__xludf.DUMMYFUNCTION("IF(H1425="""","""",
SUM(
ARRAYFORMULA(
IF(
REGEXMATCH(
"" ""&amp;H1425&amp;"" "",
"" ""&amp;Sentiment_Words!B$2:B3730&amp;"" ""
),
1,
0
)
)
)
)"),1.0)</f>
        <v>1</v>
      </c>
      <c r="L1425" s="7" t="str">
        <f t="shared" si="3"/>
        <v>Availability</v>
      </c>
      <c r="M1425" s="7" t="str">
        <f t="shared" si="4"/>
        <v>Positive</v>
      </c>
      <c r="N1425" s="7" t="str">
        <f>IFERROR(__xludf.DUMMYFUNCTION("LOWER(
TRIM(
REGEXREPLACE(B1425,""[^a-zA-Z\s]"","""")
)
)
"),"william")</f>
        <v>william</v>
      </c>
      <c r="O1425" s="7">
        <f t="shared" si="5"/>
        <v>2</v>
      </c>
      <c r="P1425" s="8" t="str">
        <f t="shared" si="6"/>
        <v>Yes</v>
      </c>
    </row>
    <row r="1426">
      <c r="A1426" s="4" t="s">
        <v>16</v>
      </c>
      <c r="B1426" s="4" t="s">
        <v>4040</v>
      </c>
      <c r="C1426" s="5">
        <v>44817.0</v>
      </c>
      <c r="D1426" s="10">
        <v>44825.0</v>
      </c>
      <c r="E1426" s="4" t="s">
        <v>4041</v>
      </c>
      <c r="F1426" s="4" t="s">
        <v>4042</v>
      </c>
      <c r="G1426" s="6" t="str">
        <f>IFERROR(__xludf.DUMMYFUNCTION("REGEXREPLACE(LOWER(F1426),""[^a-z\s]"","""")"),"im really happy with all my purchases from petflow affordable prices and fast shipping")</f>
        <v>im really happy with all my purchases from petflow affordable prices and fast shipping</v>
      </c>
      <c r="H1426" s="4" t="str">
        <f t="shared" si="1"/>
        <v>im really happy with all my purchases from petflow affordable prices fast shipping</v>
      </c>
      <c r="I1426" s="6">
        <f t="shared" si="2"/>
        <v>13</v>
      </c>
      <c r="J1426" s="6">
        <f>IFERROR(__xludf.DUMMYFUNCTION("IF(H1426="""","""",
SUM(
ARRAYFORMULA(
IF(
REGEXMATCH(
"" ""&amp;H1426&amp;"" "",
"" ""&amp;Sentiment_Words!A$2:A3730&amp;"" ""
),
1,
0
)
)
)
)"),3.0)</f>
        <v>3</v>
      </c>
      <c r="K1426" s="4">
        <f>IFERROR(__xludf.DUMMYFUNCTION("IF(H1426="""","""",
SUM(
ARRAYFORMULA(
IF(
REGEXMATCH(
"" ""&amp;H1426&amp;"" "",
"" ""&amp;Sentiment_Words!B$2:B3730&amp;"" ""
),
1,
0
)
)
)
)"),0.0)</f>
        <v>0</v>
      </c>
      <c r="L1426" s="7" t="str">
        <f t="shared" si="3"/>
        <v>Other</v>
      </c>
      <c r="M1426" s="7" t="str">
        <f t="shared" si="4"/>
        <v>Positive</v>
      </c>
      <c r="N1426" s="7" t="str">
        <f>IFERROR(__xludf.DUMMYFUNCTION("LOWER(
TRIM(
REGEXREPLACE(B1426,""[^a-zA-Z\s]"","""")
)
)
"),"katarina")</f>
        <v>katarina</v>
      </c>
      <c r="O1426" s="7">
        <f t="shared" si="5"/>
        <v>1</v>
      </c>
      <c r="P1426" s="8" t="str">
        <f t="shared" si="6"/>
        <v>No</v>
      </c>
    </row>
    <row r="1427">
      <c r="A1427" s="4" t="s">
        <v>16</v>
      </c>
      <c r="B1427" s="4" t="s">
        <v>4043</v>
      </c>
      <c r="C1427" s="5">
        <v>44821.0</v>
      </c>
      <c r="D1427" s="10">
        <v>44825.0</v>
      </c>
      <c r="E1427" s="4" t="s">
        <v>4044</v>
      </c>
      <c r="F1427" s="4" t="s">
        <v>331</v>
      </c>
      <c r="G1427" s="6" t="str">
        <f>IFERROR(__xludf.DUMMYFUNCTION("REGEXREPLACE(LOWER(F1427),""[^a-z\s]"","""")"),"none")</f>
        <v>none</v>
      </c>
      <c r="H1427" s="4" t="str">
        <f t="shared" si="1"/>
        <v>none</v>
      </c>
      <c r="I1427" s="6">
        <f t="shared" si="2"/>
        <v>1</v>
      </c>
      <c r="J1427" s="6">
        <f>IFERROR(__xludf.DUMMYFUNCTION("IF(H1427="""","""",
SUM(
ARRAYFORMULA(
IF(
REGEXMATCH(
"" ""&amp;H1427&amp;"" "",
"" ""&amp;Sentiment_Words!A$2:A3730&amp;"" ""
),
1,
0
)
)
)
)"),0.0)</f>
        <v>0</v>
      </c>
      <c r="K1427" s="4">
        <f>IFERROR(__xludf.DUMMYFUNCTION("IF(H1427="""","""",
SUM(
ARRAYFORMULA(
IF(
REGEXMATCH(
"" ""&amp;H1427&amp;"" "",
"" ""&amp;Sentiment_Words!B$2:B3730&amp;"" ""
),
1,
0
)
)
)
)"),0.0)</f>
        <v>0</v>
      </c>
      <c r="L1427" s="7" t="str">
        <f t="shared" si="3"/>
        <v>Other</v>
      </c>
      <c r="M1427" s="7" t="str">
        <f t="shared" si="4"/>
        <v>Neutral</v>
      </c>
      <c r="N1427" s="7" t="str">
        <f>IFERROR(__xludf.DUMMYFUNCTION("LOWER(
TRIM(
REGEXREPLACE(B1427,""[^a-zA-Z\s]"","""")
)
)
"),"mclem")</f>
        <v>mclem</v>
      </c>
      <c r="O1427" s="7">
        <f t="shared" si="5"/>
        <v>1</v>
      </c>
      <c r="P1427" s="8" t="str">
        <f t="shared" si="6"/>
        <v>No</v>
      </c>
    </row>
    <row r="1428">
      <c r="A1428" s="4" t="s">
        <v>16</v>
      </c>
      <c r="B1428" s="4" t="s">
        <v>4045</v>
      </c>
      <c r="C1428" s="5">
        <v>44822.0</v>
      </c>
      <c r="D1428" s="10">
        <v>44825.0</v>
      </c>
      <c r="E1428" s="4" t="s">
        <v>4046</v>
      </c>
      <c r="F1428" s="4" t="s">
        <v>4047</v>
      </c>
      <c r="G1428" s="6" t="str">
        <f>IFERROR(__xludf.DUMMYFUNCTION("REGEXREPLACE(LOWER(F1428),""[^a-z\s]"","""")"),"i have gotten myias can food before from you but this time every single can was dented up not the quality i expect for the price of hills prescription food")</f>
        <v>i have gotten myias can food before from you but this time every single can was dented up not the quality i expect for the price of hills prescription food</v>
      </c>
      <c r="H1428" s="4" t="str">
        <f t="shared" si="1"/>
        <v>i have gotten myias can food before from you but this time every single can was dented up not quality i expect price of hills prescription food</v>
      </c>
      <c r="I1428" s="6">
        <f t="shared" si="2"/>
        <v>27</v>
      </c>
      <c r="J1428" s="6">
        <f>IFERROR(__xludf.DUMMYFUNCTION("IF(H1428="""","""",
SUM(
ARRAYFORMULA(
IF(
REGEXMATCH(
"" ""&amp;H1428&amp;"" "",
"" ""&amp;Sentiment_Words!A$2:A3730&amp;"" ""
),
1,
0
)
)
)
)"),0.0)</f>
        <v>0</v>
      </c>
      <c r="K1428" s="4">
        <f>IFERROR(__xludf.DUMMYFUNCTION("IF(H1428="""","""",
SUM(
ARRAYFORMULA(
IF(
REGEXMATCH(
"" ""&amp;H1428&amp;"" "",
"" ""&amp;Sentiment_Words!B$2:B3730&amp;"" ""
),
1,
0
)
)
)
)"),0.0)</f>
        <v>0</v>
      </c>
      <c r="L1428" s="7" t="str">
        <f t="shared" si="3"/>
        <v>Other</v>
      </c>
      <c r="M1428" s="7" t="str">
        <f t="shared" si="4"/>
        <v>Neutral</v>
      </c>
      <c r="N1428" s="7" t="str">
        <f>IFERROR(__xludf.DUMMYFUNCTION("LOWER(
TRIM(
REGEXREPLACE(B1428,""[^a-zA-Z\s]"","""")
)
)
"),"michele bowers")</f>
        <v>michele bowers</v>
      </c>
      <c r="O1428" s="7">
        <f t="shared" si="5"/>
        <v>1</v>
      </c>
      <c r="P1428" s="8" t="str">
        <f t="shared" si="6"/>
        <v>No</v>
      </c>
    </row>
    <row r="1429">
      <c r="A1429" s="4" t="s">
        <v>16</v>
      </c>
      <c r="B1429" s="4" t="s">
        <v>4048</v>
      </c>
      <c r="C1429" s="5">
        <v>44816.0</v>
      </c>
      <c r="D1429" s="10">
        <v>44825.0</v>
      </c>
      <c r="E1429" s="4" t="s">
        <v>4049</v>
      </c>
      <c r="F1429" s="4" t="s">
        <v>4050</v>
      </c>
      <c r="G1429" s="6" t="str">
        <f>IFERROR(__xludf.DUMMYFUNCTION("REGEXREPLACE(LOWER(F1429),""[^a-z\s]"","""")"),"the worst spoke with a customer service rep ryan and he was courteous and yet at the same time completely unhelpful and unwilling to do what it takes to resolve the issue he was very passiveaggressive so i to him to suck a bag of diks etc etc
my problem w"&amp;"as getting an uploaded prescription form one department to the other ryan couldnt do this poor ryan both he and the company should go broke and find another way to make a living perhaps cleaning out horse stalls")</f>
        <v>the worst spoke with a customer service rep ryan and he was courteous and yet at the same time completely unhelpful and unwilling to do what it takes to resolve the issue he was very passiveaggressive so i to him to suck a bag of diks etc etc
my problem was getting an uploaded prescription form one department to the other ryan couldnt do this poor ryan both he and the company should go broke and find another way to make a living perhaps cleaning out horse stalls</v>
      </c>
      <c r="H1429" s="4" t="str">
        <f t="shared" si="1"/>
        <v>worst spoke with a customer service rep ryan he was courteous yet at same time completely unhelpful unwilling do what it takes resolve issue he was very passiveaggressive so i him suck a bag of diks etc etc
my problem was getting an uploaded prescription form one department other ryan couldnt do this poor ryan both he company should go broke find another way make a living perhaps cleaning out horse stalls</v>
      </c>
      <c r="I1429" s="6">
        <f t="shared" si="2"/>
        <v>71</v>
      </c>
      <c r="J1429" s="6">
        <f>IFERROR(__xludf.DUMMYFUNCTION("IF(H1429="""","""",
SUM(
ARRAYFORMULA(
IF(
REGEXMATCH(
"" ""&amp;H1429&amp;"" "",
"" ""&amp;Sentiment_Words!A$2:A3730&amp;"" ""
),
1,
0
)
)
)
)"),1.0)</f>
        <v>1</v>
      </c>
      <c r="K1429" s="4">
        <f>IFERROR(__xludf.DUMMYFUNCTION("IF(H1429="""","""",
SUM(
ARRAYFORMULA(
IF(
REGEXMATCH(
"" ""&amp;H1429&amp;"" "",
"" ""&amp;Sentiment_Words!B$2:B3730&amp;"" ""
),
1,
0
)
)
)
)"),3.0)</f>
        <v>3</v>
      </c>
      <c r="L1429" s="7" t="str">
        <f t="shared" si="3"/>
        <v>Customer Support</v>
      </c>
      <c r="M1429" s="7" t="str">
        <f t="shared" si="4"/>
        <v>Negative</v>
      </c>
      <c r="N1429" s="7" t="str">
        <f>IFERROR(__xludf.DUMMYFUNCTION("LOWER(
TRIM(
REGEXREPLACE(B1429,""[^a-zA-Z\s]"","""")
)
)
"),"james b")</f>
        <v>james b</v>
      </c>
      <c r="O1429" s="7">
        <f t="shared" si="5"/>
        <v>1</v>
      </c>
      <c r="P1429" s="8" t="str">
        <f t="shared" si="6"/>
        <v>No</v>
      </c>
    </row>
    <row r="1430">
      <c r="A1430" s="4" t="s">
        <v>16</v>
      </c>
      <c r="B1430" s="4" t="s">
        <v>4051</v>
      </c>
      <c r="C1430" s="5">
        <v>44824.0</v>
      </c>
      <c r="D1430" s="10">
        <v>44825.0</v>
      </c>
      <c r="E1430" s="4" t="s">
        <v>4052</v>
      </c>
      <c r="F1430" s="4" t="s">
        <v>4053</v>
      </c>
      <c r="G1430" s="6" t="str">
        <f>IFERROR(__xludf.DUMMYFUNCTION("REGEXREPLACE(LOWER(F1430),""[^a-z\s]"","""")"),"no issues with shipment or product easy ordering")</f>
        <v>no issues with shipment or product easy ordering</v>
      </c>
      <c r="H1430" s="4" t="str">
        <f t="shared" si="1"/>
        <v>no issues with shipment or product easy ordering</v>
      </c>
      <c r="I1430" s="6">
        <f t="shared" si="2"/>
        <v>8</v>
      </c>
      <c r="J1430" s="6">
        <f>IFERROR(__xludf.DUMMYFUNCTION("IF(H1430="""","""",
SUM(
ARRAYFORMULA(
IF(
REGEXMATCH(
"" ""&amp;H1430&amp;"" "",
"" ""&amp;Sentiment_Words!A$2:A3730&amp;"" ""
),
1,
0
)
)
)
)"),2.0)</f>
        <v>2</v>
      </c>
      <c r="K1430" s="4">
        <f>IFERROR(__xludf.DUMMYFUNCTION("IF(H1430="""","""",
SUM(
ARRAYFORMULA(
IF(
REGEXMATCH(
"" ""&amp;H1430&amp;"" "",
"" ""&amp;Sentiment_Words!B$2:B3730&amp;"" ""
),
1,
0
)
)
)
)"),0.0)</f>
        <v>0</v>
      </c>
      <c r="L1430" s="7" t="str">
        <f t="shared" si="3"/>
        <v>Other</v>
      </c>
      <c r="M1430" s="7" t="str">
        <f t="shared" si="4"/>
        <v>Positive</v>
      </c>
      <c r="N1430" s="7" t="str">
        <f>IFERROR(__xludf.DUMMYFUNCTION("LOWER(
TRIM(
REGEXREPLACE(B1430,""[^a-zA-Z\s]"","""")
)
)
"),"ed")</f>
        <v>ed</v>
      </c>
      <c r="O1430" s="7">
        <f t="shared" si="5"/>
        <v>1</v>
      </c>
      <c r="P1430" s="8" t="str">
        <f t="shared" si="6"/>
        <v>No</v>
      </c>
    </row>
    <row r="1431">
      <c r="A1431" s="4" t="s">
        <v>16</v>
      </c>
      <c r="B1431" s="4" t="s">
        <v>4054</v>
      </c>
      <c r="C1431" s="9">
        <v>44808.0</v>
      </c>
      <c r="D1431" s="10">
        <v>44825.0</v>
      </c>
      <c r="E1431" s="4" t="s">
        <v>4055</v>
      </c>
      <c r="F1431" s="4" t="s">
        <v>4056</v>
      </c>
      <c r="G1431" s="6" t="str">
        <f>IFERROR(__xludf.DUMMYFUNCTION("REGEXREPLACE(LOWER(F1431),""[^a-z\s]"","""")"),"my experience was very positive i was able to get some dog treats that i had not been able to purchase for quite some time thank you")</f>
        <v>my experience was very positive i was able to get some dog treats that i had not been able to purchase for quite some time thank you</v>
      </c>
      <c r="H1431" s="4" t="str">
        <f t="shared" si="1"/>
        <v>my experience was very positive i was able get some dog treats that i had not been able purchase quite some time thank you</v>
      </c>
      <c r="I1431" s="6">
        <f t="shared" si="2"/>
        <v>24</v>
      </c>
      <c r="J1431" s="6">
        <f>IFERROR(__xludf.DUMMYFUNCTION("IF(H1431="""","""",
SUM(
ARRAYFORMULA(
IF(
REGEXMATCH(
"" ""&amp;H1431&amp;"" "",
"" ""&amp;Sentiment_Words!A$2:A3730&amp;"" ""
),
1,
0
)
)
)
)"),1.0)</f>
        <v>1</v>
      </c>
      <c r="K1431" s="4">
        <f>IFERROR(__xludf.DUMMYFUNCTION("IF(H1431="""","""",
SUM(
ARRAYFORMULA(
IF(
REGEXMATCH(
"" ""&amp;H1431&amp;"" "",
"" ""&amp;Sentiment_Words!B$2:B3730&amp;"" ""
),
1,
0
)
)
)
)"),0.0)</f>
        <v>0</v>
      </c>
      <c r="L1431" s="7" t="str">
        <f t="shared" si="3"/>
        <v>Other</v>
      </c>
      <c r="M1431" s="7" t="str">
        <f t="shared" si="4"/>
        <v>Positive</v>
      </c>
      <c r="N1431" s="7" t="str">
        <f>IFERROR(__xludf.DUMMYFUNCTION("LOWER(
TRIM(
REGEXREPLACE(B1431,""[^a-zA-Z\s]"","""")
)
)
"),"marmy")</f>
        <v>marmy</v>
      </c>
      <c r="O1431" s="7">
        <f t="shared" si="5"/>
        <v>1</v>
      </c>
      <c r="P1431" s="8" t="str">
        <f t="shared" si="6"/>
        <v>No</v>
      </c>
    </row>
    <row r="1432">
      <c r="A1432" s="4" t="s">
        <v>16</v>
      </c>
      <c r="B1432" s="4" t="s">
        <v>4057</v>
      </c>
      <c r="C1432" s="5">
        <v>44819.0</v>
      </c>
      <c r="D1432" s="10">
        <v>44824.0</v>
      </c>
      <c r="E1432" s="4" t="s">
        <v>4058</v>
      </c>
      <c r="F1432" s="4" t="s">
        <v>4059</v>
      </c>
      <c r="G1432" s="6" t="str">
        <f>IFERROR(__xludf.DUMMYFUNCTION("REGEXREPLACE(LOWER(F1432),""[^a-z\s]"","""")"),"fast shipping good price")</f>
        <v>fast shipping good price</v>
      </c>
      <c r="H1432" s="4" t="str">
        <f t="shared" si="1"/>
        <v>fast shipping good price</v>
      </c>
      <c r="I1432" s="6">
        <f t="shared" si="2"/>
        <v>4</v>
      </c>
      <c r="J1432" s="6">
        <f>IFERROR(__xludf.DUMMYFUNCTION("IF(H1432="""","""",
SUM(
ARRAYFORMULA(
IF(
REGEXMATCH(
"" ""&amp;H1432&amp;"" "",
"" ""&amp;Sentiment_Words!A$2:A3730&amp;"" ""
),
1,
0
)
)
)
)"),2.0)</f>
        <v>2</v>
      </c>
      <c r="K1432" s="4">
        <f>IFERROR(__xludf.DUMMYFUNCTION("IF(H1432="""","""",
SUM(
ARRAYFORMULA(
IF(
REGEXMATCH(
"" ""&amp;H1432&amp;"" "",
"" ""&amp;Sentiment_Words!B$2:B3730&amp;"" ""
),
1,
0
)
)
)
)"),0.0)</f>
        <v>0</v>
      </c>
      <c r="L1432" s="7" t="str">
        <f t="shared" si="3"/>
        <v>Other</v>
      </c>
      <c r="M1432" s="7" t="str">
        <f t="shared" si="4"/>
        <v>Positive</v>
      </c>
      <c r="N1432" s="7" t="str">
        <f>IFERROR(__xludf.DUMMYFUNCTION("LOWER(
TRIM(
REGEXREPLACE(B1432,""[^a-zA-Z\s]"","""")
)
)
"),"kim frazier")</f>
        <v>kim frazier</v>
      </c>
      <c r="O1432" s="7">
        <f t="shared" si="5"/>
        <v>1</v>
      </c>
      <c r="P1432" s="8" t="str">
        <f t="shared" si="6"/>
        <v>No</v>
      </c>
    </row>
    <row r="1433">
      <c r="A1433" s="4" t="s">
        <v>16</v>
      </c>
      <c r="B1433" s="4" t="s">
        <v>4060</v>
      </c>
      <c r="C1433" s="5">
        <v>44814.0</v>
      </c>
      <c r="D1433" s="10">
        <v>44824.0</v>
      </c>
      <c r="E1433" s="4" t="s">
        <v>423</v>
      </c>
      <c r="F1433" s="4" t="s">
        <v>4061</v>
      </c>
      <c r="G1433" s="6" t="str">
        <f>IFERROR(__xludf.DUMMYFUNCTION("REGEXREPLACE(LOWER(F1433),""[^a-z\s]"","""")"),"my puppy lola has had allergy skin issues and she hates all food and treats until i cane across hills prescription hypo pet flow was so nice to work with great service great prices and the variety is wonderful thank you so much")</f>
        <v>my puppy lola has had allergy skin issues and she hates all food and treats until i cane across hills prescription hypo pet flow was so nice to work with great service great prices and the variety is wonderful thank you so much</v>
      </c>
      <c r="H1433" s="4" t="str">
        <f t="shared" si="1"/>
        <v>my puppy lola has had allergy skin issues she hates all food treats until i cane across hills prescription hypo pet flow was so nice work with great service great prices variety wonderful thank you so much</v>
      </c>
      <c r="I1433" s="6">
        <f t="shared" si="2"/>
        <v>37</v>
      </c>
      <c r="J1433" s="6">
        <f>IFERROR(__xludf.DUMMYFUNCTION("IF(H1433="""","""",
SUM(
ARRAYFORMULA(
IF(
REGEXMATCH(
"" ""&amp;H1433&amp;"" "",
"" ""&amp;Sentiment_Words!A$2:A3730&amp;"" ""
),
1,
0
)
)
)
)"),2.0)</f>
        <v>2</v>
      </c>
      <c r="K1433" s="4">
        <f>IFERROR(__xludf.DUMMYFUNCTION("IF(H1433="""","""",
SUM(
ARRAYFORMULA(
IF(
REGEXMATCH(
"" ""&amp;H1433&amp;"" "",
"" ""&amp;Sentiment_Words!B$2:B3730&amp;"" ""
),
1,
0
)
)
)
)"),0.0)</f>
        <v>0</v>
      </c>
      <c r="L1433" s="7" t="str">
        <f t="shared" si="3"/>
        <v>Customer Support</v>
      </c>
      <c r="M1433" s="7" t="str">
        <f t="shared" si="4"/>
        <v>Positive</v>
      </c>
      <c r="N1433" s="7" t="str">
        <f>IFERROR(__xludf.DUMMYFUNCTION("LOWER(
TRIM(
REGEXREPLACE(B1433,""[^a-zA-Z\s]"","""")
)
)
"),"donna augustine")</f>
        <v>donna augustine</v>
      </c>
      <c r="O1433" s="7">
        <f t="shared" si="5"/>
        <v>1</v>
      </c>
      <c r="P1433" s="8" t="str">
        <f t="shared" si="6"/>
        <v>No</v>
      </c>
    </row>
    <row r="1434">
      <c r="A1434" s="4" t="s">
        <v>16</v>
      </c>
      <c r="B1434" s="4" t="s">
        <v>4062</v>
      </c>
      <c r="C1434" s="5">
        <v>44820.0</v>
      </c>
      <c r="D1434" s="10">
        <v>44824.0</v>
      </c>
      <c r="E1434" s="4" t="s">
        <v>4063</v>
      </c>
      <c r="F1434" s="4" t="s">
        <v>4064</v>
      </c>
      <c r="G1434" s="6" t="str">
        <f>IFERROR(__xludf.DUMMYFUNCTION("REGEXREPLACE(LOWER(F1434),""[^a-z\s]"","""")"),"you are asking for me to rate something that hasnt yet been delivered i just tracked it and see that it is expected to be delivered tomorrow well see if that happens
by the way i ordered from your competitor about  days later than this order and it was d"&amp;"elivered last week sohow would you rate this experience")</f>
        <v>you are asking for me to rate something that hasnt yet been delivered i just tracked it and see that it is expected to be delivered tomorrow well see if that happens
by the way i ordered from your competitor about  days later than this order and it was delivered last week sohow would you rate this experience</v>
      </c>
      <c r="H1434" s="4" t="str">
        <f t="shared" si="1"/>
        <v>you are asking me rate something that hasnt yet been delivered i just tracked it see that it expected be delivered tomorrow well see if that happens
by way i ordered from your competitor about days later than this order it was delivered last week sohow would you rate this experience</v>
      </c>
      <c r="I1434" s="6">
        <f t="shared" si="2"/>
        <v>50</v>
      </c>
      <c r="J1434" s="6">
        <f>IFERROR(__xludf.DUMMYFUNCTION("IF(H1434="""","""",
SUM(
ARRAYFORMULA(
IF(
REGEXMATCH(
"" ""&amp;H1434&amp;"" "",
"" ""&amp;Sentiment_Words!A$2:A3730&amp;"" ""
),
1,
0
)
)
)
)"),1.0)</f>
        <v>1</v>
      </c>
      <c r="K1434" s="4">
        <f>IFERROR(__xludf.DUMMYFUNCTION("IF(H1434="""","""",
SUM(
ARRAYFORMULA(
IF(
REGEXMATCH(
"" ""&amp;H1434&amp;"" "",
"" ""&amp;Sentiment_Words!B$2:B3730&amp;"" ""
),
1,
0
)
)
)
)"),0.0)</f>
        <v>0</v>
      </c>
      <c r="L1434" s="7" t="str">
        <f t="shared" si="3"/>
        <v>Fulfillment &amp; Shipping</v>
      </c>
      <c r="M1434" s="7" t="str">
        <f t="shared" si="4"/>
        <v>Positive</v>
      </c>
      <c r="N1434" s="7" t="str">
        <f>IFERROR(__xludf.DUMMYFUNCTION("LOWER(
TRIM(
REGEXREPLACE(B1434,""[^a-zA-Z\s]"","""")
)
)
"),"mary chalaire")</f>
        <v>mary chalaire</v>
      </c>
      <c r="O1434" s="7">
        <f t="shared" si="5"/>
        <v>1</v>
      </c>
      <c r="P1434" s="8" t="str">
        <f t="shared" si="6"/>
        <v>No</v>
      </c>
    </row>
    <row r="1435">
      <c r="A1435" s="4" t="s">
        <v>16</v>
      </c>
      <c r="B1435" s="4" t="s">
        <v>4065</v>
      </c>
      <c r="C1435" s="5">
        <v>44823.0</v>
      </c>
      <c r="D1435" s="10">
        <v>44824.0</v>
      </c>
      <c r="E1435" s="4" t="s">
        <v>4066</v>
      </c>
      <c r="F1435" s="4" t="s">
        <v>4067</v>
      </c>
      <c r="G1435" s="6" t="str">
        <f>IFERROR(__xludf.DUMMYFUNCTION("REGEXREPLACE(LOWER(F1435),""[^a-z\s]"","""")"),"i am pet flow subscriber and i love it my cat food always arrives on time and if i order an item before it only takes  days to arrive or maybe less")</f>
        <v>i am pet flow subscriber and i love it my cat food always arrives on time and if i order an item before it only takes  days to arrive or maybe less</v>
      </c>
      <c r="H1435" s="4" t="str">
        <f t="shared" si="1"/>
        <v>i am pet flow subscriber i love it my cat food always arrives on time if i order an item before it only takes days arrive or maybe less</v>
      </c>
      <c r="I1435" s="6">
        <f t="shared" si="2"/>
        <v>29</v>
      </c>
      <c r="J1435" s="6">
        <f>IFERROR(__xludf.DUMMYFUNCTION("IF(H1435="""","""",
SUM(
ARRAYFORMULA(
IF(
REGEXMATCH(
"" ""&amp;H1435&amp;"" "",
"" ""&amp;Sentiment_Words!A$2:A3730&amp;"" ""
),
1,
0
)
)
)
)"),2.0)</f>
        <v>2</v>
      </c>
      <c r="K1435" s="4">
        <f>IFERROR(__xludf.DUMMYFUNCTION("IF(H1435="""","""",
SUM(
ARRAYFORMULA(
IF(
REGEXMATCH(
"" ""&amp;H1435&amp;"" "",
"" ""&amp;Sentiment_Words!B$2:B3730&amp;"" ""
),
1,
0
)
)
)
)"),0.0)</f>
        <v>0</v>
      </c>
      <c r="L1435" s="7" t="str">
        <f t="shared" si="3"/>
        <v>Other</v>
      </c>
      <c r="M1435" s="7" t="str">
        <f t="shared" si="4"/>
        <v>Positive</v>
      </c>
      <c r="N1435" s="7" t="str">
        <f>IFERROR(__xludf.DUMMYFUNCTION("LOWER(
TRIM(
REGEXREPLACE(B1435,""[^a-zA-Z\s]"","""")
)
)
"),"ginny b")</f>
        <v>ginny b</v>
      </c>
      <c r="O1435" s="7">
        <f t="shared" si="5"/>
        <v>1</v>
      </c>
      <c r="P1435" s="8" t="str">
        <f t="shared" si="6"/>
        <v>No</v>
      </c>
    </row>
    <row r="1436">
      <c r="A1436" s="4" t="s">
        <v>16</v>
      </c>
      <c r="B1436" s="4" t="s">
        <v>4068</v>
      </c>
      <c r="C1436" s="5">
        <v>44817.0</v>
      </c>
      <c r="D1436" s="10">
        <v>44824.0</v>
      </c>
      <c r="E1436" s="4" t="s">
        <v>1319</v>
      </c>
      <c r="F1436" s="4" t="s">
        <v>4069</v>
      </c>
      <c r="G1436" s="6" t="str">
        <f>IFERROR(__xludf.DUMMYFUNCTION("REGEXREPLACE(LOWER(F1436),""[^a-z\s]"","""")"),"i appreciate the delivery your prices are fair but it took a longer time to get the food i used to get food from you in  days this was  days which doesnt seem too bad but long if you expect it in  days")</f>
        <v>i appreciate the delivery your prices are fair but it took a longer time to get the food i used to get food from you in  days this was  days which doesnt seem too bad but long if you expect it in  days</v>
      </c>
      <c r="H1436" s="4" t="str">
        <f t="shared" si="1"/>
        <v>i appreciate delivery your prices are fair but it took a longer time get food i used get food from you in days this was days which doesnt seem too bad but long if you expect it in days</v>
      </c>
      <c r="I1436" s="6">
        <f t="shared" si="2"/>
        <v>39</v>
      </c>
      <c r="J1436" s="6">
        <f>IFERROR(__xludf.DUMMYFUNCTION("IF(H1436="""","""",
SUM(
ARRAYFORMULA(
IF(
REGEXMATCH(
"" ""&amp;H1436&amp;"" "",
"" ""&amp;Sentiment_Words!A$2:A3730&amp;"" ""
),
1,
0
)
)
)
)"),0.0)</f>
        <v>0</v>
      </c>
      <c r="K1436" s="4">
        <f>IFERROR(__xludf.DUMMYFUNCTION("IF(H1436="""","""",
SUM(
ARRAYFORMULA(
IF(
REGEXMATCH(
"" ""&amp;H1436&amp;"" "",
"" ""&amp;Sentiment_Words!B$2:B3730&amp;"" ""
),
1,
0
)
)
)
)"),0.0)</f>
        <v>0</v>
      </c>
      <c r="L1436" s="7" t="str">
        <f t="shared" si="3"/>
        <v>Other</v>
      </c>
      <c r="M1436" s="7" t="str">
        <f t="shared" si="4"/>
        <v>Neutral</v>
      </c>
      <c r="N1436" s="7" t="str">
        <f>IFERROR(__xludf.DUMMYFUNCTION("LOWER(
TRIM(
REGEXREPLACE(B1436,""[^a-zA-Z\s]"","""")
)
)
"),"buddha opalina")</f>
        <v>buddha opalina</v>
      </c>
      <c r="O1436" s="7">
        <f t="shared" si="5"/>
        <v>1</v>
      </c>
      <c r="P1436" s="8" t="str">
        <f t="shared" si="6"/>
        <v>No</v>
      </c>
    </row>
    <row r="1437">
      <c r="A1437" s="4" t="s">
        <v>16</v>
      </c>
      <c r="B1437" s="4" t="s">
        <v>4070</v>
      </c>
      <c r="C1437" s="5">
        <v>44817.0</v>
      </c>
      <c r="D1437" s="10">
        <v>44824.0</v>
      </c>
      <c r="E1437" s="4" t="s">
        <v>4071</v>
      </c>
      <c r="F1437" s="4" t="s">
        <v>4072</v>
      </c>
      <c r="G1437" s="6" t="str">
        <f>IFERROR(__xludf.DUMMYFUNCTION("REGEXREPLACE(LOWER(F1437),""[^a-z\s]"","""")"),"something went wrong with one of my first orders with your company it was either the dried beef lung or a chew toy but either way no notification was sent to explain why i drive a truck for safewayalbertsons for a living so i understand supply chain delay"&amp;"s but what i dont understand is not notifying the customer just a quick email it doesnt take very long to simply notify the customer for the time being i will continue to use this service until i find a suitable replacement service")</f>
        <v>something went wrong with one of my first orders with your company it was either the dried beef lung or a chew toy but either way no notification was sent to explain why i drive a truck for safewayalbertsons for a living so i understand supply chain delays but what i dont understand is not notifying the customer just a quick email it doesnt take very long to simply notify the customer for the time being i will continue to use this service until i find a suitable replacement service</v>
      </c>
      <c r="H1437" s="4" t="str">
        <f t="shared" si="1"/>
        <v>something went wrong with one of my first orders with your company it was either dried beef lung or a chew toy but either way no notification was sent explain why i drive a truck safewayalbertsons a living so i understand supply chain delays but what i dont understand not notifying customer just a quick email it doesnt take very long simply notify customer time being i will continue use this service until i find a suitable replacement service</v>
      </c>
      <c r="I1437" s="6">
        <f t="shared" si="2"/>
        <v>79</v>
      </c>
      <c r="J1437" s="6">
        <f>IFERROR(__xludf.DUMMYFUNCTION("IF(H1437="""","""",
SUM(
ARRAYFORMULA(
IF(
REGEXMATCH(
"" ""&amp;H1437&amp;"" "",
"" ""&amp;Sentiment_Words!A$2:A3730&amp;"" ""
),
1,
0
)
)
)
)"),0.0)</f>
        <v>0</v>
      </c>
      <c r="K1437" s="4">
        <f>IFERROR(__xludf.DUMMYFUNCTION("IF(H1437="""","""",
SUM(
ARRAYFORMULA(
IF(
REGEXMATCH(
"" ""&amp;H1437&amp;"" "",
"" ""&amp;Sentiment_Words!B$2:B3730&amp;"" ""
),
1,
0
)
)
)
)"),1.0)</f>
        <v>1</v>
      </c>
      <c r="L1437" s="7" t="str">
        <f t="shared" si="3"/>
        <v>Customer Support</v>
      </c>
      <c r="M1437" s="7" t="str">
        <f t="shared" si="4"/>
        <v>Negative</v>
      </c>
      <c r="N1437" s="7" t="str">
        <f>IFERROR(__xludf.DUMMYFUNCTION("LOWER(
TRIM(
REGEXREPLACE(B1437,""[^a-zA-Z\s]"","""")
)
)
"),"rhonda")</f>
        <v>rhonda</v>
      </c>
      <c r="O1437" s="7">
        <f t="shared" si="5"/>
        <v>1</v>
      </c>
      <c r="P1437" s="8" t="str">
        <f t="shared" si="6"/>
        <v>No</v>
      </c>
    </row>
    <row r="1438">
      <c r="A1438" s="4" t="s">
        <v>16</v>
      </c>
      <c r="B1438" s="4" t="s">
        <v>4073</v>
      </c>
      <c r="C1438" s="5">
        <v>44802.0</v>
      </c>
      <c r="D1438" s="10">
        <v>44824.0</v>
      </c>
      <c r="E1438" s="4" t="s">
        <v>4074</v>
      </c>
      <c r="F1438" s="4" t="s">
        <v>4075</v>
      </c>
      <c r="G1438" s="6" t="str">
        <f>IFERROR(__xludf.DUMMYFUNCTION("REGEXREPLACE(LOWER(F1438),""[^a-z\s]"","""")"),"scam  i tried to order bowls and they sent an email stating they were supposed to ship on the  and that i would get a tracking number in my email  i never got the tracking number so i called and they said my order was canceled because of fraud and they ca"&amp;"nt tell me why or how  but they somehow already knew who i was when i called before i said who i was and thats it  so yea im calling scam")</f>
        <v>scam  i tried to order bowls and they sent an email stating they were supposed to ship on the  and that i would get a tracking number in my email  i never got the tracking number so i called and they said my order was canceled because of fraud and they cant tell me why or how  but they somehow already knew who i was when i called before i said who i was and thats it  so yea im calling scam</v>
      </c>
      <c r="H1438" s="4" t="str">
        <f t="shared" si="1"/>
        <v>scam i tried order bowls they sent an email stating they were supposed ship on that i would get a tracking number in my email i never got tracking number so i called they said my order was canceled because of fraud they cant tell me why or how but they somehow already knew who i was when i called before i said who i was thats it so yea im calling scam</v>
      </c>
      <c r="I1438" s="6">
        <f t="shared" si="2"/>
        <v>73</v>
      </c>
      <c r="J1438" s="6">
        <f>IFERROR(__xludf.DUMMYFUNCTION("IF(H1438="""","""",
SUM(
ARRAYFORMULA(
IF(
REGEXMATCH(
"" ""&amp;H1438&amp;"" "",
"" ""&amp;Sentiment_Words!A$2:A3730&amp;"" ""
),
1,
0
)
)
)
)"),0.0)</f>
        <v>0</v>
      </c>
      <c r="K1438" s="4">
        <f>IFERROR(__xludf.DUMMYFUNCTION("IF(H1438="""","""",
SUM(
ARRAYFORMULA(
IF(
REGEXMATCH(
"" ""&amp;H1438&amp;"" "",
"" ""&amp;Sentiment_Words!B$2:B3730&amp;"" ""
),
1,
0
)
)
)
)"),0.0)</f>
        <v>0</v>
      </c>
      <c r="L1438" s="7" t="str">
        <f t="shared" si="3"/>
        <v>Other</v>
      </c>
      <c r="M1438" s="7" t="str">
        <f t="shared" si="4"/>
        <v>Neutral</v>
      </c>
      <c r="N1438" s="7" t="str">
        <f>IFERROR(__xludf.DUMMYFUNCTION("LOWER(
TRIM(
REGEXREPLACE(B1438,""[^a-zA-Z\s]"","""")
)
)
"),"stanleychavez")</f>
        <v>stanleychavez</v>
      </c>
      <c r="O1438" s="7">
        <f t="shared" si="5"/>
        <v>1</v>
      </c>
      <c r="P1438" s="8" t="str">
        <f t="shared" si="6"/>
        <v>No</v>
      </c>
    </row>
    <row r="1439">
      <c r="A1439" s="4" t="s">
        <v>16</v>
      </c>
      <c r="B1439" s="4" t="s">
        <v>4076</v>
      </c>
      <c r="C1439" s="5">
        <v>44821.0</v>
      </c>
      <c r="D1439" s="10">
        <v>44824.0</v>
      </c>
      <c r="E1439" s="4" t="s">
        <v>4077</v>
      </c>
      <c r="F1439" s="4" t="s">
        <v>4078</v>
      </c>
      <c r="G1439" s="6" t="str">
        <f>IFERROR(__xludf.DUMMYFUNCTION("REGEXREPLACE(LOWER(F1439),""[^a-z\s]"","""")"),"placed an order for dogfood from petflow for the st time  not only was delivery quick but price was way better than where i usually purchase  will definitely order from petflow again")</f>
        <v>placed an order for dogfood from petflow for the st time  not only was delivery quick but price was way better than where i usually purchase  will definitely order from petflow again</v>
      </c>
      <c r="H1439" s="4" t="str">
        <f t="shared" si="1"/>
        <v>placed an order dogfood from petflow st time not only was delivery quick but price was way better than where i usually purchase will definitely order from petflow again</v>
      </c>
      <c r="I1439" s="6">
        <f t="shared" si="2"/>
        <v>29</v>
      </c>
      <c r="J1439" s="6">
        <f>IFERROR(__xludf.DUMMYFUNCTION("IF(H1439="""","""",
SUM(
ARRAYFORMULA(
IF(
REGEXMATCH(
"" ""&amp;H1439&amp;"" "",
"" ""&amp;Sentiment_Words!A$2:A3730&amp;"" ""
),
1,
0
)
)
)
)"),0.0)</f>
        <v>0</v>
      </c>
      <c r="K1439" s="4">
        <f>IFERROR(__xludf.DUMMYFUNCTION("IF(H1439="""","""",
SUM(
ARRAYFORMULA(
IF(
REGEXMATCH(
"" ""&amp;H1439&amp;"" "",
"" ""&amp;Sentiment_Words!B$2:B3730&amp;"" ""
),
1,
0
)
)
)
)"),0.0)</f>
        <v>0</v>
      </c>
      <c r="L1439" s="7" t="str">
        <f t="shared" si="3"/>
        <v>Other</v>
      </c>
      <c r="M1439" s="7" t="str">
        <f t="shared" si="4"/>
        <v>Neutral</v>
      </c>
      <c r="N1439" s="7" t="str">
        <f>IFERROR(__xludf.DUMMYFUNCTION("LOWER(
TRIM(
REGEXREPLACE(B1439,""[^a-zA-Z\s]"","""")
)
)
"),"honey flavorz")</f>
        <v>honey flavorz</v>
      </c>
      <c r="O1439" s="7">
        <f t="shared" si="5"/>
        <v>1</v>
      </c>
      <c r="P1439" s="8" t="str">
        <f t="shared" si="6"/>
        <v>No</v>
      </c>
    </row>
    <row r="1440">
      <c r="A1440" s="4" t="s">
        <v>16</v>
      </c>
      <c r="B1440" s="4" t="s">
        <v>3071</v>
      </c>
      <c r="C1440" s="9">
        <v>44810.0</v>
      </c>
      <c r="D1440" s="10">
        <v>44823.0</v>
      </c>
      <c r="E1440" s="4" t="s">
        <v>4079</v>
      </c>
      <c r="F1440" s="4" t="s">
        <v>4080</v>
      </c>
      <c r="G1440" s="6" t="str">
        <f>IFERROR(__xludf.DUMMYFUNCTION("REGEXREPLACE(LOWER(F1440),""[^a-z\s]"","""")"),"we are a small chihuahua breeding program and it is most convenient to have our dogfood deliveredwith free shipping")</f>
        <v>we are a small chihuahua breeding program and it is most convenient to have our dogfood deliveredwith free shipping</v>
      </c>
      <c r="H1440" s="4" t="str">
        <f t="shared" si="1"/>
        <v>we are a small chihuahua breeding program it most convenient have our dogfood deliveredwith free shipping</v>
      </c>
      <c r="I1440" s="6">
        <f t="shared" si="2"/>
        <v>16</v>
      </c>
      <c r="J1440" s="6">
        <f>IFERROR(__xludf.DUMMYFUNCTION("IF(H1440="""","""",
SUM(
ARRAYFORMULA(
IF(
REGEXMATCH(
"" ""&amp;H1440&amp;"" "",
"" ""&amp;Sentiment_Words!A$2:A3730&amp;"" ""
),
1,
0
)
)
)
)"),1.0)</f>
        <v>1</v>
      </c>
      <c r="K1440" s="4">
        <f>IFERROR(__xludf.DUMMYFUNCTION("IF(H1440="""","""",
SUM(
ARRAYFORMULA(
IF(
REGEXMATCH(
"" ""&amp;H1440&amp;"" "",
"" ""&amp;Sentiment_Words!B$2:B3730&amp;"" ""
),
1,
0
)
)
)
)"),0.0)</f>
        <v>0</v>
      </c>
      <c r="L1440" s="7" t="str">
        <f t="shared" si="3"/>
        <v>Value &amp; Convenience</v>
      </c>
      <c r="M1440" s="7" t="str">
        <f t="shared" si="4"/>
        <v>Positive</v>
      </c>
      <c r="N1440" s="7" t="str">
        <f>IFERROR(__xludf.DUMMYFUNCTION("LOWER(
TRIM(
REGEXREPLACE(B1440,""[^a-zA-Z\s]"","""")
)
)
"),"michele")</f>
        <v>michele</v>
      </c>
      <c r="O1440" s="7">
        <f t="shared" si="5"/>
        <v>5</v>
      </c>
      <c r="P1440" s="8" t="str">
        <f t="shared" si="6"/>
        <v>Yes</v>
      </c>
    </row>
    <row r="1441">
      <c r="A1441" s="4" t="s">
        <v>16</v>
      </c>
      <c r="B1441" s="4" t="s">
        <v>4081</v>
      </c>
      <c r="C1441" s="5">
        <v>44822.0</v>
      </c>
      <c r="D1441" s="4" t="s">
        <v>4082</v>
      </c>
      <c r="E1441" s="4" t="s">
        <v>4083</v>
      </c>
      <c r="F1441" s="4" t="s">
        <v>4084</v>
      </c>
      <c r="G1441" s="6" t="str">
        <f>IFERROR(__xludf.DUMMYFUNCTION("REGEXREPLACE(LOWER(F1441),""[^a-z\s]"","""")"),"i ordered my cats prescription canned food called to check on it several days later  was told my order was being processed then received an email a week after my order date stating my order could not be fulfilled as it was out of stock by that time i was "&amp;"out of state in a remote area with little to no cell phone service  now am almost out of her prescription food i would have ordered it elsewhere if you had just been upfront  informed me sooner poor customer service")</f>
        <v>i ordered my cats prescription canned food called to check on it several days later  was told my order was being processed then received an email a week after my order date stating my order could not be fulfilled as it was out of stock by that time i was out of state in a remote area with little to no cell phone service  now am almost out of her prescription food i would have ordered it elsewhere if you had just been upfront  informed me sooner poor customer service</v>
      </c>
      <c r="H1441" s="4" t="str">
        <f t="shared" si="1"/>
        <v>i ordered my cats prescription canned food called check on it several days later was told my order was being processed then received an email a week after my order date stating my order could not be fulfilled as it was out of stock by that time i was out of state in a remote area with little no cell phone service now am almost out of her prescription food i would have ordered it elsewhere if you had just been upfront informed me sooner poor customer service</v>
      </c>
      <c r="I1441" s="6">
        <f t="shared" si="2"/>
        <v>88</v>
      </c>
      <c r="J1441" s="6">
        <f>IFERROR(__xludf.DUMMYFUNCTION("IF(H1441="""","""",
SUM(
ARRAYFORMULA(
IF(
REGEXMATCH(
"" ""&amp;H1441&amp;"" "",
"" ""&amp;Sentiment_Words!A$2:A3730&amp;"" ""
),
1,
0
)
)
)
)"),0.0)</f>
        <v>0</v>
      </c>
      <c r="K1441" s="4">
        <f>IFERROR(__xludf.DUMMYFUNCTION("IF(H1441="""","""",
SUM(
ARRAYFORMULA(
IF(
REGEXMATCH(
"" ""&amp;H1441&amp;"" "",
"" ""&amp;Sentiment_Words!B$2:B3730&amp;"" ""
),
1,
0
)
)
)
)"),2.0)</f>
        <v>2</v>
      </c>
      <c r="L1441" s="7" t="str">
        <f t="shared" si="3"/>
        <v>Customer Support</v>
      </c>
      <c r="M1441" s="7" t="str">
        <f t="shared" si="4"/>
        <v>Negative</v>
      </c>
      <c r="N1441" s="7" t="str">
        <f>IFERROR(__xludf.DUMMYFUNCTION("LOWER(
TRIM(
REGEXREPLACE(B1441,""[^a-zA-Z\s]"","""")
)
)
"),"stephanie lucas")</f>
        <v>stephanie lucas</v>
      </c>
      <c r="O1441" s="7">
        <f t="shared" si="5"/>
        <v>1</v>
      </c>
      <c r="P1441" s="8" t="str">
        <f t="shared" si="6"/>
        <v>No</v>
      </c>
    </row>
    <row r="1442">
      <c r="A1442" s="4" t="s">
        <v>16</v>
      </c>
      <c r="B1442" s="4" t="s">
        <v>4085</v>
      </c>
      <c r="C1442" s="5">
        <v>44817.0</v>
      </c>
      <c r="D1442" s="10">
        <v>44823.0</v>
      </c>
      <c r="E1442" s="4" t="s">
        <v>2659</v>
      </c>
      <c r="F1442" s="4" t="s">
        <v>4086</v>
      </c>
      <c r="G1442" s="6" t="str">
        <f>IFERROR(__xludf.DUMMYFUNCTION("REGEXREPLACE(LOWER(F1442),""[^a-z\s]"","""")"),"soooo disappointed here needed still need rx canned cat food said it was in stock our vet sent rx right away then i didnt hear anything checked on it a week later they said oops out of stock we have to cancel your order whaaat")</f>
        <v>soooo disappointed here needed still need rx canned cat food said it was in stock our vet sent rx right away then i didnt hear anything checked on it a week later they said oops out of stock we have to cancel your order whaaat</v>
      </c>
      <c r="H1442" s="4" t="str">
        <f t="shared" si="1"/>
        <v>soooo disappointed here needed still need rx canned cat food said it was in stock our vet sent rx right away then i didnt hear anything checked on it a week later they said oops out of stock we have cancel your order whaaat</v>
      </c>
      <c r="I1442" s="6">
        <f t="shared" si="2"/>
        <v>44</v>
      </c>
      <c r="J1442" s="6">
        <f>IFERROR(__xludf.DUMMYFUNCTION("IF(H1442="""","""",
SUM(
ARRAYFORMULA(
IF(
REGEXMATCH(
"" ""&amp;H1442&amp;"" "",
"" ""&amp;Sentiment_Words!A$2:A3730&amp;"" ""
),
1,
0
)
)
)
)"),0.0)</f>
        <v>0</v>
      </c>
      <c r="K1442" s="4">
        <f>IFERROR(__xludf.DUMMYFUNCTION("IF(H1442="""","""",
SUM(
ARRAYFORMULA(
IF(
REGEXMATCH(
"" ""&amp;H1442&amp;"" "",
"" ""&amp;Sentiment_Words!B$2:B3730&amp;"" ""
),
1,
0
)
)
)
)"),1.0)</f>
        <v>1</v>
      </c>
      <c r="L1442" s="7" t="str">
        <f t="shared" si="3"/>
        <v>Fulfillment &amp; Shipping</v>
      </c>
      <c r="M1442" s="7" t="str">
        <f t="shared" si="4"/>
        <v>Negative</v>
      </c>
      <c r="N1442" s="7" t="str">
        <f>IFERROR(__xludf.DUMMYFUNCTION("LOWER(
TRIM(
REGEXREPLACE(B1442,""[^a-zA-Z\s]"","""")
)
)
"),"smw")</f>
        <v>smw</v>
      </c>
      <c r="O1442" s="7">
        <f t="shared" si="5"/>
        <v>1</v>
      </c>
      <c r="P1442" s="8" t="str">
        <f t="shared" si="6"/>
        <v>No</v>
      </c>
    </row>
    <row r="1443">
      <c r="A1443" s="4" t="s">
        <v>16</v>
      </c>
      <c r="B1443" s="4" t="s">
        <v>4087</v>
      </c>
      <c r="C1443" s="5">
        <v>44818.0</v>
      </c>
      <c r="D1443" s="10">
        <v>44823.0</v>
      </c>
      <c r="E1443" s="4" t="s">
        <v>4088</v>
      </c>
      <c r="F1443" s="4" t="s">
        <v>4089</v>
      </c>
      <c r="G1443" s="6" t="str">
        <f>IFERROR(__xludf.DUMMYFUNCTION("REGEXREPLACE(LOWER(F1443),""[^a-z\s]"","""")"),"im usually pretty pleased with petflows delivery system but for some reason this time it took almost a week for me to get my product usually its in within a day or two so i just hope he gets a little bit more through the delivery service other than that i"&amp;"ts ok and i know everybodys running low on products theyre all getting harder to find")</f>
        <v>im usually pretty pleased with petflows delivery system but for some reason this time it took almost a week for me to get my product usually its in within a day or two so i just hope he gets a little bit more through the delivery service other than that its ok and i know everybodys running low on products theyre all getting harder to find</v>
      </c>
      <c r="H1443" s="4" t="str">
        <f t="shared" si="1"/>
        <v>im usually pretty pleased with petflows delivery system but some reason this time it took almost a week me get my product usually its in within a day or two so i just hope he gets a little bit more through delivery service other than that its ok i know everybodys running low on products theyre all getting harder find</v>
      </c>
      <c r="I1443" s="6">
        <f t="shared" si="2"/>
        <v>60</v>
      </c>
      <c r="J1443" s="6">
        <f>IFERROR(__xludf.DUMMYFUNCTION("IF(H1443="""","""",
SUM(
ARRAYFORMULA(
IF(
REGEXMATCH(
"" ""&amp;H1443&amp;"" "",
"" ""&amp;Sentiment_Words!A$2:A3730&amp;"" ""
),
1,
0
)
)
)
)"),0.0)</f>
        <v>0</v>
      </c>
      <c r="K1443" s="4">
        <f>IFERROR(__xludf.DUMMYFUNCTION("IF(H1443="""","""",
SUM(
ARRAYFORMULA(
IF(
REGEXMATCH(
"" ""&amp;H1443&amp;"" "",
"" ""&amp;Sentiment_Words!B$2:B3730&amp;"" ""
),
1,
0
)
)
)
)"),0.0)</f>
        <v>0</v>
      </c>
      <c r="L1443" s="7" t="str">
        <f t="shared" si="3"/>
        <v>Customer Support</v>
      </c>
      <c r="M1443" s="7" t="str">
        <f t="shared" si="4"/>
        <v>Neutral</v>
      </c>
      <c r="N1443" s="7" t="str">
        <f>IFERROR(__xludf.DUMMYFUNCTION("LOWER(
TRIM(
REGEXREPLACE(B1443,""[^a-zA-Z\s]"","""")
)
)
"),"annie lavigne")</f>
        <v>annie lavigne</v>
      </c>
      <c r="O1443" s="7">
        <f t="shared" si="5"/>
        <v>1</v>
      </c>
      <c r="P1443" s="8" t="str">
        <f t="shared" si="6"/>
        <v>No</v>
      </c>
    </row>
    <row r="1444">
      <c r="A1444" s="4" t="s">
        <v>16</v>
      </c>
      <c r="B1444" s="4" t="s">
        <v>4090</v>
      </c>
      <c r="C1444" s="9">
        <v>44810.0</v>
      </c>
      <c r="D1444" s="10">
        <v>44822.0</v>
      </c>
      <c r="E1444" s="4" t="s">
        <v>4091</v>
      </c>
      <c r="F1444" s="4" t="s">
        <v>4092</v>
      </c>
      <c r="G1444" s="6" t="str">
        <f>IFERROR(__xludf.DUMMYFUNCTION("REGEXREPLACE(LOWER(F1444),""[^a-z\s]"","""")"),"was very pleased with fast courteous service")</f>
        <v>was very pleased with fast courteous service</v>
      </c>
      <c r="H1444" s="4" t="str">
        <f t="shared" si="1"/>
        <v>was very pleased with fast courteous service</v>
      </c>
      <c r="I1444" s="6">
        <f t="shared" si="2"/>
        <v>7</v>
      </c>
      <c r="J1444" s="6">
        <f>IFERROR(__xludf.DUMMYFUNCTION("IF(H1444="""","""",
SUM(
ARRAYFORMULA(
IF(
REGEXMATCH(
"" ""&amp;H1444&amp;"" "",
"" ""&amp;Sentiment_Words!A$2:A3730&amp;"" ""
),
1,
0
)
)
)
)"),2.0)</f>
        <v>2</v>
      </c>
      <c r="K1444" s="4">
        <f>IFERROR(__xludf.DUMMYFUNCTION("IF(H1444="""","""",
SUM(
ARRAYFORMULA(
IF(
REGEXMATCH(
"" ""&amp;H1444&amp;"" "",
"" ""&amp;Sentiment_Words!B$2:B3730&amp;"" ""
),
1,
0
)
)
)
)"),0.0)</f>
        <v>0</v>
      </c>
      <c r="L1444" s="7" t="str">
        <f t="shared" si="3"/>
        <v>Customer Support</v>
      </c>
      <c r="M1444" s="7" t="str">
        <f t="shared" si="4"/>
        <v>Positive</v>
      </c>
      <c r="N1444" s="7" t="str">
        <f>IFERROR(__xludf.DUMMYFUNCTION("LOWER(
TRIM(
REGEXREPLACE(B1444,""[^a-zA-Z\s]"","""")
)
)
"),"audrey eichwald")</f>
        <v>audrey eichwald</v>
      </c>
      <c r="O1444" s="7">
        <f t="shared" si="5"/>
        <v>1</v>
      </c>
      <c r="P1444" s="8" t="str">
        <f t="shared" si="6"/>
        <v>No</v>
      </c>
    </row>
    <row r="1445">
      <c r="A1445" s="4" t="s">
        <v>16</v>
      </c>
      <c r="B1445" s="4" t="s">
        <v>4093</v>
      </c>
      <c r="C1445" s="5">
        <v>44822.0</v>
      </c>
      <c r="D1445" s="10">
        <v>44822.0</v>
      </c>
      <c r="E1445" s="4" t="s">
        <v>4094</v>
      </c>
      <c r="F1445" s="4" t="s">
        <v>4095</v>
      </c>
      <c r="G1445" s="6" t="str">
        <f>IFERROR(__xludf.DUMMYFUNCTION("REGEXREPLACE(LOWER(F1445),""[^a-z\s]"","""")"),"you allowed an order to be placed for rx food when it was not available i had to call to get a cancellation email it was nearly a week later before that was sent")</f>
        <v>you allowed an order to be placed for rx food when it was not available i had to call to get a cancellation email it was nearly a week later before that was sent</v>
      </c>
      <c r="H1445" s="4" t="str">
        <f t="shared" si="1"/>
        <v>you allowed an order be placed rx food when it was not available i had call get a cancellation email it was nearly a week later before that was sent</v>
      </c>
      <c r="I1445" s="6">
        <f t="shared" si="2"/>
        <v>30</v>
      </c>
      <c r="J1445" s="6">
        <f>IFERROR(__xludf.DUMMYFUNCTION("IF(H1445="""","""",
SUM(
ARRAYFORMULA(
IF(
REGEXMATCH(
"" ""&amp;H1445&amp;"" "",
"" ""&amp;Sentiment_Words!A$2:A3730&amp;"" ""
),
1,
0
)
)
)
)"),1.0)</f>
        <v>1</v>
      </c>
      <c r="K1445" s="4">
        <f>IFERROR(__xludf.DUMMYFUNCTION("IF(H1445="""","""",
SUM(
ARRAYFORMULA(
IF(
REGEXMATCH(
"" ""&amp;H1445&amp;"" "",
"" ""&amp;Sentiment_Words!B$2:B3730&amp;"" ""
),
1,
0
)
)
)
)"),0.0)</f>
        <v>0</v>
      </c>
      <c r="L1445" s="7" t="str">
        <f t="shared" si="3"/>
        <v>Fulfillment &amp; Shipping</v>
      </c>
      <c r="M1445" s="7" t="str">
        <f t="shared" si="4"/>
        <v>Positive</v>
      </c>
      <c r="N1445" s="7" t="str">
        <f>IFERROR(__xludf.DUMMYFUNCTION("LOWER(
TRIM(
REGEXREPLACE(B1445,""[^a-zA-Z\s]"","""")
)
)
"),"joyce berry")</f>
        <v>joyce berry</v>
      </c>
      <c r="O1445" s="7">
        <f t="shared" si="5"/>
        <v>1</v>
      </c>
      <c r="P1445" s="8" t="str">
        <f t="shared" si="6"/>
        <v>No</v>
      </c>
    </row>
    <row r="1446">
      <c r="A1446" s="4" t="s">
        <v>16</v>
      </c>
      <c r="B1446" s="4" t="s">
        <v>4096</v>
      </c>
      <c r="C1446" s="9">
        <v>44805.0</v>
      </c>
      <c r="D1446" s="10">
        <v>44822.0</v>
      </c>
      <c r="E1446" s="4" t="s">
        <v>4097</v>
      </c>
      <c r="F1446" s="4" t="s">
        <v>331</v>
      </c>
      <c r="G1446" s="6" t="str">
        <f>IFERROR(__xludf.DUMMYFUNCTION("REGEXREPLACE(LOWER(F1446),""[^a-z\s]"","""")"),"none")</f>
        <v>none</v>
      </c>
      <c r="H1446" s="4" t="str">
        <f t="shared" si="1"/>
        <v>none</v>
      </c>
      <c r="I1446" s="6">
        <f t="shared" si="2"/>
        <v>1</v>
      </c>
      <c r="J1446" s="6">
        <f>IFERROR(__xludf.DUMMYFUNCTION("IF(H1446="""","""",
SUM(
ARRAYFORMULA(
IF(
REGEXMATCH(
"" ""&amp;H1446&amp;"" "",
"" ""&amp;Sentiment_Words!A$2:A3730&amp;"" ""
),
1,
0
)
)
)
)"),0.0)</f>
        <v>0</v>
      </c>
      <c r="K1446" s="4">
        <f>IFERROR(__xludf.DUMMYFUNCTION("IF(H1446="""","""",
SUM(
ARRAYFORMULA(
IF(
REGEXMATCH(
"" ""&amp;H1446&amp;"" "",
"" ""&amp;Sentiment_Words!B$2:B3730&amp;"" ""
),
1,
0
)
)
)
)"),0.0)</f>
        <v>0</v>
      </c>
      <c r="L1446" s="7" t="str">
        <f t="shared" si="3"/>
        <v>Other</v>
      </c>
      <c r="M1446" s="7" t="str">
        <f t="shared" si="4"/>
        <v>Neutral</v>
      </c>
      <c r="N1446" s="7" t="str">
        <f>IFERROR(__xludf.DUMMYFUNCTION("LOWER(
TRIM(
REGEXREPLACE(B1446,""[^a-zA-Z\s]"","""")
)
)
"),"brianna schumaker nguyen")</f>
        <v>brianna schumaker nguyen</v>
      </c>
      <c r="O1446" s="7">
        <f t="shared" si="5"/>
        <v>1</v>
      </c>
      <c r="P1446" s="8" t="str">
        <f t="shared" si="6"/>
        <v>No</v>
      </c>
    </row>
    <row r="1447">
      <c r="A1447" s="4" t="s">
        <v>16</v>
      </c>
      <c r="B1447" s="4" t="s">
        <v>4098</v>
      </c>
      <c r="C1447" s="9">
        <v>44809.0</v>
      </c>
      <c r="D1447" s="10">
        <v>44822.0</v>
      </c>
      <c r="E1447" s="4" t="s">
        <v>4099</v>
      </c>
      <c r="F1447" s="4" t="s">
        <v>331</v>
      </c>
      <c r="G1447" s="6" t="str">
        <f>IFERROR(__xludf.DUMMYFUNCTION("REGEXREPLACE(LOWER(F1447),""[^a-z\s]"","""")"),"none")</f>
        <v>none</v>
      </c>
      <c r="H1447" s="4" t="str">
        <f t="shared" si="1"/>
        <v>none</v>
      </c>
      <c r="I1447" s="6">
        <f t="shared" si="2"/>
        <v>1</v>
      </c>
      <c r="J1447" s="6">
        <f>IFERROR(__xludf.DUMMYFUNCTION("IF(H1447="""","""",
SUM(
ARRAYFORMULA(
IF(
REGEXMATCH(
"" ""&amp;H1447&amp;"" "",
"" ""&amp;Sentiment_Words!A$2:A3730&amp;"" ""
),
1,
0
)
)
)
)"),0.0)</f>
        <v>0</v>
      </c>
      <c r="K1447" s="4">
        <f>IFERROR(__xludf.DUMMYFUNCTION("IF(H1447="""","""",
SUM(
ARRAYFORMULA(
IF(
REGEXMATCH(
"" ""&amp;H1447&amp;"" "",
"" ""&amp;Sentiment_Words!B$2:B3730&amp;"" ""
),
1,
0
)
)
)
)"),0.0)</f>
        <v>0</v>
      </c>
      <c r="L1447" s="7" t="str">
        <f t="shared" si="3"/>
        <v>Other</v>
      </c>
      <c r="M1447" s="7" t="str">
        <f t="shared" si="4"/>
        <v>Neutral</v>
      </c>
      <c r="N1447" s="7" t="str">
        <f>IFERROR(__xludf.DUMMYFUNCTION("LOWER(
TRIM(
REGEXREPLACE(B1447,""[^a-zA-Z\s]"","""")
)
)
"),"rebecca lopez")</f>
        <v>rebecca lopez</v>
      </c>
      <c r="O1447" s="7">
        <f t="shared" si="5"/>
        <v>1</v>
      </c>
      <c r="P1447" s="8" t="str">
        <f t="shared" si="6"/>
        <v>No</v>
      </c>
    </row>
    <row r="1448">
      <c r="A1448" s="4" t="s">
        <v>16</v>
      </c>
      <c r="B1448" s="4" t="s">
        <v>4100</v>
      </c>
      <c r="C1448" s="9">
        <v>44810.0</v>
      </c>
      <c r="D1448" s="10">
        <v>44822.0</v>
      </c>
      <c r="E1448" s="4" t="s">
        <v>4101</v>
      </c>
      <c r="F1448" s="4" t="s">
        <v>4102</v>
      </c>
      <c r="G1448" s="6" t="str">
        <f>IFERROR(__xludf.DUMMYFUNCTION("REGEXREPLACE(LOWER(F1448),""[^a-z\s]"","""")"),"i was very pleased with my purchase experience with petflow i ordered a hills prescription diet dry cat food that ive been having a lot of trouble finding i bought it for a better than average price it arrived earlier than quoted and in good condition")</f>
        <v>i was very pleased with my purchase experience with petflow i ordered a hills prescription diet dry cat food that ive been having a lot of trouble finding i bought it for a better than average price it arrived earlier than quoted and in good condition</v>
      </c>
      <c r="H1448" s="4" t="str">
        <f t="shared" si="1"/>
        <v>i was very pleased with my purchase experience with petflow i ordered a hills prescription diet dry cat food that ive been having a lot of trouble finding i bought it a better than average price it arrived earlier than quoted in good condition</v>
      </c>
      <c r="I1448" s="6">
        <f t="shared" si="2"/>
        <v>44</v>
      </c>
      <c r="J1448" s="6">
        <f>IFERROR(__xludf.DUMMYFUNCTION("IF(H1448="""","""",
SUM(
ARRAYFORMULA(
IF(
REGEXMATCH(
"" ""&amp;H1448&amp;"" "",
"" ""&amp;Sentiment_Words!A$2:A3730&amp;"" ""
),
1,
0
)
)
)
)"),1.0)</f>
        <v>1</v>
      </c>
      <c r="K1448" s="4">
        <f>IFERROR(__xludf.DUMMYFUNCTION("IF(H1448="""","""",
SUM(
ARRAYFORMULA(
IF(
REGEXMATCH(
"" ""&amp;H1448&amp;"" "",
"" ""&amp;Sentiment_Words!B$2:B3730&amp;"" ""
),
1,
0
)
)
)
)"),0.0)</f>
        <v>0</v>
      </c>
      <c r="L1448" s="7" t="str">
        <f t="shared" si="3"/>
        <v>Other</v>
      </c>
      <c r="M1448" s="7" t="str">
        <f t="shared" si="4"/>
        <v>Positive</v>
      </c>
      <c r="N1448" s="7" t="str">
        <f>IFERROR(__xludf.DUMMYFUNCTION("LOWER(
TRIM(
REGEXREPLACE(B1448,""[^a-zA-Z\s]"","""")
)
)
"),"lak")</f>
        <v>lak</v>
      </c>
      <c r="O1448" s="7">
        <f t="shared" si="5"/>
        <v>1</v>
      </c>
      <c r="P1448" s="8" t="str">
        <f t="shared" si="6"/>
        <v>No</v>
      </c>
    </row>
    <row r="1449">
      <c r="A1449" s="4" t="s">
        <v>16</v>
      </c>
      <c r="B1449" s="4" t="s">
        <v>4103</v>
      </c>
      <c r="C1449" s="9">
        <v>44808.0</v>
      </c>
      <c r="D1449" s="10">
        <v>44822.0</v>
      </c>
      <c r="E1449" s="4" t="s">
        <v>4104</v>
      </c>
      <c r="F1449" s="4" t="s">
        <v>4105</v>
      </c>
      <c r="G1449" s="6" t="str">
        <f>IFERROR(__xludf.DUMMYFUNCTION("REGEXREPLACE(LOWER(F1449),""[^a-z\s]"","""")"),"very good service i love the play pen i order")</f>
        <v>very good service i love the play pen i order</v>
      </c>
      <c r="H1449" s="4" t="str">
        <f t="shared" si="1"/>
        <v>very good service i love play pen i order</v>
      </c>
      <c r="I1449" s="6">
        <f t="shared" si="2"/>
        <v>9</v>
      </c>
      <c r="J1449" s="6">
        <f>IFERROR(__xludf.DUMMYFUNCTION("IF(H1449="""","""",
SUM(
ARRAYFORMULA(
IF(
REGEXMATCH(
"" ""&amp;H1449&amp;"" "",
"" ""&amp;Sentiment_Words!A$2:A3730&amp;"" ""
),
1,
0
)
)
)
)"),2.0)</f>
        <v>2</v>
      </c>
      <c r="K1449" s="4">
        <f>IFERROR(__xludf.DUMMYFUNCTION("IF(H1449="""","""",
SUM(
ARRAYFORMULA(
IF(
REGEXMATCH(
"" ""&amp;H1449&amp;"" "",
"" ""&amp;Sentiment_Words!B$2:B3730&amp;"" ""
),
1,
0
)
)
)
)"),0.0)</f>
        <v>0</v>
      </c>
      <c r="L1449" s="7" t="str">
        <f t="shared" si="3"/>
        <v>Customer Support</v>
      </c>
      <c r="M1449" s="7" t="str">
        <f t="shared" si="4"/>
        <v>Positive</v>
      </c>
      <c r="N1449" s="7" t="str">
        <f>IFERROR(__xludf.DUMMYFUNCTION("LOWER(
TRIM(
REGEXREPLACE(B1449,""[^a-zA-Z\s]"","""")
)
)
"),"gera williams")</f>
        <v>gera williams</v>
      </c>
      <c r="O1449" s="7">
        <f t="shared" si="5"/>
        <v>1</v>
      </c>
      <c r="P1449" s="8" t="str">
        <f t="shared" si="6"/>
        <v>No</v>
      </c>
    </row>
    <row r="1450">
      <c r="A1450" s="4" t="s">
        <v>16</v>
      </c>
      <c r="B1450" s="4" t="s">
        <v>4106</v>
      </c>
      <c r="C1450" s="9">
        <v>44810.0</v>
      </c>
      <c r="D1450" s="10">
        <v>44822.0</v>
      </c>
      <c r="E1450" s="4" t="s">
        <v>4107</v>
      </c>
      <c r="F1450" s="4" t="s">
        <v>4108</v>
      </c>
      <c r="G1450" s="6" t="str">
        <f>IFERROR(__xludf.DUMMYFUNCTION("REGEXREPLACE(LOWER(F1450),""[^a-z\s]"","""")"),"easy use of website for ordering and you have always delivered this hard to find food on time ive come to depend on your consistent service thank you")</f>
        <v>easy use of website for ordering and you have always delivered this hard to find food on time ive come to depend on your consistent service thank you</v>
      </c>
      <c r="H1450" s="4" t="str">
        <f t="shared" si="1"/>
        <v>easy use of website ordering you have always delivered this hard find food on time ive come depend on your consistent service thank you</v>
      </c>
      <c r="I1450" s="6">
        <f t="shared" si="2"/>
        <v>24</v>
      </c>
      <c r="J1450" s="6">
        <f>IFERROR(__xludf.DUMMYFUNCTION("IF(H1450="""","""",
SUM(
ARRAYFORMULA(
IF(
REGEXMATCH(
"" ""&amp;H1450&amp;"" "",
"" ""&amp;Sentiment_Words!A$2:A3730&amp;"" ""
),
1,
0
)
)
)
)"),3.0)</f>
        <v>3</v>
      </c>
      <c r="K1450" s="4">
        <f>IFERROR(__xludf.DUMMYFUNCTION("IF(H1450="""","""",
SUM(
ARRAYFORMULA(
IF(
REGEXMATCH(
"" ""&amp;H1450&amp;"" "",
"" ""&amp;Sentiment_Words!B$2:B3730&amp;"" ""
),
1,
0
)
)
)
)"),0.0)</f>
        <v>0</v>
      </c>
      <c r="L1450" s="7" t="str">
        <f t="shared" si="3"/>
        <v>Customer Support</v>
      </c>
      <c r="M1450" s="7" t="str">
        <f t="shared" si="4"/>
        <v>Positive</v>
      </c>
      <c r="N1450" s="7" t="str">
        <f>IFERROR(__xludf.DUMMYFUNCTION("LOWER(
TRIM(
REGEXREPLACE(B1450,""[^a-zA-Z\s]"","""")
)
)
"),"frank wessinger")</f>
        <v>frank wessinger</v>
      </c>
      <c r="O1450" s="7">
        <f t="shared" si="5"/>
        <v>1</v>
      </c>
      <c r="P1450" s="8" t="str">
        <f t="shared" si="6"/>
        <v>No</v>
      </c>
    </row>
    <row r="1451">
      <c r="A1451" s="4" t="s">
        <v>16</v>
      </c>
      <c r="B1451" s="4" t="s">
        <v>4109</v>
      </c>
      <c r="C1451" s="5">
        <v>44814.0</v>
      </c>
      <c r="D1451" s="10">
        <v>44821.0</v>
      </c>
      <c r="E1451" s="4" t="s">
        <v>4110</v>
      </c>
      <c r="F1451" s="4" t="s">
        <v>4111</v>
      </c>
      <c r="G1451" s="6" t="str">
        <f>IFERROR(__xludf.DUMMYFUNCTION("REGEXREPLACE(LOWER(F1451),""[^a-z\s]"","""")"),"ordering is quick and easy product arrives in    days ")</f>
        <v>ordering is quick and easy product arrives in    days </v>
      </c>
      <c r="H1451" s="4" t="str">
        <f t="shared" si="1"/>
        <v>ordering quick easy product arrives in days</v>
      </c>
      <c r="I1451" s="6">
        <f t="shared" si="2"/>
        <v>7</v>
      </c>
      <c r="J1451" s="6">
        <f>IFERROR(__xludf.DUMMYFUNCTION("IF(H1451="""","""",
SUM(
ARRAYFORMULA(
IF(
REGEXMATCH(
"" ""&amp;H1451&amp;"" "",
"" ""&amp;Sentiment_Words!A$2:A3730&amp;"" ""
),
1,
0
)
)
)
)"),1.0)</f>
        <v>1</v>
      </c>
      <c r="K1451" s="4">
        <f>IFERROR(__xludf.DUMMYFUNCTION("IF(H1451="""","""",
SUM(
ARRAYFORMULA(
IF(
REGEXMATCH(
"" ""&amp;H1451&amp;"" "",
"" ""&amp;Sentiment_Words!B$2:B3730&amp;"" ""
),
1,
0
)
)
)
)"),0.0)</f>
        <v>0</v>
      </c>
      <c r="L1451" s="7" t="str">
        <f t="shared" si="3"/>
        <v>Other</v>
      </c>
      <c r="M1451" s="7" t="str">
        <f t="shared" si="4"/>
        <v>Positive</v>
      </c>
      <c r="N1451" s="7" t="str">
        <f>IFERROR(__xludf.DUMMYFUNCTION("LOWER(
TRIM(
REGEXREPLACE(B1451,""[^a-zA-Z\s]"","""")
)
)
"),"mayme wilhem")</f>
        <v>mayme wilhem</v>
      </c>
      <c r="O1451" s="7">
        <f t="shared" si="5"/>
        <v>1</v>
      </c>
      <c r="P1451" s="8" t="str">
        <f t="shared" si="6"/>
        <v>No</v>
      </c>
    </row>
    <row r="1452">
      <c r="A1452" s="4" t="s">
        <v>16</v>
      </c>
      <c r="B1452" s="4" t="s">
        <v>4112</v>
      </c>
      <c r="C1452" s="5">
        <v>44816.0</v>
      </c>
      <c r="D1452" s="10">
        <v>44821.0</v>
      </c>
      <c r="E1452" s="4" t="s">
        <v>4113</v>
      </c>
      <c r="F1452" s="4" t="s">
        <v>4114</v>
      </c>
      <c r="G1452" s="6" t="str">
        <f>IFERROR(__xludf.DUMMYFUNCTION("REGEXREPLACE(LOWER(F1452),""[^a-z\s]"","""")"),"every one was helpful i am sorry not to be able to get my at food")</f>
        <v>every one was helpful i am sorry not to be able to get my at food</v>
      </c>
      <c r="H1452" s="4" t="str">
        <f t="shared" si="1"/>
        <v>every one was helpful i am sorry not be able get my at food</v>
      </c>
      <c r="I1452" s="6">
        <f t="shared" si="2"/>
        <v>14</v>
      </c>
      <c r="J1452" s="6">
        <f>IFERROR(__xludf.DUMMYFUNCTION("IF(H1452="""","""",
SUM(
ARRAYFORMULA(
IF(
REGEXMATCH(
"" ""&amp;H1452&amp;"" "",
"" ""&amp;Sentiment_Words!A$2:A3730&amp;"" ""
),
1,
0
)
)
)
)"),2.0)</f>
        <v>2</v>
      </c>
      <c r="K1452" s="4">
        <f>IFERROR(__xludf.DUMMYFUNCTION("IF(H1452="""","""",
SUM(
ARRAYFORMULA(
IF(
REGEXMATCH(
"" ""&amp;H1452&amp;"" "",
"" ""&amp;Sentiment_Words!B$2:B3730&amp;"" ""
),
1,
0
)
)
)
)"),0.0)</f>
        <v>0</v>
      </c>
      <c r="L1452" s="7" t="str">
        <f t="shared" si="3"/>
        <v>Other</v>
      </c>
      <c r="M1452" s="7" t="str">
        <f t="shared" si="4"/>
        <v>Positive</v>
      </c>
      <c r="N1452" s="7" t="str">
        <f>IFERROR(__xludf.DUMMYFUNCTION("LOWER(
TRIM(
REGEXREPLACE(B1452,""[^a-zA-Z\s]"","""")
)
)
"),"lanier watson")</f>
        <v>lanier watson</v>
      </c>
      <c r="O1452" s="7">
        <f t="shared" si="5"/>
        <v>1</v>
      </c>
      <c r="P1452" s="8" t="str">
        <f t="shared" si="6"/>
        <v>No</v>
      </c>
    </row>
    <row r="1453">
      <c r="A1453" s="4" t="s">
        <v>16</v>
      </c>
      <c r="B1453" s="4" t="s">
        <v>4115</v>
      </c>
      <c r="C1453" s="9">
        <v>44808.0</v>
      </c>
      <c r="D1453" s="10">
        <v>44821.0</v>
      </c>
      <c r="E1453" s="4" t="s">
        <v>4116</v>
      </c>
      <c r="F1453" s="4" t="s">
        <v>4117</v>
      </c>
      <c r="G1453" s="6" t="str">
        <f>IFERROR(__xludf.DUMMYFUNCTION("REGEXREPLACE(LOWER(F1453),""[^a-z\s]"","""")"),"petflow made it easy and my food was delivered quickly with no problems my dogs love their new food and the auto ship makes it hasslefree")</f>
        <v>petflow made it easy and my food was delivered quickly with no problems my dogs love their new food and the auto ship makes it hasslefree</v>
      </c>
      <c r="H1453" s="4" t="str">
        <f t="shared" si="1"/>
        <v>petflow made it easy my food was delivered quickly with no problems my dogs love their new food auto ship makes it hasslefree</v>
      </c>
      <c r="I1453" s="6">
        <f t="shared" si="2"/>
        <v>23</v>
      </c>
      <c r="J1453" s="6">
        <f>IFERROR(__xludf.DUMMYFUNCTION("IF(H1453="""","""",
SUM(
ARRAYFORMULA(
IF(
REGEXMATCH(
"" ""&amp;H1453&amp;"" "",
"" ""&amp;Sentiment_Words!A$2:A3730&amp;"" ""
),
1,
0
)
)
)
)"),5.0)</f>
        <v>5</v>
      </c>
      <c r="K1453" s="4">
        <f>IFERROR(__xludf.DUMMYFUNCTION("IF(H1453="""","""",
SUM(
ARRAYFORMULA(
IF(
REGEXMATCH(
"" ""&amp;H1453&amp;"" "",
"" ""&amp;Sentiment_Words!B$2:B3730&amp;"" ""
),
1,
0
)
)
)
)"),0.0)</f>
        <v>0</v>
      </c>
      <c r="L1453" s="7" t="str">
        <f t="shared" si="3"/>
        <v>Other</v>
      </c>
      <c r="M1453" s="7" t="str">
        <f t="shared" si="4"/>
        <v>Positive</v>
      </c>
      <c r="N1453" s="7" t="str">
        <f>IFERROR(__xludf.DUMMYFUNCTION("LOWER(
TRIM(
REGEXREPLACE(B1453,""[^a-zA-Z\s]"","""")
)
)
"),"rebecca wickstrom")</f>
        <v>rebecca wickstrom</v>
      </c>
      <c r="O1453" s="7">
        <f t="shared" si="5"/>
        <v>1</v>
      </c>
      <c r="P1453" s="8" t="str">
        <f t="shared" si="6"/>
        <v>No</v>
      </c>
    </row>
    <row r="1454">
      <c r="A1454" s="4" t="s">
        <v>16</v>
      </c>
      <c r="B1454" s="4" t="s">
        <v>4118</v>
      </c>
      <c r="C1454" s="9">
        <v>44810.0</v>
      </c>
      <c r="D1454" s="10">
        <v>44821.0</v>
      </c>
      <c r="E1454" s="4" t="s">
        <v>4119</v>
      </c>
      <c r="F1454" s="4" t="s">
        <v>4120</v>
      </c>
      <c r="G1454" s="6" t="str">
        <f>IFERROR(__xludf.DUMMYFUNCTION("REGEXREPLACE(LOWER(F1454),""[^a-z\s]"","""")"),"first time buyer ordered one product which needed vet approval once obtained shipping took a while poor communication as there was none on their part unless i called repeatedly")</f>
        <v>first time buyer ordered one product which needed vet approval once obtained shipping took a while poor communication as there was none on their part unless i called repeatedly</v>
      </c>
      <c r="H1454" s="4" t="str">
        <f t="shared" si="1"/>
        <v>first time buyer ordered one product which needed vet approval once obtained shipping took a while poor communication as there was none on their part unless i called repeatedly</v>
      </c>
      <c r="I1454" s="6">
        <f t="shared" si="2"/>
        <v>29</v>
      </c>
      <c r="J1454" s="6">
        <f>IFERROR(__xludf.DUMMYFUNCTION("IF(H1454="""","""",
SUM(
ARRAYFORMULA(
IF(
REGEXMATCH(
"" ""&amp;H1454&amp;"" "",
"" ""&amp;Sentiment_Words!A$2:A3730&amp;"" ""
),
1,
0
)
)
)
)"),0.0)</f>
        <v>0</v>
      </c>
      <c r="K1454" s="4">
        <f>IFERROR(__xludf.DUMMYFUNCTION("IF(H1454="""","""",
SUM(
ARRAYFORMULA(
IF(
REGEXMATCH(
"" ""&amp;H1454&amp;"" "",
"" ""&amp;Sentiment_Words!B$2:B3730&amp;"" ""
),
1,
0
)
)
)
)"),0.0)</f>
        <v>0</v>
      </c>
      <c r="L1454" s="7" t="str">
        <f t="shared" si="3"/>
        <v>Other</v>
      </c>
      <c r="M1454" s="7" t="str">
        <f t="shared" si="4"/>
        <v>Neutral</v>
      </c>
      <c r="N1454" s="7" t="str">
        <f>IFERROR(__xludf.DUMMYFUNCTION("LOWER(
TRIM(
REGEXREPLACE(B1454,""[^a-zA-Z\s]"","""")
)
)
"),"susan jay")</f>
        <v>susan jay</v>
      </c>
      <c r="O1454" s="7">
        <f t="shared" si="5"/>
        <v>1</v>
      </c>
      <c r="P1454" s="8" t="str">
        <f t="shared" si="6"/>
        <v>No</v>
      </c>
    </row>
    <row r="1455">
      <c r="A1455" s="4" t="s">
        <v>16</v>
      </c>
      <c r="B1455" s="4" t="s">
        <v>4121</v>
      </c>
      <c r="C1455" s="5">
        <v>44818.0</v>
      </c>
      <c r="D1455" s="10">
        <v>44821.0</v>
      </c>
      <c r="E1455" s="4" t="s">
        <v>4122</v>
      </c>
      <c r="F1455" s="4" t="s">
        <v>4123</v>
      </c>
      <c r="G1455" s="6" t="str">
        <f>IFERROR(__xludf.DUMMYFUNCTION("REGEXREPLACE(LOWER(F1455),""[^a-z\s]"","""")"),"ive been using petflow for years now never had an issue till recently this time around i received a package before i received the shipping notification upon receiving my partial order because one item was on backorder there was  item missing other than th"&amp;"e backordered item i was charge for all items but only  of the  other items were in the package i called and spoke to someone they also thought it was very strange to receive the items before the notification and that one of the items was missing after th"&amp;"is conversation i received the shipping notification for this shipment which did indicate that the missing item was supposed to be included after about  days i still hadnt received a communication or shipping info on the missing item i then received a shi"&amp;"pping notification for the backordered item but still nothing on the missing item not even confirmation of our conversation nothing to indicate that the missing item was being taken care of i then emailed you again to ask about it at that time the shippin"&amp;"g notification had come in showing that the missing item had shipped and then a reply to the email to say the same while there was no real tragedy here there was a lot of unnecessary stress all due to not being more communicative the rep had told me that "&amp;"the warehouse failed to input the shipping info which is why the notification wasnt triggered what ever it was it was unusual to say the least")</f>
        <v>ive been using petflow for years now never had an issue till recently this time around i received a package before i received the shipping notification upon receiving my partial order because one item was on backorder there was  item missing other than the backordered item i was charge for all items but only  of the  other items were in the package i called and spoke to someone they also thought it was very strange to receive the items before the notification and that one of the items was missing after this conversation i received the shipping notification for this shipment which did indicate that the missing item was supposed to be included after about  days i still hadnt received a communication or shipping info on the missing item i then received a shipping notification for the backordered item but still nothing on the missing item not even confirmation of our conversation nothing to indicate that the missing item was being taken care of i then emailed you again to ask about it at that time the shipping notification had come in showing that the missing item had shipped and then a reply to the email to say the same while there was no real tragedy here there was a lot of unnecessary stress all due to not being more communicative the rep had told me that the warehouse failed to input the shipping info which is why the notification wasnt triggered what ever it was it was unusual to say the least</v>
      </c>
      <c r="H1455" s="4" t="str">
        <f t="shared" si="1"/>
        <v>ive been using petflow years now never had an issue till recently this time around i received a package before i received shipping notification upon receiving my partial order because one item was on backorder there was item missing other than backordered item i was charge all items but only of other items were in package i called spoke someone they also thought it was very strange receive items before notification that one of items was missing after this conversation i received shipping notification this shipment which did indicate that missing item was supposed be included after about days i still hadnt received a communication or shipping info on missing item i then received a shipping notification backordered item but still nothing on missing item not even confirmation of our conversation nothing indicate that missing item was being taken care of i then emailed you again ask about it at that time shipping notification had come in showing that missing item had shipped then a reply email say same while there was no real tragedy here there was a lot of unnecessary stress all due not being more communicative rep had told me that warehouse failed input shipping info which why notification wasnt triggered what ever it was it was unusual say least</v>
      </c>
      <c r="I1455" s="6">
        <f t="shared" si="2"/>
        <v>213</v>
      </c>
      <c r="J1455" s="6">
        <f>IFERROR(__xludf.DUMMYFUNCTION("IF(H1455="""","""",
SUM(
ARRAYFORMULA(
IF(
REGEXMATCH(
"" ""&amp;H1455&amp;"" "",
"" ""&amp;Sentiment_Words!A$2:A3730&amp;"" ""
),
1,
0
)
)
)
)"),0.0)</f>
        <v>0</v>
      </c>
      <c r="K1455" s="4">
        <f>IFERROR(__xludf.DUMMYFUNCTION("IF(H1455="""","""",
SUM(
ARRAYFORMULA(
IF(
REGEXMATCH(
"" ""&amp;H1455&amp;"" "",
"" ""&amp;Sentiment_Words!B$2:B3730&amp;"" ""
),
1,
0
)
)
)
)"),3.0)</f>
        <v>3</v>
      </c>
      <c r="L1455" s="7" t="str">
        <f t="shared" si="3"/>
        <v>Fulfillment &amp; Shipping</v>
      </c>
      <c r="M1455" s="7" t="str">
        <f t="shared" si="4"/>
        <v>Negative</v>
      </c>
      <c r="N1455" s="7" t="str">
        <f>IFERROR(__xludf.DUMMYFUNCTION("LOWER(
TRIM(
REGEXREPLACE(B1455,""[^a-zA-Z\s]"","""")
)
)
"),"diane escobar")</f>
        <v>diane escobar</v>
      </c>
      <c r="O1455" s="7">
        <f t="shared" si="5"/>
        <v>1</v>
      </c>
      <c r="P1455" s="8" t="str">
        <f t="shared" si="6"/>
        <v>No</v>
      </c>
    </row>
    <row r="1456">
      <c r="A1456" s="4" t="s">
        <v>16</v>
      </c>
      <c r="B1456" s="4" t="s">
        <v>4124</v>
      </c>
      <c r="C1456" s="9">
        <v>44813.0</v>
      </c>
      <c r="D1456" s="10">
        <v>44821.0</v>
      </c>
      <c r="E1456" s="4" t="s">
        <v>4125</v>
      </c>
      <c r="F1456" s="4" t="s">
        <v>4126</v>
      </c>
      <c r="G1456" s="6" t="str">
        <f>IFERROR(__xludf.DUMMYFUNCTION("REGEXREPLACE(LOWER(F1456),""[^a-z\s]"","""")"),"i ordered two cases of food i provided the prescription and the two cases were ready to be shipped i followed up the next two days and i was told was due to the prior holiday weekend but the two cases were ready to be shipped however two days later i was "&amp;"told that the product was out of stock but it was ready to be shipped which is it")</f>
        <v>i ordered two cases of food i provided the prescription and the two cases were ready to be shipped i followed up the next two days and i was told was due to the prior holiday weekend but the two cases were ready to be shipped however two days later i was told that the product was out of stock but it was ready to be shipped which is it</v>
      </c>
      <c r="H1456" s="4" t="str">
        <f t="shared" si="1"/>
        <v>i ordered two cases of food i provided prescription two cases were ready be shipped i followed up next two days i was told was due prior holiday weekend but two cases were ready be shipped however two days later i was told that product was out of stock but it was ready be shipped which it</v>
      </c>
      <c r="I1456" s="6">
        <f t="shared" si="2"/>
        <v>57</v>
      </c>
      <c r="J1456" s="6">
        <f>IFERROR(__xludf.DUMMYFUNCTION("IF(H1456="""","""",
SUM(
ARRAYFORMULA(
IF(
REGEXMATCH(
"" ""&amp;H1456&amp;"" "",
"" ""&amp;Sentiment_Words!A$2:A3730&amp;"" ""
),
1,
0
)
)
)
)"),1.0)</f>
        <v>1</v>
      </c>
      <c r="K1456" s="4">
        <f>IFERROR(__xludf.DUMMYFUNCTION("IF(H1456="""","""",
SUM(
ARRAYFORMULA(
IF(
REGEXMATCH(
"" ""&amp;H1456&amp;"" "",
"" ""&amp;Sentiment_Words!B$2:B3730&amp;"" ""
),
1,
0
)
)
)
)"),1.0)</f>
        <v>1</v>
      </c>
      <c r="L1456" s="7" t="str">
        <f t="shared" si="3"/>
        <v>Fulfillment &amp; Shipping</v>
      </c>
      <c r="M1456" s="7" t="str">
        <f t="shared" si="4"/>
        <v>Neutral</v>
      </c>
      <c r="N1456" s="7" t="str">
        <f>IFERROR(__xludf.DUMMYFUNCTION("LOWER(
TRIM(
REGEXREPLACE(B1456,""[^a-zA-Z\s]"","""")
)
)
"),"debbie roberts")</f>
        <v>debbie roberts</v>
      </c>
      <c r="O1456" s="7">
        <f t="shared" si="5"/>
        <v>1</v>
      </c>
      <c r="P1456" s="8" t="str">
        <f t="shared" si="6"/>
        <v>No</v>
      </c>
    </row>
    <row r="1457">
      <c r="A1457" s="4" t="s">
        <v>16</v>
      </c>
      <c r="B1457" s="4" t="s">
        <v>452</v>
      </c>
      <c r="C1457" s="9">
        <v>44807.0</v>
      </c>
      <c r="D1457" s="10">
        <v>44821.0</v>
      </c>
      <c r="E1457" s="4" t="s">
        <v>4127</v>
      </c>
      <c r="F1457" s="4" t="s">
        <v>4128</v>
      </c>
      <c r="G1457" s="6" t="str">
        <f>IFERROR(__xludf.DUMMYFUNCTION("REGEXREPLACE(LOWER(F1457),""[^a-z\s]"","""")"),"very well made and excellent quality of the product ")</f>
        <v>very well made and excellent quality of the product </v>
      </c>
      <c r="H1457" s="4" t="str">
        <f t="shared" si="1"/>
        <v>very well made excellent quality of product</v>
      </c>
      <c r="I1457" s="6">
        <f t="shared" si="2"/>
        <v>7</v>
      </c>
      <c r="J1457" s="6">
        <f>IFERROR(__xludf.DUMMYFUNCTION("IF(H1457="""","""",
SUM(
ARRAYFORMULA(
IF(
REGEXMATCH(
"" ""&amp;H1457&amp;"" "",
"" ""&amp;Sentiment_Words!A$2:A3730&amp;"" ""
),
1,
0
)
)
)
)"),0.0)</f>
        <v>0</v>
      </c>
      <c r="K1457" s="4">
        <f>IFERROR(__xludf.DUMMYFUNCTION("IF(H1457="""","""",
SUM(
ARRAYFORMULA(
IF(
REGEXMATCH(
"" ""&amp;H1457&amp;"" "",
"" ""&amp;Sentiment_Words!B$2:B3730&amp;"" ""
),
1,
0
)
)
)
)"),0.0)</f>
        <v>0</v>
      </c>
      <c r="L1457" s="7" t="str">
        <f t="shared" si="3"/>
        <v>Other</v>
      </c>
      <c r="M1457" s="7" t="str">
        <f t="shared" si="4"/>
        <v>Neutral</v>
      </c>
      <c r="N1457" s="7" t="str">
        <f>IFERROR(__xludf.DUMMYFUNCTION("LOWER(
TRIM(
REGEXREPLACE(B1457,""[^a-zA-Z\s]"","""")
)
)
"),"david")</f>
        <v>david</v>
      </c>
      <c r="O1457" s="7">
        <f t="shared" si="5"/>
        <v>3</v>
      </c>
      <c r="P1457" s="8" t="str">
        <f t="shared" si="6"/>
        <v>Yes</v>
      </c>
    </row>
    <row r="1458">
      <c r="A1458" s="4" t="s">
        <v>16</v>
      </c>
      <c r="B1458" s="4" t="s">
        <v>3311</v>
      </c>
      <c r="C1458" s="5">
        <v>44816.0</v>
      </c>
      <c r="D1458" s="10">
        <v>44821.0</v>
      </c>
      <c r="E1458" s="4" t="s">
        <v>4129</v>
      </c>
      <c r="F1458" s="4" t="s">
        <v>4130</v>
      </c>
      <c r="G1458" s="6" t="str">
        <f>IFERROR(__xludf.DUMMYFUNCTION("REGEXREPLACE(LOWER(F1458),""[^a-z\s]"","""")"),"never received product nor heard that it could not be fulfilled item was listed as in stock when purchased")</f>
        <v>never received product nor heard that it could not be fulfilled item was listed as in stock when purchased</v>
      </c>
      <c r="H1458" s="4" t="str">
        <f t="shared" si="1"/>
        <v>never received product nor heard that it could not be fulfilled item was listed as in stock when purchased</v>
      </c>
      <c r="I1458" s="6">
        <f t="shared" si="2"/>
        <v>19</v>
      </c>
      <c r="J1458" s="6">
        <f>IFERROR(__xludf.DUMMYFUNCTION("IF(H1458="""","""",
SUM(
ARRAYFORMULA(
IF(
REGEXMATCH(
"" ""&amp;H1458&amp;"" "",
"" ""&amp;Sentiment_Words!A$2:A3730&amp;"" ""
),
1,
0
)
)
)
)"),0.0)</f>
        <v>0</v>
      </c>
      <c r="K1458" s="4">
        <f>IFERROR(__xludf.DUMMYFUNCTION("IF(H1458="""","""",
SUM(
ARRAYFORMULA(
IF(
REGEXMATCH(
"" ""&amp;H1458&amp;"" "",
"" ""&amp;Sentiment_Words!B$2:B3730&amp;"" ""
),
1,
0
)
)
)
)"),0.0)</f>
        <v>0</v>
      </c>
      <c r="L1458" s="7" t="str">
        <f t="shared" si="3"/>
        <v>Other</v>
      </c>
      <c r="M1458" s="7" t="str">
        <f t="shared" si="4"/>
        <v>Neutral</v>
      </c>
      <c r="N1458" s="7" t="str">
        <f>IFERROR(__xludf.DUMMYFUNCTION("LOWER(
TRIM(
REGEXREPLACE(B1458,""[^a-zA-Z\s]"","""")
)
)
"),"melissa")</f>
        <v>melissa</v>
      </c>
      <c r="O1458" s="7">
        <f t="shared" si="5"/>
        <v>3</v>
      </c>
      <c r="P1458" s="8" t="str">
        <f t="shared" si="6"/>
        <v>Yes</v>
      </c>
    </row>
    <row r="1459">
      <c r="A1459" s="4" t="s">
        <v>16</v>
      </c>
      <c r="B1459" s="4" t="s">
        <v>4131</v>
      </c>
      <c r="C1459" s="5">
        <v>44818.0</v>
      </c>
      <c r="D1459" s="10">
        <v>44821.0</v>
      </c>
      <c r="E1459" s="4" t="s">
        <v>4132</v>
      </c>
      <c r="F1459" s="4" t="s">
        <v>4133</v>
      </c>
      <c r="G1459" s="6" t="str">
        <f>IFERROR(__xludf.DUMMYFUNCTION("REGEXREPLACE(LOWER(F1459),""[^a-z\s]"","""")"),"always reliable and a great price thank you")</f>
        <v>always reliable and a great price thank you</v>
      </c>
      <c r="H1459" s="4" t="str">
        <f t="shared" si="1"/>
        <v>always reliable a great price thank you</v>
      </c>
      <c r="I1459" s="6">
        <f t="shared" si="2"/>
        <v>7</v>
      </c>
      <c r="J1459" s="6">
        <f>IFERROR(__xludf.DUMMYFUNCTION("IF(H1459="""","""",
SUM(
ARRAYFORMULA(
IF(
REGEXMATCH(
"" ""&amp;H1459&amp;"" "",
"" ""&amp;Sentiment_Words!A$2:A3730&amp;"" ""
),
1,
0
)
)
)
)"),2.0)</f>
        <v>2</v>
      </c>
      <c r="K1459" s="4">
        <f>IFERROR(__xludf.DUMMYFUNCTION("IF(H1459="""","""",
SUM(
ARRAYFORMULA(
IF(
REGEXMATCH(
"" ""&amp;H1459&amp;"" "",
"" ""&amp;Sentiment_Words!B$2:B3730&amp;"" ""
),
1,
0
)
)
)
)"),0.0)</f>
        <v>0</v>
      </c>
      <c r="L1459" s="7" t="str">
        <f t="shared" si="3"/>
        <v>Other</v>
      </c>
      <c r="M1459" s="7" t="str">
        <f t="shared" si="4"/>
        <v>Positive</v>
      </c>
      <c r="N1459" s="7" t="str">
        <f>IFERROR(__xludf.DUMMYFUNCTION("LOWER(
TRIM(
REGEXREPLACE(B1459,""[^a-zA-Z\s]"","""")
)
)
"),"margaret s warner")</f>
        <v>margaret s warner</v>
      </c>
      <c r="O1459" s="7">
        <f t="shared" si="5"/>
        <v>1</v>
      </c>
      <c r="P1459" s="8" t="str">
        <f t="shared" si="6"/>
        <v>No</v>
      </c>
    </row>
    <row r="1460">
      <c r="A1460" s="4" t="s">
        <v>16</v>
      </c>
      <c r="B1460" s="4" t="s">
        <v>2771</v>
      </c>
      <c r="C1460" s="9">
        <v>44805.0</v>
      </c>
      <c r="D1460" s="10">
        <v>44821.0</v>
      </c>
      <c r="E1460" s="4" t="s">
        <v>4134</v>
      </c>
      <c r="F1460" s="4" t="s">
        <v>4135</v>
      </c>
      <c r="G1460" s="6" t="str">
        <f>IFERROR(__xludf.DUMMYFUNCTION("REGEXREPLACE(LOWER(F1460),""[^a-z\s]"","""")"),"absolutely friendly staff and helped me right away helped me find the perfect alternative for the same price")</f>
        <v>absolutely friendly staff and helped me right away helped me find the perfect alternative for the same price</v>
      </c>
      <c r="H1460" s="4" t="str">
        <f t="shared" si="1"/>
        <v>absolutely friendly staff helped me right away helped me find perfect alternative same price</v>
      </c>
      <c r="I1460" s="6">
        <f t="shared" si="2"/>
        <v>14</v>
      </c>
      <c r="J1460" s="6">
        <f>IFERROR(__xludf.DUMMYFUNCTION("IF(H1460="""","""",
SUM(
ARRAYFORMULA(
IF(
REGEXMATCH(
"" ""&amp;H1460&amp;"" "",
"" ""&amp;Sentiment_Words!A$2:A3730&amp;"" ""
),
1,
0
)
)
)
)"),0.0)</f>
        <v>0</v>
      </c>
      <c r="K1460" s="4">
        <f>IFERROR(__xludf.DUMMYFUNCTION("IF(H1460="""","""",
SUM(
ARRAYFORMULA(
IF(
REGEXMATCH(
"" ""&amp;H1460&amp;"" "",
"" ""&amp;Sentiment_Words!B$2:B3730&amp;"" ""
),
1,
0
)
)
)
)"),0.0)</f>
        <v>0</v>
      </c>
      <c r="L1460" s="7" t="str">
        <f t="shared" si="3"/>
        <v>Other</v>
      </c>
      <c r="M1460" s="7" t="str">
        <f t="shared" si="4"/>
        <v>Neutral</v>
      </c>
      <c r="N1460" s="7" t="str">
        <f>IFERROR(__xludf.DUMMYFUNCTION("LOWER(
TRIM(
REGEXREPLACE(B1460,""[^a-zA-Z\s]"","""")
)
)
"),"brenda")</f>
        <v>brenda</v>
      </c>
      <c r="O1460" s="7">
        <f t="shared" si="5"/>
        <v>7</v>
      </c>
      <c r="P1460" s="8" t="str">
        <f t="shared" si="6"/>
        <v>Yes</v>
      </c>
    </row>
    <row r="1461">
      <c r="A1461" s="4" t="s">
        <v>16</v>
      </c>
      <c r="B1461" s="4" t="s">
        <v>4136</v>
      </c>
      <c r="C1461" s="5">
        <v>44820.0</v>
      </c>
      <c r="D1461" s="10">
        <v>44821.0</v>
      </c>
      <c r="E1461" s="4" t="s">
        <v>4137</v>
      </c>
      <c r="F1461" s="4" t="s">
        <v>4138</v>
      </c>
      <c r="G1461" s="6" t="str">
        <f>IFERROR(__xludf.DUMMYFUNCTION("REGEXREPLACE(LOWER(F1461),""[^a-z\s]"","""")"),"it was cheaper than anywhere else fast delivery  customer service was also fast and friendly")</f>
        <v>it was cheaper than anywhere else fast delivery  customer service was also fast and friendly</v>
      </c>
      <c r="H1461" s="4" t="str">
        <f t="shared" si="1"/>
        <v>it was cheaper than anywhere else fast delivery customer service was also fast friendly</v>
      </c>
      <c r="I1461" s="6">
        <f t="shared" si="2"/>
        <v>14</v>
      </c>
      <c r="J1461" s="6">
        <f>IFERROR(__xludf.DUMMYFUNCTION("IF(H1461="""","""",
SUM(
ARRAYFORMULA(
IF(
REGEXMATCH(
"" ""&amp;H1461&amp;"" "",
"" ""&amp;Sentiment_Words!A$2:A3730&amp;"" ""
),
1,
0
)
)
)
)"),3.0)</f>
        <v>3</v>
      </c>
      <c r="K1461" s="4">
        <f>IFERROR(__xludf.DUMMYFUNCTION("IF(H1461="""","""",
SUM(
ARRAYFORMULA(
IF(
REGEXMATCH(
"" ""&amp;H1461&amp;"" "",
"" ""&amp;Sentiment_Words!B$2:B3730&amp;"" ""
),
1,
0
)
)
)
)"),1.0)</f>
        <v>1</v>
      </c>
      <c r="L1461" s="7" t="str">
        <f t="shared" si="3"/>
        <v>Customer Support</v>
      </c>
      <c r="M1461" s="7" t="str">
        <f t="shared" si="4"/>
        <v>Positive</v>
      </c>
      <c r="N1461" s="7" t="str">
        <f>IFERROR(__xludf.DUMMYFUNCTION("LOWER(
TRIM(
REGEXREPLACE(B1461,""[^a-zA-Z\s]"","""")
)
)
"),"maxs mom")</f>
        <v>maxs mom</v>
      </c>
      <c r="O1461" s="7">
        <f t="shared" si="5"/>
        <v>1</v>
      </c>
      <c r="P1461" s="8" t="str">
        <f t="shared" si="6"/>
        <v>No</v>
      </c>
    </row>
    <row r="1462">
      <c r="A1462" s="4" t="s">
        <v>16</v>
      </c>
      <c r="B1462" s="4" t="s">
        <v>4139</v>
      </c>
      <c r="C1462" s="5">
        <v>44820.0</v>
      </c>
      <c r="D1462" s="10">
        <v>44821.0</v>
      </c>
      <c r="E1462" s="4" t="s">
        <v>4140</v>
      </c>
      <c r="F1462" s="4" t="s">
        <v>4141</v>
      </c>
      <c r="G1462" s="6" t="str">
        <f>IFERROR(__xludf.DUMMYFUNCTION("REGEXREPLACE(LOWER(F1462),""[^a-z\s]"","""")"),"i ordered my dog food almost two weeks ago and im still waiting for it to be shipped or get a refund i have received multiple emails about them not being able to reach banfield pet hospital to get my prescription for my dog but banfield is open from like "&amp;"am to  pm everyday")</f>
        <v>i ordered my dog food almost two weeks ago and im still waiting for it to be shipped or get a refund i have received multiple emails about them not being able to reach banfield pet hospital to get my prescription for my dog but banfield is open from like am to  pm everyday</v>
      </c>
      <c r="H1462" s="4" t="str">
        <f t="shared" si="1"/>
        <v>i ordered my dog food almost two weeks ago im still waiting it be shipped or get a refund i have received multiple emails about them not being able reach banfield pet hospital get my prescription my dog but banfield open from like am pm everyday</v>
      </c>
      <c r="I1462" s="6">
        <f t="shared" si="2"/>
        <v>46</v>
      </c>
      <c r="J1462" s="6">
        <f>IFERROR(__xludf.DUMMYFUNCTION("IF(H1462="""","""",
SUM(
ARRAYFORMULA(
IF(
REGEXMATCH(
"" ""&amp;H1462&amp;"" "",
"" ""&amp;Sentiment_Words!A$2:A3730&amp;"" ""
),
1,
0
)
)
)
)"),1.0)</f>
        <v>1</v>
      </c>
      <c r="K1462" s="4">
        <f>IFERROR(__xludf.DUMMYFUNCTION("IF(H1462="""","""",
SUM(
ARRAYFORMULA(
IF(
REGEXMATCH(
"" ""&amp;H1462&amp;"" "",
"" ""&amp;Sentiment_Words!B$2:B3730&amp;"" ""
),
1,
0
)
)
)
)"),1.0)</f>
        <v>1</v>
      </c>
      <c r="L1462" s="7" t="str">
        <f t="shared" si="3"/>
        <v>Other</v>
      </c>
      <c r="M1462" s="7" t="str">
        <f t="shared" si="4"/>
        <v>Neutral</v>
      </c>
      <c r="N1462" s="7" t="str">
        <f>IFERROR(__xludf.DUMMYFUNCTION("LOWER(
TRIM(
REGEXREPLACE(B1462,""[^a-zA-Z\s]"","""")
)
)
"),"myron")</f>
        <v>myron</v>
      </c>
      <c r="O1462" s="7">
        <f t="shared" si="5"/>
        <v>1</v>
      </c>
      <c r="P1462" s="8" t="str">
        <f t="shared" si="6"/>
        <v>No</v>
      </c>
    </row>
    <row r="1463">
      <c r="A1463" s="4" t="s">
        <v>16</v>
      </c>
      <c r="B1463" s="4" t="s">
        <v>4142</v>
      </c>
      <c r="C1463" s="5">
        <v>44816.0</v>
      </c>
      <c r="D1463" s="10">
        <v>44821.0</v>
      </c>
      <c r="E1463" s="4" t="s">
        <v>4143</v>
      </c>
      <c r="F1463" s="4" t="s">
        <v>4144</v>
      </c>
      <c r="G1463" s="6" t="str">
        <f>IFERROR(__xludf.DUMMYFUNCTION("REGEXREPLACE(LOWER(F1463),""[^a-z\s]"","""")"),"horrible horrible service i did everything right on my part even then the food for my cats wasnt shipped in a timely manner despite me calling for it and being told it will be shipped asap multiple times only to be told later it is being delayed then bein"&amp;"g offered to have it get cancelled and agree to have it cancelled then being told days later that cancelling is not possible did i mention one of your representatives hang up on me bc she couldnt handle why i would be frustrated she threatened me on the p"&amp;"hone then hang up and my order wasnt still cancelled i have texts proof of the many interactions prior to the call where the woman hang up on me i told her i have written communication the offer to cancel she did not care she was rude beyond word this was"&amp;" my first and last order from petflow no integrity")</f>
        <v>horrible horrible service i did everything right on my part even then the food for my cats wasnt shipped in a timely manner despite me calling for it and being told it will be shipped asap multiple times only to be told later it is being delayed then being offered to have it get cancelled and agree to have it cancelled then being told days later that cancelling is not possible did i mention one of your representatives hang up on me bc she couldnt handle why i would be frustrated she threatened me on the phone then hang up and my order wasnt still cancelled i have texts proof of the many interactions prior to the call where the woman hang up on me i told her i have written communication the offer to cancel she did not care she was rude beyond word this was my first and last order from petflow no integrity</v>
      </c>
      <c r="H1463" s="4" t="str">
        <f t="shared" si="1"/>
        <v>horrible horrible service i did everything right on my part even then food my cats wasnt shipped in a timely manner despite me calling it being told it will be shipped asap multiple times only be told later it being delayed then being offered have it get cancelled agree have it cancelled then being told days later that cancelling not possible did i mention one of your representatives hang up on me bc she couldnt handle why i would be frustrated she threatened me on phone then hang up my order wasnt still cancelled i have texts proof of many interactions prior call where woman hang up on me i told her i have written communication offer cancel she did not care she was rude beyond word this was my first last order from petflow no integrity</v>
      </c>
      <c r="I1463" s="6">
        <f t="shared" si="2"/>
        <v>137</v>
      </c>
      <c r="J1463" s="6">
        <f>IFERROR(__xludf.DUMMYFUNCTION("IF(H1463="""","""",
SUM(
ARRAYFORMULA(
IF(
REGEXMATCH(
"" ""&amp;H1463&amp;"" "",
"" ""&amp;Sentiment_Words!A$2:A3730&amp;"" ""
),
1,
0
)
)
)
)"),1.0)</f>
        <v>1</v>
      </c>
      <c r="K1463" s="4">
        <f>IFERROR(__xludf.DUMMYFUNCTION("IF(H1463="""","""",
SUM(
ARRAYFORMULA(
IF(
REGEXMATCH(
"" ""&amp;H1463&amp;"" "",
"" ""&amp;Sentiment_Words!B$2:B3730&amp;"" ""
),
1,
0
)
)
)
)"),2.0)</f>
        <v>2</v>
      </c>
      <c r="L1463" s="7" t="str">
        <f t="shared" si="3"/>
        <v>Customer Support</v>
      </c>
      <c r="M1463" s="7" t="str">
        <f t="shared" si="4"/>
        <v>Negative</v>
      </c>
      <c r="N1463" s="7" t="str">
        <f>IFERROR(__xludf.DUMMYFUNCTION("LOWER(
TRIM(
REGEXREPLACE(B1463,""[^a-zA-Z\s]"","""")
)
)
"),"tanjina")</f>
        <v>tanjina</v>
      </c>
      <c r="O1463" s="7">
        <f t="shared" si="5"/>
        <v>1</v>
      </c>
      <c r="P1463" s="8" t="str">
        <f t="shared" si="6"/>
        <v>No</v>
      </c>
    </row>
    <row r="1464">
      <c r="A1464" s="4" t="s">
        <v>16</v>
      </c>
      <c r="B1464" s="4" t="s">
        <v>4145</v>
      </c>
      <c r="C1464" s="9">
        <v>44811.0</v>
      </c>
      <c r="D1464" s="10">
        <v>44821.0</v>
      </c>
      <c r="E1464" s="4" t="s">
        <v>4146</v>
      </c>
      <c r="F1464" s="4" t="s">
        <v>4147</v>
      </c>
      <c r="G1464" s="6" t="str">
        <f>IFERROR(__xludf.DUMMYFUNCTION("REGEXREPLACE(LOWER(F1464),""[^a-z\s]"","""")"),"i placed an order for treats and a few days later the order was cancelled without any notice the reason given was something flagged a fraud alert however when i called the customer service number they couldnt give me specifics all they suggested was tryin"&amp;"g to place the order again very unprofessional and no confidence that the next order would turn out differently")</f>
        <v>i placed an order for treats and a few days later the order was cancelled without any notice the reason given was something flagged a fraud alert however when i called the customer service number they couldnt give me specifics all they suggested was trying to place the order again very unprofessional and no confidence that the next order would turn out differently</v>
      </c>
      <c r="H1464" s="4" t="str">
        <f t="shared" si="1"/>
        <v>i placed an order treats a few days later order was cancelled without any notice reason given was something flagged a fraud alert however when i called customer service number they couldnt give me specifics all they suggested was trying place order again very unprofessional no confidence that next order would turn out differently</v>
      </c>
      <c r="I1464" s="6">
        <f t="shared" si="2"/>
        <v>54</v>
      </c>
      <c r="J1464" s="6">
        <f>IFERROR(__xludf.DUMMYFUNCTION("IF(H1464="""","""",
SUM(
ARRAYFORMULA(
IF(
REGEXMATCH(
"" ""&amp;H1464&amp;"" "",
"" ""&amp;Sentiment_Words!A$2:A3730&amp;"" ""
),
1,
0
)
)
)
)"),0.0)</f>
        <v>0</v>
      </c>
      <c r="K1464" s="4">
        <f>IFERROR(__xludf.DUMMYFUNCTION("IF(H1464="""","""",
SUM(
ARRAYFORMULA(
IF(
REGEXMATCH(
"" ""&amp;H1464&amp;"" "",
"" ""&amp;Sentiment_Words!B$2:B3730&amp;"" ""
),
1,
0
)
)
)
)"),2.0)</f>
        <v>2</v>
      </c>
      <c r="L1464" s="7" t="str">
        <f t="shared" si="3"/>
        <v>Customer Support</v>
      </c>
      <c r="M1464" s="7" t="str">
        <f t="shared" si="4"/>
        <v>Negative</v>
      </c>
      <c r="N1464" s="7" t="str">
        <f>IFERROR(__xludf.DUMMYFUNCTION("LOWER(
TRIM(
REGEXREPLACE(B1464,""[^a-zA-Z\s]"","""")
)
)
"),"steve karman")</f>
        <v>steve karman</v>
      </c>
      <c r="O1464" s="7">
        <f t="shared" si="5"/>
        <v>1</v>
      </c>
      <c r="P1464" s="8" t="str">
        <f t="shared" si="6"/>
        <v>No</v>
      </c>
    </row>
    <row r="1465">
      <c r="A1465" s="4" t="s">
        <v>16</v>
      </c>
      <c r="B1465" s="4" t="s">
        <v>4148</v>
      </c>
      <c r="C1465" s="9">
        <v>44811.0</v>
      </c>
      <c r="D1465" s="10">
        <v>44821.0</v>
      </c>
      <c r="E1465" s="4" t="s">
        <v>4149</v>
      </c>
      <c r="F1465" s="4" t="s">
        <v>4150</v>
      </c>
      <c r="G1465" s="6" t="str">
        <f>IFERROR(__xludf.DUMMYFUNCTION("REGEXREPLACE(LOWER(F1465),""[^a-z\s]"","""")"),"i was very encouraged when i first logged into this site as some of the prices are lower than other sites but just after submitting my first order im being told that half my order isnt available at this time when i logged out and went back into the site e"&amp;"verything i click on says not available at this time if this would have appeared when i originally logged  min prior to signing out and logging back in i would have looked for the product on a different site")</f>
        <v>i was very encouraged when i first logged into this site as some of the prices are lower than other sites but just after submitting my first order im being told that half my order isnt available at this time when i logged out and went back into the site everything i click on says not available at this time if this would have appeared when i originally logged  min prior to signing out and logging back in i would have looked for the product on a different site</v>
      </c>
      <c r="H1465" s="4" t="str">
        <f t="shared" si="1"/>
        <v>i was very encouraged when i first logged into this site as some of prices are lower than other sites but just after submitting my first order im being told that half my order isnt available at this time when i logged out went back into site everything i click on says not available at this time if this would have appeared when i originally logged min prior signing out logging back in i would have looked product on a different site</v>
      </c>
      <c r="I1465" s="6">
        <f t="shared" si="2"/>
        <v>82</v>
      </c>
      <c r="J1465" s="6">
        <f>IFERROR(__xludf.DUMMYFUNCTION("IF(H1465="""","""",
SUM(
ARRAYFORMULA(
IF(
REGEXMATCH(
"" ""&amp;H1465&amp;"" "",
"" ""&amp;Sentiment_Words!A$2:A3730&amp;"" ""
),
1,
0
)
)
)
)"),1.0)</f>
        <v>1</v>
      </c>
      <c r="K1465" s="4">
        <f>IFERROR(__xludf.DUMMYFUNCTION("IF(H1465="""","""",
SUM(
ARRAYFORMULA(
IF(
REGEXMATCH(
"" ""&amp;H1465&amp;"" "",
"" ""&amp;Sentiment_Words!B$2:B3730&amp;"" ""
),
1,
0
)
)
)
)"),0.0)</f>
        <v>0</v>
      </c>
      <c r="L1465" s="7" t="str">
        <f t="shared" si="3"/>
        <v>Other</v>
      </c>
      <c r="M1465" s="7" t="str">
        <f t="shared" si="4"/>
        <v>Positive</v>
      </c>
      <c r="N1465" s="7" t="str">
        <f>IFERROR(__xludf.DUMMYFUNCTION("LOWER(
TRIM(
REGEXREPLACE(B1465,""[^a-zA-Z\s]"","""")
)
)
"),"linda keller")</f>
        <v>linda keller</v>
      </c>
      <c r="O1465" s="7">
        <f t="shared" si="5"/>
        <v>1</v>
      </c>
      <c r="P1465" s="8" t="str">
        <f t="shared" si="6"/>
        <v>No</v>
      </c>
    </row>
    <row r="1466">
      <c r="A1466" s="4" t="s">
        <v>16</v>
      </c>
      <c r="B1466" s="4" t="s">
        <v>4151</v>
      </c>
      <c r="C1466" s="5">
        <v>44816.0</v>
      </c>
      <c r="D1466" s="10">
        <v>44820.0</v>
      </c>
      <c r="E1466" s="4" t="s">
        <v>4152</v>
      </c>
      <c r="F1466" s="4" t="s">
        <v>4153</v>
      </c>
      <c r="G1466" s="6" t="str">
        <f>IFERROR(__xludf.DUMMYFUNCTION("REGEXREPLACE(LOWER(F1466),""[^a-z\s]"","""")"),"i travel for work and i ordered pet food via your site for the first time with my billing address as my home address and my shipping address as the place i was on location working i travel with my two cats my order was cancelled and i was not notified it "&amp;"was cancelled for fraud when i called to check on the order i was told it was still fraudulent and wouldnt be reversed i am appalled that this day and age that we cant have different billing and shipping what if i wanted to send my child a gift of pet ite"&amp;"ms from your site which would have been a diff shipping and billing this is really short sighted and the lack of communication was abhorrent")</f>
        <v>i travel for work and i ordered pet food via your site for the first time with my billing address as my home address and my shipping address as the place i was on location working i travel with my two cats my order was cancelled and i was not notified it was cancelled for fraud when i called to check on the order i was told it was still fraudulent and wouldnt be reversed i am appalled that this day and age that we cant have different billing and shipping what if i wanted to send my child a gift of pet items from your site which would have been a diff shipping and billing this is really short sighted and the lack of communication was abhorrent</v>
      </c>
      <c r="H1466" s="4" t="str">
        <f t="shared" si="1"/>
        <v>i travel work i ordered pet food via your site first time with my billing address as my home address my shipping address as place i was on location working i travel with my two cats my order was cancelled i was not notified it was cancelled fraud when i called check on order i was told it was still fraudulent wouldnt be reversed i am appalled that this day age that we cant have different billing shipping what if i wanted send my child a gift of pet items from your site which would have been a diff shipping billing this really short sighted lack of communication was abhorrent</v>
      </c>
      <c r="I1466" s="6">
        <f t="shared" si="2"/>
        <v>110</v>
      </c>
      <c r="J1466" s="6">
        <f>IFERROR(__xludf.DUMMYFUNCTION("IF(H1466="""","""",
SUM(
ARRAYFORMULA(
IF(
REGEXMATCH(
"" ""&amp;H1466&amp;"" "",
"" ""&amp;Sentiment_Words!A$2:A3730&amp;"" ""
),
1,
0
)
)
)
)"),1.0)</f>
        <v>1</v>
      </c>
      <c r="K1466" s="4">
        <f>IFERROR(__xludf.DUMMYFUNCTION("IF(H1466="""","""",
SUM(
ARRAYFORMULA(
IF(
REGEXMATCH(
"" ""&amp;H1466&amp;"" "",
"" ""&amp;Sentiment_Words!B$2:B3730&amp;"" ""
),
1,
0
)
)
)
)"),1.0)</f>
        <v>1</v>
      </c>
      <c r="L1466" s="7" t="str">
        <f t="shared" si="3"/>
        <v>Other</v>
      </c>
      <c r="M1466" s="7" t="str">
        <f t="shared" si="4"/>
        <v>Neutral</v>
      </c>
      <c r="N1466" s="7" t="str">
        <f>IFERROR(__xludf.DUMMYFUNCTION("LOWER(
TRIM(
REGEXREPLACE(B1466,""[^a-zA-Z\s]"","""")
)
)
"),"alise saunders")</f>
        <v>alise saunders</v>
      </c>
      <c r="O1466" s="7">
        <f t="shared" si="5"/>
        <v>1</v>
      </c>
      <c r="P1466" s="8" t="str">
        <f t="shared" si="6"/>
        <v>No</v>
      </c>
    </row>
    <row r="1467">
      <c r="A1467" s="4" t="s">
        <v>16</v>
      </c>
      <c r="B1467" s="4" t="s">
        <v>4154</v>
      </c>
      <c r="C1467" s="5">
        <v>44819.0</v>
      </c>
      <c r="D1467" s="10">
        <v>44820.0</v>
      </c>
      <c r="E1467" s="4" t="s">
        <v>4155</v>
      </c>
      <c r="F1467" s="4" t="s">
        <v>4156</v>
      </c>
      <c r="G1467" s="6" t="str">
        <f>IFERROR(__xludf.DUMMYFUNCTION("REGEXREPLACE(LOWER(F1467),""[^a-z\s]"","""")"),"apparently my order was canceled by the fraud department id like to know why i spoke to someone on the phone as i wanted  of the item but you only had one no one notified me i ordered  from another company thinking i had  coming from you now your out and "&amp;"i will have to pay more than i should with shipping very very upset ive been in business for  years and have never done this to my customers")</f>
        <v>apparently my order was canceled by the fraud department id like to know why i spoke to someone on the phone as i wanted  of the item but you only had one no one notified me i ordered  from another company thinking i had  coming from you now your out and i will have to pay more than i should with shipping very very upset ive been in business for  years and have never done this to my customers</v>
      </c>
      <c r="H1467" s="4" t="str">
        <f t="shared" si="1"/>
        <v>apparently my order was canceled by fraud department id like know why i spoke someone on phone as i wanted of item but you only had one no one notified me i ordered from another company thinking i had coming from you now your out i will have pay more than i should with shipping very very upset ive been in business years have never done this my customers</v>
      </c>
      <c r="I1467" s="6">
        <f t="shared" si="2"/>
        <v>69</v>
      </c>
      <c r="J1467" s="6">
        <f>IFERROR(__xludf.DUMMYFUNCTION("IF(H1467="""","""",
SUM(
ARRAYFORMULA(
IF(
REGEXMATCH(
"" ""&amp;H1467&amp;"" "",
"" ""&amp;Sentiment_Words!A$2:A3730&amp;"" ""
),
1,
0
)
)
)
)"),0.0)</f>
        <v>0</v>
      </c>
      <c r="K1467" s="4">
        <f>IFERROR(__xludf.DUMMYFUNCTION("IF(H1467="""","""",
SUM(
ARRAYFORMULA(
IF(
REGEXMATCH(
"" ""&amp;H1467&amp;"" "",
"" ""&amp;Sentiment_Words!B$2:B3730&amp;"" ""
),
1,
0
)
)
)
)"),0.0)</f>
        <v>0</v>
      </c>
      <c r="L1467" s="7" t="str">
        <f t="shared" si="3"/>
        <v>Other</v>
      </c>
      <c r="M1467" s="7" t="str">
        <f t="shared" si="4"/>
        <v>Neutral</v>
      </c>
      <c r="N1467" s="7" t="str">
        <f>IFERROR(__xludf.DUMMYFUNCTION("LOWER(
TRIM(
REGEXREPLACE(B1467,""[^a-zA-Z\s]"","""")
)
)
"),"anita saint clair")</f>
        <v>anita saint clair</v>
      </c>
      <c r="O1467" s="7">
        <f t="shared" si="5"/>
        <v>1</v>
      </c>
      <c r="P1467" s="8" t="str">
        <f t="shared" si="6"/>
        <v>No</v>
      </c>
    </row>
    <row r="1468">
      <c r="A1468" s="4" t="s">
        <v>16</v>
      </c>
      <c r="B1468" s="4" t="s">
        <v>4157</v>
      </c>
      <c r="C1468" s="5">
        <v>44819.0</v>
      </c>
      <c r="D1468" s="10">
        <v>44820.0</v>
      </c>
      <c r="E1468" s="4" t="s">
        <v>4158</v>
      </c>
      <c r="F1468" s="4" t="s">
        <v>4159</v>
      </c>
      <c r="G1468" s="6" t="str">
        <f>IFERROR(__xludf.DUMMYFUNCTION("REGEXREPLACE(LOWER(F1468),""[^a-z\s]"","""")"),"i tried using a coupon that said expires  on  and it was already expired")</f>
        <v>i tried using a coupon that said expires  on  and it was already expired</v>
      </c>
      <c r="H1468" s="4" t="str">
        <f t="shared" si="1"/>
        <v>i tried using a coupon that said expires on it was already expired</v>
      </c>
      <c r="I1468" s="6">
        <f t="shared" si="2"/>
        <v>13</v>
      </c>
      <c r="J1468" s="6">
        <f>IFERROR(__xludf.DUMMYFUNCTION("IF(H1468="""","""",
SUM(
ARRAYFORMULA(
IF(
REGEXMATCH(
"" ""&amp;H1468&amp;"" "",
"" ""&amp;Sentiment_Words!A$2:A3730&amp;"" ""
),
1,
0
)
)
)
)"),0.0)</f>
        <v>0</v>
      </c>
      <c r="K1468" s="4">
        <f>IFERROR(__xludf.DUMMYFUNCTION("IF(H1468="""","""",
SUM(
ARRAYFORMULA(
IF(
REGEXMATCH(
"" ""&amp;H1468&amp;"" "",
"" ""&amp;Sentiment_Words!B$2:B3730&amp;"" ""
),
1,
0
)
)
)
)"),1.0)</f>
        <v>1</v>
      </c>
      <c r="L1468" s="7" t="str">
        <f t="shared" si="3"/>
        <v>Food Safety</v>
      </c>
      <c r="M1468" s="7" t="str">
        <f t="shared" si="4"/>
        <v>Negative</v>
      </c>
      <c r="N1468" s="7" t="str">
        <f>IFERROR(__xludf.DUMMYFUNCTION("LOWER(
TRIM(
REGEXREPLACE(B1468,""[^a-zA-Z\s]"","""")
)
)
"),"andrina dacar")</f>
        <v>andrina dacar</v>
      </c>
      <c r="O1468" s="7">
        <f t="shared" si="5"/>
        <v>1</v>
      </c>
      <c r="P1468" s="8" t="str">
        <f t="shared" si="6"/>
        <v>No</v>
      </c>
    </row>
    <row r="1469">
      <c r="A1469" s="4" t="s">
        <v>16</v>
      </c>
      <c r="B1469" s="4" t="s">
        <v>4160</v>
      </c>
      <c r="C1469" s="9">
        <v>44812.0</v>
      </c>
      <c r="D1469" s="10">
        <v>44820.0</v>
      </c>
      <c r="E1469" s="4" t="s">
        <v>4161</v>
      </c>
      <c r="F1469" s="4" t="s">
        <v>4162</v>
      </c>
      <c r="G1469" s="6" t="str">
        <f>IFERROR(__xludf.DUMMYFUNCTION("REGEXREPLACE(LOWER(F1469),""[^a-z\s]"","""")"),"i will never ever contact pet flow for anything ever again terrible terrible customer service and failure to deliver told me their fraud division refused to ship item i ordered i contacted my credit card companies and all of them said there was zero issue"&amp;"s with any of my cards numerous other complaints just like my experience with this company i would give them a zero if possible")</f>
        <v>i will never ever contact pet flow for anything ever again terrible terrible customer service and failure to deliver told me their fraud division refused to ship item i ordered i contacted my credit card companies and all of them said there was zero issues with any of my cards numerous other complaints just like my experience with this company i would give them a zero if possible</v>
      </c>
      <c r="H1469" s="4" t="str">
        <f t="shared" si="1"/>
        <v>i will never ever contact pet flow anything ever again terrible terrible customer service failure deliver told me their fraud division refused ship item i ordered i contacted my credit card companies all of them said there was zero issues with any of my cards numerous other complaints just like my experience with this company i would give them a zero if possible</v>
      </c>
      <c r="I1469" s="6">
        <f t="shared" si="2"/>
        <v>63</v>
      </c>
      <c r="J1469" s="6">
        <f>IFERROR(__xludf.DUMMYFUNCTION("IF(H1469="""","""",
SUM(
ARRAYFORMULA(
IF(
REGEXMATCH(
"" ""&amp;H1469&amp;"" "",
"" ""&amp;Sentiment_Words!A$2:A3730&amp;"" ""
),
1,
0
)
)
)
)"),0.0)</f>
        <v>0</v>
      </c>
      <c r="K1469" s="4">
        <f>IFERROR(__xludf.DUMMYFUNCTION("IF(H1469="""","""",
SUM(
ARRAYFORMULA(
IF(
REGEXMATCH(
"" ""&amp;H1469&amp;"" "",
"" ""&amp;Sentiment_Words!B$2:B3730&amp;"" ""
),
1,
0
)
)
)
)"),2.0)</f>
        <v>2</v>
      </c>
      <c r="L1469" s="7" t="str">
        <f t="shared" si="3"/>
        <v>Customer Support</v>
      </c>
      <c r="M1469" s="7" t="str">
        <f t="shared" si="4"/>
        <v>Negative</v>
      </c>
      <c r="N1469" s="7" t="str">
        <f>IFERROR(__xludf.DUMMYFUNCTION("LOWER(
TRIM(
REGEXREPLACE(B1469,""[^a-zA-Z\s]"","""")
)
)
"),"ronnie hoffman")</f>
        <v>ronnie hoffman</v>
      </c>
      <c r="O1469" s="7">
        <f t="shared" si="5"/>
        <v>1</v>
      </c>
      <c r="P1469" s="8" t="str">
        <f t="shared" si="6"/>
        <v>No</v>
      </c>
    </row>
    <row r="1470">
      <c r="A1470" s="4" t="s">
        <v>16</v>
      </c>
      <c r="B1470" s="4" t="s">
        <v>4163</v>
      </c>
      <c r="C1470" s="5">
        <v>44817.0</v>
      </c>
      <c r="D1470" s="10">
        <v>44820.0</v>
      </c>
      <c r="E1470" s="4" t="s">
        <v>1036</v>
      </c>
      <c r="F1470" s="4" t="s">
        <v>4164</v>
      </c>
      <c r="G1470" s="6" t="str">
        <f>IFERROR(__xludf.DUMMYFUNCTION("REGEXREPLACE(LOWER(F1470),""[^a-z\s]"","""")"),"love petflow site carries my favorite products great prices fast shipping and items arrive in good condition a")</f>
        <v>love petflow site carries my favorite products great prices fast shipping and items arrive in good condition a</v>
      </c>
      <c r="H1470" s="4" t="str">
        <f t="shared" si="1"/>
        <v>love petflow site carries my favorite products great prices fast shipping items arrive in good condition a</v>
      </c>
      <c r="I1470" s="6">
        <f t="shared" si="2"/>
        <v>17</v>
      </c>
      <c r="J1470" s="6">
        <f>IFERROR(__xludf.DUMMYFUNCTION("IF(H1470="""","""",
SUM(
ARRAYFORMULA(
IF(
REGEXMATCH(
"" ""&amp;H1470&amp;"" "",
"" ""&amp;Sentiment_Words!A$2:A3730&amp;"" ""
),
1,
0
)
)
)
)"),4.0)</f>
        <v>4</v>
      </c>
      <c r="K1470" s="4">
        <f>IFERROR(__xludf.DUMMYFUNCTION("IF(H1470="""","""",
SUM(
ARRAYFORMULA(
IF(
REGEXMATCH(
"" ""&amp;H1470&amp;"" "",
"" ""&amp;Sentiment_Words!B$2:B3730&amp;"" ""
),
1,
0
)
)
)
)"),0.0)</f>
        <v>0</v>
      </c>
      <c r="L1470" s="7" t="str">
        <f t="shared" si="3"/>
        <v>Other</v>
      </c>
      <c r="M1470" s="7" t="str">
        <f t="shared" si="4"/>
        <v>Positive</v>
      </c>
      <c r="N1470" s="7" t="str">
        <f>IFERROR(__xludf.DUMMYFUNCTION("LOWER(
TRIM(
REGEXREPLACE(B1470,""[^a-zA-Z\s]"","""")
)
)
"),"berkshires")</f>
        <v>berkshires</v>
      </c>
      <c r="O1470" s="7">
        <f t="shared" si="5"/>
        <v>1</v>
      </c>
      <c r="P1470" s="8" t="str">
        <f t="shared" si="6"/>
        <v>No</v>
      </c>
    </row>
    <row r="1471">
      <c r="A1471" s="4" t="s">
        <v>16</v>
      </c>
      <c r="B1471" s="4" t="s">
        <v>4165</v>
      </c>
      <c r="C1471" s="9">
        <v>44810.0</v>
      </c>
      <c r="D1471" s="10">
        <v>44820.0</v>
      </c>
      <c r="E1471" s="4" t="s">
        <v>4166</v>
      </c>
      <c r="F1471" s="4" t="s">
        <v>4167</v>
      </c>
      <c r="G1471" s="6" t="str">
        <f>IFERROR(__xludf.DUMMYFUNCTION("REGEXREPLACE(LOWER(F1471),""[^a-z\s]"","""")"),"bimonthly order of dog food that is the best price i can find online")</f>
        <v>bimonthly order of dog food that is the best price i can find online</v>
      </c>
      <c r="H1471" s="4" t="str">
        <f t="shared" si="1"/>
        <v>bimonthly order of dog food that best price i can find online</v>
      </c>
      <c r="I1471" s="6">
        <f t="shared" si="2"/>
        <v>12</v>
      </c>
      <c r="J1471" s="6">
        <f>IFERROR(__xludf.DUMMYFUNCTION("IF(H1471="""","""",
SUM(
ARRAYFORMULA(
IF(
REGEXMATCH(
"" ""&amp;H1471&amp;"" "",
"" ""&amp;Sentiment_Words!A$2:A3730&amp;"" ""
),
1,
0
)
)
)
)"),0.0)</f>
        <v>0</v>
      </c>
      <c r="K1471" s="4">
        <f>IFERROR(__xludf.DUMMYFUNCTION("IF(H1471="""","""",
SUM(
ARRAYFORMULA(
IF(
REGEXMATCH(
"" ""&amp;H1471&amp;"" "",
"" ""&amp;Sentiment_Words!B$2:B3730&amp;"" ""
),
1,
0
)
)
)
)"),0.0)</f>
        <v>0</v>
      </c>
      <c r="L1471" s="7" t="str">
        <f t="shared" si="3"/>
        <v>Other</v>
      </c>
      <c r="M1471" s="7" t="str">
        <f t="shared" si="4"/>
        <v>Neutral</v>
      </c>
      <c r="N1471" s="7" t="str">
        <f>IFERROR(__xludf.DUMMYFUNCTION("LOWER(
TRIM(
REGEXREPLACE(B1471,""[^a-zA-Z\s]"","""")
)
)
"),"christopher")</f>
        <v>christopher</v>
      </c>
      <c r="O1471" s="7">
        <f t="shared" si="5"/>
        <v>1</v>
      </c>
      <c r="P1471" s="8" t="str">
        <f t="shared" si="6"/>
        <v>No</v>
      </c>
    </row>
    <row r="1472">
      <c r="A1472" s="4" t="s">
        <v>16</v>
      </c>
      <c r="B1472" s="4" t="s">
        <v>4168</v>
      </c>
      <c r="C1472" s="9">
        <v>44807.0</v>
      </c>
      <c r="D1472" s="10">
        <v>44820.0</v>
      </c>
      <c r="E1472" s="4" t="s">
        <v>4169</v>
      </c>
      <c r="F1472" s="4" t="s">
        <v>4170</v>
      </c>
      <c r="G1472" s="6" t="str">
        <f>IFERROR(__xludf.DUMMYFUNCTION("REGEXREPLACE(LOWER(F1472),""[^a-z\s]"","""")"),"shows on website the food i needed for my cat was in stockand it wasnt")</f>
        <v>shows on website the food i needed for my cat was in stockand it wasnt</v>
      </c>
      <c r="H1472" s="4" t="str">
        <f t="shared" si="1"/>
        <v>shows on website food i needed my cat was in stockand it wasnt</v>
      </c>
      <c r="I1472" s="6">
        <f t="shared" si="2"/>
        <v>13</v>
      </c>
      <c r="J1472" s="6">
        <f>IFERROR(__xludf.DUMMYFUNCTION("IF(H1472="""","""",
SUM(
ARRAYFORMULA(
IF(
REGEXMATCH(
"" ""&amp;H1472&amp;"" "",
"" ""&amp;Sentiment_Words!A$2:A3730&amp;"" ""
),
1,
0
)
)
)
)"),0.0)</f>
        <v>0</v>
      </c>
      <c r="K1472" s="4">
        <f>IFERROR(__xludf.DUMMYFUNCTION("IF(H1472="""","""",
SUM(
ARRAYFORMULA(
IF(
REGEXMATCH(
"" ""&amp;H1472&amp;"" "",
"" ""&amp;Sentiment_Words!B$2:B3730&amp;"" ""
),
1,
0
)
)
)
)"),0.0)</f>
        <v>0</v>
      </c>
      <c r="L1472" s="7" t="str">
        <f t="shared" si="3"/>
        <v>Account &amp; Website</v>
      </c>
      <c r="M1472" s="7" t="str">
        <f t="shared" si="4"/>
        <v>Neutral</v>
      </c>
      <c r="N1472" s="7" t="str">
        <f>IFERROR(__xludf.DUMMYFUNCTION("LOWER(
TRIM(
REGEXREPLACE(B1472,""[^a-zA-Z\s]"","""")
)
)
"),"verla e ording")</f>
        <v>verla e ording</v>
      </c>
      <c r="O1472" s="7">
        <f t="shared" si="5"/>
        <v>1</v>
      </c>
      <c r="P1472" s="8" t="str">
        <f t="shared" si="6"/>
        <v>No</v>
      </c>
    </row>
    <row r="1473">
      <c r="A1473" s="4" t="s">
        <v>16</v>
      </c>
      <c r="B1473" s="4" t="s">
        <v>4171</v>
      </c>
      <c r="C1473" s="5">
        <v>44803.0</v>
      </c>
      <c r="D1473" s="10">
        <v>44820.0</v>
      </c>
      <c r="E1473" s="4" t="s">
        <v>4172</v>
      </c>
      <c r="F1473" s="4" t="s">
        <v>4173</v>
      </c>
      <c r="G1473" s="6" t="str">
        <f>IFERROR(__xludf.DUMMYFUNCTION("REGEXREPLACE(LOWER(F1473),""[^a-z\s]"","""")"),"great products service and website")</f>
        <v>great products service and website</v>
      </c>
      <c r="H1473" s="4" t="str">
        <f t="shared" si="1"/>
        <v>great products service website</v>
      </c>
      <c r="I1473" s="6">
        <f t="shared" si="2"/>
        <v>4</v>
      </c>
      <c r="J1473" s="6">
        <f>IFERROR(__xludf.DUMMYFUNCTION("IF(H1473="""","""",
SUM(
ARRAYFORMULA(
IF(
REGEXMATCH(
"" ""&amp;H1473&amp;"" "",
"" ""&amp;Sentiment_Words!A$2:A3730&amp;"" ""
),
1,
0
)
)
)
)"),1.0)</f>
        <v>1</v>
      </c>
      <c r="K1473" s="4">
        <f>IFERROR(__xludf.DUMMYFUNCTION("IF(H1473="""","""",
SUM(
ARRAYFORMULA(
IF(
REGEXMATCH(
"" ""&amp;H1473&amp;"" "",
"" ""&amp;Sentiment_Words!B$2:B3730&amp;"" ""
),
1,
0
)
)
)
)"),0.0)</f>
        <v>0</v>
      </c>
      <c r="L1473" s="7" t="str">
        <f t="shared" si="3"/>
        <v>Customer Support</v>
      </c>
      <c r="M1473" s="7" t="str">
        <f t="shared" si="4"/>
        <v>Positive</v>
      </c>
      <c r="N1473" s="7" t="str">
        <f>IFERROR(__xludf.DUMMYFUNCTION("LOWER(
TRIM(
REGEXREPLACE(B1473,""[^a-zA-Z\s]"","""")
)
)
"),"angela bowen")</f>
        <v>angela bowen</v>
      </c>
      <c r="O1473" s="7">
        <f t="shared" si="5"/>
        <v>1</v>
      </c>
      <c r="P1473" s="8" t="str">
        <f t="shared" si="6"/>
        <v>No</v>
      </c>
    </row>
    <row r="1474">
      <c r="A1474" s="4" t="s">
        <v>16</v>
      </c>
      <c r="B1474" s="4" t="s">
        <v>4174</v>
      </c>
      <c r="C1474" s="5">
        <v>44816.0</v>
      </c>
      <c r="D1474" s="10">
        <v>44819.0</v>
      </c>
      <c r="E1474" s="4" t="s">
        <v>4175</v>
      </c>
      <c r="F1474" s="4" t="s">
        <v>4176</v>
      </c>
      <c r="G1474" s="6" t="str">
        <f>IFERROR(__xludf.DUMMYFUNCTION("REGEXREPLACE(LOWER(F1474),""[^a-z\s]"","""")"),"my experience isnt complete because i only received one small piece of the order kind of odd i ordered a case of cat food when i placed the order the site said i was only  away from free shipping so i ordered a small kitty toy for  i got an email on monda"&amp;"y that my order had arrived it was a large box but when i picked it up it felt empty it was only the kitty toy no food kind of odd   why not include it with the food and why use such a big box for a small item that only weighed a couple ounces")</f>
        <v>my experience isnt complete because i only received one small piece of the order kind of odd i ordered a case of cat food when i placed the order the site said i was only  away from free shipping so i ordered a small kitty toy for  i got an email on monday that my order had arrived it was a large box but when i picked it up it felt empty it was only the kitty toy no food kind of odd   why not include it with the food and why use such a big box for a small item that only weighed a couple ounces</v>
      </c>
      <c r="H1474" s="4" t="str">
        <f t="shared" si="1"/>
        <v>my experience isnt complete because i only received one small piece of order kind of odd i ordered a case of cat food when i placed order site said i was only away from free shipping so i ordered a small kitty toy i got an email on monday that my order had arrived it was a large box but when i picked it up it felt empty it was only kitty toy no food kind of odd why not include it with food why use such a big box a small item that only weighed a couple ounces</v>
      </c>
      <c r="I1474" s="6">
        <f t="shared" si="2"/>
        <v>99</v>
      </c>
      <c r="J1474" s="6">
        <f>IFERROR(__xludf.DUMMYFUNCTION("IF(H1474="""","""",
SUM(
ARRAYFORMULA(
IF(
REGEXMATCH(
"" ""&amp;H1474&amp;"" "",
"" ""&amp;Sentiment_Words!A$2:A3730&amp;"" ""
),
1,
0
)
)
)
)"),0.0)</f>
        <v>0</v>
      </c>
      <c r="K1474" s="4">
        <f>IFERROR(__xludf.DUMMYFUNCTION("IF(H1474="""","""",
SUM(
ARRAYFORMULA(
IF(
REGEXMATCH(
"" ""&amp;H1474&amp;"" "",
"" ""&amp;Sentiment_Words!B$2:B3730&amp;"" ""
),
1,
0
)
)
)
)"),0.0)</f>
        <v>0</v>
      </c>
      <c r="L1474" s="7" t="str">
        <f t="shared" si="3"/>
        <v>Other</v>
      </c>
      <c r="M1474" s="7" t="str">
        <f t="shared" si="4"/>
        <v>Neutral</v>
      </c>
      <c r="N1474" s="7" t="str">
        <f>IFERROR(__xludf.DUMMYFUNCTION("LOWER(
TRIM(
REGEXREPLACE(B1474,""[^a-zA-Z\s]"","""")
)
)
"),"dan w")</f>
        <v>dan w</v>
      </c>
      <c r="O1474" s="7">
        <f t="shared" si="5"/>
        <v>1</v>
      </c>
      <c r="P1474" s="8" t="str">
        <f t="shared" si="6"/>
        <v>No</v>
      </c>
    </row>
    <row r="1475">
      <c r="A1475" s="4" t="s">
        <v>16</v>
      </c>
      <c r="B1475" s="4" t="s">
        <v>4177</v>
      </c>
      <c r="C1475" s="5">
        <v>44817.0</v>
      </c>
      <c r="D1475" s="10">
        <v>44819.0</v>
      </c>
      <c r="E1475" s="4" t="s">
        <v>4178</v>
      </c>
      <c r="F1475" s="4" t="s">
        <v>4179</v>
      </c>
      <c r="G1475" s="6" t="str">
        <f>IFERROR(__xludf.DUMMYFUNCTION("REGEXREPLACE(LOWER(F1475),""[^a-z\s]"","""")"),"half of order delivered as expected other half was on perpetual delay petflow team could not provide update except that all prescription orders were delayed this was obviously not the case as the first half of my order was fine and not delayed that said i"&amp;"f they anticipate delays on all prescription orders outline that on your website after four days of asking for answers with no update in sight i canceled the remainder of my order unreliable service and wont be ordering again")</f>
        <v>half of order delivered as expected other half was on perpetual delay petflow team could not provide update except that all prescription orders were delayed this was obviously not the case as the first half of my order was fine and not delayed that said if they anticipate delays on all prescription orders outline that on your website after four days of asking for answers with no update in sight i canceled the remainder of my order unreliable service and wont be ordering again</v>
      </c>
      <c r="H1475" s="4" t="str">
        <f t="shared" si="1"/>
        <v>half of order delivered as expected other half was on perpetual delay petflow team could not provide update except that all prescription orders were delayed this was obviously not case as first half of my order was fine not delayed that said if they anticipate delays on all prescription orders outline that on your website after four days of asking answers with no update in sight i canceled remainder of my order unreliable service wont be ordering again</v>
      </c>
      <c r="I1475" s="6">
        <f t="shared" si="2"/>
        <v>78</v>
      </c>
      <c r="J1475" s="6">
        <f>IFERROR(__xludf.DUMMYFUNCTION("IF(H1475="""","""",
SUM(
ARRAYFORMULA(
IF(
REGEXMATCH(
"" ""&amp;H1475&amp;"" "",
"" ""&amp;Sentiment_Words!A$2:A3730&amp;"" ""
),
1,
0
)
)
)
)"),1.0)</f>
        <v>1</v>
      </c>
      <c r="K1475" s="4">
        <f>IFERROR(__xludf.DUMMYFUNCTION("IF(H1475="""","""",
SUM(
ARRAYFORMULA(
IF(
REGEXMATCH(
"" ""&amp;H1475&amp;"" "",
"" ""&amp;Sentiment_Words!B$2:B3730&amp;"" ""
),
1,
0
)
)
)
)"),2.0)</f>
        <v>2</v>
      </c>
      <c r="L1475" s="7" t="str">
        <f t="shared" si="3"/>
        <v>Customer Support</v>
      </c>
      <c r="M1475" s="7" t="str">
        <f t="shared" si="4"/>
        <v>Negative</v>
      </c>
      <c r="N1475" s="7" t="str">
        <f>IFERROR(__xludf.DUMMYFUNCTION("LOWER(
TRIM(
REGEXREPLACE(B1475,""[^a-zA-Z\s]"","""")
)
)
"),"adrienne b")</f>
        <v>adrienne b</v>
      </c>
      <c r="O1475" s="7">
        <f t="shared" si="5"/>
        <v>1</v>
      </c>
      <c r="P1475" s="8" t="str">
        <f t="shared" si="6"/>
        <v>No</v>
      </c>
    </row>
    <row r="1476">
      <c r="A1476" s="4" t="s">
        <v>16</v>
      </c>
      <c r="B1476" s="4" t="s">
        <v>4180</v>
      </c>
      <c r="C1476" s="5">
        <v>44803.0</v>
      </c>
      <c r="D1476" s="10">
        <v>44819.0</v>
      </c>
      <c r="E1476" s="4" t="s">
        <v>4181</v>
      </c>
      <c r="F1476" s="4" t="s">
        <v>4182</v>
      </c>
      <c r="G1476" s="6" t="str">
        <f>IFERROR(__xludf.DUMMYFUNCTION("REGEXREPLACE(LOWER(F1476),""[^a-z\s]"","""")"),"i tried twice to order the dog food for my  dogs both times it was cancelled by this company their so called fraud prevention dept i was dumbfounded i called to ask why the woman i talked to had no idea and could not transfer me to anyone to talk to about"&amp;" it i got an email from another person just saying their fraud dept decided my order should not be done i finally talked to another person who also didnt know why she suggested i contact my company i had already done that after i got an email about the fr"&amp;"aud dept declining my order the card company was just as dumbfounded as i was they told me there wasnt anything wrong with my card my credit or anything she couldnt figure out why they even said that we kind of chuckled about it when i said ive gotten cal"&amp;"ls from my cards banks if they thought there was a suspicious order made with the card but never heard of the company refusing an order this way guess i dont get to try this dog food for my dogs and they dont want my business oh well")</f>
        <v>i tried twice to order the dog food for my  dogs both times it was cancelled by this company their so called fraud prevention dept i was dumbfounded i called to ask why the woman i talked to had no idea and could not transfer me to anyone to talk to about it i got an email from another person just saying their fraud dept decided my order should not be done i finally talked to another person who also didnt know why she suggested i contact my company i had already done that after i got an email about the fraud dept declining my order the card company was just as dumbfounded as i was they told me there wasnt anything wrong with my card my credit or anything she couldnt figure out why they even said that we kind of chuckled about it when i said ive gotten calls from my cards banks if they thought there was a suspicious order made with the card but never heard of the company refusing an order this way guess i dont get to try this dog food for my dogs and they dont want my business oh well</v>
      </c>
      <c r="H1476" s="4" t="str">
        <f t="shared" si="1"/>
        <v>i tried twice order dog food my dogs both times it was cancelled by this company their so called fraud prevention dept i was dumbfounded i called ask why woman i talked had no idea could not transfer me anyone talk about it i got an email from another person just saying their fraud dept decided my order should not be done i finally talked another person who also didnt know why she suggested i contact my company i had already done that after i got an email about fraud dept declining my order card company was just as dumbfounded as i was they told me there wasnt anything wrong with my card my credit or anything she couldnt figure out why they even said that we kind of chuckled about it when i said ive gotten calls from my cards banks if they thought there was a suspicious order made with card but never heard of company refusing an order this way guess i dont get try this dog food my dogs they dont want my business oh well</v>
      </c>
      <c r="I1476" s="6">
        <f t="shared" si="2"/>
        <v>180</v>
      </c>
      <c r="J1476" s="6">
        <f>IFERROR(__xludf.DUMMYFUNCTION("IF(H1476="""","""",
SUM(
ARRAYFORMULA(
IF(
REGEXMATCH(
"" ""&amp;H1476&amp;"" "",
"" ""&amp;Sentiment_Words!A$2:A3730&amp;"" ""
),
1,
0
)
)
)
)"),0.0)</f>
        <v>0</v>
      </c>
      <c r="K1476" s="4">
        <f>IFERROR(__xludf.DUMMYFUNCTION("IF(H1476="""","""",
SUM(
ARRAYFORMULA(
IF(
REGEXMATCH(
"" ""&amp;H1476&amp;"" "",
"" ""&amp;Sentiment_Words!B$2:B3730&amp;"" ""
),
1,
0
)
)
)
)"),2.0)</f>
        <v>2</v>
      </c>
      <c r="L1476" s="7" t="str">
        <f t="shared" si="3"/>
        <v>Fulfillment &amp; Shipping</v>
      </c>
      <c r="M1476" s="7" t="str">
        <f t="shared" si="4"/>
        <v>Negative</v>
      </c>
      <c r="N1476" s="7" t="str">
        <f>IFERROR(__xludf.DUMMYFUNCTION("LOWER(
TRIM(
REGEXREPLACE(B1476,""[^a-zA-Z\s]"","""")
)
)
"),"wendy morrey")</f>
        <v>wendy morrey</v>
      </c>
      <c r="O1476" s="7">
        <f t="shared" si="5"/>
        <v>1</v>
      </c>
      <c r="P1476" s="8" t="str">
        <f t="shared" si="6"/>
        <v>No</v>
      </c>
    </row>
    <row r="1477">
      <c r="A1477" s="4" t="s">
        <v>16</v>
      </c>
      <c r="B1477" s="4" t="s">
        <v>4183</v>
      </c>
      <c r="C1477" s="9">
        <v>44805.0</v>
      </c>
      <c r="D1477" s="10">
        <v>44819.0</v>
      </c>
      <c r="E1477" s="4" t="s">
        <v>2659</v>
      </c>
      <c r="F1477" s="4" t="s">
        <v>4184</v>
      </c>
      <c r="G1477" s="6" t="str">
        <f>IFERROR(__xludf.DUMMYFUNCTION("REGEXREPLACE(LOWER(F1477),""[^a-z\s]"","""")"),"ordered wrong food contacted company before shipped they said it was too far in the process they told me to deny delivery when they come the delivery company dropped off without notice and they denied my return they lost me as a customer over  i purchased"&amp;" the  bag of food from chewy and cancelled my regular food subscription horrible service")</f>
        <v>ordered wrong food contacted company before shipped they said it was too far in the process they told me to deny delivery when they come the delivery company dropped off without notice and they denied my return they lost me as a customer over  i purchased the  bag of food from chewy and cancelled my regular food subscription horrible service</v>
      </c>
      <c r="H1477" s="4" t="str">
        <f t="shared" si="1"/>
        <v>ordered wrong food contacted company before shipped they said it was too far in process they told me deny delivery when they come delivery company dropped off without notice they denied my return they lost me as a customer over i purchased bag of food from chewy cancelled my regular food subscription horrible service</v>
      </c>
      <c r="I1477" s="6">
        <f t="shared" si="2"/>
        <v>54</v>
      </c>
      <c r="J1477" s="6">
        <f>IFERROR(__xludf.DUMMYFUNCTION("IF(H1477="""","""",
SUM(
ARRAYFORMULA(
IF(
REGEXMATCH(
"" ""&amp;H1477&amp;"" "",
"" ""&amp;Sentiment_Words!A$2:A3730&amp;"" ""
),
1,
0
)
)
)
)"),0.0)</f>
        <v>0</v>
      </c>
      <c r="K1477" s="4">
        <f>IFERROR(__xludf.DUMMYFUNCTION("IF(H1477="""","""",
SUM(
ARRAYFORMULA(
IF(
REGEXMATCH(
"" ""&amp;H1477&amp;"" "",
"" ""&amp;Sentiment_Words!B$2:B3730&amp;"" ""
),
1,
0
)
)
)
)"),2.0)</f>
        <v>2</v>
      </c>
      <c r="L1477" s="7" t="str">
        <f t="shared" si="3"/>
        <v>Customer Support</v>
      </c>
      <c r="M1477" s="7" t="str">
        <f t="shared" si="4"/>
        <v>Negative</v>
      </c>
      <c r="N1477" s="7" t="str">
        <f>IFERROR(__xludf.DUMMYFUNCTION("LOWER(
TRIM(
REGEXREPLACE(B1477,""[^a-zA-Z\s]"","""")
)
)
"),"stephen held")</f>
        <v>stephen held</v>
      </c>
      <c r="O1477" s="7">
        <f t="shared" si="5"/>
        <v>1</v>
      </c>
      <c r="P1477" s="8" t="str">
        <f t="shared" si="6"/>
        <v>No</v>
      </c>
    </row>
    <row r="1478">
      <c r="A1478" s="4" t="s">
        <v>16</v>
      </c>
      <c r="B1478" s="4" t="s">
        <v>4185</v>
      </c>
      <c r="C1478" s="5">
        <v>44815.0</v>
      </c>
      <c r="D1478" s="10">
        <v>44819.0</v>
      </c>
      <c r="E1478" s="4" t="s">
        <v>4186</v>
      </c>
      <c r="F1478" s="4" t="s">
        <v>4187</v>
      </c>
      <c r="G1478" s="6" t="str">
        <f>IFERROR(__xludf.DUMMYFUNCTION("REGEXREPLACE(LOWER(F1478),""[^a-z\s]"","""")"),"product is good but way too many emails")</f>
        <v>product is good but way too many emails</v>
      </c>
      <c r="H1478" s="4" t="str">
        <f t="shared" si="1"/>
        <v>product good but way too many emails</v>
      </c>
      <c r="I1478" s="6">
        <f t="shared" si="2"/>
        <v>7</v>
      </c>
      <c r="J1478" s="6">
        <f>IFERROR(__xludf.DUMMYFUNCTION("IF(H1478="""","""",
SUM(
ARRAYFORMULA(
IF(
REGEXMATCH(
"" ""&amp;H1478&amp;"" "",
"" ""&amp;Sentiment_Words!A$2:A3730&amp;"" ""
),
1,
0
)
)
)
)"),1.0)</f>
        <v>1</v>
      </c>
      <c r="K1478" s="4">
        <f>IFERROR(__xludf.DUMMYFUNCTION("IF(H1478="""","""",
SUM(
ARRAYFORMULA(
IF(
REGEXMATCH(
"" ""&amp;H1478&amp;"" "",
"" ""&amp;Sentiment_Words!B$2:B3730&amp;"" ""
),
1,
0
)
)
)
)"),0.0)</f>
        <v>0</v>
      </c>
      <c r="L1478" s="7" t="str">
        <f t="shared" si="3"/>
        <v>Other</v>
      </c>
      <c r="M1478" s="7" t="str">
        <f t="shared" si="4"/>
        <v>Positive</v>
      </c>
      <c r="N1478" s="7" t="str">
        <f>IFERROR(__xludf.DUMMYFUNCTION("LOWER(
TRIM(
REGEXREPLACE(B1478,""[^a-zA-Z\s]"","""")
)
)
"),"b bradford")</f>
        <v>b bradford</v>
      </c>
      <c r="O1478" s="7">
        <f t="shared" si="5"/>
        <v>1</v>
      </c>
      <c r="P1478" s="8" t="str">
        <f t="shared" si="6"/>
        <v>No</v>
      </c>
    </row>
    <row r="1479">
      <c r="A1479" s="4" t="s">
        <v>16</v>
      </c>
      <c r="B1479" s="4" t="s">
        <v>4188</v>
      </c>
      <c r="C1479" s="5">
        <v>44818.0</v>
      </c>
      <c r="D1479" s="10">
        <v>44819.0</v>
      </c>
      <c r="E1479" s="4" t="s">
        <v>4189</v>
      </c>
      <c r="F1479" s="4" t="s">
        <v>4190</v>
      </c>
      <c r="G1479" s="6" t="str">
        <f>IFERROR(__xludf.DUMMYFUNCTION("REGEXREPLACE(LOWER(F1479),""[^a-z\s]"","""")"),"took over two weeks for order to arrive
soft cookies are very hard")</f>
        <v>took over two weeks for order to arrive
soft cookies are very hard</v>
      </c>
      <c r="H1479" s="4" t="str">
        <f t="shared" si="1"/>
        <v>took over two weeks order arrive
soft cookies are very hard</v>
      </c>
      <c r="I1479" s="6">
        <f t="shared" si="2"/>
        <v>10</v>
      </c>
      <c r="J1479" s="6">
        <f>IFERROR(__xludf.DUMMYFUNCTION("IF(H1479="""","""",
SUM(
ARRAYFORMULA(
IF(
REGEXMATCH(
"" ""&amp;H1479&amp;"" "",
"" ""&amp;Sentiment_Words!A$2:A3730&amp;"" ""
),
1,
0
)
)
)
)"),0.0)</f>
        <v>0</v>
      </c>
      <c r="K1479" s="4">
        <f>IFERROR(__xludf.DUMMYFUNCTION("IF(H1479="""","""",
SUM(
ARRAYFORMULA(
IF(
REGEXMATCH(
"" ""&amp;H1479&amp;"" "",
"" ""&amp;Sentiment_Words!B$2:B3730&amp;"" ""
),
1,
0
)
)
)
)"),0.0)</f>
        <v>0</v>
      </c>
      <c r="L1479" s="7" t="str">
        <f t="shared" si="3"/>
        <v>Other</v>
      </c>
      <c r="M1479" s="7" t="str">
        <f t="shared" si="4"/>
        <v>Neutral</v>
      </c>
      <c r="N1479" s="7" t="str">
        <f>IFERROR(__xludf.DUMMYFUNCTION("LOWER(
TRIM(
REGEXREPLACE(B1479,""[^a-zA-Z\s]"","""")
)
)
"),"marilyn badger")</f>
        <v>marilyn badger</v>
      </c>
      <c r="O1479" s="7">
        <f t="shared" si="5"/>
        <v>1</v>
      </c>
      <c r="P1479" s="8" t="str">
        <f t="shared" si="6"/>
        <v>No</v>
      </c>
    </row>
    <row r="1480">
      <c r="A1480" s="4" t="s">
        <v>16</v>
      </c>
      <c r="B1480" s="4" t="s">
        <v>4191</v>
      </c>
      <c r="C1480" s="5">
        <v>44814.0</v>
      </c>
      <c r="D1480" s="10">
        <v>44819.0</v>
      </c>
      <c r="E1480" s="4" t="s">
        <v>4192</v>
      </c>
      <c r="F1480" s="4" t="s">
        <v>4193</v>
      </c>
      <c r="G1480" s="6" t="str">
        <f>IFERROR(__xludf.DUMMYFUNCTION("REGEXREPLACE(LOWER(F1480),""[^a-z\s]"","""")"),"this place is a real joke seems like they are selling items that they dont have we purchased  dog bowls for our feeders after they was supposed to ship them out we called and they said that they canceled our order due to they thought it was fraud how is m"&amp;"aking a purchase a fraud they couldnt explain it then they gave another excuse saying they dont sell to companies we are not a company they stated they refunded our money but yet to see it be very cautious with this company")</f>
        <v>this place is a real joke seems like they are selling items that they dont have we purchased  dog bowls for our feeders after they was supposed to ship them out we called and they said that they canceled our order due to they thought it was fraud how is making a purchase a fraud they couldnt explain it then they gave another excuse saying they dont sell to companies we are not a company they stated they refunded our money but yet to see it be very cautious with this company</v>
      </c>
      <c r="H1480" s="4" t="str">
        <f t="shared" si="1"/>
        <v>this place a real joke seems like they are selling items that they dont have we purchased dog bowls our feeders after they was supposed ship them out we called they said that they canceled our order due they thought it was fraud how making a purchase a fraud they couldnt explain it then they gave another excuse saying they dont sell companies we are not a company they stated they refunded our money but yet see it be very cautious with this company</v>
      </c>
      <c r="I1480" s="6">
        <f t="shared" si="2"/>
        <v>84</v>
      </c>
      <c r="J1480" s="6">
        <f>IFERROR(__xludf.DUMMYFUNCTION("IF(H1480="""","""",
SUM(
ARRAYFORMULA(
IF(
REGEXMATCH(
"" ""&amp;H1480&amp;"" "",
"" ""&amp;Sentiment_Words!A$2:A3730&amp;"" ""
),
1,
0
)
)
)
)"),0.0)</f>
        <v>0</v>
      </c>
      <c r="K1480" s="4">
        <f>IFERROR(__xludf.DUMMYFUNCTION("IF(H1480="""","""",
SUM(
ARRAYFORMULA(
IF(
REGEXMATCH(
"" ""&amp;H1480&amp;"" "",
"" ""&amp;Sentiment_Words!B$2:B3730&amp;"" ""
),
1,
0
)
)
)
)"),0.0)</f>
        <v>0</v>
      </c>
      <c r="L1480" s="7" t="str">
        <f t="shared" si="3"/>
        <v>Other</v>
      </c>
      <c r="M1480" s="7" t="str">
        <f t="shared" si="4"/>
        <v>Neutral</v>
      </c>
      <c r="N1480" s="7" t="str">
        <f>IFERROR(__xludf.DUMMYFUNCTION("LOWER(
TRIM(
REGEXREPLACE(B1480,""[^a-zA-Z\s]"","""")
)
)
"),"rodb")</f>
        <v>rodb</v>
      </c>
      <c r="O1480" s="7">
        <f t="shared" si="5"/>
        <v>1</v>
      </c>
      <c r="P1480" s="8" t="str">
        <f t="shared" si="6"/>
        <v>No</v>
      </c>
    </row>
    <row r="1481">
      <c r="A1481" s="4" t="s">
        <v>16</v>
      </c>
      <c r="B1481" s="4" t="s">
        <v>4194</v>
      </c>
      <c r="C1481" s="5">
        <v>44818.0</v>
      </c>
      <c r="D1481" s="10">
        <v>44819.0</v>
      </c>
      <c r="E1481" s="4" t="s">
        <v>4195</v>
      </c>
      <c r="F1481" s="4" t="s">
        <v>4196</v>
      </c>
      <c r="G1481" s="6" t="str">
        <f>IFERROR(__xludf.DUMMYFUNCTION("REGEXREPLACE(LOWER(F1481),""[^a-z\s]"","""")"),"every time i order it takes forever to receive i also have received the wrong product and had to reorder and wait even longer kind of a headache customer service is just ok")</f>
        <v>every time i order it takes forever to receive i also have received the wrong product and had to reorder and wait even longer kind of a headache customer service is just ok</v>
      </c>
      <c r="H1481" s="4" t="str">
        <f t="shared" si="1"/>
        <v>every time i order it takes forever receive i also have received wrong product had reorder wait even longer kind of a headache customer service just ok</v>
      </c>
      <c r="I1481" s="6">
        <f t="shared" si="2"/>
        <v>27</v>
      </c>
      <c r="J1481" s="6">
        <f>IFERROR(__xludf.DUMMYFUNCTION("IF(H1481="""","""",
SUM(
ARRAYFORMULA(
IF(
REGEXMATCH(
"" ""&amp;H1481&amp;"" "",
"" ""&amp;Sentiment_Words!A$2:A3730&amp;"" ""
),
1,
0
)
)
)
)"),0.0)</f>
        <v>0</v>
      </c>
      <c r="K1481" s="4">
        <f>IFERROR(__xludf.DUMMYFUNCTION("IF(H1481="""","""",
SUM(
ARRAYFORMULA(
IF(
REGEXMATCH(
"" ""&amp;H1481&amp;"" "",
"" ""&amp;Sentiment_Words!B$2:B3730&amp;"" ""
),
1,
0
)
)
)
)"),2.0)</f>
        <v>2</v>
      </c>
      <c r="L1481" s="7" t="str">
        <f t="shared" si="3"/>
        <v>Customer Support</v>
      </c>
      <c r="M1481" s="7" t="str">
        <f t="shared" si="4"/>
        <v>Negative</v>
      </c>
      <c r="N1481" s="7" t="str">
        <f>IFERROR(__xludf.DUMMYFUNCTION("LOWER(
TRIM(
REGEXREPLACE(B1481,""[^a-zA-Z\s]"","""")
)
)
"),"melissa susinonussbaum")</f>
        <v>melissa susinonussbaum</v>
      </c>
      <c r="O1481" s="7">
        <f t="shared" si="5"/>
        <v>1</v>
      </c>
      <c r="P1481" s="8" t="str">
        <f t="shared" si="6"/>
        <v>No</v>
      </c>
    </row>
    <row r="1482">
      <c r="A1482" s="4" t="s">
        <v>16</v>
      </c>
      <c r="B1482" s="4" t="s">
        <v>4197</v>
      </c>
      <c r="C1482" s="5">
        <v>44817.0</v>
      </c>
      <c r="D1482" s="10">
        <v>44819.0</v>
      </c>
      <c r="E1482" s="4" t="s">
        <v>4198</v>
      </c>
      <c r="F1482" s="4" t="s">
        <v>4199</v>
      </c>
      <c r="G1482" s="6" t="str">
        <f>IFERROR(__xludf.DUMMYFUNCTION("REGEXREPLACE(LOWER(F1482),""[^a-z\s]"","""")"),"nice selection of premium reasonably priced highquality cat food shipped and delivered quickly with no hassles")</f>
        <v>nice selection of premium reasonably priced highquality cat food shipped and delivered quickly with no hassles</v>
      </c>
      <c r="H1482" s="4" t="str">
        <f t="shared" si="1"/>
        <v>nice selection of premium reasonably priced highquality cat food shipped delivered quickly with no hassles</v>
      </c>
      <c r="I1482" s="6">
        <f t="shared" si="2"/>
        <v>15</v>
      </c>
      <c r="J1482" s="6">
        <f>IFERROR(__xludf.DUMMYFUNCTION("IF(H1482="""","""",
SUM(
ARRAYFORMULA(
IF(
REGEXMATCH(
"" ""&amp;H1482&amp;"" "",
"" ""&amp;Sentiment_Words!A$2:A3730&amp;"" ""
),
1,
0
)
)
)
)"),1.0)</f>
        <v>1</v>
      </c>
      <c r="K1482" s="4">
        <f>IFERROR(__xludf.DUMMYFUNCTION("IF(H1482="""","""",
SUM(
ARRAYFORMULA(
IF(
REGEXMATCH(
"" ""&amp;H1482&amp;"" "",
"" ""&amp;Sentiment_Words!B$2:B3730&amp;"" ""
),
1,
0
)
)
)
)"),0.0)</f>
        <v>0</v>
      </c>
      <c r="L1482" s="7" t="str">
        <f t="shared" si="3"/>
        <v>Other</v>
      </c>
      <c r="M1482" s="7" t="str">
        <f t="shared" si="4"/>
        <v>Positive</v>
      </c>
      <c r="N1482" s="7" t="str">
        <f>IFERROR(__xludf.DUMMYFUNCTION("LOWER(
TRIM(
REGEXREPLACE(B1482,""[^a-zA-Z\s]"","""")
)
)
"),"william matthews")</f>
        <v>william matthews</v>
      </c>
      <c r="O1482" s="7">
        <f t="shared" si="5"/>
        <v>1</v>
      </c>
      <c r="P1482" s="8" t="str">
        <f t="shared" si="6"/>
        <v>No</v>
      </c>
    </row>
    <row r="1483">
      <c r="A1483" s="4" t="s">
        <v>16</v>
      </c>
      <c r="B1483" s="4" t="s">
        <v>4200</v>
      </c>
      <c r="C1483" s="5">
        <v>44818.0</v>
      </c>
      <c r="D1483" s="10">
        <v>44818.0</v>
      </c>
      <c r="E1483" s="4" t="s">
        <v>4201</v>
      </c>
      <c r="F1483" s="4" t="s">
        <v>4202</v>
      </c>
      <c r="G1483" s="6" t="str">
        <f>IFERROR(__xludf.DUMMYFUNCTION("REGEXREPLACE(LOWER(F1483),""[^a-z\s]"","""")"),"website is extremely difficult to navigate and customer service is merely okay
after i was told my order was in stock it wasnt and my order was cancelled no well let you know as soon as it gets in or anything just plain canceled
not gonna bother shopping "&amp;"here again")</f>
        <v>website is extremely difficult to navigate and customer service is merely okay
after i was told my order was in stock it wasnt and my order was cancelled no well let you know as soon as it gets in or anything just plain canceled
not gonna bother shopping here again</v>
      </c>
      <c r="H1483" s="4" t="str">
        <f t="shared" si="1"/>
        <v>website extremely difficult navigate customer service merely okay
after i was told my order was in stock it wasnt my order was cancelled no well let you know as soon as it gets in or anything just plain canceled
not gonna bother shopping here again</v>
      </c>
      <c r="I1483" s="6">
        <f t="shared" si="2"/>
        <v>43</v>
      </c>
      <c r="J1483" s="6">
        <f>IFERROR(__xludf.DUMMYFUNCTION("IF(H1483="""","""",
SUM(
ARRAYFORMULA(
IF(
REGEXMATCH(
"" ""&amp;H1483&amp;"" "",
"" ""&amp;Sentiment_Words!A$2:A3730&amp;"" ""
),
1,
0
)
)
)
)"),0.0)</f>
        <v>0</v>
      </c>
      <c r="K1483" s="4">
        <f>IFERROR(__xludf.DUMMYFUNCTION("IF(H1483="""","""",
SUM(
ARRAYFORMULA(
IF(
REGEXMATCH(
"" ""&amp;H1483&amp;"" "",
"" ""&amp;Sentiment_Words!B$2:B3730&amp;"" ""
),
1,
0
)
)
)
)"),2.0)</f>
        <v>2</v>
      </c>
      <c r="L1483" s="7" t="str">
        <f t="shared" si="3"/>
        <v>Customer Support</v>
      </c>
      <c r="M1483" s="7" t="str">
        <f t="shared" si="4"/>
        <v>Negative</v>
      </c>
      <c r="N1483" s="7" t="str">
        <f>IFERROR(__xludf.DUMMYFUNCTION("LOWER(
TRIM(
REGEXREPLACE(B1483,""[^a-zA-Z\s]"","""")
)
)
"),"elizabeth cumberbatch")</f>
        <v>elizabeth cumberbatch</v>
      </c>
      <c r="O1483" s="7">
        <f t="shared" si="5"/>
        <v>1</v>
      </c>
      <c r="P1483" s="8" t="str">
        <f t="shared" si="6"/>
        <v>No</v>
      </c>
    </row>
    <row r="1484">
      <c r="A1484" s="4" t="s">
        <v>16</v>
      </c>
      <c r="B1484" s="4" t="s">
        <v>4203</v>
      </c>
      <c r="C1484" s="9">
        <v>44812.0</v>
      </c>
      <c r="D1484" s="10">
        <v>44818.0</v>
      </c>
      <c r="E1484" s="4" t="s">
        <v>4204</v>
      </c>
      <c r="F1484" s="4" t="s">
        <v>4205</v>
      </c>
      <c r="G1484" s="6" t="str">
        <f>IFERROR(__xludf.DUMMYFUNCTION("REGEXREPLACE(LOWER(F1484),""[^a-z\s]"","""")"),"i place my first order with petflow a few days after placing the order i realized i hadnt received an email with shipping information so i called to find out when my order would be delivered i was informed my order was canceled i asked why it was canceled"&amp;" and was told it was due to fraud i asked why they thought it was fraud and how to correct it and was told they couldnt give me any more information because they didnt want to tip off fraudsters
are you kidding me i buy things online all the time and thi"&amp;"s was the one and only time ive had an order canceled for suspected fraud they didnt even have the courtesy to tell me the order was canceled and i had to dispute the payment with my credit card company and what fraud crime ring is running dog food scams "&amp;"the most annoying part was that i placed an order through chewy who had no issues processing my order but couldnt get it delivered before i ran out of dog food so i had to go to the pet store as well")</f>
        <v>i place my first order with petflow a few days after placing the order i realized i hadnt received an email with shipping information so i called to find out when my order would be delivered i was informed my order was canceled i asked why it was canceled and was told it was due to fraud i asked why they thought it was fraud and how to correct it and was told they couldnt give me any more information because they didnt want to tip off fraudsters
are you kidding me i buy things online all the time and this was the one and only time ive had an order canceled for suspected fraud they didnt even have the courtesy to tell me the order was canceled and i had to dispute the payment with my credit card company and what fraud crime ring is running dog food scams the most annoying part was that i placed an order through chewy who had no issues processing my order but couldnt get it delivered before i ran out of dog food so i had to go to the pet store as well</v>
      </c>
      <c r="H1484" s="4" t="str">
        <f t="shared" si="1"/>
        <v>i place my first order with petflow a few days after placing order i realized i hadnt received an email with shipping information so i called find out when my order would be delivered i was informed my order was canceled i asked why it was canceled was told it was due fraud i asked why they thought it was fraud how correct it was told they couldnt give me any more information because they didnt want tip off fraudsters
are you kidding me i buy things online all time this was one only time ive had an order canceled suspected fraud they didnt even have courtesy tell me order was canceled i had dispute payment with my credit card company what fraud crime ring running dog food scams most annoying part was that i placed an order through chewy who had no issues processing my order but couldnt get it delivered before i ran out of dog food so i had go pet store as well</v>
      </c>
      <c r="I1484" s="6">
        <f t="shared" si="2"/>
        <v>166</v>
      </c>
      <c r="J1484" s="6">
        <f>IFERROR(__xludf.DUMMYFUNCTION("IF(H1484="""","""",
SUM(
ARRAYFORMULA(
IF(
REGEXMATCH(
"" ""&amp;H1484&amp;"" "",
"" ""&amp;Sentiment_Words!A$2:A3730&amp;"" ""
),
1,
0
)
)
)
)"),2.0)</f>
        <v>2</v>
      </c>
      <c r="K1484" s="4">
        <f>IFERROR(__xludf.DUMMYFUNCTION("IF(H1484="""","""",
SUM(
ARRAYFORMULA(
IF(
REGEXMATCH(
"" ""&amp;H1484&amp;"" "",
"" ""&amp;Sentiment_Words!B$2:B3730&amp;"" ""
),
1,
0
)
)
)
)"),0.0)</f>
        <v>0</v>
      </c>
      <c r="L1484" s="7" t="str">
        <f t="shared" si="3"/>
        <v>Other</v>
      </c>
      <c r="M1484" s="7" t="str">
        <f t="shared" si="4"/>
        <v>Positive</v>
      </c>
      <c r="N1484" s="7" t="str">
        <f>IFERROR(__xludf.DUMMYFUNCTION("LOWER(
TRIM(
REGEXREPLACE(B1484,""[^a-zA-Z\s]"","""")
)
)
"),"jesse clark")</f>
        <v>jesse clark</v>
      </c>
      <c r="O1484" s="7">
        <f t="shared" si="5"/>
        <v>1</v>
      </c>
      <c r="P1484" s="8" t="str">
        <f t="shared" si="6"/>
        <v>No</v>
      </c>
    </row>
    <row r="1485">
      <c r="A1485" s="4" t="s">
        <v>16</v>
      </c>
      <c r="B1485" s="4" t="s">
        <v>4206</v>
      </c>
      <c r="C1485" s="9">
        <v>44813.0</v>
      </c>
      <c r="D1485" s="10">
        <v>44818.0</v>
      </c>
      <c r="E1485" s="4" t="s">
        <v>4207</v>
      </c>
      <c r="F1485" s="4" t="s">
        <v>4208</v>
      </c>
      <c r="G1485" s="6" t="str">
        <f>IFERROR(__xludf.DUMMYFUNCTION("REGEXREPLACE(LOWER(F1485),""[^a-z\s]"","""")"),"overall it was easy to order however it took more than a week for me to receive my dog food the fl warehouse was out of stock there was no correspondence to let me know that the food was then coming from the nj warehousei had to call in order to find out "&amp;"when my order was being delivered i ordered dry food and wet food most of the cans had dents in them the dry food was actually  cheaper on this website than other places not sure if i will order from them again")</f>
        <v>overall it was easy to order however it took more than a week for me to receive my dog food the fl warehouse was out of stock there was no correspondence to let me know that the food was then coming from the nj warehousei had to call in order to find out when my order was being delivered i ordered dry food and wet food most of the cans had dents in them the dry food was actually  cheaper on this website than other places not sure if i will order from them again</v>
      </c>
      <c r="H1485" s="4" t="str">
        <f t="shared" si="1"/>
        <v>overall it was easy order however it took more than a week me receive my dog food fl warehouse was out of stock there was no correspondence let me know that food was then coming from nj warehousei had call in order find out when my order was being delivered i ordered dry food wet food most of cans had dents in them dry food was actually cheaper on this website than other places not sure if i will order from them again</v>
      </c>
      <c r="I1485" s="6">
        <f t="shared" si="2"/>
        <v>83</v>
      </c>
      <c r="J1485" s="6">
        <f>IFERROR(__xludf.DUMMYFUNCTION("IF(H1485="""","""",
SUM(
ARRAYFORMULA(
IF(
REGEXMATCH(
"" ""&amp;H1485&amp;"" "",
"" ""&amp;Sentiment_Words!A$2:A3730&amp;"" ""
),
1,
0
)
)
)
)"),3.0)</f>
        <v>3</v>
      </c>
      <c r="K1485" s="4">
        <f>IFERROR(__xludf.DUMMYFUNCTION("IF(H1485="""","""",
SUM(
ARRAYFORMULA(
IF(
REGEXMATCH(
"" ""&amp;H1485&amp;"" "",
"" ""&amp;Sentiment_Words!B$2:B3730&amp;"" ""
),
1,
0
)
)
)
)"),1.0)</f>
        <v>1</v>
      </c>
      <c r="L1485" s="7" t="str">
        <f t="shared" si="3"/>
        <v>Availability</v>
      </c>
      <c r="M1485" s="7" t="str">
        <f t="shared" si="4"/>
        <v>Positive</v>
      </c>
      <c r="N1485" s="7" t="str">
        <f>IFERROR(__xludf.DUMMYFUNCTION("LOWER(
TRIM(
REGEXREPLACE(B1485,""[^a-zA-Z\s]"","""")
)
)
"),"michelle unger")</f>
        <v>michelle unger</v>
      </c>
      <c r="O1485" s="7">
        <f t="shared" si="5"/>
        <v>1</v>
      </c>
      <c r="P1485" s="8" t="str">
        <f t="shared" si="6"/>
        <v>No</v>
      </c>
    </row>
    <row r="1486">
      <c r="A1486" s="4" t="s">
        <v>16</v>
      </c>
      <c r="B1486" s="4" t="s">
        <v>4209</v>
      </c>
      <c r="C1486" s="9">
        <v>44807.0</v>
      </c>
      <c r="D1486" s="10">
        <v>44818.0</v>
      </c>
      <c r="E1486" s="4" t="s">
        <v>4210</v>
      </c>
      <c r="F1486" s="4" t="s">
        <v>4211</v>
      </c>
      <c r="G1486" s="6" t="str">
        <f>IFERROR(__xludf.DUMMYFUNCTION("REGEXREPLACE(LOWER(F1486),""[^a-z\s]"","""")"),"my parentsdog loves this pet food it arrived when i was advised it would arrive so that was awesome")</f>
        <v>my parentsdog loves this pet food it arrived when i was advised it would arrive so that was awesome</v>
      </c>
      <c r="H1486" s="4" t="str">
        <f t="shared" si="1"/>
        <v>my parentsdog loves this pet food it arrived when i was advised it would arrive so that was awesome</v>
      </c>
      <c r="I1486" s="6">
        <f t="shared" si="2"/>
        <v>19</v>
      </c>
      <c r="J1486" s="6">
        <f>IFERROR(__xludf.DUMMYFUNCTION("IF(H1486="""","""",
SUM(
ARRAYFORMULA(
IF(
REGEXMATCH(
"" ""&amp;H1486&amp;"" "",
"" ""&amp;Sentiment_Words!A$2:A3730&amp;"" ""
),
1,
0
)
)
)
)"),0.0)</f>
        <v>0</v>
      </c>
      <c r="K1486" s="4">
        <f>IFERROR(__xludf.DUMMYFUNCTION("IF(H1486="""","""",
SUM(
ARRAYFORMULA(
IF(
REGEXMATCH(
"" ""&amp;H1486&amp;"" "",
"" ""&amp;Sentiment_Words!B$2:B3730&amp;"" ""
),
1,
0
)
)
)
)"),0.0)</f>
        <v>0</v>
      </c>
      <c r="L1486" s="7" t="str">
        <f t="shared" si="3"/>
        <v>Other</v>
      </c>
      <c r="M1486" s="7" t="str">
        <f t="shared" si="4"/>
        <v>Neutral</v>
      </c>
      <c r="N1486" s="7" t="str">
        <f>IFERROR(__xludf.DUMMYFUNCTION("LOWER(
TRIM(
REGEXREPLACE(B1486,""[^a-zA-Z\s]"","""")
)
)
"),"lrivera")</f>
        <v>lrivera</v>
      </c>
      <c r="O1486" s="7">
        <f t="shared" si="5"/>
        <v>1</v>
      </c>
      <c r="P1486" s="8" t="str">
        <f t="shared" si="6"/>
        <v>No</v>
      </c>
    </row>
    <row r="1487">
      <c r="A1487" s="4" t="s">
        <v>16</v>
      </c>
      <c r="B1487" s="4" t="s">
        <v>4212</v>
      </c>
      <c r="C1487" s="5">
        <v>44814.0</v>
      </c>
      <c r="D1487" s="10">
        <v>44818.0</v>
      </c>
      <c r="E1487" s="4" t="s">
        <v>4213</v>
      </c>
      <c r="F1487" s="4" t="s">
        <v>331</v>
      </c>
      <c r="G1487" s="6" t="str">
        <f>IFERROR(__xludf.DUMMYFUNCTION("REGEXREPLACE(LOWER(F1487),""[^a-z\s]"","""")"),"none")</f>
        <v>none</v>
      </c>
      <c r="H1487" s="4" t="str">
        <f t="shared" si="1"/>
        <v>none</v>
      </c>
      <c r="I1487" s="6">
        <f t="shared" si="2"/>
        <v>1</v>
      </c>
      <c r="J1487" s="6">
        <f>IFERROR(__xludf.DUMMYFUNCTION("IF(H1487="""","""",
SUM(
ARRAYFORMULA(
IF(
REGEXMATCH(
"" ""&amp;H1487&amp;"" "",
"" ""&amp;Sentiment_Words!A$2:A3730&amp;"" ""
),
1,
0
)
)
)
)"),0.0)</f>
        <v>0</v>
      </c>
      <c r="K1487" s="4">
        <f>IFERROR(__xludf.DUMMYFUNCTION("IF(H1487="""","""",
SUM(
ARRAYFORMULA(
IF(
REGEXMATCH(
"" ""&amp;H1487&amp;"" "",
"" ""&amp;Sentiment_Words!B$2:B3730&amp;"" ""
),
1,
0
)
)
)
)"),0.0)</f>
        <v>0</v>
      </c>
      <c r="L1487" s="7" t="str">
        <f t="shared" si="3"/>
        <v>Other</v>
      </c>
      <c r="M1487" s="7" t="str">
        <f t="shared" si="4"/>
        <v>Neutral</v>
      </c>
      <c r="N1487" s="7" t="str">
        <f>IFERROR(__xludf.DUMMYFUNCTION("LOWER(
TRIM(
REGEXREPLACE(B1487,""[^a-zA-Z\s]"","""")
)
)
"),"ebony parker waugh")</f>
        <v>ebony parker waugh</v>
      </c>
      <c r="O1487" s="7">
        <f t="shared" si="5"/>
        <v>1</v>
      </c>
      <c r="P1487" s="8" t="str">
        <f t="shared" si="6"/>
        <v>No</v>
      </c>
    </row>
    <row r="1488">
      <c r="A1488" s="4" t="s">
        <v>16</v>
      </c>
      <c r="B1488" s="4" t="s">
        <v>4214</v>
      </c>
      <c r="C1488" s="5">
        <v>44817.0</v>
      </c>
      <c r="D1488" s="10">
        <v>44818.0</v>
      </c>
      <c r="E1488" s="4" t="s">
        <v>4215</v>
      </c>
      <c r="F1488" s="4" t="s">
        <v>4216</v>
      </c>
      <c r="G1488" s="6" t="str">
        <f>IFERROR(__xludf.DUMMYFUNCTION("REGEXREPLACE(LOWER(F1488),""[^a-z\s]"","""")"),"been ordering pet food from petflow for years now and have had nothing but good experience with the company products i order are the best and at the best prices available shipping has always been super fast great company")</f>
        <v>been ordering pet food from petflow for years now and have had nothing but good experience with the company products i order are the best and at the best prices available shipping has always been super fast great company</v>
      </c>
      <c r="H1488" s="4" t="str">
        <f t="shared" si="1"/>
        <v>been ordering pet food from petflow years now have had nothing but good experience with company products i order are best at best prices available shipping has always been super fast great company</v>
      </c>
      <c r="I1488" s="6">
        <f t="shared" si="2"/>
        <v>33</v>
      </c>
      <c r="J1488" s="6">
        <f>IFERROR(__xludf.DUMMYFUNCTION("IF(H1488="""","""",
SUM(
ARRAYFORMULA(
IF(
REGEXMATCH(
"" ""&amp;H1488&amp;"" "",
"" ""&amp;Sentiment_Words!A$2:A3730&amp;"" ""
),
1,
0
)
)
)
)"),4.0)</f>
        <v>4</v>
      </c>
      <c r="K1488" s="4">
        <f>IFERROR(__xludf.DUMMYFUNCTION("IF(H1488="""","""",
SUM(
ARRAYFORMULA(
IF(
REGEXMATCH(
"" ""&amp;H1488&amp;"" "",
"" ""&amp;Sentiment_Words!B$2:B3730&amp;"" ""
),
1,
0
)
)
)
)"),0.0)</f>
        <v>0</v>
      </c>
      <c r="L1488" s="7" t="str">
        <f t="shared" si="3"/>
        <v>Other</v>
      </c>
      <c r="M1488" s="7" t="str">
        <f t="shared" si="4"/>
        <v>Positive</v>
      </c>
      <c r="N1488" s="7" t="str">
        <f>IFERROR(__xludf.DUMMYFUNCTION("LOWER(
TRIM(
REGEXREPLACE(B1488,""[^a-zA-Z\s]"","""")
)
)
"),"scd")</f>
        <v>scd</v>
      </c>
      <c r="O1488" s="7">
        <f t="shared" si="5"/>
        <v>1</v>
      </c>
      <c r="P1488" s="8" t="str">
        <f t="shared" si="6"/>
        <v>No</v>
      </c>
    </row>
    <row r="1489">
      <c r="A1489" s="4" t="s">
        <v>16</v>
      </c>
      <c r="B1489" s="4" t="s">
        <v>899</v>
      </c>
      <c r="C1489" s="5">
        <v>44817.0</v>
      </c>
      <c r="D1489" s="10">
        <v>44818.0</v>
      </c>
      <c r="E1489" s="4" t="s">
        <v>4217</v>
      </c>
      <c r="F1489" s="4" t="s">
        <v>4218</v>
      </c>
      <c r="G1489" s="6" t="str">
        <f>IFERROR(__xludf.DUMMYFUNCTION("REGEXREPLACE(LOWER(F1489),""[^a-z\s]"","""")"),"its too hard to cancel auto ship orders it should be a simple button you can press instead you have to contact customer service which takes time for what should be something i can do myself other than that petflow is always fantastic")</f>
        <v>its too hard to cancel auto ship orders it should be a simple button you can press instead you have to contact customer service which takes time for what should be something i can do myself other than that petflow is always fantastic</v>
      </c>
      <c r="H1489" s="4" t="str">
        <f t="shared" si="1"/>
        <v>its too hard cancel auto ship orders it should be a simple button you can press instead you have contact customer service which takes time what should be something i can do myself other than that petflow always fantastic</v>
      </c>
      <c r="I1489" s="6">
        <f t="shared" si="2"/>
        <v>39</v>
      </c>
      <c r="J1489" s="6">
        <f>IFERROR(__xludf.DUMMYFUNCTION("IF(H1489="""","""",
SUM(
ARRAYFORMULA(
IF(
REGEXMATCH(
"" ""&amp;H1489&amp;"" "",
"" ""&amp;Sentiment_Words!A$2:A3730&amp;"" ""
),
1,
0
)
)
)
)"),1.0)</f>
        <v>1</v>
      </c>
      <c r="K1489" s="4">
        <f>IFERROR(__xludf.DUMMYFUNCTION("IF(H1489="""","""",
SUM(
ARRAYFORMULA(
IF(
REGEXMATCH(
"" ""&amp;H1489&amp;"" "",
"" ""&amp;Sentiment_Words!B$2:B3730&amp;"" ""
),
1,
0
)
)
)
)"),1.0)</f>
        <v>1</v>
      </c>
      <c r="L1489" s="7" t="str">
        <f t="shared" si="3"/>
        <v>Customer Support</v>
      </c>
      <c r="M1489" s="7" t="str">
        <f t="shared" si="4"/>
        <v>Neutral</v>
      </c>
      <c r="N1489" s="7" t="str">
        <f>IFERROR(__xludf.DUMMYFUNCTION("LOWER(
TRIM(
REGEXREPLACE(B1489,""[^a-zA-Z\s]"","""")
)
)
"),"rachel")</f>
        <v>rachel</v>
      </c>
      <c r="O1489" s="7">
        <f t="shared" si="5"/>
        <v>3</v>
      </c>
      <c r="P1489" s="8" t="str">
        <f t="shared" si="6"/>
        <v>Yes</v>
      </c>
    </row>
    <row r="1490">
      <c r="A1490" s="4" t="s">
        <v>16</v>
      </c>
      <c r="B1490" s="4" t="s">
        <v>4219</v>
      </c>
      <c r="C1490" s="9">
        <v>44813.0</v>
      </c>
      <c r="D1490" s="10">
        <v>44818.0</v>
      </c>
      <c r="E1490" s="4" t="s">
        <v>4220</v>
      </c>
      <c r="F1490" s="4" t="s">
        <v>4221</v>
      </c>
      <c r="G1490" s="6" t="str">
        <f>IFERROR(__xludf.DUMMYFUNCTION("REGEXREPLACE(LOWER(F1490),""[^a-z\s]"","""")"),"delivery took longer than i expected after a week and half i had not received an email letting me know my order had shipped i contacted customer service to ask and what do you know my order shipped the next day")</f>
        <v>delivery took longer than i expected after a week and half i had not received an email letting me know my order had shipped i contacted customer service to ask and what do you know my order shipped the next day</v>
      </c>
      <c r="H1490" s="4" t="str">
        <f t="shared" si="1"/>
        <v>delivery took longer than i expected after a week half i had not received an email letting me know my order had shipped i contacted customer service ask what do you know my order shipped next day</v>
      </c>
      <c r="I1490" s="6">
        <f t="shared" si="2"/>
        <v>37</v>
      </c>
      <c r="J1490" s="6">
        <f>IFERROR(__xludf.DUMMYFUNCTION("IF(H1490="""","""",
SUM(
ARRAYFORMULA(
IF(
REGEXMATCH(
"" ""&amp;H1490&amp;"" "",
"" ""&amp;Sentiment_Words!A$2:A3730&amp;"" ""
),
1,
0
)
)
)
)"),0.0)</f>
        <v>0</v>
      </c>
      <c r="K1490" s="4">
        <f>IFERROR(__xludf.DUMMYFUNCTION("IF(H1490="""","""",
SUM(
ARRAYFORMULA(
IF(
REGEXMATCH(
"" ""&amp;H1490&amp;"" "",
"" ""&amp;Sentiment_Words!B$2:B3730&amp;"" ""
),
1,
0
)
)
)
)"),1.0)</f>
        <v>1</v>
      </c>
      <c r="L1490" s="7" t="str">
        <f t="shared" si="3"/>
        <v>Customer Support</v>
      </c>
      <c r="M1490" s="7" t="str">
        <f t="shared" si="4"/>
        <v>Negative</v>
      </c>
      <c r="N1490" s="7" t="str">
        <f>IFERROR(__xludf.DUMMYFUNCTION("LOWER(
TRIM(
REGEXREPLACE(B1490,""[^a-zA-Z\s]"","""")
)
)
"),"dogmom")</f>
        <v>dogmom</v>
      </c>
      <c r="O1490" s="7">
        <f t="shared" si="5"/>
        <v>1</v>
      </c>
      <c r="P1490" s="8" t="str">
        <f t="shared" si="6"/>
        <v>No</v>
      </c>
    </row>
    <row r="1491">
      <c r="A1491" s="4" t="s">
        <v>16</v>
      </c>
      <c r="B1491" s="4" t="s">
        <v>56</v>
      </c>
      <c r="C1491" s="5">
        <v>44817.0</v>
      </c>
      <c r="D1491" s="10">
        <v>44818.0</v>
      </c>
      <c r="E1491" s="4" t="s">
        <v>4222</v>
      </c>
      <c r="F1491" s="4" t="s">
        <v>4223</v>
      </c>
      <c r="G1491" s="6" t="str">
        <f>IFERROR(__xludf.DUMMYFUNCTION("REGEXREPLACE(LOWER(F1491),""[^a-z\s]"","""")"),"very good customer service happy with product and delivery prescription treats my dog likes they had in stock")</f>
        <v>very good customer service happy with product and delivery prescription treats my dog likes they had in stock</v>
      </c>
      <c r="H1491" s="4" t="str">
        <f t="shared" si="1"/>
        <v>very good customer service happy with product delivery prescription treats my dog likes they had in stock</v>
      </c>
      <c r="I1491" s="6">
        <f t="shared" si="2"/>
        <v>17</v>
      </c>
      <c r="J1491" s="6">
        <f>IFERROR(__xludf.DUMMYFUNCTION("IF(H1491="""","""",
SUM(
ARRAYFORMULA(
IF(
REGEXMATCH(
"" ""&amp;H1491&amp;"" "",
"" ""&amp;Sentiment_Words!A$2:A3730&amp;"" ""
),
1,
0
)
)
)
)"),2.0)</f>
        <v>2</v>
      </c>
      <c r="K1491" s="4">
        <f>IFERROR(__xludf.DUMMYFUNCTION("IF(H1491="""","""",
SUM(
ARRAYFORMULA(
IF(
REGEXMATCH(
"" ""&amp;H1491&amp;"" "",
"" ""&amp;Sentiment_Words!B$2:B3730&amp;"" ""
),
1,
0
)
)
)
)"),1.0)</f>
        <v>1</v>
      </c>
      <c r="L1491" s="7" t="str">
        <f t="shared" si="3"/>
        <v>Customer Support</v>
      </c>
      <c r="M1491" s="7" t="str">
        <f t="shared" si="4"/>
        <v>Positive</v>
      </c>
      <c r="N1491" s="7" t="str">
        <f>IFERROR(__xludf.DUMMYFUNCTION("LOWER(
TRIM(
REGEXREPLACE(B1491,""[^a-zA-Z\s]"","""")
)
)
"),"customer")</f>
        <v>customer</v>
      </c>
      <c r="O1491" s="7">
        <f t="shared" si="5"/>
        <v>54</v>
      </c>
      <c r="P1491" s="8" t="str">
        <f t="shared" si="6"/>
        <v>Yes</v>
      </c>
    </row>
    <row r="1492">
      <c r="A1492" s="4" t="s">
        <v>16</v>
      </c>
      <c r="B1492" s="4" t="s">
        <v>4224</v>
      </c>
      <c r="C1492" s="5">
        <v>44816.0</v>
      </c>
      <c r="D1492" s="10">
        <v>44817.0</v>
      </c>
      <c r="E1492" s="4" t="s">
        <v>4225</v>
      </c>
      <c r="F1492" s="4" t="s">
        <v>4226</v>
      </c>
      <c r="G1492" s="6" t="str">
        <f>IFERROR(__xludf.DUMMYFUNCTION("REGEXREPLACE(LOWER(F1492),""[^a-z\s]"","""")"),"claimed a dog food product was in stock and even told me that only one was available not the two that i had in my cart so i purchased the one two weeks later no dog food has arrived but i just got an email stating its out of stock and not known when it wi"&amp;"ll be in deception at its finest")</f>
        <v>claimed a dog food product was in stock and even told me that only one was available not the two that i had in my cart so i purchased the one two weeks later no dog food has arrived but i just got an email stating its out of stock and not known when it will be in deception at its finest</v>
      </c>
      <c r="H1492" s="4" t="str">
        <f t="shared" si="1"/>
        <v>claimed a dog food product was in stock even told me that only one was available not two that i had in my cart so i purchased one two weeks later no dog food has arrived but i just got an email stating its out of stock not known when it will be in deception at its finest</v>
      </c>
      <c r="I1492" s="6">
        <f t="shared" si="2"/>
        <v>58</v>
      </c>
      <c r="J1492" s="6">
        <f>IFERROR(__xludf.DUMMYFUNCTION("IF(H1492="""","""",
SUM(
ARRAYFORMULA(
IF(
REGEXMATCH(
"" ""&amp;H1492&amp;"" "",
"" ""&amp;Sentiment_Words!A$2:A3730&amp;"" ""
),
1,
0
)
)
)
)"),1.0)</f>
        <v>1</v>
      </c>
      <c r="K1492" s="4">
        <f>IFERROR(__xludf.DUMMYFUNCTION("IF(H1492="""","""",
SUM(
ARRAYFORMULA(
IF(
REGEXMATCH(
"" ""&amp;H1492&amp;"" "",
"" ""&amp;Sentiment_Words!B$2:B3730&amp;"" ""
),
1,
0
)
)
)
)"),1.0)</f>
        <v>1</v>
      </c>
      <c r="L1492" s="7" t="str">
        <f t="shared" si="3"/>
        <v>Fulfillment &amp; Shipping</v>
      </c>
      <c r="M1492" s="7" t="str">
        <f t="shared" si="4"/>
        <v>Neutral</v>
      </c>
      <c r="N1492" s="7" t="str">
        <f>IFERROR(__xludf.DUMMYFUNCTION("LOWER(
TRIM(
REGEXREPLACE(B1492,""[^a-zA-Z\s]"","""")
)
)
"),"william gallop")</f>
        <v>william gallop</v>
      </c>
      <c r="O1492" s="7">
        <f t="shared" si="5"/>
        <v>1</v>
      </c>
      <c r="P1492" s="8" t="str">
        <f t="shared" si="6"/>
        <v>No</v>
      </c>
    </row>
    <row r="1493">
      <c r="A1493" s="4" t="s">
        <v>16</v>
      </c>
      <c r="B1493" s="4" t="s">
        <v>4227</v>
      </c>
      <c r="C1493" s="9">
        <v>44807.0</v>
      </c>
      <c r="D1493" s="10">
        <v>44817.0</v>
      </c>
      <c r="E1493" s="4" t="s">
        <v>4228</v>
      </c>
      <c r="F1493" s="4" t="s">
        <v>4229</v>
      </c>
      <c r="G1493" s="6" t="str">
        <f>IFERROR(__xludf.DUMMYFUNCTION("REGEXREPLACE(LOWER(F1493),""[^a-z\s]"","""")"),"ordering was simple communication was excellent selection prices were great anf items were shipped promptly no problems were encountered at all")</f>
        <v>ordering was simple communication was excellent selection prices were great anf items were shipped promptly no problems were encountered at all</v>
      </c>
      <c r="H1493" s="4" t="str">
        <f t="shared" si="1"/>
        <v>ordering was simple communication was excellent selection prices were great anf items were shipped promptly no problems were encountered at all</v>
      </c>
      <c r="I1493" s="6">
        <f t="shared" si="2"/>
        <v>21</v>
      </c>
      <c r="J1493" s="6">
        <f>IFERROR(__xludf.DUMMYFUNCTION("IF(H1493="""","""",
SUM(
ARRAYFORMULA(
IF(
REGEXMATCH(
"" ""&amp;H1493&amp;"" "",
"" ""&amp;Sentiment_Words!A$2:A3730&amp;"" ""
),
1,
0
)
)
)
)"),2.0)</f>
        <v>2</v>
      </c>
      <c r="K1493" s="4">
        <f>IFERROR(__xludf.DUMMYFUNCTION("IF(H1493="""","""",
SUM(
ARRAYFORMULA(
IF(
REGEXMATCH(
"" ""&amp;H1493&amp;"" "",
"" ""&amp;Sentiment_Words!B$2:B3730&amp;"" ""
),
1,
0
)
)
)
)"),0.0)</f>
        <v>0</v>
      </c>
      <c r="L1493" s="7" t="str">
        <f t="shared" si="3"/>
        <v>Other</v>
      </c>
      <c r="M1493" s="7" t="str">
        <f t="shared" si="4"/>
        <v>Positive</v>
      </c>
      <c r="N1493" s="7" t="str">
        <f>IFERROR(__xludf.DUMMYFUNCTION("LOWER(
TRIM(
REGEXREPLACE(B1493,""[^a-zA-Z\s]"","""")
)
)
"),"zars mom")</f>
        <v>zars mom</v>
      </c>
      <c r="O1493" s="7">
        <f t="shared" si="5"/>
        <v>1</v>
      </c>
      <c r="P1493" s="8" t="str">
        <f t="shared" si="6"/>
        <v>No</v>
      </c>
    </row>
    <row r="1494">
      <c r="A1494" s="4" t="s">
        <v>16</v>
      </c>
      <c r="B1494" s="4" t="s">
        <v>4230</v>
      </c>
      <c r="C1494" s="9">
        <v>44805.0</v>
      </c>
      <c r="D1494" s="10">
        <v>44817.0</v>
      </c>
      <c r="E1494" s="4" t="s">
        <v>4231</v>
      </c>
      <c r="F1494" s="4" t="s">
        <v>4232</v>
      </c>
      <c r="G1494" s="6" t="str">
        <f>IFERROR(__xludf.DUMMYFUNCTION("REGEXREPLACE(LOWER(F1494),""[^a-z\s]"","""")"),"petflow had the sensitivity select dog food i needed which is hard to find at a reasonable price i received it within a week great company to deal with")</f>
        <v>petflow had the sensitivity select dog food i needed which is hard to find at a reasonable price i received it within a week great company to deal with</v>
      </c>
      <c r="H1494" s="4" t="str">
        <f t="shared" si="1"/>
        <v>petflow had sensitivity select dog food i needed which hard find at a reasonable price i received it within a week great company deal with</v>
      </c>
      <c r="I1494" s="6">
        <f t="shared" si="2"/>
        <v>25</v>
      </c>
      <c r="J1494" s="6">
        <f>IFERROR(__xludf.DUMMYFUNCTION("IF(H1494="""","""",
SUM(
ARRAYFORMULA(
IF(
REGEXMATCH(
"" ""&amp;H1494&amp;"" "",
"" ""&amp;Sentiment_Words!A$2:A3730&amp;"" ""
),
1,
0
)
)
)
)"),1.0)</f>
        <v>1</v>
      </c>
      <c r="K1494" s="4">
        <f>IFERROR(__xludf.DUMMYFUNCTION("IF(H1494="""","""",
SUM(
ARRAYFORMULA(
IF(
REGEXMATCH(
"" ""&amp;H1494&amp;"" "",
"" ""&amp;Sentiment_Words!B$2:B3730&amp;"" ""
),
1,
0
)
)
)
)"),0.0)</f>
        <v>0</v>
      </c>
      <c r="L1494" s="7" t="str">
        <f t="shared" si="3"/>
        <v>Other</v>
      </c>
      <c r="M1494" s="7" t="str">
        <f t="shared" si="4"/>
        <v>Positive</v>
      </c>
      <c r="N1494" s="7" t="str">
        <f>IFERROR(__xludf.DUMMYFUNCTION("LOWER(
TRIM(
REGEXREPLACE(B1494,""[^a-zA-Z\s]"","""")
)
)
"),"frederick brough iii")</f>
        <v>frederick brough iii</v>
      </c>
      <c r="O1494" s="7">
        <f t="shared" si="5"/>
        <v>1</v>
      </c>
      <c r="P1494" s="8" t="str">
        <f t="shared" si="6"/>
        <v>No</v>
      </c>
    </row>
    <row r="1495">
      <c r="A1495" s="4" t="s">
        <v>16</v>
      </c>
      <c r="B1495" s="4" t="s">
        <v>4233</v>
      </c>
      <c r="C1495" s="5">
        <v>44816.0</v>
      </c>
      <c r="D1495" s="10">
        <v>44817.0</v>
      </c>
      <c r="E1495" s="4" t="s">
        <v>4234</v>
      </c>
      <c r="F1495" s="4" t="s">
        <v>4235</v>
      </c>
      <c r="G1495" s="6" t="str">
        <f>IFERROR(__xludf.DUMMYFUNCTION("REGEXREPLACE(LOWER(F1495),""[^a-z\s]"","""")"),"order on  called on  to verify prescription received told yes will ship soon no contact from you called again on  told will ship that day i expected to receive by  tracking sent stated expected arrival  was never informed of these delays and my cat has no"&amp;"w run out of food called to complain and inform customer service i will not be using petflow in the future we have  cats a d  dogs could have been a good customer for you")</f>
        <v>order on  called on  to verify prescription received told yes will ship soon no contact from you called again on  told will ship that day i expected to receive by  tracking sent stated expected arrival  was never informed of these delays and my cat has now run out of food called to complain and inform customer service i will not be using petflow in the future we have  cats a d  dogs could have been a good customer for you</v>
      </c>
      <c r="H1495" s="4" t="str">
        <f t="shared" si="1"/>
        <v>order on called on verify prescription received told yes will ship soon no contact from you called again on told will ship that day i expected receive by tracking sent stated expected arrival was never informed of these delays my cat has now run out of food called complain inform customer service i will not be using petflow in future we have cats a d dogs could have been a good customer you</v>
      </c>
      <c r="I1495" s="6">
        <f t="shared" si="2"/>
        <v>73</v>
      </c>
      <c r="J1495" s="6">
        <f>IFERROR(__xludf.DUMMYFUNCTION("IF(H1495="""","""",
SUM(
ARRAYFORMULA(
IF(
REGEXMATCH(
"" ""&amp;H1495&amp;"" "",
"" ""&amp;Sentiment_Words!A$2:A3730&amp;"" ""
),
1,
0
)
)
)
)"),1.0)</f>
        <v>1</v>
      </c>
      <c r="K1495" s="4">
        <f>IFERROR(__xludf.DUMMYFUNCTION("IF(H1495="""","""",
SUM(
ARRAYFORMULA(
IF(
REGEXMATCH(
"" ""&amp;H1495&amp;"" "",
"" ""&amp;Sentiment_Words!B$2:B3730&amp;"" ""
),
1,
0
)
)
)
)"),2.0)</f>
        <v>2</v>
      </c>
      <c r="L1495" s="7" t="str">
        <f t="shared" si="3"/>
        <v>Customer Support</v>
      </c>
      <c r="M1495" s="7" t="str">
        <f t="shared" si="4"/>
        <v>Negative</v>
      </c>
      <c r="N1495" s="7" t="str">
        <f>IFERROR(__xludf.DUMMYFUNCTION("LOWER(
TRIM(
REGEXREPLACE(B1495,""[^a-zA-Z\s]"","""")
)
)
"),"carla trujillo")</f>
        <v>carla trujillo</v>
      </c>
      <c r="O1495" s="7">
        <f t="shared" si="5"/>
        <v>1</v>
      </c>
      <c r="P1495" s="8" t="str">
        <f t="shared" si="6"/>
        <v>No</v>
      </c>
    </row>
    <row r="1496">
      <c r="A1496" s="4" t="s">
        <v>16</v>
      </c>
      <c r="B1496" s="4" t="s">
        <v>4236</v>
      </c>
      <c r="C1496" s="5">
        <v>44816.0</v>
      </c>
      <c r="D1496" s="10">
        <v>44817.0</v>
      </c>
      <c r="E1496" s="4" t="s">
        <v>4237</v>
      </c>
      <c r="F1496" s="4" t="s">
        <v>4238</v>
      </c>
      <c r="G1496" s="6" t="str">
        <f>IFERROR(__xludf.DUMMYFUNCTION("REGEXREPLACE(LOWER(F1496),""[^a-z\s]"","""")"),"i ordered hills prescription cd ocean fish wet cat food on the st of september i had no knowledge that is was not in stock prior to ordering as it was not noted on the petflow site i got an acknowledgement email from petflow and that was it to make a long"&amp;" tedious story short i ended up having to make multiple phone calls to find out what was going on and when i would receive the food i had to initiate all informational communications as there was no communication from petflow all of the petflow employees "&amp;"i spoke with gave me a different story as to why i did not yet have the food unbelievable the tracking info i did get was incomplete the employees were for the most part cheerful and polite hence the two stars but customer communication and employee train"&amp;"ing needs a major overhaul enough said")</f>
        <v>i ordered hills prescription cd ocean fish wet cat food on the st of september i had no knowledge that is was not in stock prior to ordering as it was not noted on the petflow site i got an acknowledgement email from petflow and that was it to make a long tedious story short i ended up having to make multiple phone calls to find out what was going on and when i would receive the food i had to initiate all informational communications as there was no communication from petflow all of the petflow employees i spoke with gave me a different story as to why i did not yet have the food unbelievable the tracking info i did get was incomplete the employees were for the most part cheerful and polite hence the two stars but customer communication and employee training needs a major overhaul enough said</v>
      </c>
      <c r="H1496" s="4" t="str">
        <f t="shared" si="1"/>
        <v>i ordered hills prescription cd ocean fish wet cat food on st of september i had no knowledge that was not in stock prior ordering as it was not noted on petflow site i got an acknowledgement email from petflow that was it make a long tedious story short i ended up having make multiple phone calls find out what was going on when i would receive food i had initiate all informational communications as there was no communication from petflow all of petflow employees i spoke with gave me a different story as why i did not yet have food unbelievable tracking info i did get was incomplete employees were most part cheerful polite hence two stars but customer communication employee training needs a major overhaul enough said</v>
      </c>
      <c r="I1496" s="6">
        <f t="shared" si="2"/>
        <v>129</v>
      </c>
      <c r="J1496" s="6">
        <f>IFERROR(__xludf.DUMMYFUNCTION("IF(H1496="""","""",
SUM(
ARRAYFORMULA(
IF(
REGEXMATCH(
"" ""&amp;H1496&amp;"" "",
"" ""&amp;Sentiment_Words!A$2:A3730&amp;"" ""
),
1,
0
)
)
)
)"),0.0)</f>
        <v>0</v>
      </c>
      <c r="K1496" s="4">
        <f>IFERROR(__xludf.DUMMYFUNCTION("IF(H1496="""","""",
SUM(
ARRAYFORMULA(
IF(
REGEXMATCH(
"" ""&amp;H1496&amp;"" "",
"" ""&amp;Sentiment_Words!B$2:B3730&amp;"" ""
),
1,
0
)
)
)
)"),0.0)</f>
        <v>0</v>
      </c>
      <c r="L1496" s="7" t="str">
        <f t="shared" si="3"/>
        <v>Other</v>
      </c>
      <c r="M1496" s="7" t="str">
        <f t="shared" si="4"/>
        <v>Neutral</v>
      </c>
      <c r="N1496" s="7" t="str">
        <f>IFERROR(__xludf.DUMMYFUNCTION("LOWER(
TRIM(
REGEXREPLACE(B1496,""[^a-zA-Z\s]"","""")
)
)
"),"carol k")</f>
        <v>carol k</v>
      </c>
      <c r="O1496" s="7">
        <f t="shared" si="5"/>
        <v>1</v>
      </c>
      <c r="P1496" s="8" t="str">
        <f t="shared" si="6"/>
        <v>No</v>
      </c>
    </row>
    <row r="1497">
      <c r="A1497" s="4" t="s">
        <v>16</v>
      </c>
      <c r="B1497" s="4" t="s">
        <v>4239</v>
      </c>
      <c r="C1497" s="5">
        <v>44803.0</v>
      </c>
      <c r="D1497" s="10">
        <v>44817.0</v>
      </c>
      <c r="E1497" s="4" t="s">
        <v>4240</v>
      </c>
      <c r="F1497" s="4" t="s">
        <v>4241</v>
      </c>
      <c r="G1497" s="6" t="str">
        <f>IFERROR(__xludf.DUMMYFUNCTION("REGEXREPLACE(LOWER(F1497),""[^a-z\s]"","""")"),"transfering a new hardcopy rx was a bit cumbersome
first i was told that i had to send a new rx via us mail then i was told i could simply upload it so it took almost  weeks to receive the product")</f>
        <v>transfering a new hardcopy rx was a bit cumbersome
first i was told that i had to send a new rx via us mail then i was told i could simply upload it so it took almost  weeks to receive the product</v>
      </c>
      <c r="H1497" s="4" t="str">
        <f t="shared" si="1"/>
        <v>transfering a new hardcopy rx was a bit cumbersome
first i was told that i had send a new rx via us mail then i was told i could simply upload it so it took almost weeks receive product</v>
      </c>
      <c r="I1497" s="6">
        <f t="shared" si="2"/>
        <v>38</v>
      </c>
      <c r="J1497" s="6">
        <f>IFERROR(__xludf.DUMMYFUNCTION("IF(H1497="""","""",
SUM(
ARRAYFORMULA(
IF(
REGEXMATCH(
"" ""&amp;H1497&amp;"" "",
"" ""&amp;Sentiment_Words!A$2:A3730&amp;"" ""
),
1,
0
)
)
)
)"),0.0)</f>
        <v>0</v>
      </c>
      <c r="K1497" s="4">
        <f>IFERROR(__xludf.DUMMYFUNCTION("IF(H1497="""","""",
SUM(
ARRAYFORMULA(
IF(
REGEXMATCH(
"" ""&amp;H1497&amp;"" "",
"" ""&amp;Sentiment_Words!B$2:B3730&amp;"" ""
),
1,
0
)
)
)
)"),0.0)</f>
        <v>0</v>
      </c>
      <c r="L1497" s="7" t="str">
        <f t="shared" si="3"/>
        <v>Other</v>
      </c>
      <c r="M1497" s="7" t="str">
        <f t="shared" si="4"/>
        <v>Neutral</v>
      </c>
      <c r="N1497" s="7" t="str">
        <f>IFERROR(__xludf.DUMMYFUNCTION("LOWER(
TRIM(
REGEXREPLACE(B1497,""[^a-zA-Z\s]"","""")
)
)
"),"joseph")</f>
        <v>joseph</v>
      </c>
      <c r="O1497" s="7">
        <f t="shared" si="5"/>
        <v>1</v>
      </c>
      <c r="P1497" s="8" t="str">
        <f t="shared" si="6"/>
        <v>No</v>
      </c>
    </row>
    <row r="1498">
      <c r="A1498" s="4" t="s">
        <v>16</v>
      </c>
      <c r="B1498" s="4" t="s">
        <v>4242</v>
      </c>
      <c r="C1498" s="5">
        <v>44816.0</v>
      </c>
      <c r="D1498" s="10">
        <v>44816.0</v>
      </c>
      <c r="E1498" s="4" t="s">
        <v>4243</v>
      </c>
      <c r="F1498" s="4" t="s">
        <v>4244</v>
      </c>
      <c r="G1498" s="6" t="str">
        <f>IFERROR(__xludf.DUMMYFUNCTION("REGEXREPLACE(LOWER(F1498),""[^a-z\s]"","""")"),"i had some issues with my order but contacted customer support twice and each time has been reassuring its easy to get a hold of a real person and the team has been very professional and courteous in resolving my issues i will continue making purchases fo"&amp;"r my fourlegged friends and recommend petflow to those seeking to find pet supplies")</f>
        <v>i had some issues with my order but contacted customer support twice and each time has been reassuring its easy to get a hold of a real person and the team has been very professional and courteous in resolving my issues i will continue making purchases for my fourlegged friends and recommend petflow to those seeking to find pet supplies</v>
      </c>
      <c r="H1498" s="4" t="str">
        <f t="shared" si="1"/>
        <v>i had some issues with my order but contacted customer support twice each time has been reassuring its easy get a hold of a real person team has been very professional courteous in resolving my issues i will continue making purchases my fourlegged friends recommend petflow those seeking find pet supplies</v>
      </c>
      <c r="I1498" s="6">
        <f t="shared" si="2"/>
        <v>51</v>
      </c>
      <c r="J1498" s="6">
        <f>IFERROR(__xludf.DUMMYFUNCTION("IF(H1498="""","""",
SUM(
ARRAYFORMULA(
IF(
REGEXMATCH(
"" ""&amp;H1498&amp;"" "",
"" ""&amp;Sentiment_Words!A$2:A3730&amp;"" ""
),
1,
0
)
)
)
)"),2.0)</f>
        <v>2</v>
      </c>
      <c r="K1498" s="4">
        <f>IFERROR(__xludf.DUMMYFUNCTION("IF(H1498="""","""",
SUM(
ARRAYFORMULA(
IF(
REGEXMATCH(
"" ""&amp;H1498&amp;"" "",
"" ""&amp;Sentiment_Words!B$2:B3730&amp;"" ""
),
1,
0
)
)
)
)"),0.0)</f>
        <v>0</v>
      </c>
      <c r="L1498" s="7" t="str">
        <f t="shared" si="3"/>
        <v>Customer Support</v>
      </c>
      <c r="M1498" s="7" t="str">
        <f t="shared" si="4"/>
        <v>Positive</v>
      </c>
      <c r="N1498" s="7" t="str">
        <f>IFERROR(__xludf.DUMMYFUNCTION("LOWER(
TRIM(
REGEXREPLACE(B1498,""[^a-zA-Z\s]"","""")
)
)
"),"marko")</f>
        <v>marko</v>
      </c>
      <c r="O1498" s="7">
        <f t="shared" si="5"/>
        <v>1</v>
      </c>
      <c r="P1498" s="8" t="str">
        <f t="shared" si="6"/>
        <v>No</v>
      </c>
    </row>
    <row r="1499">
      <c r="A1499" s="4" t="s">
        <v>16</v>
      </c>
      <c r="B1499" s="4" t="s">
        <v>4245</v>
      </c>
      <c r="C1499" s="9">
        <v>44813.0</v>
      </c>
      <c r="D1499" s="10">
        <v>44816.0</v>
      </c>
      <c r="E1499" s="4" t="s">
        <v>4246</v>
      </c>
      <c r="F1499" s="4" t="s">
        <v>4247</v>
      </c>
      <c r="G1499" s="6" t="str">
        <f>IFERROR(__xludf.DUMMYFUNCTION("REGEXREPLACE(LOWER(F1499),""[^a-z\s]"","""")"),"very happy experience from petflow
thank you")</f>
        <v>very happy experience from petflow
thank you</v>
      </c>
      <c r="H1499" s="4" t="str">
        <f t="shared" si="1"/>
        <v>very happy experience from petflow
thank you</v>
      </c>
      <c r="I1499" s="6">
        <f t="shared" si="2"/>
        <v>6</v>
      </c>
      <c r="J1499" s="6">
        <f>IFERROR(__xludf.DUMMYFUNCTION("IF(H1499="""","""",
SUM(
ARRAYFORMULA(
IF(
REGEXMATCH(
"" ""&amp;H1499&amp;"" "",
"" ""&amp;Sentiment_Words!A$2:A3730&amp;"" ""
),
1,
0
)
)
)
)"),1.0)</f>
        <v>1</v>
      </c>
      <c r="K1499" s="4">
        <f>IFERROR(__xludf.DUMMYFUNCTION("IF(H1499="""","""",
SUM(
ARRAYFORMULA(
IF(
REGEXMATCH(
"" ""&amp;H1499&amp;"" "",
"" ""&amp;Sentiment_Words!B$2:B3730&amp;"" ""
),
1,
0
)
)
)
)"),0.0)</f>
        <v>0</v>
      </c>
      <c r="L1499" s="7" t="str">
        <f t="shared" si="3"/>
        <v>Other</v>
      </c>
      <c r="M1499" s="7" t="str">
        <f t="shared" si="4"/>
        <v>Positive</v>
      </c>
      <c r="N1499" s="7" t="str">
        <f>IFERROR(__xludf.DUMMYFUNCTION("LOWER(
TRIM(
REGEXREPLACE(B1499,""[^a-zA-Z\s]"","""")
)
)
"),"pamela yeh")</f>
        <v>pamela yeh</v>
      </c>
      <c r="O1499" s="7">
        <f t="shared" si="5"/>
        <v>1</v>
      </c>
      <c r="P1499" s="8" t="str">
        <f t="shared" si="6"/>
        <v>No</v>
      </c>
    </row>
    <row r="1500">
      <c r="A1500" s="4" t="s">
        <v>16</v>
      </c>
      <c r="B1500" s="4" t="s">
        <v>4248</v>
      </c>
      <c r="C1500" s="5">
        <v>44804.0</v>
      </c>
      <c r="D1500" s="10">
        <v>44816.0</v>
      </c>
      <c r="E1500" s="4" t="s">
        <v>4249</v>
      </c>
      <c r="F1500" s="4" t="s">
        <v>4250</v>
      </c>
      <c r="G1500" s="6" t="str">
        <f>IFERROR(__xludf.DUMMYFUNCTION("REGEXREPLACE(LOWER(F1500),""[^a-z\s]"","""")"),"dog food i ordered went out of stock immediately after it allowed me to order i called and i was told they could not give me any idea of when it would be in stock i tried to cancel my subscription with them but they told me they wanted to keep it for now "&amp;"i am calling again today to cancel will never use them chewy is the best stick to chewycom")</f>
        <v>dog food i ordered went out of stock immediately after it allowed me to order i called and i was told they could not give me any idea of when it would be in stock i tried to cancel my subscription with them but they told me they wanted to keep it for now i am calling again today to cancel will never use them chewy is the best stick to chewycom</v>
      </c>
      <c r="H1500" s="4" t="str">
        <f t="shared" si="1"/>
        <v>dog food i ordered went out of stock immediately after it allowed me order i called i was told they could not give me any idea of when it would be in stock i tried cancel my subscription with them but they told me they wanted keep it now i am calling again today cancel will never use them chewy best stick chewycom</v>
      </c>
      <c r="I1500" s="6">
        <f t="shared" si="2"/>
        <v>63</v>
      </c>
      <c r="J1500" s="6">
        <f>IFERROR(__xludf.DUMMYFUNCTION("IF(H1500="""","""",
SUM(
ARRAYFORMULA(
IF(
REGEXMATCH(
"" ""&amp;H1500&amp;"" "",
"" ""&amp;Sentiment_Words!A$2:A3730&amp;"" ""
),
1,
0
)
)
)
)"),1.0)</f>
        <v>1</v>
      </c>
      <c r="K1500" s="4">
        <f>IFERROR(__xludf.DUMMYFUNCTION("IF(H1500="""","""",
SUM(
ARRAYFORMULA(
IF(
REGEXMATCH(
"" ""&amp;H1500&amp;"" "",
"" ""&amp;Sentiment_Words!B$2:B3730&amp;"" ""
),
1,
0
)
)
)
)"),1.0)</f>
        <v>1</v>
      </c>
      <c r="L1500" s="7" t="str">
        <f t="shared" si="3"/>
        <v>Availability</v>
      </c>
      <c r="M1500" s="7" t="str">
        <f t="shared" si="4"/>
        <v>Neutral</v>
      </c>
      <c r="N1500" s="7" t="str">
        <f>IFERROR(__xludf.DUMMYFUNCTION("LOWER(
TRIM(
REGEXREPLACE(B1500,""[^a-zA-Z\s]"","""")
)
)
"),"jill clarke")</f>
        <v>jill clarke</v>
      </c>
      <c r="O1500" s="7">
        <f t="shared" si="5"/>
        <v>1</v>
      </c>
      <c r="P1500" s="8" t="str">
        <f t="shared" si="6"/>
        <v>No</v>
      </c>
    </row>
    <row r="1501">
      <c r="A1501" s="4" t="s">
        <v>16</v>
      </c>
      <c r="B1501" s="4" t="s">
        <v>4251</v>
      </c>
      <c r="C1501" s="9">
        <v>44811.0</v>
      </c>
      <c r="D1501" s="10">
        <v>44816.0</v>
      </c>
      <c r="E1501" s="4" t="s">
        <v>4252</v>
      </c>
      <c r="F1501" s="4" t="s">
        <v>4253</v>
      </c>
      <c r="G1501" s="6" t="str">
        <f>IFERROR(__xludf.DUMMYFUNCTION("REGEXREPLACE(LOWER(F1501),""[^a-z\s]"","""")"),"frdex didnt deliver the previous order your customer care rep ordered another fromm sur  turf for me and it was delivered")</f>
        <v>frdex didnt deliver the previous order your customer care rep ordered another fromm sur  turf for me and it was delivered</v>
      </c>
      <c r="H1501" s="4" t="str">
        <f t="shared" si="1"/>
        <v>frdex didnt deliver previous order your customer care rep ordered another fromm sur turf me it was delivered</v>
      </c>
      <c r="I1501" s="6">
        <f t="shared" si="2"/>
        <v>18</v>
      </c>
      <c r="J1501" s="6">
        <f>IFERROR(__xludf.DUMMYFUNCTION("IF(H1501="""","""",
SUM(
ARRAYFORMULA(
IF(
REGEXMATCH(
"" ""&amp;H1501&amp;"" "",
"" ""&amp;Sentiment_Words!A$2:A3730&amp;"" ""
),
1,
0
)
)
)
)"),1.0)</f>
        <v>1</v>
      </c>
      <c r="K1501" s="4">
        <f>IFERROR(__xludf.DUMMYFUNCTION("IF(H1501="""","""",
SUM(
ARRAYFORMULA(
IF(
REGEXMATCH(
"" ""&amp;H1501&amp;"" "",
"" ""&amp;Sentiment_Words!B$2:B3730&amp;"" ""
),
1,
0
)
)
)
)"),0.0)</f>
        <v>0</v>
      </c>
      <c r="L1501" s="7" t="str">
        <f t="shared" si="3"/>
        <v>Other</v>
      </c>
      <c r="M1501" s="7" t="str">
        <f t="shared" si="4"/>
        <v>Positive</v>
      </c>
      <c r="N1501" s="7" t="str">
        <f>IFERROR(__xludf.DUMMYFUNCTION("LOWER(
TRIM(
REGEXREPLACE(B1501,""[^a-zA-Z\s]"","""")
)
)
"),"don walters")</f>
        <v>don walters</v>
      </c>
      <c r="O1501" s="7">
        <f t="shared" si="5"/>
        <v>1</v>
      </c>
      <c r="P1501" s="8" t="str">
        <f t="shared" si="6"/>
        <v>No</v>
      </c>
    </row>
    <row r="1502">
      <c r="A1502" s="4" t="s">
        <v>16</v>
      </c>
      <c r="B1502" s="4" t="s">
        <v>4254</v>
      </c>
      <c r="C1502" s="9">
        <v>44807.0</v>
      </c>
      <c r="D1502" s="10">
        <v>44816.0</v>
      </c>
      <c r="E1502" s="4" t="s">
        <v>4255</v>
      </c>
      <c r="F1502" s="4" t="s">
        <v>4256</v>
      </c>
      <c r="G1502" s="6" t="str">
        <f>IFERROR(__xludf.DUMMYFUNCTION("REGEXREPLACE(LOWER(F1502),""[^a-z\s]"","""")"),"i signed up once for autoship  the order took over a week to reach me since that experience i order when i need it and always receive it within a few days i am a regular")</f>
        <v>i signed up once for autoship  the order took over a week to reach me since that experience i order when i need it and always receive it within a few days i am a regular</v>
      </c>
      <c r="H1502" s="4" t="str">
        <f t="shared" si="1"/>
        <v>i signed up once autoship order took over a week reach me since that experience i order when i need it always receive it within a few days i am a regular</v>
      </c>
      <c r="I1502" s="6">
        <f t="shared" si="2"/>
        <v>32</v>
      </c>
      <c r="J1502" s="6">
        <f>IFERROR(__xludf.DUMMYFUNCTION("IF(H1502="""","""",
SUM(
ARRAYFORMULA(
IF(
REGEXMATCH(
"" ""&amp;H1502&amp;"" "",
"" ""&amp;Sentiment_Words!A$2:A3730&amp;"" ""
),
1,
0
)
)
)
)"),0.0)</f>
        <v>0</v>
      </c>
      <c r="K1502" s="4">
        <f>IFERROR(__xludf.DUMMYFUNCTION("IF(H1502="""","""",
SUM(
ARRAYFORMULA(
IF(
REGEXMATCH(
"" ""&amp;H1502&amp;"" "",
"" ""&amp;Sentiment_Words!B$2:B3730&amp;"" ""
),
1,
0
)
)
)
)"),0.0)</f>
        <v>0</v>
      </c>
      <c r="L1502" s="7" t="str">
        <f t="shared" si="3"/>
        <v>Other</v>
      </c>
      <c r="M1502" s="7" t="str">
        <f t="shared" si="4"/>
        <v>Neutral</v>
      </c>
      <c r="N1502" s="7" t="str">
        <f>IFERROR(__xludf.DUMMYFUNCTION("LOWER(
TRIM(
REGEXREPLACE(B1502,""[^a-zA-Z\s]"","""")
)
)
"),"kathi")</f>
        <v>kathi</v>
      </c>
      <c r="O1502" s="7">
        <f t="shared" si="5"/>
        <v>1</v>
      </c>
      <c r="P1502" s="8" t="str">
        <f t="shared" si="6"/>
        <v>No</v>
      </c>
    </row>
    <row r="1503">
      <c r="A1503" s="4" t="s">
        <v>16</v>
      </c>
      <c r="B1503" s="4" t="s">
        <v>4257</v>
      </c>
      <c r="C1503" s="5">
        <v>44814.0</v>
      </c>
      <c r="D1503" s="10">
        <v>44816.0</v>
      </c>
      <c r="E1503" s="4" t="s">
        <v>4258</v>
      </c>
      <c r="F1503" s="4" t="s">
        <v>4259</v>
      </c>
      <c r="G1503" s="6" t="str">
        <f>IFERROR(__xludf.DUMMYFUNCTION("REGEXREPLACE(LOWER(F1503),""[^a-z\s]"","""")"),"i bought the august st havent even received any email with shipping last time i talked to them havent shipped yet last time i called didnt even answer")</f>
        <v>i bought the august st havent even received any email with shipping last time i talked to them havent shipped yet last time i called didnt even answer</v>
      </c>
      <c r="H1503" s="4" t="str">
        <f t="shared" si="1"/>
        <v>i bought august st havent even received any email with shipping last time i talked them havent shipped yet last time i called didnt even answer</v>
      </c>
      <c r="I1503" s="6">
        <f t="shared" si="2"/>
        <v>26</v>
      </c>
      <c r="J1503" s="6">
        <f>IFERROR(__xludf.DUMMYFUNCTION("IF(H1503="""","""",
SUM(
ARRAYFORMULA(
IF(
REGEXMATCH(
"" ""&amp;H1503&amp;"" "",
"" ""&amp;Sentiment_Words!A$2:A3730&amp;"" ""
),
1,
0
)
)
)
)"),0.0)</f>
        <v>0</v>
      </c>
      <c r="K1503" s="4">
        <f>IFERROR(__xludf.DUMMYFUNCTION("IF(H1503="""","""",
SUM(
ARRAYFORMULA(
IF(
REGEXMATCH(
"" ""&amp;H1503&amp;"" "",
"" ""&amp;Sentiment_Words!B$2:B3730&amp;"" ""
),
1,
0
)
)
)
)"),0.0)</f>
        <v>0</v>
      </c>
      <c r="L1503" s="7" t="str">
        <f t="shared" si="3"/>
        <v>Other</v>
      </c>
      <c r="M1503" s="7" t="str">
        <f t="shared" si="4"/>
        <v>Neutral</v>
      </c>
      <c r="N1503" s="7" t="str">
        <f>IFERROR(__xludf.DUMMYFUNCTION("LOWER(
TRIM(
REGEXREPLACE(B1503,""[^a-zA-Z\s]"","""")
)
)
"),"indiana dilan")</f>
        <v>indiana dilan</v>
      </c>
      <c r="O1503" s="7">
        <f t="shared" si="5"/>
        <v>1</v>
      </c>
      <c r="P1503" s="8" t="str">
        <f t="shared" si="6"/>
        <v>No</v>
      </c>
    </row>
    <row r="1504">
      <c r="A1504" s="4" t="s">
        <v>16</v>
      </c>
      <c r="B1504" s="4" t="s">
        <v>4260</v>
      </c>
      <c r="C1504" s="9">
        <v>44813.0</v>
      </c>
      <c r="D1504" s="10">
        <v>44816.0</v>
      </c>
      <c r="E1504" s="4" t="s">
        <v>4261</v>
      </c>
      <c r="F1504" s="4" t="s">
        <v>4262</v>
      </c>
      <c r="G1504" s="6" t="str">
        <f>IFERROR(__xludf.DUMMYFUNCTION("REGEXREPLACE(LOWER(F1504),""[^a-z\s]"","""")"),"i placed an order about  days go by and i realize i hadnt gotten a shipping confirmation number i called and representative said  oh did no one reach out to you no they didnt long story short nothing happened except they held onto my money i canceled the "&amp;"order now im waiting on a refund")</f>
        <v>i placed an order about  days go by and i realize i hadnt gotten a shipping confirmation number i called and representative said  oh did no one reach out to you no they didnt long story short nothing happened except they held onto my money i canceled the order now im waiting on a refund</v>
      </c>
      <c r="H1504" s="4" t="str">
        <f t="shared" si="1"/>
        <v>i placed an order about days go by i realize i hadnt gotten a shipping confirmation number i called representative said oh did no one reach out you no they didnt long story short nothing happened except they held onto my money i canceled order now im waiting on a refund</v>
      </c>
      <c r="I1504" s="6">
        <f t="shared" si="2"/>
        <v>51</v>
      </c>
      <c r="J1504" s="6">
        <f>IFERROR(__xludf.DUMMYFUNCTION("IF(H1504="""","""",
SUM(
ARRAYFORMULA(
IF(
REGEXMATCH(
"" ""&amp;H1504&amp;"" "",
"" ""&amp;Sentiment_Words!A$2:A3730&amp;"" ""
),
1,
0
)
)
)
)"),0.0)</f>
        <v>0</v>
      </c>
      <c r="K1504" s="4">
        <f>IFERROR(__xludf.DUMMYFUNCTION("IF(H1504="""","""",
SUM(
ARRAYFORMULA(
IF(
REGEXMATCH(
"" ""&amp;H1504&amp;"" "",
"" ""&amp;Sentiment_Words!B$2:B3730&amp;"" ""
),
1,
0
)
)
)
)"),1.0)</f>
        <v>1</v>
      </c>
      <c r="L1504" s="7" t="str">
        <f t="shared" si="3"/>
        <v>Other</v>
      </c>
      <c r="M1504" s="7" t="str">
        <f t="shared" si="4"/>
        <v>Negative</v>
      </c>
      <c r="N1504" s="7" t="str">
        <f>IFERROR(__xludf.DUMMYFUNCTION("LOWER(
TRIM(
REGEXREPLACE(B1504,""[^a-zA-Z\s]"","""")
)
)
"),"robert anderson")</f>
        <v>robert anderson</v>
      </c>
      <c r="O1504" s="7">
        <f t="shared" si="5"/>
        <v>1</v>
      </c>
      <c r="P1504" s="8" t="str">
        <f t="shared" si="6"/>
        <v>No</v>
      </c>
    </row>
    <row r="1505">
      <c r="A1505" s="4" t="s">
        <v>16</v>
      </c>
      <c r="B1505" s="4" t="s">
        <v>4263</v>
      </c>
      <c r="C1505" s="9">
        <v>44806.0</v>
      </c>
      <c r="D1505" s="10">
        <v>44816.0</v>
      </c>
      <c r="E1505" s="4" t="s">
        <v>4264</v>
      </c>
      <c r="F1505" s="4" t="s">
        <v>4265</v>
      </c>
      <c r="G1505" s="6" t="str">
        <f>IFERROR(__xludf.DUMMYFUNCTION("REGEXREPLACE(LOWER(F1505),""[^a-z\s]"","""")"),"i placed my order a few days ago i then had to get a prescription from the vet and mail it mail it not fax it or email it but mail it i have yet to get notice that my dog treats have been mailed and it had been days my dog has ibd and these are the only t"&amp;"reats she can have so im anxious to get them")</f>
        <v>i placed my order a few days ago i then had to get a prescription from the vet and mail it mail it not fax it or email it but mail it i have yet to get notice that my dog treats have been mailed and it had been days my dog has ibd and these are the only treats she can have so im anxious to get them</v>
      </c>
      <c r="H1505" s="4" t="str">
        <f t="shared" si="1"/>
        <v>i placed my order a few days ago i then had get a prescription from vet mail it mail it not fax it or email it but mail it i have yet get notice that my dog treats have been mailed it had been days my dog has ibd these are only treats she can have so im anxious get them</v>
      </c>
      <c r="I1505" s="6">
        <f t="shared" si="2"/>
        <v>61</v>
      </c>
      <c r="J1505" s="6">
        <f>IFERROR(__xludf.DUMMYFUNCTION("IF(H1505="""","""",
SUM(
ARRAYFORMULA(
IF(
REGEXMATCH(
"" ""&amp;H1505&amp;"" "",
"" ""&amp;Sentiment_Words!A$2:A3730&amp;"" ""
),
1,
0
)
)
)
)"),0.0)</f>
        <v>0</v>
      </c>
      <c r="K1505" s="4">
        <f>IFERROR(__xludf.DUMMYFUNCTION("IF(H1505="""","""",
SUM(
ARRAYFORMULA(
IF(
REGEXMATCH(
"" ""&amp;H1505&amp;"" "",
"" ""&amp;Sentiment_Words!B$2:B3730&amp;"" ""
),
1,
0
)
)
)
)"),0.0)</f>
        <v>0</v>
      </c>
      <c r="L1505" s="7" t="str">
        <f t="shared" si="3"/>
        <v>Other</v>
      </c>
      <c r="M1505" s="7" t="str">
        <f t="shared" si="4"/>
        <v>Neutral</v>
      </c>
      <c r="N1505" s="7" t="str">
        <f>IFERROR(__xludf.DUMMYFUNCTION("LOWER(
TRIM(
REGEXREPLACE(B1505,""[^a-zA-Z\s]"","""")
)
)
"),"no happy")</f>
        <v>no happy</v>
      </c>
      <c r="O1505" s="7">
        <f t="shared" si="5"/>
        <v>1</v>
      </c>
      <c r="P1505" s="8" t="str">
        <f t="shared" si="6"/>
        <v>No</v>
      </c>
    </row>
    <row r="1506">
      <c r="A1506" s="4" t="s">
        <v>16</v>
      </c>
      <c r="B1506" s="4" t="s">
        <v>4266</v>
      </c>
      <c r="C1506" s="5">
        <v>44804.0</v>
      </c>
      <c r="D1506" s="10">
        <v>44816.0</v>
      </c>
      <c r="E1506" s="4" t="s">
        <v>4267</v>
      </c>
      <c r="F1506" s="4" t="s">
        <v>4268</v>
      </c>
      <c r="G1506" s="6" t="str">
        <f>IFERROR(__xludf.DUMMYFUNCTION("REGEXREPLACE(LOWER(F1506),""[^a-z\s]"","""")"),"communication with petflow staff was exceptional and professional i truly believe the staff was interested in helping me with the prescription from my vet for the product and clarification expedited the process well")</f>
        <v>communication with petflow staff was exceptional and professional i truly believe the staff was interested in helping me with the prescription from my vet for the product and clarification expedited the process well</v>
      </c>
      <c r="H1506" s="4" t="str">
        <f t="shared" si="1"/>
        <v>communication with petflow staff was exceptional professional i truly believe staff was interested in helping me with prescription from my vet product clarification expedited process well</v>
      </c>
      <c r="I1506" s="6">
        <f t="shared" si="2"/>
        <v>26</v>
      </c>
      <c r="J1506" s="6">
        <f>IFERROR(__xludf.DUMMYFUNCTION("IF(H1506="""","""",
SUM(
ARRAYFORMULA(
IF(
REGEXMATCH(
"" ""&amp;H1506&amp;"" "",
"" ""&amp;Sentiment_Words!A$2:A3730&amp;"" ""
),
1,
0
)
)
)
)"),0.0)</f>
        <v>0</v>
      </c>
      <c r="K1506" s="4">
        <f>IFERROR(__xludf.DUMMYFUNCTION("IF(H1506="""","""",
SUM(
ARRAYFORMULA(
IF(
REGEXMATCH(
"" ""&amp;H1506&amp;"" "",
"" ""&amp;Sentiment_Words!B$2:B3730&amp;"" ""
),
1,
0
)
)
)
)"),0.0)</f>
        <v>0</v>
      </c>
      <c r="L1506" s="7" t="str">
        <f t="shared" si="3"/>
        <v>Other</v>
      </c>
      <c r="M1506" s="7" t="str">
        <f t="shared" si="4"/>
        <v>Neutral</v>
      </c>
      <c r="N1506" s="7" t="str">
        <f>IFERROR(__xludf.DUMMYFUNCTION("LOWER(
TRIM(
REGEXREPLACE(B1506,""[^a-zA-Z\s]"","""")
)
)
"),"stacey m")</f>
        <v>stacey m</v>
      </c>
      <c r="O1506" s="7">
        <f t="shared" si="5"/>
        <v>1</v>
      </c>
      <c r="P1506" s="8" t="str">
        <f t="shared" si="6"/>
        <v>No</v>
      </c>
    </row>
    <row r="1507">
      <c r="A1507" s="4" t="s">
        <v>16</v>
      </c>
      <c r="B1507" s="4" t="s">
        <v>4269</v>
      </c>
      <c r="C1507" s="9">
        <v>44805.0</v>
      </c>
      <c r="D1507" s="10">
        <v>44816.0</v>
      </c>
      <c r="E1507" s="4" t="s">
        <v>4270</v>
      </c>
      <c r="F1507" s="4" t="s">
        <v>331</v>
      </c>
      <c r="G1507" s="6" t="str">
        <f>IFERROR(__xludf.DUMMYFUNCTION("REGEXREPLACE(LOWER(F1507),""[^a-z\s]"","""")"),"none")</f>
        <v>none</v>
      </c>
      <c r="H1507" s="4" t="str">
        <f t="shared" si="1"/>
        <v>none</v>
      </c>
      <c r="I1507" s="6">
        <f t="shared" si="2"/>
        <v>1</v>
      </c>
      <c r="J1507" s="6">
        <f>IFERROR(__xludf.DUMMYFUNCTION("IF(H1507="""","""",
SUM(
ARRAYFORMULA(
IF(
REGEXMATCH(
"" ""&amp;H1507&amp;"" "",
"" ""&amp;Sentiment_Words!A$2:A3730&amp;"" ""
),
1,
0
)
)
)
)"),0.0)</f>
        <v>0</v>
      </c>
      <c r="K1507" s="4">
        <f>IFERROR(__xludf.DUMMYFUNCTION("IF(H1507="""","""",
SUM(
ARRAYFORMULA(
IF(
REGEXMATCH(
"" ""&amp;H1507&amp;"" "",
"" ""&amp;Sentiment_Words!B$2:B3730&amp;"" ""
),
1,
0
)
)
)
)"),0.0)</f>
        <v>0</v>
      </c>
      <c r="L1507" s="7" t="str">
        <f t="shared" si="3"/>
        <v>Other</v>
      </c>
      <c r="M1507" s="7" t="str">
        <f t="shared" si="4"/>
        <v>Neutral</v>
      </c>
      <c r="N1507" s="7" t="str">
        <f>IFERROR(__xludf.DUMMYFUNCTION("LOWER(
TRIM(
REGEXREPLACE(B1507,""[^a-zA-Z\s]"","""")
)
)
"),"yolanda griffiths")</f>
        <v>yolanda griffiths</v>
      </c>
      <c r="O1507" s="7">
        <f t="shared" si="5"/>
        <v>1</v>
      </c>
      <c r="P1507" s="8" t="str">
        <f t="shared" si="6"/>
        <v>No</v>
      </c>
    </row>
    <row r="1508">
      <c r="A1508" s="4" t="s">
        <v>16</v>
      </c>
      <c r="B1508" s="4" t="s">
        <v>4271</v>
      </c>
      <c r="C1508" s="5">
        <v>44815.0</v>
      </c>
      <c r="D1508" s="10">
        <v>44816.0</v>
      </c>
      <c r="E1508" s="4" t="s">
        <v>1437</v>
      </c>
      <c r="F1508" s="4" t="s">
        <v>4272</v>
      </c>
      <c r="G1508" s="6" t="str">
        <f>IFERROR(__xludf.DUMMYFUNCTION("REGEXREPLACE(LOWER(F1508),""[^a-z\s]"","""")"),"super prompt service which included petflow needing to verify a new prescription with my veterinarian fast shipping too much appreciated")</f>
        <v>super prompt service which included petflow needing to verify a new prescription with my veterinarian fast shipping too much appreciated</v>
      </c>
      <c r="H1508" s="4" t="str">
        <f t="shared" si="1"/>
        <v>super prompt service which included petflow needing verify a new prescription with my veterinarian fast shipping too much appreciated</v>
      </c>
      <c r="I1508" s="6">
        <f t="shared" si="2"/>
        <v>19</v>
      </c>
      <c r="J1508" s="6">
        <f>IFERROR(__xludf.DUMMYFUNCTION("IF(H1508="""","""",
SUM(
ARRAYFORMULA(
IF(
REGEXMATCH(
"" ""&amp;H1508&amp;"" "",
"" ""&amp;Sentiment_Words!A$2:A3730&amp;"" ""
),
1,
0
)
)
)
)"),2.0)</f>
        <v>2</v>
      </c>
      <c r="K1508" s="4">
        <f>IFERROR(__xludf.DUMMYFUNCTION("IF(H1508="""","""",
SUM(
ARRAYFORMULA(
IF(
REGEXMATCH(
"" ""&amp;H1508&amp;"" "",
"" ""&amp;Sentiment_Words!B$2:B3730&amp;"" ""
),
1,
0
)
)
)
)"),0.0)</f>
        <v>0</v>
      </c>
      <c r="L1508" s="7" t="str">
        <f t="shared" si="3"/>
        <v>Customer Support</v>
      </c>
      <c r="M1508" s="7" t="str">
        <f t="shared" si="4"/>
        <v>Positive</v>
      </c>
      <c r="N1508" s="7" t="str">
        <f>IFERROR(__xludf.DUMMYFUNCTION("LOWER(
TRIM(
REGEXREPLACE(B1508,""[^a-zA-Z\s]"","""")
)
)
"),"michelle berentz")</f>
        <v>michelle berentz</v>
      </c>
      <c r="O1508" s="7">
        <f t="shared" si="5"/>
        <v>1</v>
      </c>
      <c r="P1508" s="8" t="str">
        <f t="shared" si="6"/>
        <v>No</v>
      </c>
    </row>
    <row r="1509">
      <c r="A1509" s="4" t="s">
        <v>16</v>
      </c>
      <c r="B1509" s="4" t="s">
        <v>4273</v>
      </c>
      <c r="C1509" s="9">
        <v>44809.0</v>
      </c>
      <c r="D1509" s="10">
        <v>44816.0</v>
      </c>
      <c r="E1509" s="4" t="s">
        <v>4274</v>
      </c>
      <c r="F1509" s="4" t="s">
        <v>4275</v>
      </c>
      <c r="G1509" s="6" t="str">
        <f>IFERROR(__xludf.DUMMYFUNCTION("REGEXREPLACE(LOWER(F1509),""[^a-z\s]"","""")"),"petflow website had hills yd canned cat food available i ordered a case they sent me a confirmation  then contacted my vet for the required prescription after receiving it  checking their inventory  then with their distributor notified me they dont have i"&amp;"t wouldnt it make more sense to initially check that the product is available i stopped searching once petflow said they had it")</f>
        <v>petflow website had hills yd canned cat food available i ordered a case they sent me a confirmation  then contacted my vet for the required prescription after receiving it  checking their inventory  then with their distributor notified me they dont have it wouldnt it make more sense to initially check that the product is available i stopped searching once petflow said they had it</v>
      </c>
      <c r="H1509" s="4" t="str">
        <f t="shared" si="1"/>
        <v>petflow website had hills yd canned cat food available i ordered a case they sent me a confirmation then contacted my vet required prescription after receiving it checking their inventory then with their distributor notified me they dont have it wouldnt it make more sense initially check that product available i stopped searching once petflow said they had it</v>
      </c>
      <c r="I1509" s="6">
        <f t="shared" si="2"/>
        <v>59</v>
      </c>
      <c r="J1509" s="6">
        <f>IFERROR(__xludf.DUMMYFUNCTION("IF(H1509="""","""",
SUM(
ARRAYFORMULA(
IF(
REGEXMATCH(
"" ""&amp;H1509&amp;"" "",
"" ""&amp;Sentiment_Words!A$2:A3730&amp;"" ""
),
1,
0
)
)
)
)"),1.0)</f>
        <v>1</v>
      </c>
      <c r="K1509" s="4">
        <f>IFERROR(__xludf.DUMMYFUNCTION("IF(H1509="""","""",
SUM(
ARRAYFORMULA(
IF(
REGEXMATCH(
"" ""&amp;H1509&amp;"" "",
"" ""&amp;Sentiment_Words!B$2:B3730&amp;"" ""
),
1,
0
)
)
)
)"),0.0)</f>
        <v>0</v>
      </c>
      <c r="L1509" s="7" t="str">
        <f t="shared" si="3"/>
        <v>Account &amp; Website</v>
      </c>
      <c r="M1509" s="7" t="str">
        <f t="shared" si="4"/>
        <v>Positive</v>
      </c>
      <c r="N1509" s="7" t="str">
        <f>IFERROR(__xludf.DUMMYFUNCTION("LOWER(
TRIM(
REGEXREPLACE(B1509,""[^a-zA-Z\s]"","""")
)
)
"),"renee bee")</f>
        <v>renee bee</v>
      </c>
      <c r="O1509" s="7">
        <f t="shared" si="5"/>
        <v>1</v>
      </c>
      <c r="P1509" s="8" t="str">
        <f t="shared" si="6"/>
        <v>No</v>
      </c>
    </row>
    <row r="1510">
      <c r="A1510" s="4" t="s">
        <v>16</v>
      </c>
      <c r="B1510" s="4" t="s">
        <v>4276</v>
      </c>
      <c r="C1510" s="5">
        <v>44815.0</v>
      </c>
      <c r="D1510" s="10">
        <v>44816.0</v>
      </c>
      <c r="E1510" s="4" t="s">
        <v>4277</v>
      </c>
      <c r="F1510" s="4" t="s">
        <v>4278</v>
      </c>
      <c r="G1510" s="6" t="str">
        <f>IFERROR(__xludf.DUMMYFUNCTION("REGEXREPLACE(LOWER(F1510),""[^a-z\s]"","""")"),"my order was not processed as it was flagged for fraud however i was not informed of this i had to call  days after placing the order to find out")</f>
        <v>my order was not processed as it was flagged for fraud however i was not informed of this i had to call  days after placing the order to find out</v>
      </c>
      <c r="H1510" s="4" t="str">
        <f t="shared" si="1"/>
        <v>my order was not processed as it was flagged fraud however i was not informed of this i had call days after placing order find out</v>
      </c>
      <c r="I1510" s="6">
        <f t="shared" si="2"/>
        <v>26</v>
      </c>
      <c r="J1510" s="6">
        <f>IFERROR(__xludf.DUMMYFUNCTION("IF(H1510="""","""",
SUM(
ARRAYFORMULA(
IF(
REGEXMATCH(
"" ""&amp;H1510&amp;"" "",
"" ""&amp;Sentiment_Words!A$2:A3730&amp;"" ""
),
1,
0
)
)
)
)"),0.0)</f>
        <v>0</v>
      </c>
      <c r="K1510" s="4">
        <f>IFERROR(__xludf.DUMMYFUNCTION("IF(H1510="""","""",
SUM(
ARRAYFORMULA(
IF(
REGEXMATCH(
"" ""&amp;H1510&amp;"" "",
"" ""&amp;Sentiment_Words!B$2:B3730&amp;"" ""
),
1,
0
)
)
)
)"),0.0)</f>
        <v>0</v>
      </c>
      <c r="L1510" s="7" t="str">
        <f t="shared" si="3"/>
        <v>Other</v>
      </c>
      <c r="M1510" s="7" t="str">
        <f t="shared" si="4"/>
        <v>Neutral</v>
      </c>
      <c r="N1510" s="7" t="str">
        <f>IFERROR(__xludf.DUMMYFUNCTION("LOWER(
TRIM(
REGEXREPLACE(B1510,""[^a-zA-Z\s]"","""")
)
)
"),"judith lewis")</f>
        <v>judith lewis</v>
      </c>
      <c r="O1510" s="7">
        <f t="shared" si="5"/>
        <v>1</v>
      </c>
      <c r="P1510" s="8" t="str">
        <f t="shared" si="6"/>
        <v>No</v>
      </c>
    </row>
    <row r="1511">
      <c r="A1511" s="4" t="s">
        <v>16</v>
      </c>
      <c r="B1511" s="4" t="s">
        <v>4279</v>
      </c>
      <c r="C1511" s="5">
        <v>44815.0</v>
      </c>
      <c r="D1511" s="10">
        <v>44815.0</v>
      </c>
      <c r="E1511" s="4" t="s">
        <v>4280</v>
      </c>
      <c r="F1511" s="4" t="s">
        <v>4281</v>
      </c>
      <c r="G1511" s="6" t="str">
        <f>IFERROR(__xludf.DUMMYFUNCTION("REGEXREPLACE(LOWER(F1511),""[^a-z\s]"","""")"),"ordered prescription cat food that was in stock never heard anything for  weeks then got an email saying it is now out of stock i looked it up again and it is not out of stock total waste of my time and i dont remember the date exactly")</f>
        <v>ordered prescription cat food that was in stock never heard anything for  weeks then got an email saying it is now out of stock i looked it up again and it is not out of stock total waste of my time and i dont remember the date exactly</v>
      </c>
      <c r="H1511" s="4" t="str">
        <f t="shared" si="1"/>
        <v>ordered prescription cat food that was in stock never heard anything weeks then got an email saying it now out of stock i looked it up again it not out of stock total waste of my time i dont remember date exactly</v>
      </c>
      <c r="I1511" s="6">
        <f t="shared" si="2"/>
        <v>42</v>
      </c>
      <c r="J1511" s="6">
        <f>IFERROR(__xludf.DUMMYFUNCTION("IF(H1511="""","""",
SUM(
ARRAYFORMULA(
IF(
REGEXMATCH(
"" ""&amp;H1511&amp;"" "",
"" ""&amp;Sentiment_Words!A$2:A3730&amp;"" ""
),
1,
0
)
)
)
)"),0.0)</f>
        <v>0</v>
      </c>
      <c r="K1511" s="4">
        <f>IFERROR(__xludf.DUMMYFUNCTION("IF(H1511="""","""",
SUM(
ARRAYFORMULA(
IF(
REGEXMATCH(
"" ""&amp;H1511&amp;"" "",
"" ""&amp;Sentiment_Words!B$2:B3730&amp;"" ""
),
1,
0
)
)
)
)"),1.0)</f>
        <v>1</v>
      </c>
      <c r="L1511" s="7" t="str">
        <f t="shared" si="3"/>
        <v>Availability</v>
      </c>
      <c r="M1511" s="7" t="str">
        <f t="shared" si="4"/>
        <v>Negative</v>
      </c>
      <c r="N1511" s="7" t="str">
        <f>IFERROR(__xludf.DUMMYFUNCTION("LOWER(
TRIM(
REGEXREPLACE(B1511,""[^a-zA-Z\s]"","""")
)
)
"),"nancy clasen")</f>
        <v>nancy clasen</v>
      </c>
      <c r="O1511" s="7">
        <f t="shared" si="5"/>
        <v>1</v>
      </c>
      <c r="P1511" s="8" t="str">
        <f t="shared" si="6"/>
        <v>No</v>
      </c>
    </row>
    <row r="1512">
      <c r="A1512" s="4" t="s">
        <v>16</v>
      </c>
      <c r="B1512" s="4" t="s">
        <v>4282</v>
      </c>
      <c r="C1512" s="9">
        <v>44813.0</v>
      </c>
      <c r="D1512" s="10">
        <v>44815.0</v>
      </c>
      <c r="E1512" s="4" t="s">
        <v>4283</v>
      </c>
      <c r="F1512" s="4" t="s">
        <v>4284</v>
      </c>
      <c r="G1512" s="6" t="str">
        <f>IFERROR(__xludf.DUMMYFUNCTION("REGEXREPLACE(LOWER(F1512),""[^a-z\s]"","""")"),"had what i was looking for good price and fast shipping great job")</f>
        <v>had what i was looking for good price and fast shipping great job</v>
      </c>
      <c r="H1512" s="4" t="str">
        <f t="shared" si="1"/>
        <v>had what i was looking good price fast shipping great job</v>
      </c>
      <c r="I1512" s="6">
        <f t="shared" si="2"/>
        <v>11</v>
      </c>
      <c r="J1512" s="6">
        <f>IFERROR(__xludf.DUMMYFUNCTION("IF(H1512="""","""",
SUM(
ARRAYFORMULA(
IF(
REGEXMATCH(
"" ""&amp;H1512&amp;"" "",
"" ""&amp;Sentiment_Words!A$2:A3730&amp;"" ""
),
1,
0
)
)
)
)"),3.0)</f>
        <v>3</v>
      </c>
      <c r="K1512" s="4">
        <f>IFERROR(__xludf.DUMMYFUNCTION("IF(H1512="""","""",
SUM(
ARRAYFORMULA(
IF(
REGEXMATCH(
"" ""&amp;H1512&amp;"" "",
"" ""&amp;Sentiment_Words!B$2:B3730&amp;"" ""
),
1,
0
)
)
)
)"),0.0)</f>
        <v>0</v>
      </c>
      <c r="L1512" s="7" t="str">
        <f t="shared" si="3"/>
        <v>Other</v>
      </c>
      <c r="M1512" s="7" t="str">
        <f t="shared" si="4"/>
        <v>Positive</v>
      </c>
      <c r="N1512" s="7" t="str">
        <f>IFERROR(__xludf.DUMMYFUNCTION("LOWER(
TRIM(
REGEXREPLACE(B1512,""[^a-zA-Z\s]"","""")
)
)
"),"laura")</f>
        <v>laura</v>
      </c>
      <c r="O1512" s="7">
        <f t="shared" si="5"/>
        <v>3</v>
      </c>
      <c r="P1512" s="8" t="str">
        <f t="shared" si="6"/>
        <v>Yes</v>
      </c>
    </row>
    <row r="1513">
      <c r="A1513" s="4" t="s">
        <v>16</v>
      </c>
      <c r="B1513" s="4" t="s">
        <v>4285</v>
      </c>
      <c r="C1513" s="5">
        <v>44788.0</v>
      </c>
      <c r="D1513" s="10">
        <v>44815.0</v>
      </c>
      <c r="E1513" s="4" t="s">
        <v>4286</v>
      </c>
      <c r="F1513" s="4" t="s">
        <v>4287</v>
      </c>
      <c r="G1513" s="6" t="str">
        <f>IFERROR(__xludf.DUMMYFUNCTION("REGEXREPLACE(LOWER(F1513),""[^a-z\s]"","""")"),"easy website to navigate customer service both via chat and phone were very helpful when i entered my cc number incorrectly shipping was fast too")</f>
        <v>easy website to navigate customer service both via chat and phone were very helpful when i entered my cc number incorrectly shipping was fast too</v>
      </c>
      <c r="H1513" s="4" t="str">
        <f t="shared" si="1"/>
        <v>easy website navigate customer service both via chat phone were very helpful when i entered my cc number incorrectly shipping was fast too</v>
      </c>
      <c r="I1513" s="6">
        <f t="shared" si="2"/>
        <v>23</v>
      </c>
      <c r="J1513" s="6">
        <f>IFERROR(__xludf.DUMMYFUNCTION("IF(H1513="""","""",
SUM(
ARRAYFORMULA(
IF(
REGEXMATCH(
"" ""&amp;H1513&amp;"" "",
"" ""&amp;Sentiment_Words!A$2:A3730&amp;"" ""
),
1,
0
)
)
)
)"),3.0)</f>
        <v>3</v>
      </c>
      <c r="K1513" s="4">
        <f>IFERROR(__xludf.DUMMYFUNCTION("IF(H1513="""","""",
SUM(
ARRAYFORMULA(
IF(
REGEXMATCH(
"" ""&amp;H1513&amp;"" "",
"" ""&amp;Sentiment_Words!B$2:B3730&amp;"" ""
),
1,
0
)
)
)
)"),1.0)</f>
        <v>1</v>
      </c>
      <c r="L1513" s="7" t="str">
        <f t="shared" si="3"/>
        <v>Customer Support</v>
      </c>
      <c r="M1513" s="7" t="str">
        <f t="shared" si="4"/>
        <v>Positive</v>
      </c>
      <c r="N1513" s="7" t="str">
        <f>IFERROR(__xludf.DUMMYFUNCTION("LOWER(
TRIM(
REGEXREPLACE(B1513,""[^a-zA-Z\s]"","""")
)
)
"),"wendy mann")</f>
        <v>wendy mann</v>
      </c>
      <c r="O1513" s="7">
        <f t="shared" si="5"/>
        <v>1</v>
      </c>
      <c r="P1513" s="8" t="str">
        <f t="shared" si="6"/>
        <v>No</v>
      </c>
    </row>
    <row r="1514">
      <c r="A1514" s="4" t="s">
        <v>16</v>
      </c>
      <c r="B1514" s="4" t="s">
        <v>4288</v>
      </c>
      <c r="C1514" s="9">
        <v>44809.0</v>
      </c>
      <c r="D1514" s="10">
        <v>44815.0</v>
      </c>
      <c r="E1514" s="4" t="s">
        <v>4289</v>
      </c>
      <c r="F1514" s="4" t="s">
        <v>4290</v>
      </c>
      <c r="G1514" s="6" t="str">
        <f>IFERROR(__xludf.DUMMYFUNCTION("REGEXREPLACE(LOWER(F1514),""[^a-z\s]"","""")"),"my order was canceled twice without an email or call this is unacceptable and i will never recommend petflow to anyone")</f>
        <v>my order was canceled twice without an email or call this is unacceptable and i will never recommend petflow to anyone</v>
      </c>
      <c r="H1514" s="4" t="str">
        <f t="shared" si="1"/>
        <v>my order was canceled twice without an email or call this unacceptable i will never recommend petflow anyone</v>
      </c>
      <c r="I1514" s="6">
        <f t="shared" si="2"/>
        <v>18</v>
      </c>
      <c r="J1514" s="6">
        <f>IFERROR(__xludf.DUMMYFUNCTION("IF(H1514="""","""",
SUM(
ARRAYFORMULA(
IF(
REGEXMATCH(
"" ""&amp;H1514&amp;"" "",
"" ""&amp;Sentiment_Words!A$2:A3730&amp;"" ""
),
1,
0
)
)
)
)"),0.0)</f>
        <v>0</v>
      </c>
      <c r="K1514" s="4">
        <f>IFERROR(__xludf.DUMMYFUNCTION("IF(H1514="""","""",
SUM(
ARRAYFORMULA(
IF(
REGEXMATCH(
"" ""&amp;H1514&amp;"" "",
"" ""&amp;Sentiment_Words!B$2:B3730&amp;"" ""
),
1,
0
)
)
)
)"),0.0)</f>
        <v>0</v>
      </c>
      <c r="L1514" s="7" t="str">
        <f t="shared" si="3"/>
        <v>Other</v>
      </c>
      <c r="M1514" s="7" t="str">
        <f t="shared" si="4"/>
        <v>Neutral</v>
      </c>
      <c r="N1514" s="7" t="str">
        <f>IFERROR(__xludf.DUMMYFUNCTION("LOWER(
TRIM(
REGEXREPLACE(B1514,""[^a-zA-Z\s]"","""")
)
)
"),"s tate")</f>
        <v>s tate</v>
      </c>
      <c r="O1514" s="7">
        <f t="shared" si="5"/>
        <v>1</v>
      </c>
      <c r="P1514" s="8" t="str">
        <f t="shared" si="6"/>
        <v>No</v>
      </c>
    </row>
    <row r="1515">
      <c r="A1515" s="4" t="s">
        <v>16</v>
      </c>
      <c r="B1515" s="4" t="s">
        <v>4291</v>
      </c>
      <c r="C1515" s="5">
        <v>44803.0</v>
      </c>
      <c r="D1515" s="10">
        <v>44815.0</v>
      </c>
      <c r="E1515" s="4" t="s">
        <v>1440</v>
      </c>
      <c r="F1515" s="4" t="s">
        <v>4292</v>
      </c>
      <c r="G1515" s="6" t="str">
        <f>IFERROR(__xludf.DUMMYFUNCTION("REGEXREPLACE(LOWER(F1515),""[^a-z\s]"","""")"),"i have a rescue and wanted to give petflow a try because they had some great deals i placed an order in my name but used my husbands credit cardsame last namei received a confirmation days later never received it i called and was told my order was cancell"&amp;"ed because credit card was not in my namethey never had the courtesy to contact me i will never order from this company")</f>
        <v>i have a rescue and wanted to give petflow a try because they had some great deals i placed an order in my name but used my husbands credit cardsame last namei received a confirmation days later never received it i called and was told my order was cancelled because credit card was not in my namethey never had the courtesy to contact me i will never order from this company</v>
      </c>
      <c r="H1515" s="4" t="str">
        <f t="shared" si="1"/>
        <v>i have a rescue wanted give petflow a try because they had some great deals i placed an order in my name but used my husbands credit cardsame last namei received a confirmation days later never received it i called was told my order was cancelled because credit card was not in my namethey never had courtesy contact me i will never order from this company</v>
      </c>
      <c r="I1515" s="6">
        <f t="shared" si="2"/>
        <v>66</v>
      </c>
      <c r="J1515" s="6">
        <f>IFERROR(__xludf.DUMMYFUNCTION("IF(H1515="""","""",
SUM(
ARRAYFORMULA(
IF(
REGEXMATCH(
"" ""&amp;H1515&amp;"" "",
"" ""&amp;Sentiment_Words!A$2:A3730&amp;"" ""
),
1,
0
)
)
)
)"),1.0)</f>
        <v>1</v>
      </c>
      <c r="K1515" s="4">
        <f>IFERROR(__xludf.DUMMYFUNCTION("IF(H1515="""","""",
SUM(
ARRAYFORMULA(
IF(
REGEXMATCH(
"" ""&amp;H1515&amp;"" "",
"" ""&amp;Sentiment_Words!B$2:B3730&amp;"" ""
),
1,
0
)
)
)
)"),1.0)</f>
        <v>1</v>
      </c>
      <c r="L1515" s="7" t="str">
        <f t="shared" si="3"/>
        <v>Fulfillment &amp; Shipping</v>
      </c>
      <c r="M1515" s="7" t="str">
        <f t="shared" si="4"/>
        <v>Neutral</v>
      </c>
      <c r="N1515" s="7" t="str">
        <f>IFERROR(__xludf.DUMMYFUNCTION("LOWER(
TRIM(
REGEXREPLACE(B1515,""[^a-zA-Z\s]"","""")
)
)
"),"tammie y")</f>
        <v>tammie y</v>
      </c>
      <c r="O1515" s="7">
        <f t="shared" si="5"/>
        <v>1</v>
      </c>
      <c r="P1515" s="8" t="str">
        <f t="shared" si="6"/>
        <v>No</v>
      </c>
    </row>
    <row r="1516">
      <c r="A1516" s="4" t="s">
        <v>16</v>
      </c>
      <c r="B1516" s="4" t="s">
        <v>4293</v>
      </c>
      <c r="C1516" s="9">
        <v>44809.0</v>
      </c>
      <c r="D1516" s="10">
        <v>44815.0</v>
      </c>
      <c r="E1516" s="4" t="s">
        <v>4294</v>
      </c>
      <c r="F1516" s="4" t="s">
        <v>4295</v>
      </c>
      <c r="G1516" s="6" t="str">
        <f>IFERROR(__xludf.DUMMYFUNCTION("REGEXREPLACE(LOWER(F1516),""[^a-z\s]"","""")"),"the crate arrived so quickly it was way to assemble looks great very pleased ")</f>
        <v>the crate arrived so quickly it was way to assemble looks great very pleased </v>
      </c>
      <c r="H1516" s="4" t="str">
        <f t="shared" si="1"/>
        <v>crate arrived so quickly it was way assemble looks great very pleased</v>
      </c>
      <c r="I1516" s="6">
        <f t="shared" si="2"/>
        <v>12</v>
      </c>
      <c r="J1516" s="6">
        <f>IFERROR(__xludf.DUMMYFUNCTION("IF(H1516="""","""",
SUM(
ARRAYFORMULA(
IF(
REGEXMATCH(
"" ""&amp;H1516&amp;"" "",
"" ""&amp;Sentiment_Words!A$2:A3730&amp;"" ""
),
1,
0
)
)
)
)"),1.0)</f>
        <v>1</v>
      </c>
      <c r="K1516" s="4">
        <f>IFERROR(__xludf.DUMMYFUNCTION("IF(H1516="""","""",
SUM(
ARRAYFORMULA(
IF(
REGEXMATCH(
"" ""&amp;H1516&amp;"" "",
"" ""&amp;Sentiment_Words!B$2:B3730&amp;"" ""
),
1,
0
)
)
)
)"),0.0)</f>
        <v>0</v>
      </c>
      <c r="L1516" s="7" t="str">
        <f t="shared" si="3"/>
        <v>Other</v>
      </c>
      <c r="M1516" s="7" t="str">
        <f t="shared" si="4"/>
        <v>Positive</v>
      </c>
      <c r="N1516" s="7" t="str">
        <f>IFERROR(__xludf.DUMMYFUNCTION("LOWER(
TRIM(
REGEXREPLACE(B1516,""[^a-zA-Z\s]"","""")
)
)
"),"beckley van cleave")</f>
        <v>beckley van cleave</v>
      </c>
      <c r="O1516" s="7">
        <f t="shared" si="5"/>
        <v>1</v>
      </c>
      <c r="P1516" s="8" t="str">
        <f t="shared" si="6"/>
        <v>No</v>
      </c>
    </row>
    <row r="1517">
      <c r="A1517" s="4" t="s">
        <v>16</v>
      </c>
      <c r="B1517" s="4" t="s">
        <v>4296</v>
      </c>
      <c r="C1517" s="5">
        <v>44803.0</v>
      </c>
      <c r="D1517" s="10">
        <v>44815.0</v>
      </c>
      <c r="E1517" s="4" t="s">
        <v>4297</v>
      </c>
      <c r="F1517" s="4" t="s">
        <v>4298</v>
      </c>
      <c r="G1517" s="6" t="str">
        <f>IFERROR(__xludf.DUMMYFUNCTION("REGEXREPLACE(LOWER(F1517),""[^a-z\s]"","""")"),"i placed an order on  and had not heard anything about it by  so i emailed the company and was told that their fraud protection team suggested that they not fulfill the order when i emailed back for an explanation i was told to call a number which i didnt"&amp;" do but i think i should have at least been notified to begin with that i wouldnt be getting my order and i wonder had i not emailed them first if i would have ever been notified about my order not being fulfilled")</f>
        <v>i placed an order on  and had not heard anything about it by  so i emailed the company and was told that their fraud protection team suggested that they not fulfill the order when i emailed back for an explanation i was told to call a number which i didnt do but i think i should have at least been notified to begin with that i wouldnt be getting my order and i wonder had i not emailed them first if i would have ever been notified about my order not being fulfilled</v>
      </c>
      <c r="H1517" s="4" t="str">
        <f t="shared" si="1"/>
        <v>i placed an order on had not heard anything about it by so i emailed company was told that their fraud protection team suggested that they not fulfill order when i emailed back an explanation i was told call a number which i didnt do but i think i should have at least been notified begin with that i wouldnt be getting my order i wonder had i not emailed them first if i would have ever been notified about my order not being fulfilled</v>
      </c>
      <c r="I1517" s="6">
        <f t="shared" si="2"/>
        <v>85</v>
      </c>
      <c r="J1517" s="6">
        <f>IFERROR(__xludf.DUMMYFUNCTION("IF(H1517="""","""",
SUM(
ARRAYFORMULA(
IF(
REGEXMATCH(
"" ""&amp;H1517&amp;"" "",
"" ""&amp;Sentiment_Words!A$2:A3730&amp;"" ""
),
1,
0
)
)
)
)"),0.0)</f>
        <v>0</v>
      </c>
      <c r="K1517" s="4">
        <f>IFERROR(__xludf.DUMMYFUNCTION("IF(H1517="""","""",
SUM(
ARRAYFORMULA(
IF(
REGEXMATCH(
"" ""&amp;H1517&amp;"" "",
"" ""&amp;Sentiment_Words!B$2:B3730&amp;"" ""
),
1,
0
)
)
)
)"),0.0)</f>
        <v>0</v>
      </c>
      <c r="L1517" s="7" t="str">
        <f t="shared" si="3"/>
        <v>Other</v>
      </c>
      <c r="M1517" s="7" t="str">
        <f t="shared" si="4"/>
        <v>Neutral</v>
      </c>
      <c r="N1517" s="7" t="str">
        <f>IFERROR(__xludf.DUMMYFUNCTION("LOWER(
TRIM(
REGEXREPLACE(B1517,""[^a-zA-Z\s]"","""")
)
)
"),"denise archer")</f>
        <v>denise archer</v>
      </c>
      <c r="O1517" s="7">
        <f t="shared" si="5"/>
        <v>1</v>
      </c>
      <c r="P1517" s="8" t="str">
        <f t="shared" si="6"/>
        <v>No</v>
      </c>
    </row>
    <row r="1518">
      <c r="A1518" s="4" t="s">
        <v>16</v>
      </c>
      <c r="B1518" s="4" t="s">
        <v>4299</v>
      </c>
      <c r="C1518" s="5">
        <v>44814.0</v>
      </c>
      <c r="D1518" s="10">
        <v>44815.0</v>
      </c>
      <c r="E1518" s="4" t="s">
        <v>4300</v>
      </c>
      <c r="F1518" s="4" t="s">
        <v>4301</v>
      </c>
      <c r="G1518" s="6" t="str">
        <f>IFERROR(__xludf.DUMMYFUNCTION("REGEXREPLACE(LOWER(F1518),""[^a-z\s]"","""")"),"dog food arrived in good condition dry food it was not broken up like some other places where i have ordered good service")</f>
        <v>dog food arrived in good condition dry food it was not broken up like some other places where i have ordered good service</v>
      </c>
      <c r="H1518" s="4" t="str">
        <f t="shared" si="1"/>
        <v>dog food arrived in good condition dry food it was not broken up like some other places where i have ordered good service</v>
      </c>
      <c r="I1518" s="6">
        <f t="shared" si="2"/>
        <v>23</v>
      </c>
      <c r="J1518" s="6">
        <f>IFERROR(__xludf.DUMMYFUNCTION("IF(H1518="""","""",
SUM(
ARRAYFORMULA(
IF(
REGEXMATCH(
"" ""&amp;H1518&amp;"" "",
"" ""&amp;Sentiment_Words!A$2:A3730&amp;"" ""
),
1,
0
)
)
)
)"),1.0)</f>
        <v>1</v>
      </c>
      <c r="K1518" s="4">
        <f>IFERROR(__xludf.DUMMYFUNCTION("IF(H1518="""","""",
SUM(
ARRAYFORMULA(
IF(
REGEXMATCH(
"" ""&amp;H1518&amp;"" "",
"" ""&amp;Sentiment_Words!B$2:B3730&amp;"" ""
),
1,
0
)
)
)
)"),0.0)</f>
        <v>0</v>
      </c>
      <c r="L1518" s="7" t="str">
        <f t="shared" si="3"/>
        <v>Customer Support</v>
      </c>
      <c r="M1518" s="7" t="str">
        <f t="shared" si="4"/>
        <v>Positive</v>
      </c>
      <c r="N1518" s="7" t="str">
        <f>IFERROR(__xludf.DUMMYFUNCTION("LOWER(
TRIM(
REGEXREPLACE(B1518,""[^a-zA-Z\s]"","""")
)
)
"),"larry bentley")</f>
        <v>larry bentley</v>
      </c>
      <c r="O1518" s="7">
        <f t="shared" si="5"/>
        <v>1</v>
      </c>
      <c r="P1518" s="8" t="str">
        <f t="shared" si="6"/>
        <v>No</v>
      </c>
    </row>
    <row r="1519">
      <c r="A1519" s="4" t="s">
        <v>16</v>
      </c>
      <c r="B1519" s="4" t="s">
        <v>4302</v>
      </c>
      <c r="C1519" s="9">
        <v>44808.0</v>
      </c>
      <c r="D1519" s="10">
        <v>44815.0</v>
      </c>
      <c r="E1519" s="4" t="s">
        <v>4303</v>
      </c>
      <c r="F1519" s="4" t="s">
        <v>4304</v>
      </c>
      <c r="G1519" s="6" t="str">
        <f>IFERROR(__xludf.DUMMYFUNCTION("REGEXREPLACE(LOWER(F1519),""[^a-z\s]"","""")"),"this site is legitimate i feed my dog chicken soup for the soul weight care for dogs after checking other places they definitely had the best price so glad i found them shipping was minimal but fast set it up for auto ship")</f>
        <v>this site is legitimate i feed my dog chicken soup for the soul weight care for dogs after checking other places they definitely had the best price so glad i found them shipping was minimal but fast set it up for auto ship</v>
      </c>
      <c r="H1519" s="4" t="str">
        <f t="shared" si="1"/>
        <v>this site legitimate i feed my dog chicken soup soul weight care dogs after checking other places they definitely had best price so glad i found them shipping was minimal but fast set it up auto ship</v>
      </c>
      <c r="I1519" s="6">
        <f t="shared" si="2"/>
        <v>37</v>
      </c>
      <c r="J1519" s="6">
        <f>IFERROR(__xludf.DUMMYFUNCTION("IF(H1519="""","""",
SUM(
ARRAYFORMULA(
IF(
REGEXMATCH(
"" ""&amp;H1519&amp;"" "",
"" ""&amp;Sentiment_Words!A$2:A3730&amp;"" ""
),
1,
0
)
)
)
)"),3.0)</f>
        <v>3</v>
      </c>
      <c r="K1519" s="4">
        <f>IFERROR(__xludf.DUMMYFUNCTION("IF(H1519="""","""",
SUM(
ARRAYFORMULA(
IF(
REGEXMATCH(
"" ""&amp;H1519&amp;"" "",
"" ""&amp;Sentiment_Words!B$2:B3730&amp;"" ""
),
1,
0
)
)
)
)"),0.0)</f>
        <v>0</v>
      </c>
      <c r="L1519" s="7" t="str">
        <f t="shared" si="3"/>
        <v>Other</v>
      </c>
      <c r="M1519" s="7" t="str">
        <f t="shared" si="4"/>
        <v>Positive</v>
      </c>
      <c r="N1519" s="7" t="str">
        <f>IFERROR(__xludf.DUMMYFUNCTION("LOWER(
TRIM(
REGEXREPLACE(B1519,""[^a-zA-Z\s]"","""")
)
)
"),"m quick")</f>
        <v>m quick</v>
      </c>
      <c r="O1519" s="7">
        <f t="shared" si="5"/>
        <v>1</v>
      </c>
      <c r="P1519" s="8" t="str">
        <f t="shared" si="6"/>
        <v>No</v>
      </c>
    </row>
    <row r="1520">
      <c r="A1520" s="4" t="s">
        <v>16</v>
      </c>
      <c r="B1520" s="4" t="s">
        <v>4305</v>
      </c>
      <c r="C1520" s="9">
        <v>44813.0</v>
      </c>
      <c r="D1520" s="10">
        <v>44815.0</v>
      </c>
      <c r="E1520" s="4" t="s">
        <v>4306</v>
      </c>
      <c r="F1520" s="4" t="s">
        <v>4307</v>
      </c>
      <c r="G1520" s="6" t="str">
        <f>IFERROR(__xludf.DUMMYFUNCTION("REGEXREPLACE(LOWER(F1520),""[^a-z\s]"","""")"),"good site good site good sitegood site")</f>
        <v>good site good site good sitegood site</v>
      </c>
      <c r="H1520" s="4" t="str">
        <f t="shared" si="1"/>
        <v>good site good site good sitegood site</v>
      </c>
      <c r="I1520" s="6">
        <f t="shared" si="2"/>
        <v>7</v>
      </c>
      <c r="J1520" s="6">
        <f>IFERROR(__xludf.DUMMYFUNCTION("IF(H1520="""","""",
SUM(
ARRAYFORMULA(
IF(
REGEXMATCH(
"" ""&amp;H1520&amp;"" "",
"" ""&amp;Sentiment_Words!A$2:A3730&amp;"" ""
),
1,
0
)
)
)
)"),1.0)</f>
        <v>1</v>
      </c>
      <c r="K1520" s="4">
        <f>IFERROR(__xludf.DUMMYFUNCTION("IF(H1520="""","""",
SUM(
ARRAYFORMULA(
IF(
REGEXMATCH(
"" ""&amp;H1520&amp;"" "",
"" ""&amp;Sentiment_Words!B$2:B3730&amp;"" ""
),
1,
0
)
)
)
)"),0.0)</f>
        <v>0</v>
      </c>
      <c r="L1520" s="7" t="str">
        <f t="shared" si="3"/>
        <v>Other</v>
      </c>
      <c r="M1520" s="7" t="str">
        <f t="shared" si="4"/>
        <v>Positive</v>
      </c>
      <c r="N1520" s="7" t="str">
        <f>IFERROR(__xludf.DUMMYFUNCTION("LOWER(
TRIM(
REGEXREPLACE(B1520,""[^a-zA-Z\s]"","""")
)
)
"),"ted")</f>
        <v>ted</v>
      </c>
      <c r="O1520" s="7">
        <f t="shared" si="5"/>
        <v>1</v>
      </c>
      <c r="P1520" s="8" t="str">
        <f t="shared" si="6"/>
        <v>No</v>
      </c>
    </row>
    <row r="1521">
      <c r="A1521" s="4" t="s">
        <v>16</v>
      </c>
      <c r="B1521" s="4" t="s">
        <v>4308</v>
      </c>
      <c r="C1521" s="5">
        <v>44814.0</v>
      </c>
      <c r="D1521" s="10">
        <v>44815.0</v>
      </c>
      <c r="E1521" s="4" t="s">
        <v>4309</v>
      </c>
      <c r="F1521" s="4" t="s">
        <v>4310</v>
      </c>
      <c r="G1521" s="6" t="str">
        <f>IFERROR(__xludf.DUMMYFUNCTION("REGEXREPLACE(LOWER(F1521),""[^a-z\s]"","""")"),"i ordered a prescription diet food for my pet on a saturday that monday i called into customer service and confirmed receipt of my pets prescription i expressed urgency to the rep that we were running low and needed this food asap  days later i received a"&amp;"n email canceling my order as it was now out of stock apparently there is a supply issue with this food but the communication from this company was horrific this food is my pets medicine almost a whole week went by before my order was cancelled better and"&amp;" more timely communication would have given me more options but because petflow failed in both these areas i had to drive almost  hours to locate it somewhere else")</f>
        <v>i ordered a prescription diet food for my pet on a saturday that monday i called into customer service and confirmed receipt of my pets prescription i expressed urgency to the rep that we were running low and needed this food asap  days later i received an email canceling my order as it was now out of stock apparently there is a supply issue with this food but the communication from this company was horrific this food is my pets medicine almost a whole week went by before my order was cancelled better and more timely communication would have given me more options but because petflow failed in both these areas i had to drive almost  hours to locate it somewhere else</v>
      </c>
      <c r="H1521" s="4" t="str">
        <f t="shared" si="1"/>
        <v>i ordered a prescription diet food my pet on a saturday that monday i called into customer service confirmed receipt of my pets prescription i expressed urgency rep that we were running low needed this food asap days later i received an email canceling my order as it was now out of stock apparently there a supply issue with this food but communication from this company was horrific this food my pets medicine almost a whole week went by before my order was cancelled better more timely communication would have given me more options but because petflow failed in both these areas i had drive almost hours locate it somewhere else</v>
      </c>
      <c r="I1521" s="6">
        <f t="shared" si="2"/>
        <v>111</v>
      </c>
      <c r="J1521" s="6">
        <f>IFERROR(__xludf.DUMMYFUNCTION("IF(H1521="""","""",
SUM(
ARRAYFORMULA(
IF(
REGEXMATCH(
"" ""&amp;H1521&amp;"" "",
"" ""&amp;Sentiment_Words!A$2:A3730&amp;"" ""
),
1,
0
)
)
)
)"),0.0)</f>
        <v>0</v>
      </c>
      <c r="K1521" s="4">
        <f>IFERROR(__xludf.DUMMYFUNCTION("IF(H1521="""","""",
SUM(
ARRAYFORMULA(
IF(
REGEXMATCH(
"" ""&amp;H1521&amp;"" "",
"" ""&amp;Sentiment_Words!B$2:B3730&amp;"" ""
),
1,
0
)
)
)
)"),4.0)</f>
        <v>4</v>
      </c>
      <c r="L1521" s="7" t="str">
        <f t="shared" si="3"/>
        <v>Customer Support</v>
      </c>
      <c r="M1521" s="7" t="str">
        <f t="shared" si="4"/>
        <v>Negative</v>
      </c>
      <c r="N1521" s="7" t="str">
        <f>IFERROR(__xludf.DUMMYFUNCTION("LOWER(
TRIM(
REGEXREPLACE(B1521,""[^a-zA-Z\s]"","""")
)
)
"),"vikki flaherty")</f>
        <v>vikki flaherty</v>
      </c>
      <c r="O1521" s="7">
        <f t="shared" si="5"/>
        <v>1</v>
      </c>
      <c r="P1521" s="8" t="str">
        <f t="shared" si="6"/>
        <v>No</v>
      </c>
    </row>
    <row r="1522">
      <c r="A1522" s="4" t="s">
        <v>16</v>
      </c>
      <c r="B1522" s="4" t="s">
        <v>4311</v>
      </c>
      <c r="C1522" s="5">
        <v>44803.0</v>
      </c>
      <c r="D1522" s="10">
        <v>44814.0</v>
      </c>
      <c r="E1522" s="4" t="s">
        <v>4312</v>
      </c>
      <c r="F1522" s="4" t="s">
        <v>4313</v>
      </c>
      <c r="G1522" s="6" t="str">
        <f>IFERROR(__xludf.DUMMYFUNCTION("REGEXREPLACE(LOWER(F1522),""[^a-z\s]"","""")"),"prescription wasnt approved and i didnt get any food")</f>
        <v>prescription wasnt approved and i didnt get any food</v>
      </c>
      <c r="H1522" s="4" t="str">
        <f t="shared" si="1"/>
        <v>prescription wasnt approved i didnt get any food</v>
      </c>
      <c r="I1522" s="6">
        <f t="shared" si="2"/>
        <v>8</v>
      </c>
      <c r="J1522" s="6">
        <f>IFERROR(__xludf.DUMMYFUNCTION("IF(H1522="""","""",
SUM(
ARRAYFORMULA(
IF(
REGEXMATCH(
"" ""&amp;H1522&amp;"" "",
"" ""&amp;Sentiment_Words!A$2:A3730&amp;"" ""
),
1,
0
)
)
)
)"),0.0)</f>
        <v>0</v>
      </c>
      <c r="K1522" s="4">
        <f>IFERROR(__xludf.DUMMYFUNCTION("IF(H1522="""","""",
SUM(
ARRAYFORMULA(
IF(
REGEXMATCH(
"" ""&amp;H1522&amp;"" "",
"" ""&amp;Sentiment_Words!B$2:B3730&amp;"" ""
),
1,
0
)
)
)
)"),0.0)</f>
        <v>0</v>
      </c>
      <c r="L1522" s="7" t="str">
        <f t="shared" si="3"/>
        <v>Other</v>
      </c>
      <c r="M1522" s="7" t="str">
        <f t="shared" si="4"/>
        <v>Neutral</v>
      </c>
      <c r="N1522" s="7" t="str">
        <f>IFERROR(__xludf.DUMMYFUNCTION("LOWER(
TRIM(
REGEXREPLACE(B1522,""[^a-zA-Z\s]"","""")
)
)
"),"dawn schaffer")</f>
        <v>dawn schaffer</v>
      </c>
      <c r="O1522" s="7">
        <f t="shared" si="5"/>
        <v>1</v>
      </c>
      <c r="P1522" s="8" t="str">
        <f t="shared" si="6"/>
        <v>No</v>
      </c>
    </row>
    <row r="1523">
      <c r="A1523" s="4" t="s">
        <v>16</v>
      </c>
      <c r="B1523" s="4" t="s">
        <v>4314</v>
      </c>
      <c r="C1523" s="9">
        <v>44811.0</v>
      </c>
      <c r="D1523" s="10">
        <v>44814.0</v>
      </c>
      <c r="E1523" s="4" t="s">
        <v>4315</v>
      </c>
      <c r="F1523" s="4" t="s">
        <v>4316</v>
      </c>
      <c r="G1523" s="6" t="str">
        <f>IFERROR(__xludf.DUMMYFUNCTION("REGEXREPLACE(LOWER(F1523),""[^a-z\s]"","""")"),"fast very secure service easy and safe method of purchase and excellent products affordable pricing")</f>
        <v>fast very secure service easy and safe method of purchase and excellent products affordable pricing</v>
      </c>
      <c r="H1523" s="4" t="str">
        <f t="shared" si="1"/>
        <v>fast very secure service easy safe method of purchase excellent products affordable pricing</v>
      </c>
      <c r="I1523" s="6">
        <f t="shared" si="2"/>
        <v>13</v>
      </c>
      <c r="J1523" s="6">
        <f>IFERROR(__xludf.DUMMYFUNCTION("IF(H1523="""","""",
SUM(
ARRAYFORMULA(
IF(
REGEXMATCH(
"" ""&amp;H1523&amp;"" "",
"" ""&amp;Sentiment_Words!A$2:A3730&amp;"" ""
),
1,
0
)
)
)
)"),3.0)</f>
        <v>3</v>
      </c>
      <c r="K1523" s="4">
        <f>IFERROR(__xludf.DUMMYFUNCTION("IF(H1523="""","""",
SUM(
ARRAYFORMULA(
IF(
REGEXMATCH(
"" ""&amp;H1523&amp;"" "",
"" ""&amp;Sentiment_Words!B$2:B3730&amp;"" ""
),
1,
0
)
)
)
)"),0.0)</f>
        <v>0</v>
      </c>
      <c r="L1523" s="7" t="str">
        <f t="shared" si="3"/>
        <v>Customer Support</v>
      </c>
      <c r="M1523" s="7" t="str">
        <f t="shared" si="4"/>
        <v>Positive</v>
      </c>
      <c r="N1523" s="7" t="str">
        <f>IFERROR(__xludf.DUMMYFUNCTION("LOWER(
TRIM(
REGEXREPLACE(B1523,""[^a-zA-Z\s]"","""")
)
)
"),"sheffield larry")</f>
        <v>sheffield larry</v>
      </c>
      <c r="O1523" s="7">
        <f t="shared" si="5"/>
        <v>1</v>
      </c>
      <c r="P1523" s="8" t="str">
        <f t="shared" si="6"/>
        <v>No</v>
      </c>
    </row>
    <row r="1524">
      <c r="A1524" s="4" t="s">
        <v>16</v>
      </c>
      <c r="B1524" s="4" t="s">
        <v>4317</v>
      </c>
      <c r="C1524" s="9">
        <v>44806.0</v>
      </c>
      <c r="D1524" s="10">
        <v>44814.0</v>
      </c>
      <c r="E1524" s="4" t="s">
        <v>4318</v>
      </c>
      <c r="F1524" s="4" t="s">
        <v>331</v>
      </c>
      <c r="G1524" s="6" t="str">
        <f>IFERROR(__xludf.DUMMYFUNCTION("REGEXREPLACE(LOWER(F1524),""[^a-z\s]"","""")"),"none")</f>
        <v>none</v>
      </c>
      <c r="H1524" s="4" t="str">
        <f t="shared" si="1"/>
        <v>none</v>
      </c>
      <c r="I1524" s="6">
        <f t="shared" si="2"/>
        <v>1</v>
      </c>
      <c r="J1524" s="6">
        <f>IFERROR(__xludf.DUMMYFUNCTION("IF(H1524="""","""",
SUM(
ARRAYFORMULA(
IF(
REGEXMATCH(
"" ""&amp;H1524&amp;"" "",
"" ""&amp;Sentiment_Words!A$2:A3730&amp;"" ""
),
1,
0
)
)
)
)"),0.0)</f>
        <v>0</v>
      </c>
      <c r="K1524" s="4">
        <f>IFERROR(__xludf.DUMMYFUNCTION("IF(H1524="""","""",
SUM(
ARRAYFORMULA(
IF(
REGEXMATCH(
"" ""&amp;H1524&amp;"" "",
"" ""&amp;Sentiment_Words!B$2:B3730&amp;"" ""
),
1,
0
)
)
)
)"),0.0)</f>
        <v>0</v>
      </c>
      <c r="L1524" s="7" t="str">
        <f t="shared" si="3"/>
        <v>Other</v>
      </c>
      <c r="M1524" s="7" t="str">
        <f t="shared" si="4"/>
        <v>Neutral</v>
      </c>
      <c r="N1524" s="7" t="str">
        <f>IFERROR(__xludf.DUMMYFUNCTION("LOWER(
TRIM(
REGEXREPLACE(B1524,""[^a-zA-Z\s]"","""")
)
)
"),"dennis hoffbuhr")</f>
        <v>dennis hoffbuhr</v>
      </c>
      <c r="O1524" s="7">
        <f t="shared" si="5"/>
        <v>1</v>
      </c>
      <c r="P1524" s="8" t="str">
        <f t="shared" si="6"/>
        <v>No</v>
      </c>
    </row>
    <row r="1525">
      <c r="A1525" s="4" t="s">
        <v>16</v>
      </c>
      <c r="B1525" s="4" t="s">
        <v>4319</v>
      </c>
      <c r="C1525" s="9">
        <v>44806.0</v>
      </c>
      <c r="D1525" s="10">
        <v>44813.0</v>
      </c>
      <c r="E1525" s="4" t="s">
        <v>4320</v>
      </c>
      <c r="F1525" s="4" t="s">
        <v>331</v>
      </c>
      <c r="G1525" s="6" t="str">
        <f>IFERROR(__xludf.DUMMYFUNCTION("REGEXREPLACE(LOWER(F1525),""[^a-z\s]"","""")"),"none")</f>
        <v>none</v>
      </c>
      <c r="H1525" s="4" t="str">
        <f t="shared" si="1"/>
        <v>none</v>
      </c>
      <c r="I1525" s="6">
        <f t="shared" si="2"/>
        <v>1</v>
      </c>
      <c r="J1525" s="6">
        <f>IFERROR(__xludf.DUMMYFUNCTION("IF(H1525="""","""",
SUM(
ARRAYFORMULA(
IF(
REGEXMATCH(
"" ""&amp;H1525&amp;"" "",
"" ""&amp;Sentiment_Words!A$2:A3730&amp;"" ""
),
1,
0
)
)
)
)"),0.0)</f>
        <v>0</v>
      </c>
      <c r="K1525" s="4">
        <f>IFERROR(__xludf.DUMMYFUNCTION("IF(H1525="""","""",
SUM(
ARRAYFORMULA(
IF(
REGEXMATCH(
"" ""&amp;H1525&amp;"" "",
"" ""&amp;Sentiment_Words!B$2:B3730&amp;"" ""
),
1,
0
)
)
)
)"),0.0)</f>
        <v>0</v>
      </c>
      <c r="L1525" s="7" t="str">
        <f t="shared" si="3"/>
        <v>Other</v>
      </c>
      <c r="M1525" s="7" t="str">
        <f t="shared" si="4"/>
        <v>Neutral</v>
      </c>
      <c r="N1525" s="7" t="str">
        <f>IFERROR(__xludf.DUMMYFUNCTION("LOWER(
TRIM(
REGEXREPLACE(B1525,""[^a-zA-Z\s]"","""")
)
)
"),"elyse d")</f>
        <v>elyse d</v>
      </c>
      <c r="O1525" s="7">
        <f t="shared" si="5"/>
        <v>1</v>
      </c>
      <c r="P1525" s="8" t="str">
        <f t="shared" si="6"/>
        <v>No</v>
      </c>
    </row>
    <row r="1526">
      <c r="A1526" s="4" t="s">
        <v>16</v>
      </c>
      <c r="B1526" s="4" t="s">
        <v>4321</v>
      </c>
      <c r="C1526" s="5">
        <v>44797.0</v>
      </c>
      <c r="D1526" s="10">
        <v>44813.0</v>
      </c>
      <c r="E1526" s="4" t="s">
        <v>4322</v>
      </c>
      <c r="F1526" s="4" t="s">
        <v>331</v>
      </c>
      <c r="G1526" s="6" t="str">
        <f>IFERROR(__xludf.DUMMYFUNCTION("REGEXREPLACE(LOWER(F1526),""[^a-z\s]"","""")"),"none")</f>
        <v>none</v>
      </c>
      <c r="H1526" s="4" t="str">
        <f t="shared" si="1"/>
        <v>none</v>
      </c>
      <c r="I1526" s="6">
        <f t="shared" si="2"/>
        <v>1</v>
      </c>
      <c r="J1526" s="6">
        <f>IFERROR(__xludf.DUMMYFUNCTION("IF(H1526="""","""",
SUM(
ARRAYFORMULA(
IF(
REGEXMATCH(
"" ""&amp;H1526&amp;"" "",
"" ""&amp;Sentiment_Words!A$2:A3730&amp;"" ""
),
1,
0
)
)
)
)"),0.0)</f>
        <v>0</v>
      </c>
      <c r="K1526" s="4">
        <f>IFERROR(__xludf.DUMMYFUNCTION("IF(H1526="""","""",
SUM(
ARRAYFORMULA(
IF(
REGEXMATCH(
"" ""&amp;H1526&amp;"" "",
"" ""&amp;Sentiment_Words!B$2:B3730&amp;"" ""
),
1,
0
)
)
)
)"),0.0)</f>
        <v>0</v>
      </c>
      <c r="L1526" s="7" t="str">
        <f t="shared" si="3"/>
        <v>Other</v>
      </c>
      <c r="M1526" s="7" t="str">
        <f t="shared" si="4"/>
        <v>Neutral</v>
      </c>
      <c r="N1526" s="7" t="str">
        <f>IFERROR(__xludf.DUMMYFUNCTION("LOWER(
TRIM(
REGEXREPLACE(B1526,""[^a-zA-Z\s]"","""")
)
)
"),"kay")</f>
        <v>kay</v>
      </c>
      <c r="O1526" s="7">
        <f t="shared" si="5"/>
        <v>1</v>
      </c>
      <c r="P1526" s="8" t="str">
        <f t="shared" si="6"/>
        <v>No</v>
      </c>
    </row>
    <row r="1527">
      <c r="A1527" s="4" t="s">
        <v>16</v>
      </c>
      <c r="B1527" s="4" t="s">
        <v>4323</v>
      </c>
      <c r="C1527" s="5">
        <v>44800.0</v>
      </c>
      <c r="D1527" s="10">
        <v>44813.0</v>
      </c>
      <c r="E1527" s="4" t="s">
        <v>4324</v>
      </c>
      <c r="F1527" s="4" t="s">
        <v>331</v>
      </c>
      <c r="G1527" s="6" t="str">
        <f>IFERROR(__xludf.DUMMYFUNCTION("REGEXREPLACE(LOWER(F1527),""[^a-z\s]"","""")"),"none")</f>
        <v>none</v>
      </c>
      <c r="H1527" s="4" t="str">
        <f t="shared" si="1"/>
        <v>none</v>
      </c>
      <c r="I1527" s="6">
        <f t="shared" si="2"/>
        <v>1</v>
      </c>
      <c r="J1527" s="6">
        <f>IFERROR(__xludf.DUMMYFUNCTION("IF(H1527="""","""",
SUM(
ARRAYFORMULA(
IF(
REGEXMATCH(
"" ""&amp;H1527&amp;"" "",
"" ""&amp;Sentiment_Words!A$2:A3730&amp;"" ""
),
1,
0
)
)
)
)"),0.0)</f>
        <v>0</v>
      </c>
      <c r="K1527" s="4">
        <f>IFERROR(__xludf.DUMMYFUNCTION("IF(H1527="""","""",
SUM(
ARRAYFORMULA(
IF(
REGEXMATCH(
"" ""&amp;H1527&amp;"" "",
"" ""&amp;Sentiment_Words!B$2:B3730&amp;"" ""
),
1,
0
)
)
)
)"),0.0)</f>
        <v>0</v>
      </c>
      <c r="L1527" s="7" t="str">
        <f t="shared" si="3"/>
        <v>Other</v>
      </c>
      <c r="M1527" s="7" t="str">
        <f t="shared" si="4"/>
        <v>Neutral</v>
      </c>
      <c r="N1527" s="7" t="str">
        <f>IFERROR(__xludf.DUMMYFUNCTION("LOWER(
TRIM(
REGEXREPLACE(B1527,""[^a-zA-Z\s]"","""")
)
)
"),"bob kobashigawa")</f>
        <v>bob kobashigawa</v>
      </c>
      <c r="O1527" s="7">
        <f t="shared" si="5"/>
        <v>1</v>
      </c>
      <c r="P1527" s="8" t="str">
        <f t="shared" si="6"/>
        <v>No</v>
      </c>
    </row>
    <row r="1528">
      <c r="A1528" s="4" t="s">
        <v>16</v>
      </c>
      <c r="B1528" s="4" t="s">
        <v>4325</v>
      </c>
      <c r="C1528" s="9">
        <v>44812.0</v>
      </c>
      <c r="D1528" s="10">
        <v>44813.0</v>
      </c>
      <c r="E1528" s="4" t="s">
        <v>4326</v>
      </c>
      <c r="F1528" s="4" t="s">
        <v>4327</v>
      </c>
      <c r="G1528" s="6" t="str">
        <f>IFERROR(__xludf.DUMMYFUNCTION("REGEXREPLACE(LOWER(F1528),""[^a-z\s]"","""")"),"nothing but good to say about petflow they have what i want the prices are fair the delivery is fast")</f>
        <v>nothing but good to say about petflow they have what i want the prices are fair the delivery is fast</v>
      </c>
      <c r="H1528" s="4" t="str">
        <f t="shared" si="1"/>
        <v>nothing but good say about petflow they have what i want prices are fair delivery fast</v>
      </c>
      <c r="I1528" s="6">
        <f t="shared" si="2"/>
        <v>16</v>
      </c>
      <c r="J1528" s="6">
        <f>IFERROR(__xludf.DUMMYFUNCTION("IF(H1528="""","""",
SUM(
ARRAYFORMULA(
IF(
REGEXMATCH(
"" ""&amp;H1528&amp;"" "",
"" ""&amp;Sentiment_Words!A$2:A3730&amp;"" ""
),
1,
0
)
)
)
)"),2.0)</f>
        <v>2</v>
      </c>
      <c r="K1528" s="4">
        <f>IFERROR(__xludf.DUMMYFUNCTION("IF(H1528="""","""",
SUM(
ARRAYFORMULA(
IF(
REGEXMATCH(
"" ""&amp;H1528&amp;"" "",
"" ""&amp;Sentiment_Words!B$2:B3730&amp;"" ""
),
1,
0
)
)
)
)"),0.0)</f>
        <v>0</v>
      </c>
      <c r="L1528" s="7" t="str">
        <f t="shared" si="3"/>
        <v>Other</v>
      </c>
      <c r="M1528" s="7" t="str">
        <f t="shared" si="4"/>
        <v>Positive</v>
      </c>
      <c r="N1528" s="7" t="str">
        <f>IFERROR(__xludf.DUMMYFUNCTION("LOWER(
TRIM(
REGEXREPLACE(B1528,""[^a-zA-Z\s]"","""")
)
)
"),"loui marra")</f>
        <v>loui marra</v>
      </c>
      <c r="O1528" s="7">
        <f t="shared" si="5"/>
        <v>1</v>
      </c>
      <c r="P1528" s="8" t="str">
        <f t="shared" si="6"/>
        <v>No</v>
      </c>
    </row>
    <row r="1529">
      <c r="A1529" s="4" t="s">
        <v>16</v>
      </c>
      <c r="B1529" s="4" t="s">
        <v>4328</v>
      </c>
      <c r="C1529" s="9">
        <v>44812.0</v>
      </c>
      <c r="D1529" s="10">
        <v>44813.0</v>
      </c>
      <c r="E1529" s="4" t="s">
        <v>4329</v>
      </c>
      <c r="F1529" s="4" t="s">
        <v>4330</v>
      </c>
      <c r="G1529" s="6" t="str">
        <f>IFERROR(__xludf.DUMMYFUNCTION("REGEXREPLACE(LOWER(F1529),""[^a-z\s]"","""")"),"excellent customer service i ordered etta says premium elk treats  count one arrived not  just the one i called the rep on the phone was more than polite and sent out an order for the missing  chews again the box arrived with one chew not  i called a seco"&amp;"nd time and again the rep was very kind and apologetic she sent out an order for the now  missing chews today they arrived i know this must have been a wear house glitch because the others i ordered in packs of  arrived with the first delivery in the corr"&amp;"ect amounts thanks to the pet flow rep for her attempts and eventual success at getting the order corrected ")</f>
        <v>excellent customer service i ordered etta says premium elk treats  count one arrived not  just the one i called the rep on the phone was more than polite and sent out an order for the missing  chews again the box arrived with one chew not  i called a second time and again the rep was very kind and apologetic she sent out an order for the now  missing chews today they arrived i know this must have been a wear house glitch because the others i ordered in packs of  arrived with the first delivery in the correct amounts thanks to the pet flow rep for her attempts and eventual success at getting the order corrected </v>
      </c>
      <c r="H1529" s="4" t="str">
        <f t="shared" si="1"/>
        <v>excellent customer service i ordered etta says premium elk treats count one arrived not just one i called rep on phone was more than polite sent out an order missing chews again box arrived with one chew not i called a second time again rep was very kind apologetic she sent out an order now missing chews today they arrived i know this must have been a wear house glitch because others i ordered in packs of arrived with first delivery in correct amounts thanks pet flow rep her attempts eventual success at getting order corrected</v>
      </c>
      <c r="I1529" s="6">
        <f t="shared" si="2"/>
        <v>96</v>
      </c>
      <c r="J1529" s="6">
        <f>IFERROR(__xludf.DUMMYFUNCTION("IF(H1529="""","""",
SUM(
ARRAYFORMULA(
IF(
REGEXMATCH(
"" ""&amp;H1529&amp;"" "",
"" ""&amp;Sentiment_Words!A$2:A3730&amp;"" ""
),
1,
0
)
)
)
)"),0.0)</f>
        <v>0</v>
      </c>
      <c r="K1529" s="4">
        <f>IFERROR(__xludf.DUMMYFUNCTION("IF(H1529="""","""",
SUM(
ARRAYFORMULA(
IF(
REGEXMATCH(
"" ""&amp;H1529&amp;"" "",
"" ""&amp;Sentiment_Words!B$2:B3730&amp;"" ""
),
1,
0
)
)
)
)"),3.0)</f>
        <v>3</v>
      </c>
      <c r="L1529" s="7" t="str">
        <f t="shared" si="3"/>
        <v>Customer Support</v>
      </c>
      <c r="M1529" s="7" t="str">
        <f t="shared" si="4"/>
        <v>Negative</v>
      </c>
      <c r="N1529" s="7" t="str">
        <f>IFERROR(__xludf.DUMMYFUNCTION("LOWER(
TRIM(
REGEXREPLACE(B1529,""[^a-zA-Z\s]"","""")
)
)
"),"chris cassner")</f>
        <v>chris cassner</v>
      </c>
      <c r="O1529" s="7">
        <f t="shared" si="5"/>
        <v>1</v>
      </c>
      <c r="P1529" s="8" t="str">
        <f t="shared" si="6"/>
        <v>No</v>
      </c>
    </row>
    <row r="1530">
      <c r="A1530" s="4" t="s">
        <v>16</v>
      </c>
      <c r="B1530" s="4" t="s">
        <v>4331</v>
      </c>
      <c r="C1530" s="9">
        <v>44811.0</v>
      </c>
      <c r="D1530" s="10">
        <v>44812.0</v>
      </c>
      <c r="E1530" s="4" t="s">
        <v>4332</v>
      </c>
      <c r="F1530" s="4" t="s">
        <v>4333</v>
      </c>
      <c r="G1530" s="6" t="str">
        <f>IFERROR(__xludf.DUMMYFUNCTION("REGEXREPLACE(LOWER(F1530),""[^a-z\s]"","""")"),"awesome to do business with received product on time")</f>
        <v>awesome to do business with received product on time</v>
      </c>
      <c r="H1530" s="4" t="str">
        <f t="shared" si="1"/>
        <v>awesome do business with received product on time</v>
      </c>
      <c r="I1530" s="6">
        <f t="shared" si="2"/>
        <v>8</v>
      </c>
      <c r="J1530" s="6">
        <f>IFERROR(__xludf.DUMMYFUNCTION("IF(H1530="""","""",
SUM(
ARRAYFORMULA(
IF(
REGEXMATCH(
"" ""&amp;H1530&amp;"" "",
"" ""&amp;Sentiment_Words!A$2:A3730&amp;"" ""
),
1,
0
)
)
)
)"),1.0)</f>
        <v>1</v>
      </c>
      <c r="K1530" s="4">
        <f>IFERROR(__xludf.DUMMYFUNCTION("IF(H1530="""","""",
SUM(
ARRAYFORMULA(
IF(
REGEXMATCH(
"" ""&amp;H1530&amp;"" "",
"" ""&amp;Sentiment_Words!B$2:B3730&amp;"" ""
),
1,
0
)
)
)
)"),0.0)</f>
        <v>0</v>
      </c>
      <c r="L1530" s="7" t="str">
        <f t="shared" si="3"/>
        <v>Other</v>
      </c>
      <c r="M1530" s="7" t="str">
        <f t="shared" si="4"/>
        <v>Positive</v>
      </c>
      <c r="N1530" s="7" t="str">
        <f>IFERROR(__xludf.DUMMYFUNCTION("LOWER(
TRIM(
REGEXREPLACE(B1530,""[^a-zA-Z\s]"","""")
)
)
"),"belinda harlow")</f>
        <v>belinda harlow</v>
      </c>
      <c r="O1530" s="7">
        <f t="shared" si="5"/>
        <v>1</v>
      </c>
      <c r="P1530" s="8" t="str">
        <f t="shared" si="6"/>
        <v>No</v>
      </c>
    </row>
    <row r="1531">
      <c r="A1531" s="4" t="s">
        <v>16</v>
      </c>
      <c r="B1531" s="4" t="s">
        <v>4334</v>
      </c>
      <c r="C1531" s="9">
        <v>44805.0</v>
      </c>
      <c r="D1531" s="10">
        <v>44812.0</v>
      </c>
      <c r="E1531" s="4" t="s">
        <v>4335</v>
      </c>
      <c r="F1531" s="4" t="s">
        <v>4336</v>
      </c>
      <c r="G1531" s="6" t="str">
        <f>IFERROR(__xludf.DUMMYFUNCTION("REGEXREPLACE(LOWER(F1531),""[^a-z\s]"","""")"),"very happy that i found this site for my aging dog who needed prescribed treats that he was on most of his life they contacted my vet for approval and i did not have to wait too long before i got my package")</f>
        <v>very happy that i found this site for my aging dog who needed prescribed treats that he was on most of his life they contacted my vet for approval and i did not have to wait too long before i got my package</v>
      </c>
      <c r="H1531" s="4" t="str">
        <f t="shared" si="1"/>
        <v>very happy that i found this site my aging dog who needed prescribed treats that he was on most of his life they contacted my vet approval i did not have wait too long before i got my package</v>
      </c>
      <c r="I1531" s="6">
        <f t="shared" si="2"/>
        <v>39</v>
      </c>
      <c r="J1531" s="6">
        <f>IFERROR(__xludf.DUMMYFUNCTION("IF(H1531="""","""",
SUM(
ARRAYFORMULA(
IF(
REGEXMATCH(
"" ""&amp;H1531&amp;"" "",
"" ""&amp;Sentiment_Words!A$2:A3730&amp;"" ""
),
1,
0
)
)
)
)"),2.0)</f>
        <v>2</v>
      </c>
      <c r="K1531" s="4">
        <f>IFERROR(__xludf.DUMMYFUNCTION("IF(H1531="""","""",
SUM(
ARRAYFORMULA(
IF(
REGEXMATCH(
"" ""&amp;H1531&amp;"" "",
"" ""&amp;Sentiment_Words!B$2:B3730&amp;"" ""
),
1,
0
)
)
)
)"),0.0)</f>
        <v>0</v>
      </c>
      <c r="L1531" s="7" t="str">
        <f t="shared" si="3"/>
        <v>Other</v>
      </c>
      <c r="M1531" s="7" t="str">
        <f t="shared" si="4"/>
        <v>Positive</v>
      </c>
      <c r="N1531" s="7" t="str">
        <f>IFERROR(__xludf.DUMMYFUNCTION("LOWER(
TRIM(
REGEXREPLACE(B1531,""[^a-zA-Z\s]"","""")
)
)
"),"mia lavergne")</f>
        <v>mia lavergne</v>
      </c>
      <c r="O1531" s="7">
        <f t="shared" si="5"/>
        <v>1</v>
      </c>
      <c r="P1531" s="8" t="str">
        <f t="shared" si="6"/>
        <v>No</v>
      </c>
    </row>
    <row r="1532">
      <c r="A1532" s="4" t="s">
        <v>16</v>
      </c>
      <c r="B1532" s="4" t="s">
        <v>4337</v>
      </c>
      <c r="C1532" s="9">
        <v>44809.0</v>
      </c>
      <c r="D1532" s="10">
        <v>44812.0</v>
      </c>
      <c r="E1532" s="4" t="s">
        <v>4338</v>
      </c>
      <c r="F1532" s="4" t="s">
        <v>4339</v>
      </c>
      <c r="G1532" s="6" t="str">
        <f>IFERROR(__xludf.DUMMYFUNCTION("REGEXREPLACE(LOWER(F1532),""[^a-z\s]"","""")"),"i had a wonderful experience with petflow my cat max is on a special hills prescription diet for urinary issues it is very difficult to find cd cat food where i live i found petflow online and ordered chicken stew tuna and ocean fish i uploaded the prescr"&amp;"iption from my vet and food was ordered except tuna unavailable the staff is very knowledgeable and helpful will continue with petflow")</f>
        <v>i had a wonderful experience with petflow my cat max is on a special hills prescription diet for urinary issues it is very difficult to find cd cat food where i live i found petflow online and ordered chicken stew tuna and ocean fish i uploaded the prescription from my vet and food was ordered except tuna unavailable the staff is very knowledgeable and helpful will continue with petflow</v>
      </c>
      <c r="H1532" s="4" t="str">
        <f t="shared" si="1"/>
        <v>i had a wonderful experience with petflow my cat max on a special hills prescription diet urinary issues it very difficult find cd cat food where i live i found petflow online ordered chicken stew tuna ocean fish i uploaded prescription from my vet food was ordered except tuna unavailable staff very knowledgeable helpful will continue with petflow</v>
      </c>
      <c r="I1532" s="6">
        <f t="shared" si="2"/>
        <v>58</v>
      </c>
      <c r="J1532" s="6">
        <f>IFERROR(__xludf.DUMMYFUNCTION("IF(H1532="""","""",
SUM(
ARRAYFORMULA(
IF(
REGEXMATCH(
"" ""&amp;H1532&amp;"" "",
"" ""&amp;Sentiment_Words!A$2:A3730&amp;"" ""
),
1,
0
)
)
)
)"),3.0)</f>
        <v>3</v>
      </c>
      <c r="K1532" s="4">
        <f>IFERROR(__xludf.DUMMYFUNCTION("IF(H1532="""","""",
SUM(
ARRAYFORMULA(
IF(
REGEXMATCH(
"" ""&amp;H1532&amp;"" "",
"" ""&amp;Sentiment_Words!B$2:B3730&amp;"" ""
),
1,
0
)
)
)
)"),1.0)</f>
        <v>1</v>
      </c>
      <c r="L1532" s="7" t="str">
        <f t="shared" si="3"/>
        <v>Availability</v>
      </c>
      <c r="M1532" s="7" t="str">
        <f t="shared" si="4"/>
        <v>Positive</v>
      </c>
      <c r="N1532" s="7" t="str">
        <f>IFERROR(__xludf.DUMMYFUNCTION("LOWER(
TRIM(
REGEXREPLACE(B1532,""[^a-zA-Z\s]"","""")
)
)
"),"agnes")</f>
        <v>agnes</v>
      </c>
      <c r="O1532" s="7">
        <f t="shared" si="5"/>
        <v>1</v>
      </c>
      <c r="P1532" s="8" t="str">
        <f t="shared" si="6"/>
        <v>No</v>
      </c>
    </row>
    <row r="1533">
      <c r="A1533" s="4" t="s">
        <v>16</v>
      </c>
      <c r="B1533" s="4" t="s">
        <v>4340</v>
      </c>
      <c r="C1533" s="5">
        <v>44798.0</v>
      </c>
      <c r="D1533" s="10">
        <v>44812.0</v>
      </c>
      <c r="E1533" s="4" t="s">
        <v>4341</v>
      </c>
      <c r="F1533" s="4" t="s">
        <v>4342</v>
      </c>
      <c r="G1533" s="6" t="str">
        <f>IFERROR(__xludf.DUMMYFUNCTION("REGEXREPLACE(LOWER(F1533),""[^a-z\s]"","""")"),"the ordering process was easy however within one day i received an email saying my item had shipped but after  days with no tracking number i called and was told the item was out of stock shortly after that call i received an email saying the item was out"&amp;" of stock not good customer service")</f>
        <v>the ordering process was easy however within one day i received an email saying my item had shipped but after  days with no tracking number i called and was told the item was out of stock shortly after that call i received an email saying the item was out of stock not good customer service</v>
      </c>
      <c r="H1533" s="4" t="str">
        <f t="shared" si="1"/>
        <v>ordering process was easy however within one day i received an email saying my item had shipped but after days with no tracking number i called was told item was out of stock shortly after that call i received an email saying item was out of stock not good customer service</v>
      </c>
      <c r="I1533" s="6">
        <f t="shared" si="2"/>
        <v>51</v>
      </c>
      <c r="J1533" s="6">
        <f>IFERROR(__xludf.DUMMYFUNCTION("IF(H1533="""","""",
SUM(
ARRAYFORMULA(
IF(
REGEXMATCH(
"" ""&amp;H1533&amp;"" "",
"" ""&amp;Sentiment_Words!A$2:A3730&amp;"" ""
),
1,
0
)
)
)
)"),2.0)</f>
        <v>2</v>
      </c>
      <c r="K1533" s="4">
        <f>IFERROR(__xludf.DUMMYFUNCTION("IF(H1533="""","""",
SUM(
ARRAYFORMULA(
IF(
REGEXMATCH(
"" ""&amp;H1533&amp;"" "",
"" ""&amp;Sentiment_Words!B$2:B3730&amp;"" ""
),
1,
0
)
)
)
)"),2.0)</f>
        <v>2</v>
      </c>
      <c r="L1533" s="7" t="str">
        <f t="shared" si="3"/>
        <v>Customer Support</v>
      </c>
      <c r="M1533" s="7" t="str">
        <f t="shared" si="4"/>
        <v>Neutral</v>
      </c>
      <c r="N1533" s="7" t="str">
        <f>IFERROR(__xludf.DUMMYFUNCTION("LOWER(
TRIM(
REGEXREPLACE(B1533,""[^a-zA-Z\s]"","""")
)
)
"),"nancy")</f>
        <v>nancy</v>
      </c>
      <c r="O1533" s="7">
        <f t="shared" si="5"/>
        <v>7</v>
      </c>
      <c r="P1533" s="8" t="str">
        <f t="shared" si="6"/>
        <v>Yes</v>
      </c>
    </row>
    <row r="1534">
      <c r="A1534" s="4" t="s">
        <v>16</v>
      </c>
      <c r="B1534" s="4" t="s">
        <v>4343</v>
      </c>
      <c r="C1534" s="9">
        <v>44812.0</v>
      </c>
      <c r="D1534" s="10">
        <v>44812.0</v>
      </c>
      <c r="E1534" s="4" t="s">
        <v>4344</v>
      </c>
      <c r="F1534" s="4" t="s">
        <v>4345</v>
      </c>
      <c r="G1534" s="6" t="str">
        <f>IFERROR(__xludf.DUMMYFUNCTION("REGEXREPLACE(LOWER(F1534),""[^a-z\s]"","""")"),"petflow and its fine customer service representatives are always dependable always on time forever and always pronpolished")</f>
        <v>petflow and its fine customer service representatives are always dependable always on time forever and always pronpolished</v>
      </c>
      <c r="H1534" s="4" t="str">
        <f t="shared" si="1"/>
        <v>petflow its fine customer service representatives are always dependable always on time forever always pronpolished</v>
      </c>
      <c r="I1534" s="6">
        <f t="shared" si="2"/>
        <v>15</v>
      </c>
      <c r="J1534" s="6">
        <f>IFERROR(__xludf.DUMMYFUNCTION("IF(H1534="""","""",
SUM(
ARRAYFORMULA(
IF(
REGEXMATCH(
"" ""&amp;H1534&amp;"" "",
"" ""&amp;Sentiment_Words!A$2:A3730&amp;"" ""
),
1,
0
)
)
)
)"),1.0)</f>
        <v>1</v>
      </c>
      <c r="K1534" s="4">
        <f>IFERROR(__xludf.DUMMYFUNCTION("IF(H1534="""","""",
SUM(
ARRAYFORMULA(
IF(
REGEXMATCH(
"" ""&amp;H1534&amp;"" "",
"" ""&amp;Sentiment_Words!B$2:B3730&amp;"" ""
),
1,
0
)
)
)
)"),1.0)</f>
        <v>1</v>
      </c>
      <c r="L1534" s="7" t="str">
        <f t="shared" si="3"/>
        <v>Customer Support</v>
      </c>
      <c r="M1534" s="7" t="str">
        <f t="shared" si="4"/>
        <v>Neutral</v>
      </c>
      <c r="N1534" s="7" t="str">
        <f>IFERROR(__xludf.DUMMYFUNCTION("LOWER(
TRIM(
REGEXREPLACE(B1534,""[^a-zA-Z\s]"","""")
)
)
"),"judy kathleen thompson")</f>
        <v>judy kathleen thompson</v>
      </c>
      <c r="O1534" s="7">
        <f t="shared" si="5"/>
        <v>1</v>
      </c>
      <c r="P1534" s="8" t="str">
        <f t="shared" si="6"/>
        <v>No</v>
      </c>
    </row>
    <row r="1535">
      <c r="A1535" s="4" t="s">
        <v>16</v>
      </c>
      <c r="B1535" s="4" t="s">
        <v>4346</v>
      </c>
      <c r="C1535" s="9">
        <v>44805.0</v>
      </c>
      <c r="D1535" s="10">
        <v>44812.0</v>
      </c>
      <c r="E1535" s="4" t="s">
        <v>626</v>
      </c>
      <c r="F1535" s="4" t="s">
        <v>4347</v>
      </c>
      <c r="G1535" s="6" t="str">
        <f>IFERROR(__xludf.DUMMYFUNCTION("REGEXREPLACE(LOWER(F1535),""[^a-z\s]"","""")"),"excellent customer service well stocked inventory")</f>
        <v>excellent customer service well stocked inventory</v>
      </c>
      <c r="H1535" s="4" t="str">
        <f t="shared" si="1"/>
        <v>excellent customer service well stocked inventory</v>
      </c>
      <c r="I1535" s="6">
        <f t="shared" si="2"/>
        <v>6</v>
      </c>
      <c r="J1535" s="6">
        <f>IFERROR(__xludf.DUMMYFUNCTION("IF(H1535="""","""",
SUM(
ARRAYFORMULA(
IF(
REGEXMATCH(
"" ""&amp;H1535&amp;"" "",
"" ""&amp;Sentiment_Words!A$2:A3730&amp;"" ""
),
1,
0
)
)
)
)"),0.0)</f>
        <v>0</v>
      </c>
      <c r="K1535" s="4">
        <f>IFERROR(__xludf.DUMMYFUNCTION("IF(H1535="""","""",
SUM(
ARRAYFORMULA(
IF(
REGEXMATCH(
"" ""&amp;H1535&amp;"" "",
"" ""&amp;Sentiment_Words!B$2:B3730&amp;"" ""
),
1,
0
)
)
)
)"),1.0)</f>
        <v>1</v>
      </c>
      <c r="L1535" s="7" t="str">
        <f t="shared" si="3"/>
        <v>Customer Support</v>
      </c>
      <c r="M1535" s="7" t="str">
        <f t="shared" si="4"/>
        <v>Negative</v>
      </c>
      <c r="N1535" s="7" t="str">
        <f>IFERROR(__xludf.DUMMYFUNCTION("LOWER(
TRIM(
REGEXREPLACE(B1535,""[^a-zA-Z\s]"","""")
)
)
"),"cynthia gould")</f>
        <v>cynthia gould</v>
      </c>
      <c r="O1535" s="7">
        <f t="shared" si="5"/>
        <v>1</v>
      </c>
      <c r="P1535" s="8" t="str">
        <f t="shared" si="6"/>
        <v>No</v>
      </c>
    </row>
    <row r="1536">
      <c r="A1536" s="4" t="s">
        <v>16</v>
      </c>
      <c r="B1536" s="4" t="s">
        <v>4348</v>
      </c>
      <c r="C1536" s="9">
        <v>44812.0</v>
      </c>
      <c r="D1536" s="10">
        <v>44812.0</v>
      </c>
      <c r="E1536" s="4" t="s">
        <v>4349</v>
      </c>
      <c r="F1536" s="4" t="s">
        <v>4350</v>
      </c>
      <c r="G1536" s="6" t="str">
        <f>IFERROR(__xludf.DUMMYFUNCTION("REGEXREPLACE(LOWER(F1536),""[^a-z\s]"","""")"),"fast shipping  best price when compared with other delivery companies of same product")</f>
        <v>fast shipping  best price when compared with other delivery companies of same product</v>
      </c>
      <c r="H1536" s="4" t="str">
        <f t="shared" si="1"/>
        <v>fast shipping best price when compared with other delivery companies of same product</v>
      </c>
      <c r="I1536" s="6">
        <f t="shared" si="2"/>
        <v>13</v>
      </c>
      <c r="J1536" s="6">
        <f>IFERROR(__xludf.DUMMYFUNCTION("IF(H1536="""","""",
SUM(
ARRAYFORMULA(
IF(
REGEXMATCH(
"" ""&amp;H1536&amp;"" "",
"" ""&amp;Sentiment_Words!A$2:A3730&amp;"" ""
),
1,
0
)
)
)
)"),1.0)</f>
        <v>1</v>
      </c>
      <c r="K1536" s="4">
        <f>IFERROR(__xludf.DUMMYFUNCTION("IF(H1536="""","""",
SUM(
ARRAYFORMULA(
IF(
REGEXMATCH(
"" ""&amp;H1536&amp;"" "",
"" ""&amp;Sentiment_Words!B$2:B3730&amp;"" ""
),
1,
0
)
)
)
)"),0.0)</f>
        <v>0</v>
      </c>
      <c r="L1536" s="7" t="str">
        <f t="shared" si="3"/>
        <v>Other</v>
      </c>
      <c r="M1536" s="7" t="str">
        <f t="shared" si="4"/>
        <v>Positive</v>
      </c>
      <c r="N1536" s="7" t="str">
        <f>IFERROR(__xludf.DUMMYFUNCTION("LOWER(
TRIM(
REGEXREPLACE(B1536,""[^a-zA-Z\s]"","""")
)
)
"),"linda meehan")</f>
        <v>linda meehan</v>
      </c>
      <c r="O1536" s="7">
        <f t="shared" si="5"/>
        <v>1</v>
      </c>
      <c r="P1536" s="8" t="str">
        <f t="shared" si="6"/>
        <v>No</v>
      </c>
    </row>
    <row r="1537">
      <c r="A1537" s="4" t="s">
        <v>16</v>
      </c>
      <c r="B1537" s="4" t="s">
        <v>2667</v>
      </c>
      <c r="C1537" s="9">
        <v>44812.0</v>
      </c>
      <c r="D1537" s="10">
        <v>44812.0</v>
      </c>
      <c r="E1537" s="4" t="s">
        <v>4351</v>
      </c>
      <c r="F1537" s="4" t="s">
        <v>4352</v>
      </c>
      <c r="G1537" s="6" t="str">
        <f>IFERROR(__xludf.DUMMYFUNCTION("REGEXREPLACE(LOWER(F1537),""[^a-z\s]"","""")"),"petflow offers competitive prices compared with other online pet supply companies")</f>
        <v>petflow offers competitive prices compared with other online pet supply companies</v>
      </c>
      <c r="H1537" s="4" t="str">
        <f t="shared" si="1"/>
        <v>petflow offers competitive prices compared with other online pet supply companies</v>
      </c>
      <c r="I1537" s="6">
        <f t="shared" si="2"/>
        <v>11</v>
      </c>
      <c r="J1537" s="6">
        <f>IFERROR(__xludf.DUMMYFUNCTION("IF(H1537="""","""",
SUM(
ARRAYFORMULA(
IF(
REGEXMATCH(
"" ""&amp;H1537&amp;"" "",
"" ""&amp;Sentiment_Words!A$2:A3730&amp;"" ""
),
1,
0
)
)
)
)"),0.0)</f>
        <v>0</v>
      </c>
      <c r="K1537" s="4">
        <f>IFERROR(__xludf.DUMMYFUNCTION("IF(H1537="""","""",
SUM(
ARRAYFORMULA(
IF(
REGEXMATCH(
"" ""&amp;H1537&amp;"" "",
"" ""&amp;Sentiment_Words!B$2:B3730&amp;"" ""
),
1,
0
)
)
)
)"),0.0)</f>
        <v>0</v>
      </c>
      <c r="L1537" s="7" t="str">
        <f t="shared" si="3"/>
        <v>Other</v>
      </c>
      <c r="M1537" s="7" t="str">
        <f t="shared" si="4"/>
        <v>Neutral</v>
      </c>
      <c r="N1537" s="7" t="str">
        <f>IFERROR(__xludf.DUMMYFUNCTION("LOWER(
TRIM(
REGEXREPLACE(B1537,""[^a-zA-Z\s]"","""")
)
)
"),"gail")</f>
        <v>gail</v>
      </c>
      <c r="O1537" s="7">
        <f t="shared" si="5"/>
        <v>4</v>
      </c>
      <c r="P1537" s="8" t="str">
        <f t="shared" si="6"/>
        <v>Yes</v>
      </c>
    </row>
    <row r="1538">
      <c r="A1538" s="4" t="s">
        <v>16</v>
      </c>
      <c r="B1538" s="4" t="s">
        <v>4353</v>
      </c>
      <c r="C1538" s="9">
        <v>44812.0</v>
      </c>
      <c r="D1538" s="10">
        <v>44812.0</v>
      </c>
      <c r="E1538" s="4" t="s">
        <v>4354</v>
      </c>
      <c r="F1538" s="4" t="s">
        <v>4355</v>
      </c>
      <c r="G1538" s="6" t="str">
        <f>IFERROR(__xludf.DUMMYFUNCTION("REGEXREPLACE(LOWER(F1538),""[^a-z\s]"","""")"),"i tried to order litter boxes for my shelter and my order was canceled without my knowledge and after the order was already supposed to have shipped i contacted the company and they canceled my order because they said it was fraudulent are used paypal whi"&amp;"ch is a secure account and they could not give me any reason i will not be ordering from them again")</f>
        <v>i tried to order litter boxes for my shelter and my order was canceled without my knowledge and after the order was already supposed to have shipped i contacted the company and they canceled my order because they said it was fraudulent are used paypal which is a secure account and they could not give me any reason i will not be ordering from them again</v>
      </c>
      <c r="H1538" s="4" t="str">
        <f t="shared" si="1"/>
        <v>i tried order litter boxes my shelter my order was canceled without my knowledge after order was already supposed have shipped i contacted company they canceled my order because they said it was fraudulent are used paypal which a secure account they could not give me any reason i will not be ordering from them again</v>
      </c>
      <c r="I1538" s="6">
        <f t="shared" si="2"/>
        <v>56</v>
      </c>
      <c r="J1538" s="6">
        <f>IFERROR(__xludf.DUMMYFUNCTION("IF(H1538="""","""",
SUM(
ARRAYFORMULA(
IF(
REGEXMATCH(
"" ""&amp;H1538&amp;"" "",
"" ""&amp;Sentiment_Words!A$2:A3730&amp;"" ""
),
1,
0
)
)
)
)"),0.0)</f>
        <v>0</v>
      </c>
      <c r="K1538" s="4">
        <f>IFERROR(__xludf.DUMMYFUNCTION("IF(H1538="""","""",
SUM(
ARRAYFORMULA(
IF(
REGEXMATCH(
"" ""&amp;H1538&amp;"" "",
"" ""&amp;Sentiment_Words!B$2:B3730&amp;"" ""
),
1,
0
)
)
)
)"),0.0)</f>
        <v>0</v>
      </c>
      <c r="L1538" s="7" t="str">
        <f t="shared" si="3"/>
        <v>Account &amp; Website</v>
      </c>
      <c r="M1538" s="7" t="str">
        <f t="shared" si="4"/>
        <v>Neutral</v>
      </c>
      <c r="N1538" s="7" t="str">
        <f>IFERROR(__xludf.DUMMYFUNCTION("LOWER(
TRIM(
REGEXREPLACE(B1538,""[^a-zA-Z\s]"","""")
)
)
"),"lisa shaffer")</f>
        <v>lisa shaffer</v>
      </c>
      <c r="O1538" s="7">
        <f t="shared" si="5"/>
        <v>1</v>
      </c>
      <c r="P1538" s="8" t="str">
        <f t="shared" si="6"/>
        <v>No</v>
      </c>
    </row>
    <row r="1539">
      <c r="A1539" s="4" t="s">
        <v>16</v>
      </c>
      <c r="B1539" s="4" t="s">
        <v>4356</v>
      </c>
      <c r="C1539" s="9">
        <v>44812.0</v>
      </c>
      <c r="D1539" s="10">
        <v>44812.0</v>
      </c>
      <c r="E1539" s="4" t="s">
        <v>4357</v>
      </c>
      <c r="F1539" s="4" t="s">
        <v>4358</v>
      </c>
      <c r="G1539" s="6" t="str">
        <f>IFERROR(__xludf.DUMMYFUNCTION("REGEXREPLACE(LOWER(F1539),""[^a-z\s]"","""")"),"went from bad to worse
ordered rocks and cat treats my package was lost no one reached out i contacted fed ex several days later and its gone i called petflow to get me my order over night from another location they said a manager would get in touch nothn"&amp;"g i ordered from chewy and it came right away i called petflow again to get my money back and was told no manager would be in for the  day weekend wow i hope my card never gets charged i got an email yesterday a week plus later that they do not have my it"&amp;"ems and they would cancel what a mess")</f>
        <v>went from bad to worse
ordered rocks and cat treats my package was lost no one reached out i contacted fed ex several days later and its gone i called petflow to get me my order over night from another location they said a manager would get in touch nothng i ordered from chewy and it came right away i called petflow again to get my money back and was told no manager would be in for the  day weekend wow i hope my card never gets charged i got an email yesterday a week plus later that they do not have my items and they would cancel what a mess</v>
      </c>
      <c r="H1539" s="4" t="str">
        <f t="shared" si="1"/>
        <v>went from bad worse
ordered rocks cat treats my package was lost no one reached out i contacted fed ex several days later its gone i called petflow get me my order over night from another location they said a manager would get in touch nothng i ordered from chewy it came right away i called petflow again get my money back was told no manager would be in day weekend wow i hope my card never gets charged i got an email yesterday a week plus later that they do not have my items they would cancel what a mess</v>
      </c>
      <c r="I1539" s="6">
        <f t="shared" si="2"/>
        <v>100</v>
      </c>
      <c r="J1539" s="6">
        <f>IFERROR(__xludf.DUMMYFUNCTION("IF(H1539="""","""",
SUM(
ARRAYFORMULA(
IF(
REGEXMATCH(
"" ""&amp;H1539&amp;"" "",
"" ""&amp;Sentiment_Words!A$2:A3730&amp;"" ""
),
1,
0
)
)
)
)"),0.0)</f>
        <v>0</v>
      </c>
      <c r="K1539" s="4">
        <f>IFERROR(__xludf.DUMMYFUNCTION("IF(H1539="""","""",
SUM(
ARRAYFORMULA(
IF(
REGEXMATCH(
"" ""&amp;H1539&amp;"" "",
"" ""&amp;Sentiment_Words!B$2:B3730&amp;"" ""
),
1,
0
)
)
)
)"),0.0)</f>
        <v>0</v>
      </c>
      <c r="L1539" s="7" t="str">
        <f t="shared" si="3"/>
        <v>Fulfillment &amp; Shipping</v>
      </c>
      <c r="M1539" s="7" t="str">
        <f t="shared" si="4"/>
        <v>Neutral</v>
      </c>
      <c r="N1539" s="7" t="str">
        <f>IFERROR(__xludf.DUMMYFUNCTION("LOWER(
TRIM(
REGEXREPLACE(B1539,""[^a-zA-Z\s]"","""")
)
)
"),"barrie")</f>
        <v>barrie</v>
      </c>
      <c r="O1539" s="7">
        <f t="shared" si="5"/>
        <v>1</v>
      </c>
      <c r="P1539" s="8" t="str">
        <f t="shared" si="6"/>
        <v>No</v>
      </c>
    </row>
    <row r="1540">
      <c r="A1540" s="4" t="s">
        <v>16</v>
      </c>
      <c r="B1540" s="4" t="s">
        <v>3490</v>
      </c>
      <c r="C1540" s="9">
        <v>44812.0</v>
      </c>
      <c r="D1540" s="10">
        <v>44812.0</v>
      </c>
      <c r="E1540" s="4" t="s">
        <v>4359</v>
      </c>
      <c r="F1540" s="4" t="s">
        <v>4360</v>
      </c>
      <c r="G1540" s="6" t="str">
        <f>IFERROR(__xludf.DUMMYFUNCTION("REGEXREPLACE(LOWER(F1540),""[^a-z\s]"","""")"),"this is my third time ordering from this company the first two times were very positive however after putting in an order on a saturday morning they are telling me that it might leave their warehouse at some point in the day on a thursday so basically alm"&amp;"ost a week to release an order wow i wish i had known that when i ordered now im out of time to fix the situation before having to travel im really disappointed and doubly so when their customer service team seemed to not be capable of doing anything to m"&amp;"ake good on the situation i gave one extra star bc of the prior more successful orders but im really going to have to think twice before ordering from them again")</f>
        <v>this is my third time ordering from this company the first two times were very positive however after putting in an order on a saturday morning they are telling me that it might leave their warehouse at some point in the day on a thursday so basically almost a week to release an order wow i wish i had known that when i ordered now im out of time to fix the situation before having to travel im really disappointed and doubly so when their customer service team seemed to not be capable of doing anything to make good on the situation i gave one extra star bc of the prior more successful orders but im really going to have to think twice before ordering from them again</v>
      </c>
      <c r="H1540" s="4" t="str">
        <f t="shared" si="1"/>
        <v>this my third time ordering from this company first two times were very positive however after putting in an order on a saturday morning they are telling me that it might leave their warehouse at some point in day on a thursday so basically almost a week release an order wow i wish i had known that when i ordered now im out of time fix situation before having travel im really disappointed doubly so when their customer service team seemed not be capable of doing anything make good on situation i gave one extra star bc of prior more successful orders but im really going have think twice before ordering from them again</v>
      </c>
      <c r="I1540" s="6">
        <f t="shared" si="2"/>
        <v>114</v>
      </c>
      <c r="J1540" s="6">
        <f>IFERROR(__xludf.DUMMYFUNCTION("IF(H1540="""","""",
SUM(
ARRAYFORMULA(
IF(
REGEXMATCH(
"" ""&amp;H1540&amp;"" "",
"" ""&amp;Sentiment_Words!A$2:A3730&amp;"" ""
),
1,
0
)
)
)
)"),1.0)</f>
        <v>1</v>
      </c>
      <c r="K1540" s="4">
        <f>IFERROR(__xludf.DUMMYFUNCTION("IF(H1540="""","""",
SUM(
ARRAYFORMULA(
IF(
REGEXMATCH(
"" ""&amp;H1540&amp;"" "",
"" ""&amp;Sentiment_Words!B$2:B3730&amp;"" ""
),
1,
0
)
)
)
)"),1.0)</f>
        <v>1</v>
      </c>
      <c r="L1540" s="7" t="str">
        <f t="shared" si="3"/>
        <v>Customer Support</v>
      </c>
      <c r="M1540" s="7" t="str">
        <f t="shared" si="4"/>
        <v>Neutral</v>
      </c>
      <c r="N1540" s="7" t="str">
        <f>IFERROR(__xludf.DUMMYFUNCTION("LOWER(
TRIM(
REGEXREPLACE(B1540,""[^a-zA-Z\s]"","""")
)
)
"),"pat")</f>
        <v>pat</v>
      </c>
      <c r="O1540" s="7">
        <f t="shared" si="5"/>
        <v>2</v>
      </c>
      <c r="P1540" s="8" t="str">
        <f t="shared" si="6"/>
        <v>Yes</v>
      </c>
    </row>
    <row r="1541">
      <c r="A1541" s="4" t="s">
        <v>16</v>
      </c>
      <c r="B1541" s="4" t="s">
        <v>4361</v>
      </c>
      <c r="C1541" s="9">
        <v>44812.0</v>
      </c>
      <c r="D1541" s="10">
        <v>44812.0</v>
      </c>
      <c r="E1541" s="4" t="s">
        <v>4362</v>
      </c>
      <c r="F1541" s="4" t="s">
        <v>4363</v>
      </c>
      <c r="G1541" s="6" t="str">
        <f>IFERROR(__xludf.DUMMYFUNCTION("REGEXREPLACE(LOWER(F1541),""[^a-z\s]"","""")"),"everything was great
i unfortunately had to let go of my baby  black lab of almost  years
if when i am ready i would use your services with no questions")</f>
        <v>everything was great
i unfortunately had to let go of my baby  black lab of almost  years
if when i am ready i would use your services with no questions</v>
      </c>
      <c r="H1541" s="4" t="str">
        <f t="shared" si="1"/>
        <v>everything was great
i unfortunately had let go of my baby black lab of almost years
if when i am ready i would use your services with no questions</v>
      </c>
      <c r="I1541" s="6">
        <f t="shared" si="2"/>
        <v>27</v>
      </c>
      <c r="J1541" s="6">
        <f>IFERROR(__xludf.DUMMYFUNCTION("IF(H1541="""","""",
SUM(
ARRAYFORMULA(
IF(
REGEXMATCH(
"" ""&amp;H1541&amp;"" "",
"" ""&amp;Sentiment_Words!A$2:A3730&amp;"" ""
),
1,
0
)
)
)
)"),0.0)</f>
        <v>0</v>
      </c>
      <c r="K1541" s="4">
        <f>IFERROR(__xludf.DUMMYFUNCTION("IF(H1541="""","""",
SUM(
ARRAYFORMULA(
IF(
REGEXMATCH(
"" ""&amp;H1541&amp;"" "",
"" ""&amp;Sentiment_Words!B$2:B3730&amp;"" ""
),
1,
0
)
)
)
)"),0.0)</f>
        <v>0</v>
      </c>
      <c r="L1541" s="7" t="str">
        <f t="shared" si="3"/>
        <v>Customer Support</v>
      </c>
      <c r="M1541" s="7" t="str">
        <f t="shared" si="4"/>
        <v>Neutral</v>
      </c>
      <c r="N1541" s="7" t="str">
        <f>IFERROR(__xludf.DUMMYFUNCTION("LOWER(
TRIM(
REGEXREPLACE(B1541,""[^a-zA-Z\s]"","""")
)
)
"),"yas")</f>
        <v>yas</v>
      </c>
      <c r="O1541" s="7">
        <f t="shared" si="5"/>
        <v>1</v>
      </c>
      <c r="P1541" s="8" t="str">
        <f t="shared" si="6"/>
        <v>No</v>
      </c>
    </row>
    <row r="1542">
      <c r="A1542" s="4" t="s">
        <v>16</v>
      </c>
      <c r="B1542" s="4" t="s">
        <v>4364</v>
      </c>
      <c r="C1542" s="9">
        <v>44812.0</v>
      </c>
      <c r="D1542" s="10">
        <v>44812.0</v>
      </c>
      <c r="E1542" s="4" t="s">
        <v>4365</v>
      </c>
      <c r="F1542" s="4" t="s">
        <v>4366</v>
      </c>
      <c r="G1542" s="6" t="str">
        <f>IFERROR(__xludf.DUMMYFUNCTION("REGEXREPLACE(LOWER(F1542),""[^a-z\s]"","""")"),"you offer free shipping for orders over  so i try to meet that requirement but then you offer coupons which are really nice but when i apply a coupon it brings my total below the free shipping mark my choices are to accept the shipping charges or buy more"&amp;" to bring the value back above the free shipping level or just cancel in frustration you are not doing me any favors with coupons its just a mind twister that your marketing uses to increase revenue i wish you would just offer free shipping base on the or"&amp;"iginal order value then deduct the coupon with out penalties")</f>
        <v>you offer free shipping for orders over  so i try to meet that requirement but then you offer coupons which are really nice but when i apply a coupon it brings my total below the free shipping mark my choices are to accept the shipping charges or buy more to bring the value back above the free shipping level or just cancel in frustration you are not doing me any favors with coupons its just a mind twister that your marketing uses to increase revenue i wish you would just offer free shipping base on the original order value then deduct the coupon with out penalties</v>
      </c>
      <c r="H1542" s="4" t="str">
        <f t="shared" si="1"/>
        <v>you offer free shipping orders over so i try meet that requirement but then you offer coupons which are really nice but when i apply a coupon it brings my total below free shipping mark my choices are accept shipping charges or buy more bring value back above free shipping level or just cancel in frustration you are not doing me any favors with coupons its just a mind twister that your marketing uses increase revenue i wish you would just offer free shipping base on original order value then deduct coupon with out penalties</v>
      </c>
      <c r="I1542" s="6">
        <f t="shared" si="2"/>
        <v>95</v>
      </c>
      <c r="J1542" s="6">
        <f>IFERROR(__xludf.DUMMYFUNCTION("IF(H1542="""","""",
SUM(
ARRAYFORMULA(
IF(
REGEXMATCH(
"" ""&amp;H1542&amp;"" "",
"" ""&amp;Sentiment_Words!A$2:A3730&amp;"" ""
),
1,
0
)
)
)
)"),1.0)</f>
        <v>1</v>
      </c>
      <c r="K1542" s="4">
        <f>IFERROR(__xludf.DUMMYFUNCTION("IF(H1542="""","""",
SUM(
ARRAYFORMULA(
IF(
REGEXMATCH(
"" ""&amp;H1542&amp;"" "",
"" ""&amp;Sentiment_Words!B$2:B3730&amp;"" ""
),
1,
0
)
)
)
)"),0.0)</f>
        <v>0</v>
      </c>
      <c r="L1542" s="7" t="str">
        <f t="shared" si="3"/>
        <v>Value &amp; Convenience</v>
      </c>
      <c r="M1542" s="7" t="str">
        <f t="shared" si="4"/>
        <v>Positive</v>
      </c>
      <c r="N1542" s="7" t="str">
        <f>IFERROR(__xludf.DUMMYFUNCTION("LOWER(
TRIM(
REGEXREPLACE(B1542,""[^a-zA-Z\s]"","""")
)
)
"),"t m buckman")</f>
        <v>t m buckman</v>
      </c>
      <c r="O1542" s="7">
        <f t="shared" si="5"/>
        <v>1</v>
      </c>
      <c r="P1542" s="8" t="str">
        <f t="shared" si="6"/>
        <v>No</v>
      </c>
    </row>
    <row r="1543">
      <c r="A1543" s="4" t="s">
        <v>16</v>
      </c>
      <c r="B1543" s="4" t="s">
        <v>4367</v>
      </c>
      <c r="C1543" s="9">
        <v>44811.0</v>
      </c>
      <c r="D1543" s="10">
        <v>44812.0</v>
      </c>
      <c r="E1543" s="4" t="s">
        <v>4368</v>
      </c>
      <c r="F1543" s="4" t="s">
        <v>4369</v>
      </c>
      <c r="G1543" s="6" t="str">
        <f>IFERROR(__xludf.DUMMYFUNCTION("REGEXREPLACE(LOWER(F1543),""[^a-z\s]"","""")"),"this is my first time ordering from petflow and i am very satisfied my order came quickly and the prices are less than other places i ordered from the type of dog food i buy for my dogs is hard to find and im glad petflow has it it saves me time looking f"&amp;"or it")</f>
        <v>this is my first time ordering from petflow and i am very satisfied my order came quickly and the prices are less than other places i ordered from the type of dog food i buy for my dogs is hard to find and im glad petflow has it it saves me time looking for it</v>
      </c>
      <c r="H1543" s="4" t="str">
        <f t="shared" si="1"/>
        <v>this my first time ordering from petflow i am very satisfied my order came quickly prices are less than other places i ordered from type of dog food i buy my dogs hard find im glad petflow has it it saves me time looking it</v>
      </c>
      <c r="I1543" s="6">
        <f t="shared" si="2"/>
        <v>45</v>
      </c>
      <c r="J1543" s="6">
        <f>IFERROR(__xludf.DUMMYFUNCTION("IF(H1543="""","""",
SUM(
ARRAYFORMULA(
IF(
REGEXMATCH(
"" ""&amp;H1543&amp;"" "",
"" ""&amp;Sentiment_Words!A$2:A3730&amp;"" ""
),
1,
0
)
)
)
)"),1.0)</f>
        <v>1</v>
      </c>
      <c r="K1543" s="4">
        <f>IFERROR(__xludf.DUMMYFUNCTION("IF(H1543="""","""",
SUM(
ARRAYFORMULA(
IF(
REGEXMATCH(
"" ""&amp;H1543&amp;"" "",
"" ""&amp;Sentiment_Words!B$2:B3730&amp;"" ""
),
1,
0
)
)
)
)"),0.0)</f>
        <v>0</v>
      </c>
      <c r="L1543" s="7" t="str">
        <f t="shared" si="3"/>
        <v>Other</v>
      </c>
      <c r="M1543" s="7" t="str">
        <f t="shared" si="4"/>
        <v>Positive</v>
      </c>
      <c r="N1543" s="7" t="str">
        <f>IFERROR(__xludf.DUMMYFUNCTION("LOWER(
TRIM(
REGEXREPLACE(B1543,""[^a-zA-Z\s]"","""")
)
)
"),"duane neuerburg")</f>
        <v>duane neuerburg</v>
      </c>
      <c r="O1543" s="7">
        <f t="shared" si="5"/>
        <v>1</v>
      </c>
      <c r="P1543" s="8" t="str">
        <f t="shared" si="6"/>
        <v>No</v>
      </c>
    </row>
    <row r="1544">
      <c r="A1544" s="4" t="s">
        <v>16</v>
      </c>
      <c r="B1544" s="4" t="s">
        <v>4370</v>
      </c>
      <c r="C1544" s="9">
        <v>44811.0</v>
      </c>
      <c r="D1544" s="10">
        <v>44812.0</v>
      </c>
      <c r="E1544" s="4" t="s">
        <v>4371</v>
      </c>
      <c r="F1544" s="4" t="s">
        <v>4372</v>
      </c>
      <c r="G1544" s="6" t="str">
        <f>IFERROR(__xludf.DUMMYFUNCTION("REGEXREPLACE(LOWER(F1544),""[^a-z\s]"","""")"),"good service arrived when you said it would i was a little confused by the check out on your website but im old")</f>
        <v>good service arrived when you said it would i was a little confused by the check out on your website but im old</v>
      </c>
      <c r="H1544" s="4" t="str">
        <f t="shared" si="1"/>
        <v>good service arrived when you said it would i was a little confused by check out on your website but im old</v>
      </c>
      <c r="I1544" s="6">
        <f t="shared" si="2"/>
        <v>22</v>
      </c>
      <c r="J1544" s="6">
        <f>IFERROR(__xludf.DUMMYFUNCTION("IF(H1544="""","""",
SUM(
ARRAYFORMULA(
IF(
REGEXMATCH(
"" ""&amp;H1544&amp;"" "",
"" ""&amp;Sentiment_Words!A$2:A3730&amp;"" ""
),
1,
0
)
)
)
)"),1.0)</f>
        <v>1</v>
      </c>
      <c r="K1544" s="4">
        <f>IFERROR(__xludf.DUMMYFUNCTION("IF(H1544="""","""",
SUM(
ARRAYFORMULA(
IF(
REGEXMATCH(
"" ""&amp;H1544&amp;"" "",
"" ""&amp;Sentiment_Words!B$2:B3730&amp;"" ""
),
1,
0
)
)
)
)"),0.0)</f>
        <v>0</v>
      </c>
      <c r="L1544" s="7" t="str">
        <f t="shared" si="3"/>
        <v>Customer Support</v>
      </c>
      <c r="M1544" s="7" t="str">
        <f t="shared" si="4"/>
        <v>Positive</v>
      </c>
      <c r="N1544" s="7" t="str">
        <f>IFERROR(__xludf.DUMMYFUNCTION("LOWER(
TRIM(
REGEXREPLACE(B1544,""[^a-zA-Z\s]"","""")
)
)
"),"eva fresquez")</f>
        <v>eva fresquez</v>
      </c>
      <c r="O1544" s="7">
        <f t="shared" si="5"/>
        <v>1</v>
      </c>
      <c r="P1544" s="8" t="str">
        <f t="shared" si="6"/>
        <v>No</v>
      </c>
    </row>
    <row r="1545">
      <c r="A1545" s="4" t="s">
        <v>16</v>
      </c>
      <c r="B1545" s="4" t="s">
        <v>4373</v>
      </c>
      <c r="C1545" s="9">
        <v>44811.0</v>
      </c>
      <c r="D1545" s="10">
        <v>44811.0</v>
      </c>
      <c r="E1545" s="4" t="s">
        <v>4374</v>
      </c>
      <c r="F1545" s="4" t="s">
        <v>4375</v>
      </c>
      <c r="G1545" s="6" t="str">
        <f>IFERROR(__xludf.DUMMYFUNCTION("REGEXREPLACE(LOWER(F1545),""[^a-z\s]"","""")"),"my auto ship sat in processing status for  weeks so i paused it so i could order something else i called and the person acted like they didnt want to help once i placed my new order i received my auto ship order at the same time this was over  at one time"&amp;" very frustrating will more then likely switch to someone else")</f>
        <v>my auto ship sat in processing status for  weeks so i paused it so i could order something else i called and the person acted like they didnt want to help once i placed my new order i received my auto ship order at the same time this was over  at one time very frustrating will more then likely switch to someone else</v>
      </c>
      <c r="H1545" s="4" t="str">
        <f t="shared" si="1"/>
        <v>my auto ship sat in processing status weeks so i paused it so i could order something else i called person acted like they didnt want help once i placed my new order i received my auto ship order at same time this was over at one time very frustrating will more then likely switch someone else</v>
      </c>
      <c r="I1545" s="6">
        <f t="shared" si="2"/>
        <v>57</v>
      </c>
      <c r="J1545" s="6">
        <f>IFERROR(__xludf.DUMMYFUNCTION("IF(H1545="""","""",
SUM(
ARRAYFORMULA(
IF(
REGEXMATCH(
"" ""&amp;H1545&amp;"" "",
"" ""&amp;Sentiment_Words!A$2:A3730&amp;"" ""
),
1,
0
)
)
)
)"),1.0)</f>
        <v>1</v>
      </c>
      <c r="K1545" s="4">
        <f>IFERROR(__xludf.DUMMYFUNCTION("IF(H1545="""","""",
SUM(
ARRAYFORMULA(
IF(
REGEXMATCH(
"" ""&amp;H1545&amp;"" "",
"" ""&amp;Sentiment_Words!B$2:B3730&amp;"" ""
),
1,
0
)
)
)
)"),1.0)</f>
        <v>1</v>
      </c>
      <c r="L1545" s="7" t="str">
        <f t="shared" si="3"/>
        <v>Other</v>
      </c>
      <c r="M1545" s="7" t="str">
        <f t="shared" si="4"/>
        <v>Neutral</v>
      </c>
      <c r="N1545" s="7" t="str">
        <f>IFERROR(__xludf.DUMMYFUNCTION("LOWER(
TRIM(
REGEXREPLACE(B1545,""[^a-zA-Z\s]"","""")
)
)
"),"rollin baird")</f>
        <v>rollin baird</v>
      </c>
      <c r="O1545" s="7">
        <f t="shared" si="5"/>
        <v>1</v>
      </c>
      <c r="P1545" s="8" t="str">
        <f t="shared" si="6"/>
        <v>No</v>
      </c>
    </row>
    <row r="1546">
      <c r="A1546" s="4" t="s">
        <v>16</v>
      </c>
      <c r="B1546" s="4" t="s">
        <v>4376</v>
      </c>
      <c r="C1546" s="9">
        <v>44811.0</v>
      </c>
      <c r="D1546" s="10">
        <v>44811.0</v>
      </c>
      <c r="E1546" s="4" t="s">
        <v>4377</v>
      </c>
      <c r="F1546" s="4" t="s">
        <v>4378</v>
      </c>
      <c r="G1546" s="6" t="str">
        <f>IFERROR(__xludf.DUMMYFUNCTION("REGEXREPLACE(LOWER(F1546),""[^a-z\s]"","""")"),"im unhappy with your service my vet was out of the prescription diet for my cat so i ordered from your website on friday  you charged my credit card on monday  since you charged my card i thought you had the okay from the vet to get the prescription food "&amp;"for me i thought it would be shipped that day however you didnt ship it until wed  it finally arrived on saturday  in the meantime my vet called on monday  and said they just received the food i needed their price was about half of what you charged me its"&amp;" unlikely that i will order from you again or recommend you to anyone")</f>
        <v>im unhappy with your service my vet was out of the prescription diet for my cat so i ordered from your website on friday  you charged my credit card on monday  since you charged my card i thought you had the okay from the vet to get the prescription food for me i thought it would be shipped that day however you didnt ship it until wed  it finally arrived on saturday  in the meantime my vet called on monday  and said they just received the food i needed their price was about half of what you charged me its unlikely that i will order from you again or recommend you to anyone</v>
      </c>
      <c r="H1546" s="4" t="str">
        <f t="shared" si="1"/>
        <v>im unhappy with your service my vet was out of prescription diet my cat so i ordered from your website on friday you charged my credit card on monday since you charged my card i thought you had okay from vet get prescription food me i thought it would be shipped that day however you didnt ship it until wed it finally arrived on saturday in meantime my vet called on monday said they just received food i needed their price was about half of what you charged me its unlikely that i will order from you again or recommend you anyone</v>
      </c>
      <c r="I1546" s="6">
        <f t="shared" si="2"/>
        <v>102</v>
      </c>
      <c r="J1546" s="6">
        <f>IFERROR(__xludf.DUMMYFUNCTION("IF(H1546="""","""",
SUM(
ARRAYFORMULA(
IF(
REGEXMATCH(
"" ""&amp;H1546&amp;"" "",
"" ""&amp;Sentiment_Words!A$2:A3730&amp;"" ""
),
1,
0
)
)
)
)"),0.0)</f>
        <v>0</v>
      </c>
      <c r="K1546" s="4">
        <f>IFERROR(__xludf.DUMMYFUNCTION("IF(H1546="""","""",
SUM(
ARRAYFORMULA(
IF(
REGEXMATCH(
"" ""&amp;H1546&amp;"" "",
"" ""&amp;Sentiment_Words!B$2:B3730&amp;"" ""
),
1,
0
)
)
)
)"),0.0)</f>
        <v>0</v>
      </c>
      <c r="L1546" s="7" t="str">
        <f t="shared" si="3"/>
        <v>Customer Support</v>
      </c>
      <c r="M1546" s="7" t="str">
        <f t="shared" si="4"/>
        <v>Neutral</v>
      </c>
      <c r="N1546" s="7" t="str">
        <f>IFERROR(__xludf.DUMMYFUNCTION("LOWER(
TRIM(
REGEXREPLACE(B1546,""[^a-zA-Z\s]"","""")
)
)
"),"tracy westmoreland")</f>
        <v>tracy westmoreland</v>
      </c>
      <c r="O1546" s="7">
        <f t="shared" si="5"/>
        <v>1</v>
      </c>
      <c r="P1546" s="8" t="str">
        <f t="shared" si="6"/>
        <v>No</v>
      </c>
    </row>
    <row r="1547">
      <c r="A1547" s="4" t="s">
        <v>16</v>
      </c>
      <c r="B1547" s="4" t="s">
        <v>455</v>
      </c>
      <c r="C1547" s="9">
        <v>44811.0</v>
      </c>
      <c r="D1547" s="10">
        <v>44811.0</v>
      </c>
      <c r="E1547" s="4" t="s">
        <v>4379</v>
      </c>
      <c r="F1547" s="4" t="s">
        <v>331</v>
      </c>
      <c r="G1547" s="6" t="str">
        <f>IFERROR(__xludf.DUMMYFUNCTION("REGEXREPLACE(LOWER(F1547),""[^a-z\s]"","""")"),"none")</f>
        <v>none</v>
      </c>
      <c r="H1547" s="4" t="str">
        <f t="shared" si="1"/>
        <v>none</v>
      </c>
      <c r="I1547" s="6">
        <f t="shared" si="2"/>
        <v>1</v>
      </c>
      <c r="J1547" s="6">
        <f>IFERROR(__xludf.DUMMYFUNCTION("IF(H1547="""","""",
SUM(
ARRAYFORMULA(
IF(
REGEXMATCH(
"" ""&amp;H1547&amp;"" "",
"" ""&amp;Sentiment_Words!A$2:A3730&amp;"" ""
),
1,
0
)
)
)
)"),0.0)</f>
        <v>0</v>
      </c>
      <c r="K1547" s="4">
        <f>IFERROR(__xludf.DUMMYFUNCTION("IF(H1547="""","""",
SUM(
ARRAYFORMULA(
IF(
REGEXMATCH(
"" ""&amp;H1547&amp;"" "",
"" ""&amp;Sentiment_Words!B$2:B3730&amp;"" ""
),
1,
0
)
)
)
)"),0.0)</f>
        <v>0</v>
      </c>
      <c r="L1547" s="7" t="str">
        <f t="shared" si="3"/>
        <v>Other</v>
      </c>
      <c r="M1547" s="7" t="str">
        <f t="shared" si="4"/>
        <v>Neutral</v>
      </c>
      <c r="N1547" s="7" t="str">
        <f>IFERROR(__xludf.DUMMYFUNCTION("LOWER(
TRIM(
REGEXREPLACE(B1547,""[^a-zA-Z\s]"","""")
)
)
"),"anonymous")</f>
        <v>anonymous</v>
      </c>
      <c r="O1547" s="7">
        <f t="shared" si="5"/>
        <v>9</v>
      </c>
      <c r="P1547" s="8" t="str">
        <f t="shared" si="6"/>
        <v>Yes</v>
      </c>
    </row>
    <row r="1548">
      <c r="A1548" s="4" t="s">
        <v>16</v>
      </c>
      <c r="B1548" s="4" t="s">
        <v>4380</v>
      </c>
      <c r="C1548" s="9">
        <v>44811.0</v>
      </c>
      <c r="D1548" s="10">
        <v>44811.0</v>
      </c>
      <c r="E1548" s="4" t="s">
        <v>4381</v>
      </c>
      <c r="F1548" s="4" t="s">
        <v>4382</v>
      </c>
      <c r="G1548" s="6" t="str">
        <f>IFERROR(__xludf.DUMMYFUNCTION("REGEXREPLACE(LOWER(F1548),""[^a-z\s]"","""")"),"two times i tried to order a particular flavor of food for my cat and both times your site said it was in stock about  days later after not hearing anything i contacted petflow only to find out that the product was out of stock
you do not let customers k"&amp;"now that an item is out of stock until they contact you you just leave them hanging and wondering
you also take too long to deliver your products this is not acceptable when you pet has special dietary needs and you cannot supply the food they need it is"&amp;" very frustrating and we dont know what to do to be able to feed our precious pet
dont know if i will give your company a third try")</f>
        <v>two times i tried to order a particular flavor of food for my cat and both times your site said it was in stock about  days later after not hearing anything i contacted petflow only to find out that the product was out of stock
you do not let customers know that an item is out of stock until they contact you you just leave them hanging and wondering
you also take too long to deliver your products this is not acceptable when you pet has special dietary needs and you cannot supply the food they need it is very frustrating and we dont know what to do to be able to feed our precious pet
dont know if i will give your company a third try</v>
      </c>
      <c r="H1548" s="4" t="str">
        <f t="shared" si="1"/>
        <v>two times i tried order a particular flavor of food my cat both times your site said it was in stock about days later after not hearing anything i contacted petflow only find out that product was out of stock
you do not let customers know that an item out of stock until they contact you you just leave them hanging wondering
you also take too long deliver your products this not acceptable when you pet has special dietary needs you cannot supply food they need it very frustrating we dont know what do be able feed our precious pet
dont know if i will give your company a third try</v>
      </c>
      <c r="I1548" s="6">
        <f t="shared" si="2"/>
        <v>108</v>
      </c>
      <c r="J1548" s="6">
        <f>IFERROR(__xludf.DUMMYFUNCTION("IF(H1548="""","""",
SUM(
ARRAYFORMULA(
IF(
REGEXMATCH(
"" ""&amp;H1548&amp;"" "",
"" ""&amp;Sentiment_Words!A$2:A3730&amp;"" ""
),
1,
0
)
)
)
)"),1.0)</f>
        <v>1</v>
      </c>
      <c r="K1548" s="4">
        <f>IFERROR(__xludf.DUMMYFUNCTION("IF(H1548="""","""",
SUM(
ARRAYFORMULA(
IF(
REGEXMATCH(
"" ""&amp;H1548&amp;"" "",
"" ""&amp;Sentiment_Words!B$2:B3730&amp;"" ""
),
1,
0
)
)
)
)"),2.0)</f>
        <v>2</v>
      </c>
      <c r="L1548" s="7" t="str">
        <f t="shared" si="3"/>
        <v>Fulfillment &amp; Shipping</v>
      </c>
      <c r="M1548" s="7" t="str">
        <f t="shared" si="4"/>
        <v>Negative</v>
      </c>
      <c r="N1548" s="7" t="str">
        <f>IFERROR(__xludf.DUMMYFUNCTION("LOWER(
TRIM(
REGEXREPLACE(B1548,""[^a-zA-Z\s]"","""")
)
)
"),"penny")</f>
        <v>penny</v>
      </c>
      <c r="O1548" s="7">
        <f t="shared" si="5"/>
        <v>2</v>
      </c>
      <c r="P1548" s="8" t="str">
        <f t="shared" si="6"/>
        <v>Yes</v>
      </c>
    </row>
    <row r="1549">
      <c r="A1549" s="4" t="s">
        <v>16</v>
      </c>
      <c r="B1549" s="4" t="s">
        <v>4383</v>
      </c>
      <c r="C1549" s="9">
        <v>44811.0</v>
      </c>
      <c r="D1549" s="10">
        <v>44811.0</v>
      </c>
      <c r="E1549" s="4" t="s">
        <v>4384</v>
      </c>
      <c r="F1549" s="4" t="s">
        <v>4385</v>
      </c>
      <c r="G1549" s="6" t="str">
        <f>IFERROR(__xludf.DUMMYFUNCTION("REGEXREPLACE(LOWER(F1549),""[^a-z\s]"","""")"),"this is the first time i used pet flow and i was very happy with the results they got the approval from my vet and shipped the products in a timely manner i will be using them again")</f>
        <v>this is the first time i used pet flow and i was very happy with the results they got the approval from my vet and shipped the products in a timely manner i will be using them again</v>
      </c>
      <c r="H1549" s="4" t="str">
        <f t="shared" si="1"/>
        <v>this first time i used pet flow i was very happy with results they got approval from my vet shipped products in a timely manner i will be using them again</v>
      </c>
      <c r="I1549" s="6">
        <f t="shared" si="2"/>
        <v>31</v>
      </c>
      <c r="J1549" s="6">
        <f>IFERROR(__xludf.DUMMYFUNCTION("IF(H1549="""","""",
SUM(
ARRAYFORMULA(
IF(
REGEXMATCH(
"" ""&amp;H1549&amp;"" "",
"" ""&amp;Sentiment_Words!A$2:A3730&amp;"" ""
),
1,
0
)
)
)
)"),1.0)</f>
        <v>1</v>
      </c>
      <c r="K1549" s="4">
        <f>IFERROR(__xludf.DUMMYFUNCTION("IF(H1549="""","""",
SUM(
ARRAYFORMULA(
IF(
REGEXMATCH(
"" ""&amp;H1549&amp;"" "",
"" ""&amp;Sentiment_Words!B$2:B3730&amp;"" ""
),
1,
0
)
)
)
)"),0.0)</f>
        <v>0</v>
      </c>
      <c r="L1549" s="7" t="str">
        <f t="shared" si="3"/>
        <v>Other</v>
      </c>
      <c r="M1549" s="7" t="str">
        <f t="shared" si="4"/>
        <v>Positive</v>
      </c>
      <c r="N1549" s="7" t="str">
        <f>IFERROR(__xludf.DUMMYFUNCTION("LOWER(
TRIM(
REGEXREPLACE(B1549,""[^a-zA-Z\s]"","""")
)
)
"),"judith taylor")</f>
        <v>judith taylor</v>
      </c>
      <c r="O1549" s="7">
        <f t="shared" si="5"/>
        <v>1</v>
      </c>
      <c r="P1549" s="8" t="str">
        <f t="shared" si="6"/>
        <v>No</v>
      </c>
    </row>
    <row r="1550">
      <c r="A1550" s="4" t="s">
        <v>16</v>
      </c>
      <c r="B1550" s="4" t="s">
        <v>4386</v>
      </c>
      <c r="C1550" s="9">
        <v>44811.0</v>
      </c>
      <c r="D1550" s="10">
        <v>44811.0</v>
      </c>
      <c r="E1550" s="4" t="s">
        <v>4387</v>
      </c>
      <c r="F1550" s="4" t="s">
        <v>4388</v>
      </c>
      <c r="G1550" s="6" t="str">
        <f>IFERROR(__xludf.DUMMYFUNCTION("REGEXREPLACE(LOWER(F1550),""[^a-z\s]"","""")"),"great customer support and very fair pricing speedy delivery will use again and do rexommend")</f>
        <v>great customer support and very fair pricing speedy delivery will use again and do rexommend</v>
      </c>
      <c r="H1550" s="4" t="str">
        <f t="shared" si="1"/>
        <v>great customer support very fair pricing speedy delivery will use again do rexommend</v>
      </c>
      <c r="I1550" s="6">
        <f t="shared" si="2"/>
        <v>13</v>
      </c>
      <c r="J1550" s="6">
        <f>IFERROR(__xludf.DUMMYFUNCTION("IF(H1550="""","""",
SUM(
ARRAYFORMULA(
IF(
REGEXMATCH(
"" ""&amp;H1550&amp;"" "",
"" ""&amp;Sentiment_Words!A$2:A3730&amp;"" ""
),
1,
0
)
)
)
)"),1.0)</f>
        <v>1</v>
      </c>
      <c r="K1550" s="4">
        <f>IFERROR(__xludf.DUMMYFUNCTION("IF(H1550="""","""",
SUM(
ARRAYFORMULA(
IF(
REGEXMATCH(
"" ""&amp;H1550&amp;"" "",
"" ""&amp;Sentiment_Words!B$2:B3730&amp;"" ""
),
1,
0
)
)
)
)"),0.0)</f>
        <v>0</v>
      </c>
      <c r="L1550" s="7" t="str">
        <f t="shared" si="3"/>
        <v>Customer Support</v>
      </c>
      <c r="M1550" s="7" t="str">
        <f t="shared" si="4"/>
        <v>Positive</v>
      </c>
      <c r="N1550" s="7" t="str">
        <f>IFERROR(__xludf.DUMMYFUNCTION("LOWER(
TRIM(
REGEXREPLACE(B1550,""[^a-zA-Z\s]"","""")
)
)
"),"joel goldin")</f>
        <v>joel goldin</v>
      </c>
      <c r="O1550" s="7">
        <f t="shared" si="5"/>
        <v>1</v>
      </c>
      <c r="P1550" s="8" t="str">
        <f t="shared" si="6"/>
        <v>No</v>
      </c>
    </row>
    <row r="1551">
      <c r="A1551" s="4" t="s">
        <v>16</v>
      </c>
      <c r="B1551" s="4" t="s">
        <v>4389</v>
      </c>
      <c r="C1551" s="9">
        <v>44811.0</v>
      </c>
      <c r="D1551" s="10">
        <v>44811.0</v>
      </c>
      <c r="E1551" s="4" t="s">
        <v>4390</v>
      </c>
      <c r="F1551" s="4" t="s">
        <v>4391</v>
      </c>
      <c r="G1551" s="6" t="str">
        <f>IFERROR(__xludf.DUMMYFUNCTION("REGEXREPLACE(LOWER(F1551),""[^a-z\s]"","""")"),"good communication about delivery status")</f>
        <v>good communication about delivery status</v>
      </c>
      <c r="H1551" s="4" t="str">
        <f t="shared" si="1"/>
        <v>good communication about delivery status</v>
      </c>
      <c r="I1551" s="6">
        <f t="shared" si="2"/>
        <v>5</v>
      </c>
      <c r="J1551" s="6">
        <f>IFERROR(__xludf.DUMMYFUNCTION("IF(H1551="""","""",
SUM(
ARRAYFORMULA(
IF(
REGEXMATCH(
"" ""&amp;H1551&amp;"" "",
"" ""&amp;Sentiment_Words!A$2:A3730&amp;"" ""
),
1,
0
)
)
)
)"),1.0)</f>
        <v>1</v>
      </c>
      <c r="K1551" s="4">
        <f>IFERROR(__xludf.DUMMYFUNCTION("IF(H1551="""","""",
SUM(
ARRAYFORMULA(
IF(
REGEXMATCH(
"" ""&amp;H1551&amp;"" "",
"" ""&amp;Sentiment_Words!B$2:B3730&amp;"" ""
),
1,
0
)
)
)
)"),0.0)</f>
        <v>0</v>
      </c>
      <c r="L1551" s="7" t="str">
        <f t="shared" si="3"/>
        <v>Other</v>
      </c>
      <c r="M1551" s="7" t="str">
        <f t="shared" si="4"/>
        <v>Positive</v>
      </c>
      <c r="N1551" s="7" t="str">
        <f>IFERROR(__xludf.DUMMYFUNCTION("LOWER(
TRIM(
REGEXREPLACE(B1551,""[^a-zA-Z\s]"","""")
)
)
"),"db")</f>
        <v>db</v>
      </c>
      <c r="O1551" s="7">
        <f t="shared" si="5"/>
        <v>2</v>
      </c>
      <c r="P1551" s="8" t="str">
        <f t="shared" si="6"/>
        <v>Yes</v>
      </c>
    </row>
    <row r="1552">
      <c r="A1552" s="4" t="s">
        <v>16</v>
      </c>
      <c r="B1552" s="4" t="s">
        <v>4392</v>
      </c>
      <c r="C1552" s="9">
        <v>44811.0</v>
      </c>
      <c r="D1552" s="10">
        <v>44811.0</v>
      </c>
      <c r="E1552" s="4" t="s">
        <v>4393</v>
      </c>
      <c r="F1552" s="4" t="s">
        <v>4394</v>
      </c>
      <c r="G1552" s="6" t="str">
        <f>IFERROR(__xludf.DUMMYFUNCTION("REGEXREPLACE(LOWER(F1552),""[^a-z\s]"","""")"),"i am not paul weiler not only are you asking me to rate my experience you have joined my account with his
i am dawn martin and have canceled my account im a over  years a customer i hope you take my info off pauls account and vdh versa
thank you")</f>
        <v>i am not paul weiler not only are you asking me to rate my experience you have joined my account with his
i am dawn martin and have canceled my account im a over  years a customer i hope you take my info off pauls account and vdh versa
thank you</v>
      </c>
      <c r="H1552" s="4" t="str">
        <f t="shared" si="1"/>
        <v>i am not paul weiler not only are you asking me rate my experience you have joined my account with his
i am dawn martin have canceled my account im a over years a customer i hope you take my info off pauls account vdh versa
thank you</v>
      </c>
      <c r="I1552" s="6">
        <f t="shared" si="2"/>
        <v>46</v>
      </c>
      <c r="J1552" s="6">
        <f>IFERROR(__xludf.DUMMYFUNCTION("IF(H1552="""","""",
SUM(
ARRAYFORMULA(
IF(
REGEXMATCH(
"" ""&amp;H1552&amp;"" "",
"" ""&amp;Sentiment_Words!A$2:A3730&amp;"" ""
),
1,
0
)
)
)
)"),0.0)</f>
        <v>0</v>
      </c>
      <c r="K1552" s="4">
        <f>IFERROR(__xludf.DUMMYFUNCTION("IF(H1552="""","""",
SUM(
ARRAYFORMULA(
IF(
REGEXMATCH(
"" ""&amp;H1552&amp;"" "",
"" ""&amp;Sentiment_Words!B$2:B3730&amp;"" ""
),
1,
0
)
)
)
)"),0.0)</f>
        <v>0</v>
      </c>
      <c r="L1552" s="7" t="str">
        <f t="shared" si="3"/>
        <v>Account &amp; Website</v>
      </c>
      <c r="M1552" s="7" t="str">
        <f t="shared" si="4"/>
        <v>Neutral</v>
      </c>
      <c r="N1552" s="7" t="str">
        <f>IFERROR(__xludf.DUMMYFUNCTION("LOWER(
TRIM(
REGEXREPLACE(B1552,""[^a-zA-Z\s]"","""")
)
)
"),"paul weiler")</f>
        <v>paul weiler</v>
      </c>
      <c r="O1552" s="7">
        <f t="shared" si="5"/>
        <v>1</v>
      </c>
      <c r="P1552" s="8" t="str">
        <f t="shared" si="6"/>
        <v>No</v>
      </c>
    </row>
    <row r="1553">
      <c r="A1553" s="4" t="s">
        <v>16</v>
      </c>
      <c r="B1553" s="4" t="s">
        <v>4395</v>
      </c>
      <c r="C1553" s="9">
        <v>44810.0</v>
      </c>
      <c r="D1553" s="10">
        <v>44811.0</v>
      </c>
      <c r="E1553" s="4" t="s">
        <v>4396</v>
      </c>
      <c r="F1553" s="4" t="s">
        <v>4397</v>
      </c>
      <c r="G1553" s="6" t="str">
        <f>IFERROR(__xludf.DUMMYFUNCTION("REGEXREPLACE(LOWER(F1553),""[^a-z\s]"","""")"),"the website said they had the product  days later i received an email stating they were canceling my order they did not have the food i had originally ordered")</f>
        <v>the website said they had the product  days later i received an email stating they were canceling my order they did not have the food i had originally ordered</v>
      </c>
      <c r="H1553" s="4" t="str">
        <f t="shared" si="1"/>
        <v>website said they had product days later i received an email stating they were canceling my order they did not have food i had originally ordered</v>
      </c>
      <c r="I1553" s="6">
        <f t="shared" si="2"/>
        <v>26</v>
      </c>
      <c r="J1553" s="6">
        <f>IFERROR(__xludf.DUMMYFUNCTION("IF(H1553="""","""",
SUM(
ARRAYFORMULA(
IF(
REGEXMATCH(
"" ""&amp;H1553&amp;"" "",
"" ""&amp;Sentiment_Words!A$2:A3730&amp;"" ""
),
1,
0
)
)
)
)"),0.0)</f>
        <v>0</v>
      </c>
      <c r="K1553" s="4">
        <f>IFERROR(__xludf.DUMMYFUNCTION("IF(H1553="""","""",
SUM(
ARRAYFORMULA(
IF(
REGEXMATCH(
"" ""&amp;H1553&amp;"" "",
"" ""&amp;Sentiment_Words!B$2:B3730&amp;"" ""
),
1,
0
)
)
)
)"),0.0)</f>
        <v>0</v>
      </c>
      <c r="L1553" s="7" t="str">
        <f t="shared" si="3"/>
        <v>Fulfillment &amp; Shipping</v>
      </c>
      <c r="M1553" s="7" t="str">
        <f t="shared" si="4"/>
        <v>Neutral</v>
      </c>
      <c r="N1553" s="7" t="str">
        <f>IFERROR(__xludf.DUMMYFUNCTION("LOWER(
TRIM(
REGEXREPLACE(B1553,""[^a-zA-Z\s]"","""")
)
)
"),"charlie")</f>
        <v>charlie</v>
      </c>
      <c r="O1553" s="7">
        <f t="shared" si="5"/>
        <v>2</v>
      </c>
      <c r="P1553" s="8" t="str">
        <f t="shared" si="6"/>
        <v>Yes</v>
      </c>
    </row>
    <row r="1554">
      <c r="A1554" s="4" t="s">
        <v>16</v>
      </c>
      <c r="B1554" s="4" t="s">
        <v>4398</v>
      </c>
      <c r="C1554" s="9">
        <v>44810.0</v>
      </c>
      <c r="D1554" s="10">
        <v>44810.0</v>
      </c>
      <c r="E1554" s="4" t="s">
        <v>4399</v>
      </c>
      <c r="F1554" s="4" t="s">
        <v>4400</v>
      </c>
      <c r="G1554" s="6" t="str">
        <f>IFERROR(__xludf.DUMMYFUNCTION("REGEXREPLACE(LOWER(F1554),""[^a-z\s]"","""")"),"good service ordered dog food and it arrived within couple days")</f>
        <v>good service ordered dog food and it arrived within couple days</v>
      </c>
      <c r="H1554" s="4" t="str">
        <f t="shared" si="1"/>
        <v>good service ordered dog food it arrived within couple days</v>
      </c>
      <c r="I1554" s="6">
        <f t="shared" si="2"/>
        <v>10</v>
      </c>
      <c r="J1554" s="6">
        <f>IFERROR(__xludf.DUMMYFUNCTION("IF(H1554="""","""",
SUM(
ARRAYFORMULA(
IF(
REGEXMATCH(
"" ""&amp;H1554&amp;"" "",
"" ""&amp;Sentiment_Words!A$2:A3730&amp;"" ""
),
1,
0
)
)
)
)"),1.0)</f>
        <v>1</v>
      </c>
      <c r="K1554" s="4">
        <f>IFERROR(__xludf.DUMMYFUNCTION("IF(H1554="""","""",
SUM(
ARRAYFORMULA(
IF(
REGEXMATCH(
"" ""&amp;H1554&amp;"" "",
"" ""&amp;Sentiment_Words!B$2:B3730&amp;"" ""
),
1,
0
)
)
)
)"),0.0)</f>
        <v>0</v>
      </c>
      <c r="L1554" s="7" t="str">
        <f t="shared" si="3"/>
        <v>Customer Support</v>
      </c>
      <c r="M1554" s="7" t="str">
        <f t="shared" si="4"/>
        <v>Positive</v>
      </c>
      <c r="N1554" s="7" t="str">
        <f>IFERROR(__xludf.DUMMYFUNCTION("LOWER(
TRIM(
REGEXREPLACE(B1554,""[^a-zA-Z\s]"","""")
)
)
"),"john heitzman")</f>
        <v>john heitzman</v>
      </c>
      <c r="O1554" s="7">
        <f t="shared" si="5"/>
        <v>1</v>
      </c>
      <c r="P1554" s="8" t="str">
        <f t="shared" si="6"/>
        <v>No</v>
      </c>
    </row>
    <row r="1555">
      <c r="A1555" s="4" t="s">
        <v>16</v>
      </c>
      <c r="B1555" s="4" t="s">
        <v>4401</v>
      </c>
      <c r="C1555" s="9">
        <v>44810.0</v>
      </c>
      <c r="D1555" s="10">
        <v>44810.0</v>
      </c>
      <c r="E1555" s="4" t="s">
        <v>4402</v>
      </c>
      <c r="F1555" s="4" t="s">
        <v>4403</v>
      </c>
      <c r="G1555" s="6" t="str">
        <f>IFERROR(__xludf.DUMMYFUNCTION("REGEXREPLACE(LOWER(F1555),""[^a-z\s]"","""")"),"my product never made it to my doorstep and i still havent received my money back extremely disappointed with the service of this company")</f>
        <v>my product never made it to my doorstep and i still havent received my money back extremely disappointed with the service of this company</v>
      </c>
      <c r="H1555" s="4" t="str">
        <f t="shared" si="1"/>
        <v>my product never made it my doorstep i still havent received my money back extremely disappointed with service of this company</v>
      </c>
      <c r="I1555" s="6">
        <f t="shared" si="2"/>
        <v>21</v>
      </c>
      <c r="J1555" s="6">
        <f>IFERROR(__xludf.DUMMYFUNCTION("IF(H1555="""","""",
SUM(
ARRAYFORMULA(
IF(
REGEXMATCH(
"" ""&amp;H1555&amp;"" "",
"" ""&amp;Sentiment_Words!A$2:A3730&amp;"" ""
),
1,
0
)
)
)
)"),0.0)</f>
        <v>0</v>
      </c>
      <c r="K1555" s="4">
        <f>IFERROR(__xludf.DUMMYFUNCTION("IF(H1555="""","""",
SUM(
ARRAYFORMULA(
IF(
REGEXMATCH(
"" ""&amp;H1555&amp;"" "",
"" ""&amp;Sentiment_Words!B$2:B3730&amp;"" ""
),
1,
0
)
)
)
)"),0.0)</f>
        <v>0</v>
      </c>
      <c r="L1555" s="7" t="str">
        <f t="shared" si="3"/>
        <v>Customer Support</v>
      </c>
      <c r="M1555" s="7" t="str">
        <f t="shared" si="4"/>
        <v>Neutral</v>
      </c>
      <c r="N1555" s="7" t="str">
        <f>IFERROR(__xludf.DUMMYFUNCTION("LOWER(
TRIM(
REGEXREPLACE(B1555,""[^a-zA-Z\s]"","""")
)
)
"),"kallie daviscourt")</f>
        <v>kallie daviscourt</v>
      </c>
      <c r="O1555" s="7">
        <f t="shared" si="5"/>
        <v>1</v>
      </c>
      <c r="P1555" s="8" t="str">
        <f t="shared" si="6"/>
        <v>No</v>
      </c>
    </row>
    <row r="1556">
      <c r="A1556" s="4" t="s">
        <v>16</v>
      </c>
      <c r="B1556" s="4" t="s">
        <v>4404</v>
      </c>
      <c r="C1556" s="9">
        <v>44810.0</v>
      </c>
      <c r="D1556" s="10">
        <v>44810.0</v>
      </c>
      <c r="E1556" s="4" t="s">
        <v>4405</v>
      </c>
      <c r="F1556" s="4" t="s">
        <v>4406</v>
      </c>
      <c r="G1556" s="6" t="str">
        <f>IFERROR(__xludf.DUMMYFUNCTION("REGEXREPLACE(LOWER(F1556),""[^a-z\s]"","""")"),"prices are a little high but the shipping is outstanding i am able to get my dog what she needs")</f>
        <v>prices are a little high but the shipping is outstanding i am able to get my dog what she needs</v>
      </c>
      <c r="H1556" s="4" t="str">
        <f t="shared" si="1"/>
        <v>prices are a little high but shipping outstanding i am able get my dog what she needs</v>
      </c>
      <c r="I1556" s="6">
        <f t="shared" si="2"/>
        <v>17</v>
      </c>
      <c r="J1556" s="6">
        <f>IFERROR(__xludf.DUMMYFUNCTION("IF(H1556="""","""",
SUM(
ARRAYFORMULA(
IF(
REGEXMATCH(
"" ""&amp;H1556&amp;"" "",
"" ""&amp;Sentiment_Words!A$2:A3730&amp;"" ""
),
1,
0
)
)
)
)"),1.0)</f>
        <v>1</v>
      </c>
      <c r="K1556" s="4">
        <f>IFERROR(__xludf.DUMMYFUNCTION("IF(H1556="""","""",
SUM(
ARRAYFORMULA(
IF(
REGEXMATCH(
"" ""&amp;H1556&amp;"" "",
"" ""&amp;Sentiment_Words!B$2:B3730&amp;"" ""
),
1,
0
)
)
)
)"),0.0)</f>
        <v>0</v>
      </c>
      <c r="L1556" s="7" t="str">
        <f t="shared" si="3"/>
        <v>Other</v>
      </c>
      <c r="M1556" s="7" t="str">
        <f t="shared" si="4"/>
        <v>Positive</v>
      </c>
      <c r="N1556" s="7" t="str">
        <f>IFERROR(__xludf.DUMMYFUNCTION("LOWER(
TRIM(
REGEXREPLACE(B1556,""[^a-zA-Z\s]"","""")
)
)
"),"eric")</f>
        <v>eric</v>
      </c>
      <c r="O1556" s="7">
        <f t="shared" si="5"/>
        <v>2</v>
      </c>
      <c r="P1556" s="8" t="str">
        <f t="shared" si="6"/>
        <v>Yes</v>
      </c>
    </row>
    <row r="1557">
      <c r="A1557" s="4" t="s">
        <v>16</v>
      </c>
      <c r="B1557" s="4" t="s">
        <v>4407</v>
      </c>
      <c r="C1557" s="9">
        <v>44810.0</v>
      </c>
      <c r="D1557" s="10">
        <v>44810.0</v>
      </c>
      <c r="E1557" s="4" t="s">
        <v>4408</v>
      </c>
      <c r="F1557" s="4" t="s">
        <v>4409</v>
      </c>
      <c r="G1557" s="6" t="str">
        <f>IFERROR(__xludf.DUMMYFUNCTION("REGEXREPLACE(LOWER(F1557),""[^a-z\s]"","""")"),"i was happy first time ordered food from this company i usually ordered from chewy and then they sent me the wrong food for my dogs i called they were able to change it and asked me to send back the one i had the wrong one the new order yes it was  but it"&amp;"s still not here as of yet leaving to get food else where for my dogs but i had already paid for the first order  or  n change so im just here like what am i suppose to feed my dogs untilsmh im displeased with the service")</f>
        <v>i was happy first time ordered food from this company i usually ordered from chewy and then they sent me the wrong food for my dogs i called they were able to change it and asked me to send back the one i had the wrong one the new order yes it was  but its still not here as of yet leaving to get food else where for my dogs but i had already paid for the first order  or  n change so im just here like what am i suppose to feed my dogs untilsmh im displeased with the service</v>
      </c>
      <c r="H1557" s="4" t="str">
        <f t="shared" si="1"/>
        <v>i was happy first time ordered food from this company i usually ordered from chewy then they sent me wrong food my dogs i called they were able change it asked me send back one i had wrong one new order yes it was but its still not here as of yet leaving get food else where my dogs but i had already paid first order or n change so im just here like what am i suppose feed my dogs untilsmh im displeased with service</v>
      </c>
      <c r="I1557" s="6">
        <f t="shared" si="2"/>
        <v>86</v>
      </c>
      <c r="J1557" s="6">
        <f>IFERROR(__xludf.DUMMYFUNCTION("IF(H1557="""","""",
SUM(
ARRAYFORMULA(
IF(
REGEXMATCH(
"" ""&amp;H1557&amp;"" "",
"" ""&amp;Sentiment_Words!A$2:A3730&amp;"" ""
),
1,
0
)
)
)
)"),2.0)</f>
        <v>2</v>
      </c>
      <c r="K1557" s="4">
        <f>IFERROR(__xludf.DUMMYFUNCTION("IF(H1557="""","""",
SUM(
ARRAYFORMULA(
IF(
REGEXMATCH(
"" ""&amp;H1557&amp;"" "",
"" ""&amp;Sentiment_Words!B$2:B3730&amp;"" ""
),
1,
0
)
)
)
)"),1.0)</f>
        <v>1</v>
      </c>
      <c r="L1557" s="7" t="str">
        <f t="shared" si="3"/>
        <v>Customer Support</v>
      </c>
      <c r="M1557" s="7" t="str">
        <f t="shared" si="4"/>
        <v>Positive</v>
      </c>
      <c r="N1557" s="7" t="str">
        <f>IFERROR(__xludf.DUMMYFUNCTION("LOWER(
TRIM(
REGEXREPLACE(B1557,""[^a-zA-Z\s]"","""")
)
)
"),"nancy camacho")</f>
        <v>nancy camacho</v>
      </c>
      <c r="O1557" s="7">
        <f t="shared" si="5"/>
        <v>1</v>
      </c>
      <c r="P1557" s="8" t="str">
        <f t="shared" si="6"/>
        <v>No</v>
      </c>
    </row>
    <row r="1558">
      <c r="A1558" s="4" t="s">
        <v>16</v>
      </c>
      <c r="B1558" s="4" t="s">
        <v>4410</v>
      </c>
      <c r="C1558" s="9">
        <v>44810.0</v>
      </c>
      <c r="D1558" s="10">
        <v>44810.0</v>
      </c>
      <c r="E1558" s="4" t="s">
        <v>4411</v>
      </c>
      <c r="F1558" s="4" t="s">
        <v>4412</v>
      </c>
      <c r="G1558" s="6" t="str">
        <f>IFERROR(__xludf.DUMMYFUNCTION("REGEXREPLACE(LOWER(F1558),""[^a-z\s]"","""")"),"called twice to check on my order people on phone were pleasant but not very helpful my order was canceled without any communication from pet flow i was told that an email was sent but i did not receive one on the day of cancellation or ever very disappoi"&amp;"nted and dissatisfied")</f>
        <v>called twice to check on my order people on phone were pleasant but not very helpful my order was canceled without any communication from pet flow i was told that an email was sent but i did not receive one on the day of cancellation or ever very disappointed and dissatisfied</v>
      </c>
      <c r="H1558" s="4" t="str">
        <f t="shared" si="1"/>
        <v>called twice check on my order people on phone were pleasant but not very helpful my order was canceled without any communication from pet flow i was told that an email was sent but i did not receive one on day of cancellation or ever very disappointed dissatisfied</v>
      </c>
      <c r="I1558" s="6">
        <f t="shared" si="2"/>
        <v>48</v>
      </c>
      <c r="J1558" s="6">
        <f>IFERROR(__xludf.DUMMYFUNCTION("IF(H1558="""","""",
SUM(
ARRAYFORMULA(
IF(
REGEXMATCH(
"" ""&amp;H1558&amp;"" "",
"" ""&amp;Sentiment_Words!A$2:A3730&amp;"" ""
),
1,
0
)
)
)
)"),1.0)</f>
        <v>1</v>
      </c>
      <c r="K1558" s="4">
        <f>IFERROR(__xludf.DUMMYFUNCTION("IF(H1558="""","""",
SUM(
ARRAYFORMULA(
IF(
REGEXMATCH(
"" ""&amp;H1558&amp;"" "",
"" ""&amp;Sentiment_Words!B$2:B3730&amp;"" ""
),
1,
0
)
)
)
)"),0.0)</f>
        <v>0</v>
      </c>
      <c r="L1558" s="7" t="str">
        <f t="shared" si="3"/>
        <v>Trust &amp; Experience</v>
      </c>
      <c r="M1558" s="7" t="str">
        <f t="shared" si="4"/>
        <v>Positive</v>
      </c>
      <c r="N1558" s="7" t="str">
        <f>IFERROR(__xludf.DUMMYFUNCTION("LOWER(
TRIM(
REGEXREPLACE(B1558,""[^a-zA-Z\s]"","""")
)
)
"),"sandra hersom")</f>
        <v>sandra hersom</v>
      </c>
      <c r="O1558" s="7">
        <f t="shared" si="5"/>
        <v>1</v>
      </c>
      <c r="P1558" s="8" t="str">
        <f t="shared" si="6"/>
        <v>No</v>
      </c>
    </row>
    <row r="1559">
      <c r="A1559" s="4" t="s">
        <v>16</v>
      </c>
      <c r="B1559" s="4" t="s">
        <v>4413</v>
      </c>
      <c r="C1559" s="9">
        <v>44810.0</v>
      </c>
      <c r="D1559" s="10">
        <v>44810.0</v>
      </c>
      <c r="E1559" s="4" t="s">
        <v>4414</v>
      </c>
      <c r="F1559" s="4" t="s">
        <v>4415</v>
      </c>
      <c r="G1559" s="6" t="str">
        <f>IFERROR(__xludf.DUMMYFUNCTION("REGEXREPLACE(LOWER(F1559),""[^a-z\s]"","""")"),"the cat food arrived on time once i ordered the wrong flavor great customer service for an exchange of flavors")</f>
        <v>the cat food arrived on time once i ordered the wrong flavor great customer service for an exchange of flavors</v>
      </c>
      <c r="H1559" s="4" t="str">
        <f t="shared" si="1"/>
        <v>cat food arrived on time once i ordered wrong flavor great customer service an exchange of flavors</v>
      </c>
      <c r="I1559" s="6">
        <f t="shared" si="2"/>
        <v>17</v>
      </c>
      <c r="J1559" s="6">
        <f>IFERROR(__xludf.DUMMYFUNCTION("IF(H1559="""","""",
SUM(
ARRAYFORMULA(
IF(
REGEXMATCH(
"" ""&amp;H1559&amp;"" "",
"" ""&amp;Sentiment_Words!A$2:A3730&amp;"" ""
),
1,
0
)
)
)
)"),3.0)</f>
        <v>3</v>
      </c>
      <c r="K1559" s="4">
        <f>IFERROR(__xludf.DUMMYFUNCTION("IF(H1559="""","""",
SUM(
ARRAYFORMULA(
IF(
REGEXMATCH(
"" ""&amp;H1559&amp;"" "",
"" ""&amp;Sentiment_Words!B$2:B3730&amp;"" ""
),
1,
0
)
)
)
)"),2.0)</f>
        <v>2</v>
      </c>
      <c r="L1559" s="7" t="str">
        <f t="shared" si="3"/>
        <v>Customer Support</v>
      </c>
      <c r="M1559" s="7" t="str">
        <f t="shared" si="4"/>
        <v>Positive</v>
      </c>
      <c r="N1559" s="7" t="str">
        <f>IFERROR(__xludf.DUMMYFUNCTION("LOWER(
TRIM(
REGEXREPLACE(B1559,""[^a-zA-Z\s]"","""")
)
)
"),"martha garlick")</f>
        <v>martha garlick</v>
      </c>
      <c r="O1559" s="7">
        <f t="shared" si="5"/>
        <v>1</v>
      </c>
      <c r="P1559" s="8" t="str">
        <f t="shared" si="6"/>
        <v>No</v>
      </c>
    </row>
    <row r="1560">
      <c r="A1560" s="4" t="s">
        <v>16</v>
      </c>
      <c r="B1560" s="4" t="s">
        <v>4416</v>
      </c>
      <c r="C1560" s="9">
        <v>44810.0</v>
      </c>
      <c r="D1560" s="10">
        <v>44810.0</v>
      </c>
      <c r="E1560" s="4" t="s">
        <v>1045</v>
      </c>
      <c r="F1560" s="4" t="s">
        <v>4417</v>
      </c>
      <c r="G1560" s="6" t="str">
        <f>IFERROR(__xludf.DUMMYFUNCTION("REGEXREPLACE(LOWER(F1560),""[^a-z\s]"","""")"),"package arrived in timely manner")</f>
        <v>package arrived in timely manner</v>
      </c>
      <c r="H1560" s="4" t="str">
        <f t="shared" si="1"/>
        <v>package arrived in timely manner</v>
      </c>
      <c r="I1560" s="6">
        <f t="shared" si="2"/>
        <v>5</v>
      </c>
      <c r="J1560" s="6">
        <f>IFERROR(__xludf.DUMMYFUNCTION("IF(H1560="""","""",
SUM(
ARRAYFORMULA(
IF(
REGEXMATCH(
"" ""&amp;H1560&amp;"" "",
"" ""&amp;Sentiment_Words!A$2:A3730&amp;"" ""
),
1,
0
)
)
)
)"),0.0)</f>
        <v>0</v>
      </c>
      <c r="K1560" s="4">
        <f>IFERROR(__xludf.DUMMYFUNCTION("IF(H1560="""","""",
SUM(
ARRAYFORMULA(
IF(
REGEXMATCH(
"" ""&amp;H1560&amp;"" "",
"" ""&amp;Sentiment_Words!B$2:B3730&amp;"" ""
),
1,
0
)
)
)
)"),0.0)</f>
        <v>0</v>
      </c>
      <c r="L1560" s="7" t="str">
        <f t="shared" si="3"/>
        <v>Other</v>
      </c>
      <c r="M1560" s="7" t="str">
        <f t="shared" si="4"/>
        <v>Neutral</v>
      </c>
      <c r="N1560" s="7" t="str">
        <f>IFERROR(__xludf.DUMMYFUNCTION("LOWER(
TRIM(
REGEXREPLACE(B1560,""[^a-zA-Z\s]"","""")
)
)
"),"jennifer frain")</f>
        <v>jennifer frain</v>
      </c>
      <c r="O1560" s="7">
        <f t="shared" si="5"/>
        <v>1</v>
      </c>
      <c r="P1560" s="8" t="str">
        <f t="shared" si="6"/>
        <v>No</v>
      </c>
    </row>
    <row r="1561">
      <c r="A1561" s="4" t="s">
        <v>16</v>
      </c>
      <c r="B1561" s="4" t="s">
        <v>4418</v>
      </c>
      <c r="C1561" s="9">
        <v>44810.0</v>
      </c>
      <c r="D1561" s="10">
        <v>44810.0</v>
      </c>
      <c r="E1561" s="4" t="s">
        <v>190</v>
      </c>
      <c r="F1561" s="4" t="s">
        <v>4419</v>
      </c>
      <c r="G1561" s="6" t="str">
        <f>IFERROR(__xludf.DUMMYFUNCTION("REGEXREPLACE(LOWER(F1561),""[^a-z\s]"","""")"),"great customer service
it was so easy to set up an account and get reoccurring deliveries and the prices are right")</f>
        <v>great customer service
it was so easy to set up an account and get reoccurring deliveries and the prices are right</v>
      </c>
      <c r="H1561" s="4" t="str">
        <f t="shared" si="1"/>
        <v>great customer service
it was so easy set up an account get reoccurring deliveries prices are right</v>
      </c>
      <c r="I1561" s="6">
        <f t="shared" si="2"/>
        <v>16</v>
      </c>
      <c r="J1561" s="6">
        <f>IFERROR(__xludf.DUMMYFUNCTION("IF(H1561="""","""",
SUM(
ARRAYFORMULA(
IF(
REGEXMATCH(
"" ""&amp;H1561&amp;"" "",
"" ""&amp;Sentiment_Words!A$2:A3730&amp;"" ""
),
1,
0
)
)
)
)"),2.0)</f>
        <v>2</v>
      </c>
      <c r="K1561" s="4">
        <f>IFERROR(__xludf.DUMMYFUNCTION("IF(H1561="""","""",
SUM(
ARRAYFORMULA(
IF(
REGEXMATCH(
"" ""&amp;H1561&amp;"" "",
"" ""&amp;Sentiment_Words!B$2:B3730&amp;"" ""
),
1,
0
)
)
)
)"),0.0)</f>
        <v>0</v>
      </c>
      <c r="L1561" s="7" t="str">
        <f t="shared" si="3"/>
        <v>Customer Support</v>
      </c>
      <c r="M1561" s="7" t="str">
        <f t="shared" si="4"/>
        <v>Positive</v>
      </c>
      <c r="N1561" s="7" t="str">
        <f>IFERROR(__xludf.DUMMYFUNCTION("LOWER(
TRIM(
REGEXREPLACE(B1561,""[^a-zA-Z\s]"","""")
)
)
"),"steven poster")</f>
        <v>steven poster</v>
      </c>
      <c r="O1561" s="7">
        <f t="shared" si="5"/>
        <v>1</v>
      </c>
      <c r="P1561" s="8" t="str">
        <f t="shared" si="6"/>
        <v>No</v>
      </c>
    </row>
    <row r="1562">
      <c r="A1562" s="4" t="s">
        <v>16</v>
      </c>
      <c r="B1562" s="4" t="s">
        <v>4420</v>
      </c>
      <c r="C1562" s="9">
        <v>44810.0</v>
      </c>
      <c r="D1562" s="10">
        <v>44810.0</v>
      </c>
      <c r="E1562" s="4" t="s">
        <v>4421</v>
      </c>
      <c r="F1562" s="4" t="s">
        <v>4422</v>
      </c>
      <c r="G1562" s="6" t="str">
        <f>IFERROR(__xludf.DUMMYFUNCTION("REGEXREPLACE(LOWER(F1562),""[^a-z\s]"","""")"),"my order arrived promptly and packed well thanks")</f>
        <v>my order arrived promptly and packed well thanks</v>
      </c>
      <c r="H1562" s="4" t="str">
        <f t="shared" si="1"/>
        <v>my order arrived promptly packed well thanks</v>
      </c>
      <c r="I1562" s="6">
        <f t="shared" si="2"/>
        <v>7</v>
      </c>
      <c r="J1562" s="6">
        <f>IFERROR(__xludf.DUMMYFUNCTION("IF(H1562="""","""",
SUM(
ARRAYFORMULA(
IF(
REGEXMATCH(
"" ""&amp;H1562&amp;"" "",
"" ""&amp;Sentiment_Words!A$2:A3730&amp;"" ""
),
1,
0
)
)
)
)"),0.0)</f>
        <v>0</v>
      </c>
      <c r="K1562" s="4">
        <f>IFERROR(__xludf.DUMMYFUNCTION("IF(H1562="""","""",
SUM(
ARRAYFORMULA(
IF(
REGEXMATCH(
"" ""&amp;H1562&amp;"" "",
"" ""&amp;Sentiment_Words!B$2:B3730&amp;"" ""
),
1,
0
)
)
)
)"),0.0)</f>
        <v>0</v>
      </c>
      <c r="L1562" s="7" t="str">
        <f t="shared" si="3"/>
        <v>Other</v>
      </c>
      <c r="M1562" s="7" t="str">
        <f t="shared" si="4"/>
        <v>Neutral</v>
      </c>
      <c r="N1562" s="7" t="str">
        <f>IFERROR(__xludf.DUMMYFUNCTION("LOWER(
TRIM(
REGEXREPLACE(B1562,""[^a-zA-Z\s]"","""")
)
)
"),"tom p")</f>
        <v>tom p</v>
      </c>
      <c r="O1562" s="7">
        <f t="shared" si="5"/>
        <v>1</v>
      </c>
      <c r="P1562" s="8" t="str">
        <f t="shared" si="6"/>
        <v>No</v>
      </c>
    </row>
    <row r="1563">
      <c r="A1563" s="4" t="s">
        <v>16</v>
      </c>
      <c r="B1563" s="4" t="s">
        <v>4423</v>
      </c>
      <c r="C1563" s="9">
        <v>44809.0</v>
      </c>
      <c r="D1563" s="10">
        <v>44810.0</v>
      </c>
      <c r="E1563" s="4" t="s">
        <v>4424</v>
      </c>
      <c r="F1563" s="4" t="s">
        <v>4425</v>
      </c>
      <c r="G1563" s="6" t="str">
        <f>IFERROR(__xludf.DUMMYFUNCTION("REGEXREPLACE(LOWER(F1563),""[^a-z\s]"","""")"),"i do like petflow for my dogs food and supplies i found the auto ship to be somewhat confusing while i was determining how much dog food to order as my pup was growing im unsure how much the discount is for auto ship and when does it start i do not see di"&amp;"scount for auto ship on orders also as the price keeps rising for the dog food i order i think that i should get a notice of a price increase i do consider their shipping and delivery is good")</f>
        <v>i do like petflow for my dogs food and supplies i found the auto ship to be somewhat confusing while i was determining how much dog food to order as my pup was growing im unsure how much the discount is for auto ship and when does it start i do not see discount for auto ship on orders also as the price keeps rising for the dog food i order i think that i should get a notice of a price increase i do consider their shipping and delivery is good</v>
      </c>
      <c r="H1563" s="4" t="str">
        <f t="shared" si="1"/>
        <v>i do like petflow my dogs food supplies i found auto ship be somewhat confusing while i was determining how much dog food order as my pup was growing im unsure how much discount auto ship when does it start i do not see discount auto ship on orders also as price keeps rising dog food i order i think that i should get a notice of a price increase i do consider their shipping delivery good</v>
      </c>
      <c r="I1563" s="6">
        <f t="shared" si="2"/>
        <v>77</v>
      </c>
      <c r="J1563" s="6">
        <f>IFERROR(__xludf.DUMMYFUNCTION("IF(H1563="""","""",
SUM(
ARRAYFORMULA(
IF(
REGEXMATCH(
"" ""&amp;H1563&amp;"" "",
"" ""&amp;Sentiment_Words!A$2:A3730&amp;"" ""
),
1,
0
)
)
)
)"),3.0)</f>
        <v>3</v>
      </c>
      <c r="K1563" s="4">
        <f>IFERROR(__xludf.DUMMYFUNCTION("IF(H1563="""","""",
SUM(
ARRAYFORMULA(
IF(
REGEXMATCH(
"" ""&amp;H1563&amp;"" "",
"" ""&amp;Sentiment_Words!B$2:B3730&amp;"" ""
),
1,
0
)
)
)
)"),0.0)</f>
        <v>0</v>
      </c>
      <c r="L1563" s="7" t="str">
        <f t="shared" si="3"/>
        <v>Other</v>
      </c>
      <c r="M1563" s="7" t="str">
        <f t="shared" si="4"/>
        <v>Positive</v>
      </c>
      <c r="N1563" s="7" t="str">
        <f>IFERROR(__xludf.DUMMYFUNCTION("LOWER(
TRIM(
REGEXREPLACE(B1563,""[^a-zA-Z\s]"","""")
)
)
"),"deberoh gruver")</f>
        <v>deberoh gruver</v>
      </c>
      <c r="O1563" s="7">
        <f t="shared" si="5"/>
        <v>1</v>
      </c>
      <c r="P1563" s="8" t="str">
        <f t="shared" si="6"/>
        <v>No</v>
      </c>
    </row>
    <row r="1564">
      <c r="A1564" s="4" t="s">
        <v>16</v>
      </c>
      <c r="B1564" s="4" t="s">
        <v>4426</v>
      </c>
      <c r="C1564" s="9">
        <v>44809.0</v>
      </c>
      <c r="D1564" s="10">
        <v>44810.0</v>
      </c>
      <c r="E1564" s="4" t="s">
        <v>4427</v>
      </c>
      <c r="F1564" s="4" t="s">
        <v>4428</v>
      </c>
      <c r="G1564" s="6" t="str">
        <f>IFERROR(__xludf.DUMMYFUNCTION("REGEXREPLACE(LOWER(F1564),""[^a-z\s]"","""")"),"petflow was so helpful in telling me when i should expect my package and sure enough it came on time i couldnt ask for more")</f>
        <v>petflow was so helpful in telling me when i should expect my package and sure enough it came on time i couldnt ask for more</v>
      </c>
      <c r="H1564" s="4" t="str">
        <f t="shared" si="1"/>
        <v>petflow was so helpful in telling me when i should expect my package sure enough it came on time i couldnt ask more</v>
      </c>
      <c r="I1564" s="6">
        <f t="shared" si="2"/>
        <v>23</v>
      </c>
      <c r="J1564" s="6">
        <f>IFERROR(__xludf.DUMMYFUNCTION("IF(H1564="""","""",
SUM(
ARRAYFORMULA(
IF(
REGEXMATCH(
"" ""&amp;H1564&amp;"" "",
"" ""&amp;Sentiment_Words!A$2:A3730&amp;"" ""
),
1,
0
)
)
)
)"),2.0)</f>
        <v>2</v>
      </c>
      <c r="K1564" s="4">
        <f>IFERROR(__xludf.DUMMYFUNCTION("IF(H1564="""","""",
SUM(
ARRAYFORMULA(
IF(
REGEXMATCH(
"" ""&amp;H1564&amp;"" "",
"" ""&amp;Sentiment_Words!B$2:B3730&amp;"" ""
),
1,
0
)
)
)
)"),0.0)</f>
        <v>0</v>
      </c>
      <c r="L1564" s="7" t="str">
        <f t="shared" si="3"/>
        <v>Other</v>
      </c>
      <c r="M1564" s="7" t="str">
        <f t="shared" si="4"/>
        <v>Positive</v>
      </c>
      <c r="N1564" s="7" t="str">
        <f>IFERROR(__xludf.DUMMYFUNCTION("LOWER(
TRIM(
REGEXREPLACE(B1564,""[^a-zA-Z\s]"","""")
)
)
"),"cathy k")</f>
        <v>cathy k</v>
      </c>
      <c r="O1564" s="7">
        <f t="shared" si="5"/>
        <v>1</v>
      </c>
      <c r="P1564" s="8" t="str">
        <f t="shared" si="6"/>
        <v>No</v>
      </c>
    </row>
    <row r="1565">
      <c r="A1565" s="4" t="s">
        <v>16</v>
      </c>
      <c r="B1565" s="4" t="s">
        <v>4429</v>
      </c>
      <c r="C1565" s="9">
        <v>44809.0</v>
      </c>
      <c r="D1565" s="10">
        <v>44809.0</v>
      </c>
      <c r="E1565" s="4" t="s">
        <v>4430</v>
      </c>
      <c r="F1565" s="4" t="s">
        <v>4431</v>
      </c>
      <c r="G1565" s="6" t="str">
        <f>IFERROR(__xludf.DUMMYFUNCTION("REGEXREPLACE(LOWER(F1565),""[^a-z\s]"","""")"),"good products and prices very disappointed that it took  days for delivery im used to chewy with  day delivery")</f>
        <v>good products and prices very disappointed that it took  days for delivery im used to chewy with  day delivery</v>
      </c>
      <c r="H1565" s="4" t="str">
        <f t="shared" si="1"/>
        <v>good products prices very disappointed that it took days delivery im used chewy with day delivery</v>
      </c>
      <c r="I1565" s="6">
        <f t="shared" si="2"/>
        <v>16</v>
      </c>
      <c r="J1565" s="6">
        <f>IFERROR(__xludf.DUMMYFUNCTION("IF(H1565="""","""",
SUM(
ARRAYFORMULA(
IF(
REGEXMATCH(
"" ""&amp;H1565&amp;"" "",
"" ""&amp;Sentiment_Words!A$2:A3730&amp;"" ""
),
1,
0
)
)
)
)"),1.0)</f>
        <v>1</v>
      </c>
      <c r="K1565" s="4">
        <f>IFERROR(__xludf.DUMMYFUNCTION("IF(H1565="""","""",
SUM(
ARRAYFORMULA(
IF(
REGEXMATCH(
"" ""&amp;H1565&amp;"" "",
"" ""&amp;Sentiment_Words!B$2:B3730&amp;"" ""
),
1,
0
)
)
)
)"),0.0)</f>
        <v>0</v>
      </c>
      <c r="L1565" s="7" t="str">
        <f t="shared" si="3"/>
        <v>Trust &amp; Experience</v>
      </c>
      <c r="M1565" s="7" t="str">
        <f t="shared" si="4"/>
        <v>Positive</v>
      </c>
      <c r="N1565" s="7" t="str">
        <f>IFERROR(__xludf.DUMMYFUNCTION("LOWER(
TRIM(
REGEXREPLACE(B1565,""[^a-zA-Z\s]"","""")
)
)
"),"biscuit")</f>
        <v>biscuit</v>
      </c>
      <c r="O1565" s="7">
        <f t="shared" si="5"/>
        <v>1</v>
      </c>
      <c r="P1565" s="8" t="str">
        <f t="shared" si="6"/>
        <v>No</v>
      </c>
    </row>
    <row r="1566">
      <c r="A1566" s="4" t="s">
        <v>16</v>
      </c>
      <c r="B1566" s="4" t="s">
        <v>4432</v>
      </c>
      <c r="C1566" s="9">
        <v>44809.0</v>
      </c>
      <c r="D1566" s="10">
        <v>44809.0</v>
      </c>
      <c r="E1566" s="4" t="s">
        <v>4433</v>
      </c>
      <c r="F1566" s="4" t="s">
        <v>4434</v>
      </c>
      <c r="G1566" s="6" t="str">
        <f>IFERROR(__xludf.DUMMYFUNCTION("REGEXREPLACE(LOWER(F1566),""[^a-z\s]"","""")"),"great service also was able to find the prescription food i needed for my cat only here after finding it out of stock at my vet and at other web sites both my precious cat and i are very happy now")</f>
        <v>great service also was able to find the prescription food i needed for my cat only here after finding it out of stock at my vet and at other web sites both my precious cat and i are very happy now</v>
      </c>
      <c r="H1566" s="4" t="str">
        <f t="shared" si="1"/>
        <v>great service also was able find prescription food i needed my cat only here after finding it out of stock at my vet at other web sites both my precious cat i are very happy now</v>
      </c>
      <c r="I1566" s="6">
        <f t="shared" si="2"/>
        <v>36</v>
      </c>
      <c r="J1566" s="6">
        <f>IFERROR(__xludf.DUMMYFUNCTION("IF(H1566="""","""",
SUM(
ARRAYFORMULA(
IF(
REGEXMATCH(
"" ""&amp;H1566&amp;"" "",
"" ""&amp;Sentiment_Words!A$2:A3730&amp;"" ""
),
1,
0
)
)
)
)"),3.0)</f>
        <v>3</v>
      </c>
      <c r="K1566" s="4">
        <f>IFERROR(__xludf.DUMMYFUNCTION("IF(H1566="""","""",
SUM(
ARRAYFORMULA(
IF(
REGEXMATCH(
"" ""&amp;H1566&amp;"" "",
"" ""&amp;Sentiment_Words!B$2:B3730&amp;"" ""
),
1,
0
)
)
)
)"),1.0)</f>
        <v>1</v>
      </c>
      <c r="L1566" s="7" t="str">
        <f t="shared" si="3"/>
        <v>Customer Support</v>
      </c>
      <c r="M1566" s="7" t="str">
        <f t="shared" si="4"/>
        <v>Positive</v>
      </c>
      <c r="N1566" s="7" t="str">
        <f>IFERROR(__xludf.DUMMYFUNCTION("LOWER(
TRIM(
REGEXREPLACE(B1566,""[^a-zA-Z\s]"","""")
)
)
"),"jose araujo")</f>
        <v>jose araujo</v>
      </c>
      <c r="O1566" s="7">
        <f t="shared" si="5"/>
        <v>1</v>
      </c>
      <c r="P1566" s="8" t="str">
        <f t="shared" si="6"/>
        <v>No</v>
      </c>
    </row>
    <row r="1567">
      <c r="A1567" s="4" t="s">
        <v>16</v>
      </c>
      <c r="B1567" s="4" t="s">
        <v>4435</v>
      </c>
      <c r="C1567" s="9">
        <v>44809.0</v>
      </c>
      <c r="D1567" s="10">
        <v>44809.0</v>
      </c>
      <c r="E1567" s="4" t="s">
        <v>623</v>
      </c>
      <c r="F1567" s="4" t="s">
        <v>331</v>
      </c>
      <c r="G1567" s="6" t="str">
        <f>IFERROR(__xludf.DUMMYFUNCTION("REGEXREPLACE(LOWER(F1567),""[^a-z\s]"","""")"),"none")</f>
        <v>none</v>
      </c>
      <c r="H1567" s="4" t="str">
        <f t="shared" si="1"/>
        <v>none</v>
      </c>
      <c r="I1567" s="6">
        <f t="shared" si="2"/>
        <v>1</v>
      </c>
      <c r="J1567" s="6">
        <f>IFERROR(__xludf.DUMMYFUNCTION("IF(H1567="""","""",
SUM(
ARRAYFORMULA(
IF(
REGEXMATCH(
"" ""&amp;H1567&amp;"" "",
"" ""&amp;Sentiment_Words!A$2:A3730&amp;"" ""
),
1,
0
)
)
)
)"),0.0)</f>
        <v>0</v>
      </c>
      <c r="K1567" s="4">
        <f>IFERROR(__xludf.DUMMYFUNCTION("IF(H1567="""","""",
SUM(
ARRAYFORMULA(
IF(
REGEXMATCH(
"" ""&amp;H1567&amp;"" "",
"" ""&amp;Sentiment_Words!B$2:B3730&amp;"" ""
),
1,
0
)
)
)
)"),0.0)</f>
        <v>0</v>
      </c>
      <c r="L1567" s="7" t="str">
        <f t="shared" si="3"/>
        <v>Other</v>
      </c>
      <c r="M1567" s="7" t="str">
        <f t="shared" si="4"/>
        <v>Neutral</v>
      </c>
      <c r="N1567" s="7" t="str">
        <f>IFERROR(__xludf.DUMMYFUNCTION("LOWER(
TRIM(
REGEXREPLACE(B1567,""[^a-zA-Z\s]"","""")
)
)
"),"bomarkat")</f>
        <v>bomarkat</v>
      </c>
      <c r="O1567" s="7">
        <f t="shared" si="5"/>
        <v>1</v>
      </c>
      <c r="P1567" s="8" t="str">
        <f t="shared" si="6"/>
        <v>No</v>
      </c>
    </row>
    <row r="1568">
      <c r="A1568" s="4" t="s">
        <v>16</v>
      </c>
      <c r="B1568" s="4" t="s">
        <v>4436</v>
      </c>
      <c r="C1568" s="9">
        <v>44809.0</v>
      </c>
      <c r="D1568" s="10">
        <v>44809.0</v>
      </c>
      <c r="E1568" s="4" t="s">
        <v>4437</v>
      </c>
      <c r="F1568" s="4" t="s">
        <v>4438</v>
      </c>
      <c r="G1568" s="6" t="str">
        <f>IFERROR(__xludf.DUMMYFUNCTION("REGEXREPLACE(LOWER(F1568),""[^a-z\s]"","""")"),"no one called me to tell me my order was going to be late my husband called and gave his credit card several months ago and i have placed orders with this credit card numerous times but for some reason yall decided not to send this order because our last "&amp;"names are not the same so the dog food was so late i had to go out and purchase dog food from our vet which was very expensive maybe its time to go back to chewy")</f>
        <v>no one called me to tell me my order was going to be late my husband called and gave his credit card several months ago and i have placed orders with this credit card numerous times but for some reason yall decided not to send this order because our last names are not the same so the dog food was so late i had to go out and purchase dog food from our vet which was very expensive maybe its time to go back to chewy</v>
      </c>
      <c r="H1568" s="4" t="str">
        <f t="shared" si="1"/>
        <v>no one called me tell me my order was going be late my husband called gave his credit card several months ago i have placed orders with this credit card numerous times but some reason yall decided not send this order because our last names are not same so dog food was so late i had go out purchase dog food from our vet which was very expensive maybe its time go back chewy</v>
      </c>
      <c r="I1568" s="6">
        <f t="shared" si="2"/>
        <v>74</v>
      </c>
      <c r="J1568" s="6">
        <f>IFERROR(__xludf.DUMMYFUNCTION("IF(H1568="""","""",
SUM(
ARRAYFORMULA(
IF(
REGEXMATCH(
"" ""&amp;H1568&amp;"" "",
"" ""&amp;Sentiment_Words!A$2:A3730&amp;"" ""
),
1,
0
)
)
)
)"),0.0)</f>
        <v>0</v>
      </c>
      <c r="K1568" s="4">
        <f>IFERROR(__xludf.DUMMYFUNCTION("IF(H1568="""","""",
SUM(
ARRAYFORMULA(
IF(
REGEXMATCH(
"" ""&amp;H1568&amp;"" "",
"" ""&amp;Sentiment_Words!B$2:B3730&amp;"" ""
),
1,
0
)
)
)
)"),0.0)</f>
        <v>0</v>
      </c>
      <c r="L1568" s="7" t="str">
        <f t="shared" si="3"/>
        <v>Fulfillment &amp; Shipping</v>
      </c>
      <c r="M1568" s="7" t="str">
        <f t="shared" si="4"/>
        <v>Neutral</v>
      </c>
      <c r="N1568" s="7" t="str">
        <f>IFERROR(__xludf.DUMMYFUNCTION("LOWER(
TRIM(
REGEXREPLACE(B1568,""[^a-zA-Z\s]"","""")
)
)
"),"carole springer")</f>
        <v>carole springer</v>
      </c>
      <c r="O1568" s="7">
        <f t="shared" si="5"/>
        <v>1</v>
      </c>
      <c r="P1568" s="8" t="str">
        <f t="shared" si="6"/>
        <v>No</v>
      </c>
    </row>
    <row r="1569">
      <c r="A1569" s="4" t="s">
        <v>16</v>
      </c>
      <c r="B1569" s="4" t="s">
        <v>4439</v>
      </c>
      <c r="C1569" s="9">
        <v>44809.0</v>
      </c>
      <c r="D1569" s="10">
        <v>44809.0</v>
      </c>
      <c r="E1569" s="4" t="s">
        <v>4440</v>
      </c>
      <c r="F1569" s="4" t="s">
        <v>4441</v>
      </c>
      <c r="G1569" s="6" t="str">
        <f>IFERROR(__xludf.DUMMYFUNCTION("REGEXREPLACE(LOWER(F1569),""[^a-z\s]"","""")"),"fast reliable shipping")</f>
        <v>fast reliable shipping</v>
      </c>
      <c r="H1569" s="4" t="str">
        <f t="shared" si="1"/>
        <v>fast reliable shipping</v>
      </c>
      <c r="I1569" s="6">
        <f t="shared" si="2"/>
        <v>3</v>
      </c>
      <c r="J1569" s="6">
        <f>IFERROR(__xludf.DUMMYFUNCTION("IF(H1569="""","""",
SUM(
ARRAYFORMULA(
IF(
REGEXMATCH(
"" ""&amp;H1569&amp;"" "",
"" ""&amp;Sentiment_Words!A$2:A3730&amp;"" ""
),
1,
0
)
)
)
)"),2.0)</f>
        <v>2</v>
      </c>
      <c r="K1569" s="4">
        <f>IFERROR(__xludf.DUMMYFUNCTION("IF(H1569="""","""",
SUM(
ARRAYFORMULA(
IF(
REGEXMATCH(
"" ""&amp;H1569&amp;"" "",
"" ""&amp;Sentiment_Words!B$2:B3730&amp;"" ""
),
1,
0
)
)
)
)"),0.0)</f>
        <v>0</v>
      </c>
      <c r="L1569" s="7" t="str">
        <f t="shared" si="3"/>
        <v>Other</v>
      </c>
      <c r="M1569" s="7" t="str">
        <f t="shared" si="4"/>
        <v>Positive</v>
      </c>
      <c r="N1569" s="7" t="str">
        <f>IFERROR(__xludf.DUMMYFUNCTION("LOWER(
TRIM(
REGEXREPLACE(B1569,""[^a-zA-Z\s]"","""")
)
)
"),"daniel")</f>
        <v>daniel</v>
      </c>
      <c r="O1569" s="7">
        <f t="shared" si="5"/>
        <v>3</v>
      </c>
      <c r="P1569" s="8" t="str">
        <f t="shared" si="6"/>
        <v>Yes</v>
      </c>
    </row>
    <row r="1570">
      <c r="A1570" s="4" t="s">
        <v>16</v>
      </c>
      <c r="B1570" s="4" t="s">
        <v>4442</v>
      </c>
      <c r="C1570" s="9">
        <v>44809.0</v>
      </c>
      <c r="D1570" s="10">
        <v>44809.0</v>
      </c>
      <c r="E1570" s="4" t="s">
        <v>972</v>
      </c>
      <c r="F1570" s="4" t="s">
        <v>4443</v>
      </c>
      <c r="G1570" s="6" t="str">
        <f>IFERROR(__xludf.DUMMYFUNCTION("REGEXREPLACE(LOWER(F1570),""[^a-z\s]"","""")"),"easy to order quick free shipping got veterinary food i needed in the large size pet smart wont sell you the large size which is a much better deal been ordering all of chloes treats from you for several years keep up the good work please get her some mor"&amp;"e piggy sticksthanks")</f>
        <v>easy to order quick free shipping got veterinary food i needed in the large size pet smart wont sell you the large size which is a much better deal been ordering all of chloes treats from you for several years keep up the good work please get her some more piggy sticksthanks</v>
      </c>
      <c r="H1570" s="4" t="str">
        <f t="shared" si="1"/>
        <v>easy order quick free shipping got veterinary food i needed in large size pet smart wont sell you large size which a much better deal been ordering all of chloes treats from you several years keep up good work please get her some more piggy sticksthanks</v>
      </c>
      <c r="I1570" s="6">
        <f t="shared" si="2"/>
        <v>46</v>
      </c>
      <c r="J1570" s="6">
        <f>IFERROR(__xludf.DUMMYFUNCTION("IF(H1570="""","""",
SUM(
ARRAYFORMULA(
IF(
REGEXMATCH(
"" ""&amp;H1570&amp;"" "",
"" ""&amp;Sentiment_Words!A$2:A3730&amp;"" ""
),
1,
0
)
)
)
)"),2.0)</f>
        <v>2</v>
      </c>
      <c r="K1570" s="4">
        <f>IFERROR(__xludf.DUMMYFUNCTION("IF(H1570="""","""",
SUM(
ARRAYFORMULA(
IF(
REGEXMATCH(
"" ""&amp;H1570&amp;"" "",
"" ""&amp;Sentiment_Words!B$2:B3730&amp;"" ""
),
1,
0
)
)
)
)"),0.0)</f>
        <v>0</v>
      </c>
      <c r="L1570" s="7" t="str">
        <f t="shared" si="3"/>
        <v>Other</v>
      </c>
      <c r="M1570" s="7" t="str">
        <f t="shared" si="4"/>
        <v>Positive</v>
      </c>
      <c r="N1570" s="7" t="str">
        <f>IFERROR(__xludf.DUMMYFUNCTION("LOWER(
TRIM(
REGEXREPLACE(B1570,""[^a-zA-Z\s]"","""")
)
)
"),"lon carney")</f>
        <v>lon carney</v>
      </c>
      <c r="O1570" s="7">
        <f t="shared" si="5"/>
        <v>1</v>
      </c>
      <c r="P1570" s="8" t="str">
        <f t="shared" si="6"/>
        <v>No</v>
      </c>
    </row>
    <row r="1571">
      <c r="A1571" s="4" t="s">
        <v>16</v>
      </c>
      <c r="B1571" s="4" t="s">
        <v>4444</v>
      </c>
      <c r="C1571" s="9">
        <v>44809.0</v>
      </c>
      <c r="D1571" s="10">
        <v>44809.0</v>
      </c>
      <c r="E1571" s="4" t="s">
        <v>2558</v>
      </c>
      <c r="F1571" s="4" t="s">
        <v>4445</v>
      </c>
      <c r="G1571" s="6" t="str">
        <f>IFERROR(__xludf.DUMMYFUNCTION("REGEXREPLACE(LOWER(F1571),""[^a-z\s]"","""")"),"shipping was fast delivery was not not delivered by estimated day but  days after wish it was more accurate")</f>
        <v>shipping was fast delivery was not not delivered by estimated day but  days after wish it was more accurate</v>
      </c>
      <c r="H1571" s="4" t="str">
        <f t="shared" si="1"/>
        <v>shipping was fast delivery was not not delivered by estimated day but days after wish it was more accurate</v>
      </c>
      <c r="I1571" s="6">
        <f t="shared" si="2"/>
        <v>19</v>
      </c>
      <c r="J1571" s="6">
        <f>IFERROR(__xludf.DUMMYFUNCTION("IF(H1571="""","""",
SUM(
ARRAYFORMULA(
IF(
REGEXMATCH(
"" ""&amp;H1571&amp;"" "",
"" ""&amp;Sentiment_Words!A$2:A3730&amp;"" ""
),
1,
0
)
)
)
)"),3.0)</f>
        <v>3</v>
      </c>
      <c r="K1571" s="4">
        <f>IFERROR(__xludf.DUMMYFUNCTION("IF(H1571="""","""",
SUM(
ARRAYFORMULA(
IF(
REGEXMATCH(
"" ""&amp;H1571&amp;"" "",
"" ""&amp;Sentiment_Words!B$2:B3730&amp;"" ""
),
1,
0
)
)
)
)"),0.0)</f>
        <v>0</v>
      </c>
      <c r="L1571" s="7" t="str">
        <f t="shared" si="3"/>
        <v>Other</v>
      </c>
      <c r="M1571" s="7" t="str">
        <f t="shared" si="4"/>
        <v>Positive</v>
      </c>
      <c r="N1571" s="7" t="str">
        <f>IFERROR(__xludf.DUMMYFUNCTION("LOWER(
TRIM(
REGEXREPLACE(B1571,""[^a-zA-Z\s]"","""")
)
)
"),"kady tetzlaff")</f>
        <v>kady tetzlaff</v>
      </c>
      <c r="O1571" s="7">
        <f t="shared" si="5"/>
        <v>1</v>
      </c>
      <c r="P1571" s="8" t="str">
        <f t="shared" si="6"/>
        <v>No</v>
      </c>
    </row>
    <row r="1572">
      <c r="A1572" s="4" t="s">
        <v>16</v>
      </c>
      <c r="B1572" s="4" t="s">
        <v>4446</v>
      </c>
      <c r="C1572" s="9">
        <v>44808.0</v>
      </c>
      <c r="D1572" s="10">
        <v>44808.0</v>
      </c>
      <c r="E1572" s="4" t="s">
        <v>4447</v>
      </c>
      <c r="F1572" s="4" t="s">
        <v>4448</v>
      </c>
      <c r="G1572" s="6" t="str">
        <f>IFERROR(__xludf.DUMMYFUNCTION("REGEXREPLACE(LOWER(F1572),""[^a-z\s]"","""")"),"all was good not one complaint ")</f>
        <v>all was good not one complaint </v>
      </c>
      <c r="H1572" s="4" t="str">
        <f t="shared" si="1"/>
        <v>all was good not one complaint</v>
      </c>
      <c r="I1572" s="6">
        <f t="shared" si="2"/>
        <v>6</v>
      </c>
      <c r="J1572" s="6">
        <f>IFERROR(__xludf.DUMMYFUNCTION("IF(H1572="""","""",
SUM(
ARRAYFORMULA(
IF(
REGEXMATCH(
"" ""&amp;H1572&amp;"" "",
"" ""&amp;Sentiment_Words!A$2:A3730&amp;"" ""
),
1,
0
)
)
)
)"),1.0)</f>
        <v>1</v>
      </c>
      <c r="K1572" s="4">
        <f>IFERROR(__xludf.DUMMYFUNCTION("IF(H1572="""","""",
SUM(
ARRAYFORMULA(
IF(
REGEXMATCH(
"" ""&amp;H1572&amp;"" "",
"" ""&amp;Sentiment_Words!B$2:B3730&amp;"" ""
),
1,
0
)
)
)
)"),0.0)</f>
        <v>0</v>
      </c>
      <c r="L1572" s="7" t="str">
        <f t="shared" si="3"/>
        <v>Other</v>
      </c>
      <c r="M1572" s="7" t="str">
        <f t="shared" si="4"/>
        <v>Positive</v>
      </c>
      <c r="N1572" s="7" t="str">
        <f>IFERROR(__xludf.DUMMYFUNCTION("LOWER(
TRIM(
REGEXREPLACE(B1572,""[^a-zA-Z\s]"","""")
)
)
"),"peggy jo gustis")</f>
        <v>peggy jo gustis</v>
      </c>
      <c r="O1572" s="7">
        <f t="shared" si="5"/>
        <v>1</v>
      </c>
      <c r="P1572" s="8" t="str">
        <f t="shared" si="6"/>
        <v>No</v>
      </c>
    </row>
    <row r="1573">
      <c r="A1573" s="4" t="s">
        <v>16</v>
      </c>
      <c r="B1573" s="4" t="s">
        <v>4449</v>
      </c>
      <c r="C1573" s="9">
        <v>44808.0</v>
      </c>
      <c r="D1573" s="10">
        <v>44808.0</v>
      </c>
      <c r="E1573" s="4" t="s">
        <v>4450</v>
      </c>
      <c r="F1573" s="4" t="s">
        <v>4451</v>
      </c>
      <c r="G1573" s="6" t="str">
        <f>IFERROR(__xludf.DUMMYFUNCTION("REGEXREPLACE(LOWER(F1573),""[^a-z\s]"","""")"),"shipping was on the slow side but worse boxes were destroyed thankfully dog food bags were not ripped open")</f>
        <v>shipping was on the slow side but worse boxes were destroyed thankfully dog food bags were not ripped open</v>
      </c>
      <c r="H1573" s="4" t="str">
        <f t="shared" si="1"/>
        <v>shipping was on slow side but worse boxes were destroyed thankfully dog food bags were not ripped open</v>
      </c>
      <c r="I1573" s="6">
        <f t="shared" si="2"/>
        <v>18</v>
      </c>
      <c r="J1573" s="6">
        <f>IFERROR(__xludf.DUMMYFUNCTION("IF(H1573="""","""",
SUM(
ARRAYFORMULA(
IF(
REGEXMATCH(
"" ""&amp;H1573&amp;"" "",
"" ""&amp;Sentiment_Words!A$2:A3730&amp;"" ""
),
1,
0
)
)
)
)"),1.0)</f>
        <v>1</v>
      </c>
      <c r="K1573" s="4">
        <f>IFERROR(__xludf.DUMMYFUNCTION("IF(H1573="""","""",
SUM(
ARRAYFORMULA(
IF(
REGEXMATCH(
"" ""&amp;H1573&amp;"" "",
"" ""&amp;Sentiment_Words!B$2:B3730&amp;"" ""
),
1,
0
)
)
)
)"),0.0)</f>
        <v>0</v>
      </c>
      <c r="L1573" s="7" t="str">
        <f t="shared" si="3"/>
        <v>Other</v>
      </c>
      <c r="M1573" s="7" t="str">
        <f t="shared" si="4"/>
        <v>Positive</v>
      </c>
      <c r="N1573" s="7" t="str">
        <f>IFERROR(__xludf.DUMMYFUNCTION("LOWER(
TRIM(
REGEXREPLACE(B1573,""[^a-zA-Z\s]"","""")
)
)
"),"dan")</f>
        <v>dan</v>
      </c>
      <c r="O1573" s="7">
        <f t="shared" si="5"/>
        <v>2</v>
      </c>
      <c r="P1573" s="8" t="str">
        <f t="shared" si="6"/>
        <v>Yes</v>
      </c>
    </row>
    <row r="1574">
      <c r="A1574" s="4" t="s">
        <v>16</v>
      </c>
      <c r="B1574" s="4" t="s">
        <v>4452</v>
      </c>
      <c r="C1574" s="9">
        <v>44808.0</v>
      </c>
      <c r="D1574" s="10">
        <v>44808.0</v>
      </c>
      <c r="E1574" s="4" t="s">
        <v>4453</v>
      </c>
      <c r="F1574" s="4" t="s">
        <v>4454</v>
      </c>
      <c r="G1574" s="6" t="str">
        <f>IFERROR(__xludf.DUMMYFUNCTION("REGEXREPLACE(LOWER(F1574),""[^a-z\s]"","""")"),"i am always happy with my orders from petflow i get my food within a couple days")</f>
        <v>i am always happy with my orders from petflow i get my food within a couple days</v>
      </c>
      <c r="H1574" s="4" t="str">
        <f t="shared" si="1"/>
        <v>i am always happy with my orders from petflow i get my food within a couple days</v>
      </c>
      <c r="I1574" s="6">
        <f t="shared" si="2"/>
        <v>17</v>
      </c>
      <c r="J1574" s="6">
        <f>IFERROR(__xludf.DUMMYFUNCTION("IF(H1574="""","""",
SUM(
ARRAYFORMULA(
IF(
REGEXMATCH(
"" ""&amp;H1574&amp;"" "",
"" ""&amp;Sentiment_Words!A$2:A3730&amp;"" ""
),
1,
0
)
)
)
)"),1.0)</f>
        <v>1</v>
      </c>
      <c r="K1574" s="4">
        <f>IFERROR(__xludf.DUMMYFUNCTION("IF(H1574="""","""",
SUM(
ARRAYFORMULA(
IF(
REGEXMATCH(
"" ""&amp;H1574&amp;"" "",
"" ""&amp;Sentiment_Words!B$2:B3730&amp;"" ""
),
1,
0
)
)
)
)"),0.0)</f>
        <v>0</v>
      </c>
      <c r="L1574" s="7" t="str">
        <f t="shared" si="3"/>
        <v>Other</v>
      </c>
      <c r="M1574" s="7" t="str">
        <f t="shared" si="4"/>
        <v>Positive</v>
      </c>
      <c r="N1574" s="7" t="str">
        <f>IFERROR(__xludf.DUMMYFUNCTION("LOWER(
TRIM(
REGEXREPLACE(B1574,""[^a-zA-Z\s]"","""")
)
)
"),"maureen watson")</f>
        <v>maureen watson</v>
      </c>
      <c r="O1574" s="7">
        <f t="shared" si="5"/>
        <v>1</v>
      </c>
      <c r="P1574" s="8" t="str">
        <f t="shared" si="6"/>
        <v>No</v>
      </c>
    </row>
    <row r="1575">
      <c r="A1575" s="4" t="s">
        <v>16</v>
      </c>
      <c r="B1575" s="4" t="s">
        <v>4455</v>
      </c>
      <c r="C1575" s="9">
        <v>44808.0</v>
      </c>
      <c r="D1575" s="10">
        <v>44808.0</v>
      </c>
      <c r="E1575" s="4" t="s">
        <v>4456</v>
      </c>
      <c r="F1575" s="4" t="s">
        <v>4457</v>
      </c>
      <c r="G1575" s="6" t="str">
        <f>IFERROR(__xludf.DUMMYFUNCTION("REGEXREPLACE(LOWER(F1575),""[^a-z\s]"","""")"),"placed an order received the order late but was sent a discount coupon to make up for it thats nice")</f>
        <v>placed an order received the order late but was sent a discount coupon to make up for it thats nice</v>
      </c>
      <c r="H1575" s="4" t="str">
        <f t="shared" si="1"/>
        <v>placed an order received order late but was sent a discount coupon make up it thats nice</v>
      </c>
      <c r="I1575" s="6">
        <f t="shared" si="2"/>
        <v>17</v>
      </c>
      <c r="J1575" s="6">
        <f>IFERROR(__xludf.DUMMYFUNCTION("IF(H1575="""","""",
SUM(
ARRAYFORMULA(
IF(
REGEXMATCH(
"" ""&amp;H1575&amp;"" "",
"" ""&amp;Sentiment_Words!A$2:A3730&amp;"" ""
),
1,
0
)
)
)
)"),0.0)</f>
        <v>0</v>
      </c>
      <c r="K1575" s="4">
        <f>IFERROR(__xludf.DUMMYFUNCTION("IF(H1575="""","""",
SUM(
ARRAYFORMULA(
IF(
REGEXMATCH(
"" ""&amp;H1575&amp;"" "",
"" ""&amp;Sentiment_Words!B$2:B3730&amp;"" ""
),
1,
0
)
)
)
)"),0.0)</f>
        <v>0</v>
      </c>
      <c r="L1575" s="7" t="str">
        <f t="shared" si="3"/>
        <v>Fulfillment &amp; Shipping</v>
      </c>
      <c r="M1575" s="7" t="str">
        <f t="shared" si="4"/>
        <v>Neutral</v>
      </c>
      <c r="N1575" s="7" t="str">
        <f>IFERROR(__xludf.DUMMYFUNCTION("LOWER(
TRIM(
REGEXREPLACE(B1575,""[^a-zA-Z\s]"","""")
)
)
"),"corinne brown")</f>
        <v>corinne brown</v>
      </c>
      <c r="O1575" s="7">
        <f t="shared" si="5"/>
        <v>1</v>
      </c>
      <c r="P1575" s="8" t="str">
        <f t="shared" si="6"/>
        <v>No</v>
      </c>
    </row>
    <row r="1576">
      <c r="A1576" s="4" t="s">
        <v>16</v>
      </c>
      <c r="B1576" s="4" t="s">
        <v>4458</v>
      </c>
      <c r="C1576" s="9">
        <v>44808.0</v>
      </c>
      <c r="D1576" s="10">
        <v>44808.0</v>
      </c>
      <c r="E1576" s="4" t="s">
        <v>4459</v>
      </c>
      <c r="F1576" s="4" t="s">
        <v>4460</v>
      </c>
      <c r="G1576" s="6" t="str">
        <f>IFERROR(__xludf.DUMMYFUNCTION("REGEXREPLACE(LOWER(F1576),""[^a-z\s]"","""")"),"the site and purchase was fine but then my order was canceled due to the food being out of stock its a prescriptions food so i was pleased to find somewhere that had it everywhere else has said its on backorder then disappointed when it was unavailable")</f>
        <v>the site and purchase was fine but then my order was canceled due to the food being out of stock its a prescriptions food so i was pleased to find somewhere that had it everywhere else has said its on backorder then disappointed when it was unavailable</v>
      </c>
      <c r="H1576" s="4" t="str">
        <f t="shared" si="1"/>
        <v>site purchase was fine but then my order was canceled due food being out of stock its a prescriptions food so i was pleased find somewhere that had it everywhere else has said its on backorder then disappointed when it was unavailable</v>
      </c>
      <c r="I1576" s="6">
        <f t="shared" si="2"/>
        <v>42</v>
      </c>
      <c r="J1576" s="6">
        <f>IFERROR(__xludf.DUMMYFUNCTION("IF(H1576="""","""",
SUM(
ARRAYFORMULA(
IF(
REGEXMATCH(
"" ""&amp;H1576&amp;"" "",
"" ""&amp;Sentiment_Words!A$2:A3730&amp;"" ""
),
1,
0
)
)
)
)"),0.0)</f>
        <v>0</v>
      </c>
      <c r="K1576" s="4">
        <f>IFERROR(__xludf.DUMMYFUNCTION("IF(H1576="""","""",
SUM(
ARRAYFORMULA(
IF(
REGEXMATCH(
"" ""&amp;H1576&amp;"" "",
"" ""&amp;Sentiment_Words!B$2:B3730&amp;"" ""
),
1,
0
)
)
)
)"),2.0)</f>
        <v>2</v>
      </c>
      <c r="L1576" s="7" t="str">
        <f t="shared" si="3"/>
        <v>Availability</v>
      </c>
      <c r="M1576" s="7" t="str">
        <f t="shared" si="4"/>
        <v>Negative</v>
      </c>
      <c r="N1576" s="7" t="str">
        <f>IFERROR(__xludf.DUMMYFUNCTION("LOWER(
TRIM(
REGEXREPLACE(B1576,""[^a-zA-Z\s]"","""")
)
)
"),"laura bishop")</f>
        <v>laura bishop</v>
      </c>
      <c r="O1576" s="7">
        <f t="shared" si="5"/>
        <v>1</v>
      </c>
      <c r="P1576" s="8" t="str">
        <f t="shared" si="6"/>
        <v>No</v>
      </c>
    </row>
    <row r="1577">
      <c r="A1577" s="4" t="s">
        <v>16</v>
      </c>
      <c r="B1577" s="4" t="s">
        <v>4461</v>
      </c>
      <c r="C1577" s="9">
        <v>44808.0</v>
      </c>
      <c r="D1577" s="10">
        <v>44808.0</v>
      </c>
      <c r="E1577" s="4" t="s">
        <v>446</v>
      </c>
      <c r="F1577" s="4" t="s">
        <v>4462</v>
      </c>
      <c r="G1577" s="6" t="str">
        <f>IFERROR(__xludf.DUMMYFUNCTION("REGEXREPLACE(LOWER(F1577),""[^a-z\s]"","""")"),"super fast shipping lowest price online")</f>
        <v>super fast shipping lowest price online</v>
      </c>
      <c r="H1577" s="4" t="str">
        <f t="shared" si="1"/>
        <v>super fast shipping lowest price online</v>
      </c>
      <c r="I1577" s="6">
        <f t="shared" si="2"/>
        <v>6</v>
      </c>
      <c r="J1577" s="6">
        <f>IFERROR(__xludf.DUMMYFUNCTION("IF(H1577="""","""",
SUM(
ARRAYFORMULA(
IF(
REGEXMATCH(
"" ""&amp;H1577&amp;"" "",
"" ""&amp;Sentiment_Words!A$2:A3730&amp;"" ""
),
1,
0
)
)
)
)"),1.0)</f>
        <v>1</v>
      </c>
      <c r="K1577" s="4">
        <f>IFERROR(__xludf.DUMMYFUNCTION("IF(H1577="""","""",
SUM(
ARRAYFORMULA(
IF(
REGEXMATCH(
"" ""&amp;H1577&amp;"" "",
"" ""&amp;Sentiment_Words!B$2:B3730&amp;"" ""
),
1,
0
)
)
)
)"),0.0)</f>
        <v>0</v>
      </c>
      <c r="L1577" s="7" t="str">
        <f t="shared" si="3"/>
        <v>Other</v>
      </c>
      <c r="M1577" s="7" t="str">
        <f t="shared" si="4"/>
        <v>Positive</v>
      </c>
      <c r="N1577" s="7" t="str">
        <f>IFERROR(__xludf.DUMMYFUNCTION("LOWER(
TRIM(
REGEXREPLACE(B1577,""[^a-zA-Z\s]"","""")
)
)
"),"feniix")</f>
        <v>feniix</v>
      </c>
      <c r="O1577" s="7">
        <f t="shared" si="5"/>
        <v>1</v>
      </c>
      <c r="P1577" s="8" t="str">
        <f t="shared" si="6"/>
        <v>No</v>
      </c>
    </row>
    <row r="1578">
      <c r="A1578" s="4" t="s">
        <v>16</v>
      </c>
      <c r="B1578" s="4" t="s">
        <v>4463</v>
      </c>
      <c r="C1578" s="9">
        <v>44808.0</v>
      </c>
      <c r="D1578" s="10">
        <v>44808.0</v>
      </c>
      <c r="E1578" s="4" t="s">
        <v>4464</v>
      </c>
      <c r="F1578" s="4" t="s">
        <v>4465</v>
      </c>
      <c r="G1578" s="6" t="str">
        <f>IFERROR(__xludf.DUMMYFUNCTION("REGEXREPLACE(LOWER(F1578),""[^a-z\s]"","""")"),"i was given a  discount off  purchase my order was split and shipped in  shipments  day apart they removed the discount customer service did give me the discount after i requested it satisfied will probably order from them again provided good price on ite"&amp;"m needed")</f>
        <v>i was given a  discount off  purchase my order was split and shipped in  shipments  day apart they removed the discount customer service did give me the discount after i requested it satisfied will probably order from them again provided good price on item needed</v>
      </c>
      <c r="H1578" s="4" t="str">
        <f t="shared" si="1"/>
        <v>i was given a discount off purchase my order was split shipped in shipments day apart they removed discount customer service did give me discount after i requested it satisfied will probably order from them again provided good price on item needed</v>
      </c>
      <c r="I1578" s="6">
        <f t="shared" si="2"/>
        <v>42</v>
      </c>
      <c r="J1578" s="6">
        <f>IFERROR(__xludf.DUMMYFUNCTION("IF(H1578="""","""",
SUM(
ARRAYFORMULA(
IF(
REGEXMATCH(
"" ""&amp;H1578&amp;"" "",
"" ""&amp;Sentiment_Words!A$2:A3730&amp;"" ""
),
1,
0
)
)
)
)"),2.0)</f>
        <v>2</v>
      </c>
      <c r="K1578" s="4">
        <f>IFERROR(__xludf.DUMMYFUNCTION("IF(H1578="""","""",
SUM(
ARRAYFORMULA(
IF(
REGEXMATCH(
"" ""&amp;H1578&amp;"" "",
"" ""&amp;Sentiment_Words!B$2:B3730&amp;"" ""
),
1,
0
)
)
)
)"),1.0)</f>
        <v>1</v>
      </c>
      <c r="L1578" s="7" t="str">
        <f t="shared" si="3"/>
        <v>Customer Support</v>
      </c>
      <c r="M1578" s="7" t="str">
        <f t="shared" si="4"/>
        <v>Positive</v>
      </c>
      <c r="N1578" s="7" t="str">
        <f>IFERROR(__xludf.DUMMYFUNCTION("LOWER(
TRIM(
REGEXREPLACE(B1578,""[^a-zA-Z\s]"","""")
)
)
"),"beth v")</f>
        <v>beth v</v>
      </c>
      <c r="O1578" s="7">
        <f t="shared" si="5"/>
        <v>1</v>
      </c>
      <c r="P1578" s="8" t="str">
        <f t="shared" si="6"/>
        <v>No</v>
      </c>
    </row>
    <row r="1579">
      <c r="A1579" s="4" t="s">
        <v>16</v>
      </c>
      <c r="B1579" s="4" t="s">
        <v>4466</v>
      </c>
      <c r="C1579" s="9">
        <v>44808.0</v>
      </c>
      <c r="D1579" s="10">
        <v>44808.0</v>
      </c>
      <c r="E1579" s="4" t="s">
        <v>4467</v>
      </c>
      <c r="F1579" s="4" t="s">
        <v>4468</v>
      </c>
      <c r="G1579" s="6" t="str">
        <f>IFERROR(__xludf.DUMMYFUNCTION("REGEXREPLACE(LOWER(F1579),""[^a-z\s]"","""")"),"ordered dog food and i was informed that it shipped on the twenty second of august its now the third of september and no dog food they said it would take seven to ten days its now been twelve days")</f>
        <v>ordered dog food and i was informed that it shipped on the twenty second of august its now the third of september and no dog food they said it would take seven to ten days its now been twelve days</v>
      </c>
      <c r="H1579" s="4" t="str">
        <f t="shared" si="1"/>
        <v>ordered dog food i was informed that it shipped on twenty second of august its now third of september no dog food they said it would take seven ten days its now been twelve days</v>
      </c>
      <c r="I1579" s="6">
        <f t="shared" si="2"/>
        <v>35</v>
      </c>
      <c r="J1579" s="6">
        <f>IFERROR(__xludf.DUMMYFUNCTION("IF(H1579="""","""",
SUM(
ARRAYFORMULA(
IF(
REGEXMATCH(
"" ""&amp;H1579&amp;"" "",
"" ""&amp;Sentiment_Words!A$2:A3730&amp;"" ""
),
1,
0
)
)
)
)"),0.0)</f>
        <v>0</v>
      </c>
      <c r="K1579" s="4">
        <f>IFERROR(__xludf.DUMMYFUNCTION("IF(H1579="""","""",
SUM(
ARRAYFORMULA(
IF(
REGEXMATCH(
"" ""&amp;H1579&amp;"" "",
"" ""&amp;Sentiment_Words!B$2:B3730&amp;"" ""
),
1,
0
)
)
)
)"),0.0)</f>
        <v>0</v>
      </c>
      <c r="L1579" s="7" t="str">
        <f t="shared" si="3"/>
        <v>Other</v>
      </c>
      <c r="M1579" s="7" t="str">
        <f t="shared" si="4"/>
        <v>Neutral</v>
      </c>
      <c r="N1579" s="7" t="str">
        <f>IFERROR(__xludf.DUMMYFUNCTION("LOWER(
TRIM(
REGEXREPLACE(B1579,""[^a-zA-Z\s]"","""")
)
)
"),"syndee f")</f>
        <v>syndee f</v>
      </c>
      <c r="O1579" s="7">
        <f t="shared" si="5"/>
        <v>1</v>
      </c>
      <c r="P1579" s="8" t="str">
        <f t="shared" si="6"/>
        <v>No</v>
      </c>
    </row>
    <row r="1580">
      <c r="A1580" s="4" t="s">
        <v>16</v>
      </c>
      <c r="B1580" s="4" t="s">
        <v>4469</v>
      </c>
      <c r="C1580" s="9">
        <v>44807.0</v>
      </c>
      <c r="D1580" s="10">
        <v>44808.0</v>
      </c>
      <c r="E1580" s="4" t="s">
        <v>4470</v>
      </c>
      <c r="F1580" s="4" t="s">
        <v>4471</v>
      </c>
      <c r="G1580" s="6" t="str">
        <f>IFERROR(__xludf.DUMMYFUNCTION("REGEXREPLACE(LOWER(F1580),""[^a-z\s]"","""")"),"the service at pet flow is very reliable and the prices are very competetive")</f>
        <v>the service at pet flow is very reliable and the prices are very competetive</v>
      </c>
      <c r="H1580" s="4" t="str">
        <f t="shared" si="1"/>
        <v>service at pet flow very reliable prices are very competetive</v>
      </c>
      <c r="I1580" s="6">
        <f t="shared" si="2"/>
        <v>10</v>
      </c>
      <c r="J1580" s="6">
        <f>IFERROR(__xludf.DUMMYFUNCTION("IF(H1580="""","""",
SUM(
ARRAYFORMULA(
IF(
REGEXMATCH(
"" ""&amp;H1580&amp;"" "",
"" ""&amp;Sentiment_Words!A$2:A3730&amp;"" ""
),
1,
0
)
)
)
)"),1.0)</f>
        <v>1</v>
      </c>
      <c r="K1580" s="4">
        <f>IFERROR(__xludf.DUMMYFUNCTION("IF(H1580="""","""",
SUM(
ARRAYFORMULA(
IF(
REGEXMATCH(
"" ""&amp;H1580&amp;"" "",
"" ""&amp;Sentiment_Words!B$2:B3730&amp;"" ""
),
1,
0
)
)
)
)"),0.0)</f>
        <v>0</v>
      </c>
      <c r="L1580" s="7" t="str">
        <f t="shared" si="3"/>
        <v>Customer Support</v>
      </c>
      <c r="M1580" s="7" t="str">
        <f t="shared" si="4"/>
        <v>Positive</v>
      </c>
      <c r="N1580" s="7" t="str">
        <f>IFERROR(__xludf.DUMMYFUNCTION("LOWER(
TRIM(
REGEXREPLACE(B1580,""[^a-zA-Z\s]"","""")
)
)
"),"ksj")</f>
        <v>ksj</v>
      </c>
      <c r="O1580" s="7">
        <f t="shared" si="5"/>
        <v>1</v>
      </c>
      <c r="P1580" s="8" t="str">
        <f t="shared" si="6"/>
        <v>No</v>
      </c>
    </row>
    <row r="1581">
      <c r="A1581" s="4" t="s">
        <v>16</v>
      </c>
      <c r="B1581" s="4" t="s">
        <v>4472</v>
      </c>
      <c r="C1581" s="9">
        <v>44807.0</v>
      </c>
      <c r="D1581" s="10">
        <v>44807.0</v>
      </c>
      <c r="E1581" s="4" t="s">
        <v>4473</v>
      </c>
      <c r="F1581" s="4" t="s">
        <v>4474</v>
      </c>
      <c r="G1581" s="6" t="str">
        <f>IFERROR(__xludf.DUMMYFUNCTION("REGEXREPLACE(LOWER(F1581),""[^a-z\s]"","""")"),"all good so far but what can i say about dog food on time and price was probably fair so we will see")</f>
        <v>all good so far but what can i say about dog food on time and price was probably fair so we will see</v>
      </c>
      <c r="H1581" s="4" t="str">
        <f t="shared" si="1"/>
        <v>all good so far but what can i say about dog food on time price was probably fair so we will see</v>
      </c>
      <c r="I1581" s="6">
        <f t="shared" si="2"/>
        <v>22</v>
      </c>
      <c r="J1581" s="6">
        <f>IFERROR(__xludf.DUMMYFUNCTION("IF(H1581="""","""",
SUM(
ARRAYFORMULA(
IF(
REGEXMATCH(
"" ""&amp;H1581&amp;"" "",
"" ""&amp;Sentiment_Words!A$2:A3730&amp;"" ""
),
1,
0
)
)
)
)"),2.0)</f>
        <v>2</v>
      </c>
      <c r="K1581" s="4">
        <f>IFERROR(__xludf.DUMMYFUNCTION("IF(H1581="""","""",
SUM(
ARRAYFORMULA(
IF(
REGEXMATCH(
"" ""&amp;H1581&amp;"" "",
"" ""&amp;Sentiment_Words!B$2:B3730&amp;"" ""
),
1,
0
)
)
)
)"),0.0)</f>
        <v>0</v>
      </c>
      <c r="L1581" s="7" t="str">
        <f t="shared" si="3"/>
        <v>Other</v>
      </c>
      <c r="M1581" s="7" t="str">
        <f t="shared" si="4"/>
        <v>Positive</v>
      </c>
      <c r="N1581" s="7" t="str">
        <f>IFERROR(__xludf.DUMMYFUNCTION("LOWER(
TRIM(
REGEXREPLACE(B1581,""[^a-zA-Z\s]"","""")
)
)
"),"don land")</f>
        <v>don land</v>
      </c>
      <c r="O1581" s="7">
        <f t="shared" si="5"/>
        <v>1</v>
      </c>
      <c r="P1581" s="8" t="str">
        <f t="shared" si="6"/>
        <v>No</v>
      </c>
    </row>
    <row r="1582">
      <c r="A1582" s="4" t="s">
        <v>16</v>
      </c>
      <c r="B1582" s="4" t="s">
        <v>4475</v>
      </c>
      <c r="C1582" s="9">
        <v>44807.0</v>
      </c>
      <c r="D1582" s="10">
        <v>44807.0</v>
      </c>
      <c r="E1582" s="4" t="s">
        <v>4476</v>
      </c>
      <c r="F1582" s="4" t="s">
        <v>4477</v>
      </c>
      <c r="G1582" s="6" t="str">
        <f>IFERROR(__xludf.DUMMYFUNCTION("REGEXREPLACE(LOWER(F1582),""[^a-z\s]"","""")"),"i would give  stars but i had several issues with the website im sure its working through the kinks technology is great until it doesnt work i will say the online chat was on point with helping i think i was actually texting with a real human and my techn"&amp;"ical issues were solved shipping was super fast overall i was completely satisfied and will order again")</f>
        <v>i would give  stars but i had several issues with the website im sure its working through the kinks technology is great until it doesnt work i will say the online chat was on point with helping i think i was actually texting with a real human and my technical issues were solved shipping was super fast overall i was completely satisfied and will order again</v>
      </c>
      <c r="H1582" s="4" t="str">
        <f t="shared" si="1"/>
        <v>i would give stars but i had several issues with website im sure its working through kinks technology great until it doesnt work i will say online chat was on point with helping i think i was actually texting with a real human my technical issues were solved shipping was super fast overall i was completely satisfied will order again</v>
      </c>
      <c r="I1582" s="6">
        <f t="shared" si="2"/>
        <v>60</v>
      </c>
      <c r="J1582" s="6">
        <f>IFERROR(__xludf.DUMMYFUNCTION("IF(H1582="""","""",
SUM(
ARRAYFORMULA(
IF(
REGEXMATCH(
"" ""&amp;H1582&amp;"" "",
"" ""&amp;Sentiment_Words!A$2:A3730&amp;"" ""
),
1,
0
)
)
)
)"),4.0)</f>
        <v>4</v>
      </c>
      <c r="K1582" s="4">
        <f>IFERROR(__xludf.DUMMYFUNCTION("IF(H1582="""","""",
SUM(
ARRAYFORMULA(
IF(
REGEXMATCH(
"" ""&amp;H1582&amp;"" "",
"" ""&amp;Sentiment_Words!B$2:B3730&amp;"" ""
),
1,
0
)
)
)
)"),0.0)</f>
        <v>0</v>
      </c>
      <c r="L1582" s="7" t="str">
        <f t="shared" si="3"/>
        <v>Account &amp; Website</v>
      </c>
      <c r="M1582" s="7" t="str">
        <f t="shared" si="4"/>
        <v>Positive</v>
      </c>
      <c r="N1582" s="7" t="str">
        <f>IFERROR(__xludf.DUMMYFUNCTION("LOWER(
TRIM(
REGEXREPLACE(B1582,""[^a-zA-Z\s]"","""")
)
)
"),"dawn mordica")</f>
        <v>dawn mordica</v>
      </c>
      <c r="O1582" s="7">
        <f t="shared" si="5"/>
        <v>1</v>
      </c>
      <c r="P1582" s="8" t="str">
        <f t="shared" si="6"/>
        <v>No</v>
      </c>
    </row>
    <row r="1583">
      <c r="A1583" s="4" t="s">
        <v>16</v>
      </c>
      <c r="B1583" s="4" t="s">
        <v>4478</v>
      </c>
      <c r="C1583" s="9">
        <v>44807.0</v>
      </c>
      <c r="D1583" s="10">
        <v>44807.0</v>
      </c>
      <c r="E1583" s="4" t="s">
        <v>4479</v>
      </c>
      <c r="F1583" s="4" t="s">
        <v>4480</v>
      </c>
      <c r="G1583" s="6" t="str">
        <f>IFERROR(__xludf.DUMMYFUNCTION("REGEXREPLACE(LOWER(F1583),""[^a-z\s]"","""")"),"i placed an order with the company for high quality dog food when it arrived it had been expired for nearly  months this was my first order and though they refunded me when i complained i still lost faith in them as a company i expect better than expired "&amp;"food there prices were also much higher than our local small pet shop by about  i would not recommend them")</f>
        <v>i placed an order with the company for high quality dog food when it arrived it had been expired for nearly  months this was my first order and though they refunded me when i complained i still lost faith in them as a company i expect better than expired food there prices were also much higher than our local small pet shop by about  i would not recommend them</v>
      </c>
      <c r="H1583" s="4" t="str">
        <f t="shared" si="1"/>
        <v>i placed an order with company high quality dog food when it arrived it had been expired nearly months this was my first order though they refunded me when i complained i still lost faith in them as a company i expect better than expired food there prices were also much higher than our local small pet shop by about i would not recommend them</v>
      </c>
      <c r="I1583" s="6">
        <f t="shared" si="2"/>
        <v>65</v>
      </c>
      <c r="J1583" s="6">
        <f>IFERROR(__xludf.DUMMYFUNCTION("IF(H1583="""","""",
SUM(
ARRAYFORMULA(
IF(
REGEXMATCH(
"" ""&amp;H1583&amp;"" "",
"" ""&amp;Sentiment_Words!A$2:A3730&amp;"" ""
),
1,
0
)
)
)
)"),0.0)</f>
        <v>0</v>
      </c>
      <c r="K1583" s="4">
        <f>IFERROR(__xludf.DUMMYFUNCTION("IF(H1583="""","""",
SUM(
ARRAYFORMULA(
IF(
REGEXMATCH(
"" ""&amp;H1583&amp;"" "",
"" ""&amp;Sentiment_Words!B$2:B3730&amp;"" ""
),
1,
0
)
)
)
)"),2.0)</f>
        <v>2</v>
      </c>
      <c r="L1583" s="7" t="str">
        <f t="shared" si="3"/>
        <v>Food Safety</v>
      </c>
      <c r="M1583" s="7" t="str">
        <f t="shared" si="4"/>
        <v>Negative</v>
      </c>
      <c r="N1583" s="7" t="str">
        <f>IFERROR(__xludf.DUMMYFUNCTION("LOWER(
TRIM(
REGEXREPLACE(B1583,""[^a-zA-Z\s]"","""")
)
)
"),"linda j larson")</f>
        <v>linda j larson</v>
      </c>
      <c r="O1583" s="7">
        <f t="shared" si="5"/>
        <v>1</v>
      </c>
      <c r="P1583" s="8" t="str">
        <f t="shared" si="6"/>
        <v>No</v>
      </c>
    </row>
    <row r="1584">
      <c r="A1584" s="4" t="s">
        <v>16</v>
      </c>
      <c r="B1584" s="4" t="s">
        <v>4481</v>
      </c>
      <c r="C1584" s="9">
        <v>44807.0</v>
      </c>
      <c r="D1584" s="10">
        <v>44807.0</v>
      </c>
      <c r="E1584" s="4" t="s">
        <v>4482</v>
      </c>
      <c r="F1584" s="4" t="s">
        <v>4483</v>
      </c>
      <c r="G1584" s="6" t="str">
        <f>IFERROR(__xludf.DUMMYFUNCTION("REGEXREPLACE(LOWER(F1584),""[^a-z\s]"","""")"),"my dog needed a prescription diet dog food this company is a joke have us the complete run around for  weeks meanwhile my dog suffered i do not recommend this website or this company to anyone")</f>
        <v>my dog needed a prescription diet dog food this company is a joke have us the complete run around for  weeks meanwhile my dog suffered i do not recommend this website or this company to anyone</v>
      </c>
      <c r="H1584" s="4" t="str">
        <f t="shared" si="1"/>
        <v>my dog needed a prescription diet dog food this company a joke have us complete run around weeks meanwhile my dog suffered i do not recommend this website or this company anyone</v>
      </c>
      <c r="I1584" s="6">
        <f t="shared" si="2"/>
        <v>32</v>
      </c>
      <c r="J1584" s="6">
        <f>IFERROR(__xludf.DUMMYFUNCTION("IF(H1584="""","""",
SUM(
ARRAYFORMULA(
IF(
REGEXMATCH(
"" ""&amp;H1584&amp;"" "",
"" ""&amp;Sentiment_Words!A$2:A3730&amp;"" ""
),
1,
0
)
)
)
)"),0.0)</f>
        <v>0</v>
      </c>
      <c r="K1584" s="4">
        <f>IFERROR(__xludf.DUMMYFUNCTION("IF(H1584="""","""",
SUM(
ARRAYFORMULA(
IF(
REGEXMATCH(
"" ""&amp;H1584&amp;"" "",
"" ""&amp;Sentiment_Words!B$2:B3730&amp;"" ""
),
1,
0
)
)
)
)"),0.0)</f>
        <v>0</v>
      </c>
      <c r="L1584" s="7" t="str">
        <f t="shared" si="3"/>
        <v>Account &amp; Website</v>
      </c>
      <c r="M1584" s="7" t="str">
        <f t="shared" si="4"/>
        <v>Neutral</v>
      </c>
      <c r="N1584" s="7" t="str">
        <f>IFERROR(__xludf.DUMMYFUNCTION("LOWER(
TRIM(
REGEXREPLACE(B1584,""[^a-zA-Z\s]"","""")
)
)
"),"all seeing isaac")</f>
        <v>all seeing isaac</v>
      </c>
      <c r="O1584" s="7">
        <f t="shared" si="5"/>
        <v>1</v>
      </c>
      <c r="P1584" s="8" t="str">
        <f t="shared" si="6"/>
        <v>No</v>
      </c>
    </row>
    <row r="1585">
      <c r="A1585" s="4" t="s">
        <v>16</v>
      </c>
      <c r="B1585" s="4" t="s">
        <v>4484</v>
      </c>
      <c r="C1585" s="9">
        <v>44807.0</v>
      </c>
      <c r="D1585" s="10">
        <v>44807.0</v>
      </c>
      <c r="E1585" s="4" t="s">
        <v>81</v>
      </c>
      <c r="F1585" s="4" t="s">
        <v>4485</v>
      </c>
      <c r="G1585" s="6" t="str">
        <f>IFERROR(__xludf.DUMMYFUNCTION("REGEXREPLACE(LOWER(F1585),""[^a-z\s]"","""")"),"exactly what i ordered and quick delivery time")</f>
        <v>exactly what i ordered and quick delivery time</v>
      </c>
      <c r="H1585" s="4" t="str">
        <f t="shared" si="1"/>
        <v>exactly what i ordered quick delivery time</v>
      </c>
      <c r="I1585" s="6">
        <f t="shared" si="2"/>
        <v>7</v>
      </c>
      <c r="J1585" s="6">
        <f>IFERROR(__xludf.DUMMYFUNCTION("IF(H1585="""","""",
SUM(
ARRAYFORMULA(
IF(
REGEXMATCH(
"" ""&amp;H1585&amp;"" "",
"" ""&amp;Sentiment_Words!A$2:A3730&amp;"" ""
),
1,
0
)
)
)
)"),1.0)</f>
        <v>1</v>
      </c>
      <c r="K1585" s="4">
        <f>IFERROR(__xludf.DUMMYFUNCTION("IF(H1585="""","""",
SUM(
ARRAYFORMULA(
IF(
REGEXMATCH(
"" ""&amp;H1585&amp;"" "",
"" ""&amp;Sentiment_Words!B$2:B3730&amp;"" ""
),
1,
0
)
)
)
)"),0.0)</f>
        <v>0</v>
      </c>
      <c r="L1585" s="7" t="str">
        <f t="shared" si="3"/>
        <v>Other</v>
      </c>
      <c r="M1585" s="7" t="str">
        <f t="shared" si="4"/>
        <v>Positive</v>
      </c>
      <c r="N1585" s="7" t="str">
        <f>IFERROR(__xludf.DUMMYFUNCTION("LOWER(
TRIM(
REGEXREPLACE(B1585,""[^a-zA-Z\s]"","""")
)
)
"),"caroline halder")</f>
        <v>caroline halder</v>
      </c>
      <c r="O1585" s="7">
        <f t="shared" si="5"/>
        <v>1</v>
      </c>
      <c r="P1585" s="8" t="str">
        <f t="shared" si="6"/>
        <v>No</v>
      </c>
    </row>
    <row r="1586">
      <c r="A1586" s="4" t="s">
        <v>16</v>
      </c>
      <c r="B1586" s="4" t="s">
        <v>4486</v>
      </c>
      <c r="C1586" s="9">
        <v>44806.0</v>
      </c>
      <c r="D1586" s="10">
        <v>44807.0</v>
      </c>
      <c r="E1586" s="4" t="s">
        <v>4487</v>
      </c>
      <c r="F1586" s="4" t="s">
        <v>4488</v>
      </c>
      <c r="G1586" s="6" t="str">
        <f>IFERROR(__xludf.DUMMYFUNCTION("REGEXREPLACE(LOWER(F1586),""[^a-z\s]"","""")"),"i used to enjoy ordering from pet flow for our cats prescription diet however recently the reliability has been terrible and to make it worse the communication about it has been lacking they were very quick to charge my credit card while they place the or"&amp;"der and then several days later ended up canceling it and refunding my money days later i will be looking for other sources for our food")</f>
        <v>i used to enjoy ordering from pet flow for our cats prescription diet however recently the reliability has been terrible and to make it worse the communication about it has been lacking they were very quick to charge my credit card while they place the order and then several days later ended up canceling it and refunding my money days later i will be looking for other sources for our food</v>
      </c>
      <c r="H1586" s="4" t="str">
        <f t="shared" si="1"/>
        <v>i used enjoy ordering from pet flow our cats prescription diet however recently reliability has been terrible make it worse communication about it has been lacking they were very quick charge my credit card while they place order then several days later ended up canceling it refunding my money days later i will be looking other sources our food</v>
      </c>
      <c r="I1586" s="6">
        <f t="shared" si="2"/>
        <v>59</v>
      </c>
      <c r="J1586" s="6">
        <f>IFERROR(__xludf.DUMMYFUNCTION("IF(H1586="""","""",
SUM(
ARRAYFORMULA(
IF(
REGEXMATCH(
"" ""&amp;H1586&amp;"" "",
"" ""&amp;Sentiment_Words!A$2:A3730&amp;"" ""
),
1,
0
)
)
)
)"),0.0)</f>
        <v>0</v>
      </c>
      <c r="K1586" s="4">
        <f>IFERROR(__xludf.DUMMYFUNCTION("IF(H1586="""","""",
SUM(
ARRAYFORMULA(
IF(
REGEXMATCH(
"" ""&amp;H1586&amp;"" "",
"" ""&amp;Sentiment_Words!B$2:B3730&amp;"" ""
),
1,
0
)
)
)
)"),1.0)</f>
        <v>1</v>
      </c>
      <c r="L1586" s="7" t="str">
        <f t="shared" si="3"/>
        <v>Fulfillment &amp; Shipping</v>
      </c>
      <c r="M1586" s="7" t="str">
        <f t="shared" si="4"/>
        <v>Negative</v>
      </c>
      <c r="N1586" s="7" t="str">
        <f>IFERROR(__xludf.DUMMYFUNCTION("LOWER(
TRIM(
REGEXREPLACE(B1586,""[^a-zA-Z\s]"","""")
)
)
"),"thad s")</f>
        <v>thad s</v>
      </c>
      <c r="O1586" s="7">
        <f t="shared" si="5"/>
        <v>1</v>
      </c>
      <c r="P1586" s="8" t="str">
        <f t="shared" si="6"/>
        <v>No</v>
      </c>
    </row>
    <row r="1587">
      <c r="A1587" s="4" t="s">
        <v>16</v>
      </c>
      <c r="B1587" s="4" t="s">
        <v>4489</v>
      </c>
      <c r="C1587" s="9">
        <v>44806.0</v>
      </c>
      <c r="D1587" s="10">
        <v>44807.0</v>
      </c>
      <c r="E1587" s="4" t="s">
        <v>4490</v>
      </c>
      <c r="F1587" s="4" t="s">
        <v>4491</v>
      </c>
      <c r="G1587" s="6" t="str">
        <f>IFERROR(__xludf.DUMMYFUNCTION("REGEXREPLACE(LOWER(F1587),""[^a-z\s]"","""")"),"im satisfied with the food but you need to use stronger boxes i order  lb bags every month and they are always opening and falling apart")</f>
        <v>im satisfied with the food but you need to use stronger boxes i order  lb bags every month and they are always opening and falling apart</v>
      </c>
      <c r="H1587" s="4" t="str">
        <f t="shared" si="1"/>
        <v>im satisfied with food but you need use stronger boxes i order lb bags every month they are always opening falling apart</v>
      </c>
      <c r="I1587" s="6">
        <f t="shared" si="2"/>
        <v>22</v>
      </c>
      <c r="J1587" s="6">
        <f>IFERROR(__xludf.DUMMYFUNCTION("IF(H1587="""","""",
SUM(
ARRAYFORMULA(
IF(
REGEXMATCH(
"" ""&amp;H1587&amp;"" "",
"" ""&amp;Sentiment_Words!A$2:A3730&amp;"" ""
),
1,
0
)
)
)
)"),1.0)</f>
        <v>1</v>
      </c>
      <c r="K1587" s="4">
        <f>IFERROR(__xludf.DUMMYFUNCTION("IF(H1587="""","""",
SUM(
ARRAYFORMULA(
IF(
REGEXMATCH(
"" ""&amp;H1587&amp;"" "",
"" ""&amp;Sentiment_Words!B$2:B3730&amp;"" ""
),
1,
0
)
)
)
)"),0.0)</f>
        <v>0</v>
      </c>
      <c r="L1587" s="7" t="str">
        <f t="shared" si="3"/>
        <v>Other</v>
      </c>
      <c r="M1587" s="7" t="str">
        <f t="shared" si="4"/>
        <v>Positive</v>
      </c>
      <c r="N1587" s="7" t="str">
        <f>IFERROR(__xludf.DUMMYFUNCTION("LOWER(
TRIM(
REGEXREPLACE(B1587,""[^a-zA-Z\s]"","""")
)
)
"),"beverly delaet")</f>
        <v>beverly delaet</v>
      </c>
      <c r="O1587" s="7">
        <f t="shared" si="5"/>
        <v>1</v>
      </c>
      <c r="P1587" s="8" t="str">
        <f t="shared" si="6"/>
        <v>No</v>
      </c>
    </row>
    <row r="1588">
      <c r="A1588" s="4" t="s">
        <v>16</v>
      </c>
      <c r="B1588" s="4" t="s">
        <v>4492</v>
      </c>
      <c r="C1588" s="9">
        <v>44806.0</v>
      </c>
      <c r="D1588" s="10">
        <v>44806.0</v>
      </c>
      <c r="E1588" s="4" t="s">
        <v>4493</v>
      </c>
      <c r="F1588" s="4" t="s">
        <v>4494</v>
      </c>
      <c r="G1588" s="6" t="str">
        <f>IFERROR(__xludf.DUMMYFUNCTION("REGEXREPLACE(LOWER(F1588),""[^a-z\s]"","""")"),"this is the nd time you sent me the wrong cheaper item i called before the last order and you promised i would get the correct item as described and pictured")</f>
        <v>this is the nd time you sent me the wrong cheaper item i called before the last order and you promised i would get the correct item as described and pictured</v>
      </c>
      <c r="H1588" s="4" t="str">
        <f t="shared" si="1"/>
        <v>this nd time you sent me wrong cheaper item i called before last order you promised i would get correct item as described pictured</v>
      </c>
      <c r="I1588" s="6">
        <f t="shared" si="2"/>
        <v>24</v>
      </c>
      <c r="J1588" s="6">
        <f>IFERROR(__xludf.DUMMYFUNCTION("IF(H1588="""","""",
SUM(
ARRAYFORMULA(
IF(
REGEXMATCH(
"" ""&amp;H1588&amp;"" "",
"" ""&amp;Sentiment_Words!A$2:A3730&amp;"" ""
),
1,
0
)
)
)
)"),1.0)</f>
        <v>1</v>
      </c>
      <c r="K1588" s="4">
        <f>IFERROR(__xludf.DUMMYFUNCTION("IF(H1588="""","""",
SUM(
ARRAYFORMULA(
IF(
REGEXMATCH(
"" ""&amp;H1588&amp;"" "",
"" ""&amp;Sentiment_Words!B$2:B3730&amp;"" ""
),
1,
0
)
)
)
)"),1.0)</f>
        <v>1</v>
      </c>
      <c r="L1588" s="7" t="str">
        <f t="shared" si="3"/>
        <v>Fulfillment &amp; Shipping</v>
      </c>
      <c r="M1588" s="7" t="str">
        <f t="shared" si="4"/>
        <v>Neutral</v>
      </c>
      <c r="N1588" s="7" t="str">
        <f>IFERROR(__xludf.DUMMYFUNCTION("LOWER(
TRIM(
REGEXREPLACE(B1588,""[^a-zA-Z\s]"","""")
)
)
"),"dale t")</f>
        <v>dale t</v>
      </c>
      <c r="O1588" s="7">
        <f t="shared" si="5"/>
        <v>1</v>
      </c>
      <c r="P1588" s="8" t="str">
        <f t="shared" si="6"/>
        <v>No</v>
      </c>
    </row>
    <row r="1589">
      <c r="A1589" s="4" t="s">
        <v>16</v>
      </c>
      <c r="B1589" s="4" t="s">
        <v>664</v>
      </c>
      <c r="C1589" s="9">
        <v>44806.0</v>
      </c>
      <c r="D1589" s="10">
        <v>44806.0</v>
      </c>
      <c r="E1589" s="4" t="s">
        <v>509</v>
      </c>
      <c r="F1589" s="4" t="s">
        <v>4495</v>
      </c>
      <c r="G1589" s="6" t="str">
        <f>IFERROR(__xludf.DUMMYFUNCTION("REGEXREPLACE(LOWER(F1589),""[^a-z\s]"","""")"),"good customer service quick reply from pet flow i highly recommend this website for your pets needs")</f>
        <v>good customer service quick reply from pet flow i highly recommend this website for your pets needs</v>
      </c>
      <c r="H1589" s="4" t="str">
        <f t="shared" si="1"/>
        <v>good customer service quick reply from pet flow i highly recommend this website your pets needs</v>
      </c>
      <c r="I1589" s="6">
        <f t="shared" si="2"/>
        <v>16</v>
      </c>
      <c r="J1589" s="6">
        <f>IFERROR(__xludf.DUMMYFUNCTION("IF(H1589="""","""",
SUM(
ARRAYFORMULA(
IF(
REGEXMATCH(
"" ""&amp;H1589&amp;"" "",
"" ""&amp;Sentiment_Words!A$2:A3730&amp;"" ""
),
1,
0
)
)
)
)"),1.0)</f>
        <v>1</v>
      </c>
      <c r="K1589" s="4">
        <f>IFERROR(__xludf.DUMMYFUNCTION("IF(H1589="""","""",
SUM(
ARRAYFORMULA(
IF(
REGEXMATCH(
"" ""&amp;H1589&amp;"" "",
"" ""&amp;Sentiment_Words!B$2:B3730&amp;"" ""
),
1,
0
)
)
)
)"),1.0)</f>
        <v>1</v>
      </c>
      <c r="L1589" s="7" t="str">
        <f t="shared" si="3"/>
        <v>Customer Support</v>
      </c>
      <c r="M1589" s="7" t="str">
        <f t="shared" si="4"/>
        <v>Neutral</v>
      </c>
      <c r="N1589" s="7" t="str">
        <f>IFERROR(__xludf.DUMMYFUNCTION("LOWER(
TRIM(
REGEXREPLACE(B1589,""[^a-zA-Z\s]"","""")
)
)
"),"maria")</f>
        <v>maria</v>
      </c>
      <c r="O1589" s="7">
        <f t="shared" si="5"/>
        <v>4</v>
      </c>
      <c r="P1589" s="8" t="str">
        <f t="shared" si="6"/>
        <v>Yes</v>
      </c>
    </row>
    <row r="1590">
      <c r="A1590" s="4" t="s">
        <v>16</v>
      </c>
      <c r="B1590" s="4" t="s">
        <v>4496</v>
      </c>
      <c r="C1590" s="9">
        <v>44805.0</v>
      </c>
      <c r="D1590" s="10">
        <v>44806.0</v>
      </c>
      <c r="E1590" s="4" t="s">
        <v>4497</v>
      </c>
      <c r="F1590" s="4" t="s">
        <v>4498</v>
      </c>
      <c r="G1590" s="6" t="str">
        <f>IFERROR(__xludf.DUMMYFUNCTION("REGEXREPLACE(LOWER(F1590),""[^a-z\s]"","""")"),"petflow has a great variety of foods my dog food is sometimes hard to find and they carry it their prices are competitive also")</f>
        <v>petflow has a great variety of foods my dog food is sometimes hard to find and they carry it their prices are competitive also</v>
      </c>
      <c r="H1590" s="4" t="str">
        <f t="shared" si="1"/>
        <v>petflow has a great variety of foods my dog food sometimes hard find they carry it their prices are competitive also</v>
      </c>
      <c r="I1590" s="6">
        <f t="shared" si="2"/>
        <v>21</v>
      </c>
      <c r="J1590" s="6">
        <f>IFERROR(__xludf.DUMMYFUNCTION("IF(H1590="""","""",
SUM(
ARRAYFORMULA(
IF(
REGEXMATCH(
"" ""&amp;H1590&amp;"" "",
"" ""&amp;Sentiment_Words!A$2:A3730&amp;"" ""
),
1,
0
)
)
)
)"),1.0)</f>
        <v>1</v>
      </c>
      <c r="K1590" s="4">
        <f>IFERROR(__xludf.DUMMYFUNCTION("IF(H1590="""","""",
SUM(
ARRAYFORMULA(
IF(
REGEXMATCH(
"" ""&amp;H1590&amp;"" "",
"" ""&amp;Sentiment_Words!B$2:B3730&amp;"" ""
),
1,
0
)
)
)
)"),0.0)</f>
        <v>0</v>
      </c>
      <c r="L1590" s="7" t="str">
        <f t="shared" si="3"/>
        <v>Other</v>
      </c>
      <c r="M1590" s="7" t="str">
        <f t="shared" si="4"/>
        <v>Positive</v>
      </c>
      <c r="N1590" s="7" t="str">
        <f>IFERROR(__xludf.DUMMYFUNCTION("LOWER(
TRIM(
REGEXREPLACE(B1590,""[^a-zA-Z\s]"","""")
)
)
"),"robin")</f>
        <v>robin</v>
      </c>
      <c r="O1590" s="7">
        <f t="shared" si="5"/>
        <v>3</v>
      </c>
      <c r="P1590" s="8" t="str">
        <f t="shared" si="6"/>
        <v>Yes</v>
      </c>
    </row>
    <row r="1591">
      <c r="A1591" s="4" t="s">
        <v>16</v>
      </c>
      <c r="B1591" s="4" t="s">
        <v>4499</v>
      </c>
      <c r="C1591" s="9">
        <v>44805.0</v>
      </c>
      <c r="D1591" s="10">
        <v>44806.0</v>
      </c>
      <c r="E1591" s="4" t="s">
        <v>4500</v>
      </c>
      <c r="F1591" s="4" t="s">
        <v>4501</v>
      </c>
      <c r="G1591" s="6" t="str">
        <f>IFERROR(__xludf.DUMMYFUNCTION("REGEXREPLACE(LOWER(F1591),""[^a-z\s]"","""")"),"purchased  cases of dog food and many cans were dented from the delivery otherwise good value and quick delivery")</f>
        <v>purchased  cases of dog food and many cans were dented from the delivery otherwise good value and quick delivery</v>
      </c>
      <c r="H1591" s="4" t="str">
        <f t="shared" si="1"/>
        <v>purchased cases of dog food many cans were dented from delivery otherwise good value quick delivery</v>
      </c>
      <c r="I1591" s="6">
        <f t="shared" si="2"/>
        <v>16</v>
      </c>
      <c r="J1591" s="6">
        <f>IFERROR(__xludf.DUMMYFUNCTION("IF(H1591="""","""",
SUM(
ARRAYFORMULA(
IF(
REGEXMATCH(
"" ""&amp;H1591&amp;"" "",
"" ""&amp;Sentiment_Words!A$2:A3730&amp;"" ""
),
1,
0
)
)
)
)"),3.0)</f>
        <v>3</v>
      </c>
      <c r="K1591" s="4">
        <f>IFERROR(__xludf.DUMMYFUNCTION("IF(H1591="""","""",
SUM(
ARRAYFORMULA(
IF(
REGEXMATCH(
"" ""&amp;H1591&amp;"" "",
"" ""&amp;Sentiment_Words!B$2:B3730&amp;"" ""
),
1,
0
)
)
)
)"),0.0)</f>
        <v>0</v>
      </c>
      <c r="L1591" s="7" t="str">
        <f t="shared" si="3"/>
        <v>Value &amp; Convenience</v>
      </c>
      <c r="M1591" s="7" t="str">
        <f t="shared" si="4"/>
        <v>Positive</v>
      </c>
      <c r="N1591" s="7" t="str">
        <f>IFERROR(__xludf.DUMMYFUNCTION("LOWER(
TRIM(
REGEXREPLACE(B1591,""[^a-zA-Z\s]"","""")
)
)
"),"joseph g")</f>
        <v>joseph g</v>
      </c>
      <c r="O1591" s="7">
        <f t="shared" si="5"/>
        <v>1</v>
      </c>
      <c r="P1591" s="8" t="str">
        <f t="shared" si="6"/>
        <v>No</v>
      </c>
    </row>
    <row r="1592">
      <c r="A1592" s="4" t="s">
        <v>16</v>
      </c>
      <c r="B1592" s="4" t="s">
        <v>4502</v>
      </c>
      <c r="C1592" s="9">
        <v>44805.0</v>
      </c>
      <c r="D1592" s="10">
        <v>44805.0</v>
      </c>
      <c r="E1592" s="4" t="s">
        <v>4503</v>
      </c>
      <c r="F1592" s="4" t="s">
        <v>4504</v>
      </c>
      <c r="G1592" s="6" t="str">
        <f>IFERROR(__xludf.DUMMYFUNCTION("REGEXREPLACE(LOWER(F1592),""[^a-z\s]"","""")"),"horrid experience ordered some cat food on a monday and it wasnt until thursday that i was told that the food was out of stock and they didnt know when they would get more i know that cat food is in short supply but the website could have at least said ou"&amp;"t of stock like other providers do never again")</f>
        <v>horrid experience ordered some cat food on a monday and it wasnt until thursday that i was told that the food was out of stock and they didnt know when they would get more i know that cat food is in short supply but the website could have at least said out of stock like other providers do never again</v>
      </c>
      <c r="H1592" s="4" t="str">
        <f t="shared" si="1"/>
        <v>horrid experience ordered some cat food on a monday it wasnt until thursday that i was told that food was out of stock they didnt know when they would get more i know that cat food in short supply but website could have at least said out of stock like other providers do never again</v>
      </c>
      <c r="I1592" s="6">
        <f t="shared" si="2"/>
        <v>55</v>
      </c>
      <c r="J1592" s="6">
        <f>IFERROR(__xludf.DUMMYFUNCTION("IF(H1592="""","""",
SUM(
ARRAYFORMULA(
IF(
REGEXMATCH(
"" ""&amp;H1592&amp;"" "",
"" ""&amp;Sentiment_Words!A$2:A3730&amp;"" ""
),
1,
0
)
)
)
)"),0.0)</f>
        <v>0</v>
      </c>
      <c r="K1592" s="4">
        <f>IFERROR(__xludf.DUMMYFUNCTION("IF(H1592="""","""",
SUM(
ARRAYFORMULA(
IF(
REGEXMATCH(
"" ""&amp;H1592&amp;"" "",
"" ""&amp;Sentiment_Words!B$2:B3730&amp;"" ""
),
1,
0
)
)
)
)"),1.0)</f>
        <v>1</v>
      </c>
      <c r="L1592" s="7" t="str">
        <f t="shared" si="3"/>
        <v>Availability</v>
      </c>
      <c r="M1592" s="7" t="str">
        <f t="shared" si="4"/>
        <v>Negative</v>
      </c>
      <c r="N1592" s="7" t="str">
        <f>IFERROR(__xludf.DUMMYFUNCTION("LOWER(
TRIM(
REGEXREPLACE(B1592,""[^a-zA-Z\s]"","""")
)
)
"),"dhk")</f>
        <v>dhk</v>
      </c>
      <c r="O1592" s="7">
        <f t="shared" si="5"/>
        <v>1</v>
      </c>
      <c r="P1592" s="8" t="str">
        <f t="shared" si="6"/>
        <v>No</v>
      </c>
    </row>
    <row r="1593">
      <c r="A1593" s="4" t="s">
        <v>16</v>
      </c>
      <c r="B1593" s="4" t="s">
        <v>4505</v>
      </c>
      <c r="C1593" s="9">
        <v>44805.0</v>
      </c>
      <c r="D1593" s="10">
        <v>44805.0</v>
      </c>
      <c r="E1593" s="4" t="s">
        <v>4506</v>
      </c>
      <c r="F1593" s="4" t="s">
        <v>4507</v>
      </c>
      <c r="G1593" s="6" t="str">
        <f>IFERROR(__xludf.DUMMYFUNCTION("REGEXREPLACE(LOWER(F1593),""[^a-z\s]"","""")"),"i love my dogs new collars they are nice and strong and very reflective i measured their old collars and ordered what i thought would be a perfect size for them unfortunately the collars are too big by alot im hoping there is something that can be done to"&amp;" correct this matter")</f>
        <v>i love my dogs new collars they are nice and strong and very reflective i measured their old collars and ordered what i thought would be a perfect size for them unfortunately the collars are too big by alot im hoping there is something that can be done to correct this matter</v>
      </c>
      <c r="H1593" s="4" t="str">
        <f t="shared" si="1"/>
        <v>i love my dogs new collars they are nice strong very reflective i measured their old collars ordered what i thought would be a perfect size them unfortunately collars are too big by alot im hoping there something that can be done correct this matter</v>
      </c>
      <c r="I1593" s="6">
        <f t="shared" si="2"/>
        <v>45</v>
      </c>
      <c r="J1593" s="6">
        <f>IFERROR(__xludf.DUMMYFUNCTION("IF(H1593="""","""",
SUM(
ARRAYFORMULA(
IF(
REGEXMATCH(
"" ""&amp;H1593&amp;"" "",
"" ""&amp;Sentiment_Words!A$2:A3730&amp;"" ""
),
1,
0
)
)
)
)"),1.0)</f>
        <v>1</v>
      </c>
      <c r="K1593" s="4">
        <f>IFERROR(__xludf.DUMMYFUNCTION("IF(H1593="""","""",
SUM(
ARRAYFORMULA(
IF(
REGEXMATCH(
"" ""&amp;H1593&amp;"" "",
"" ""&amp;Sentiment_Words!B$2:B3730&amp;"" ""
),
1,
0
)
)
)
)"),0.0)</f>
        <v>0</v>
      </c>
      <c r="L1593" s="7" t="str">
        <f t="shared" si="3"/>
        <v>Other</v>
      </c>
      <c r="M1593" s="7" t="str">
        <f t="shared" si="4"/>
        <v>Positive</v>
      </c>
      <c r="N1593" s="7" t="str">
        <f>IFERROR(__xludf.DUMMYFUNCTION("LOWER(
TRIM(
REGEXREPLACE(B1593,""[^a-zA-Z\s]"","""")
)
)
"),"joy to the world")</f>
        <v>joy to the world</v>
      </c>
      <c r="O1593" s="7">
        <f t="shared" si="5"/>
        <v>1</v>
      </c>
      <c r="P1593" s="8" t="str">
        <f t="shared" si="6"/>
        <v>No</v>
      </c>
    </row>
    <row r="1594">
      <c r="A1594" s="4" t="s">
        <v>16</v>
      </c>
      <c r="B1594" s="4" t="s">
        <v>4508</v>
      </c>
      <c r="C1594" s="9">
        <v>44805.0</v>
      </c>
      <c r="D1594" s="10">
        <v>44805.0</v>
      </c>
      <c r="E1594" s="4" t="s">
        <v>1045</v>
      </c>
      <c r="F1594" s="4" t="s">
        <v>4509</v>
      </c>
      <c r="G1594" s="6" t="str">
        <f>IFERROR(__xludf.DUMMYFUNCTION("REGEXREPLACE(LOWER(F1594),""[^a-z\s]"","""")"),"fast delivery good quality products")</f>
        <v>fast delivery good quality products</v>
      </c>
      <c r="H1594" s="4" t="str">
        <f t="shared" si="1"/>
        <v>fast delivery good quality products</v>
      </c>
      <c r="I1594" s="6">
        <f t="shared" si="2"/>
        <v>5</v>
      </c>
      <c r="J1594" s="6">
        <f>IFERROR(__xludf.DUMMYFUNCTION("IF(H1594="""","""",
SUM(
ARRAYFORMULA(
IF(
REGEXMATCH(
"" ""&amp;H1594&amp;"" "",
"" ""&amp;Sentiment_Words!A$2:A3730&amp;"" ""
),
1,
0
)
)
)
)"),3.0)</f>
        <v>3</v>
      </c>
      <c r="K1594" s="4">
        <f>IFERROR(__xludf.DUMMYFUNCTION("IF(H1594="""","""",
SUM(
ARRAYFORMULA(
IF(
REGEXMATCH(
"" ""&amp;H1594&amp;"" "",
"" ""&amp;Sentiment_Words!B$2:B3730&amp;"" ""
),
1,
0
)
)
)
)"),0.0)</f>
        <v>0</v>
      </c>
      <c r="L1594" s="7" t="str">
        <f t="shared" si="3"/>
        <v>Other</v>
      </c>
      <c r="M1594" s="7" t="str">
        <f t="shared" si="4"/>
        <v>Positive</v>
      </c>
      <c r="N1594" s="7" t="str">
        <f>IFERROR(__xludf.DUMMYFUNCTION("LOWER(
TRIM(
REGEXREPLACE(B1594,""[^a-zA-Z\s]"","""")
)
)
"),"gail hughes")</f>
        <v>gail hughes</v>
      </c>
      <c r="O1594" s="7">
        <f t="shared" si="5"/>
        <v>1</v>
      </c>
      <c r="P1594" s="8" t="str">
        <f t="shared" si="6"/>
        <v>No</v>
      </c>
    </row>
    <row r="1595">
      <c r="A1595" s="4" t="s">
        <v>16</v>
      </c>
      <c r="B1595" s="4" t="s">
        <v>4510</v>
      </c>
      <c r="C1595" s="9">
        <v>44805.0</v>
      </c>
      <c r="D1595" s="10">
        <v>44805.0</v>
      </c>
      <c r="E1595" s="4" t="s">
        <v>4511</v>
      </c>
      <c r="F1595" s="4" t="s">
        <v>4512</v>
      </c>
      <c r="G1595" s="6" t="str">
        <f>IFERROR(__xludf.DUMMYFUNCTION("REGEXREPLACE(LOWER(F1595),""[^a-z\s]"","""")"),"you are excellent accommodating and understanding i will buy from you again")</f>
        <v>you are excellent accommodating and understanding i will buy from you again</v>
      </c>
      <c r="H1595" s="4" t="str">
        <f t="shared" si="1"/>
        <v>you are excellent accommodating understanding i will buy from you again</v>
      </c>
      <c r="I1595" s="6">
        <f t="shared" si="2"/>
        <v>11</v>
      </c>
      <c r="J1595" s="6">
        <f>IFERROR(__xludf.DUMMYFUNCTION("IF(H1595="""","""",
SUM(
ARRAYFORMULA(
IF(
REGEXMATCH(
"" ""&amp;H1595&amp;"" "",
"" ""&amp;Sentiment_Words!A$2:A3730&amp;"" ""
),
1,
0
)
)
)
)"),0.0)</f>
        <v>0</v>
      </c>
      <c r="K1595" s="4">
        <f>IFERROR(__xludf.DUMMYFUNCTION("IF(H1595="""","""",
SUM(
ARRAYFORMULA(
IF(
REGEXMATCH(
"" ""&amp;H1595&amp;"" "",
"" ""&amp;Sentiment_Words!B$2:B3730&amp;"" ""
),
1,
0
)
)
)
)"),0.0)</f>
        <v>0</v>
      </c>
      <c r="L1595" s="7" t="str">
        <f t="shared" si="3"/>
        <v>Other</v>
      </c>
      <c r="M1595" s="7" t="str">
        <f t="shared" si="4"/>
        <v>Neutral</v>
      </c>
      <c r="N1595" s="7" t="str">
        <f>IFERROR(__xludf.DUMMYFUNCTION("LOWER(
TRIM(
REGEXREPLACE(B1595,""[^a-zA-Z\s]"","""")
)
)
"),"eessam ammouri")</f>
        <v>eessam ammouri</v>
      </c>
      <c r="O1595" s="7">
        <f t="shared" si="5"/>
        <v>1</v>
      </c>
      <c r="P1595" s="8" t="str">
        <f t="shared" si="6"/>
        <v>No</v>
      </c>
    </row>
    <row r="1596">
      <c r="A1596" s="4" t="s">
        <v>16</v>
      </c>
      <c r="B1596" s="4" t="s">
        <v>4513</v>
      </c>
      <c r="C1596" s="5">
        <v>44804.0</v>
      </c>
      <c r="D1596" s="10">
        <v>44805.0</v>
      </c>
      <c r="E1596" s="4" t="s">
        <v>4514</v>
      </c>
      <c r="F1596" s="4" t="s">
        <v>4515</v>
      </c>
      <c r="G1596" s="6" t="str">
        <f>IFERROR(__xludf.DUMMYFUNCTION("REGEXREPLACE(LOWER(F1596),""[^a-z\s]"","""")"),"denemarin available
i was pleasantly surprised to find and purchase the above mentioned without a prescription unable to find chewable tabs for my queensland healer locally thank you thank you
please let me know when you get more in stock")</f>
        <v>denemarin available
i was pleasantly surprised to find and purchase the above mentioned without a prescription unable to find chewable tabs for my queensland healer locally thank you thank you
please let me know when you get more in stock</v>
      </c>
      <c r="H1596" s="4" t="str">
        <f t="shared" si="1"/>
        <v>denemarin available
i was pleasantly surprised find purchase above mentioned without a prescription unable find chewable tabs my queensland healer locally thank you thank you
please let me know when you get more in stock</v>
      </c>
      <c r="I1596" s="6">
        <f t="shared" si="2"/>
        <v>33</v>
      </c>
      <c r="J1596" s="6">
        <f>IFERROR(__xludf.DUMMYFUNCTION("IF(H1596="""","""",
SUM(
ARRAYFORMULA(
IF(
REGEXMATCH(
"" ""&amp;H1596&amp;"" "",
"" ""&amp;Sentiment_Words!A$2:A3730&amp;"" ""
),
1,
0
)
)
)
)"),0.0)</f>
        <v>0</v>
      </c>
      <c r="K1596" s="4">
        <f>IFERROR(__xludf.DUMMYFUNCTION("IF(H1596="""","""",
SUM(
ARRAYFORMULA(
IF(
REGEXMATCH(
"" ""&amp;H1596&amp;"" "",
"" ""&amp;Sentiment_Words!B$2:B3730&amp;"" ""
),
1,
0
)
)
)
)"),0.0)</f>
        <v>0</v>
      </c>
      <c r="L1596" s="7" t="str">
        <f t="shared" si="3"/>
        <v>Other</v>
      </c>
      <c r="M1596" s="7" t="str">
        <f t="shared" si="4"/>
        <v>Neutral</v>
      </c>
      <c r="N1596" s="7" t="str">
        <f>IFERROR(__xludf.DUMMYFUNCTION("LOWER(
TRIM(
REGEXREPLACE(B1596,""[^a-zA-Z\s]"","""")
)
)
"),"susan abeel")</f>
        <v>susan abeel</v>
      </c>
      <c r="O1596" s="7">
        <f t="shared" si="5"/>
        <v>1</v>
      </c>
      <c r="P1596" s="8" t="str">
        <f t="shared" si="6"/>
        <v>No</v>
      </c>
    </row>
    <row r="1597">
      <c r="A1597" s="4" t="s">
        <v>16</v>
      </c>
      <c r="B1597" s="4" t="s">
        <v>4516</v>
      </c>
      <c r="C1597" s="5">
        <v>44804.0</v>
      </c>
      <c r="D1597" s="10">
        <v>44805.0</v>
      </c>
      <c r="E1597" s="4" t="s">
        <v>4517</v>
      </c>
      <c r="F1597" s="4" t="s">
        <v>4518</v>
      </c>
      <c r="G1597" s="6" t="str">
        <f>IFERROR(__xludf.DUMMYFUNCTION("REGEXREPLACE(LOWER(F1597),""[^a-z\s]"","""")"),"pet flow usually arrives in a timely manner however quality control and training are needed for packing our products especially canned and treats arrive dented and in crumbs that couple delivery too
longtime customers should not be forced into auto ship  "&amp;"and offered the same discounts as anyone else wo having to go search and find thats we have started signing up with rewards with the distributors of the products we enjoy like open farm pet directly")</f>
        <v>pet flow usually arrives in a timely manner however quality control and training are needed for packing our products especially canned and treats arrive dented and in crumbs that couple delivery too
longtime customers should not be forced into auto ship  and offered the same discounts as anyone else wo having to go search and find thats we have started signing up with rewards with the distributors of the products we enjoy like open farm pet directly</v>
      </c>
      <c r="H1597" s="4" t="str">
        <f t="shared" si="1"/>
        <v>pet flow usually arrives in a timely manner however quality control training are needed packing our products especially canned treats arrive dented in crumbs that couple delivery too
longtime customers should not be forced into auto ship offered same discounts as anyone else wo having go search find thats we have started signing up with rewards with distributors of products we enjoy like open farm pet directly</v>
      </c>
      <c r="I1597" s="6">
        <f t="shared" si="2"/>
        <v>66</v>
      </c>
      <c r="J1597" s="6">
        <f>IFERROR(__xludf.DUMMYFUNCTION("IF(H1597="""","""",
SUM(
ARRAYFORMULA(
IF(
REGEXMATCH(
"" ""&amp;H1597&amp;"" "",
"" ""&amp;Sentiment_Words!A$2:A3730&amp;"" ""
),
1,
0
)
)
)
)"),1.0)</f>
        <v>1</v>
      </c>
      <c r="K1597" s="4">
        <f>IFERROR(__xludf.DUMMYFUNCTION("IF(H1597="""","""",
SUM(
ARRAYFORMULA(
IF(
REGEXMATCH(
"" ""&amp;H1597&amp;"" "",
"" ""&amp;Sentiment_Words!B$2:B3730&amp;"" ""
),
1,
0
)
)
)
)"),0.0)</f>
        <v>0</v>
      </c>
      <c r="L1597" s="7" t="str">
        <f t="shared" si="3"/>
        <v>Other</v>
      </c>
      <c r="M1597" s="7" t="str">
        <f t="shared" si="4"/>
        <v>Positive</v>
      </c>
      <c r="N1597" s="7" t="str">
        <f>IFERROR(__xludf.DUMMYFUNCTION("LOWER(
TRIM(
REGEXREPLACE(B1597,""[^a-zA-Z\s]"","""")
)
)
"),"maureen")</f>
        <v>maureen</v>
      </c>
      <c r="O1597" s="7">
        <f t="shared" si="5"/>
        <v>1</v>
      </c>
      <c r="P1597" s="8" t="str">
        <f t="shared" si="6"/>
        <v>No</v>
      </c>
    </row>
    <row r="1598">
      <c r="A1598" s="4" t="s">
        <v>16</v>
      </c>
      <c r="B1598" s="4" t="s">
        <v>4519</v>
      </c>
      <c r="C1598" s="5">
        <v>44804.0</v>
      </c>
      <c r="D1598" s="10">
        <v>44804.0</v>
      </c>
      <c r="E1598" s="4" t="s">
        <v>4520</v>
      </c>
      <c r="F1598" s="4" t="s">
        <v>4521</v>
      </c>
      <c r="G1598" s="6" t="str">
        <f>IFERROR(__xludf.DUMMYFUNCTION("REGEXREPLACE(LOWER(F1598),""[^a-z\s]"","""")"),"my vet could not get the prescription wet food for my cat i tried for weeks and petflow finally had the food in stock petflow faxed the prescription to my vet and in a couple days i received the case of the wet food via fedex free shipping and i had a  of"&amp;"f coupon from my online coupon locator my cat is so very happy and so am i")</f>
        <v>my vet could not get the prescription wet food for my cat i tried for weeks and petflow finally had the food in stock petflow faxed the prescription to my vet and in a couple days i received the case of the wet food via fedex free shipping and i had a  off coupon from my online coupon locator my cat is so very happy and so am i</v>
      </c>
      <c r="H1598" s="4" t="str">
        <f t="shared" si="1"/>
        <v>my vet could not get prescription wet food my cat i tried weeks petflow finally had food in stock petflow faxed prescription my vet in a couple days i received case of wet food via fedex free shipping i had a off coupon from my online coupon locator my cat so very happy so am i</v>
      </c>
      <c r="I1598" s="6">
        <f t="shared" si="2"/>
        <v>56</v>
      </c>
      <c r="J1598" s="6">
        <f>IFERROR(__xludf.DUMMYFUNCTION("IF(H1598="""","""",
SUM(
ARRAYFORMULA(
IF(
REGEXMATCH(
"" ""&amp;H1598&amp;"" "",
"" ""&amp;Sentiment_Words!A$2:A3730&amp;"" ""
),
1,
0
)
)
)
)"),1.0)</f>
        <v>1</v>
      </c>
      <c r="K1598" s="4">
        <f>IFERROR(__xludf.DUMMYFUNCTION("IF(H1598="""","""",
SUM(
ARRAYFORMULA(
IF(
REGEXMATCH(
"" ""&amp;H1598&amp;"" "",
"" ""&amp;Sentiment_Words!B$2:B3730&amp;"" ""
),
1,
0
)
)
)
)"),0.0)</f>
        <v>0</v>
      </c>
      <c r="L1598" s="7" t="str">
        <f t="shared" si="3"/>
        <v>Other</v>
      </c>
      <c r="M1598" s="7" t="str">
        <f t="shared" si="4"/>
        <v>Positive</v>
      </c>
      <c r="N1598" s="7" t="str">
        <f>IFERROR(__xludf.DUMMYFUNCTION("LOWER(
TRIM(
REGEXREPLACE(B1598,""[^a-zA-Z\s]"","""")
)
)
"),"roz dorf")</f>
        <v>roz dorf</v>
      </c>
      <c r="O1598" s="7">
        <f t="shared" si="5"/>
        <v>1</v>
      </c>
      <c r="P1598" s="8" t="str">
        <f t="shared" si="6"/>
        <v>No</v>
      </c>
    </row>
    <row r="1599">
      <c r="A1599" s="4" t="s">
        <v>16</v>
      </c>
      <c r="B1599" s="4" t="s">
        <v>4522</v>
      </c>
      <c r="C1599" s="5">
        <v>44804.0</v>
      </c>
      <c r="D1599" s="10">
        <v>44804.0</v>
      </c>
      <c r="E1599" s="4" t="s">
        <v>3362</v>
      </c>
      <c r="F1599" s="4" t="s">
        <v>4523</v>
      </c>
      <c r="G1599" s="6" t="str">
        <f>IFERROR(__xludf.DUMMYFUNCTION("REGEXREPLACE(LOWER(F1599),""[^a-z\s]"","""")"),"i place an ordered on august  and messaged the company on august  since i hadnt received a invoice saying that they shipped i then got a message back saying that it was marked fraudulent and they wouldnt be sending it but they never intended to say anothe"&amp;"r email saying so or they could of at least called")</f>
        <v>i place an ordered on august  and messaged the company on august  since i hadnt received a invoice saying that they shipped i then got a message back saying that it was marked fraudulent and they wouldnt be sending it but they never intended to say another email saying so or they could of at least called</v>
      </c>
      <c r="H1599" s="4" t="str">
        <f t="shared" si="1"/>
        <v>i place an ordered on august messaged company on august since i hadnt received a invoice saying that they shipped i then got a message back saying that it was marked fraudulent they wouldnt be sending it but they never intended say another email saying so or they could of at least called</v>
      </c>
      <c r="I1599" s="6">
        <f t="shared" si="2"/>
        <v>53</v>
      </c>
      <c r="J1599" s="6">
        <f>IFERROR(__xludf.DUMMYFUNCTION("IF(H1599="""","""",
SUM(
ARRAYFORMULA(
IF(
REGEXMATCH(
"" ""&amp;H1599&amp;"" "",
"" ""&amp;Sentiment_Words!A$2:A3730&amp;"" ""
),
1,
0
)
)
)
)"),0.0)</f>
        <v>0</v>
      </c>
      <c r="K1599" s="4">
        <f>IFERROR(__xludf.DUMMYFUNCTION("IF(H1599="""","""",
SUM(
ARRAYFORMULA(
IF(
REGEXMATCH(
"" ""&amp;H1599&amp;"" "",
"" ""&amp;Sentiment_Words!B$2:B3730&amp;"" ""
),
1,
0
)
)
)
)"),0.0)</f>
        <v>0</v>
      </c>
      <c r="L1599" s="7" t="str">
        <f t="shared" si="3"/>
        <v>Other</v>
      </c>
      <c r="M1599" s="7" t="str">
        <f t="shared" si="4"/>
        <v>Neutral</v>
      </c>
      <c r="N1599" s="7" t="str">
        <f>IFERROR(__xludf.DUMMYFUNCTION("LOWER(
TRIM(
REGEXREPLACE(B1599,""[^a-zA-Z\s]"","""")
)
)
"),"jeanette zglobicki")</f>
        <v>jeanette zglobicki</v>
      </c>
      <c r="O1599" s="7">
        <f t="shared" si="5"/>
        <v>1</v>
      </c>
      <c r="P1599" s="8" t="str">
        <f t="shared" si="6"/>
        <v>No</v>
      </c>
    </row>
    <row r="1600">
      <c r="A1600" s="4" t="s">
        <v>16</v>
      </c>
      <c r="B1600" s="4" t="s">
        <v>4524</v>
      </c>
      <c r="C1600" s="5">
        <v>44804.0</v>
      </c>
      <c r="D1600" s="10">
        <v>44804.0</v>
      </c>
      <c r="E1600" s="4" t="s">
        <v>54</v>
      </c>
      <c r="F1600" s="4" t="s">
        <v>4525</v>
      </c>
      <c r="G1600" s="6" t="str">
        <f>IFERROR(__xludf.DUMMYFUNCTION("REGEXREPLACE(LOWER(F1600),""[^a-z\s]"","""")"),"this is the first time that i ordered from petflow and so far so good no complaints")</f>
        <v>this is the first time that i ordered from petflow and so far so good no complaints</v>
      </c>
      <c r="H1600" s="4" t="str">
        <f t="shared" si="1"/>
        <v>this first time that i ordered from petflow so far so good no complaints</v>
      </c>
      <c r="I1600" s="6">
        <f t="shared" si="2"/>
        <v>14</v>
      </c>
      <c r="J1600" s="6">
        <f>IFERROR(__xludf.DUMMYFUNCTION("IF(H1600="""","""",
SUM(
ARRAYFORMULA(
IF(
REGEXMATCH(
"" ""&amp;H1600&amp;"" "",
"" ""&amp;Sentiment_Words!A$2:A3730&amp;"" ""
),
1,
0
)
)
)
)"),1.0)</f>
        <v>1</v>
      </c>
      <c r="K1600" s="4">
        <f>IFERROR(__xludf.DUMMYFUNCTION("IF(H1600="""","""",
SUM(
ARRAYFORMULA(
IF(
REGEXMATCH(
"" ""&amp;H1600&amp;"" "",
"" ""&amp;Sentiment_Words!B$2:B3730&amp;"" ""
),
1,
0
)
)
)
)"),0.0)</f>
        <v>0</v>
      </c>
      <c r="L1600" s="7" t="str">
        <f t="shared" si="3"/>
        <v>Other</v>
      </c>
      <c r="M1600" s="7" t="str">
        <f t="shared" si="4"/>
        <v>Positive</v>
      </c>
      <c r="N1600" s="7" t="str">
        <f>IFERROR(__xludf.DUMMYFUNCTION("LOWER(
TRIM(
REGEXREPLACE(B1600,""[^a-zA-Z\s]"","""")
)
)
"),"paulette tardio")</f>
        <v>paulette tardio</v>
      </c>
      <c r="O1600" s="7">
        <f t="shared" si="5"/>
        <v>1</v>
      </c>
      <c r="P1600" s="8" t="str">
        <f t="shared" si="6"/>
        <v>No</v>
      </c>
    </row>
    <row r="1601">
      <c r="A1601" s="4" t="s">
        <v>16</v>
      </c>
      <c r="B1601" s="4" t="s">
        <v>4526</v>
      </c>
      <c r="C1601" s="5">
        <v>44804.0</v>
      </c>
      <c r="D1601" s="10">
        <v>44804.0</v>
      </c>
      <c r="E1601" s="4" t="s">
        <v>4527</v>
      </c>
      <c r="F1601" s="4" t="s">
        <v>4528</v>
      </c>
      <c r="G1601" s="6" t="str">
        <f>IFERROR(__xludf.DUMMYFUNCTION("REGEXREPLACE(LOWER(F1601),""[^a-z\s]"","""")"),"it was all pretty seamless i am a first time customer and will be back")</f>
        <v>it was all pretty seamless i am a first time customer and will be back</v>
      </c>
      <c r="H1601" s="4" t="str">
        <f t="shared" si="1"/>
        <v>it was all pretty seamless i am a first time customer will be back</v>
      </c>
      <c r="I1601" s="6">
        <f t="shared" si="2"/>
        <v>14</v>
      </c>
      <c r="J1601" s="6">
        <f>IFERROR(__xludf.DUMMYFUNCTION("IF(H1601="""","""",
SUM(
ARRAYFORMULA(
IF(
REGEXMATCH(
"" ""&amp;H1601&amp;"" "",
"" ""&amp;Sentiment_Words!A$2:A3730&amp;"" ""
),
1,
0
)
)
)
)"),0.0)</f>
        <v>0</v>
      </c>
      <c r="K1601" s="4">
        <f>IFERROR(__xludf.DUMMYFUNCTION("IF(H1601="""","""",
SUM(
ARRAYFORMULA(
IF(
REGEXMATCH(
"" ""&amp;H1601&amp;"" "",
"" ""&amp;Sentiment_Words!B$2:B3730&amp;"" ""
),
1,
0
)
)
)
)"),0.0)</f>
        <v>0</v>
      </c>
      <c r="L1601" s="7" t="str">
        <f t="shared" si="3"/>
        <v>Other</v>
      </c>
      <c r="M1601" s="7" t="str">
        <f t="shared" si="4"/>
        <v>Neutral</v>
      </c>
      <c r="N1601" s="7" t="str">
        <f>IFERROR(__xludf.DUMMYFUNCTION("LOWER(
TRIM(
REGEXREPLACE(B1601,""[^a-zA-Z\s]"","""")
)
)
"),"michael paglianti")</f>
        <v>michael paglianti</v>
      </c>
      <c r="O1601" s="7">
        <f t="shared" si="5"/>
        <v>1</v>
      </c>
      <c r="P1601" s="8" t="str">
        <f t="shared" si="6"/>
        <v>No</v>
      </c>
    </row>
    <row r="1602">
      <c r="A1602" s="4" t="s">
        <v>16</v>
      </c>
      <c r="B1602" s="4" t="s">
        <v>4529</v>
      </c>
      <c r="C1602" s="5">
        <v>44804.0</v>
      </c>
      <c r="D1602" s="10">
        <v>44804.0</v>
      </c>
      <c r="E1602" s="4" t="s">
        <v>4530</v>
      </c>
      <c r="F1602" s="4" t="s">
        <v>4531</v>
      </c>
      <c r="G1602" s="6" t="str">
        <f>IFERROR(__xludf.DUMMYFUNCTION("REGEXREPLACE(LOWER(F1602),""[^a-z\s]"","""")"),"easy to order on line prompt delivery no fee for delivery since it was a large bag i ordered  stars")</f>
        <v>easy to order on line prompt delivery no fee for delivery since it was a large bag i ordered  stars</v>
      </c>
      <c r="H1602" s="4" t="str">
        <f t="shared" si="1"/>
        <v>easy order on line prompt delivery no fee delivery since it was a large bag i ordered stars</v>
      </c>
      <c r="I1602" s="6">
        <f t="shared" si="2"/>
        <v>18</v>
      </c>
      <c r="J1602" s="6">
        <f>IFERROR(__xludf.DUMMYFUNCTION("IF(H1602="""","""",
SUM(
ARRAYFORMULA(
IF(
REGEXMATCH(
"" ""&amp;H1602&amp;"" "",
"" ""&amp;Sentiment_Words!A$2:A3730&amp;"" ""
),
1,
0
)
)
)
)"),2.0)</f>
        <v>2</v>
      </c>
      <c r="K1602" s="4">
        <f>IFERROR(__xludf.DUMMYFUNCTION("IF(H1602="""","""",
SUM(
ARRAYFORMULA(
IF(
REGEXMATCH(
"" ""&amp;H1602&amp;"" "",
"" ""&amp;Sentiment_Words!B$2:B3730&amp;"" ""
),
1,
0
)
)
)
)"),0.0)</f>
        <v>0</v>
      </c>
      <c r="L1602" s="7" t="str">
        <f t="shared" si="3"/>
        <v>Other</v>
      </c>
      <c r="M1602" s="7" t="str">
        <f t="shared" si="4"/>
        <v>Positive</v>
      </c>
      <c r="N1602" s="7" t="str">
        <f>IFERROR(__xludf.DUMMYFUNCTION("LOWER(
TRIM(
REGEXREPLACE(B1602,""[^a-zA-Z\s]"","""")
)
)
"),"robert earhart")</f>
        <v>robert earhart</v>
      </c>
      <c r="O1602" s="7">
        <f t="shared" si="5"/>
        <v>1</v>
      </c>
      <c r="P1602" s="8" t="str">
        <f t="shared" si="6"/>
        <v>No</v>
      </c>
    </row>
    <row r="1603">
      <c r="A1603" s="4" t="s">
        <v>16</v>
      </c>
      <c r="B1603" s="4" t="s">
        <v>4532</v>
      </c>
      <c r="C1603" s="5">
        <v>44804.0</v>
      </c>
      <c r="D1603" s="10">
        <v>44804.0</v>
      </c>
      <c r="E1603" s="4" t="s">
        <v>4533</v>
      </c>
      <c r="F1603" s="4" t="s">
        <v>4534</v>
      </c>
      <c r="G1603" s="6" t="str">
        <f>IFERROR(__xludf.DUMMYFUNCTION("REGEXREPLACE(LOWER(F1603),""[^a-z\s]"","""")"),"looking all over for prescription wet cat food saw a comparison between pet world petco and petflow it showed petflow had what i was looking for in stock so very excited that you were showing science diet in stock ordered  cases gave my vet a heads up you"&amp;"d be contacting them for a prescription it did not show out of stock when i was making my order then i get an email advising you didnt have it either
poor form showing you have it when you really dont")</f>
        <v>looking all over for prescription wet cat food saw a comparison between pet world petco and petflow it showed petflow had what i was looking for in stock so very excited that you were showing science diet in stock ordered  cases gave my vet a heads up youd be contacting them for a prescription it did not show out of stock when i was making my order then i get an email advising you didnt have it either
poor form showing you have it when you really dont</v>
      </c>
      <c r="H1603" s="4" t="str">
        <f t="shared" si="1"/>
        <v>looking all over prescription wet cat food saw a comparison between pet world petco petflow it showed petflow had what i was looking in stock so very excited that you were showing science diet in stock ordered cases gave my vet a heads up youd be contacting them a prescription it did not show out of stock when i was making my order then i get an email advising you didnt have it either
poor form showing you have it when you really dont</v>
      </c>
      <c r="I1603" s="6">
        <f t="shared" si="2"/>
        <v>83</v>
      </c>
      <c r="J1603" s="6">
        <f>IFERROR(__xludf.DUMMYFUNCTION("IF(H1603="""","""",
SUM(
ARRAYFORMULA(
IF(
REGEXMATCH(
"" ""&amp;H1603&amp;"" "",
"" ""&amp;Sentiment_Words!A$2:A3730&amp;"" ""
),
1,
0
)
)
)
)"),0.0)</f>
        <v>0</v>
      </c>
      <c r="K1603" s="4">
        <f>IFERROR(__xludf.DUMMYFUNCTION("IF(H1603="""","""",
SUM(
ARRAYFORMULA(
IF(
REGEXMATCH(
"" ""&amp;H1603&amp;"" "",
"" ""&amp;Sentiment_Words!B$2:B3730&amp;"" ""
),
1,
0
)
)
)
)"),1.0)</f>
        <v>1</v>
      </c>
      <c r="L1603" s="7" t="str">
        <f t="shared" si="3"/>
        <v>Availability</v>
      </c>
      <c r="M1603" s="7" t="str">
        <f t="shared" si="4"/>
        <v>Negative</v>
      </c>
      <c r="N1603" s="7" t="str">
        <f>IFERROR(__xludf.DUMMYFUNCTION("LOWER(
TRIM(
REGEXREPLACE(B1603,""[^a-zA-Z\s]"","""")
)
)
"),"amy nash")</f>
        <v>amy nash</v>
      </c>
      <c r="O1603" s="7">
        <f t="shared" si="5"/>
        <v>1</v>
      </c>
      <c r="P1603" s="8" t="str">
        <f t="shared" si="6"/>
        <v>No</v>
      </c>
    </row>
    <row r="1604">
      <c r="A1604" s="4" t="s">
        <v>16</v>
      </c>
      <c r="B1604" s="4" t="s">
        <v>4535</v>
      </c>
      <c r="C1604" s="5">
        <v>44804.0</v>
      </c>
      <c r="D1604" s="10">
        <v>44804.0</v>
      </c>
      <c r="E1604" s="4" t="s">
        <v>4536</v>
      </c>
      <c r="F1604" s="4" t="s">
        <v>4537</v>
      </c>
      <c r="G1604" s="6" t="str">
        <f>IFERROR(__xludf.DUMMYFUNCTION("REGEXREPLACE(LOWER(F1604),""[^a-z\s]"","""")"),"super fast shipping i placed my order and received it  days later great service")</f>
        <v>super fast shipping i placed my order and received it  days later great service</v>
      </c>
      <c r="H1604" s="4" t="str">
        <f t="shared" si="1"/>
        <v>super fast shipping i placed my order received it days later great service</v>
      </c>
      <c r="I1604" s="6">
        <f t="shared" si="2"/>
        <v>13</v>
      </c>
      <c r="J1604" s="6">
        <f>IFERROR(__xludf.DUMMYFUNCTION("IF(H1604="""","""",
SUM(
ARRAYFORMULA(
IF(
REGEXMATCH(
"" ""&amp;H1604&amp;"" "",
"" ""&amp;Sentiment_Words!A$2:A3730&amp;"" ""
),
1,
0
)
)
)
)"),2.0)</f>
        <v>2</v>
      </c>
      <c r="K1604" s="4">
        <f>IFERROR(__xludf.DUMMYFUNCTION("IF(H1604="""","""",
SUM(
ARRAYFORMULA(
IF(
REGEXMATCH(
"" ""&amp;H1604&amp;"" "",
"" ""&amp;Sentiment_Words!B$2:B3730&amp;"" ""
),
1,
0
)
)
)
)"),0.0)</f>
        <v>0</v>
      </c>
      <c r="L1604" s="7" t="str">
        <f t="shared" si="3"/>
        <v>Customer Support</v>
      </c>
      <c r="M1604" s="7" t="str">
        <f t="shared" si="4"/>
        <v>Positive</v>
      </c>
      <c r="N1604" s="7" t="str">
        <f>IFERROR(__xludf.DUMMYFUNCTION("LOWER(
TRIM(
REGEXREPLACE(B1604,""[^a-zA-Z\s]"","""")
)
)
"),"marie")</f>
        <v>marie</v>
      </c>
      <c r="O1604" s="7">
        <f t="shared" si="5"/>
        <v>1</v>
      </c>
      <c r="P1604" s="8" t="str">
        <f t="shared" si="6"/>
        <v>No</v>
      </c>
    </row>
    <row r="1605">
      <c r="A1605" s="4" t="s">
        <v>16</v>
      </c>
      <c r="B1605" s="4" t="s">
        <v>4538</v>
      </c>
      <c r="C1605" s="5">
        <v>44804.0</v>
      </c>
      <c r="D1605" s="10">
        <v>44804.0</v>
      </c>
      <c r="E1605" s="4" t="s">
        <v>4539</v>
      </c>
      <c r="F1605" s="4" t="s">
        <v>4540</v>
      </c>
      <c r="G1605" s="6" t="str">
        <f>IFERROR(__xludf.DUMMYFUNCTION("REGEXREPLACE(LOWER(F1605),""[^a-z\s]"","""")"),"i was sceptacle but chose to move forward and sure glad i did very prompt delivery have since ordered mega amounts of my cats favorite food again")</f>
        <v>i was sceptacle but chose to move forward and sure glad i did very prompt delivery have since ordered mega amounts of my cats favorite food again</v>
      </c>
      <c r="H1605" s="4" t="str">
        <f t="shared" si="1"/>
        <v>i was sceptacle but chose move forward sure glad i did very prompt delivery have since ordered mega amounts of my cats favorite food again</v>
      </c>
      <c r="I1605" s="6">
        <f t="shared" si="2"/>
        <v>25</v>
      </c>
      <c r="J1605" s="6">
        <f>IFERROR(__xludf.DUMMYFUNCTION("IF(H1605="""","""",
SUM(
ARRAYFORMULA(
IF(
REGEXMATCH(
"" ""&amp;H1605&amp;"" "",
"" ""&amp;Sentiment_Words!A$2:A3730&amp;"" ""
),
1,
0
)
)
)
)"),1.0)</f>
        <v>1</v>
      </c>
      <c r="K1605" s="4">
        <f>IFERROR(__xludf.DUMMYFUNCTION("IF(H1605="""","""",
SUM(
ARRAYFORMULA(
IF(
REGEXMATCH(
"" ""&amp;H1605&amp;"" "",
"" ""&amp;Sentiment_Words!B$2:B3730&amp;"" ""
),
1,
0
)
)
)
)"),0.0)</f>
        <v>0</v>
      </c>
      <c r="L1605" s="7" t="str">
        <f t="shared" si="3"/>
        <v>Other</v>
      </c>
      <c r="M1605" s="7" t="str">
        <f t="shared" si="4"/>
        <v>Positive</v>
      </c>
      <c r="N1605" s="7" t="str">
        <f>IFERROR(__xludf.DUMMYFUNCTION("LOWER(
TRIM(
REGEXREPLACE(B1605,""[^a-zA-Z\s]"","""")
)
)
"),"anya spielberg")</f>
        <v>anya spielberg</v>
      </c>
      <c r="O1605" s="7">
        <f t="shared" si="5"/>
        <v>1</v>
      </c>
      <c r="P1605" s="8" t="str">
        <f t="shared" si="6"/>
        <v>No</v>
      </c>
    </row>
    <row r="1606">
      <c r="A1606" s="4" t="s">
        <v>16</v>
      </c>
      <c r="B1606" s="4" t="s">
        <v>4541</v>
      </c>
      <c r="C1606" s="5">
        <v>44804.0</v>
      </c>
      <c r="D1606" s="10">
        <v>44804.0</v>
      </c>
      <c r="E1606" s="4" t="s">
        <v>4542</v>
      </c>
      <c r="F1606" s="4" t="s">
        <v>4543</v>
      </c>
      <c r="G1606" s="6" t="str">
        <f>IFERROR(__xludf.DUMMYFUNCTION("REGEXREPLACE(LOWER(F1606),""[^a-z\s]"","""")"),"order was quickly shipped but order was not complete due to inaccurate inventory on website and several items were very dirty when they arrived if it hadnt been for tags i would have thought the items were used somewhat disappointing")</f>
        <v>order was quickly shipped but order was not complete due to inaccurate inventory on website and several items were very dirty when they arrived if it hadnt been for tags i would have thought the items were used somewhat disappointing</v>
      </c>
      <c r="H1606" s="4" t="str">
        <f t="shared" si="1"/>
        <v>order was quickly shipped but order was not complete due inaccurate inventory on website several items were very dirty when they arrived if it hadnt been tags i would have thought items were used somewhat disappointing</v>
      </c>
      <c r="I1606" s="6">
        <f t="shared" si="2"/>
        <v>36</v>
      </c>
      <c r="J1606" s="6">
        <f>IFERROR(__xludf.DUMMYFUNCTION("IF(H1606="""","""",
SUM(
ARRAYFORMULA(
IF(
REGEXMATCH(
"" ""&amp;H1606&amp;"" "",
"" ""&amp;Sentiment_Words!A$2:A3730&amp;"" ""
),
1,
0
)
)
)
)"),0.0)</f>
        <v>0</v>
      </c>
      <c r="K1606" s="4">
        <f>IFERROR(__xludf.DUMMYFUNCTION("IF(H1606="""","""",
SUM(
ARRAYFORMULA(
IF(
REGEXMATCH(
"" ""&amp;H1606&amp;"" "",
"" ""&amp;Sentiment_Words!B$2:B3730&amp;"" ""
),
1,
0
)
)
)
)"),0.0)</f>
        <v>0</v>
      </c>
      <c r="L1606" s="7" t="str">
        <f t="shared" si="3"/>
        <v>Account &amp; Website</v>
      </c>
      <c r="M1606" s="7" t="str">
        <f t="shared" si="4"/>
        <v>Neutral</v>
      </c>
      <c r="N1606" s="7" t="str">
        <f>IFERROR(__xludf.DUMMYFUNCTION("LOWER(
TRIM(
REGEXREPLACE(B1606,""[^a-zA-Z\s]"","""")
)
)
"),"klaurie")</f>
        <v>klaurie</v>
      </c>
      <c r="O1606" s="7">
        <f t="shared" si="5"/>
        <v>1</v>
      </c>
      <c r="P1606" s="8" t="str">
        <f t="shared" si="6"/>
        <v>No</v>
      </c>
    </row>
    <row r="1607">
      <c r="A1607" s="4" t="s">
        <v>16</v>
      </c>
      <c r="B1607" s="4" t="s">
        <v>4544</v>
      </c>
      <c r="C1607" s="5">
        <v>44803.0</v>
      </c>
      <c r="D1607" s="10">
        <v>44804.0</v>
      </c>
      <c r="E1607" s="4" t="s">
        <v>4545</v>
      </c>
      <c r="F1607" s="4" t="s">
        <v>4546</v>
      </c>
      <c r="G1607" s="6" t="str">
        <f>IFERROR(__xludf.DUMMYFUNCTION("REGEXREPLACE(LOWER(F1607),""[^a-z\s]"","""")"),"fraud department is out of control ive never known a company so bent on refusing to allow customers to purchase from them good luck with that business model lol")</f>
        <v>fraud department is out of control ive never known a company so bent on refusing to allow customers to purchase from them good luck with that business model lol</v>
      </c>
      <c r="H1607" s="4" t="str">
        <f t="shared" si="1"/>
        <v>fraud department out of control ive never known a company so bent on refusing allow customers purchase from them good luck with that business model lol</v>
      </c>
      <c r="I1607" s="6">
        <f t="shared" si="2"/>
        <v>26</v>
      </c>
      <c r="J1607" s="6">
        <f>IFERROR(__xludf.DUMMYFUNCTION("IF(H1607="""","""",
SUM(
ARRAYFORMULA(
IF(
REGEXMATCH(
"" ""&amp;H1607&amp;"" "",
"" ""&amp;Sentiment_Words!A$2:A3730&amp;"" ""
),
1,
0
)
)
)
)"),1.0)</f>
        <v>1</v>
      </c>
      <c r="K1607" s="4">
        <f>IFERROR(__xludf.DUMMYFUNCTION("IF(H1607="""","""",
SUM(
ARRAYFORMULA(
IF(
REGEXMATCH(
"" ""&amp;H1607&amp;"" "",
"" ""&amp;Sentiment_Words!B$2:B3730&amp;"" ""
),
1,
0
)
)
)
)"),0.0)</f>
        <v>0</v>
      </c>
      <c r="L1607" s="7" t="str">
        <f t="shared" si="3"/>
        <v>Other</v>
      </c>
      <c r="M1607" s="7" t="str">
        <f t="shared" si="4"/>
        <v>Positive</v>
      </c>
      <c r="N1607" s="7" t="str">
        <f>IFERROR(__xludf.DUMMYFUNCTION("LOWER(
TRIM(
REGEXREPLACE(B1607,""[^a-zA-Z\s]"","""")
)
)
"),"megan r")</f>
        <v>megan r</v>
      </c>
      <c r="O1607" s="7">
        <f t="shared" si="5"/>
        <v>1</v>
      </c>
      <c r="P1607" s="8" t="str">
        <f t="shared" si="6"/>
        <v>No</v>
      </c>
    </row>
    <row r="1608">
      <c r="A1608" s="4" t="s">
        <v>16</v>
      </c>
      <c r="B1608" s="4" t="s">
        <v>4547</v>
      </c>
      <c r="C1608" s="5">
        <v>44803.0</v>
      </c>
      <c r="D1608" s="10">
        <v>44803.0</v>
      </c>
      <c r="E1608" s="4" t="s">
        <v>4548</v>
      </c>
      <c r="F1608" s="4" t="s">
        <v>4549</v>
      </c>
      <c r="G1608" s="6" t="str">
        <f>IFERROR(__xludf.DUMMYFUNCTION("REGEXREPLACE(LOWER(F1608),""[^a-z\s]"","""")"),"i recently purchased a bag of dog food emails kept me updated about when it would be delivered  it did arrive as scheduled it was a good experience  im very satisfied with the service provided")</f>
        <v>i recently purchased a bag of dog food emails kept me updated about when it would be delivered  it did arrive as scheduled it was a good experience  im very satisfied with the service provided</v>
      </c>
      <c r="H1608" s="4" t="str">
        <f t="shared" si="1"/>
        <v>i recently purchased a bag of dog food emails kept me updated about when it would be delivered it did arrive as scheduled it was a good experience im very satisfied with service provided</v>
      </c>
      <c r="I1608" s="6">
        <f t="shared" si="2"/>
        <v>34</v>
      </c>
      <c r="J1608" s="6">
        <f>IFERROR(__xludf.DUMMYFUNCTION("IF(H1608="""","""",
SUM(
ARRAYFORMULA(
IF(
REGEXMATCH(
"" ""&amp;H1608&amp;"" "",
"" ""&amp;Sentiment_Words!A$2:A3730&amp;"" ""
),
1,
0
)
)
)
)"),3.0)</f>
        <v>3</v>
      </c>
      <c r="K1608" s="4">
        <f>IFERROR(__xludf.DUMMYFUNCTION("IF(H1608="""","""",
SUM(
ARRAYFORMULA(
IF(
REGEXMATCH(
"" ""&amp;H1608&amp;"" "",
"" ""&amp;Sentiment_Words!B$2:B3730&amp;"" ""
),
1,
0
)
)
)
)"),0.0)</f>
        <v>0</v>
      </c>
      <c r="L1608" s="7" t="str">
        <f t="shared" si="3"/>
        <v>Customer Support</v>
      </c>
      <c r="M1608" s="7" t="str">
        <f t="shared" si="4"/>
        <v>Positive</v>
      </c>
      <c r="N1608" s="7" t="str">
        <f>IFERROR(__xludf.DUMMYFUNCTION("LOWER(
TRIM(
REGEXREPLACE(B1608,""[^a-zA-Z\s]"","""")
)
)
"),"sharen")</f>
        <v>sharen</v>
      </c>
      <c r="O1608" s="7">
        <f t="shared" si="5"/>
        <v>1</v>
      </c>
      <c r="P1608" s="8" t="str">
        <f t="shared" si="6"/>
        <v>No</v>
      </c>
    </row>
    <row r="1609">
      <c r="A1609" s="4" t="s">
        <v>16</v>
      </c>
      <c r="B1609" s="4" t="s">
        <v>4550</v>
      </c>
      <c r="C1609" s="5">
        <v>44803.0</v>
      </c>
      <c r="D1609" s="10">
        <v>44803.0</v>
      </c>
      <c r="E1609" s="4" t="s">
        <v>4551</v>
      </c>
      <c r="F1609" s="4" t="s">
        <v>4552</v>
      </c>
      <c r="G1609" s="6" t="str">
        <f>IFERROR(__xludf.DUMMYFUNCTION("REGEXREPLACE(LOWER(F1609),""[^a-z\s]"","""")"),"quick service  delivery no problems at all")</f>
        <v>quick service  delivery no problems at all</v>
      </c>
      <c r="H1609" s="4" t="str">
        <f t="shared" si="1"/>
        <v>quick service delivery no problems at all</v>
      </c>
      <c r="I1609" s="6">
        <f t="shared" si="2"/>
        <v>7</v>
      </c>
      <c r="J1609" s="6">
        <f>IFERROR(__xludf.DUMMYFUNCTION("IF(H1609="""","""",
SUM(
ARRAYFORMULA(
IF(
REGEXMATCH(
"" ""&amp;H1609&amp;"" "",
"" ""&amp;Sentiment_Words!A$2:A3730&amp;"" ""
),
1,
0
)
)
)
)"),1.0)</f>
        <v>1</v>
      </c>
      <c r="K1609" s="4">
        <f>IFERROR(__xludf.DUMMYFUNCTION("IF(H1609="""","""",
SUM(
ARRAYFORMULA(
IF(
REGEXMATCH(
"" ""&amp;H1609&amp;"" "",
"" ""&amp;Sentiment_Words!B$2:B3730&amp;"" ""
),
1,
0
)
)
)
)"),0.0)</f>
        <v>0</v>
      </c>
      <c r="L1609" s="7" t="str">
        <f t="shared" si="3"/>
        <v>Customer Support</v>
      </c>
      <c r="M1609" s="7" t="str">
        <f t="shared" si="4"/>
        <v>Positive</v>
      </c>
      <c r="N1609" s="7" t="str">
        <f>IFERROR(__xludf.DUMMYFUNCTION("LOWER(
TRIM(
REGEXREPLACE(B1609,""[^a-zA-Z\s]"","""")
)
)
"),"ellen childs")</f>
        <v>ellen childs</v>
      </c>
      <c r="O1609" s="7">
        <f t="shared" si="5"/>
        <v>1</v>
      </c>
      <c r="P1609" s="8" t="str">
        <f t="shared" si="6"/>
        <v>No</v>
      </c>
    </row>
    <row r="1610">
      <c r="A1610" s="4" t="s">
        <v>16</v>
      </c>
      <c r="B1610" s="4" t="s">
        <v>4553</v>
      </c>
      <c r="C1610" s="5">
        <v>44803.0</v>
      </c>
      <c r="D1610" s="10">
        <v>44803.0</v>
      </c>
      <c r="E1610" s="4" t="s">
        <v>4554</v>
      </c>
      <c r="F1610" s="4" t="s">
        <v>4555</v>
      </c>
      <c r="G1610" s="6" t="str">
        <f>IFERROR(__xludf.DUMMYFUNCTION("REGEXREPLACE(LOWER(F1610),""[^a-z\s]"","""")"),"shipping took entirely too long wasnt notified about a shipping delay until after package was due")</f>
        <v>shipping took entirely too long wasnt notified about a shipping delay until after package was due</v>
      </c>
      <c r="H1610" s="4" t="str">
        <f t="shared" si="1"/>
        <v>shipping took entirely too long wasnt notified about a shipping delay until after package was due</v>
      </c>
      <c r="I1610" s="6">
        <f t="shared" si="2"/>
        <v>16</v>
      </c>
      <c r="J1610" s="6">
        <f>IFERROR(__xludf.DUMMYFUNCTION("IF(H1610="""","""",
SUM(
ARRAYFORMULA(
IF(
REGEXMATCH(
"" ""&amp;H1610&amp;"" "",
"" ""&amp;Sentiment_Words!A$2:A3730&amp;"" ""
),
1,
0
)
)
)
)"),0.0)</f>
        <v>0</v>
      </c>
      <c r="K1610" s="4">
        <f>IFERROR(__xludf.DUMMYFUNCTION("IF(H1610="""","""",
SUM(
ARRAYFORMULA(
IF(
REGEXMATCH(
"" ""&amp;H1610&amp;"" "",
"" ""&amp;Sentiment_Words!B$2:B3730&amp;"" ""
),
1,
0
)
)
)
)"),1.0)</f>
        <v>1</v>
      </c>
      <c r="L1610" s="7" t="str">
        <f t="shared" si="3"/>
        <v>Fulfillment &amp; Shipping</v>
      </c>
      <c r="M1610" s="7" t="str">
        <f t="shared" si="4"/>
        <v>Negative</v>
      </c>
      <c r="N1610" s="7" t="str">
        <f>IFERROR(__xludf.DUMMYFUNCTION("LOWER(
TRIM(
REGEXREPLACE(B1610,""[^a-zA-Z\s]"","""")
)
)
"),"jennifer hoffman")</f>
        <v>jennifer hoffman</v>
      </c>
      <c r="O1610" s="7">
        <f t="shared" si="5"/>
        <v>1</v>
      </c>
      <c r="P1610" s="8" t="str">
        <f t="shared" si="6"/>
        <v>No</v>
      </c>
    </row>
    <row r="1611">
      <c r="A1611" s="4" t="s">
        <v>16</v>
      </c>
      <c r="B1611" s="4" t="s">
        <v>4556</v>
      </c>
      <c r="C1611" s="5">
        <v>44803.0</v>
      </c>
      <c r="D1611" s="10">
        <v>44803.0</v>
      </c>
      <c r="E1611" s="4" t="s">
        <v>4557</v>
      </c>
      <c r="F1611" s="4" t="s">
        <v>4558</v>
      </c>
      <c r="G1611" s="6" t="str">
        <f>IFERROR(__xludf.DUMMYFUNCTION("REGEXREPLACE(LOWER(F1611),""[^a-z\s]"","""")"),"friendly folks poor stock on hands
this is the second time i attempted to order dog food from you a days after ordering both times i received an email stating that was out of stock this was for hills dd potato and venison it would have been nice to know "&amp;"that this item was out of stock at time of purchase")</f>
        <v>friendly folks poor stock on hands
this is the second time i attempted to order dog food from you a days after ordering both times i received an email stating that was out of stock this was for hills dd potato and venison it would have been nice to know that this item was out of stock at time of purchase</v>
      </c>
      <c r="H1611" s="4" t="str">
        <f t="shared" si="1"/>
        <v>friendly folks poor stock on hands
this second time i attempted order dog food from you a days after ordering both times i received an email stating that was out of stock this was hills dd potato venison it would have been nice know that this item was out of stock at time of purchase</v>
      </c>
      <c r="I1611" s="6">
        <f t="shared" si="2"/>
        <v>54</v>
      </c>
      <c r="J1611" s="6">
        <f>IFERROR(__xludf.DUMMYFUNCTION("IF(H1611="""","""",
SUM(
ARRAYFORMULA(
IF(
REGEXMATCH(
"" ""&amp;H1611&amp;"" "",
"" ""&amp;Sentiment_Words!A$2:A3730&amp;"" ""
),
1,
0
)
)
)
)"),0.0)</f>
        <v>0</v>
      </c>
      <c r="K1611" s="4">
        <f>IFERROR(__xludf.DUMMYFUNCTION("IF(H1611="""","""",
SUM(
ARRAYFORMULA(
IF(
REGEXMATCH(
"" ""&amp;H1611&amp;"" "",
"" ""&amp;Sentiment_Words!B$2:B3730&amp;"" ""
),
1,
0
)
)
)
)"),2.0)</f>
        <v>2</v>
      </c>
      <c r="L1611" s="7" t="str">
        <f t="shared" si="3"/>
        <v>Availability</v>
      </c>
      <c r="M1611" s="7" t="str">
        <f t="shared" si="4"/>
        <v>Negative</v>
      </c>
      <c r="N1611" s="7" t="str">
        <f>IFERROR(__xludf.DUMMYFUNCTION("LOWER(
TRIM(
REGEXREPLACE(B1611,""[^a-zA-Z\s]"","""")
)
)
"),"david cohen")</f>
        <v>david cohen</v>
      </c>
      <c r="O1611" s="7">
        <f t="shared" si="5"/>
        <v>1</v>
      </c>
      <c r="P1611" s="8" t="str">
        <f t="shared" si="6"/>
        <v>No</v>
      </c>
    </row>
    <row r="1612">
      <c r="A1612" s="4" t="s">
        <v>16</v>
      </c>
      <c r="B1612" s="4" t="s">
        <v>4559</v>
      </c>
      <c r="C1612" s="5">
        <v>44803.0</v>
      </c>
      <c r="D1612" s="10">
        <v>44803.0</v>
      </c>
      <c r="E1612" s="4" t="s">
        <v>4560</v>
      </c>
      <c r="F1612" s="4" t="s">
        <v>4561</v>
      </c>
      <c r="G1612" s="6" t="str">
        <f>IFERROR(__xludf.DUMMYFUNCTION("REGEXREPLACE(LOWER(F1612),""[^a-z\s]"","""")"),"it took way too long to ship the food i called and canceled order while it was still in the warehouse and not processed  they sent it anyway")</f>
        <v>it took way too long to ship the food i called and canceled order while it was still in the warehouse and not processed  they sent it anyway</v>
      </c>
      <c r="H1612" s="4" t="str">
        <f t="shared" si="1"/>
        <v>it took way too long ship food i called canceled order while it was still in warehouse not processed they sent it anyway</v>
      </c>
      <c r="I1612" s="6">
        <f t="shared" si="2"/>
        <v>23</v>
      </c>
      <c r="J1612" s="6">
        <f>IFERROR(__xludf.DUMMYFUNCTION("IF(H1612="""","""",
SUM(
ARRAYFORMULA(
IF(
REGEXMATCH(
"" ""&amp;H1612&amp;"" "",
"" ""&amp;Sentiment_Words!A$2:A3730&amp;"" ""
),
1,
0
)
)
)
)"),0.0)</f>
        <v>0</v>
      </c>
      <c r="K1612" s="4">
        <f>IFERROR(__xludf.DUMMYFUNCTION("IF(H1612="""","""",
SUM(
ARRAYFORMULA(
IF(
REGEXMATCH(
"" ""&amp;H1612&amp;"" "",
"" ""&amp;Sentiment_Words!B$2:B3730&amp;"" ""
),
1,
0
)
)
)
)"),0.0)</f>
        <v>0</v>
      </c>
      <c r="L1612" s="7" t="str">
        <f t="shared" si="3"/>
        <v>Other</v>
      </c>
      <c r="M1612" s="7" t="str">
        <f t="shared" si="4"/>
        <v>Neutral</v>
      </c>
      <c r="N1612" s="7" t="str">
        <f>IFERROR(__xludf.DUMMYFUNCTION("LOWER(
TRIM(
REGEXREPLACE(B1612,""[^a-zA-Z\s]"","""")
)
)
"),"lois sussman")</f>
        <v>lois sussman</v>
      </c>
      <c r="O1612" s="7">
        <f t="shared" si="5"/>
        <v>1</v>
      </c>
      <c r="P1612" s="8" t="str">
        <f t="shared" si="6"/>
        <v>No</v>
      </c>
    </row>
    <row r="1613">
      <c r="A1613" s="4" t="s">
        <v>16</v>
      </c>
      <c r="B1613" s="4" t="s">
        <v>4562</v>
      </c>
      <c r="C1613" s="5">
        <v>44802.0</v>
      </c>
      <c r="D1613" s="10">
        <v>44802.0</v>
      </c>
      <c r="E1613" s="4" t="s">
        <v>4563</v>
      </c>
      <c r="F1613" s="4" t="s">
        <v>4564</v>
      </c>
      <c r="G1613" s="6" t="str">
        <f>IFERROR(__xludf.DUMMYFUNCTION("REGEXREPLACE(LOWER(F1613),""[^a-z\s]"","""")"),"i ordered product
never received it
later told thru text communication that product was out of stock
if so why was it on your website
nobody advised me")</f>
        <v>i ordered product
never received it
later told thru text communication that product was out of stock
if so why was it on your website
nobody advised me</v>
      </c>
      <c r="H1613" s="4" t="str">
        <f t="shared" si="1"/>
        <v>i ordered product
never received it
later told thru text communication that product was out of stock
if so why was it on your website
nobody advised me</v>
      </c>
      <c r="I1613" s="6">
        <f t="shared" si="2"/>
        <v>24</v>
      </c>
      <c r="J1613" s="6">
        <f>IFERROR(__xludf.DUMMYFUNCTION("IF(H1613="""","""",
SUM(
ARRAYFORMULA(
IF(
REGEXMATCH(
"" ""&amp;H1613&amp;"" "",
"" ""&amp;Sentiment_Words!A$2:A3730&amp;"" ""
),
1,
0
)
)
)
)"),0.0)</f>
        <v>0</v>
      </c>
      <c r="K1613" s="4">
        <f>IFERROR(__xludf.DUMMYFUNCTION("IF(H1613="""","""",
SUM(
ARRAYFORMULA(
IF(
REGEXMATCH(
"" ""&amp;H1613&amp;"" "",
"" ""&amp;Sentiment_Words!B$2:B3730&amp;"" ""
),
1,
0
)
)
)
)"),0.0)</f>
        <v>0</v>
      </c>
      <c r="L1613" s="7" t="str">
        <f t="shared" si="3"/>
        <v>Fulfillment &amp; Shipping</v>
      </c>
      <c r="M1613" s="7" t="str">
        <f t="shared" si="4"/>
        <v>Neutral</v>
      </c>
      <c r="N1613" s="7" t="str">
        <f>IFERROR(__xludf.DUMMYFUNCTION("LOWER(
TRIM(
REGEXREPLACE(B1613,""[^a-zA-Z\s]"","""")
)
)
"),"judith endean")</f>
        <v>judith endean</v>
      </c>
      <c r="O1613" s="7">
        <f t="shared" si="5"/>
        <v>1</v>
      </c>
      <c r="P1613" s="8" t="str">
        <f t="shared" si="6"/>
        <v>No</v>
      </c>
    </row>
    <row r="1614">
      <c r="A1614" s="4" t="s">
        <v>16</v>
      </c>
      <c r="B1614" s="4" t="s">
        <v>1910</v>
      </c>
      <c r="C1614" s="5">
        <v>44802.0</v>
      </c>
      <c r="D1614" s="10">
        <v>44802.0</v>
      </c>
      <c r="E1614" s="4" t="s">
        <v>4565</v>
      </c>
      <c r="F1614" s="4" t="s">
        <v>4566</v>
      </c>
      <c r="G1614" s="6" t="str">
        <f>IFERROR(__xludf.DUMMYFUNCTION("REGEXREPLACE(LOWER(F1614),""[^a-z\s]"","""")"),"fraud depoatment has flagged my account they have been no help to get this corrected i would like to purchase form this compnay but they have been no help in correcting their error about mt information being fraud who can i talk to to get this corrected")</f>
        <v>fraud depoatment has flagged my account they have been no help to get this corrected i would like to purchase form this compnay but they have been no help in correcting their error about mt information being fraud who can i talk to to get this corrected</v>
      </c>
      <c r="H1614" s="4" t="str">
        <f t="shared" si="1"/>
        <v>fraud depoatment has flagged my account they have been no help get this corrected i would like purchase form this compnay but they have been no help in correcting their error about mt information being fraud who can i talk to get this corrected</v>
      </c>
      <c r="I1614" s="6">
        <f t="shared" si="2"/>
        <v>44</v>
      </c>
      <c r="J1614" s="6">
        <f>IFERROR(__xludf.DUMMYFUNCTION("IF(H1614="""","""",
SUM(
ARRAYFORMULA(
IF(
REGEXMATCH(
"" ""&amp;H1614&amp;"" "",
"" ""&amp;Sentiment_Words!A$2:A3730&amp;"" ""
),
1,
0
)
)
)
)"),0.0)</f>
        <v>0</v>
      </c>
      <c r="K1614" s="4">
        <f>IFERROR(__xludf.DUMMYFUNCTION("IF(H1614="""","""",
SUM(
ARRAYFORMULA(
IF(
REGEXMATCH(
"" ""&amp;H1614&amp;"" "",
"" ""&amp;Sentiment_Words!B$2:B3730&amp;"" ""
),
1,
0
)
)
)
)"),0.0)</f>
        <v>0</v>
      </c>
      <c r="L1614" s="7" t="str">
        <f t="shared" si="3"/>
        <v>Account &amp; Website</v>
      </c>
      <c r="M1614" s="7" t="str">
        <f t="shared" si="4"/>
        <v>Neutral</v>
      </c>
      <c r="N1614" s="7" t="str">
        <f>IFERROR(__xludf.DUMMYFUNCTION("LOWER(
TRIM(
REGEXREPLACE(B1614,""[^a-zA-Z\s]"","""")
)
)
"),"diane")</f>
        <v>diane</v>
      </c>
      <c r="O1614" s="7">
        <f t="shared" si="5"/>
        <v>7</v>
      </c>
      <c r="P1614" s="8" t="str">
        <f t="shared" si="6"/>
        <v>Yes</v>
      </c>
    </row>
    <row r="1615">
      <c r="A1615" s="4" t="s">
        <v>16</v>
      </c>
      <c r="B1615" s="4" t="s">
        <v>4567</v>
      </c>
      <c r="C1615" s="5">
        <v>44802.0</v>
      </c>
      <c r="D1615" s="10">
        <v>44802.0</v>
      </c>
      <c r="E1615" s="4" t="s">
        <v>4568</v>
      </c>
      <c r="F1615" s="4" t="s">
        <v>4569</v>
      </c>
      <c r="G1615" s="6" t="str">
        <f>IFERROR(__xludf.DUMMYFUNCTION("REGEXREPLACE(LOWER(F1615),""[^a-z\s]"","""")"),"i had to reach out to find out what was happening with my order after never hearing anything")</f>
        <v>i had to reach out to find out what was happening with my order after never hearing anything</v>
      </c>
      <c r="H1615" s="4" t="str">
        <f t="shared" si="1"/>
        <v>i had reach out find out what was happening with my order after never hearing anything</v>
      </c>
      <c r="I1615" s="6">
        <f t="shared" si="2"/>
        <v>16</v>
      </c>
      <c r="J1615" s="6">
        <f>IFERROR(__xludf.DUMMYFUNCTION("IF(H1615="""","""",
SUM(
ARRAYFORMULA(
IF(
REGEXMATCH(
"" ""&amp;H1615&amp;"" "",
"" ""&amp;Sentiment_Words!A$2:A3730&amp;"" ""
),
1,
0
)
)
)
)"),0.0)</f>
        <v>0</v>
      </c>
      <c r="K1615" s="4">
        <f>IFERROR(__xludf.DUMMYFUNCTION("IF(H1615="""","""",
SUM(
ARRAYFORMULA(
IF(
REGEXMATCH(
"" ""&amp;H1615&amp;"" "",
"" ""&amp;Sentiment_Words!B$2:B3730&amp;"" ""
),
1,
0
)
)
)
)"),0.0)</f>
        <v>0</v>
      </c>
      <c r="L1615" s="7" t="str">
        <f t="shared" si="3"/>
        <v>Other</v>
      </c>
      <c r="M1615" s="7" t="str">
        <f t="shared" si="4"/>
        <v>Neutral</v>
      </c>
      <c r="N1615" s="7" t="str">
        <f>IFERROR(__xludf.DUMMYFUNCTION("LOWER(
TRIM(
REGEXREPLACE(B1615,""[^a-zA-Z\s]"","""")
)
)
"),"whitney chirdon")</f>
        <v>whitney chirdon</v>
      </c>
      <c r="O1615" s="7">
        <f t="shared" si="5"/>
        <v>1</v>
      </c>
      <c r="P1615" s="8" t="str">
        <f t="shared" si="6"/>
        <v>No</v>
      </c>
    </row>
    <row r="1616">
      <c r="A1616" s="4" t="s">
        <v>16</v>
      </c>
      <c r="B1616" s="4" t="s">
        <v>4570</v>
      </c>
      <c r="C1616" s="5">
        <v>44802.0</v>
      </c>
      <c r="D1616" s="10">
        <v>44802.0</v>
      </c>
      <c r="E1616" s="4" t="s">
        <v>4571</v>
      </c>
      <c r="F1616" s="4" t="s">
        <v>4572</v>
      </c>
      <c r="G1616" s="6" t="str">
        <f>IFERROR(__xludf.DUMMYFUNCTION("REGEXREPLACE(LOWER(F1616),""[^a-z\s]"","""")"),"you were unable to fill my order and never let me know until i sent an email asking where it was")</f>
        <v>you were unable to fill my order and never let me know until i sent an email asking where it was</v>
      </c>
      <c r="H1616" s="4" t="str">
        <f t="shared" si="1"/>
        <v>you were unable fill my order never let me know until i sent an email asking where it was</v>
      </c>
      <c r="I1616" s="6">
        <f t="shared" si="2"/>
        <v>19</v>
      </c>
      <c r="J1616" s="6">
        <f>IFERROR(__xludf.DUMMYFUNCTION("IF(H1616="""","""",
SUM(
ARRAYFORMULA(
IF(
REGEXMATCH(
"" ""&amp;H1616&amp;"" "",
"" ""&amp;Sentiment_Words!A$2:A3730&amp;"" ""
),
1,
0
)
)
)
)"),0.0)</f>
        <v>0</v>
      </c>
      <c r="K1616" s="4">
        <f>IFERROR(__xludf.DUMMYFUNCTION("IF(H1616="""","""",
SUM(
ARRAYFORMULA(
IF(
REGEXMATCH(
"" ""&amp;H1616&amp;"" "",
"" ""&amp;Sentiment_Words!B$2:B3730&amp;"" ""
),
1,
0
)
)
)
)"),0.0)</f>
        <v>0</v>
      </c>
      <c r="L1616" s="7" t="str">
        <f t="shared" si="3"/>
        <v>Other</v>
      </c>
      <c r="M1616" s="7" t="str">
        <f t="shared" si="4"/>
        <v>Neutral</v>
      </c>
      <c r="N1616" s="7" t="str">
        <f>IFERROR(__xludf.DUMMYFUNCTION("LOWER(
TRIM(
REGEXREPLACE(B1616,""[^a-zA-Z\s]"","""")
)
)
"),"samis mom")</f>
        <v>samis mom</v>
      </c>
      <c r="O1616" s="7">
        <f t="shared" si="5"/>
        <v>1</v>
      </c>
      <c r="P1616" s="8" t="str">
        <f t="shared" si="6"/>
        <v>No</v>
      </c>
    </row>
    <row r="1617">
      <c r="A1617" s="4" t="s">
        <v>16</v>
      </c>
      <c r="B1617" s="4" t="s">
        <v>4573</v>
      </c>
      <c r="C1617" s="5">
        <v>44802.0</v>
      </c>
      <c r="D1617" s="10">
        <v>44802.0</v>
      </c>
      <c r="E1617" s="4" t="s">
        <v>4574</v>
      </c>
      <c r="F1617" s="4" t="s">
        <v>4575</v>
      </c>
      <c r="G1617" s="6" t="str">
        <f>IFERROR(__xludf.DUMMYFUNCTION("REGEXREPLACE(LOWER(F1617),""[^a-z\s]"","""")"),"after making a purchase that exceeded the threshold for free shipping i was not able to add on another item after making a purchase the salesperson could not waive the shipping fee on another item i forgot to add on to my original purchase instead she wan"&amp;"ted me to purchase more items so i can get free shipping i decided to continue my business with chewycom because they were able to waive the shipping fee on items i forgot to add to a previous purchase")</f>
        <v>after making a purchase that exceeded the threshold for free shipping i was not able to add on another item after making a purchase the salesperson could not waive the shipping fee on another item i forgot to add on to my original purchase instead she wanted me to purchase more items so i can get free shipping i decided to continue my business with chewycom because they were able to waive the shipping fee on items i forgot to add to a previous purchase</v>
      </c>
      <c r="H1617" s="4" t="str">
        <f t="shared" si="1"/>
        <v>after making a purchase that exceeded threshold free shipping i was not able add on another item after making a purchase salesperson could not waive shipping fee on another item i forgot add on my original purchase instead she wanted me purchase more items so i can get free shipping i decided continue my business with chewycom because they were able waive shipping fee on items i forgot add a previous purchase</v>
      </c>
      <c r="I1617" s="6">
        <f t="shared" si="2"/>
        <v>72</v>
      </c>
      <c r="J1617" s="6">
        <f>IFERROR(__xludf.DUMMYFUNCTION("IF(H1617="""","""",
SUM(
ARRAYFORMULA(
IF(
REGEXMATCH(
"" ""&amp;H1617&amp;"" "",
"" ""&amp;Sentiment_Words!A$2:A3730&amp;"" ""
),
1,
0
)
)
)
)"),1.0)</f>
        <v>1</v>
      </c>
      <c r="K1617" s="4">
        <f>IFERROR(__xludf.DUMMYFUNCTION("IF(H1617="""","""",
SUM(
ARRAYFORMULA(
IF(
REGEXMATCH(
"" ""&amp;H1617&amp;"" "",
"" ""&amp;Sentiment_Words!B$2:B3730&amp;"" ""
),
1,
0
)
)
)
)"),0.0)</f>
        <v>0</v>
      </c>
      <c r="L1617" s="7" t="str">
        <f t="shared" si="3"/>
        <v>Other</v>
      </c>
      <c r="M1617" s="7" t="str">
        <f t="shared" si="4"/>
        <v>Positive</v>
      </c>
      <c r="N1617" s="7" t="str">
        <f>IFERROR(__xludf.DUMMYFUNCTION("LOWER(
TRIM(
REGEXREPLACE(B1617,""[^a-zA-Z\s]"","""")
)
)
"),"pet lover")</f>
        <v>pet lover</v>
      </c>
      <c r="O1617" s="7">
        <f t="shared" si="5"/>
        <v>1</v>
      </c>
      <c r="P1617" s="8" t="str">
        <f t="shared" si="6"/>
        <v>No</v>
      </c>
    </row>
    <row r="1618">
      <c r="A1618" s="4" t="s">
        <v>16</v>
      </c>
      <c r="B1618" s="4" t="s">
        <v>4576</v>
      </c>
      <c r="C1618" s="5">
        <v>44802.0</v>
      </c>
      <c r="D1618" s="10">
        <v>44802.0</v>
      </c>
      <c r="E1618" s="4" t="s">
        <v>4577</v>
      </c>
      <c r="F1618" s="4" t="s">
        <v>4578</v>
      </c>
      <c r="G1618" s="6" t="str">
        <f>IFERROR(__xludf.DUMMYFUNCTION("REGEXREPLACE(LOWER(F1618),""[^a-z\s]"","""")"),"i ordered  bags of hills feline dry metabolic  cd which has been hard to find at alot of stores you listed it as in stock i am the veternarian for my pets and you didnt allow me to upload an image of my prescription you sent my clinic an email to get orde"&amp;"r approved and same day sent me an email saying youd contacted them and heard nothing back yet they had already approved it which is why lots of pet parents get mad at us for orders then after confirming with my staff for approval i waited a few bussiness"&amp;" days for shipping comfort matron instead you cancelled my order with no reason in my email or account i had to call customer service to learn its out of stock")</f>
        <v>i ordered  bags of hills feline dry metabolic  cd which has been hard to find at alot of stores you listed it as in stock i am the veternarian for my pets and you didnt allow me to upload an image of my prescription you sent my clinic an email to get order approved and same day sent me an email saying youd contacted them and heard nothing back yet they had already approved it which is why lots of pet parents get mad at us for orders then after confirming with my staff for approval i waited a few bussiness days for shipping comfort matron instead you cancelled my order with no reason in my email or account i had to call customer service to learn its out of stock</v>
      </c>
      <c r="H1618" s="4" t="str">
        <f t="shared" si="1"/>
        <v>i ordered bags of hills feline dry metabolic cd which has been hard find at alot of stores you listed it as in stock i am veternarian my pets you didnt allow me upload an image of my prescription you sent my clinic an email get order approved same day sent me an email saying youd contacted them heard nothing back yet they had already approved it which why lots of pet parents get mad at us orders then after confirming with my staff approval i waited a few bussiness days shipping comfort matron instead you cancelled my order with no reason in my email or account i had call customer service learn its out of stock</v>
      </c>
      <c r="I1618" s="6">
        <f t="shared" si="2"/>
        <v>117</v>
      </c>
      <c r="J1618" s="6">
        <f>IFERROR(__xludf.DUMMYFUNCTION("IF(H1618="""","""",
SUM(
ARRAYFORMULA(
IF(
REGEXMATCH(
"" ""&amp;H1618&amp;"" "",
"" ""&amp;Sentiment_Words!A$2:A3730&amp;"" ""
),
1,
0
)
)
)
)"),0.0)</f>
        <v>0</v>
      </c>
      <c r="K1618" s="4">
        <f>IFERROR(__xludf.DUMMYFUNCTION("IF(H1618="""","""",
SUM(
ARRAYFORMULA(
IF(
REGEXMATCH(
"" ""&amp;H1618&amp;"" "",
"" ""&amp;Sentiment_Words!B$2:B3730&amp;"" ""
),
1,
0
)
)
)
)"),3.0)</f>
        <v>3</v>
      </c>
      <c r="L1618" s="7" t="str">
        <f t="shared" si="3"/>
        <v>Customer Support</v>
      </c>
      <c r="M1618" s="7" t="str">
        <f t="shared" si="4"/>
        <v>Negative</v>
      </c>
      <c r="N1618" s="7" t="str">
        <f>IFERROR(__xludf.DUMMYFUNCTION("LOWER(
TRIM(
REGEXREPLACE(B1618,""[^a-zA-Z\s]"","""")
)
)
"),"lck")</f>
        <v>lck</v>
      </c>
      <c r="O1618" s="7">
        <f t="shared" si="5"/>
        <v>1</v>
      </c>
      <c r="P1618" s="8" t="str">
        <f t="shared" si="6"/>
        <v>No</v>
      </c>
    </row>
    <row r="1619">
      <c r="A1619" s="4" t="s">
        <v>16</v>
      </c>
      <c r="B1619" s="4" t="s">
        <v>4579</v>
      </c>
      <c r="C1619" s="5">
        <v>44801.0</v>
      </c>
      <c r="D1619" s="10">
        <v>44801.0</v>
      </c>
      <c r="E1619" s="4" t="s">
        <v>4580</v>
      </c>
      <c r="F1619" s="4" t="s">
        <v>4581</v>
      </c>
      <c r="G1619" s="6" t="str">
        <f>IFERROR(__xludf.DUMMYFUNCTION("REGEXREPLACE(LOWER(F1619),""[^a-z\s]"","""")"),"i ordered my cat a specialty cat food which at the time was listed as in stock then the next day i received an email saying it was out of stock
to be fair most if not all places were out of stock but thats why i was excited to finally find a store that ha"&amp;"d it available not very happy
i have since purchased a different brand of food from a competitor")</f>
        <v>i ordered my cat a specialty cat food which at the time was listed as in stock then the next day i received an email saying it was out of stock
to be fair most if not all places were out of stock but thats why i was excited to finally find a store that had it available not very happy
i have since purchased a different brand of food from a competitor</v>
      </c>
      <c r="H1619" s="4" t="str">
        <f t="shared" si="1"/>
        <v>i ordered my cat a specialty cat food which at time was listed as in stock then next day i received an email saying it was out of stock
to be fair most if not all places were out of stock but thats why i was excited finally find a store that had it available not very happy
i have since purchased a different brand of food from a competitor</v>
      </c>
      <c r="I1619" s="6">
        <f t="shared" si="2"/>
        <v>68</v>
      </c>
      <c r="J1619" s="6">
        <f>IFERROR(__xludf.DUMMYFUNCTION("IF(H1619="""","""",
SUM(
ARRAYFORMULA(
IF(
REGEXMATCH(
"" ""&amp;H1619&amp;"" "",
"" ""&amp;Sentiment_Words!A$2:A3730&amp;"" ""
),
1,
0
)
)
)
)"),1.0)</f>
        <v>1</v>
      </c>
      <c r="K1619" s="4">
        <f>IFERROR(__xludf.DUMMYFUNCTION("IF(H1619="""","""",
SUM(
ARRAYFORMULA(
IF(
REGEXMATCH(
"" ""&amp;H1619&amp;"" "",
"" ""&amp;Sentiment_Words!B$2:B3730&amp;"" ""
),
1,
0
)
)
)
)"),1.0)</f>
        <v>1</v>
      </c>
      <c r="L1619" s="7" t="str">
        <f t="shared" si="3"/>
        <v>Availability</v>
      </c>
      <c r="M1619" s="7" t="str">
        <f t="shared" si="4"/>
        <v>Neutral</v>
      </c>
      <c r="N1619" s="7" t="str">
        <f>IFERROR(__xludf.DUMMYFUNCTION("LOWER(
TRIM(
REGEXREPLACE(B1619,""[^a-zA-Z\s]"","""")
)
)
"),"lisa denny")</f>
        <v>lisa denny</v>
      </c>
      <c r="O1619" s="7">
        <f t="shared" si="5"/>
        <v>1</v>
      </c>
      <c r="P1619" s="8" t="str">
        <f t="shared" si="6"/>
        <v>No</v>
      </c>
    </row>
    <row r="1620">
      <c r="A1620" s="4" t="s">
        <v>16</v>
      </c>
      <c r="B1620" s="4" t="s">
        <v>4582</v>
      </c>
      <c r="C1620" s="5">
        <v>44800.0</v>
      </c>
      <c r="D1620" s="10">
        <v>44801.0</v>
      </c>
      <c r="E1620" s="4" t="s">
        <v>4583</v>
      </c>
      <c r="F1620" s="4" t="s">
        <v>4584</v>
      </c>
      <c r="G1620" s="6" t="str">
        <f>IFERROR(__xludf.DUMMYFUNCTION("REGEXREPLACE(LOWER(F1620),""[^a-z\s]"","""")"),"i called to cancel an order within  hrs of placing it was told it was too late but that i once it arrived i can call and request a prepaid label to return so i called when it arrived and was told that rx dog food cannot be returned and that it states that"&amp;" on the website i said that i was told i could return it the man said people make mistakes")</f>
        <v>i called to cancel an order within  hrs of placing it was told it was too late but that i once it arrived i can call and request a prepaid label to return so i called when it arrived and was told that rx dog food cannot be returned and that it states that on the website i said that i was told i could return it the man said people make mistakes</v>
      </c>
      <c r="H1620" s="4" t="str">
        <f t="shared" si="1"/>
        <v>i called cancel an order within hrs of placing it was told it was too late but that i once it arrived i can call request a prepaid label return so i called when it arrived was told that rx dog food cannot be returned that it states that on website i said that i was told i could return it man said people make mistakes</v>
      </c>
      <c r="I1620" s="6">
        <f t="shared" si="2"/>
        <v>66</v>
      </c>
      <c r="J1620" s="6">
        <f>IFERROR(__xludf.DUMMYFUNCTION("IF(H1620="""","""",
SUM(
ARRAYFORMULA(
IF(
REGEXMATCH(
"" ""&amp;H1620&amp;"" "",
"" ""&amp;Sentiment_Words!A$2:A3730&amp;"" ""
),
1,
0
)
)
)
)"),0.0)</f>
        <v>0</v>
      </c>
      <c r="K1620" s="4">
        <f>IFERROR(__xludf.DUMMYFUNCTION("IF(H1620="""","""",
SUM(
ARRAYFORMULA(
IF(
REGEXMATCH(
"" ""&amp;H1620&amp;"" "",
"" ""&amp;Sentiment_Words!B$2:B3730&amp;"" ""
),
1,
0
)
)
)
)"),1.0)</f>
        <v>1</v>
      </c>
      <c r="L1620" s="7" t="str">
        <f t="shared" si="3"/>
        <v>Fulfillment &amp; Shipping</v>
      </c>
      <c r="M1620" s="7" t="str">
        <f t="shared" si="4"/>
        <v>Negative</v>
      </c>
      <c r="N1620" s="7" t="str">
        <f>IFERROR(__xludf.DUMMYFUNCTION("LOWER(
TRIM(
REGEXREPLACE(B1620,""[^a-zA-Z\s]"","""")
)
)
"),"vw")</f>
        <v>vw</v>
      </c>
      <c r="O1620" s="7">
        <f t="shared" si="5"/>
        <v>1</v>
      </c>
      <c r="P1620" s="8" t="str">
        <f t="shared" si="6"/>
        <v>No</v>
      </c>
    </row>
    <row r="1621">
      <c r="A1621" s="4" t="s">
        <v>16</v>
      </c>
      <c r="B1621" s="4" t="s">
        <v>3240</v>
      </c>
      <c r="C1621" s="5">
        <v>44800.0</v>
      </c>
      <c r="D1621" s="10">
        <v>44801.0</v>
      </c>
      <c r="E1621" s="4" t="s">
        <v>4585</v>
      </c>
      <c r="F1621" s="4" t="s">
        <v>4586</v>
      </c>
      <c r="G1621" s="6" t="str">
        <f>IFERROR(__xludf.DUMMYFUNCTION("REGEXREPLACE(LOWER(F1621),""[^a-z\s]"","""")"),"ive been using petflow for my furry babies for a few years now and am very happy with the ease of the website navigation and managing my autoshipments they also have great customer service")</f>
        <v>ive been using petflow for my furry babies for a few years now and am very happy with the ease of the website navigation and managing my autoshipments they also have great customer service</v>
      </c>
      <c r="H1621" s="4" t="str">
        <f t="shared" si="1"/>
        <v>ive been using petflow my furry babies a few years now am very happy with ease of website navigation managing my autoshipments they also have great customer service</v>
      </c>
      <c r="I1621" s="6">
        <f t="shared" si="2"/>
        <v>28</v>
      </c>
      <c r="J1621" s="6">
        <f>IFERROR(__xludf.DUMMYFUNCTION("IF(H1621="""","""",
SUM(
ARRAYFORMULA(
IF(
REGEXMATCH(
"" ""&amp;H1621&amp;"" "",
"" ""&amp;Sentiment_Words!A$2:A3730&amp;"" ""
),
1,
0
)
)
)
)"),3.0)</f>
        <v>3</v>
      </c>
      <c r="K1621" s="4">
        <f>IFERROR(__xludf.DUMMYFUNCTION("IF(H1621="""","""",
SUM(
ARRAYFORMULA(
IF(
REGEXMATCH(
"" ""&amp;H1621&amp;"" "",
"" ""&amp;Sentiment_Words!B$2:B3730&amp;"" ""
),
1,
0
)
)
)
)"),1.0)</f>
        <v>1</v>
      </c>
      <c r="L1621" s="7" t="str">
        <f t="shared" si="3"/>
        <v>Customer Support</v>
      </c>
      <c r="M1621" s="7" t="str">
        <f t="shared" si="4"/>
        <v>Positive</v>
      </c>
      <c r="N1621" s="7" t="str">
        <f>IFERROR(__xludf.DUMMYFUNCTION("LOWER(
TRIM(
REGEXREPLACE(B1621,""[^a-zA-Z\s]"","""")
)
)
"),"carole")</f>
        <v>carole</v>
      </c>
      <c r="O1621" s="7">
        <f t="shared" si="5"/>
        <v>2</v>
      </c>
      <c r="P1621" s="8" t="str">
        <f t="shared" si="6"/>
        <v>Yes</v>
      </c>
    </row>
    <row r="1622">
      <c r="A1622" s="4" t="s">
        <v>16</v>
      </c>
      <c r="B1622" s="4" t="s">
        <v>4587</v>
      </c>
      <c r="C1622" s="5">
        <v>44800.0</v>
      </c>
      <c r="D1622" s="10">
        <v>44800.0</v>
      </c>
      <c r="E1622" s="4" t="s">
        <v>4588</v>
      </c>
      <c r="F1622" s="4" t="s">
        <v>4589</v>
      </c>
      <c r="G1622" s="6" t="str">
        <f>IFERROR(__xludf.DUMMYFUNCTION("REGEXREPLACE(LOWER(F1622),""[^a-z\s]"","""")"),"i get all of the treats that my dog loves on one site for the best price")</f>
        <v>i get all of the treats that my dog loves on one site for the best price</v>
      </c>
      <c r="H1622" s="4" t="str">
        <f t="shared" si="1"/>
        <v>i get all of treats that my dog loves on one site best price</v>
      </c>
      <c r="I1622" s="6">
        <f t="shared" si="2"/>
        <v>14</v>
      </c>
      <c r="J1622" s="6">
        <f>IFERROR(__xludf.DUMMYFUNCTION("IF(H1622="""","""",
SUM(
ARRAYFORMULA(
IF(
REGEXMATCH(
"" ""&amp;H1622&amp;"" "",
"" ""&amp;Sentiment_Words!A$2:A3730&amp;"" ""
),
1,
0
)
)
)
)"),0.0)</f>
        <v>0</v>
      </c>
      <c r="K1622" s="4">
        <f>IFERROR(__xludf.DUMMYFUNCTION("IF(H1622="""","""",
SUM(
ARRAYFORMULA(
IF(
REGEXMATCH(
"" ""&amp;H1622&amp;"" "",
"" ""&amp;Sentiment_Words!B$2:B3730&amp;"" ""
),
1,
0
)
)
)
)"),0.0)</f>
        <v>0</v>
      </c>
      <c r="L1622" s="7" t="str">
        <f t="shared" si="3"/>
        <v>Other</v>
      </c>
      <c r="M1622" s="7" t="str">
        <f t="shared" si="4"/>
        <v>Neutral</v>
      </c>
      <c r="N1622" s="7" t="str">
        <f>IFERROR(__xludf.DUMMYFUNCTION("LOWER(
TRIM(
REGEXREPLACE(B1622,""[^a-zA-Z\s]"","""")
)
)
"),"vicki thornborough")</f>
        <v>vicki thornborough</v>
      </c>
      <c r="O1622" s="7">
        <f t="shared" si="5"/>
        <v>1</v>
      </c>
      <c r="P1622" s="8" t="str">
        <f t="shared" si="6"/>
        <v>No</v>
      </c>
    </row>
    <row r="1623">
      <c r="A1623" s="4" t="s">
        <v>16</v>
      </c>
      <c r="B1623" s="4" t="s">
        <v>4590</v>
      </c>
      <c r="C1623" s="5">
        <v>44800.0</v>
      </c>
      <c r="D1623" s="10">
        <v>44800.0</v>
      </c>
      <c r="E1623" s="4" t="s">
        <v>4591</v>
      </c>
      <c r="F1623" s="4" t="s">
        <v>4592</v>
      </c>
      <c r="G1623" s="6" t="str">
        <f>IFERROR(__xludf.DUMMYFUNCTION("REGEXREPLACE(LOWER(F1623),""[^a-z\s]"","""")"),"couldnt be much easier and a great price no one even close")</f>
        <v>couldnt be much easier and a great price no one even close</v>
      </c>
      <c r="H1623" s="4" t="str">
        <f t="shared" si="1"/>
        <v>couldnt be much easier a great price no one even close</v>
      </c>
      <c r="I1623" s="6">
        <f t="shared" si="2"/>
        <v>11</v>
      </c>
      <c r="J1623" s="6">
        <f>IFERROR(__xludf.DUMMYFUNCTION("IF(H1623="""","""",
SUM(
ARRAYFORMULA(
IF(
REGEXMATCH(
"" ""&amp;H1623&amp;"" "",
"" ""&amp;Sentiment_Words!A$2:A3730&amp;"" ""
),
1,
0
)
)
)
)"),1.0)</f>
        <v>1</v>
      </c>
      <c r="K1623" s="4">
        <f>IFERROR(__xludf.DUMMYFUNCTION("IF(H1623="""","""",
SUM(
ARRAYFORMULA(
IF(
REGEXMATCH(
"" ""&amp;H1623&amp;"" "",
"" ""&amp;Sentiment_Words!B$2:B3730&amp;"" ""
),
1,
0
)
)
)
)"),0.0)</f>
        <v>0</v>
      </c>
      <c r="L1623" s="7" t="str">
        <f t="shared" si="3"/>
        <v>Other</v>
      </c>
      <c r="M1623" s="7" t="str">
        <f t="shared" si="4"/>
        <v>Positive</v>
      </c>
      <c r="N1623" s="7" t="str">
        <f>IFERROR(__xludf.DUMMYFUNCTION("LOWER(
TRIM(
REGEXREPLACE(B1623,""[^a-zA-Z\s]"","""")
)
)
"),"craig letrich")</f>
        <v>craig letrich</v>
      </c>
      <c r="O1623" s="7">
        <f t="shared" si="5"/>
        <v>1</v>
      </c>
      <c r="P1623" s="8" t="str">
        <f t="shared" si="6"/>
        <v>No</v>
      </c>
    </row>
    <row r="1624">
      <c r="A1624" s="4" t="s">
        <v>16</v>
      </c>
      <c r="B1624" s="4" t="s">
        <v>4593</v>
      </c>
      <c r="C1624" s="5">
        <v>44800.0</v>
      </c>
      <c r="D1624" s="10">
        <v>44800.0</v>
      </c>
      <c r="E1624" s="4" t="s">
        <v>2581</v>
      </c>
      <c r="F1624" s="4" t="s">
        <v>4594</v>
      </c>
      <c r="G1624" s="6" t="str">
        <f>IFERROR(__xludf.DUMMYFUNCTION("REGEXREPLACE(LOWER(F1624),""[^a-z\s]"","""")"),"good company and they had my babys dog food in stock")</f>
        <v>good company and they had my babys dog food in stock</v>
      </c>
      <c r="H1624" s="4" t="str">
        <f t="shared" si="1"/>
        <v>good company they had my babys dog food in stock</v>
      </c>
      <c r="I1624" s="6">
        <f t="shared" si="2"/>
        <v>10</v>
      </c>
      <c r="J1624" s="6">
        <f>IFERROR(__xludf.DUMMYFUNCTION("IF(H1624="""","""",
SUM(
ARRAYFORMULA(
IF(
REGEXMATCH(
"" ""&amp;H1624&amp;"" "",
"" ""&amp;Sentiment_Words!A$2:A3730&amp;"" ""
),
1,
0
)
)
)
)"),1.0)</f>
        <v>1</v>
      </c>
      <c r="K1624" s="4">
        <f>IFERROR(__xludf.DUMMYFUNCTION("IF(H1624="""","""",
SUM(
ARRAYFORMULA(
IF(
REGEXMATCH(
"" ""&amp;H1624&amp;"" "",
"" ""&amp;Sentiment_Words!B$2:B3730&amp;"" ""
),
1,
0
)
)
)
)"),0.0)</f>
        <v>0</v>
      </c>
      <c r="L1624" s="7" t="str">
        <f t="shared" si="3"/>
        <v>Other</v>
      </c>
      <c r="M1624" s="7" t="str">
        <f t="shared" si="4"/>
        <v>Positive</v>
      </c>
      <c r="N1624" s="7" t="str">
        <f>IFERROR(__xludf.DUMMYFUNCTION("LOWER(
TRIM(
REGEXREPLACE(B1624,""[^a-zA-Z\s]"","""")
)
)
"),"nilda berrios")</f>
        <v>nilda berrios</v>
      </c>
      <c r="O1624" s="7">
        <f t="shared" si="5"/>
        <v>1</v>
      </c>
      <c r="P1624" s="8" t="str">
        <f t="shared" si="6"/>
        <v>No</v>
      </c>
    </row>
    <row r="1625">
      <c r="A1625" s="4" t="s">
        <v>16</v>
      </c>
      <c r="B1625" s="4" t="s">
        <v>4595</v>
      </c>
      <c r="C1625" s="5">
        <v>44800.0</v>
      </c>
      <c r="D1625" s="10">
        <v>44800.0</v>
      </c>
      <c r="E1625" s="4" t="s">
        <v>4596</v>
      </c>
      <c r="F1625" s="4" t="s">
        <v>4597</v>
      </c>
      <c r="G1625" s="6" t="str">
        <f>IFERROR(__xludf.DUMMYFUNCTION("REGEXREPLACE(LOWER(F1625),""[^a-z\s]"","""")"),"pet flow has excellent prices on the food i was looking to purchase for my cats their prompt delivery was also superb have shopped here twice and will be doing it again regularly")</f>
        <v>pet flow has excellent prices on the food i was looking to purchase for my cats their prompt delivery was also superb have shopped here twice and will be doing it again regularly</v>
      </c>
      <c r="H1625" s="4" t="str">
        <f t="shared" si="1"/>
        <v>pet flow has excellent prices on food i was looking purchase my cats their prompt delivery was also superb have shopped here twice will be doing it again regularly</v>
      </c>
      <c r="I1625" s="6">
        <f t="shared" si="2"/>
        <v>29</v>
      </c>
      <c r="J1625" s="6">
        <f>IFERROR(__xludf.DUMMYFUNCTION("IF(H1625="""","""",
SUM(
ARRAYFORMULA(
IF(
REGEXMATCH(
"" ""&amp;H1625&amp;"" "",
"" ""&amp;Sentiment_Words!A$2:A3730&amp;"" ""
),
1,
0
)
)
)
)"),1.0)</f>
        <v>1</v>
      </c>
      <c r="K1625" s="4">
        <f>IFERROR(__xludf.DUMMYFUNCTION("IF(H1625="""","""",
SUM(
ARRAYFORMULA(
IF(
REGEXMATCH(
"" ""&amp;H1625&amp;"" "",
"" ""&amp;Sentiment_Words!B$2:B3730&amp;"" ""
),
1,
0
)
)
)
)"),0.0)</f>
        <v>0</v>
      </c>
      <c r="L1625" s="7" t="str">
        <f t="shared" si="3"/>
        <v>Other</v>
      </c>
      <c r="M1625" s="7" t="str">
        <f t="shared" si="4"/>
        <v>Positive</v>
      </c>
      <c r="N1625" s="7" t="str">
        <f>IFERROR(__xludf.DUMMYFUNCTION("LOWER(
TRIM(
REGEXREPLACE(B1625,""[^a-zA-Z\s]"","""")
)
)
"),"patricia mulqueen")</f>
        <v>patricia mulqueen</v>
      </c>
      <c r="O1625" s="7">
        <f t="shared" si="5"/>
        <v>1</v>
      </c>
      <c r="P1625" s="8" t="str">
        <f t="shared" si="6"/>
        <v>No</v>
      </c>
    </row>
    <row r="1626">
      <c r="A1626" s="4" t="s">
        <v>16</v>
      </c>
      <c r="B1626" s="4" t="s">
        <v>4598</v>
      </c>
      <c r="C1626" s="5">
        <v>44800.0</v>
      </c>
      <c r="D1626" s="4" t="s">
        <v>4599</v>
      </c>
      <c r="E1626" s="4" t="s">
        <v>4600</v>
      </c>
      <c r="F1626" s="4" t="s">
        <v>4601</v>
      </c>
      <c r="G1626" s="6" t="str">
        <f>IFERROR(__xludf.DUMMYFUNCTION("REGEXREPLACE(LOWER(F1626),""[^a-z\s]"","""")"),"we have discovered some awesome dog treats available at very reasonable prices through this company ten points
when we have questions or order something that is temporarily unavailable we experience stellar communication and feel that we have received exc"&amp;"ellent customer service ten points
total  stars")</f>
        <v>we have discovered some awesome dog treats available at very reasonable prices through this company ten points
when we have questions or order something that is temporarily unavailable we experience stellar communication and feel that we have received excellent customer service ten points
total  stars</v>
      </c>
      <c r="H1626" s="4" t="str">
        <f t="shared" si="1"/>
        <v>we have discovered some awesome dog treats available at very reasonable prices through this company ten points
when we have questions or order something that temporarily unavailable we experience stellar communication feel that we have received excellent customer service ten points
total stars</v>
      </c>
      <c r="I1626" s="6">
        <f t="shared" si="2"/>
        <v>41</v>
      </c>
      <c r="J1626" s="6">
        <f>IFERROR(__xludf.DUMMYFUNCTION("IF(H1626="""","""",
SUM(
ARRAYFORMULA(
IF(
REGEXMATCH(
"" ""&amp;H1626&amp;"" "",
"" ""&amp;Sentiment_Words!A$2:A3730&amp;"" ""
),
1,
0
)
)
)
)"),1.0)</f>
        <v>1</v>
      </c>
      <c r="K1626" s="4">
        <f>IFERROR(__xludf.DUMMYFUNCTION("IF(H1626="""","""",
SUM(
ARRAYFORMULA(
IF(
REGEXMATCH(
"" ""&amp;H1626&amp;"" "",
"" ""&amp;Sentiment_Words!B$2:B3730&amp;"" ""
),
1,
0
)
)
)
)"),2.0)</f>
        <v>2</v>
      </c>
      <c r="L1626" s="7" t="str">
        <f t="shared" si="3"/>
        <v>Customer Support</v>
      </c>
      <c r="M1626" s="7" t="str">
        <f t="shared" si="4"/>
        <v>Negative</v>
      </c>
      <c r="N1626" s="7" t="str">
        <f>IFERROR(__xludf.DUMMYFUNCTION("LOWER(
TRIM(
REGEXREPLACE(B1626,""[^a-zA-Z\s]"","""")
)
)
"),"cathy")</f>
        <v>cathy</v>
      </c>
      <c r="O1626" s="7">
        <f t="shared" si="5"/>
        <v>3</v>
      </c>
      <c r="P1626" s="8" t="str">
        <f t="shared" si="6"/>
        <v>Yes</v>
      </c>
    </row>
    <row r="1627">
      <c r="A1627" s="4" t="s">
        <v>16</v>
      </c>
      <c r="B1627" s="4" t="s">
        <v>4602</v>
      </c>
      <c r="C1627" s="5">
        <v>44800.0</v>
      </c>
      <c r="D1627" s="10">
        <v>44800.0</v>
      </c>
      <c r="E1627" s="4" t="s">
        <v>4603</v>
      </c>
      <c r="F1627" s="4" t="s">
        <v>331</v>
      </c>
      <c r="G1627" s="6" t="str">
        <f>IFERROR(__xludf.DUMMYFUNCTION("REGEXREPLACE(LOWER(F1627),""[^a-z\s]"","""")"),"none")</f>
        <v>none</v>
      </c>
      <c r="H1627" s="4" t="str">
        <f t="shared" si="1"/>
        <v>none</v>
      </c>
      <c r="I1627" s="6">
        <f t="shared" si="2"/>
        <v>1</v>
      </c>
      <c r="J1627" s="6">
        <f>IFERROR(__xludf.DUMMYFUNCTION("IF(H1627="""","""",
SUM(
ARRAYFORMULA(
IF(
REGEXMATCH(
"" ""&amp;H1627&amp;"" "",
"" ""&amp;Sentiment_Words!A$2:A3730&amp;"" ""
),
1,
0
)
)
)
)"),0.0)</f>
        <v>0</v>
      </c>
      <c r="K1627" s="4">
        <f>IFERROR(__xludf.DUMMYFUNCTION("IF(H1627="""","""",
SUM(
ARRAYFORMULA(
IF(
REGEXMATCH(
"" ""&amp;H1627&amp;"" "",
"" ""&amp;Sentiment_Words!B$2:B3730&amp;"" ""
),
1,
0
)
)
)
)"),0.0)</f>
        <v>0</v>
      </c>
      <c r="L1627" s="7" t="str">
        <f t="shared" si="3"/>
        <v>Other</v>
      </c>
      <c r="M1627" s="7" t="str">
        <f t="shared" si="4"/>
        <v>Neutral</v>
      </c>
      <c r="N1627" s="7" t="str">
        <f>IFERROR(__xludf.DUMMYFUNCTION("LOWER(
TRIM(
REGEXREPLACE(B1627,""[^a-zA-Z\s]"","""")
)
)
"),"annette")</f>
        <v>annette</v>
      </c>
      <c r="O1627" s="7">
        <f t="shared" si="5"/>
        <v>2</v>
      </c>
      <c r="P1627" s="8" t="str">
        <f t="shared" si="6"/>
        <v>Yes</v>
      </c>
    </row>
    <row r="1628">
      <c r="A1628" s="4" t="s">
        <v>16</v>
      </c>
      <c r="B1628" s="4" t="s">
        <v>4604</v>
      </c>
      <c r="C1628" s="5">
        <v>44799.0</v>
      </c>
      <c r="D1628" s="10">
        <v>44799.0</v>
      </c>
      <c r="E1628" s="4" t="s">
        <v>1722</v>
      </c>
      <c r="F1628" s="4" t="s">
        <v>4605</v>
      </c>
      <c r="G1628" s="6" t="str">
        <f>IFERROR(__xludf.DUMMYFUNCTION("REGEXREPLACE(LOWER(F1628),""[^a-z\s]"","""")"),"easy fast delivery  thank you")</f>
        <v>easy fast delivery  thank you</v>
      </c>
      <c r="H1628" s="4" t="str">
        <f t="shared" si="1"/>
        <v>easy fast delivery thank you</v>
      </c>
      <c r="I1628" s="6">
        <f t="shared" si="2"/>
        <v>5</v>
      </c>
      <c r="J1628" s="6">
        <f>IFERROR(__xludf.DUMMYFUNCTION("IF(H1628="""","""",
SUM(
ARRAYFORMULA(
IF(
REGEXMATCH(
"" ""&amp;H1628&amp;"" "",
"" ""&amp;Sentiment_Words!A$2:A3730&amp;"" ""
),
1,
0
)
)
)
)"),3.0)</f>
        <v>3</v>
      </c>
      <c r="K1628" s="4">
        <f>IFERROR(__xludf.DUMMYFUNCTION("IF(H1628="""","""",
SUM(
ARRAYFORMULA(
IF(
REGEXMATCH(
"" ""&amp;H1628&amp;"" "",
"" ""&amp;Sentiment_Words!B$2:B3730&amp;"" ""
),
1,
0
)
)
)
)"),0.0)</f>
        <v>0</v>
      </c>
      <c r="L1628" s="7" t="str">
        <f t="shared" si="3"/>
        <v>Other</v>
      </c>
      <c r="M1628" s="7" t="str">
        <f t="shared" si="4"/>
        <v>Positive</v>
      </c>
      <c r="N1628" s="7" t="str">
        <f>IFERROR(__xludf.DUMMYFUNCTION("LOWER(
TRIM(
REGEXREPLACE(B1628,""[^a-zA-Z\s]"","""")
)
)
"),"kaye owens")</f>
        <v>kaye owens</v>
      </c>
      <c r="O1628" s="7">
        <f t="shared" si="5"/>
        <v>1</v>
      </c>
      <c r="P1628" s="8" t="str">
        <f t="shared" si="6"/>
        <v>No</v>
      </c>
    </row>
    <row r="1629">
      <c r="A1629" s="4" t="s">
        <v>16</v>
      </c>
      <c r="B1629" s="4" t="s">
        <v>4606</v>
      </c>
      <c r="C1629" s="5">
        <v>44799.0</v>
      </c>
      <c r="D1629" s="10">
        <v>44799.0</v>
      </c>
      <c r="E1629" s="4" t="s">
        <v>4607</v>
      </c>
      <c r="F1629" s="4" t="s">
        <v>4608</v>
      </c>
      <c r="G1629" s="6" t="str">
        <f>IFERROR(__xludf.DUMMYFUNCTION("REGEXREPLACE(LOWER(F1629),""[^a-z\s]"","""")"),"the website was easy to use i like the prices of the cat food and i also like the discounts you offer")</f>
        <v>the website was easy to use i like the prices of the cat food and i also like the discounts you offer</v>
      </c>
      <c r="H1629" s="4" t="str">
        <f t="shared" si="1"/>
        <v>website was easy use i like prices of cat food i also like discounts you offer</v>
      </c>
      <c r="I1629" s="6">
        <f t="shared" si="2"/>
        <v>16</v>
      </c>
      <c r="J1629" s="6">
        <f>IFERROR(__xludf.DUMMYFUNCTION("IF(H1629="""","""",
SUM(
ARRAYFORMULA(
IF(
REGEXMATCH(
"" ""&amp;H1629&amp;"" "",
"" ""&amp;Sentiment_Words!A$2:A3730&amp;"" ""
),
1,
0
)
)
)
)"),1.0)</f>
        <v>1</v>
      </c>
      <c r="K1629" s="4">
        <f>IFERROR(__xludf.DUMMYFUNCTION("IF(H1629="""","""",
SUM(
ARRAYFORMULA(
IF(
REGEXMATCH(
"" ""&amp;H1629&amp;"" "",
"" ""&amp;Sentiment_Words!B$2:B3730&amp;"" ""
),
1,
0
)
)
)
)"),0.0)</f>
        <v>0</v>
      </c>
      <c r="L1629" s="7" t="str">
        <f t="shared" si="3"/>
        <v>Account &amp; Website</v>
      </c>
      <c r="M1629" s="7" t="str">
        <f t="shared" si="4"/>
        <v>Positive</v>
      </c>
      <c r="N1629" s="7" t="str">
        <f>IFERROR(__xludf.DUMMYFUNCTION("LOWER(
TRIM(
REGEXREPLACE(B1629,""[^a-zA-Z\s]"","""")
)
)
"),"jose diaz")</f>
        <v>jose diaz</v>
      </c>
      <c r="O1629" s="7">
        <f t="shared" si="5"/>
        <v>1</v>
      </c>
      <c r="P1629" s="8" t="str">
        <f t="shared" si="6"/>
        <v>No</v>
      </c>
    </row>
    <row r="1630">
      <c r="A1630" s="4" t="s">
        <v>16</v>
      </c>
      <c r="B1630" s="4" t="s">
        <v>4609</v>
      </c>
      <c r="C1630" s="5">
        <v>44799.0</v>
      </c>
      <c r="D1630" s="10">
        <v>44799.0</v>
      </c>
      <c r="E1630" s="4" t="s">
        <v>4610</v>
      </c>
      <c r="F1630" s="4" t="s">
        <v>4611</v>
      </c>
      <c r="G1630" s="6" t="str">
        <f>IFERROR(__xludf.DUMMYFUNCTION("REGEXREPLACE(LOWER(F1630),""[^a-z\s]"","""")"),"im pleased with the order process and the shipping was as promised i will be ordering from petflow again")</f>
        <v>im pleased with the order process and the shipping was as promised i will be ordering from petflow again</v>
      </c>
      <c r="H1630" s="4" t="str">
        <f t="shared" si="1"/>
        <v>im pleased with order process shipping was as promised i will be ordering from petflow again</v>
      </c>
      <c r="I1630" s="6">
        <f t="shared" si="2"/>
        <v>16</v>
      </c>
      <c r="J1630" s="6">
        <f>IFERROR(__xludf.DUMMYFUNCTION("IF(H1630="""","""",
SUM(
ARRAYFORMULA(
IF(
REGEXMATCH(
"" ""&amp;H1630&amp;"" "",
"" ""&amp;Sentiment_Words!A$2:A3730&amp;"" ""
),
1,
0
)
)
)
)"),0.0)</f>
        <v>0</v>
      </c>
      <c r="K1630" s="4">
        <f>IFERROR(__xludf.DUMMYFUNCTION("IF(H1630="""","""",
SUM(
ARRAYFORMULA(
IF(
REGEXMATCH(
"" ""&amp;H1630&amp;"" "",
"" ""&amp;Sentiment_Words!B$2:B3730&amp;"" ""
),
1,
0
)
)
)
)"),0.0)</f>
        <v>0</v>
      </c>
      <c r="L1630" s="7" t="str">
        <f t="shared" si="3"/>
        <v>Other</v>
      </c>
      <c r="M1630" s="7" t="str">
        <f t="shared" si="4"/>
        <v>Neutral</v>
      </c>
      <c r="N1630" s="7" t="str">
        <f>IFERROR(__xludf.DUMMYFUNCTION("LOWER(
TRIM(
REGEXREPLACE(B1630,""[^a-zA-Z\s]"","""")
)
)
"),"antoinette pelkey")</f>
        <v>antoinette pelkey</v>
      </c>
      <c r="O1630" s="7">
        <f t="shared" si="5"/>
        <v>1</v>
      </c>
      <c r="P1630" s="8" t="str">
        <f t="shared" si="6"/>
        <v>No</v>
      </c>
    </row>
    <row r="1631">
      <c r="A1631" s="4" t="s">
        <v>16</v>
      </c>
      <c r="B1631" s="4" t="s">
        <v>4612</v>
      </c>
      <c r="C1631" s="5">
        <v>44799.0</v>
      </c>
      <c r="D1631" s="10">
        <v>44799.0</v>
      </c>
      <c r="E1631" s="4" t="s">
        <v>3032</v>
      </c>
      <c r="F1631" s="4" t="s">
        <v>4613</v>
      </c>
      <c r="G1631" s="6" t="str">
        <f>IFERROR(__xludf.DUMMYFUNCTION("REGEXREPLACE(LOWER(F1631),""[^a-z\s]"","""")"),"great price fast shipping")</f>
        <v>great price fast shipping</v>
      </c>
      <c r="H1631" s="4" t="str">
        <f t="shared" si="1"/>
        <v>great price fast shipping</v>
      </c>
      <c r="I1631" s="6">
        <f t="shared" si="2"/>
        <v>4</v>
      </c>
      <c r="J1631" s="6">
        <f>IFERROR(__xludf.DUMMYFUNCTION("IF(H1631="""","""",
SUM(
ARRAYFORMULA(
IF(
REGEXMATCH(
"" ""&amp;H1631&amp;"" "",
"" ""&amp;Sentiment_Words!A$2:A3730&amp;"" ""
),
1,
0
)
)
)
)"),2.0)</f>
        <v>2</v>
      </c>
      <c r="K1631" s="4">
        <f>IFERROR(__xludf.DUMMYFUNCTION("IF(H1631="""","""",
SUM(
ARRAYFORMULA(
IF(
REGEXMATCH(
"" ""&amp;H1631&amp;"" "",
"" ""&amp;Sentiment_Words!B$2:B3730&amp;"" ""
),
1,
0
)
)
)
)"),0.0)</f>
        <v>0</v>
      </c>
      <c r="L1631" s="7" t="str">
        <f t="shared" si="3"/>
        <v>Other</v>
      </c>
      <c r="M1631" s="7" t="str">
        <f t="shared" si="4"/>
        <v>Positive</v>
      </c>
      <c r="N1631" s="7" t="str">
        <f>IFERROR(__xludf.DUMMYFUNCTION("LOWER(
TRIM(
REGEXREPLACE(B1631,""[^a-zA-Z\s]"","""")
)
)
"),"jennifer daly")</f>
        <v>jennifer daly</v>
      </c>
      <c r="O1631" s="7">
        <f t="shared" si="5"/>
        <v>1</v>
      </c>
      <c r="P1631" s="8" t="str">
        <f t="shared" si="6"/>
        <v>No</v>
      </c>
    </row>
    <row r="1632">
      <c r="A1632" s="4" t="s">
        <v>16</v>
      </c>
      <c r="B1632" s="4" t="s">
        <v>4614</v>
      </c>
      <c r="C1632" s="5">
        <v>44799.0</v>
      </c>
      <c r="D1632" s="10">
        <v>44799.0</v>
      </c>
      <c r="E1632" s="4" t="s">
        <v>4615</v>
      </c>
      <c r="F1632" s="4" t="s">
        <v>4616</v>
      </c>
      <c r="G1632" s="6" t="str">
        <f>IFERROR(__xludf.DUMMYFUNCTION("REGEXREPLACE(LOWER(F1632),""[^a-z\s]"","""")"),"we go where fromm dog food is we move a lot and so far have never had an issue receiving our pet food and supplies from pet flow
the ordering process is easy and the site has everything we need for our pets the only reason  stars is that there is no rewar"&amp;"ds program otherwise as long as they carry fromm im a loyal customer")</f>
        <v>we go where fromm dog food is we move a lot and so far have never had an issue receiving our pet food and supplies from pet flow
the ordering process is easy and the site has everything we need for our pets the only reason  stars is that there is no rewards program otherwise as long as they carry fromm im a loyal customer</v>
      </c>
      <c r="H1632" s="4" t="str">
        <f t="shared" si="1"/>
        <v>we go where fromm dog food we move a lot so far have never had an issue receiving our pet food supplies from pet flow
the ordering process easy site has everything we need our pets only reason stars that there no rewards program otherwise as long as they carry fromm im a loyal customer</v>
      </c>
      <c r="I1632" s="6">
        <f t="shared" si="2"/>
        <v>54</v>
      </c>
      <c r="J1632" s="6">
        <f>IFERROR(__xludf.DUMMYFUNCTION("IF(H1632="""","""",
SUM(
ARRAYFORMULA(
IF(
REGEXMATCH(
"" ""&amp;H1632&amp;"" "",
"" ""&amp;Sentiment_Words!A$2:A3730&amp;"" ""
),
1,
0
)
)
)
)"),1.0)</f>
        <v>1</v>
      </c>
      <c r="K1632" s="4">
        <f>IFERROR(__xludf.DUMMYFUNCTION("IF(H1632="""","""",
SUM(
ARRAYFORMULA(
IF(
REGEXMATCH(
"" ""&amp;H1632&amp;"" "",
"" ""&amp;Sentiment_Words!B$2:B3730&amp;"" ""
),
1,
0
)
)
)
)"),1.0)</f>
        <v>1</v>
      </c>
      <c r="L1632" s="7" t="str">
        <f t="shared" si="3"/>
        <v>Other</v>
      </c>
      <c r="M1632" s="7" t="str">
        <f t="shared" si="4"/>
        <v>Neutral</v>
      </c>
      <c r="N1632" s="7" t="str">
        <f>IFERROR(__xludf.DUMMYFUNCTION("LOWER(
TRIM(
REGEXREPLACE(B1632,""[^a-zA-Z\s]"","""")
)
)
"),"tne")</f>
        <v>tne</v>
      </c>
      <c r="O1632" s="7">
        <f t="shared" si="5"/>
        <v>1</v>
      </c>
      <c r="P1632" s="8" t="str">
        <f t="shared" si="6"/>
        <v>No</v>
      </c>
    </row>
    <row r="1633">
      <c r="A1633" s="4" t="s">
        <v>16</v>
      </c>
      <c r="B1633" s="4" t="s">
        <v>4617</v>
      </c>
      <c r="C1633" s="5">
        <v>44799.0</v>
      </c>
      <c r="D1633" s="10">
        <v>44799.0</v>
      </c>
      <c r="E1633" s="4" t="s">
        <v>4618</v>
      </c>
      <c r="F1633" s="4" t="s">
        <v>4619</v>
      </c>
      <c r="G1633" s="6" t="str">
        <f>IFERROR(__xludf.DUMMYFUNCTION("REGEXREPLACE(LOWER(F1633),""[^a-z\s]"","""")"),"good prices great selection and excellent service i highly recommend petflow")</f>
        <v>good prices great selection and excellent service i highly recommend petflow</v>
      </c>
      <c r="H1633" s="4" t="str">
        <f t="shared" si="1"/>
        <v>good prices great selection excellent service i highly recommend petflow</v>
      </c>
      <c r="I1633" s="6">
        <f t="shared" si="2"/>
        <v>10</v>
      </c>
      <c r="J1633" s="6">
        <f>IFERROR(__xludf.DUMMYFUNCTION("IF(H1633="""","""",
SUM(
ARRAYFORMULA(
IF(
REGEXMATCH(
"" ""&amp;H1633&amp;"" "",
"" ""&amp;Sentiment_Words!A$2:A3730&amp;"" ""
),
1,
0
)
)
)
)"),2.0)</f>
        <v>2</v>
      </c>
      <c r="K1633" s="4">
        <f>IFERROR(__xludf.DUMMYFUNCTION("IF(H1633="""","""",
SUM(
ARRAYFORMULA(
IF(
REGEXMATCH(
"" ""&amp;H1633&amp;"" "",
"" ""&amp;Sentiment_Words!B$2:B3730&amp;"" ""
),
1,
0
)
)
)
)"),0.0)</f>
        <v>0</v>
      </c>
      <c r="L1633" s="7" t="str">
        <f t="shared" si="3"/>
        <v>Customer Support</v>
      </c>
      <c r="M1633" s="7" t="str">
        <f t="shared" si="4"/>
        <v>Positive</v>
      </c>
      <c r="N1633" s="7" t="str">
        <f>IFERROR(__xludf.DUMMYFUNCTION("LOWER(
TRIM(
REGEXREPLACE(B1633,""[^a-zA-Z\s]"","""")
)
)
"),"maureen r")</f>
        <v>maureen r</v>
      </c>
      <c r="O1633" s="7">
        <f t="shared" si="5"/>
        <v>1</v>
      </c>
      <c r="P1633" s="8" t="str">
        <f t="shared" si="6"/>
        <v>No</v>
      </c>
    </row>
    <row r="1634">
      <c r="A1634" s="4" t="s">
        <v>16</v>
      </c>
      <c r="B1634" s="4" t="s">
        <v>4620</v>
      </c>
      <c r="C1634" s="5">
        <v>44799.0</v>
      </c>
      <c r="D1634" s="10">
        <v>44799.0</v>
      </c>
      <c r="E1634" s="4" t="s">
        <v>4621</v>
      </c>
      <c r="F1634" s="4" t="s">
        <v>4622</v>
      </c>
      <c r="G1634" s="6" t="str">
        <f>IFERROR(__xludf.DUMMYFUNCTION("REGEXREPLACE(LOWER(F1634),""[^a-z\s]"","""")"),"prescription food showed in stock on the website ordered and they got a prescription from my vet the next day only then was i notified that they did not have it and did not know when it would be available as they use a thirdparty vendor that does not upda"&amp;"te their site was unable to cancel my order as it was locked finally canceled by them a week later")</f>
        <v>prescription food showed in stock on the website ordered and they got a prescription from my vet the next day only then was i notified that they did not have it and did not know when it would be available as they use a thirdparty vendor that does not update their site was unable to cancel my order as it was locked finally canceled by them a week later</v>
      </c>
      <c r="H1634" s="4" t="str">
        <f t="shared" si="1"/>
        <v>prescription food showed in stock on website ordered they got a prescription from my vet next day only then was i notified that they did not have it did not know when it would be available as they use a thirdparty vendor that does not update their site was unable cancel my order as it was locked finally canceled by them a week later</v>
      </c>
      <c r="I1634" s="6">
        <f t="shared" si="2"/>
        <v>64</v>
      </c>
      <c r="J1634" s="6">
        <f>IFERROR(__xludf.DUMMYFUNCTION("IF(H1634="""","""",
SUM(
ARRAYFORMULA(
IF(
REGEXMATCH(
"" ""&amp;H1634&amp;"" "",
"" ""&amp;Sentiment_Words!A$2:A3730&amp;"" ""
),
1,
0
)
)
)
)"),1.0)</f>
        <v>1</v>
      </c>
      <c r="K1634" s="4">
        <f>IFERROR(__xludf.DUMMYFUNCTION("IF(H1634="""","""",
SUM(
ARRAYFORMULA(
IF(
REGEXMATCH(
"" ""&amp;H1634&amp;"" "",
"" ""&amp;Sentiment_Words!B$2:B3730&amp;"" ""
),
1,
0
)
)
)
)"),0.0)</f>
        <v>0</v>
      </c>
      <c r="L1634" s="7" t="str">
        <f t="shared" si="3"/>
        <v>Fulfillment &amp; Shipping</v>
      </c>
      <c r="M1634" s="7" t="str">
        <f t="shared" si="4"/>
        <v>Positive</v>
      </c>
      <c r="N1634" s="7" t="str">
        <f>IFERROR(__xludf.DUMMYFUNCTION("LOWER(
TRIM(
REGEXREPLACE(B1634,""[^a-zA-Z\s]"","""")
)
)
"),"marc eisen")</f>
        <v>marc eisen</v>
      </c>
      <c r="O1634" s="7">
        <f t="shared" si="5"/>
        <v>1</v>
      </c>
      <c r="P1634" s="8" t="str">
        <f t="shared" si="6"/>
        <v>No</v>
      </c>
    </row>
    <row r="1635">
      <c r="A1635" s="4" t="s">
        <v>16</v>
      </c>
      <c r="B1635" s="4" t="s">
        <v>4623</v>
      </c>
      <c r="C1635" s="5">
        <v>44799.0</v>
      </c>
      <c r="D1635" s="10">
        <v>44799.0</v>
      </c>
      <c r="E1635" s="4" t="s">
        <v>4624</v>
      </c>
      <c r="F1635" s="4" t="s">
        <v>4625</v>
      </c>
      <c r="G1635" s="6" t="str">
        <f>IFERROR(__xludf.DUMMYFUNCTION("REGEXREPLACE(LOWER(F1635),""[^a-z\s]"","""")"),"i ordered my cats prescription food and petflow obtained his prescription frim the vet after not hearing anything for a few days i called petflow to make sure the food was in stock the representative said she would call the supplier and email me to let me"&amp;" know i received an email saying the food was in stock and would ship soon then the next day i was informed by petflow that my order was cancelled because the food wasnt in stock i think everyone needs to try and get on the same page for now ill find his "&amp;"food somewhere else")</f>
        <v>i ordered my cats prescription food and petflow obtained his prescription frim the vet after not hearing anything for a few days i called petflow to make sure the food was in stock the representative said she would call the supplier and email me to let me know i received an email saying the food was in stock and would ship soon then the next day i was informed by petflow that my order was cancelled because the food wasnt in stock i think everyone needs to try and get on the same page for now ill find his food somewhere else</v>
      </c>
      <c r="H1635" s="4" t="str">
        <f t="shared" si="1"/>
        <v>i ordered my cats prescription food petflow obtained his prescription frim vet after not hearing anything a few days i called petflow make sure food was in stock representative said she would call supplier email me let me know i received an email saying food was in stock would ship soon then next day i was informed by petflow that my order was cancelled because food wasnt in stock i think everyone needs try get on same page now ill find his food somewhere else</v>
      </c>
      <c r="I1635" s="6">
        <f t="shared" si="2"/>
        <v>85</v>
      </c>
      <c r="J1635" s="6">
        <f>IFERROR(__xludf.DUMMYFUNCTION("IF(H1635="""","""",
SUM(
ARRAYFORMULA(
IF(
REGEXMATCH(
"" ""&amp;H1635&amp;"" "",
"" ""&amp;Sentiment_Words!A$2:A3730&amp;"" ""
),
1,
0
)
)
)
)"),0.0)</f>
        <v>0</v>
      </c>
      <c r="K1635" s="4">
        <f>IFERROR(__xludf.DUMMYFUNCTION("IF(H1635="""","""",
SUM(
ARRAYFORMULA(
IF(
REGEXMATCH(
"" ""&amp;H1635&amp;"" "",
"" ""&amp;Sentiment_Words!B$2:B3730&amp;"" ""
),
1,
0
)
)
)
)"),1.0)</f>
        <v>1</v>
      </c>
      <c r="L1635" s="7" t="str">
        <f t="shared" si="3"/>
        <v>Other</v>
      </c>
      <c r="M1635" s="7" t="str">
        <f t="shared" si="4"/>
        <v>Negative</v>
      </c>
      <c r="N1635" s="7" t="str">
        <f>IFERROR(__xludf.DUMMYFUNCTION("LOWER(
TRIM(
REGEXREPLACE(B1635,""[^a-zA-Z\s]"","""")
)
)
"),"jackie")</f>
        <v>jackie</v>
      </c>
      <c r="O1635" s="7">
        <f t="shared" si="5"/>
        <v>1</v>
      </c>
      <c r="P1635" s="8" t="str">
        <f t="shared" si="6"/>
        <v>No</v>
      </c>
    </row>
    <row r="1636">
      <c r="A1636" s="4" t="s">
        <v>16</v>
      </c>
      <c r="B1636" s="4" t="s">
        <v>4626</v>
      </c>
      <c r="C1636" s="5">
        <v>44798.0</v>
      </c>
      <c r="D1636" s="10">
        <v>44798.0</v>
      </c>
      <c r="E1636" s="4" t="s">
        <v>4627</v>
      </c>
      <c r="F1636" s="4" t="s">
        <v>4628</v>
      </c>
      <c r="G1636" s="6" t="str">
        <f>IFERROR(__xludf.DUMMYFUNCTION("REGEXREPLACE(LOWER(F1636),""[^a-z\s]"","""")"),"my experience with petflow has been great items are delivered when i expect them in great condition auto delivery works just as it should")</f>
        <v>my experience with petflow has been great items are delivered when i expect them in great condition auto delivery works just as it should</v>
      </c>
      <c r="H1636" s="4" t="str">
        <f t="shared" si="1"/>
        <v>my experience with petflow has been great items are delivered when i expect them in great condition auto delivery works just as it should</v>
      </c>
      <c r="I1636" s="6">
        <f t="shared" si="2"/>
        <v>24</v>
      </c>
      <c r="J1636" s="6">
        <f>IFERROR(__xludf.DUMMYFUNCTION("IF(H1636="""","""",
SUM(
ARRAYFORMULA(
IF(
REGEXMATCH(
"" ""&amp;H1636&amp;"" "",
"" ""&amp;Sentiment_Words!A$2:A3730&amp;"" ""
),
1,
0
)
)
)
)"),3.0)</f>
        <v>3</v>
      </c>
      <c r="K1636" s="4">
        <f>IFERROR(__xludf.DUMMYFUNCTION("IF(H1636="""","""",
SUM(
ARRAYFORMULA(
IF(
REGEXMATCH(
"" ""&amp;H1636&amp;"" "",
"" ""&amp;Sentiment_Words!B$2:B3730&amp;"" ""
),
1,
0
)
)
)
)"),0.0)</f>
        <v>0</v>
      </c>
      <c r="L1636" s="7" t="str">
        <f t="shared" si="3"/>
        <v>Other</v>
      </c>
      <c r="M1636" s="7" t="str">
        <f t="shared" si="4"/>
        <v>Positive</v>
      </c>
      <c r="N1636" s="7" t="str">
        <f>IFERROR(__xludf.DUMMYFUNCTION("LOWER(
TRIM(
REGEXREPLACE(B1636,""[^a-zA-Z\s]"","""")
)
)
"),"brenda hach")</f>
        <v>brenda hach</v>
      </c>
      <c r="O1636" s="7">
        <f t="shared" si="5"/>
        <v>1</v>
      </c>
      <c r="P1636" s="8" t="str">
        <f t="shared" si="6"/>
        <v>No</v>
      </c>
    </row>
    <row r="1637">
      <c r="A1637" s="4" t="s">
        <v>16</v>
      </c>
      <c r="B1637" s="4" t="s">
        <v>4629</v>
      </c>
      <c r="C1637" s="5">
        <v>44798.0</v>
      </c>
      <c r="D1637" s="10">
        <v>44798.0</v>
      </c>
      <c r="E1637" s="4" t="s">
        <v>4630</v>
      </c>
      <c r="F1637" s="4" t="s">
        <v>4631</v>
      </c>
      <c r="G1637" s="6" t="str">
        <f>IFERROR(__xludf.DUMMYFUNCTION("REGEXREPLACE(LOWER(F1637),""[^a-z\s]"","""")"),"easy to use site  like that you give the option to set up an auto shipment for the date i needed it to shipped instead of order now choose auto ship allowed me to set up when i need the shipment instead of waiting or ending up over stocked ")</f>
        <v>easy to use site  like that you give the option to set up an auto shipment for the date i needed it to shipped instead of order now choose auto ship allowed me to set up when i need the shipment instead of waiting or ending up over stocked </v>
      </c>
      <c r="H1637" s="4" t="str">
        <f t="shared" si="1"/>
        <v>easy use site like that you give option set up an auto shipment date i needed it shipped instead of order now choose auto ship allowed me set up when i need shipment instead of waiting or ending up over stocked</v>
      </c>
      <c r="I1637" s="6">
        <f t="shared" si="2"/>
        <v>41</v>
      </c>
      <c r="J1637" s="6">
        <f>IFERROR(__xludf.DUMMYFUNCTION("IF(H1637="""","""",
SUM(
ARRAYFORMULA(
IF(
REGEXMATCH(
"" ""&amp;H1637&amp;"" "",
"" ""&amp;Sentiment_Words!A$2:A3730&amp;"" ""
),
1,
0
)
)
)
)"),2.0)</f>
        <v>2</v>
      </c>
      <c r="K1637" s="4">
        <f>IFERROR(__xludf.DUMMYFUNCTION("IF(H1637="""","""",
SUM(
ARRAYFORMULA(
IF(
REGEXMATCH(
"" ""&amp;H1637&amp;"" "",
"" ""&amp;Sentiment_Words!B$2:B3730&amp;"" ""
),
1,
0
)
)
)
)"),0.0)</f>
        <v>0</v>
      </c>
      <c r="L1637" s="7" t="str">
        <f t="shared" si="3"/>
        <v>Other</v>
      </c>
      <c r="M1637" s="7" t="str">
        <f t="shared" si="4"/>
        <v>Positive</v>
      </c>
      <c r="N1637" s="7" t="str">
        <f>IFERROR(__xludf.DUMMYFUNCTION("LOWER(
TRIM(
REGEXREPLACE(B1637,""[^a-zA-Z\s]"","""")
)
)
"),"denise moll")</f>
        <v>denise moll</v>
      </c>
      <c r="O1637" s="7">
        <f t="shared" si="5"/>
        <v>1</v>
      </c>
      <c r="P1637" s="8" t="str">
        <f t="shared" si="6"/>
        <v>No</v>
      </c>
    </row>
    <row r="1638">
      <c r="A1638" s="4" t="s">
        <v>16</v>
      </c>
      <c r="B1638" s="4" t="s">
        <v>4632</v>
      </c>
      <c r="C1638" s="5">
        <v>44798.0</v>
      </c>
      <c r="D1638" s="10">
        <v>44798.0</v>
      </c>
      <c r="E1638" s="4" t="s">
        <v>4633</v>
      </c>
      <c r="F1638" s="4" t="s">
        <v>4634</v>
      </c>
      <c r="G1638" s="6" t="str">
        <f>IFERROR(__xludf.DUMMYFUNCTION("REGEXREPLACE(LOWER(F1638),""[^a-z\s]"","""")"),"my experience was good found the items quickly and without any problems")</f>
        <v>my experience was good found the items quickly and without any problems</v>
      </c>
      <c r="H1638" s="4" t="str">
        <f t="shared" si="1"/>
        <v>my experience was good found items quickly without any problems</v>
      </c>
      <c r="I1638" s="6">
        <f t="shared" si="2"/>
        <v>10</v>
      </c>
      <c r="J1638" s="6">
        <f>IFERROR(__xludf.DUMMYFUNCTION("IF(H1638="""","""",
SUM(
ARRAYFORMULA(
IF(
REGEXMATCH(
"" ""&amp;H1638&amp;"" "",
"" ""&amp;Sentiment_Words!A$2:A3730&amp;"" ""
),
1,
0
)
)
)
)"),2.0)</f>
        <v>2</v>
      </c>
      <c r="K1638" s="4">
        <f>IFERROR(__xludf.DUMMYFUNCTION("IF(H1638="""","""",
SUM(
ARRAYFORMULA(
IF(
REGEXMATCH(
"" ""&amp;H1638&amp;"" "",
"" ""&amp;Sentiment_Words!B$2:B3730&amp;"" ""
),
1,
0
)
)
)
)"),0.0)</f>
        <v>0</v>
      </c>
      <c r="L1638" s="7" t="str">
        <f t="shared" si="3"/>
        <v>Other</v>
      </c>
      <c r="M1638" s="7" t="str">
        <f t="shared" si="4"/>
        <v>Positive</v>
      </c>
      <c r="N1638" s="7" t="str">
        <f>IFERROR(__xludf.DUMMYFUNCTION("LOWER(
TRIM(
REGEXREPLACE(B1638,""[^a-zA-Z\s]"","""")
)
)
"),"rk")</f>
        <v>rk</v>
      </c>
      <c r="O1638" s="7">
        <f t="shared" si="5"/>
        <v>2</v>
      </c>
      <c r="P1638" s="8" t="str">
        <f t="shared" si="6"/>
        <v>Yes</v>
      </c>
    </row>
    <row r="1639">
      <c r="A1639" s="4" t="s">
        <v>16</v>
      </c>
      <c r="B1639" s="4" t="s">
        <v>4635</v>
      </c>
      <c r="C1639" s="5">
        <v>44798.0</v>
      </c>
      <c r="D1639" s="10">
        <v>44798.0</v>
      </c>
      <c r="E1639" s="4" t="s">
        <v>4636</v>
      </c>
      <c r="F1639" s="4" t="s">
        <v>4637</v>
      </c>
      <c r="G1639" s="6" t="str">
        <f>IFERROR(__xludf.DUMMYFUNCTION("REGEXREPLACE(LOWER(F1639),""[^a-z\s]"","""")"),"i was amazed that they had the same product i had been getting from amazon for more than  less per item so i figured well there must be a limit to how many i can buy nope so i bought more than  of them i feel like since i have suddenly lost over half of m"&amp;"y income due to my husbands untimely death and pennies are scarce id better do a little more shopping around for the things my cat and i need thank you petflow for saving me well over  on a product i was getting from amazon and they say amazon is cheaper "&amp;"bah humbug to that")</f>
        <v>i was amazed that they had the same product i had been getting from amazon for more than  less per item so i figured well there must be a limit to how many i can buy nope so i bought more than  of them i feel like since i have suddenly lost over half of my income due to my husbands untimely death and pennies are scarce id better do a little more shopping around for the things my cat and i need thank you petflow for saving me well over  on a product i was getting from amazon and they say amazon is cheaper bah humbug to that</v>
      </c>
      <c r="H1639" s="4" t="str">
        <f t="shared" si="1"/>
        <v>i was amazed that they had same product i had been getting from amazon more than less per item so i figured well there must be a limit how many i can buy nope so i bought more than of them i feel like since i have suddenly lost over half of my income due my husbands untimely death pennies are scarce id better do a little more shopping around things my cat i need thank you petflow saving me well over on a product i was getting from amazon they say amazon cheaper bah humbug that</v>
      </c>
      <c r="I1639" s="6">
        <f t="shared" si="2"/>
        <v>97</v>
      </c>
      <c r="J1639" s="6">
        <f>IFERROR(__xludf.DUMMYFUNCTION("IF(H1639="""","""",
SUM(
ARRAYFORMULA(
IF(
REGEXMATCH(
"" ""&amp;H1639&amp;"" "",
"" ""&amp;Sentiment_Words!A$2:A3730&amp;"" ""
),
1,
0
)
)
)
)"),1.0)</f>
        <v>1</v>
      </c>
      <c r="K1639" s="4">
        <f>IFERROR(__xludf.DUMMYFUNCTION("IF(H1639="""","""",
SUM(
ARRAYFORMULA(
IF(
REGEXMATCH(
"" ""&amp;H1639&amp;"" "",
"" ""&amp;Sentiment_Words!B$2:B3730&amp;"" ""
),
1,
0
)
)
)
)"),0.0)</f>
        <v>0</v>
      </c>
      <c r="L1639" s="7" t="str">
        <f t="shared" si="3"/>
        <v>Value &amp; Convenience</v>
      </c>
      <c r="M1639" s="7" t="str">
        <f t="shared" si="4"/>
        <v>Positive</v>
      </c>
      <c r="N1639" s="7" t="str">
        <f>IFERROR(__xludf.DUMMYFUNCTION("LOWER(
TRIM(
REGEXREPLACE(B1639,""[^a-zA-Z\s]"","""")
)
)
"),"shelia")</f>
        <v>shelia</v>
      </c>
      <c r="O1639" s="7">
        <f t="shared" si="5"/>
        <v>1</v>
      </c>
      <c r="P1639" s="8" t="str">
        <f t="shared" si="6"/>
        <v>No</v>
      </c>
    </row>
    <row r="1640">
      <c r="A1640" s="4" t="s">
        <v>16</v>
      </c>
      <c r="B1640" s="4" t="s">
        <v>4638</v>
      </c>
      <c r="C1640" s="5">
        <v>44797.0</v>
      </c>
      <c r="D1640" s="10">
        <v>44798.0</v>
      </c>
      <c r="E1640" s="4" t="s">
        <v>4639</v>
      </c>
      <c r="F1640" s="4" t="s">
        <v>4640</v>
      </c>
      <c r="G1640" s="6" t="str">
        <f>IFERROR(__xludf.DUMMYFUNCTION("REGEXREPLACE(LOWER(F1640),""[^a-z\s]"","""")"),"fast and good service thank you")</f>
        <v>fast and good service thank you</v>
      </c>
      <c r="H1640" s="4" t="str">
        <f t="shared" si="1"/>
        <v>fast good service thank you</v>
      </c>
      <c r="I1640" s="6">
        <f t="shared" si="2"/>
        <v>5</v>
      </c>
      <c r="J1640" s="6">
        <f>IFERROR(__xludf.DUMMYFUNCTION("IF(H1640="""","""",
SUM(
ARRAYFORMULA(
IF(
REGEXMATCH(
"" ""&amp;H1640&amp;"" "",
"" ""&amp;Sentiment_Words!A$2:A3730&amp;"" ""
),
1,
0
)
)
)
)"),2.0)</f>
        <v>2</v>
      </c>
      <c r="K1640" s="4">
        <f>IFERROR(__xludf.DUMMYFUNCTION("IF(H1640="""","""",
SUM(
ARRAYFORMULA(
IF(
REGEXMATCH(
"" ""&amp;H1640&amp;"" "",
"" ""&amp;Sentiment_Words!B$2:B3730&amp;"" ""
),
1,
0
)
)
)
)"),0.0)</f>
        <v>0</v>
      </c>
      <c r="L1640" s="7" t="str">
        <f t="shared" si="3"/>
        <v>Customer Support</v>
      </c>
      <c r="M1640" s="7" t="str">
        <f t="shared" si="4"/>
        <v>Positive</v>
      </c>
      <c r="N1640" s="7" t="str">
        <f>IFERROR(__xludf.DUMMYFUNCTION("LOWER(
TRIM(
REGEXREPLACE(B1640,""[^a-zA-Z\s]"","""")
)
)
"),"sharon wainwright")</f>
        <v>sharon wainwright</v>
      </c>
      <c r="O1640" s="7">
        <f t="shared" si="5"/>
        <v>1</v>
      </c>
      <c r="P1640" s="8" t="str">
        <f t="shared" si="6"/>
        <v>No</v>
      </c>
    </row>
    <row r="1641">
      <c r="A1641" s="4" t="s">
        <v>16</v>
      </c>
      <c r="B1641" s="4" t="s">
        <v>4641</v>
      </c>
      <c r="C1641" s="5">
        <v>44797.0</v>
      </c>
      <c r="D1641" s="10">
        <v>44798.0</v>
      </c>
      <c r="E1641" s="4" t="s">
        <v>4642</v>
      </c>
      <c r="F1641" s="4" t="s">
        <v>4643</v>
      </c>
      <c r="G1641" s="6" t="str">
        <f>IFERROR(__xludf.DUMMYFUNCTION("REGEXREPLACE(LOWER(F1641),""[^a-z\s]"","""")"),"convenient and prices are very good wish the shipping was a bit more urgent but will shop with them again")</f>
        <v>convenient and prices are very good wish the shipping was a bit more urgent but will shop with them again</v>
      </c>
      <c r="H1641" s="4" t="str">
        <f t="shared" si="1"/>
        <v>convenient prices are very good wish shipping was a bit more urgent but will shop with them again</v>
      </c>
      <c r="I1641" s="6">
        <f t="shared" si="2"/>
        <v>18</v>
      </c>
      <c r="J1641" s="6">
        <f>IFERROR(__xludf.DUMMYFUNCTION("IF(H1641="""","""",
SUM(
ARRAYFORMULA(
IF(
REGEXMATCH(
"" ""&amp;H1641&amp;"" "",
"" ""&amp;Sentiment_Words!A$2:A3730&amp;"" ""
),
1,
0
)
)
)
)"),2.0)</f>
        <v>2</v>
      </c>
      <c r="K1641" s="4">
        <f>IFERROR(__xludf.DUMMYFUNCTION("IF(H1641="""","""",
SUM(
ARRAYFORMULA(
IF(
REGEXMATCH(
"" ""&amp;H1641&amp;"" "",
"" ""&amp;Sentiment_Words!B$2:B3730&amp;"" ""
),
1,
0
)
)
)
)"),0.0)</f>
        <v>0</v>
      </c>
      <c r="L1641" s="7" t="str">
        <f t="shared" si="3"/>
        <v>Value &amp; Convenience</v>
      </c>
      <c r="M1641" s="7" t="str">
        <f t="shared" si="4"/>
        <v>Positive</v>
      </c>
      <c r="N1641" s="7" t="str">
        <f>IFERROR(__xludf.DUMMYFUNCTION("LOWER(
TRIM(
REGEXREPLACE(B1641,""[^a-zA-Z\s]"","""")
)
)
"),"nura cue")</f>
        <v>nura cue</v>
      </c>
      <c r="O1641" s="7">
        <f t="shared" si="5"/>
        <v>1</v>
      </c>
      <c r="P1641" s="8" t="str">
        <f t="shared" si="6"/>
        <v>No</v>
      </c>
    </row>
    <row r="1642">
      <c r="A1642" s="4" t="s">
        <v>16</v>
      </c>
      <c r="B1642" s="4" t="s">
        <v>4644</v>
      </c>
      <c r="C1642" s="5">
        <v>44797.0</v>
      </c>
      <c r="D1642" s="10">
        <v>44797.0</v>
      </c>
      <c r="E1642" s="4" t="s">
        <v>4645</v>
      </c>
      <c r="F1642" s="4" t="s">
        <v>4646</v>
      </c>
      <c r="G1642" s="6" t="str">
        <f>IFERROR(__xludf.DUMMYFUNCTION("REGEXREPLACE(LOWER(F1642),""[^a-z\s]"","""")"),"easy to shop great prices i got my pet waste bags quickly and wellpackaged will definitely shop with petflow again")</f>
        <v>easy to shop great prices i got my pet waste bags quickly and wellpackaged will definitely shop with petflow again</v>
      </c>
      <c r="H1642" s="4" t="str">
        <f t="shared" si="1"/>
        <v>easy shop great prices i got my pet waste bags quickly wellpackaged will definitely shop with petflow again</v>
      </c>
      <c r="I1642" s="6">
        <f t="shared" si="2"/>
        <v>18</v>
      </c>
      <c r="J1642" s="6">
        <f>IFERROR(__xludf.DUMMYFUNCTION("IF(H1642="""","""",
SUM(
ARRAYFORMULA(
IF(
REGEXMATCH(
"" ""&amp;H1642&amp;"" "",
"" ""&amp;Sentiment_Words!A$2:A3730&amp;"" ""
),
1,
0
)
)
)
)"),2.0)</f>
        <v>2</v>
      </c>
      <c r="K1642" s="4">
        <f>IFERROR(__xludf.DUMMYFUNCTION("IF(H1642="""","""",
SUM(
ARRAYFORMULA(
IF(
REGEXMATCH(
"" ""&amp;H1642&amp;"" "",
"" ""&amp;Sentiment_Words!B$2:B3730&amp;"" ""
),
1,
0
)
)
)
)"),0.0)</f>
        <v>0</v>
      </c>
      <c r="L1642" s="7" t="str">
        <f t="shared" si="3"/>
        <v>Other</v>
      </c>
      <c r="M1642" s="7" t="str">
        <f t="shared" si="4"/>
        <v>Positive</v>
      </c>
      <c r="N1642" s="7" t="str">
        <f>IFERROR(__xludf.DUMMYFUNCTION("LOWER(
TRIM(
REGEXREPLACE(B1642,""[^a-zA-Z\s]"","""")
)
)
"),"john hawthorne")</f>
        <v>john hawthorne</v>
      </c>
      <c r="O1642" s="7">
        <f t="shared" si="5"/>
        <v>1</v>
      </c>
      <c r="P1642" s="8" t="str">
        <f t="shared" si="6"/>
        <v>No</v>
      </c>
    </row>
    <row r="1643">
      <c r="A1643" s="4" t="s">
        <v>16</v>
      </c>
      <c r="B1643" s="4" t="s">
        <v>4647</v>
      </c>
      <c r="C1643" s="5">
        <v>44797.0</v>
      </c>
      <c r="D1643" s="10">
        <v>44797.0</v>
      </c>
      <c r="E1643" s="4" t="s">
        <v>4648</v>
      </c>
      <c r="F1643" s="4" t="s">
        <v>4649</v>
      </c>
      <c r="G1643" s="6" t="str">
        <f>IFERROR(__xludf.DUMMYFUNCTION("REGEXREPLACE(LOWER(F1643),""[^a-z\s]"","""")"),"i switched to petflow from chewy and so far so good chewy doesnt carry fromm which my dogs like the best decided to give them a try and im very satisfied the food arrived about  or  days after i placed my order the expiration date is more than a year from"&amp;" now so the food is fresh and not outdated will order again thank you petflow")</f>
        <v>i switched to petflow from chewy and so far so good chewy doesnt carry fromm which my dogs like the best decided to give them a try and im very satisfied the food arrived about  or  days after i placed my order the expiration date is more than a year from now so the food is fresh and not outdated will order again thank you petflow</v>
      </c>
      <c r="H1643" s="4" t="str">
        <f t="shared" si="1"/>
        <v>i switched petflow from chewy so far so good chewy doesnt carry fromm which my dogs like best decided give them a try im very satisfied food arrived about or days after i placed my order expiration date more than a year from now so food fresh not outdated will order again thank you petflow</v>
      </c>
      <c r="I1643" s="6">
        <f t="shared" si="2"/>
        <v>55</v>
      </c>
      <c r="J1643" s="6">
        <f>IFERROR(__xludf.DUMMYFUNCTION("IF(H1643="""","""",
SUM(
ARRAYFORMULA(
IF(
REGEXMATCH(
"" ""&amp;H1643&amp;"" "",
"" ""&amp;Sentiment_Words!A$2:A3730&amp;"" ""
),
1,
0
)
)
)
)"),2.0)</f>
        <v>2</v>
      </c>
      <c r="K1643" s="4">
        <f>IFERROR(__xludf.DUMMYFUNCTION("IF(H1643="""","""",
SUM(
ARRAYFORMULA(
IF(
REGEXMATCH(
"" ""&amp;H1643&amp;"" "",
"" ""&amp;Sentiment_Words!B$2:B3730&amp;"" ""
),
1,
0
)
)
)
)"),0.0)</f>
        <v>0</v>
      </c>
      <c r="L1643" s="7" t="str">
        <f t="shared" si="3"/>
        <v>Other</v>
      </c>
      <c r="M1643" s="7" t="str">
        <f t="shared" si="4"/>
        <v>Positive</v>
      </c>
      <c r="N1643" s="7" t="str">
        <f>IFERROR(__xludf.DUMMYFUNCTION("LOWER(
TRIM(
REGEXREPLACE(B1643,""[^a-zA-Z\s]"","""")
)
)
"),"marietta pup mom")</f>
        <v>marietta pup mom</v>
      </c>
      <c r="O1643" s="7">
        <f t="shared" si="5"/>
        <v>1</v>
      </c>
      <c r="P1643" s="8" t="str">
        <f t="shared" si="6"/>
        <v>No</v>
      </c>
    </row>
    <row r="1644">
      <c r="A1644" s="4" t="s">
        <v>16</v>
      </c>
      <c r="B1644" s="4" t="s">
        <v>4650</v>
      </c>
      <c r="C1644" s="5">
        <v>44797.0</v>
      </c>
      <c r="D1644" s="10">
        <v>44797.0</v>
      </c>
      <c r="E1644" s="4" t="s">
        <v>4651</v>
      </c>
      <c r="F1644" s="4" t="s">
        <v>4652</v>
      </c>
      <c r="G1644" s="6" t="str">
        <f>IFERROR(__xludf.DUMMYFUNCTION("REGEXREPLACE(LOWER(F1644),""[^a-z\s]"","""")"),"loved the website  they had what i was looking for  ordering was easy i got my dog food  hours later  i will definitely use pet flow for my ongoing pet needs ")</f>
        <v>loved the website  they had what i was looking for  ordering was easy i got my dog food  hours later  i will definitely use pet flow for my ongoing pet needs </v>
      </c>
      <c r="H1644" s="4" t="str">
        <f t="shared" si="1"/>
        <v>loved website they had what i was looking ordering was easy i got my dog food hours later i will definitely use pet flow my ongoing pet needs</v>
      </c>
      <c r="I1644" s="6">
        <f t="shared" si="2"/>
        <v>28</v>
      </c>
      <c r="J1644" s="6">
        <f>IFERROR(__xludf.DUMMYFUNCTION("IF(H1644="""","""",
SUM(
ARRAYFORMULA(
IF(
REGEXMATCH(
"" ""&amp;H1644&amp;"" "",
"" ""&amp;Sentiment_Words!A$2:A3730&amp;"" ""
),
1,
0
)
)
)
)"),1.0)</f>
        <v>1</v>
      </c>
      <c r="K1644" s="4">
        <f>IFERROR(__xludf.DUMMYFUNCTION("IF(H1644="""","""",
SUM(
ARRAYFORMULA(
IF(
REGEXMATCH(
"" ""&amp;H1644&amp;"" "",
"" ""&amp;Sentiment_Words!B$2:B3730&amp;"" ""
),
1,
0
)
)
)
)"),0.0)</f>
        <v>0</v>
      </c>
      <c r="L1644" s="7" t="str">
        <f t="shared" si="3"/>
        <v>Fulfillment &amp; Shipping</v>
      </c>
      <c r="M1644" s="7" t="str">
        <f t="shared" si="4"/>
        <v>Positive</v>
      </c>
      <c r="N1644" s="7" t="str">
        <f>IFERROR(__xludf.DUMMYFUNCTION("LOWER(
TRIM(
REGEXREPLACE(B1644,""[^a-zA-Z\s]"","""")
)
)
"),"andrew cohen")</f>
        <v>andrew cohen</v>
      </c>
      <c r="O1644" s="7">
        <f t="shared" si="5"/>
        <v>1</v>
      </c>
      <c r="P1644" s="8" t="str">
        <f t="shared" si="6"/>
        <v>No</v>
      </c>
    </row>
    <row r="1645">
      <c r="A1645" s="4" t="s">
        <v>16</v>
      </c>
      <c r="B1645" s="4" t="s">
        <v>4653</v>
      </c>
      <c r="C1645" s="5">
        <v>44797.0</v>
      </c>
      <c r="D1645" s="10">
        <v>44797.0</v>
      </c>
      <c r="E1645" s="4" t="s">
        <v>4654</v>
      </c>
      <c r="F1645" s="4" t="s">
        <v>4655</v>
      </c>
      <c r="G1645" s="6" t="str">
        <f>IFERROR(__xludf.DUMMYFUNCTION("REGEXREPLACE(LOWER(F1645),""[^a-z\s]"","""")"),"the prescription cat food wd is out of stock but i was
let to order it as if you had it no one seems to be able to get this its an important prescription for my cat who has a fractured pelvis
arnt the making this anymore is there a substitute that might b"&amp;"e ok like one of the other hills canned prescription can food")</f>
        <v>the prescription cat food wd is out of stock but i was
let to order it as if you had it no one seems to be able to get this its an important prescription for my cat who has a fractured pelvis
arnt the making this anymore is there a substitute that might be ok like one of the other hills canned prescription can food</v>
      </c>
      <c r="H1645" s="4" t="str">
        <f t="shared" si="1"/>
        <v>prescription cat food wd out of stock but i was
let order it as if you had it no one seems be able get this its an important prescription my cat who has a fractured pelvis
arnt making this anymore there a substitute that might be ok like one of other hills canned prescription can food</v>
      </c>
      <c r="I1645" s="6">
        <f t="shared" si="2"/>
        <v>54</v>
      </c>
      <c r="J1645" s="6">
        <f>IFERROR(__xludf.DUMMYFUNCTION("IF(H1645="""","""",
SUM(
ARRAYFORMULA(
IF(
REGEXMATCH(
"" ""&amp;H1645&amp;"" "",
"" ""&amp;Sentiment_Words!A$2:A3730&amp;"" ""
),
1,
0
)
)
)
)"),1.0)</f>
        <v>1</v>
      </c>
      <c r="K1645" s="4">
        <f>IFERROR(__xludf.DUMMYFUNCTION("IF(H1645="""","""",
SUM(
ARRAYFORMULA(
IF(
REGEXMATCH(
"" ""&amp;H1645&amp;"" "",
"" ""&amp;Sentiment_Words!B$2:B3730&amp;"" ""
),
1,
0
)
)
)
)"),1.0)</f>
        <v>1</v>
      </c>
      <c r="L1645" s="7" t="str">
        <f t="shared" si="3"/>
        <v>Availability</v>
      </c>
      <c r="M1645" s="7" t="str">
        <f t="shared" si="4"/>
        <v>Neutral</v>
      </c>
      <c r="N1645" s="7" t="str">
        <f>IFERROR(__xludf.DUMMYFUNCTION("LOWER(
TRIM(
REGEXREPLACE(B1645,""[^a-zA-Z\s]"","""")
)
)
"),"cynthia")</f>
        <v>cynthia</v>
      </c>
      <c r="O1645" s="7">
        <f t="shared" si="5"/>
        <v>2</v>
      </c>
      <c r="P1645" s="8" t="str">
        <f t="shared" si="6"/>
        <v>Yes</v>
      </c>
    </row>
    <row r="1646">
      <c r="A1646" s="4" t="s">
        <v>16</v>
      </c>
      <c r="B1646" s="4" t="s">
        <v>4656</v>
      </c>
      <c r="C1646" s="5">
        <v>44797.0</v>
      </c>
      <c r="D1646" s="10">
        <v>44797.0</v>
      </c>
      <c r="E1646" s="4" t="s">
        <v>4657</v>
      </c>
      <c r="F1646" s="4" t="s">
        <v>4658</v>
      </c>
      <c r="G1646" s="6" t="str">
        <f>IFERROR(__xludf.DUMMYFUNCTION("REGEXREPLACE(LOWER(F1646),""[^a-z\s]"","""")"),"this company was able to get the dog food we needed and were having trouble getting elsewhere")</f>
        <v>this company was able to get the dog food we needed and were having trouble getting elsewhere</v>
      </c>
      <c r="H1646" s="4" t="str">
        <f t="shared" si="1"/>
        <v>this company was able get dog food we needed were having trouble getting elsewhere</v>
      </c>
      <c r="I1646" s="6">
        <f t="shared" si="2"/>
        <v>14</v>
      </c>
      <c r="J1646" s="6">
        <f>IFERROR(__xludf.DUMMYFUNCTION("IF(H1646="""","""",
SUM(
ARRAYFORMULA(
IF(
REGEXMATCH(
"" ""&amp;H1646&amp;"" "",
"" ""&amp;Sentiment_Words!A$2:A3730&amp;"" ""
),
1,
0
)
)
)
)"),1.0)</f>
        <v>1</v>
      </c>
      <c r="K1646" s="4">
        <f>IFERROR(__xludf.DUMMYFUNCTION("IF(H1646="""","""",
SUM(
ARRAYFORMULA(
IF(
REGEXMATCH(
"" ""&amp;H1646&amp;"" "",
"" ""&amp;Sentiment_Words!B$2:B3730&amp;"" ""
),
1,
0
)
)
)
)"),0.0)</f>
        <v>0</v>
      </c>
      <c r="L1646" s="7" t="str">
        <f t="shared" si="3"/>
        <v>Other</v>
      </c>
      <c r="M1646" s="7" t="str">
        <f t="shared" si="4"/>
        <v>Positive</v>
      </c>
      <c r="N1646" s="7" t="str">
        <f>IFERROR(__xludf.DUMMYFUNCTION("LOWER(
TRIM(
REGEXREPLACE(B1646,""[^a-zA-Z\s]"","""")
)
)
"),"joanne beiger")</f>
        <v>joanne beiger</v>
      </c>
      <c r="O1646" s="7">
        <f t="shared" si="5"/>
        <v>1</v>
      </c>
      <c r="P1646" s="8" t="str">
        <f t="shared" si="6"/>
        <v>No</v>
      </c>
    </row>
    <row r="1647">
      <c r="A1647" s="4" t="s">
        <v>16</v>
      </c>
      <c r="B1647" s="4" t="s">
        <v>4659</v>
      </c>
      <c r="C1647" s="5">
        <v>44797.0</v>
      </c>
      <c r="D1647" s="10">
        <v>44797.0</v>
      </c>
      <c r="E1647" s="4" t="s">
        <v>3018</v>
      </c>
      <c r="F1647" s="4" t="s">
        <v>331</v>
      </c>
      <c r="G1647" s="6" t="str">
        <f>IFERROR(__xludf.DUMMYFUNCTION("REGEXREPLACE(LOWER(F1647),""[^a-z\s]"","""")"),"none")</f>
        <v>none</v>
      </c>
      <c r="H1647" s="4" t="str">
        <f t="shared" si="1"/>
        <v>none</v>
      </c>
      <c r="I1647" s="6">
        <f t="shared" si="2"/>
        <v>1</v>
      </c>
      <c r="J1647" s="6">
        <f>IFERROR(__xludf.DUMMYFUNCTION("IF(H1647="""","""",
SUM(
ARRAYFORMULA(
IF(
REGEXMATCH(
"" ""&amp;H1647&amp;"" "",
"" ""&amp;Sentiment_Words!A$2:A3730&amp;"" ""
),
1,
0
)
)
)
)"),0.0)</f>
        <v>0</v>
      </c>
      <c r="K1647" s="4">
        <f>IFERROR(__xludf.DUMMYFUNCTION("IF(H1647="""","""",
SUM(
ARRAYFORMULA(
IF(
REGEXMATCH(
"" ""&amp;H1647&amp;"" "",
"" ""&amp;Sentiment_Words!B$2:B3730&amp;"" ""
),
1,
0
)
)
)
)"),0.0)</f>
        <v>0</v>
      </c>
      <c r="L1647" s="7" t="str">
        <f t="shared" si="3"/>
        <v>Other</v>
      </c>
      <c r="M1647" s="7" t="str">
        <f t="shared" si="4"/>
        <v>Neutral</v>
      </c>
      <c r="N1647" s="7" t="str">
        <f>IFERROR(__xludf.DUMMYFUNCTION("LOWER(
TRIM(
REGEXREPLACE(B1647,""[^a-zA-Z\s]"","""")
)
)
"),"carol")</f>
        <v>carol</v>
      </c>
      <c r="O1647" s="7">
        <f t="shared" si="5"/>
        <v>8</v>
      </c>
      <c r="P1647" s="8" t="str">
        <f t="shared" si="6"/>
        <v>Yes</v>
      </c>
    </row>
    <row r="1648">
      <c r="A1648" s="4" t="s">
        <v>16</v>
      </c>
      <c r="B1648" s="4" t="s">
        <v>4660</v>
      </c>
      <c r="C1648" s="5">
        <v>44797.0</v>
      </c>
      <c r="D1648" s="10">
        <v>44797.0</v>
      </c>
      <c r="E1648" s="4" t="s">
        <v>4661</v>
      </c>
      <c r="F1648" s="4" t="s">
        <v>4662</v>
      </c>
      <c r="G1648" s="6" t="str">
        <f>IFERROR(__xludf.DUMMYFUNCTION("REGEXREPLACE(LOWER(F1648),""[^a-z\s]"","""")"),"i have a dog that needs prescription food i searched the internet and your website said you had it in stock i ordered it anticipating the amount of time i had until my dogs food ran out well you took over a week to tell me that you couldnt fulfill the ord"&amp;"er leaving me scrambling to find food somewhere else in the meantime my dog didnt have the food she needed dont say you have something and then wait over a week to tell me you dont")</f>
        <v>i have a dog that needs prescription food i searched the internet and your website said you had it in stock i ordered it anticipating the amount of time i had until my dogs food ran out well you took over a week to tell me that you couldnt fulfill the order leaving me scrambling to find food somewhere else in the meantime my dog didnt have the food she needed dont say you have something and then wait over a week to tell me you dont</v>
      </c>
      <c r="H1648" s="4" t="str">
        <f t="shared" si="1"/>
        <v>i have a dog that needs prescription food i searched internet your website said you had it in stock i ordered it anticipating amount of time i had until my dogs food ran out well you took over a week tell me that you couldnt fulfill order leaving me scrambling find food somewhere else in meantime my dog didnt have food she needed dont say you have something then wait over a week tell me you dont</v>
      </c>
      <c r="I1648" s="6">
        <f t="shared" si="2"/>
        <v>77</v>
      </c>
      <c r="J1648" s="6">
        <f>IFERROR(__xludf.DUMMYFUNCTION("IF(H1648="""","""",
SUM(
ARRAYFORMULA(
IF(
REGEXMATCH(
"" ""&amp;H1648&amp;"" "",
"" ""&amp;Sentiment_Words!A$2:A3730&amp;"" ""
),
1,
0
)
)
)
)"),0.0)</f>
        <v>0</v>
      </c>
      <c r="K1648" s="4">
        <f>IFERROR(__xludf.DUMMYFUNCTION("IF(H1648="""","""",
SUM(
ARRAYFORMULA(
IF(
REGEXMATCH(
"" ""&amp;H1648&amp;"" "",
"" ""&amp;Sentiment_Words!B$2:B3730&amp;"" ""
),
1,
0
)
)
)
)"),0.0)</f>
        <v>0</v>
      </c>
      <c r="L1648" s="7" t="str">
        <f t="shared" si="3"/>
        <v>Account &amp; Website</v>
      </c>
      <c r="M1648" s="7" t="str">
        <f t="shared" si="4"/>
        <v>Neutral</v>
      </c>
      <c r="N1648" s="7" t="str">
        <f>IFERROR(__xludf.DUMMYFUNCTION("LOWER(
TRIM(
REGEXREPLACE(B1648,""[^a-zA-Z\s]"","""")
)
)
"),"matthew atherley")</f>
        <v>matthew atherley</v>
      </c>
      <c r="O1648" s="7">
        <f t="shared" si="5"/>
        <v>1</v>
      </c>
      <c r="P1648" s="8" t="str">
        <f t="shared" si="6"/>
        <v>No</v>
      </c>
    </row>
    <row r="1649">
      <c r="A1649" s="4" t="s">
        <v>16</v>
      </c>
      <c r="B1649" s="4" t="s">
        <v>4663</v>
      </c>
      <c r="C1649" s="5">
        <v>44797.0</v>
      </c>
      <c r="D1649" s="10">
        <v>44797.0</v>
      </c>
      <c r="E1649" s="4" t="s">
        <v>4664</v>
      </c>
      <c r="F1649" s="4" t="s">
        <v>4665</v>
      </c>
      <c r="G1649" s="6" t="str">
        <f>IFERROR(__xludf.DUMMYFUNCTION("REGEXREPLACE(LOWER(F1649),""[^a-z\s]"","""")"),"easy to order slight delay with the product not available in the closest warehouse but arrived well packaged")</f>
        <v>easy to order slight delay with the product not available in the closest warehouse but arrived well packaged</v>
      </c>
      <c r="H1649" s="4" t="str">
        <f t="shared" si="1"/>
        <v>easy order slight delay with product not available in closest warehouse but arrived well packaged</v>
      </c>
      <c r="I1649" s="6">
        <f t="shared" si="2"/>
        <v>15</v>
      </c>
      <c r="J1649" s="6">
        <f>IFERROR(__xludf.DUMMYFUNCTION("IF(H1649="""","""",
SUM(
ARRAYFORMULA(
IF(
REGEXMATCH(
"" ""&amp;H1649&amp;"" "",
"" ""&amp;Sentiment_Words!A$2:A3730&amp;"" ""
),
1,
0
)
)
)
)"),2.0)</f>
        <v>2</v>
      </c>
      <c r="K1649" s="4">
        <f>IFERROR(__xludf.DUMMYFUNCTION("IF(H1649="""","""",
SUM(
ARRAYFORMULA(
IF(
REGEXMATCH(
"" ""&amp;H1649&amp;"" "",
"" ""&amp;Sentiment_Words!B$2:B3730&amp;"" ""
),
1,
0
)
)
)
)"),1.0)</f>
        <v>1</v>
      </c>
      <c r="L1649" s="7" t="str">
        <f t="shared" si="3"/>
        <v>Fulfillment &amp; Shipping</v>
      </c>
      <c r="M1649" s="7" t="str">
        <f t="shared" si="4"/>
        <v>Positive</v>
      </c>
      <c r="N1649" s="7" t="str">
        <f>IFERROR(__xludf.DUMMYFUNCTION("LOWER(
TRIM(
REGEXREPLACE(B1649,""[^a-zA-Z\s]"","""")
)
)
"),"kathy")</f>
        <v>kathy</v>
      </c>
      <c r="O1649" s="7">
        <f t="shared" si="5"/>
        <v>5</v>
      </c>
      <c r="P1649" s="8" t="str">
        <f t="shared" si="6"/>
        <v>Yes</v>
      </c>
    </row>
    <row r="1650">
      <c r="A1650" s="4" t="s">
        <v>16</v>
      </c>
      <c r="B1650" s="4" t="s">
        <v>56</v>
      </c>
      <c r="C1650" s="5">
        <v>44796.0</v>
      </c>
      <c r="D1650" s="10">
        <v>44796.0</v>
      </c>
      <c r="E1650" s="4" t="s">
        <v>4666</v>
      </c>
      <c r="F1650" s="4" t="s">
        <v>4667</v>
      </c>
      <c r="G1650" s="6" t="str">
        <f>IFERROR(__xludf.DUMMYFUNCTION("REGEXREPLACE(LOWER(F1650),""[^a-z\s]"","""")"),"what i loved was that they told me that their fast delivery was delayed because they had to ship from another supplier without me asking where my package was they took initiative and emailed me about the details of my package")</f>
        <v>what i loved was that they told me that their fast delivery was delayed because they had to ship from another supplier without me asking where my package was they took initiative and emailed me about the details of my package</v>
      </c>
      <c r="H1650" s="4" t="str">
        <f t="shared" si="1"/>
        <v>what i loved was that they told me that their fast delivery was delayed because they had ship from another supplier without me asking where my package was they took initiative emailed me about details of my package</v>
      </c>
      <c r="I1650" s="6">
        <f t="shared" si="2"/>
        <v>38</v>
      </c>
      <c r="J1650" s="6">
        <f>IFERROR(__xludf.DUMMYFUNCTION("IF(H1650="""","""",
SUM(
ARRAYFORMULA(
IF(
REGEXMATCH(
"" ""&amp;H1650&amp;"" "",
"" ""&amp;Sentiment_Words!A$2:A3730&amp;"" ""
),
1,
0
)
)
)
)"),2.0)</f>
        <v>2</v>
      </c>
      <c r="K1650" s="4">
        <f>IFERROR(__xludf.DUMMYFUNCTION("IF(H1650="""","""",
SUM(
ARRAYFORMULA(
IF(
REGEXMATCH(
"" ""&amp;H1650&amp;"" "",
"" ""&amp;Sentiment_Words!B$2:B3730&amp;"" ""
),
1,
0
)
)
)
)"),1.0)</f>
        <v>1</v>
      </c>
      <c r="L1650" s="7" t="str">
        <f t="shared" si="3"/>
        <v>Fulfillment &amp; Shipping</v>
      </c>
      <c r="M1650" s="7" t="str">
        <f t="shared" si="4"/>
        <v>Positive</v>
      </c>
      <c r="N1650" s="7" t="str">
        <f>IFERROR(__xludf.DUMMYFUNCTION("LOWER(
TRIM(
REGEXREPLACE(B1650,""[^a-zA-Z\s]"","""")
)
)
"),"customer")</f>
        <v>customer</v>
      </c>
      <c r="O1650" s="7">
        <f t="shared" si="5"/>
        <v>54</v>
      </c>
      <c r="P1650" s="8" t="str">
        <f t="shared" si="6"/>
        <v>Yes</v>
      </c>
    </row>
    <row r="1651">
      <c r="A1651" s="4" t="s">
        <v>16</v>
      </c>
      <c r="B1651" s="4" t="s">
        <v>4668</v>
      </c>
      <c r="C1651" s="5">
        <v>44796.0</v>
      </c>
      <c r="D1651" s="10">
        <v>44796.0</v>
      </c>
      <c r="E1651" s="4" t="s">
        <v>4396</v>
      </c>
      <c r="F1651" s="4" t="s">
        <v>4669</v>
      </c>
      <c r="G1651" s="6" t="str">
        <f>IFERROR(__xludf.DUMMYFUNCTION("REGEXREPLACE(LOWER(F1651),""[^a-z\s]"","""")"),"no product
xxxxxxxxxcccccccczzzzzzzz")</f>
        <v>no product
xxxxxxxxxcccccccczzzzzzzz</v>
      </c>
      <c r="H1651" s="4" t="str">
        <f t="shared" si="1"/>
        <v>no product
xxxxxxxxxcccccccczzzzzzzz</v>
      </c>
      <c r="I1651" s="6">
        <f t="shared" si="2"/>
        <v>2</v>
      </c>
      <c r="J1651" s="6">
        <f>IFERROR(__xludf.DUMMYFUNCTION("IF(H1651="""","""",
SUM(
ARRAYFORMULA(
IF(
REGEXMATCH(
"" ""&amp;H1651&amp;"" "",
"" ""&amp;Sentiment_Words!A$2:A3730&amp;"" ""
),
1,
0
)
)
)
)"),0.0)</f>
        <v>0</v>
      </c>
      <c r="K1651" s="4">
        <f>IFERROR(__xludf.DUMMYFUNCTION("IF(H1651="""","""",
SUM(
ARRAYFORMULA(
IF(
REGEXMATCH(
"" ""&amp;H1651&amp;"" "",
"" ""&amp;Sentiment_Words!B$2:B3730&amp;"" ""
),
1,
0
)
)
)
)"),0.0)</f>
        <v>0</v>
      </c>
      <c r="L1651" s="7" t="str">
        <f t="shared" si="3"/>
        <v>Other</v>
      </c>
      <c r="M1651" s="7" t="str">
        <f t="shared" si="4"/>
        <v>Neutral</v>
      </c>
      <c r="N1651" s="7" t="str">
        <f>IFERROR(__xludf.DUMMYFUNCTION("LOWER(
TRIM(
REGEXREPLACE(B1651,""[^a-zA-Z\s]"","""")
)
)
"),"amy senstad")</f>
        <v>amy senstad</v>
      </c>
      <c r="O1651" s="7">
        <f t="shared" si="5"/>
        <v>1</v>
      </c>
      <c r="P1651" s="8" t="str">
        <f t="shared" si="6"/>
        <v>No</v>
      </c>
    </row>
    <row r="1652">
      <c r="A1652" s="4" t="s">
        <v>16</v>
      </c>
      <c r="B1652" s="4" t="s">
        <v>4670</v>
      </c>
      <c r="C1652" s="5">
        <v>44796.0</v>
      </c>
      <c r="D1652" s="10">
        <v>44796.0</v>
      </c>
      <c r="E1652" s="4" t="s">
        <v>4671</v>
      </c>
      <c r="F1652" s="4" t="s">
        <v>4672</v>
      </c>
      <c r="G1652" s="6" t="str">
        <f>IFERROR(__xludf.DUMMYFUNCTION("REGEXREPLACE(LOWER(F1652),""[^a-z\s]"","""")"),"i ordered prescription cat food from pet flow however a few days later they stated they were out of stock and would ship it as soon as they received it i had to cancel my order and they were very communicative throughout the process i would definitely sho"&amp;"p with them again")</f>
        <v>i ordered prescription cat food from pet flow however a few days later they stated they were out of stock and would ship it as soon as they received it i had to cancel my order and they were very communicative throughout the process i would definitely shop with them again</v>
      </c>
      <c r="H1652" s="4" t="str">
        <f t="shared" si="1"/>
        <v>i ordered prescription cat food from pet flow however a few days later they stated they were out of stock would ship it as soon as they received it i had cancel my order they were very communicative throughout process i would definitely shop with them again</v>
      </c>
      <c r="I1652" s="6">
        <f t="shared" si="2"/>
        <v>47</v>
      </c>
      <c r="J1652" s="6">
        <f>IFERROR(__xludf.DUMMYFUNCTION("IF(H1652="""","""",
SUM(
ARRAYFORMULA(
IF(
REGEXMATCH(
"" ""&amp;H1652&amp;"" "",
"" ""&amp;Sentiment_Words!A$2:A3730&amp;"" ""
),
1,
0
)
)
)
)"),0.0)</f>
        <v>0</v>
      </c>
      <c r="K1652" s="4">
        <f>IFERROR(__xludf.DUMMYFUNCTION("IF(H1652="""","""",
SUM(
ARRAYFORMULA(
IF(
REGEXMATCH(
"" ""&amp;H1652&amp;"" "",
"" ""&amp;Sentiment_Words!B$2:B3730&amp;"" ""
),
1,
0
)
)
)
)"),1.0)</f>
        <v>1</v>
      </c>
      <c r="L1652" s="7" t="str">
        <f t="shared" si="3"/>
        <v>Fulfillment &amp; Shipping</v>
      </c>
      <c r="M1652" s="7" t="str">
        <f t="shared" si="4"/>
        <v>Negative</v>
      </c>
      <c r="N1652" s="7" t="str">
        <f>IFERROR(__xludf.DUMMYFUNCTION("LOWER(
TRIM(
REGEXREPLACE(B1652,""[^a-zA-Z\s]"","""")
)
)
"),"sheryl mclean")</f>
        <v>sheryl mclean</v>
      </c>
      <c r="O1652" s="7">
        <f t="shared" si="5"/>
        <v>1</v>
      </c>
      <c r="P1652" s="8" t="str">
        <f t="shared" si="6"/>
        <v>No</v>
      </c>
    </row>
    <row r="1653">
      <c r="A1653" s="4" t="s">
        <v>16</v>
      </c>
      <c r="B1653" s="4" t="s">
        <v>4673</v>
      </c>
      <c r="C1653" s="5">
        <v>44795.0</v>
      </c>
      <c r="D1653" s="10">
        <v>44796.0</v>
      </c>
      <c r="E1653" s="4" t="s">
        <v>4674</v>
      </c>
      <c r="F1653" s="4" t="s">
        <v>4675</v>
      </c>
      <c r="G1653" s="6" t="str">
        <f>IFERROR(__xludf.DUMMYFUNCTION("REGEXREPLACE(LOWER(F1653),""[^a-z\s]"","""")"),"petflow came through for me again when a kitty food subscription was out of stock ill be sticking with petflow thank you")</f>
        <v>petflow came through for me again when a kitty food subscription was out of stock ill be sticking with petflow thank you</v>
      </c>
      <c r="H1653" s="4" t="str">
        <f t="shared" si="1"/>
        <v>petflow came through me again when a kitty food subscription was out of stock ill be sticking with petflow thank you</v>
      </c>
      <c r="I1653" s="6">
        <f t="shared" si="2"/>
        <v>21</v>
      </c>
      <c r="J1653" s="6">
        <f>IFERROR(__xludf.DUMMYFUNCTION("IF(H1653="""","""",
SUM(
ARRAYFORMULA(
IF(
REGEXMATCH(
"" ""&amp;H1653&amp;"" "",
"" ""&amp;Sentiment_Words!A$2:A3730&amp;"" ""
),
1,
0
)
)
)
)"),0.0)</f>
        <v>0</v>
      </c>
      <c r="K1653" s="4">
        <f>IFERROR(__xludf.DUMMYFUNCTION("IF(H1653="""","""",
SUM(
ARRAYFORMULA(
IF(
REGEXMATCH(
"" ""&amp;H1653&amp;"" "",
"" ""&amp;Sentiment_Words!B$2:B3730&amp;"" ""
),
1,
0
)
)
)
)"),1.0)</f>
        <v>1</v>
      </c>
      <c r="L1653" s="7" t="str">
        <f t="shared" si="3"/>
        <v>Availability</v>
      </c>
      <c r="M1653" s="7" t="str">
        <f t="shared" si="4"/>
        <v>Negative</v>
      </c>
      <c r="N1653" s="7" t="str">
        <f>IFERROR(__xludf.DUMMYFUNCTION("LOWER(
TRIM(
REGEXREPLACE(B1653,""[^a-zA-Z\s]"","""")
)
)
"),"ronda raye")</f>
        <v>ronda raye</v>
      </c>
      <c r="O1653" s="7">
        <f t="shared" si="5"/>
        <v>1</v>
      </c>
      <c r="P1653" s="8" t="str">
        <f t="shared" si="6"/>
        <v>No</v>
      </c>
    </row>
    <row r="1654">
      <c r="A1654" s="4" t="s">
        <v>16</v>
      </c>
      <c r="B1654" s="4" t="s">
        <v>4676</v>
      </c>
      <c r="C1654" s="5">
        <v>44795.0</v>
      </c>
      <c r="D1654" s="10">
        <v>44795.0</v>
      </c>
      <c r="E1654" s="4" t="s">
        <v>4677</v>
      </c>
      <c r="F1654" s="4" t="s">
        <v>4678</v>
      </c>
      <c r="G1654" s="6" t="str">
        <f>IFERROR(__xludf.DUMMYFUNCTION("REGEXREPLACE(LOWER(F1654),""[^a-z\s]"","""")"),"i made an order and canceled  days later customer service told me it was taken care of the charge disappeared and i thought all was well then several more days passed and i received a shipping notice i was told it was now too late to stop my already cance"&amp;"led order i am not allowed to return this prescription pet food very disappointed in petflow the order arrived about  days after my original order")</f>
        <v>i made an order and canceled  days later customer service told me it was taken care of the charge disappeared and i thought all was well then several more days passed and i received a shipping notice i was told it was now too late to stop my already canceled order i am not allowed to return this prescription pet food very disappointed in petflow the order arrived about  days after my original order</v>
      </c>
      <c r="H1654" s="4" t="str">
        <f t="shared" si="1"/>
        <v>i made an order canceled days later customer service told me it was taken care of charge disappeared i thought all was well then several more days passed i received a shipping notice i was told it was now too late stop my already canceled order i am not allowed return this prescription pet food very disappointed in petflow order arrived about days after my original order</v>
      </c>
      <c r="I1654" s="6">
        <f t="shared" si="2"/>
        <v>67</v>
      </c>
      <c r="J1654" s="6">
        <f>IFERROR(__xludf.DUMMYFUNCTION("IF(H1654="""","""",
SUM(
ARRAYFORMULA(
IF(
REGEXMATCH(
"" ""&amp;H1654&amp;"" "",
"" ""&amp;Sentiment_Words!A$2:A3730&amp;"" ""
),
1,
0
)
)
)
)"),0.0)</f>
        <v>0</v>
      </c>
      <c r="K1654" s="4">
        <f>IFERROR(__xludf.DUMMYFUNCTION("IF(H1654="""","""",
SUM(
ARRAYFORMULA(
IF(
REGEXMATCH(
"" ""&amp;H1654&amp;"" "",
"" ""&amp;Sentiment_Words!B$2:B3730&amp;"" ""
),
1,
0
)
)
)
)"),1.0)</f>
        <v>1</v>
      </c>
      <c r="L1654" s="7" t="str">
        <f t="shared" si="3"/>
        <v>Customer Support</v>
      </c>
      <c r="M1654" s="7" t="str">
        <f t="shared" si="4"/>
        <v>Negative</v>
      </c>
      <c r="N1654" s="7" t="str">
        <f>IFERROR(__xludf.DUMMYFUNCTION("LOWER(
TRIM(
REGEXREPLACE(B1654,""[^a-zA-Z\s]"","""")
)
)
"),"leslie zelkowitz")</f>
        <v>leslie zelkowitz</v>
      </c>
      <c r="O1654" s="7">
        <f t="shared" si="5"/>
        <v>1</v>
      </c>
      <c r="P1654" s="8" t="str">
        <f t="shared" si="6"/>
        <v>No</v>
      </c>
    </row>
    <row r="1655">
      <c r="A1655" s="4" t="s">
        <v>16</v>
      </c>
      <c r="B1655" s="4" t="s">
        <v>4679</v>
      </c>
      <c r="C1655" s="5">
        <v>44795.0</v>
      </c>
      <c r="D1655" s="10">
        <v>44795.0</v>
      </c>
      <c r="E1655" s="4" t="s">
        <v>4680</v>
      </c>
      <c r="F1655" s="4" t="s">
        <v>4681</v>
      </c>
      <c r="G1655" s="6" t="str">
        <f>IFERROR(__xludf.DUMMYFUNCTION("REGEXREPLACE(LOWER(F1655),""[^a-z\s]"","""")"),"one thing i really love petflow is they always have their products available i dont get a constant on back order  like many other mail order purchases i also appreciate the occasional discounts offered to regular customers")</f>
        <v>one thing i really love petflow is they always have their products available i dont get a constant on back order  like many other mail order purchases i also appreciate the occasional discounts offered to regular customers</v>
      </c>
      <c r="H1655" s="4" t="str">
        <f t="shared" si="1"/>
        <v>one thing i really love petflow they always have their products available i dont get a constant on back order like many other mail order purchases i also appreciate occasional discounts offered regular customers</v>
      </c>
      <c r="I1655" s="6">
        <f t="shared" si="2"/>
        <v>34</v>
      </c>
      <c r="J1655" s="6">
        <f>IFERROR(__xludf.DUMMYFUNCTION("IF(H1655="""","""",
SUM(
ARRAYFORMULA(
IF(
REGEXMATCH(
"" ""&amp;H1655&amp;"" "",
"" ""&amp;Sentiment_Words!A$2:A3730&amp;"" ""
),
1,
0
)
)
)
)"),2.0)</f>
        <v>2</v>
      </c>
      <c r="K1655" s="4">
        <f>IFERROR(__xludf.DUMMYFUNCTION("IF(H1655="""","""",
SUM(
ARRAYFORMULA(
IF(
REGEXMATCH(
"" ""&amp;H1655&amp;"" "",
"" ""&amp;Sentiment_Words!B$2:B3730&amp;"" ""
),
1,
0
)
)
)
)"),0.0)</f>
        <v>0</v>
      </c>
      <c r="L1655" s="7" t="str">
        <f t="shared" si="3"/>
        <v>Other</v>
      </c>
      <c r="M1655" s="7" t="str">
        <f t="shared" si="4"/>
        <v>Positive</v>
      </c>
      <c r="N1655" s="7" t="str">
        <f>IFERROR(__xludf.DUMMYFUNCTION("LOWER(
TRIM(
REGEXREPLACE(B1655,""[^a-zA-Z\s]"","""")
)
)
"),"wendy ganser")</f>
        <v>wendy ganser</v>
      </c>
      <c r="O1655" s="7">
        <f t="shared" si="5"/>
        <v>1</v>
      </c>
      <c r="P1655" s="8" t="str">
        <f t="shared" si="6"/>
        <v>No</v>
      </c>
    </row>
    <row r="1656">
      <c r="A1656" s="4" t="s">
        <v>16</v>
      </c>
      <c r="B1656" s="4" t="s">
        <v>4682</v>
      </c>
      <c r="C1656" s="5">
        <v>44795.0</v>
      </c>
      <c r="D1656" s="10">
        <v>44795.0</v>
      </c>
      <c r="E1656" s="4" t="s">
        <v>4683</v>
      </c>
      <c r="F1656" s="4" t="s">
        <v>4684</v>
      </c>
      <c r="G1656" s="6" t="str">
        <f>IFERROR(__xludf.DUMMYFUNCTION("REGEXREPLACE(LOWER(F1656),""[^a-z\s]"","""")"),"was able to order special food for my dog that was not available elsewhere delivered quickly and i was kept uo to date on the delivery")</f>
        <v>was able to order special food for my dog that was not available elsewhere delivered quickly and i was kept uo to date on the delivery</v>
      </c>
      <c r="H1656" s="4" t="str">
        <f t="shared" si="1"/>
        <v>was able order special food my dog that was not available elsewhere delivered quickly i was kept uo date on delivery</v>
      </c>
      <c r="I1656" s="6">
        <f t="shared" si="2"/>
        <v>21</v>
      </c>
      <c r="J1656" s="6">
        <f>IFERROR(__xludf.DUMMYFUNCTION("IF(H1656="""","""",
SUM(
ARRAYFORMULA(
IF(
REGEXMATCH(
"" ""&amp;H1656&amp;"" "",
"" ""&amp;Sentiment_Words!A$2:A3730&amp;"" ""
),
1,
0
)
)
)
)"),3.0)</f>
        <v>3</v>
      </c>
      <c r="K1656" s="4">
        <f>IFERROR(__xludf.DUMMYFUNCTION("IF(H1656="""","""",
SUM(
ARRAYFORMULA(
IF(
REGEXMATCH(
"" ""&amp;H1656&amp;"" "",
"" ""&amp;Sentiment_Words!B$2:B3730&amp;"" ""
),
1,
0
)
)
)
)"),0.0)</f>
        <v>0</v>
      </c>
      <c r="L1656" s="7" t="str">
        <f t="shared" si="3"/>
        <v>Other</v>
      </c>
      <c r="M1656" s="7" t="str">
        <f t="shared" si="4"/>
        <v>Positive</v>
      </c>
      <c r="N1656" s="7" t="str">
        <f>IFERROR(__xludf.DUMMYFUNCTION("LOWER(
TRIM(
REGEXREPLACE(B1656,""[^a-zA-Z\s]"","""")
)
)
"),"marian")</f>
        <v>marian</v>
      </c>
      <c r="O1656" s="7">
        <f t="shared" si="5"/>
        <v>2</v>
      </c>
      <c r="P1656" s="8" t="str">
        <f t="shared" si="6"/>
        <v>Yes</v>
      </c>
    </row>
    <row r="1657">
      <c r="A1657" s="4" t="s">
        <v>16</v>
      </c>
      <c r="B1657" s="4" t="s">
        <v>4685</v>
      </c>
      <c r="C1657" s="5">
        <v>44795.0</v>
      </c>
      <c r="D1657" s="10">
        <v>44795.0</v>
      </c>
      <c r="E1657" s="4" t="s">
        <v>4686</v>
      </c>
      <c r="F1657" s="4" t="s">
        <v>4687</v>
      </c>
      <c r="G1657" s="6" t="str">
        <f>IFERROR(__xludf.DUMMYFUNCTION("REGEXREPLACE(LOWER(F1657),""[^a-z\s]"","""")"),"placed an order and rx was on file waited a few days and didnt hear anything contacted the company and was told sorryits just sitting in fulfillment for some reason then the customer service person said theyd try to expedite that was almost a week ago and"&amp;" still no order or communication this is rx food that my cat needs")</f>
        <v>placed an order and rx was on file waited a few days and didnt hear anything contacted the company and was told sorryits just sitting in fulfillment for some reason then the customer service person said theyd try to expedite that was almost a week ago and still no order or communication this is rx food that my cat needs</v>
      </c>
      <c r="H1657" s="4" t="str">
        <f t="shared" si="1"/>
        <v>placed an order rx was on file waited a few days didnt hear anything contacted company was told sorryits just sitting in fulfillment some reason then customer service person said theyd try expedite that was almost a week ago still no order or communication this rx food that my cat needs</v>
      </c>
      <c r="I1657" s="6">
        <f t="shared" si="2"/>
        <v>51</v>
      </c>
      <c r="J1657" s="6">
        <f>IFERROR(__xludf.DUMMYFUNCTION("IF(H1657="""","""",
SUM(
ARRAYFORMULA(
IF(
REGEXMATCH(
"" ""&amp;H1657&amp;"" "",
"" ""&amp;Sentiment_Words!A$2:A3730&amp;"" ""
),
1,
0
)
)
)
)"),0.0)</f>
        <v>0</v>
      </c>
      <c r="K1657" s="4">
        <f>IFERROR(__xludf.DUMMYFUNCTION("IF(H1657="""","""",
SUM(
ARRAYFORMULA(
IF(
REGEXMATCH(
"" ""&amp;H1657&amp;"" "",
"" ""&amp;Sentiment_Words!B$2:B3730&amp;"" ""
),
1,
0
)
)
)
)"),1.0)</f>
        <v>1</v>
      </c>
      <c r="L1657" s="7" t="str">
        <f t="shared" si="3"/>
        <v>Customer Support</v>
      </c>
      <c r="M1657" s="7" t="str">
        <f t="shared" si="4"/>
        <v>Negative</v>
      </c>
      <c r="N1657" s="7" t="str">
        <f>IFERROR(__xludf.DUMMYFUNCTION("LOWER(
TRIM(
REGEXREPLACE(B1657,""[^a-zA-Z\s]"","""")
)
)
"),"al t")</f>
        <v>al t</v>
      </c>
      <c r="O1657" s="7">
        <f t="shared" si="5"/>
        <v>1</v>
      </c>
      <c r="P1657" s="8" t="str">
        <f t="shared" si="6"/>
        <v>No</v>
      </c>
    </row>
    <row r="1658">
      <c r="A1658" s="4" t="s">
        <v>16</v>
      </c>
      <c r="B1658" s="4" t="s">
        <v>4688</v>
      </c>
      <c r="C1658" s="5">
        <v>44795.0</v>
      </c>
      <c r="D1658" s="10">
        <v>44795.0</v>
      </c>
      <c r="E1658" s="4" t="s">
        <v>4689</v>
      </c>
      <c r="F1658" s="4" t="s">
        <v>4690</v>
      </c>
      <c r="G1658" s="6" t="str">
        <f>IFERROR(__xludf.DUMMYFUNCTION("REGEXREPLACE(LOWER(F1658),""[^a-z\s]"","""")"),"our pet food was delivered promptly")</f>
        <v>our pet food was delivered promptly</v>
      </c>
      <c r="H1658" s="4" t="str">
        <f t="shared" si="1"/>
        <v>our pet food was delivered promptly</v>
      </c>
      <c r="I1658" s="6">
        <f t="shared" si="2"/>
        <v>6</v>
      </c>
      <c r="J1658" s="6">
        <f>IFERROR(__xludf.DUMMYFUNCTION("IF(H1658="""","""",
SUM(
ARRAYFORMULA(
IF(
REGEXMATCH(
"" ""&amp;H1658&amp;"" "",
"" ""&amp;Sentiment_Words!A$2:A3730&amp;"" ""
),
1,
0
)
)
)
)"),1.0)</f>
        <v>1</v>
      </c>
      <c r="K1658" s="4">
        <f>IFERROR(__xludf.DUMMYFUNCTION("IF(H1658="""","""",
SUM(
ARRAYFORMULA(
IF(
REGEXMATCH(
"" ""&amp;H1658&amp;"" "",
"" ""&amp;Sentiment_Words!B$2:B3730&amp;"" ""
),
1,
0
)
)
)
)"),0.0)</f>
        <v>0</v>
      </c>
      <c r="L1658" s="7" t="str">
        <f t="shared" si="3"/>
        <v>Other</v>
      </c>
      <c r="M1658" s="7" t="str">
        <f t="shared" si="4"/>
        <v>Positive</v>
      </c>
      <c r="N1658" s="7" t="str">
        <f>IFERROR(__xludf.DUMMYFUNCTION("LOWER(
TRIM(
REGEXREPLACE(B1658,""[^a-zA-Z\s]"","""")
)
)
"),"monica")</f>
        <v>monica</v>
      </c>
      <c r="O1658" s="7">
        <f t="shared" si="5"/>
        <v>1</v>
      </c>
      <c r="P1658" s="8" t="str">
        <f t="shared" si="6"/>
        <v>No</v>
      </c>
    </row>
    <row r="1659">
      <c r="A1659" s="4" t="s">
        <v>16</v>
      </c>
      <c r="B1659" s="4" t="s">
        <v>56</v>
      </c>
      <c r="C1659" s="5">
        <v>44794.0</v>
      </c>
      <c r="D1659" s="10">
        <v>44795.0</v>
      </c>
      <c r="E1659" s="4" t="s">
        <v>3397</v>
      </c>
      <c r="F1659" s="4" t="s">
        <v>4691</v>
      </c>
      <c r="G1659" s="6" t="str">
        <f>IFERROR(__xludf.DUMMYFUNCTION("REGEXREPLACE(LOWER(F1659),""[^a-z\s]"","""")"),"timely response and followup timely processing once order details prescription food were in place the one area that needs to be addressed is the contradicting information the site provides during the prescription food order process the site noted that foo"&amp;"d nonmedicine prescriptions can be emailed to s specific inbox however once the order was submitted the confirmation email noted that the hard copy prescription must be physically mailed to the pharmacy before the order is fully processed this was confirm"&amp;"ed by the support representative when i called therefore scripts for prescription food or for medication must be physically mailed hopefully this discrepancy in the process between medication and prescription food will have been addressed by the time this"&amp;" review goes up")</f>
        <v>timely response and followup timely processing once order details prescription food were in place the one area that needs to be addressed is the contradicting information the site provides during the prescription food order process the site noted that food nonmedicine prescriptions can be emailed to s specific inbox however once the order was submitted the confirmation email noted that the hard copy prescription must be physically mailed to the pharmacy before the order is fully processed this was confirmed by the support representative when i called therefore scripts for prescription food or for medication must be physically mailed hopefully this discrepancy in the process between medication and prescription food will have been addressed by the time this review goes up</v>
      </c>
      <c r="H1659" s="4" t="str">
        <f t="shared" si="1"/>
        <v>timely response followup timely processing once order details prescription food were in place one area that needs be addressed contradicting information site provides during prescription food order process site noted that food nonmedicine prescriptions can be emailed s specific inbox however once order was submitted confirmation email noted that hard copy prescription must be physically mailed pharmacy before order fully processed this was confirmed by support representative when i called therefore scripts prescription food or medication must be physically mailed hopefully this discrepancy in process between medication prescription food will have been addressed by time this review goes up</v>
      </c>
      <c r="I1659" s="6">
        <f t="shared" si="2"/>
        <v>99</v>
      </c>
      <c r="J1659" s="6">
        <f>IFERROR(__xludf.DUMMYFUNCTION("IF(H1659="""","""",
SUM(
ARRAYFORMULA(
IF(
REGEXMATCH(
"" ""&amp;H1659&amp;"" "",
"" ""&amp;Sentiment_Words!A$2:A3730&amp;"" ""
),
1,
0
)
)
)
)"),0.0)</f>
        <v>0</v>
      </c>
      <c r="K1659" s="4">
        <f>IFERROR(__xludf.DUMMYFUNCTION("IF(H1659="""","""",
SUM(
ARRAYFORMULA(
IF(
REGEXMATCH(
"" ""&amp;H1659&amp;"" "",
"" ""&amp;Sentiment_Words!B$2:B3730&amp;"" ""
),
1,
0
)
)
)
)"),0.0)</f>
        <v>0</v>
      </c>
      <c r="L1659" s="7" t="str">
        <f t="shared" si="3"/>
        <v>Customer Support</v>
      </c>
      <c r="M1659" s="7" t="str">
        <f t="shared" si="4"/>
        <v>Neutral</v>
      </c>
      <c r="N1659" s="7" t="str">
        <f>IFERROR(__xludf.DUMMYFUNCTION("LOWER(
TRIM(
REGEXREPLACE(B1659,""[^a-zA-Z\s]"","""")
)
)
"),"customer")</f>
        <v>customer</v>
      </c>
      <c r="O1659" s="7">
        <f t="shared" si="5"/>
        <v>54</v>
      </c>
      <c r="P1659" s="8" t="str">
        <f t="shared" si="6"/>
        <v>Yes</v>
      </c>
    </row>
    <row r="1660">
      <c r="A1660" s="4" t="s">
        <v>16</v>
      </c>
      <c r="B1660" s="4" t="s">
        <v>4692</v>
      </c>
      <c r="C1660" s="5">
        <v>44794.0</v>
      </c>
      <c r="D1660" s="10">
        <v>44794.0</v>
      </c>
      <c r="E1660" s="4" t="s">
        <v>4693</v>
      </c>
      <c r="F1660" s="4" t="s">
        <v>4694</v>
      </c>
      <c r="G1660" s="6" t="str">
        <f>IFERROR(__xludf.DUMMYFUNCTION("REGEXREPLACE(LOWER(F1660),""[^a-z\s]"","""")"),"after placing an order and receiving the shipment i realized i had ordered the wrong food i had set up auto ship for the food so immediately tried to change the type of food on my auto ship when i couldnt change it myself i emailed and the responder took "&amp;"care of the issue for me and changed the product to the food i needed to get for my gizmo")</f>
        <v>after placing an order and receiving the shipment i realized i had ordered the wrong food i had set up auto ship for the food so immediately tried to change the type of food on my auto ship when i couldnt change it myself i emailed and the responder took care of the issue for me and changed the product to the food i needed to get for my gizmo</v>
      </c>
      <c r="H1660" s="4" t="str">
        <f t="shared" si="1"/>
        <v>after placing an order receiving shipment i realized i had ordered wrong food i had set up auto ship food so immediately tried change type of food on my auto ship when i couldnt change it myself i emailed responder took care of issue me changed product food i needed get my gizmo</v>
      </c>
      <c r="I1660" s="6">
        <f t="shared" si="2"/>
        <v>53</v>
      </c>
      <c r="J1660" s="6">
        <f>IFERROR(__xludf.DUMMYFUNCTION("IF(H1660="""","""",
SUM(
ARRAYFORMULA(
IF(
REGEXMATCH(
"" ""&amp;H1660&amp;"" "",
"" ""&amp;Sentiment_Words!A$2:A3730&amp;"" ""
),
1,
0
)
)
)
)"),2.0)</f>
        <v>2</v>
      </c>
      <c r="K1660" s="4">
        <f>IFERROR(__xludf.DUMMYFUNCTION("IF(H1660="""","""",
SUM(
ARRAYFORMULA(
IF(
REGEXMATCH(
"" ""&amp;H1660&amp;"" "",
"" ""&amp;Sentiment_Words!B$2:B3730&amp;"" ""
),
1,
0
)
)
)
)"),2.0)</f>
        <v>2</v>
      </c>
      <c r="L1660" s="7" t="str">
        <f t="shared" si="3"/>
        <v>Fulfillment &amp; Shipping</v>
      </c>
      <c r="M1660" s="7" t="str">
        <f t="shared" si="4"/>
        <v>Neutral</v>
      </c>
      <c r="N1660" s="7" t="str">
        <f>IFERROR(__xludf.DUMMYFUNCTION("LOWER(
TRIM(
REGEXREPLACE(B1660,""[^a-zA-Z\s]"","""")
)
)
"),"ian")</f>
        <v>ian</v>
      </c>
      <c r="O1660" s="7">
        <f t="shared" si="5"/>
        <v>1</v>
      </c>
      <c r="P1660" s="8" t="str">
        <f t="shared" si="6"/>
        <v>No</v>
      </c>
    </row>
    <row r="1661">
      <c r="A1661" s="4" t="s">
        <v>16</v>
      </c>
      <c r="B1661" s="4" t="s">
        <v>4695</v>
      </c>
      <c r="C1661" s="5">
        <v>44794.0</v>
      </c>
      <c r="D1661" s="10">
        <v>44794.0</v>
      </c>
      <c r="E1661" s="4" t="s">
        <v>4696</v>
      </c>
      <c r="F1661" s="4" t="s">
        <v>4697</v>
      </c>
      <c r="G1661" s="6" t="str">
        <f>IFERROR(__xludf.DUMMYFUNCTION("REGEXREPLACE(LOWER(F1661),""[^a-z\s]"","""")"),"the box that the bag of food arrived in was open that was probably due to the heavy food bag inside without any protective packing")</f>
        <v>the box that the bag of food arrived in was open that was probably due to the heavy food bag inside without any protective packing</v>
      </c>
      <c r="H1661" s="4" t="str">
        <f t="shared" si="1"/>
        <v>box that bag of food arrived in was open that was probably due heavy food bag inside without any protective packing</v>
      </c>
      <c r="I1661" s="6">
        <f t="shared" si="2"/>
        <v>21</v>
      </c>
      <c r="J1661" s="6">
        <f>IFERROR(__xludf.DUMMYFUNCTION("IF(H1661="""","""",
SUM(
ARRAYFORMULA(
IF(
REGEXMATCH(
"" ""&amp;H1661&amp;"" "",
"" ""&amp;Sentiment_Words!A$2:A3730&amp;"" ""
),
1,
0
)
)
)
)"),0.0)</f>
        <v>0</v>
      </c>
      <c r="K1661" s="4">
        <f>IFERROR(__xludf.DUMMYFUNCTION("IF(H1661="""","""",
SUM(
ARRAYFORMULA(
IF(
REGEXMATCH(
"" ""&amp;H1661&amp;"" "",
"" ""&amp;Sentiment_Words!B$2:B3730&amp;"" ""
),
1,
0
)
)
)
)"),0.0)</f>
        <v>0</v>
      </c>
      <c r="L1661" s="7" t="str">
        <f t="shared" si="3"/>
        <v>Other</v>
      </c>
      <c r="M1661" s="7" t="str">
        <f t="shared" si="4"/>
        <v>Neutral</v>
      </c>
      <c r="N1661" s="7" t="str">
        <f>IFERROR(__xludf.DUMMYFUNCTION("LOWER(
TRIM(
REGEXREPLACE(B1661,""[^a-zA-Z\s]"","""")
)
)
"),"kathy kleist")</f>
        <v>kathy kleist</v>
      </c>
      <c r="O1661" s="7">
        <f t="shared" si="5"/>
        <v>1</v>
      </c>
      <c r="P1661" s="8" t="str">
        <f t="shared" si="6"/>
        <v>No</v>
      </c>
    </row>
    <row r="1662">
      <c r="A1662" s="4" t="s">
        <v>16</v>
      </c>
      <c r="B1662" s="4" t="s">
        <v>4698</v>
      </c>
      <c r="C1662" s="5">
        <v>44794.0</v>
      </c>
      <c r="D1662" s="10">
        <v>44794.0</v>
      </c>
      <c r="E1662" s="4" t="s">
        <v>4699</v>
      </c>
      <c r="F1662" s="4" t="s">
        <v>4700</v>
      </c>
      <c r="G1662" s="6" t="str">
        <f>IFERROR(__xludf.DUMMYFUNCTION("REGEXREPLACE(LOWER(F1662),""[^a-z\s]"","""")"),"i placed an order and without notice it was canceled and the product never arrived")</f>
        <v>i placed an order and without notice it was canceled and the product never arrived</v>
      </c>
      <c r="H1662" s="4" t="str">
        <f t="shared" si="1"/>
        <v>i placed an order without notice it was canceled product never arrived</v>
      </c>
      <c r="I1662" s="6">
        <f t="shared" si="2"/>
        <v>12</v>
      </c>
      <c r="J1662" s="6">
        <f>IFERROR(__xludf.DUMMYFUNCTION("IF(H1662="""","""",
SUM(
ARRAYFORMULA(
IF(
REGEXMATCH(
"" ""&amp;H1662&amp;"" "",
"" ""&amp;Sentiment_Words!A$2:A3730&amp;"" ""
),
1,
0
)
)
)
)"),0.0)</f>
        <v>0</v>
      </c>
      <c r="K1662" s="4">
        <f>IFERROR(__xludf.DUMMYFUNCTION("IF(H1662="""","""",
SUM(
ARRAYFORMULA(
IF(
REGEXMATCH(
"" ""&amp;H1662&amp;"" "",
"" ""&amp;Sentiment_Words!B$2:B3730&amp;"" ""
),
1,
0
)
)
)
)"),0.0)</f>
        <v>0</v>
      </c>
      <c r="L1662" s="7" t="str">
        <f t="shared" si="3"/>
        <v>Other</v>
      </c>
      <c r="M1662" s="7" t="str">
        <f t="shared" si="4"/>
        <v>Neutral</v>
      </c>
      <c r="N1662" s="7" t="str">
        <f>IFERROR(__xludf.DUMMYFUNCTION("LOWER(
TRIM(
REGEXREPLACE(B1662,""[^a-zA-Z\s]"","""")
)
)
"),"suzanne fleischmann")</f>
        <v>suzanne fleischmann</v>
      </c>
      <c r="O1662" s="7">
        <f t="shared" si="5"/>
        <v>1</v>
      </c>
      <c r="P1662" s="8" t="str">
        <f t="shared" si="6"/>
        <v>No</v>
      </c>
    </row>
    <row r="1663">
      <c r="A1663" s="4" t="s">
        <v>16</v>
      </c>
      <c r="B1663" s="4" t="s">
        <v>4701</v>
      </c>
      <c r="C1663" s="5">
        <v>44794.0</v>
      </c>
      <c r="D1663" s="10">
        <v>44794.0</v>
      </c>
      <c r="E1663" s="4" t="s">
        <v>4702</v>
      </c>
      <c r="F1663" s="4" t="s">
        <v>4703</v>
      </c>
      <c r="G1663" s="6" t="str">
        <f>IFERROR(__xludf.DUMMYFUNCTION("REGEXREPLACE(LOWER(F1663),""[^a-z\s]"","""")")," your site told me that i was required to mail the original prescription for my cats hills md food luckily i had asked my vet for a prescription in june so i had an original to mail i dont like to mail this because i have to get a new one anytime i find a"&amp;" better price somewhere else i mailed it the very next day and i immediately start getting emails telling me to mail the prescription it had only been one day so after about  days i get an email telling me that i could email a copy if i preferred yes i pr"&amp;"eferred to go that at the time of ordering but i was not given that option do i called to complain and i asked for my original prescription back i was told that they could not get the script back i then asked to just cancel the order and was told that i c"&amp;"ould order that either then about a week later i get an ordernot my ordersomeone elses order i called the customer service number and got a young man when i tried to explain that the box had my nameaddress but the box contained someone elses orderreceipt "&amp;"he got belligerent and acted like i was nuts he hung up on me i called back and got a very pleasing young woman who listened to me and handled my issue i lost all confidence in pet flow and will never order from them again their company has some serious i"&amp;"ssues")</f>
        <v> your site told me that i was required to mail the original prescription for my cats hills md food luckily i had asked my vet for a prescription in june so i had an original to mail i dont like to mail this because i have to get a new one anytime i find a better price somewhere else i mailed it the very next day and i immediately start getting emails telling me to mail the prescription it had only been one day so after about  days i get an email telling me that i could email a copy if i preferred yes i preferred to go that at the time of ordering but i was not given that option do i called to complain and i asked for my original prescription back i was told that they could not get the script back i then asked to just cancel the order and was told that i could order that either then about a week later i get an ordernot my ordersomeone elses order i called the customer service number and got a young man when i tried to explain that the box had my nameaddress but the box contained someone elses orderreceipt he got belligerent and acted like i was nuts he hung up on me i called back and got a very pleasing young woman who listened to me and handled my issue i lost all confidence in pet flow and will never order from them again their company has some serious issues</v>
      </c>
      <c r="H1663" s="4" t="str">
        <f t="shared" si="1"/>
        <v>your site told me that i was required mail original prescription my cats hills md food luckily i had asked my vet a prescription in june so i had an original mail i dont like mail this because i have get a new one anytime i find a better price somewhere else i mailed it very next day i immediately start getting emails telling me mail prescription it had only been one day so after about days i get an email telling me that i could email a copy if i preferred yes i preferred go that at time of ordering but i was not given that option do i called complain i asked my original prescription back i was told that they could not get script back i then asked just cancel order was told that i could order that either then about a week later i get an ordernot my ordersomeone elses order i called customer service number got a young man when i tried explain that box had my nameaddress but box contained someone elses orderreceipt he got belligerent acted like i was nuts he hung up on me i called back got a very pleasing young woman who listened me handled my issue i lost all confidence in pet flow will never order from them again their company has some serious issues</v>
      </c>
      <c r="I1663" s="6">
        <f t="shared" si="2"/>
        <v>226</v>
      </c>
      <c r="J1663" s="6">
        <f>IFERROR(__xludf.DUMMYFUNCTION("IF(H1663="""","""",
SUM(
ARRAYFORMULA(
IF(
REGEXMATCH(
"" ""&amp;H1663&amp;"" "",
"" ""&amp;Sentiment_Words!A$2:A3730&amp;"" ""
),
1,
0
)
)
)
)"),1.0)</f>
        <v>1</v>
      </c>
      <c r="K1663" s="4">
        <f>IFERROR(__xludf.DUMMYFUNCTION("IF(H1663="""","""",
SUM(
ARRAYFORMULA(
IF(
REGEXMATCH(
"" ""&amp;H1663&amp;"" "",
"" ""&amp;Sentiment_Words!B$2:B3730&amp;"" ""
),
1,
0
)
)
)
)"),2.0)</f>
        <v>2</v>
      </c>
      <c r="L1663" s="7" t="str">
        <f t="shared" si="3"/>
        <v>Customer Support</v>
      </c>
      <c r="M1663" s="7" t="str">
        <f t="shared" si="4"/>
        <v>Negative</v>
      </c>
      <c r="N1663" s="7" t="str">
        <f>IFERROR(__xludf.DUMMYFUNCTION("LOWER(
TRIM(
REGEXREPLACE(B1663,""[^a-zA-Z\s]"","""")
)
)
"),"andres")</f>
        <v>andres</v>
      </c>
      <c r="O1663" s="7">
        <f t="shared" si="5"/>
        <v>1</v>
      </c>
      <c r="P1663" s="8" t="str">
        <f t="shared" si="6"/>
        <v>No</v>
      </c>
    </row>
    <row r="1664">
      <c r="A1664" s="4" t="s">
        <v>16</v>
      </c>
      <c r="B1664" s="4" t="s">
        <v>4704</v>
      </c>
      <c r="C1664" s="5">
        <v>44793.0</v>
      </c>
      <c r="D1664" s="10">
        <v>44794.0</v>
      </c>
      <c r="E1664" s="4" t="s">
        <v>4705</v>
      </c>
      <c r="F1664" s="4" t="s">
        <v>4706</v>
      </c>
      <c r="G1664" s="6" t="str">
        <f>IFERROR(__xludf.DUMMYFUNCTION("REGEXREPLACE(LOWER(F1664),""[^a-z\s]"","""")"),"dependable well stocked with helpful phone assistance")</f>
        <v>dependable well stocked with helpful phone assistance</v>
      </c>
      <c r="H1664" s="4" t="str">
        <f t="shared" si="1"/>
        <v>dependable well stocked with helpful phone assistance</v>
      </c>
      <c r="I1664" s="6">
        <f t="shared" si="2"/>
        <v>7</v>
      </c>
      <c r="J1664" s="6">
        <f>IFERROR(__xludf.DUMMYFUNCTION("IF(H1664="""","""",
SUM(
ARRAYFORMULA(
IF(
REGEXMATCH(
"" ""&amp;H1664&amp;"" "",
"" ""&amp;Sentiment_Words!A$2:A3730&amp;"" ""
),
1,
0
)
)
)
)"),1.0)</f>
        <v>1</v>
      </c>
      <c r="K1664" s="4">
        <f>IFERROR(__xludf.DUMMYFUNCTION("IF(H1664="""","""",
SUM(
ARRAYFORMULA(
IF(
REGEXMATCH(
"" ""&amp;H1664&amp;"" "",
"" ""&amp;Sentiment_Words!B$2:B3730&amp;"" ""
),
1,
0
)
)
)
)"),0.0)</f>
        <v>0</v>
      </c>
      <c r="L1664" s="7" t="str">
        <f t="shared" si="3"/>
        <v>Other</v>
      </c>
      <c r="M1664" s="7" t="str">
        <f t="shared" si="4"/>
        <v>Positive</v>
      </c>
      <c r="N1664" s="7" t="str">
        <f>IFERROR(__xludf.DUMMYFUNCTION("LOWER(
TRIM(
REGEXREPLACE(B1664,""[^a-zA-Z\s]"","""")
)
)
"),"b sillwell")</f>
        <v>b sillwell</v>
      </c>
      <c r="O1664" s="7">
        <f t="shared" si="5"/>
        <v>1</v>
      </c>
      <c r="P1664" s="8" t="str">
        <f t="shared" si="6"/>
        <v>No</v>
      </c>
    </row>
    <row r="1665">
      <c r="A1665" s="4" t="s">
        <v>16</v>
      </c>
      <c r="B1665" s="4" t="s">
        <v>4707</v>
      </c>
      <c r="C1665" s="5">
        <v>44793.0</v>
      </c>
      <c r="D1665" s="10">
        <v>44793.0</v>
      </c>
      <c r="E1665" s="4" t="s">
        <v>4708</v>
      </c>
      <c r="F1665" s="4" t="s">
        <v>4709</v>
      </c>
      <c r="G1665" s="6" t="str">
        <f>IFERROR(__xludf.DUMMYFUNCTION("REGEXREPLACE(LOWER(F1665),""[^a-z\s]"","""")"),"i bought a  pack of duck and a  pack of salmon usually my dog loves salmon but she did not like the salmon from pet flow it was disintegrated little chunks floating in tons of liquid she left her dish unfinished
on the other hand she gobbled down the duck")</f>
        <v>i bought a  pack of duck and a  pack of salmon usually my dog loves salmon but she did not like the salmon from pet flow it was disintegrated little chunks floating in tons of liquid she left her dish unfinished
on the other hand she gobbled down the duck</v>
      </c>
      <c r="H1665" s="4" t="str">
        <f t="shared" si="1"/>
        <v>i bought a pack of duck a pack of salmon usually my dog loves salmon but she did not like salmon from pet flow it was disintegrated little chunks floating in tons of liquid she left her dish unfinished
on other hand she gobbled down duck</v>
      </c>
      <c r="I1665" s="6">
        <f t="shared" si="2"/>
        <v>45</v>
      </c>
      <c r="J1665" s="6">
        <f>IFERROR(__xludf.DUMMYFUNCTION("IF(H1665="""","""",
SUM(
ARRAYFORMULA(
IF(
REGEXMATCH(
"" ""&amp;H1665&amp;"" "",
"" ""&amp;Sentiment_Words!A$2:A3730&amp;"" ""
),
1,
0
)
)
)
)"),0.0)</f>
        <v>0</v>
      </c>
      <c r="K1665" s="4">
        <f>IFERROR(__xludf.DUMMYFUNCTION("IF(H1665="""","""",
SUM(
ARRAYFORMULA(
IF(
REGEXMATCH(
"" ""&amp;H1665&amp;"" "",
"" ""&amp;Sentiment_Words!B$2:B3730&amp;"" ""
),
1,
0
)
)
)
)"),0.0)</f>
        <v>0</v>
      </c>
      <c r="L1665" s="7" t="str">
        <f t="shared" si="3"/>
        <v>Other</v>
      </c>
      <c r="M1665" s="7" t="str">
        <f t="shared" si="4"/>
        <v>Neutral</v>
      </c>
      <c r="N1665" s="7" t="str">
        <f>IFERROR(__xludf.DUMMYFUNCTION("LOWER(
TRIM(
REGEXREPLACE(B1665,""[^a-zA-Z\s]"","""")
)
)
"),"kenneth kantor")</f>
        <v>kenneth kantor</v>
      </c>
      <c r="O1665" s="7">
        <f t="shared" si="5"/>
        <v>1</v>
      </c>
      <c r="P1665" s="8" t="str">
        <f t="shared" si="6"/>
        <v>No</v>
      </c>
    </row>
    <row r="1666">
      <c r="A1666" s="4" t="s">
        <v>16</v>
      </c>
      <c r="B1666" s="4" t="s">
        <v>4710</v>
      </c>
      <c r="C1666" s="5">
        <v>44793.0</v>
      </c>
      <c r="D1666" s="10">
        <v>44793.0</v>
      </c>
      <c r="E1666" s="4" t="s">
        <v>4711</v>
      </c>
      <c r="F1666" s="4" t="s">
        <v>331</v>
      </c>
      <c r="G1666" s="6" t="str">
        <f>IFERROR(__xludf.DUMMYFUNCTION("REGEXREPLACE(LOWER(F1666),""[^a-z\s]"","""")"),"none")</f>
        <v>none</v>
      </c>
      <c r="H1666" s="4" t="str">
        <f t="shared" si="1"/>
        <v>none</v>
      </c>
      <c r="I1666" s="6">
        <f t="shared" si="2"/>
        <v>1</v>
      </c>
      <c r="J1666" s="6">
        <f>IFERROR(__xludf.DUMMYFUNCTION("IF(H1666="""","""",
SUM(
ARRAYFORMULA(
IF(
REGEXMATCH(
"" ""&amp;H1666&amp;"" "",
"" ""&amp;Sentiment_Words!A$2:A3730&amp;"" ""
),
1,
0
)
)
)
)"),0.0)</f>
        <v>0</v>
      </c>
      <c r="K1666" s="4">
        <f>IFERROR(__xludf.DUMMYFUNCTION("IF(H1666="""","""",
SUM(
ARRAYFORMULA(
IF(
REGEXMATCH(
"" ""&amp;H1666&amp;"" "",
"" ""&amp;Sentiment_Words!B$2:B3730&amp;"" ""
),
1,
0
)
)
)
)"),0.0)</f>
        <v>0</v>
      </c>
      <c r="L1666" s="7" t="str">
        <f t="shared" si="3"/>
        <v>Other</v>
      </c>
      <c r="M1666" s="7" t="str">
        <f t="shared" si="4"/>
        <v>Neutral</v>
      </c>
      <c r="N1666" s="7" t="str">
        <f>IFERROR(__xludf.DUMMYFUNCTION("LOWER(
TRIM(
REGEXREPLACE(B1666,""[^a-zA-Z\s]"","""")
)
)
"),"ms")</f>
        <v>ms</v>
      </c>
      <c r="O1666" s="7">
        <f t="shared" si="5"/>
        <v>1</v>
      </c>
      <c r="P1666" s="8" t="str">
        <f t="shared" si="6"/>
        <v>No</v>
      </c>
    </row>
    <row r="1667">
      <c r="A1667" s="4" t="s">
        <v>16</v>
      </c>
      <c r="B1667" s="4" t="s">
        <v>4712</v>
      </c>
      <c r="C1667" s="5">
        <v>44793.0</v>
      </c>
      <c r="D1667" s="10">
        <v>44793.0</v>
      </c>
      <c r="E1667" s="4" t="s">
        <v>4713</v>
      </c>
      <c r="F1667" s="4" t="s">
        <v>331</v>
      </c>
      <c r="G1667" s="6" t="str">
        <f>IFERROR(__xludf.DUMMYFUNCTION("REGEXREPLACE(LOWER(F1667),""[^a-z\s]"","""")"),"none")</f>
        <v>none</v>
      </c>
      <c r="H1667" s="4" t="str">
        <f t="shared" si="1"/>
        <v>none</v>
      </c>
      <c r="I1667" s="6">
        <f t="shared" si="2"/>
        <v>1</v>
      </c>
      <c r="J1667" s="6">
        <f>IFERROR(__xludf.DUMMYFUNCTION("IF(H1667="""","""",
SUM(
ARRAYFORMULA(
IF(
REGEXMATCH(
"" ""&amp;H1667&amp;"" "",
"" ""&amp;Sentiment_Words!A$2:A3730&amp;"" ""
),
1,
0
)
)
)
)"),0.0)</f>
        <v>0</v>
      </c>
      <c r="K1667" s="4">
        <f>IFERROR(__xludf.DUMMYFUNCTION("IF(H1667="""","""",
SUM(
ARRAYFORMULA(
IF(
REGEXMATCH(
"" ""&amp;H1667&amp;"" "",
"" ""&amp;Sentiment_Words!B$2:B3730&amp;"" ""
),
1,
0
)
)
)
)"),0.0)</f>
        <v>0</v>
      </c>
      <c r="L1667" s="7" t="str">
        <f t="shared" si="3"/>
        <v>Other</v>
      </c>
      <c r="M1667" s="7" t="str">
        <f t="shared" si="4"/>
        <v>Neutral</v>
      </c>
      <c r="N1667" s="7" t="str">
        <f>IFERROR(__xludf.DUMMYFUNCTION("LOWER(
TRIM(
REGEXREPLACE(B1667,""[^a-zA-Z\s]"","""")
)
)
"),"lee barthel")</f>
        <v>lee barthel</v>
      </c>
      <c r="O1667" s="7">
        <f t="shared" si="5"/>
        <v>1</v>
      </c>
      <c r="P1667" s="8" t="str">
        <f t="shared" si="6"/>
        <v>No</v>
      </c>
    </row>
    <row r="1668">
      <c r="A1668" s="4" t="s">
        <v>16</v>
      </c>
      <c r="B1668" s="4" t="s">
        <v>4714</v>
      </c>
      <c r="C1668" s="5">
        <v>44793.0</v>
      </c>
      <c r="D1668" s="10">
        <v>44793.0</v>
      </c>
      <c r="E1668" s="4" t="s">
        <v>4715</v>
      </c>
      <c r="F1668" s="4" t="s">
        <v>4716</v>
      </c>
      <c r="G1668" s="6" t="str">
        <f>IFERROR(__xludf.DUMMYFUNCTION("REGEXREPLACE(LOWER(F1668),""[^a-z\s]"","""")"),"was looking to get my cats food supply from a smaller company than the giant online pet stores and after researching i found petflow
good prices and fast delivery
very satisfied with petflows customer service as well
totally recommended")</f>
        <v>was looking to get my cats food supply from a smaller company than the giant online pet stores and after researching i found petflow
good prices and fast delivery
very satisfied with petflows customer service as well
totally recommended</v>
      </c>
      <c r="H1668" s="4" t="str">
        <f t="shared" si="1"/>
        <v>was looking get my cats food supply from a smaller company than giant online pet stores after researching i found petflow
good prices fast delivery
very satisfied with petflows customer service as well
totally recommended</v>
      </c>
      <c r="I1668" s="6">
        <f t="shared" si="2"/>
        <v>32</v>
      </c>
      <c r="J1668" s="6">
        <f>IFERROR(__xludf.DUMMYFUNCTION("IF(H1668="""","""",
SUM(
ARRAYFORMULA(
IF(
REGEXMATCH(
"" ""&amp;H1668&amp;"" "",
"" ""&amp;Sentiment_Words!A$2:A3730&amp;"" ""
),
1,
0
)
)
)
)"),3.0)</f>
        <v>3</v>
      </c>
      <c r="K1668" s="4">
        <f>IFERROR(__xludf.DUMMYFUNCTION("IF(H1668="""","""",
SUM(
ARRAYFORMULA(
IF(
REGEXMATCH(
"" ""&amp;H1668&amp;"" "",
"" ""&amp;Sentiment_Words!B$2:B3730&amp;"" ""
),
1,
0
)
)
)
)"),1.0)</f>
        <v>1</v>
      </c>
      <c r="L1668" s="7" t="str">
        <f t="shared" si="3"/>
        <v>Customer Support</v>
      </c>
      <c r="M1668" s="7" t="str">
        <f t="shared" si="4"/>
        <v>Positive</v>
      </c>
      <c r="N1668" s="7" t="str">
        <f>IFERROR(__xludf.DUMMYFUNCTION("LOWER(
TRIM(
REGEXREPLACE(B1668,""[^a-zA-Z\s]"","""")
)
)
"),"philip m")</f>
        <v>philip m</v>
      </c>
      <c r="O1668" s="7">
        <f t="shared" si="5"/>
        <v>1</v>
      </c>
      <c r="P1668" s="8" t="str">
        <f t="shared" si="6"/>
        <v>No</v>
      </c>
    </row>
    <row r="1669">
      <c r="A1669" s="4" t="s">
        <v>16</v>
      </c>
      <c r="B1669" s="4" t="s">
        <v>3355</v>
      </c>
      <c r="C1669" s="5">
        <v>44793.0</v>
      </c>
      <c r="D1669" s="10">
        <v>44793.0</v>
      </c>
      <c r="E1669" s="4" t="s">
        <v>4717</v>
      </c>
      <c r="F1669" s="4" t="s">
        <v>4718</v>
      </c>
      <c r="G1669" s="6" t="str">
        <f>IFERROR(__xludf.DUMMYFUNCTION("REGEXREPLACE(LOWER(F1669),""[^a-z\s]"","""")"),"the instock status of food was inaccurate")</f>
        <v>the instock status of food was inaccurate</v>
      </c>
      <c r="H1669" s="4" t="str">
        <f t="shared" si="1"/>
        <v>instock status of food was inaccurate</v>
      </c>
      <c r="I1669" s="6">
        <f t="shared" si="2"/>
        <v>6</v>
      </c>
      <c r="J1669" s="6">
        <f>IFERROR(__xludf.DUMMYFUNCTION("IF(H1669="""","""",
SUM(
ARRAYFORMULA(
IF(
REGEXMATCH(
"" ""&amp;H1669&amp;"" "",
"" ""&amp;Sentiment_Words!A$2:A3730&amp;"" ""
),
1,
0
)
)
)
)"),0.0)</f>
        <v>0</v>
      </c>
      <c r="K1669" s="4">
        <f>IFERROR(__xludf.DUMMYFUNCTION("IF(H1669="""","""",
SUM(
ARRAYFORMULA(
IF(
REGEXMATCH(
"" ""&amp;H1669&amp;"" "",
"" ""&amp;Sentiment_Words!B$2:B3730&amp;"" ""
),
1,
0
)
)
)
)"),0.0)</f>
        <v>0</v>
      </c>
      <c r="L1669" s="7" t="str">
        <f t="shared" si="3"/>
        <v>Other</v>
      </c>
      <c r="M1669" s="7" t="str">
        <f t="shared" si="4"/>
        <v>Neutral</v>
      </c>
      <c r="N1669" s="7" t="str">
        <f>IFERROR(__xludf.DUMMYFUNCTION("LOWER(
TRIM(
REGEXREPLACE(B1669,""[^a-zA-Z\s]"","""")
)
)
"),"disappointed")</f>
        <v>disappointed</v>
      </c>
      <c r="O1669" s="7">
        <f t="shared" si="5"/>
        <v>1</v>
      </c>
      <c r="P1669" s="8" t="str">
        <f t="shared" si="6"/>
        <v>No</v>
      </c>
    </row>
    <row r="1670">
      <c r="A1670" s="4" t="s">
        <v>16</v>
      </c>
      <c r="B1670" s="4" t="s">
        <v>4719</v>
      </c>
      <c r="C1670" s="5">
        <v>44793.0</v>
      </c>
      <c r="D1670" s="10">
        <v>44793.0</v>
      </c>
      <c r="E1670" s="4" t="s">
        <v>4720</v>
      </c>
      <c r="F1670" s="4" t="s">
        <v>4721</v>
      </c>
      <c r="G1670" s="6" t="str">
        <f>IFERROR(__xludf.DUMMYFUNCTION("REGEXREPLACE(LOWER(F1670),""[^a-z\s]"","""")"),"i have used petflow for a long time they carry some hard to find products which i really enjoy they are usually easy to get ahold of too if you call them
the only areas i see that could afford growth are these
an auto ship program that can be paused or d"&amp;"eleted by the buyer themselves
a more automated return process
more truthful advertising they make discounts that are great but then you find that they can only be used on certain items or perhaps the food brand you buy is excluded from all coupons")</f>
        <v>i have used petflow for a long time they carry some hard to find products which i really enjoy they are usually easy to get ahold of too if you call them
the only areas i see that could afford growth are these
an auto ship program that can be paused or deleted by the buyer themselves
a more automated return process
more truthful advertising they make discounts that are great but then you find that they can only be used on certain items or perhaps the food brand you buy is excluded from all coupons</v>
      </c>
      <c r="H1670" s="4" t="str">
        <f t="shared" si="1"/>
        <v>i have used petflow a long time they carry some hard find products which i really enjoy they are usually easy get ahold of too if you call them
the only areas i see that could afford growth are these
an auto ship program that can be paused or deleted by buyer themselves
a more automated return process
more truthful advertising they make discounts that are great but then you find that they can only be used on certain items or perhaps food brand you buy excluded from all coupons</v>
      </c>
      <c r="I1670" s="6">
        <f t="shared" si="2"/>
        <v>86</v>
      </c>
      <c r="J1670" s="6">
        <f>IFERROR(__xludf.DUMMYFUNCTION("IF(H1670="""","""",
SUM(
ARRAYFORMULA(
IF(
REGEXMATCH(
"" ""&amp;H1670&amp;"" "",
"" ""&amp;Sentiment_Words!A$2:A3730&amp;"" ""
),
1,
0
)
)
)
)"),3.0)</f>
        <v>3</v>
      </c>
      <c r="K1670" s="4">
        <f>IFERROR(__xludf.DUMMYFUNCTION("IF(H1670="""","""",
SUM(
ARRAYFORMULA(
IF(
REGEXMATCH(
"" ""&amp;H1670&amp;"" "",
"" ""&amp;Sentiment_Words!B$2:B3730&amp;"" ""
),
1,
0
)
)
)
)"),0.0)</f>
        <v>0</v>
      </c>
      <c r="L1670" s="7" t="str">
        <f t="shared" si="3"/>
        <v>Other</v>
      </c>
      <c r="M1670" s="7" t="str">
        <f t="shared" si="4"/>
        <v>Positive</v>
      </c>
      <c r="N1670" s="7" t="str">
        <f>IFERROR(__xludf.DUMMYFUNCTION("LOWER(
TRIM(
REGEXREPLACE(B1670,""[^a-zA-Z\s]"","""")
)
)
"),"violet ahrenholtz")</f>
        <v>violet ahrenholtz</v>
      </c>
      <c r="O1670" s="7">
        <f t="shared" si="5"/>
        <v>1</v>
      </c>
      <c r="P1670" s="8" t="str">
        <f t="shared" si="6"/>
        <v>No</v>
      </c>
    </row>
    <row r="1671">
      <c r="A1671" s="4" t="s">
        <v>16</v>
      </c>
      <c r="B1671" s="4" t="s">
        <v>125</v>
      </c>
      <c r="C1671" s="5">
        <v>44793.0</v>
      </c>
      <c r="D1671" s="10">
        <v>44793.0</v>
      </c>
      <c r="E1671" s="4" t="s">
        <v>4722</v>
      </c>
      <c r="F1671" s="4" t="s">
        <v>4723</v>
      </c>
      <c r="G1671" s="6" t="str">
        <f>IFERROR(__xludf.DUMMYFUNCTION("REGEXREPLACE(LOWER(F1671),""[^a-z\s]"","""")"),"first time shopper friendly knowledgeable efficient great service fast delivery i will be back")</f>
        <v>first time shopper friendly knowledgeable efficient great service fast delivery i will be back</v>
      </c>
      <c r="H1671" s="4" t="str">
        <f t="shared" si="1"/>
        <v>first time shopper friendly knowledgeable efficient great service fast delivery i will be back</v>
      </c>
      <c r="I1671" s="6">
        <f t="shared" si="2"/>
        <v>14</v>
      </c>
      <c r="J1671" s="6">
        <f>IFERROR(__xludf.DUMMYFUNCTION("IF(H1671="""","""",
SUM(
ARRAYFORMULA(
IF(
REGEXMATCH(
"" ""&amp;H1671&amp;"" "",
"" ""&amp;Sentiment_Words!A$2:A3730&amp;"" ""
),
1,
0
)
)
)
)"),4.0)</f>
        <v>4</v>
      </c>
      <c r="K1671" s="4">
        <f>IFERROR(__xludf.DUMMYFUNCTION("IF(H1671="""","""",
SUM(
ARRAYFORMULA(
IF(
REGEXMATCH(
"" ""&amp;H1671&amp;"" "",
"" ""&amp;Sentiment_Words!B$2:B3730&amp;"" ""
),
1,
0
)
)
)
)"),0.0)</f>
        <v>0</v>
      </c>
      <c r="L1671" s="7" t="str">
        <f t="shared" si="3"/>
        <v>Customer Support</v>
      </c>
      <c r="M1671" s="7" t="str">
        <f t="shared" si="4"/>
        <v>Positive</v>
      </c>
      <c r="N1671" s="7" t="str">
        <f>IFERROR(__xludf.DUMMYFUNCTION("LOWER(
TRIM(
REGEXREPLACE(B1671,""[^a-zA-Z\s]"","""")
)
)
"),"vicki")</f>
        <v>vicki</v>
      </c>
      <c r="O1671" s="7">
        <f t="shared" si="5"/>
        <v>5</v>
      </c>
      <c r="P1671" s="8" t="str">
        <f t="shared" si="6"/>
        <v>Yes</v>
      </c>
    </row>
    <row r="1672">
      <c r="A1672" s="4" t="s">
        <v>16</v>
      </c>
      <c r="B1672" s="4" t="s">
        <v>4724</v>
      </c>
      <c r="C1672" s="5">
        <v>44793.0</v>
      </c>
      <c r="D1672" s="10">
        <v>44793.0</v>
      </c>
      <c r="E1672" s="4" t="s">
        <v>4725</v>
      </c>
      <c r="F1672" s="4" t="s">
        <v>4726</v>
      </c>
      <c r="G1672" s="6" t="str">
        <f>IFERROR(__xludf.DUMMYFUNCTION("REGEXREPLACE(LOWER(F1672),""[^a-z\s]"","""")"),"finally found a source for the hills prescription diet gluco support md dry cat food i tried my vets local pet stores and amazon my vet suggested that i try you folks success the food was in stock and shipped in a reasonable length of time happy customer "&amp;"and cat thank you apparently hills had it on back order so other places were out of stock for extended periods")</f>
        <v>finally found a source for the hills prescription diet gluco support md dry cat food i tried my vets local pet stores and amazon my vet suggested that i try you folks success the food was in stock and shipped in a reasonable length of time happy customer and cat thank you apparently hills had it on back order so other places were out of stock for extended periods</v>
      </c>
      <c r="H1672" s="4" t="str">
        <f t="shared" si="1"/>
        <v>finally found a source hills prescription diet gluco support md dry cat food i tried my vets local pet stores amazon my vet suggested that i try you folks success food was in stock shipped in a reasonable length of time happy customer cat thank you apparently hills had it on back order so other places were out of stock extended periods</v>
      </c>
      <c r="I1672" s="6">
        <f t="shared" si="2"/>
        <v>62</v>
      </c>
      <c r="J1672" s="6">
        <f>IFERROR(__xludf.DUMMYFUNCTION("IF(H1672="""","""",
SUM(
ARRAYFORMULA(
IF(
REGEXMATCH(
"" ""&amp;H1672&amp;"" "",
"" ""&amp;Sentiment_Words!A$2:A3730&amp;"" ""
),
1,
0
)
)
)
)"),2.0)</f>
        <v>2</v>
      </c>
      <c r="K1672" s="4">
        <f>IFERROR(__xludf.DUMMYFUNCTION("IF(H1672="""","""",
SUM(
ARRAYFORMULA(
IF(
REGEXMATCH(
"" ""&amp;H1672&amp;"" "",
"" ""&amp;Sentiment_Words!B$2:B3730&amp;"" ""
),
1,
0
)
)
)
)"),1.0)</f>
        <v>1</v>
      </c>
      <c r="L1672" s="7" t="str">
        <f t="shared" si="3"/>
        <v>Customer Support</v>
      </c>
      <c r="M1672" s="7" t="str">
        <f t="shared" si="4"/>
        <v>Positive</v>
      </c>
      <c r="N1672" s="7" t="str">
        <f>IFERROR(__xludf.DUMMYFUNCTION("LOWER(
TRIM(
REGEXREPLACE(B1672,""[^a-zA-Z\s]"","""")
)
)
"),"virginia buxton")</f>
        <v>virginia buxton</v>
      </c>
      <c r="O1672" s="7">
        <f t="shared" si="5"/>
        <v>1</v>
      </c>
      <c r="P1672" s="8" t="str">
        <f t="shared" si="6"/>
        <v>No</v>
      </c>
    </row>
    <row r="1673">
      <c r="A1673" s="4" t="s">
        <v>16</v>
      </c>
      <c r="B1673" s="4" t="s">
        <v>3379</v>
      </c>
      <c r="C1673" s="5">
        <v>44793.0</v>
      </c>
      <c r="D1673" s="10">
        <v>44793.0</v>
      </c>
      <c r="E1673" s="4" t="s">
        <v>4727</v>
      </c>
      <c r="F1673" s="4" t="s">
        <v>4728</v>
      </c>
      <c r="G1673" s="6" t="str">
        <f>IFERROR(__xludf.DUMMYFUNCTION("REGEXREPLACE(LOWER(F1673),""[^a-z\s]"","""")"),"this company has labeled me as fraud after a purchase because my billing address didnt match after i called twice to their customer service department and their rep mallory said i could never buy nothing from pet flow ever again im not going to state what"&amp;" i do for a living but theres absolutely nothing fraud about me or my money")</f>
        <v>this company has labeled me as fraud after a purchase because my billing address didnt match after i called twice to their customer service department and their rep mallory said i could never buy nothing from pet flow ever again im not going to state what i do for a living but theres absolutely nothing fraud about me or my money</v>
      </c>
      <c r="H1673" s="4" t="str">
        <f t="shared" si="1"/>
        <v>this company has labeled me as fraud after a purchase because my billing address didnt match after i called twice their customer service department their rep mallory said i could never buy nothing from pet flow ever again im not going state what i do a living but theres absolutely nothing fraud about me or my money</v>
      </c>
      <c r="I1673" s="6">
        <f t="shared" si="2"/>
        <v>57</v>
      </c>
      <c r="J1673" s="6">
        <f>IFERROR(__xludf.DUMMYFUNCTION("IF(H1673="""","""",
SUM(
ARRAYFORMULA(
IF(
REGEXMATCH(
"" ""&amp;H1673&amp;"" "",
"" ""&amp;Sentiment_Words!A$2:A3730&amp;"" ""
),
1,
0
)
)
)
)"),0.0)</f>
        <v>0</v>
      </c>
      <c r="K1673" s="4">
        <f>IFERROR(__xludf.DUMMYFUNCTION("IF(H1673="""","""",
SUM(
ARRAYFORMULA(
IF(
REGEXMATCH(
"" ""&amp;H1673&amp;"" "",
"" ""&amp;Sentiment_Words!B$2:B3730&amp;"" ""
),
1,
0
)
)
)
)"),1.0)</f>
        <v>1</v>
      </c>
      <c r="L1673" s="7" t="str">
        <f t="shared" si="3"/>
        <v>Customer Support</v>
      </c>
      <c r="M1673" s="7" t="str">
        <f t="shared" si="4"/>
        <v>Negative</v>
      </c>
      <c r="N1673" s="7" t="str">
        <f>IFERROR(__xludf.DUMMYFUNCTION("LOWER(
TRIM(
REGEXREPLACE(B1673,""[^a-zA-Z\s]"","""")
)
)
"),"sally")</f>
        <v>sally</v>
      </c>
      <c r="O1673" s="7">
        <f t="shared" si="5"/>
        <v>2</v>
      </c>
      <c r="P1673" s="8" t="str">
        <f t="shared" si="6"/>
        <v>Yes</v>
      </c>
    </row>
    <row r="1674">
      <c r="A1674" s="4" t="s">
        <v>16</v>
      </c>
      <c r="B1674" s="4" t="s">
        <v>4729</v>
      </c>
      <c r="C1674" s="5">
        <v>44793.0</v>
      </c>
      <c r="D1674" s="10">
        <v>44793.0</v>
      </c>
      <c r="E1674" s="4" t="s">
        <v>4730</v>
      </c>
      <c r="F1674" s="4" t="s">
        <v>4731</v>
      </c>
      <c r="G1674" s="6" t="str">
        <f>IFERROR(__xludf.DUMMYFUNCTION("REGEXREPLACE(LOWER(F1674),""[^a-z\s]"","""")"),"working with petflow was wonderful working with fed ex their shipper was not petflow responded to every call or text that i sent them within a few minutes fed ex was another story things got lost and were late they really need to find a better carrier")</f>
        <v>working with petflow was wonderful working with fed ex their shipper was not petflow responded to every call or text that i sent them within a few minutes fed ex was another story things got lost and were late they really need to find a better carrier</v>
      </c>
      <c r="H1674" s="4" t="str">
        <f t="shared" si="1"/>
        <v>working with petflow was wonderful working with fed ex their shipper was not petflow responded every call or text that i sent them within a few minutes fed ex was another story things got lost were late they really need find a better carrier</v>
      </c>
      <c r="I1674" s="6">
        <f t="shared" si="2"/>
        <v>44</v>
      </c>
      <c r="J1674" s="6">
        <f>IFERROR(__xludf.DUMMYFUNCTION("IF(H1674="""","""",
SUM(
ARRAYFORMULA(
IF(
REGEXMATCH(
"" ""&amp;H1674&amp;"" "",
"" ""&amp;Sentiment_Words!A$2:A3730&amp;"" ""
),
1,
0
)
)
)
)"),2.0)</f>
        <v>2</v>
      </c>
      <c r="K1674" s="4">
        <f>IFERROR(__xludf.DUMMYFUNCTION("IF(H1674="""","""",
SUM(
ARRAYFORMULA(
IF(
REGEXMATCH(
"" ""&amp;H1674&amp;"" "",
"" ""&amp;Sentiment_Words!B$2:B3730&amp;"" ""
),
1,
0
)
)
)
)"),0.0)</f>
        <v>0</v>
      </c>
      <c r="L1674" s="7" t="str">
        <f t="shared" si="3"/>
        <v>Fulfillment &amp; Shipping</v>
      </c>
      <c r="M1674" s="7" t="str">
        <f t="shared" si="4"/>
        <v>Positive</v>
      </c>
      <c r="N1674" s="7" t="str">
        <f>IFERROR(__xludf.DUMMYFUNCTION("LOWER(
TRIM(
REGEXREPLACE(B1674,""[^a-zA-Z\s]"","""")
)
)
"),"johaen b nunez")</f>
        <v>johaen b nunez</v>
      </c>
      <c r="O1674" s="7">
        <f t="shared" si="5"/>
        <v>1</v>
      </c>
      <c r="P1674" s="8" t="str">
        <f t="shared" si="6"/>
        <v>No</v>
      </c>
    </row>
    <row r="1675">
      <c r="A1675" s="4" t="s">
        <v>16</v>
      </c>
      <c r="B1675" s="4" t="s">
        <v>4732</v>
      </c>
      <c r="C1675" s="5">
        <v>44793.0</v>
      </c>
      <c r="D1675" s="10">
        <v>44793.0</v>
      </c>
      <c r="E1675" s="4" t="s">
        <v>4733</v>
      </c>
      <c r="F1675" s="4" t="s">
        <v>4734</v>
      </c>
      <c r="G1675" s="6" t="str">
        <f>IFERROR(__xludf.DUMMYFUNCTION("REGEXREPLACE(LOWER(F1675),""[^a-z\s]"","""")"),"online order was simple delivery was on time my only comment is that you not use plastic bubble for cushioning and instead biodegradable packing")</f>
        <v>online order was simple delivery was on time my only comment is that you not use plastic bubble for cushioning and instead biodegradable packing</v>
      </c>
      <c r="H1675" s="4" t="str">
        <f t="shared" si="1"/>
        <v>online order was simple delivery was on time my only comment that you not use plastic bubble cushioning instead biodegradable packing</v>
      </c>
      <c r="I1675" s="6">
        <f t="shared" si="2"/>
        <v>21</v>
      </c>
      <c r="J1675" s="6">
        <f>IFERROR(__xludf.DUMMYFUNCTION("IF(H1675="""","""",
SUM(
ARRAYFORMULA(
IF(
REGEXMATCH(
"" ""&amp;H1675&amp;"" "",
"" ""&amp;Sentiment_Words!A$2:A3730&amp;"" ""
),
1,
0
)
)
)
)"),1.0)</f>
        <v>1</v>
      </c>
      <c r="K1675" s="4">
        <f>IFERROR(__xludf.DUMMYFUNCTION("IF(H1675="""","""",
SUM(
ARRAYFORMULA(
IF(
REGEXMATCH(
"" ""&amp;H1675&amp;"" "",
"" ""&amp;Sentiment_Words!B$2:B3730&amp;"" ""
),
1,
0
)
)
)
)"),0.0)</f>
        <v>0</v>
      </c>
      <c r="L1675" s="7" t="str">
        <f t="shared" si="3"/>
        <v>Other</v>
      </c>
      <c r="M1675" s="7" t="str">
        <f t="shared" si="4"/>
        <v>Positive</v>
      </c>
      <c r="N1675" s="7" t="str">
        <f>IFERROR(__xludf.DUMMYFUNCTION("LOWER(
TRIM(
REGEXREPLACE(B1675,""[^a-zA-Z\s]"","""")
)
)
"),"robert hernandez")</f>
        <v>robert hernandez</v>
      </c>
      <c r="O1675" s="7">
        <f t="shared" si="5"/>
        <v>1</v>
      </c>
      <c r="P1675" s="8" t="str">
        <f t="shared" si="6"/>
        <v>No</v>
      </c>
    </row>
    <row r="1676">
      <c r="A1676" s="4" t="s">
        <v>16</v>
      </c>
      <c r="B1676" s="4" t="s">
        <v>4735</v>
      </c>
      <c r="C1676" s="5">
        <v>44792.0</v>
      </c>
      <c r="D1676" s="10">
        <v>44793.0</v>
      </c>
      <c r="E1676" s="4" t="s">
        <v>4736</v>
      </c>
      <c r="F1676" s="4" t="s">
        <v>4737</v>
      </c>
      <c r="G1676" s="6" t="str">
        <f>IFERROR(__xludf.DUMMYFUNCTION("REGEXREPLACE(LOWER(F1676),""[^a-z\s]"","""")"),"i ordered a prescription diet for my dogi thought i was ordering hills metabolic lamb and rice diet as my dog is allergic to chicken the lamb and rice has been difficult to find and online it said petco and petflow had it available i received an email fro"&amp;"m petflow indicating the order was on its way but noticed it was the chicken formula i called customer service right away and they were both courteous and helpfulsaying they would stop the order and refund my monies once the product was returned i was so "&amp;"grateful they could do this turns out they did not have the lamb and rice formula on hand but will notify me once it becomes available again")</f>
        <v>i ordered a prescription diet for my dogi thought i was ordering hills metabolic lamb and rice diet as my dog is allergic to chicken the lamb and rice has been difficult to find and online it said petco and petflow had it available i received an email from petflow indicating the order was on its way but noticed it was the chicken formula i called customer service right away and they were both courteous and helpfulsaying they would stop the order and refund my monies once the product was returned i was so grateful they could do this turns out they did not have the lamb and rice formula on hand but will notify me once it becomes available again</v>
      </c>
      <c r="H1676" s="4" t="str">
        <f t="shared" si="1"/>
        <v>i ordered a prescription diet my dogi thought i was ordering hills metabolic lamb rice diet as my dog allergic chicken lamb rice has been difficult find online it said petco petflow had it available i received an email from petflow indicating order was on its way but noticed it was chicken formula i called customer service right away they were both courteous helpfulsaying they would stop order refund my monies once product was returned i was so grateful they could do this turns out they did not have lamb rice formula on hand but will notify me once it becomes available again</v>
      </c>
      <c r="I1676" s="6">
        <f t="shared" si="2"/>
        <v>103</v>
      </c>
      <c r="J1676" s="6">
        <f>IFERROR(__xludf.DUMMYFUNCTION("IF(H1676="""","""",
SUM(
ARRAYFORMULA(
IF(
REGEXMATCH(
"" ""&amp;H1676&amp;"" "",
"" ""&amp;Sentiment_Words!A$2:A3730&amp;"" ""
),
1,
0
)
)
)
)"),2.0)</f>
        <v>2</v>
      </c>
      <c r="K1676" s="4">
        <f>IFERROR(__xludf.DUMMYFUNCTION("IF(H1676="""","""",
SUM(
ARRAYFORMULA(
IF(
REGEXMATCH(
"" ""&amp;H1676&amp;"" "",
"" ""&amp;Sentiment_Words!B$2:B3730&amp;"" ""
),
1,
0
)
)
)
)"),3.0)</f>
        <v>3</v>
      </c>
      <c r="L1676" s="7" t="str">
        <f t="shared" si="3"/>
        <v>Customer Support</v>
      </c>
      <c r="M1676" s="7" t="str">
        <f t="shared" si="4"/>
        <v>Negative</v>
      </c>
      <c r="N1676" s="7" t="str">
        <f>IFERROR(__xludf.DUMMYFUNCTION("LOWER(
TRIM(
REGEXREPLACE(B1676,""[^a-zA-Z\s]"","""")
)
)
"),"janet patacca")</f>
        <v>janet patacca</v>
      </c>
      <c r="O1676" s="7">
        <f t="shared" si="5"/>
        <v>1</v>
      </c>
      <c r="P1676" s="8" t="str">
        <f t="shared" si="6"/>
        <v>No</v>
      </c>
    </row>
    <row r="1677">
      <c r="A1677" s="4" t="s">
        <v>16</v>
      </c>
      <c r="B1677" s="4" t="s">
        <v>4738</v>
      </c>
      <c r="C1677" s="5">
        <v>44792.0</v>
      </c>
      <c r="D1677" s="10">
        <v>44793.0</v>
      </c>
      <c r="E1677" s="4" t="s">
        <v>4421</v>
      </c>
      <c r="F1677" s="4" t="s">
        <v>4739</v>
      </c>
      <c r="G1677" s="6" t="str">
        <f>IFERROR(__xludf.DUMMYFUNCTION("REGEXREPLACE(LOWER(F1677),""[^a-z\s]"","""")"),"this process was flawless")</f>
        <v>this process was flawless</v>
      </c>
      <c r="H1677" s="4" t="str">
        <f t="shared" si="1"/>
        <v>this process was flawless</v>
      </c>
      <c r="I1677" s="6">
        <f t="shared" si="2"/>
        <v>4</v>
      </c>
      <c r="J1677" s="6">
        <f>IFERROR(__xludf.DUMMYFUNCTION("IF(H1677="""","""",
SUM(
ARRAYFORMULA(
IF(
REGEXMATCH(
"" ""&amp;H1677&amp;"" "",
"" ""&amp;Sentiment_Words!A$2:A3730&amp;"" ""
),
1,
0
)
)
)
)"),0.0)</f>
        <v>0</v>
      </c>
      <c r="K1677" s="4">
        <f>IFERROR(__xludf.DUMMYFUNCTION("IF(H1677="""","""",
SUM(
ARRAYFORMULA(
IF(
REGEXMATCH(
"" ""&amp;H1677&amp;"" "",
"" ""&amp;Sentiment_Words!B$2:B3730&amp;"" ""
),
1,
0
)
)
)
)"),0.0)</f>
        <v>0</v>
      </c>
      <c r="L1677" s="7" t="str">
        <f t="shared" si="3"/>
        <v>Other</v>
      </c>
      <c r="M1677" s="7" t="str">
        <f t="shared" si="4"/>
        <v>Neutral</v>
      </c>
      <c r="N1677" s="7" t="str">
        <f>IFERROR(__xludf.DUMMYFUNCTION("LOWER(
TRIM(
REGEXREPLACE(B1677,""[^a-zA-Z\s]"","""")
)
)
"),"evelyn white")</f>
        <v>evelyn white</v>
      </c>
      <c r="O1677" s="7">
        <f t="shared" si="5"/>
        <v>1</v>
      </c>
      <c r="P1677" s="8" t="str">
        <f t="shared" si="6"/>
        <v>No</v>
      </c>
    </row>
    <row r="1678">
      <c r="A1678" s="4" t="s">
        <v>16</v>
      </c>
      <c r="B1678" s="4" t="s">
        <v>4740</v>
      </c>
      <c r="C1678" s="5">
        <v>44792.0</v>
      </c>
      <c r="D1678" s="10">
        <v>44792.0</v>
      </c>
      <c r="E1678" s="4" t="s">
        <v>4741</v>
      </c>
      <c r="F1678" s="4" t="s">
        <v>4742</v>
      </c>
      <c r="G1678" s="6" t="str">
        <f>IFERROR(__xludf.DUMMYFUNCTION("REGEXREPLACE(LOWER(F1678),""[^a-z\s]"","""")"),"easy to order quick delivery")</f>
        <v>easy to order quick delivery</v>
      </c>
      <c r="H1678" s="4" t="str">
        <f t="shared" si="1"/>
        <v>easy order quick delivery</v>
      </c>
      <c r="I1678" s="6">
        <f t="shared" si="2"/>
        <v>4</v>
      </c>
      <c r="J1678" s="6">
        <f>IFERROR(__xludf.DUMMYFUNCTION("IF(H1678="""","""",
SUM(
ARRAYFORMULA(
IF(
REGEXMATCH(
"" ""&amp;H1678&amp;"" "",
"" ""&amp;Sentiment_Words!A$2:A3730&amp;"" ""
),
1,
0
)
)
)
)"),2.0)</f>
        <v>2</v>
      </c>
      <c r="K1678" s="4">
        <f>IFERROR(__xludf.DUMMYFUNCTION("IF(H1678="""","""",
SUM(
ARRAYFORMULA(
IF(
REGEXMATCH(
"" ""&amp;H1678&amp;"" "",
"" ""&amp;Sentiment_Words!B$2:B3730&amp;"" ""
),
1,
0
)
)
)
)"),0.0)</f>
        <v>0</v>
      </c>
      <c r="L1678" s="7" t="str">
        <f t="shared" si="3"/>
        <v>Other</v>
      </c>
      <c r="M1678" s="7" t="str">
        <f t="shared" si="4"/>
        <v>Positive</v>
      </c>
      <c r="N1678" s="7" t="str">
        <f>IFERROR(__xludf.DUMMYFUNCTION("LOWER(
TRIM(
REGEXREPLACE(B1678,""[^a-zA-Z\s]"","""")
)
)
"),"deanna meyer")</f>
        <v>deanna meyer</v>
      </c>
      <c r="O1678" s="7">
        <f t="shared" si="5"/>
        <v>1</v>
      </c>
      <c r="P1678" s="8" t="str">
        <f t="shared" si="6"/>
        <v>No</v>
      </c>
    </row>
    <row r="1679">
      <c r="A1679" s="4" t="s">
        <v>16</v>
      </c>
      <c r="B1679" s="4" t="s">
        <v>4743</v>
      </c>
      <c r="C1679" s="5">
        <v>44792.0</v>
      </c>
      <c r="D1679" s="10">
        <v>44792.0</v>
      </c>
      <c r="E1679" s="4" t="s">
        <v>4744</v>
      </c>
      <c r="F1679" s="4" t="s">
        <v>4745</v>
      </c>
      <c r="G1679" s="6" t="str">
        <f>IFERROR(__xludf.DUMMYFUNCTION("REGEXREPLACE(LOWER(F1679),""[^a-z\s]"","""")"),"always such quick service and exactly what my ginger girl wanted thanks")</f>
        <v>always such quick service and exactly what my ginger girl wanted thanks</v>
      </c>
      <c r="H1679" s="4" t="str">
        <f t="shared" si="1"/>
        <v>always such quick service exactly what my ginger girl wanted thanks</v>
      </c>
      <c r="I1679" s="6">
        <f t="shared" si="2"/>
        <v>11</v>
      </c>
      <c r="J1679" s="6">
        <f>IFERROR(__xludf.DUMMYFUNCTION("IF(H1679="""","""",
SUM(
ARRAYFORMULA(
IF(
REGEXMATCH(
"" ""&amp;H1679&amp;"" "",
"" ""&amp;Sentiment_Words!A$2:A3730&amp;"" ""
),
1,
0
)
)
)
)"),0.0)</f>
        <v>0</v>
      </c>
      <c r="K1679" s="4">
        <f>IFERROR(__xludf.DUMMYFUNCTION("IF(H1679="""","""",
SUM(
ARRAYFORMULA(
IF(
REGEXMATCH(
"" ""&amp;H1679&amp;"" "",
"" ""&amp;Sentiment_Words!B$2:B3730&amp;"" ""
),
1,
0
)
)
)
)"),0.0)</f>
        <v>0</v>
      </c>
      <c r="L1679" s="7" t="str">
        <f t="shared" si="3"/>
        <v>Customer Support</v>
      </c>
      <c r="M1679" s="7" t="str">
        <f t="shared" si="4"/>
        <v>Neutral</v>
      </c>
      <c r="N1679" s="7" t="str">
        <f>IFERROR(__xludf.DUMMYFUNCTION("LOWER(
TRIM(
REGEXREPLACE(B1679,""[^a-zA-Z\s]"","""")
)
)
"),"jeannie")</f>
        <v>jeannie</v>
      </c>
      <c r="O1679" s="7">
        <f t="shared" si="5"/>
        <v>2</v>
      </c>
      <c r="P1679" s="8" t="str">
        <f t="shared" si="6"/>
        <v>Yes</v>
      </c>
    </row>
    <row r="1680">
      <c r="A1680" s="4" t="s">
        <v>16</v>
      </c>
      <c r="B1680" s="4" t="s">
        <v>4746</v>
      </c>
      <c r="C1680" s="5">
        <v>44792.0</v>
      </c>
      <c r="D1680" s="10">
        <v>44792.0</v>
      </c>
      <c r="E1680" s="4" t="s">
        <v>4747</v>
      </c>
      <c r="F1680" s="4" t="s">
        <v>4748</v>
      </c>
      <c r="G1680" s="6" t="str">
        <f>IFERROR(__xludf.DUMMYFUNCTION("REGEXREPLACE(LOWER(F1680),""[^a-z\s]"","""")"),"the website is organized and works well ordering went smoothly and my items arrived promptly and the quality is great")</f>
        <v>the website is organized and works well ordering went smoothly and my items arrived promptly and the quality is great</v>
      </c>
      <c r="H1680" s="4" t="str">
        <f t="shared" si="1"/>
        <v>website organized works well ordering went smoothly my items arrived promptly quality great</v>
      </c>
      <c r="I1680" s="6">
        <f t="shared" si="2"/>
        <v>13</v>
      </c>
      <c r="J1680" s="6">
        <f>IFERROR(__xludf.DUMMYFUNCTION("IF(H1680="""","""",
SUM(
ARRAYFORMULA(
IF(
REGEXMATCH(
"" ""&amp;H1680&amp;"" "",
"" ""&amp;Sentiment_Words!A$2:A3730&amp;"" ""
),
1,
0
)
)
)
)"),2.0)</f>
        <v>2</v>
      </c>
      <c r="K1680" s="4">
        <f>IFERROR(__xludf.DUMMYFUNCTION("IF(H1680="""","""",
SUM(
ARRAYFORMULA(
IF(
REGEXMATCH(
"" ""&amp;H1680&amp;"" "",
"" ""&amp;Sentiment_Words!B$2:B3730&amp;"" ""
),
1,
0
)
)
)
)"),0.0)</f>
        <v>0</v>
      </c>
      <c r="L1680" s="7" t="str">
        <f t="shared" si="3"/>
        <v>Account &amp; Website</v>
      </c>
      <c r="M1680" s="7" t="str">
        <f t="shared" si="4"/>
        <v>Positive</v>
      </c>
      <c r="N1680" s="7" t="str">
        <f>IFERROR(__xludf.DUMMYFUNCTION("LOWER(
TRIM(
REGEXREPLACE(B1680,""[^a-zA-Z\s]"","""")
)
)
"),"jean winans")</f>
        <v>jean winans</v>
      </c>
      <c r="O1680" s="7">
        <f t="shared" si="5"/>
        <v>1</v>
      </c>
      <c r="P1680" s="8" t="str">
        <f t="shared" si="6"/>
        <v>No</v>
      </c>
    </row>
    <row r="1681">
      <c r="A1681" s="4" t="s">
        <v>16</v>
      </c>
      <c r="B1681" s="4" t="s">
        <v>4749</v>
      </c>
      <c r="C1681" s="5">
        <v>44792.0</v>
      </c>
      <c r="D1681" s="10">
        <v>44792.0</v>
      </c>
      <c r="E1681" s="4" t="s">
        <v>972</v>
      </c>
      <c r="F1681" s="4" t="s">
        <v>4750</v>
      </c>
      <c r="G1681" s="6" t="str">
        <f>IFERROR(__xludf.DUMMYFUNCTION("REGEXREPLACE(LOWER(F1681),""[^a-z\s]"","""")"),"i ordered  bags of hills science diet dog food for my  rotts and got a good deal i will be buying more in the future")</f>
        <v>i ordered  bags of hills science diet dog food for my  rotts and got a good deal i will be buying more in the future</v>
      </c>
      <c r="H1681" s="4" t="str">
        <f t="shared" si="1"/>
        <v>i ordered bags of hills science diet dog food my rotts got a good deal i will be buying more in future</v>
      </c>
      <c r="I1681" s="6">
        <f t="shared" si="2"/>
        <v>22</v>
      </c>
      <c r="J1681" s="6">
        <f>IFERROR(__xludf.DUMMYFUNCTION("IF(H1681="""","""",
SUM(
ARRAYFORMULA(
IF(
REGEXMATCH(
"" ""&amp;H1681&amp;"" "",
"" ""&amp;Sentiment_Words!A$2:A3730&amp;"" ""
),
1,
0
)
)
)
)"),1.0)</f>
        <v>1</v>
      </c>
      <c r="K1681" s="4">
        <f>IFERROR(__xludf.DUMMYFUNCTION("IF(H1681="""","""",
SUM(
ARRAYFORMULA(
IF(
REGEXMATCH(
"" ""&amp;H1681&amp;"" "",
"" ""&amp;Sentiment_Words!B$2:B3730&amp;"" ""
),
1,
0
)
)
)
)"),0.0)</f>
        <v>0</v>
      </c>
      <c r="L1681" s="7" t="str">
        <f t="shared" si="3"/>
        <v>Other</v>
      </c>
      <c r="M1681" s="7" t="str">
        <f t="shared" si="4"/>
        <v>Positive</v>
      </c>
      <c r="N1681" s="7" t="str">
        <f>IFERROR(__xludf.DUMMYFUNCTION("LOWER(
TRIM(
REGEXREPLACE(B1681,""[^a-zA-Z\s]"","""")
)
)
"),"rhona hammock")</f>
        <v>rhona hammock</v>
      </c>
      <c r="O1681" s="7">
        <f t="shared" si="5"/>
        <v>1</v>
      </c>
      <c r="P1681" s="8" t="str">
        <f t="shared" si="6"/>
        <v>No</v>
      </c>
    </row>
    <row r="1682">
      <c r="A1682" s="4" t="s">
        <v>16</v>
      </c>
      <c r="B1682" s="4" t="s">
        <v>4751</v>
      </c>
      <c r="C1682" s="5">
        <v>44792.0</v>
      </c>
      <c r="D1682" s="10">
        <v>44792.0</v>
      </c>
      <c r="E1682" s="4" t="s">
        <v>4752</v>
      </c>
      <c r="F1682" s="4" t="s">
        <v>4753</v>
      </c>
      <c r="G1682" s="6" t="str">
        <f>IFERROR(__xludf.DUMMYFUNCTION("REGEXREPLACE(LOWER(F1682),""[^a-z\s]"","""")"),"ive been a fan of petflow for several years their service is prompt and professional an added plus is your purchase goes to help an animal in a shelter")</f>
        <v>ive been a fan of petflow for several years their service is prompt and professional an added plus is your purchase goes to help an animal in a shelter</v>
      </c>
      <c r="H1682" s="4" t="str">
        <f t="shared" si="1"/>
        <v>ive been a fan of petflow several years their service prompt professional an added plus your purchase goes help an animal in a shelter</v>
      </c>
      <c r="I1682" s="6">
        <f t="shared" si="2"/>
        <v>24</v>
      </c>
      <c r="J1682" s="6">
        <f>IFERROR(__xludf.DUMMYFUNCTION("IF(H1682="""","""",
SUM(
ARRAYFORMULA(
IF(
REGEXMATCH(
"" ""&amp;H1682&amp;"" "",
"" ""&amp;Sentiment_Words!A$2:A3730&amp;"" ""
),
1,
0
)
)
)
)"),1.0)</f>
        <v>1</v>
      </c>
      <c r="K1682" s="4">
        <f>IFERROR(__xludf.DUMMYFUNCTION("IF(H1682="""","""",
SUM(
ARRAYFORMULA(
IF(
REGEXMATCH(
"" ""&amp;H1682&amp;"" "",
"" ""&amp;Sentiment_Words!B$2:B3730&amp;"" ""
),
1,
0
)
)
)
)"),0.0)</f>
        <v>0</v>
      </c>
      <c r="L1682" s="7" t="str">
        <f t="shared" si="3"/>
        <v>Customer Support</v>
      </c>
      <c r="M1682" s="7" t="str">
        <f t="shared" si="4"/>
        <v>Positive</v>
      </c>
      <c r="N1682" s="7" t="str">
        <f>IFERROR(__xludf.DUMMYFUNCTION("LOWER(
TRIM(
REGEXREPLACE(B1682,""[^a-zA-Z\s]"","""")
)
)
"),"irina")</f>
        <v>irina</v>
      </c>
      <c r="O1682" s="7">
        <f t="shared" si="5"/>
        <v>1</v>
      </c>
      <c r="P1682" s="8" t="str">
        <f t="shared" si="6"/>
        <v>No</v>
      </c>
    </row>
    <row r="1683">
      <c r="A1683" s="4" t="s">
        <v>16</v>
      </c>
      <c r="B1683" s="4" t="s">
        <v>4754</v>
      </c>
      <c r="C1683" s="5">
        <v>44792.0</v>
      </c>
      <c r="D1683" s="10">
        <v>44792.0</v>
      </c>
      <c r="E1683" s="4" t="s">
        <v>4755</v>
      </c>
      <c r="F1683" s="4" t="s">
        <v>4756</v>
      </c>
      <c r="G1683" s="6" t="str">
        <f>IFERROR(__xludf.DUMMYFUNCTION("REGEXREPLACE(LOWER(F1683),""[^a-z\s]"","""")"),"everything was great order came in a timely manner great price no problems would recommend this company")</f>
        <v>everything was great order came in a timely manner great price no problems would recommend this company</v>
      </c>
      <c r="H1683" s="4" t="str">
        <f t="shared" si="1"/>
        <v>everything was great order came in a timely manner great price no problems would recommend this company</v>
      </c>
      <c r="I1683" s="6">
        <f t="shared" si="2"/>
        <v>17</v>
      </c>
      <c r="J1683" s="6">
        <f>IFERROR(__xludf.DUMMYFUNCTION("IF(H1683="""","""",
SUM(
ARRAYFORMULA(
IF(
REGEXMATCH(
"" ""&amp;H1683&amp;"" "",
"" ""&amp;Sentiment_Words!A$2:A3730&amp;"" ""
),
1,
0
)
)
)
)"),2.0)</f>
        <v>2</v>
      </c>
      <c r="K1683" s="4">
        <f>IFERROR(__xludf.DUMMYFUNCTION("IF(H1683="""","""",
SUM(
ARRAYFORMULA(
IF(
REGEXMATCH(
"" ""&amp;H1683&amp;"" "",
"" ""&amp;Sentiment_Words!B$2:B3730&amp;"" ""
),
1,
0
)
)
)
)"),0.0)</f>
        <v>0</v>
      </c>
      <c r="L1683" s="7" t="str">
        <f t="shared" si="3"/>
        <v>Other</v>
      </c>
      <c r="M1683" s="7" t="str">
        <f t="shared" si="4"/>
        <v>Positive</v>
      </c>
      <c r="N1683" s="7" t="str">
        <f>IFERROR(__xludf.DUMMYFUNCTION("LOWER(
TRIM(
REGEXREPLACE(B1683,""[^a-zA-Z\s]"","""")
)
)
"),"gingers mom")</f>
        <v>gingers mom</v>
      </c>
      <c r="O1683" s="7">
        <f t="shared" si="5"/>
        <v>1</v>
      </c>
      <c r="P1683" s="8" t="str">
        <f t="shared" si="6"/>
        <v>No</v>
      </c>
    </row>
    <row r="1684">
      <c r="A1684" s="4" t="s">
        <v>16</v>
      </c>
      <c r="B1684" s="4" t="s">
        <v>4757</v>
      </c>
      <c r="C1684" s="5">
        <v>44792.0</v>
      </c>
      <c r="D1684" s="10">
        <v>44792.0</v>
      </c>
      <c r="E1684" s="4" t="s">
        <v>4758</v>
      </c>
      <c r="F1684" s="4" t="s">
        <v>331</v>
      </c>
      <c r="G1684" s="6" t="str">
        <f>IFERROR(__xludf.DUMMYFUNCTION("REGEXREPLACE(LOWER(F1684),""[^a-z\s]"","""")"),"none")</f>
        <v>none</v>
      </c>
      <c r="H1684" s="4" t="str">
        <f t="shared" si="1"/>
        <v>none</v>
      </c>
      <c r="I1684" s="6">
        <f t="shared" si="2"/>
        <v>1</v>
      </c>
      <c r="J1684" s="6">
        <f>IFERROR(__xludf.DUMMYFUNCTION("IF(H1684="""","""",
SUM(
ARRAYFORMULA(
IF(
REGEXMATCH(
"" ""&amp;H1684&amp;"" "",
"" ""&amp;Sentiment_Words!A$2:A3730&amp;"" ""
),
1,
0
)
)
)
)"),0.0)</f>
        <v>0</v>
      </c>
      <c r="K1684" s="4">
        <f>IFERROR(__xludf.DUMMYFUNCTION("IF(H1684="""","""",
SUM(
ARRAYFORMULA(
IF(
REGEXMATCH(
"" ""&amp;H1684&amp;"" "",
"" ""&amp;Sentiment_Words!B$2:B3730&amp;"" ""
),
1,
0
)
)
)
)"),0.0)</f>
        <v>0</v>
      </c>
      <c r="L1684" s="7" t="str">
        <f t="shared" si="3"/>
        <v>Other</v>
      </c>
      <c r="M1684" s="7" t="str">
        <f t="shared" si="4"/>
        <v>Neutral</v>
      </c>
      <c r="N1684" s="7" t="str">
        <f>IFERROR(__xludf.DUMMYFUNCTION("LOWER(
TRIM(
REGEXREPLACE(B1684,""[^a-zA-Z\s]"","""")
)
)
"),"linda shinneman")</f>
        <v>linda shinneman</v>
      </c>
      <c r="O1684" s="7">
        <f t="shared" si="5"/>
        <v>1</v>
      </c>
      <c r="P1684" s="8" t="str">
        <f t="shared" si="6"/>
        <v>No</v>
      </c>
    </row>
    <row r="1685">
      <c r="A1685" s="4" t="s">
        <v>16</v>
      </c>
      <c r="B1685" s="4" t="s">
        <v>4759</v>
      </c>
      <c r="C1685" s="5">
        <v>44792.0</v>
      </c>
      <c r="D1685" s="10">
        <v>44792.0</v>
      </c>
      <c r="E1685" s="4" t="s">
        <v>4760</v>
      </c>
      <c r="F1685" s="4" t="s">
        <v>331</v>
      </c>
      <c r="G1685" s="6" t="str">
        <f>IFERROR(__xludf.DUMMYFUNCTION("REGEXREPLACE(LOWER(F1685),""[^a-z\s]"","""")"),"none")</f>
        <v>none</v>
      </c>
      <c r="H1685" s="4" t="str">
        <f t="shared" si="1"/>
        <v>none</v>
      </c>
      <c r="I1685" s="6">
        <f t="shared" si="2"/>
        <v>1</v>
      </c>
      <c r="J1685" s="6">
        <f>IFERROR(__xludf.DUMMYFUNCTION("IF(H1685="""","""",
SUM(
ARRAYFORMULA(
IF(
REGEXMATCH(
"" ""&amp;H1685&amp;"" "",
"" ""&amp;Sentiment_Words!A$2:A3730&amp;"" ""
),
1,
0
)
)
)
)"),0.0)</f>
        <v>0</v>
      </c>
      <c r="K1685" s="4">
        <f>IFERROR(__xludf.DUMMYFUNCTION("IF(H1685="""","""",
SUM(
ARRAYFORMULA(
IF(
REGEXMATCH(
"" ""&amp;H1685&amp;"" "",
"" ""&amp;Sentiment_Words!B$2:B3730&amp;"" ""
),
1,
0
)
)
)
)"),0.0)</f>
        <v>0</v>
      </c>
      <c r="L1685" s="7" t="str">
        <f t="shared" si="3"/>
        <v>Other</v>
      </c>
      <c r="M1685" s="7" t="str">
        <f t="shared" si="4"/>
        <v>Neutral</v>
      </c>
      <c r="N1685" s="7" t="str">
        <f>IFERROR(__xludf.DUMMYFUNCTION("LOWER(
TRIM(
REGEXREPLACE(B1685,""[^a-zA-Z\s]"","""")
)
)
"),"rexford nichols")</f>
        <v>rexford nichols</v>
      </c>
      <c r="O1685" s="7">
        <f t="shared" si="5"/>
        <v>1</v>
      </c>
      <c r="P1685" s="8" t="str">
        <f t="shared" si="6"/>
        <v>No</v>
      </c>
    </row>
    <row r="1686">
      <c r="A1686" s="4" t="s">
        <v>16</v>
      </c>
      <c r="B1686" s="4" t="s">
        <v>4761</v>
      </c>
      <c r="C1686" s="5">
        <v>44792.0</v>
      </c>
      <c r="D1686" s="10">
        <v>44792.0</v>
      </c>
      <c r="E1686" s="4" t="s">
        <v>4762</v>
      </c>
      <c r="F1686" s="4" t="s">
        <v>331</v>
      </c>
      <c r="G1686" s="6" t="str">
        <f>IFERROR(__xludf.DUMMYFUNCTION("REGEXREPLACE(LOWER(F1686),""[^a-z\s]"","""")"),"none")</f>
        <v>none</v>
      </c>
      <c r="H1686" s="4" t="str">
        <f t="shared" si="1"/>
        <v>none</v>
      </c>
      <c r="I1686" s="6">
        <f t="shared" si="2"/>
        <v>1</v>
      </c>
      <c r="J1686" s="6">
        <f>IFERROR(__xludf.DUMMYFUNCTION("IF(H1686="""","""",
SUM(
ARRAYFORMULA(
IF(
REGEXMATCH(
"" ""&amp;H1686&amp;"" "",
"" ""&amp;Sentiment_Words!A$2:A3730&amp;"" ""
),
1,
0
)
)
)
)"),0.0)</f>
        <v>0</v>
      </c>
      <c r="K1686" s="4">
        <f>IFERROR(__xludf.DUMMYFUNCTION("IF(H1686="""","""",
SUM(
ARRAYFORMULA(
IF(
REGEXMATCH(
"" ""&amp;H1686&amp;"" "",
"" ""&amp;Sentiment_Words!B$2:B3730&amp;"" ""
),
1,
0
)
)
)
)"),0.0)</f>
        <v>0</v>
      </c>
      <c r="L1686" s="7" t="str">
        <f t="shared" si="3"/>
        <v>Other</v>
      </c>
      <c r="M1686" s="7" t="str">
        <f t="shared" si="4"/>
        <v>Neutral</v>
      </c>
      <c r="N1686" s="7" t="str">
        <f>IFERROR(__xludf.DUMMYFUNCTION("LOWER(
TRIM(
REGEXREPLACE(B1686,""[^a-zA-Z\s]"","""")
)
)
"),"joann shepherd")</f>
        <v>joann shepherd</v>
      </c>
      <c r="O1686" s="7">
        <f t="shared" si="5"/>
        <v>1</v>
      </c>
      <c r="P1686" s="8" t="str">
        <f t="shared" si="6"/>
        <v>No</v>
      </c>
    </row>
    <row r="1687">
      <c r="A1687" s="4" t="s">
        <v>16</v>
      </c>
      <c r="B1687" s="4" t="s">
        <v>4763</v>
      </c>
      <c r="C1687" s="5">
        <v>44792.0</v>
      </c>
      <c r="D1687" s="10">
        <v>44792.0</v>
      </c>
      <c r="E1687" s="4" t="s">
        <v>4764</v>
      </c>
      <c r="F1687" s="4" t="s">
        <v>331</v>
      </c>
      <c r="G1687" s="6" t="str">
        <f>IFERROR(__xludf.DUMMYFUNCTION("REGEXREPLACE(LOWER(F1687),""[^a-z\s]"","""")"),"none")</f>
        <v>none</v>
      </c>
      <c r="H1687" s="4" t="str">
        <f t="shared" si="1"/>
        <v>none</v>
      </c>
      <c r="I1687" s="6">
        <f t="shared" si="2"/>
        <v>1</v>
      </c>
      <c r="J1687" s="6">
        <f>IFERROR(__xludf.DUMMYFUNCTION("IF(H1687="""","""",
SUM(
ARRAYFORMULA(
IF(
REGEXMATCH(
"" ""&amp;H1687&amp;"" "",
"" ""&amp;Sentiment_Words!A$2:A3730&amp;"" ""
),
1,
0
)
)
)
)"),0.0)</f>
        <v>0</v>
      </c>
      <c r="K1687" s="4">
        <f>IFERROR(__xludf.DUMMYFUNCTION("IF(H1687="""","""",
SUM(
ARRAYFORMULA(
IF(
REGEXMATCH(
"" ""&amp;H1687&amp;"" "",
"" ""&amp;Sentiment_Words!B$2:B3730&amp;"" ""
),
1,
0
)
)
)
)"),0.0)</f>
        <v>0</v>
      </c>
      <c r="L1687" s="7" t="str">
        <f t="shared" si="3"/>
        <v>Other</v>
      </c>
      <c r="M1687" s="7" t="str">
        <f t="shared" si="4"/>
        <v>Neutral</v>
      </c>
      <c r="N1687" s="7" t="str">
        <f>IFERROR(__xludf.DUMMYFUNCTION("LOWER(
TRIM(
REGEXREPLACE(B1687,""[^a-zA-Z\s]"","""")
)
)
"),"katie")</f>
        <v>katie</v>
      </c>
      <c r="O1687" s="7">
        <f t="shared" si="5"/>
        <v>1</v>
      </c>
      <c r="P1687" s="8" t="str">
        <f t="shared" si="6"/>
        <v>No</v>
      </c>
    </row>
    <row r="1688">
      <c r="A1688" s="4" t="s">
        <v>16</v>
      </c>
      <c r="B1688" s="4" t="s">
        <v>4765</v>
      </c>
      <c r="C1688" s="5">
        <v>44792.0</v>
      </c>
      <c r="D1688" s="10">
        <v>44792.0</v>
      </c>
      <c r="E1688" s="4" t="s">
        <v>4766</v>
      </c>
      <c r="F1688" s="4" t="s">
        <v>4767</v>
      </c>
      <c r="G1688" s="6" t="str">
        <f>IFERROR(__xludf.DUMMYFUNCTION("REGEXREPLACE(LOWER(F1688),""[^a-z\s]"","""")"),"i had issues with my order it was fixed and replaced i thank you for the help and fixing it asap")</f>
        <v>i had issues with my order it was fixed and replaced i thank you for the help and fixing it asap</v>
      </c>
      <c r="H1688" s="4" t="str">
        <f t="shared" si="1"/>
        <v>i had issues with my order it was fixed replaced i thank you help fixing it asap</v>
      </c>
      <c r="I1688" s="6">
        <f t="shared" si="2"/>
        <v>17</v>
      </c>
      <c r="J1688" s="6">
        <f>IFERROR(__xludf.DUMMYFUNCTION("IF(H1688="""","""",
SUM(
ARRAYFORMULA(
IF(
REGEXMATCH(
"" ""&amp;H1688&amp;"" "",
"" ""&amp;Sentiment_Words!A$2:A3730&amp;"" ""
),
1,
0
)
)
)
)"),0.0)</f>
        <v>0</v>
      </c>
      <c r="K1688" s="4">
        <f>IFERROR(__xludf.DUMMYFUNCTION("IF(H1688="""","""",
SUM(
ARRAYFORMULA(
IF(
REGEXMATCH(
"" ""&amp;H1688&amp;"" "",
"" ""&amp;Sentiment_Words!B$2:B3730&amp;"" ""
),
1,
0
)
)
)
)"),0.0)</f>
        <v>0</v>
      </c>
      <c r="L1688" s="7" t="str">
        <f t="shared" si="3"/>
        <v>Other</v>
      </c>
      <c r="M1688" s="7" t="str">
        <f t="shared" si="4"/>
        <v>Neutral</v>
      </c>
      <c r="N1688" s="7" t="str">
        <f>IFERROR(__xludf.DUMMYFUNCTION("LOWER(
TRIM(
REGEXREPLACE(B1688,""[^a-zA-Z\s]"","""")
)
)
"),"charlotte cooper")</f>
        <v>charlotte cooper</v>
      </c>
      <c r="O1688" s="7">
        <f t="shared" si="5"/>
        <v>1</v>
      </c>
      <c r="P1688" s="8" t="str">
        <f t="shared" si="6"/>
        <v>No</v>
      </c>
    </row>
    <row r="1689">
      <c r="A1689" s="4" t="s">
        <v>16</v>
      </c>
      <c r="B1689" s="4" t="s">
        <v>4768</v>
      </c>
      <c r="C1689" s="5">
        <v>44792.0</v>
      </c>
      <c r="D1689" s="10">
        <v>44792.0</v>
      </c>
      <c r="E1689" s="4" t="s">
        <v>4769</v>
      </c>
      <c r="F1689" s="4" t="s">
        <v>4770</v>
      </c>
      <c r="G1689" s="6" t="str">
        <f>IFERROR(__xludf.DUMMYFUNCTION("REGEXREPLACE(LOWER(F1689),""[^a-z\s]"","""")"),"we ordered product and after two days you said it was out of stock after all")</f>
        <v>we ordered product and after two days you said it was out of stock after all</v>
      </c>
      <c r="H1689" s="4" t="str">
        <f t="shared" si="1"/>
        <v>we ordered product after two days you said it was out of stock after all</v>
      </c>
      <c r="I1689" s="6">
        <f t="shared" si="2"/>
        <v>15</v>
      </c>
      <c r="J1689" s="6">
        <f>IFERROR(__xludf.DUMMYFUNCTION("IF(H1689="""","""",
SUM(
ARRAYFORMULA(
IF(
REGEXMATCH(
"" ""&amp;H1689&amp;"" "",
"" ""&amp;Sentiment_Words!A$2:A3730&amp;"" ""
),
1,
0
)
)
)
)"),0.0)</f>
        <v>0</v>
      </c>
      <c r="K1689" s="4">
        <f>IFERROR(__xludf.DUMMYFUNCTION("IF(H1689="""","""",
SUM(
ARRAYFORMULA(
IF(
REGEXMATCH(
"" ""&amp;H1689&amp;"" "",
"" ""&amp;Sentiment_Words!B$2:B3730&amp;"" ""
),
1,
0
)
)
)
)"),1.0)</f>
        <v>1</v>
      </c>
      <c r="L1689" s="7" t="str">
        <f t="shared" si="3"/>
        <v>Availability</v>
      </c>
      <c r="M1689" s="7" t="str">
        <f t="shared" si="4"/>
        <v>Negative</v>
      </c>
      <c r="N1689" s="7" t="str">
        <f>IFERROR(__xludf.DUMMYFUNCTION("LOWER(
TRIM(
REGEXREPLACE(B1689,""[^a-zA-Z\s]"","""")
)
)
"),"jean kandel")</f>
        <v>jean kandel</v>
      </c>
      <c r="O1689" s="7">
        <f t="shared" si="5"/>
        <v>1</v>
      </c>
      <c r="P1689" s="8" t="str">
        <f t="shared" si="6"/>
        <v>No</v>
      </c>
    </row>
    <row r="1690">
      <c r="A1690" s="4" t="s">
        <v>16</v>
      </c>
      <c r="B1690" s="4" t="s">
        <v>4771</v>
      </c>
      <c r="C1690" s="5">
        <v>44791.0</v>
      </c>
      <c r="D1690" s="10">
        <v>44792.0</v>
      </c>
      <c r="E1690" s="4" t="s">
        <v>4772</v>
      </c>
      <c r="F1690" s="4" t="s">
        <v>4773</v>
      </c>
      <c r="G1690" s="6" t="str">
        <f>IFERROR(__xludf.DUMMYFUNCTION("REGEXREPLACE(LOWER(F1690),""[^a-z\s]"","""")"),"very disappointed our order was canceled by you because you didnt get your order of the goods i know you cant help it if your supplier doesnt come thru for you but our order was placed middle of july  were just told aug  you cant supply")</f>
        <v>very disappointed our order was canceled by you because you didnt get your order of the goods i know you cant help it if your supplier doesnt come thru for you but our order was placed middle of july  were just told aug  you cant supply</v>
      </c>
      <c r="H1690" s="4" t="str">
        <f t="shared" si="1"/>
        <v>very disappointed our order was canceled by you because you didnt get your order of goods i know you cant help it if your supplier doesnt come thru you but our order was placed middle of july were just told aug you cant supply</v>
      </c>
      <c r="I1690" s="6">
        <f t="shared" si="2"/>
        <v>44</v>
      </c>
      <c r="J1690" s="6">
        <f>IFERROR(__xludf.DUMMYFUNCTION("IF(H1690="""","""",
SUM(
ARRAYFORMULA(
IF(
REGEXMATCH(
"" ""&amp;H1690&amp;"" "",
"" ""&amp;Sentiment_Words!A$2:A3730&amp;"" ""
),
1,
0
)
)
)
)"),0.0)</f>
        <v>0</v>
      </c>
      <c r="K1690" s="4">
        <f>IFERROR(__xludf.DUMMYFUNCTION("IF(H1690="""","""",
SUM(
ARRAYFORMULA(
IF(
REGEXMATCH(
"" ""&amp;H1690&amp;"" "",
"" ""&amp;Sentiment_Words!B$2:B3730&amp;"" ""
),
1,
0
)
)
)
)"),0.0)</f>
        <v>0</v>
      </c>
      <c r="L1690" s="7" t="str">
        <f t="shared" si="3"/>
        <v>Trust &amp; Experience</v>
      </c>
      <c r="M1690" s="7" t="str">
        <f t="shared" si="4"/>
        <v>Neutral</v>
      </c>
      <c r="N1690" s="7" t="str">
        <f>IFERROR(__xludf.DUMMYFUNCTION("LOWER(
TRIM(
REGEXREPLACE(B1690,""[^a-zA-Z\s]"","""")
)
)
"),"leta wells")</f>
        <v>leta wells</v>
      </c>
      <c r="O1690" s="7">
        <f t="shared" si="5"/>
        <v>1</v>
      </c>
      <c r="P1690" s="8" t="str">
        <f t="shared" si="6"/>
        <v>No</v>
      </c>
    </row>
    <row r="1691">
      <c r="A1691" s="4" t="s">
        <v>16</v>
      </c>
      <c r="B1691" s="4" t="s">
        <v>4774</v>
      </c>
      <c r="C1691" s="5">
        <v>44791.0</v>
      </c>
      <c r="D1691" s="10">
        <v>44791.0</v>
      </c>
      <c r="E1691" s="4" t="s">
        <v>4775</v>
      </c>
      <c r="F1691" s="4" t="s">
        <v>4776</v>
      </c>
      <c r="G1691" s="6" t="str">
        <f>IFERROR(__xludf.DUMMYFUNCTION("REGEXREPLACE(LOWER(F1691),""[^a-z\s]"","""")"),"i was so thankful that petflow had my dogs prescription food because they were the only place that did even our local vet couldnt get it as soon as my order was complete they contacted my vet to get the process going in less than  business days i ordered "&amp;"got approval from our vet and received our bag of food i am extremely glad i selected autoship")</f>
        <v>i was so thankful that petflow had my dogs prescription food because they were the only place that did even our local vet couldnt get it as soon as my order was complete they contacted my vet to get the process going in less than  business days i ordered got approval from our vet and received our bag of food i am extremely glad i selected autoship</v>
      </c>
      <c r="H1691" s="4" t="str">
        <f t="shared" si="1"/>
        <v>i was so thankful that petflow had my dogs prescription food because they were only place that did even our local vet couldnt get it as soon as my order was complete they contacted my vet get process going in less than business days i ordered got approval from our vet received our bag of food i am extremely glad i selected autoship</v>
      </c>
      <c r="I1691" s="6">
        <f t="shared" si="2"/>
        <v>63</v>
      </c>
      <c r="J1691" s="6">
        <f>IFERROR(__xludf.DUMMYFUNCTION("IF(H1691="""","""",
SUM(
ARRAYFORMULA(
IF(
REGEXMATCH(
"" ""&amp;H1691&amp;"" "",
"" ""&amp;Sentiment_Words!A$2:A3730&amp;"" ""
),
1,
0
)
)
)
)"),0.0)</f>
        <v>0</v>
      </c>
      <c r="K1691" s="4">
        <f>IFERROR(__xludf.DUMMYFUNCTION("IF(H1691="""","""",
SUM(
ARRAYFORMULA(
IF(
REGEXMATCH(
"" ""&amp;H1691&amp;"" "",
"" ""&amp;Sentiment_Words!B$2:B3730&amp;"" ""
),
1,
0
)
)
)
)"),0.0)</f>
        <v>0</v>
      </c>
      <c r="L1691" s="7" t="str">
        <f t="shared" si="3"/>
        <v>Other</v>
      </c>
      <c r="M1691" s="7" t="str">
        <f t="shared" si="4"/>
        <v>Neutral</v>
      </c>
      <c r="N1691" s="7" t="str">
        <f>IFERROR(__xludf.DUMMYFUNCTION("LOWER(
TRIM(
REGEXREPLACE(B1691,""[^a-zA-Z\s]"","""")
)
)
"),"shannon molloy")</f>
        <v>shannon molloy</v>
      </c>
      <c r="O1691" s="7">
        <f t="shared" si="5"/>
        <v>1</v>
      </c>
      <c r="P1691" s="8" t="str">
        <f t="shared" si="6"/>
        <v>No</v>
      </c>
    </row>
    <row r="1692">
      <c r="A1692" s="4" t="s">
        <v>16</v>
      </c>
      <c r="B1692" s="4" t="s">
        <v>4777</v>
      </c>
      <c r="C1692" s="5">
        <v>44791.0</v>
      </c>
      <c r="D1692" s="10">
        <v>44791.0</v>
      </c>
      <c r="E1692" s="4" t="s">
        <v>4778</v>
      </c>
      <c r="F1692" s="4" t="s">
        <v>4779</v>
      </c>
      <c r="G1692" s="6" t="str">
        <f>IFERROR(__xludf.DUMMYFUNCTION("REGEXREPLACE(LOWER(F1692),""[^a-z\s]"","""")"),"exact product i was looking for and at a great price and wonderful shipping service")</f>
        <v>exact product i was looking for and at a great price and wonderful shipping service</v>
      </c>
      <c r="H1692" s="4" t="str">
        <f t="shared" si="1"/>
        <v>exact product i was looking at a great price wonderful shipping service</v>
      </c>
      <c r="I1692" s="6">
        <f t="shared" si="2"/>
        <v>12</v>
      </c>
      <c r="J1692" s="6">
        <f>IFERROR(__xludf.DUMMYFUNCTION("IF(H1692="""","""",
SUM(
ARRAYFORMULA(
IF(
REGEXMATCH(
"" ""&amp;H1692&amp;"" "",
"" ""&amp;Sentiment_Words!A$2:A3730&amp;"" ""
),
1,
0
)
)
)
)"),2.0)</f>
        <v>2</v>
      </c>
      <c r="K1692" s="4">
        <f>IFERROR(__xludf.DUMMYFUNCTION("IF(H1692="""","""",
SUM(
ARRAYFORMULA(
IF(
REGEXMATCH(
"" ""&amp;H1692&amp;"" "",
"" ""&amp;Sentiment_Words!B$2:B3730&amp;"" ""
),
1,
0
)
)
)
)"),0.0)</f>
        <v>0</v>
      </c>
      <c r="L1692" s="7" t="str">
        <f t="shared" si="3"/>
        <v>Customer Support</v>
      </c>
      <c r="M1692" s="7" t="str">
        <f t="shared" si="4"/>
        <v>Positive</v>
      </c>
      <c r="N1692" s="7" t="str">
        <f>IFERROR(__xludf.DUMMYFUNCTION("LOWER(
TRIM(
REGEXREPLACE(B1692,""[^a-zA-Z\s]"","""")
)
)
"),"leo")</f>
        <v>leo</v>
      </c>
      <c r="O1692" s="7">
        <f t="shared" si="5"/>
        <v>1</v>
      </c>
      <c r="P1692" s="8" t="str">
        <f t="shared" si="6"/>
        <v>No</v>
      </c>
    </row>
    <row r="1693">
      <c r="A1693" s="4" t="s">
        <v>16</v>
      </c>
      <c r="B1693" s="4" t="s">
        <v>4780</v>
      </c>
      <c r="C1693" s="5">
        <v>44791.0</v>
      </c>
      <c r="D1693" s="10">
        <v>44791.0</v>
      </c>
      <c r="E1693" s="4" t="s">
        <v>4781</v>
      </c>
      <c r="F1693" s="4" t="s">
        <v>4782</v>
      </c>
      <c r="G1693" s="6" t="str">
        <f>IFERROR(__xludf.DUMMYFUNCTION("REGEXREPLACE(LOWER(F1693),""[^a-z\s]"","""")"),"great product dog loves it")</f>
        <v>great product dog loves it</v>
      </c>
      <c r="H1693" s="4" t="str">
        <f t="shared" si="1"/>
        <v>great product dog loves it</v>
      </c>
      <c r="I1693" s="6">
        <f t="shared" si="2"/>
        <v>5</v>
      </c>
      <c r="J1693" s="6">
        <f>IFERROR(__xludf.DUMMYFUNCTION("IF(H1693="""","""",
SUM(
ARRAYFORMULA(
IF(
REGEXMATCH(
"" ""&amp;H1693&amp;"" "",
"" ""&amp;Sentiment_Words!A$2:A3730&amp;"" ""
),
1,
0
)
)
)
)"),1.0)</f>
        <v>1</v>
      </c>
      <c r="K1693" s="4">
        <f>IFERROR(__xludf.DUMMYFUNCTION("IF(H1693="""","""",
SUM(
ARRAYFORMULA(
IF(
REGEXMATCH(
"" ""&amp;H1693&amp;"" "",
"" ""&amp;Sentiment_Words!B$2:B3730&amp;"" ""
),
1,
0
)
)
)
)"),0.0)</f>
        <v>0</v>
      </c>
      <c r="L1693" s="7" t="str">
        <f t="shared" si="3"/>
        <v>Other</v>
      </c>
      <c r="M1693" s="7" t="str">
        <f t="shared" si="4"/>
        <v>Positive</v>
      </c>
      <c r="N1693" s="7" t="str">
        <f>IFERROR(__xludf.DUMMYFUNCTION("LOWER(
TRIM(
REGEXREPLACE(B1693,""[^a-zA-Z\s]"","""")
)
)
"),"richard k falke")</f>
        <v>richard k falke</v>
      </c>
      <c r="O1693" s="7">
        <f t="shared" si="5"/>
        <v>1</v>
      </c>
      <c r="P1693" s="8" t="str">
        <f t="shared" si="6"/>
        <v>No</v>
      </c>
    </row>
    <row r="1694">
      <c r="A1694" s="4" t="s">
        <v>16</v>
      </c>
      <c r="B1694" s="4" t="s">
        <v>4783</v>
      </c>
      <c r="C1694" s="5">
        <v>44790.0</v>
      </c>
      <c r="D1694" s="4" t="s">
        <v>4784</v>
      </c>
      <c r="E1694" s="4" t="s">
        <v>4785</v>
      </c>
      <c r="F1694" s="4" t="s">
        <v>4786</v>
      </c>
      <c r="G1694" s="6" t="str">
        <f>IFERROR(__xludf.DUMMYFUNCTION("REGEXREPLACE(LOWER(F1694),""[^a-z\s]"","""")"),"this was my first time ordering from somewhere other than chewycom im very pleased with their service and theyre cheaper than chewy for the litter i needed you have a new customer well done ps lets go brandon")</f>
        <v>this was my first time ordering from somewhere other than chewycom im very pleased with their service and theyre cheaper than chewy for the litter i needed you have a new customer well done ps lets go brandon</v>
      </c>
      <c r="H1694" s="4" t="str">
        <f t="shared" si="1"/>
        <v>this was my first time ordering from somewhere other than chewycom im very pleased with their service theyre cheaper than chewy litter i needed you have a new customer well done ps lets go brandon</v>
      </c>
      <c r="I1694" s="6">
        <f t="shared" si="2"/>
        <v>35</v>
      </c>
      <c r="J1694" s="6">
        <f>IFERROR(__xludf.DUMMYFUNCTION("IF(H1694="""","""",
SUM(
ARRAYFORMULA(
IF(
REGEXMATCH(
"" ""&amp;H1694&amp;"" "",
"" ""&amp;Sentiment_Words!A$2:A3730&amp;"" ""
),
1,
0
)
)
)
)"),1.0)</f>
        <v>1</v>
      </c>
      <c r="K1694" s="4">
        <f>IFERROR(__xludf.DUMMYFUNCTION("IF(H1694="""","""",
SUM(
ARRAYFORMULA(
IF(
REGEXMATCH(
"" ""&amp;H1694&amp;"" "",
"" ""&amp;Sentiment_Words!B$2:B3730&amp;"" ""
),
1,
0
)
)
)
)"),0.0)</f>
        <v>0</v>
      </c>
      <c r="L1694" s="7" t="str">
        <f t="shared" si="3"/>
        <v>Customer Support</v>
      </c>
      <c r="M1694" s="7" t="str">
        <f t="shared" si="4"/>
        <v>Positive</v>
      </c>
      <c r="N1694" s="7" t="str">
        <f>IFERROR(__xludf.DUMMYFUNCTION("LOWER(
TRIM(
REGEXREPLACE(B1694,""[^a-zA-Z\s]"","""")
)
)
"),"mary boyle")</f>
        <v>mary boyle</v>
      </c>
      <c r="O1694" s="7">
        <f t="shared" si="5"/>
        <v>1</v>
      </c>
      <c r="P1694" s="8" t="str">
        <f t="shared" si="6"/>
        <v>No</v>
      </c>
    </row>
    <row r="1695">
      <c r="A1695" s="4" t="s">
        <v>16</v>
      </c>
      <c r="B1695" s="4" t="s">
        <v>4787</v>
      </c>
      <c r="C1695" s="5">
        <v>44790.0</v>
      </c>
      <c r="D1695" s="10">
        <v>44791.0</v>
      </c>
      <c r="E1695" s="4" t="s">
        <v>4788</v>
      </c>
      <c r="F1695" s="4" t="s">
        <v>4789</v>
      </c>
      <c r="G1695" s="6" t="str">
        <f>IFERROR(__xludf.DUMMYFUNCTION("REGEXREPLACE(LOWER(F1695),""[^a-z\s]"","""")"),"your shipping time was x as long as quoted we ran out of dog food in the meantime i refer a lot of business your way not sure i can anymore")</f>
        <v>your shipping time was x as long as quoted we ran out of dog food in the meantime i refer a lot of business your way not sure i can anymore</v>
      </c>
      <c r="H1695" s="4" t="str">
        <f t="shared" si="1"/>
        <v>your shipping time was x as long as quoted we ran out of dog food in meantime i refer a lot of business your way not sure i can anymore</v>
      </c>
      <c r="I1695" s="6">
        <f t="shared" si="2"/>
        <v>30</v>
      </c>
      <c r="J1695" s="6">
        <f>IFERROR(__xludf.DUMMYFUNCTION("IF(H1695="""","""",
SUM(
ARRAYFORMULA(
IF(
REGEXMATCH(
"" ""&amp;H1695&amp;"" "",
"" ""&amp;Sentiment_Words!A$2:A3730&amp;"" ""
),
1,
0
)
)
)
)"),0.0)</f>
        <v>0</v>
      </c>
      <c r="K1695" s="4">
        <f>IFERROR(__xludf.DUMMYFUNCTION("IF(H1695="""","""",
SUM(
ARRAYFORMULA(
IF(
REGEXMATCH(
"" ""&amp;H1695&amp;"" "",
"" ""&amp;Sentiment_Words!B$2:B3730&amp;"" ""
),
1,
0
)
)
)
)"),0.0)</f>
        <v>0</v>
      </c>
      <c r="L1695" s="7" t="str">
        <f t="shared" si="3"/>
        <v>Other</v>
      </c>
      <c r="M1695" s="7" t="str">
        <f t="shared" si="4"/>
        <v>Neutral</v>
      </c>
      <c r="N1695" s="7" t="str">
        <f>IFERROR(__xludf.DUMMYFUNCTION("LOWER(
TRIM(
REGEXREPLACE(B1695,""[^a-zA-Z\s]"","""")
)
)
"),"angela severe")</f>
        <v>angela severe</v>
      </c>
      <c r="O1695" s="7">
        <f t="shared" si="5"/>
        <v>1</v>
      </c>
      <c r="P1695" s="8" t="str">
        <f t="shared" si="6"/>
        <v>No</v>
      </c>
    </row>
    <row r="1696">
      <c r="A1696" s="4" t="s">
        <v>16</v>
      </c>
      <c r="B1696" s="4" t="s">
        <v>4790</v>
      </c>
      <c r="C1696" s="5">
        <v>44790.0</v>
      </c>
      <c r="D1696" s="10">
        <v>44791.0</v>
      </c>
      <c r="E1696" s="4" t="s">
        <v>4791</v>
      </c>
      <c r="F1696" s="4" t="s">
        <v>4792</v>
      </c>
      <c r="G1696" s="6" t="str">
        <f>IFERROR(__xludf.DUMMYFUNCTION("REGEXREPLACE(LOWER(F1696),""[^a-z\s]"","""")"),"food order took a long time to arrive wasnt aware to order before noon on fridays to ensure order received before weekend so it was a long time before order was even received")</f>
        <v>food order took a long time to arrive wasnt aware to order before noon on fridays to ensure order received before weekend so it was a long time before order was even received</v>
      </c>
      <c r="H1696" s="4" t="str">
        <f t="shared" si="1"/>
        <v>food order took a long time arrive wasnt aware order before noon on fridays ensure order received before weekend so it was a long time before order was even received</v>
      </c>
      <c r="I1696" s="6">
        <f t="shared" si="2"/>
        <v>30</v>
      </c>
      <c r="J1696" s="6">
        <f>IFERROR(__xludf.DUMMYFUNCTION("IF(H1696="""","""",
SUM(
ARRAYFORMULA(
IF(
REGEXMATCH(
"" ""&amp;H1696&amp;"" "",
"" ""&amp;Sentiment_Words!A$2:A3730&amp;"" ""
),
1,
0
)
)
)
)"),0.0)</f>
        <v>0</v>
      </c>
      <c r="K1696" s="4">
        <f>IFERROR(__xludf.DUMMYFUNCTION("IF(H1696="""","""",
SUM(
ARRAYFORMULA(
IF(
REGEXMATCH(
"" ""&amp;H1696&amp;"" "",
"" ""&amp;Sentiment_Words!B$2:B3730&amp;"" ""
),
1,
0
)
)
)
)"),0.0)</f>
        <v>0</v>
      </c>
      <c r="L1696" s="7" t="str">
        <f t="shared" si="3"/>
        <v>Other</v>
      </c>
      <c r="M1696" s="7" t="str">
        <f t="shared" si="4"/>
        <v>Neutral</v>
      </c>
      <c r="N1696" s="7" t="str">
        <f>IFERROR(__xludf.DUMMYFUNCTION("LOWER(
TRIM(
REGEXREPLACE(B1696,""[^a-zA-Z\s]"","""")
)
)
"),"heather parchman")</f>
        <v>heather parchman</v>
      </c>
      <c r="O1696" s="7">
        <f t="shared" si="5"/>
        <v>1</v>
      </c>
      <c r="P1696" s="8" t="str">
        <f t="shared" si="6"/>
        <v>No</v>
      </c>
    </row>
    <row r="1697">
      <c r="A1697" s="4" t="s">
        <v>16</v>
      </c>
      <c r="B1697" s="4" t="s">
        <v>4793</v>
      </c>
      <c r="C1697" s="5">
        <v>44790.0</v>
      </c>
      <c r="D1697" s="10">
        <v>44790.0</v>
      </c>
      <c r="E1697" s="4" t="s">
        <v>4794</v>
      </c>
      <c r="F1697" s="4" t="s">
        <v>4795</v>
      </c>
      <c r="G1697" s="6" t="str">
        <f>IFERROR(__xludf.DUMMYFUNCTION("REGEXREPLACE(LOWER(F1697),""[^a-z\s]"","""")"),"when i ordered said in stockthen i get email not in stocktakes long time to get and multiple deliveryand you have to add up each delivery to make sure its rightprob wont order again i did twice and happened both times")</f>
        <v>when i ordered said in stockthen i get email not in stocktakes long time to get and multiple deliveryand you have to add up each delivery to make sure its rightprob wont order again i did twice and happened both times</v>
      </c>
      <c r="H1697" s="4" t="str">
        <f t="shared" si="1"/>
        <v>when i ordered said in stockthen i get email not in stocktakes long time get multiple deliveryand you have add up each delivery make sure its rightprob wont order again i did twice happened both times</v>
      </c>
      <c r="I1697" s="6">
        <f t="shared" si="2"/>
        <v>36</v>
      </c>
      <c r="J1697" s="6">
        <f>IFERROR(__xludf.DUMMYFUNCTION("IF(H1697="""","""",
SUM(
ARRAYFORMULA(
IF(
REGEXMATCH(
"" ""&amp;H1697&amp;"" "",
"" ""&amp;Sentiment_Words!A$2:A3730&amp;"" ""
),
1,
0
)
)
)
)"),0.0)</f>
        <v>0</v>
      </c>
      <c r="K1697" s="4">
        <f>IFERROR(__xludf.DUMMYFUNCTION("IF(H1697="""","""",
SUM(
ARRAYFORMULA(
IF(
REGEXMATCH(
"" ""&amp;H1697&amp;"" "",
"" ""&amp;Sentiment_Words!B$2:B3730&amp;"" ""
),
1,
0
)
)
)
)"),0.0)</f>
        <v>0</v>
      </c>
      <c r="L1697" s="7" t="str">
        <f t="shared" si="3"/>
        <v>Other</v>
      </c>
      <c r="M1697" s="7" t="str">
        <f t="shared" si="4"/>
        <v>Neutral</v>
      </c>
      <c r="N1697" s="7" t="str">
        <f>IFERROR(__xludf.DUMMYFUNCTION("LOWER(
TRIM(
REGEXREPLACE(B1697,""[^a-zA-Z\s]"","""")
)
)
"),"patrick")</f>
        <v>patrick</v>
      </c>
      <c r="O1697" s="7">
        <f t="shared" si="5"/>
        <v>3</v>
      </c>
      <c r="P1697" s="8" t="str">
        <f t="shared" si="6"/>
        <v>Yes</v>
      </c>
    </row>
    <row r="1698">
      <c r="A1698" s="4" t="s">
        <v>16</v>
      </c>
      <c r="B1698" s="4" t="s">
        <v>4796</v>
      </c>
      <c r="C1698" s="5">
        <v>44790.0</v>
      </c>
      <c r="D1698" s="10">
        <v>44790.0</v>
      </c>
      <c r="E1698" s="4" t="s">
        <v>4797</v>
      </c>
      <c r="F1698" s="4" t="s">
        <v>4798</v>
      </c>
      <c r="G1698" s="6" t="str">
        <f>IFERROR(__xludf.DUMMYFUNCTION("REGEXREPLACE(LOWER(F1698),""[^a-z\s]"","""")"),"items were just as i ordered and shipping was faster then i expected all good things glad we discovered petflow it was our son who has two pups that made the recommendation thankful for that")</f>
        <v>items were just as i ordered and shipping was faster then i expected all good things glad we discovered petflow it was our son who has two pups that made the recommendation thankful for that</v>
      </c>
      <c r="H1698" s="4" t="str">
        <f t="shared" si="1"/>
        <v>items were just as i ordered shipping was faster then i expected all good things glad we discovered petflow it was our son who has two pups that made recommendation thankful that</v>
      </c>
      <c r="I1698" s="6">
        <f t="shared" si="2"/>
        <v>32</v>
      </c>
      <c r="J1698" s="6">
        <f>IFERROR(__xludf.DUMMYFUNCTION("IF(H1698="""","""",
SUM(
ARRAYFORMULA(
IF(
REGEXMATCH(
"" ""&amp;H1698&amp;"" "",
"" ""&amp;Sentiment_Words!A$2:A3730&amp;"" ""
),
1,
0
)
)
)
)"),1.0)</f>
        <v>1</v>
      </c>
      <c r="K1698" s="4">
        <f>IFERROR(__xludf.DUMMYFUNCTION("IF(H1698="""","""",
SUM(
ARRAYFORMULA(
IF(
REGEXMATCH(
"" ""&amp;H1698&amp;"" "",
"" ""&amp;Sentiment_Words!B$2:B3730&amp;"" ""
),
1,
0
)
)
)
)"),0.0)</f>
        <v>0</v>
      </c>
      <c r="L1698" s="7" t="str">
        <f t="shared" si="3"/>
        <v>Other</v>
      </c>
      <c r="M1698" s="7" t="str">
        <f t="shared" si="4"/>
        <v>Positive</v>
      </c>
      <c r="N1698" s="7" t="str">
        <f>IFERROR(__xludf.DUMMYFUNCTION("LOWER(
TRIM(
REGEXREPLACE(B1698,""[^a-zA-Z\s]"","""")
)
)
"),"robert vanmeter")</f>
        <v>robert vanmeter</v>
      </c>
      <c r="O1698" s="7">
        <f t="shared" si="5"/>
        <v>1</v>
      </c>
      <c r="P1698" s="8" t="str">
        <f t="shared" si="6"/>
        <v>No</v>
      </c>
    </row>
    <row r="1699">
      <c r="A1699" s="4" t="s">
        <v>16</v>
      </c>
      <c r="B1699" s="4" t="s">
        <v>4799</v>
      </c>
      <c r="C1699" s="5">
        <v>44790.0</v>
      </c>
      <c r="D1699" s="10">
        <v>44790.0</v>
      </c>
      <c r="E1699" s="4" t="s">
        <v>4800</v>
      </c>
      <c r="F1699" s="4" t="s">
        <v>4801</v>
      </c>
      <c r="G1699" s="6" t="str">
        <f>IFERROR(__xludf.DUMMYFUNCTION("REGEXREPLACE(LOWER(F1699),""[^a-z\s]"","""")"),"they accepted an order charged my credit card  and all the while the food which was a prescription food wasnt even in stock the item wasnt listed out of stock or on back order at the time i purchased it it was only nearly a week later after i contacted th"&amp;"em regarding the order  and after receiving no communication from them as to the status of the order  that i found out the item was not in stock  not then  or at the time i placed the order apparently they fulfill prescription food orders through another "&amp;"company vetsource and claim that the vetsource warehouse never informed them it was out of stock in addition their website continued to list the item as available days after this incident whether or not its petflows faultresponsibility or vetsources  the "&amp;"bottom line is pet flow shouldnt accept orders and charge credit cards unless the item is in stock")</f>
        <v>they accepted an order charged my credit card  and all the while the food which was a prescription food wasnt even in stock the item wasnt listed out of stock or on back order at the time i purchased it it was only nearly a week later after i contacted them regarding the order  and after receiving no communication from them as to the status of the order  that i found out the item was not in stock  not then  or at the time i placed the order apparently they fulfill prescription food orders through another company vetsource and claim that the vetsource warehouse never informed them it was out of stock in addition their website continued to list the item as available days after this incident whether or not its petflows faultresponsibility or vetsources  the bottom line is pet flow shouldnt accept orders and charge credit cards unless the item is in stock</v>
      </c>
      <c r="H1699" s="4" t="str">
        <f t="shared" si="1"/>
        <v>they accepted an order charged my credit card all while food which was a prescription food wasnt even in stock item wasnt listed out of stock or on back order at time i purchased it it was only nearly a week later after i contacted them regarding order after receiving no communication from them as status of order that i found out item was not in stock not then or at time i placed order apparently they fulfill prescription food orders through another company vetsource claim that vetsource warehouse never informed them it was out of stock in addition their website continued list item as available days after this incident whether or not its petflows faultresponsibility or vetsources bottom line pet flow shouldnt accept orders charge credit cards unless item in stock</v>
      </c>
      <c r="I1699" s="6">
        <f t="shared" si="2"/>
        <v>132</v>
      </c>
      <c r="J1699" s="6">
        <f>IFERROR(__xludf.DUMMYFUNCTION("IF(H1699="""","""",
SUM(
ARRAYFORMULA(
IF(
REGEXMATCH(
"" ""&amp;H1699&amp;"" "",
"" ""&amp;Sentiment_Words!A$2:A3730&amp;"" ""
),
1,
0
)
)
)
)"),2.0)</f>
        <v>2</v>
      </c>
      <c r="K1699" s="4">
        <f>IFERROR(__xludf.DUMMYFUNCTION("IF(H1699="""","""",
SUM(
ARRAYFORMULA(
IF(
REGEXMATCH(
"" ""&amp;H1699&amp;"" "",
"" ""&amp;Sentiment_Words!B$2:B3730&amp;"" ""
),
1,
0
)
)
)
)"),1.0)</f>
        <v>1</v>
      </c>
      <c r="L1699" s="7" t="str">
        <f t="shared" si="3"/>
        <v>Fulfillment &amp; Shipping</v>
      </c>
      <c r="M1699" s="7" t="str">
        <f t="shared" si="4"/>
        <v>Positive</v>
      </c>
      <c r="N1699" s="7" t="str">
        <f>IFERROR(__xludf.DUMMYFUNCTION("LOWER(
TRIM(
REGEXREPLACE(B1699,""[^a-zA-Z\s]"","""")
)
)
"),"herb")</f>
        <v>herb</v>
      </c>
      <c r="O1699" s="7">
        <f t="shared" si="5"/>
        <v>1</v>
      </c>
      <c r="P1699" s="8" t="str">
        <f t="shared" si="6"/>
        <v>No</v>
      </c>
    </row>
    <row r="1700">
      <c r="A1700" s="4" t="s">
        <v>16</v>
      </c>
      <c r="B1700" s="4" t="s">
        <v>4802</v>
      </c>
      <c r="C1700" s="5">
        <v>44790.0</v>
      </c>
      <c r="D1700" s="10">
        <v>44790.0</v>
      </c>
      <c r="E1700" s="4" t="s">
        <v>4803</v>
      </c>
      <c r="F1700" s="4" t="s">
        <v>4804</v>
      </c>
      <c r="G1700" s="6" t="str">
        <f>IFERROR(__xludf.DUMMYFUNCTION("REGEXREPLACE(LOWER(F1700),""[^a-z\s]"","""")"),"i purchased  bags of dog food one came right away the other took a while to be delivered")</f>
        <v>i purchased  bags of dog food one came right away the other took a while to be delivered</v>
      </c>
      <c r="H1700" s="4" t="str">
        <f t="shared" si="1"/>
        <v>i purchased bags of dog food one came right away other took a while be delivered</v>
      </c>
      <c r="I1700" s="6">
        <f t="shared" si="2"/>
        <v>16</v>
      </c>
      <c r="J1700" s="6">
        <f>IFERROR(__xludf.DUMMYFUNCTION("IF(H1700="""","""",
SUM(
ARRAYFORMULA(
IF(
REGEXMATCH(
"" ""&amp;H1700&amp;"" "",
"" ""&amp;Sentiment_Words!A$2:A3730&amp;"" ""
),
1,
0
)
)
)
)"),1.0)</f>
        <v>1</v>
      </c>
      <c r="K1700" s="4">
        <f>IFERROR(__xludf.DUMMYFUNCTION("IF(H1700="""","""",
SUM(
ARRAYFORMULA(
IF(
REGEXMATCH(
"" ""&amp;H1700&amp;"" "",
"" ""&amp;Sentiment_Words!B$2:B3730&amp;"" ""
),
1,
0
)
)
)
)"),0.0)</f>
        <v>0</v>
      </c>
      <c r="L1700" s="7" t="str">
        <f t="shared" si="3"/>
        <v>Other</v>
      </c>
      <c r="M1700" s="7" t="str">
        <f t="shared" si="4"/>
        <v>Positive</v>
      </c>
      <c r="N1700" s="7" t="str">
        <f>IFERROR(__xludf.DUMMYFUNCTION("LOWER(
TRIM(
REGEXREPLACE(B1700,""[^a-zA-Z\s]"","""")
)
)
"),"nick v")</f>
        <v>nick v</v>
      </c>
      <c r="O1700" s="7">
        <f t="shared" si="5"/>
        <v>1</v>
      </c>
      <c r="P1700" s="8" t="str">
        <f t="shared" si="6"/>
        <v>No</v>
      </c>
    </row>
    <row r="1701">
      <c r="A1701" s="4" t="s">
        <v>16</v>
      </c>
      <c r="B1701" s="4" t="s">
        <v>4805</v>
      </c>
      <c r="C1701" s="5">
        <v>44790.0</v>
      </c>
      <c r="D1701" s="10">
        <v>44790.0</v>
      </c>
      <c r="E1701" s="4" t="s">
        <v>4806</v>
      </c>
      <c r="F1701" s="4" t="s">
        <v>4807</v>
      </c>
      <c r="G1701" s="6" t="str">
        <f>IFERROR(__xludf.DUMMYFUNCTION("REGEXREPLACE(LOWER(F1701),""[^a-z\s]"","""")"),"wouldnt allow me to place an order had to order through a family member its a new house but its on maps so idk what the problem is")</f>
        <v>wouldnt allow me to place an order had to order through a family member its a new house but its on maps so idk what the problem is</v>
      </c>
      <c r="H1701" s="4" t="str">
        <f t="shared" si="1"/>
        <v>wouldnt allow me place an order had order through a family member its a new house but its on maps so idk what problem</v>
      </c>
      <c r="I1701" s="6">
        <f t="shared" si="2"/>
        <v>24</v>
      </c>
      <c r="J1701" s="6">
        <f>IFERROR(__xludf.DUMMYFUNCTION("IF(H1701="""","""",
SUM(
ARRAYFORMULA(
IF(
REGEXMATCH(
"" ""&amp;H1701&amp;"" "",
"" ""&amp;Sentiment_Words!A$2:A3730&amp;"" ""
),
1,
0
)
)
)
)"),0.0)</f>
        <v>0</v>
      </c>
      <c r="K1701" s="4">
        <f>IFERROR(__xludf.DUMMYFUNCTION("IF(H1701="""","""",
SUM(
ARRAYFORMULA(
IF(
REGEXMATCH(
"" ""&amp;H1701&amp;"" "",
"" ""&amp;Sentiment_Words!B$2:B3730&amp;"" ""
),
1,
0
)
)
)
)"),1.0)</f>
        <v>1</v>
      </c>
      <c r="L1701" s="7" t="str">
        <f t="shared" si="3"/>
        <v>Other</v>
      </c>
      <c r="M1701" s="7" t="str">
        <f t="shared" si="4"/>
        <v>Negative</v>
      </c>
      <c r="N1701" s="7" t="str">
        <f>IFERROR(__xludf.DUMMYFUNCTION("LOWER(
TRIM(
REGEXREPLACE(B1701,""[^a-zA-Z\s]"","""")
)
)
"),"monica abeyta")</f>
        <v>monica abeyta</v>
      </c>
      <c r="O1701" s="7">
        <f t="shared" si="5"/>
        <v>1</v>
      </c>
      <c r="P1701" s="8" t="str">
        <f t="shared" si="6"/>
        <v>No</v>
      </c>
    </row>
    <row r="1702">
      <c r="A1702" s="4" t="s">
        <v>16</v>
      </c>
      <c r="B1702" s="4" t="s">
        <v>1837</v>
      </c>
      <c r="C1702" s="5">
        <v>44790.0</v>
      </c>
      <c r="D1702" s="10">
        <v>44790.0</v>
      </c>
      <c r="E1702" s="4" t="s">
        <v>4808</v>
      </c>
      <c r="F1702" s="4" t="s">
        <v>4809</v>
      </c>
      <c r="G1702" s="6" t="str">
        <f>IFERROR(__xludf.DUMMYFUNCTION("REGEXREPLACE(LOWER(F1702),""[^a-z\s]"","""")"),"your service by email promised to contact my vet about the order for the prescription you failed to do that and had to cancel the order")</f>
        <v>your service by email promised to contact my vet about the order for the prescription you failed to do that and had to cancel the order</v>
      </c>
      <c r="H1702" s="4" t="str">
        <f t="shared" si="1"/>
        <v>your service by email promised contact my vet about order prescription you failed do that had cancel order</v>
      </c>
      <c r="I1702" s="6">
        <f t="shared" si="2"/>
        <v>18</v>
      </c>
      <c r="J1702" s="6">
        <f>IFERROR(__xludf.DUMMYFUNCTION("IF(H1702="""","""",
SUM(
ARRAYFORMULA(
IF(
REGEXMATCH(
"" ""&amp;H1702&amp;"" "",
"" ""&amp;Sentiment_Words!A$2:A3730&amp;"" ""
),
1,
0
)
)
)
)"),0.0)</f>
        <v>0</v>
      </c>
      <c r="K1702" s="4">
        <f>IFERROR(__xludf.DUMMYFUNCTION("IF(H1702="""","""",
SUM(
ARRAYFORMULA(
IF(
REGEXMATCH(
"" ""&amp;H1702&amp;"" "",
"" ""&amp;Sentiment_Words!B$2:B3730&amp;"" ""
),
1,
0
)
)
)
)"),0.0)</f>
        <v>0</v>
      </c>
      <c r="L1702" s="7" t="str">
        <f t="shared" si="3"/>
        <v>Customer Support</v>
      </c>
      <c r="M1702" s="7" t="str">
        <f t="shared" si="4"/>
        <v>Neutral</v>
      </c>
      <c r="N1702" s="7" t="str">
        <f>IFERROR(__xludf.DUMMYFUNCTION("LOWER(
TRIM(
REGEXREPLACE(B1702,""[^a-zA-Z\s]"","""")
)
)
"),"anon")</f>
        <v>anon</v>
      </c>
      <c r="O1702" s="7">
        <f t="shared" si="5"/>
        <v>2</v>
      </c>
      <c r="P1702" s="8" t="str">
        <f t="shared" si="6"/>
        <v>Yes</v>
      </c>
    </row>
    <row r="1703">
      <c r="A1703" s="4" t="s">
        <v>16</v>
      </c>
      <c r="B1703" s="4" t="s">
        <v>4810</v>
      </c>
      <c r="C1703" s="5">
        <v>44790.0</v>
      </c>
      <c r="D1703" s="10">
        <v>44790.0</v>
      </c>
      <c r="E1703" s="4" t="s">
        <v>4811</v>
      </c>
      <c r="F1703" s="4" t="s">
        <v>4812</v>
      </c>
      <c r="G1703" s="6" t="str">
        <f>IFERROR(__xludf.DUMMYFUNCTION("REGEXREPLACE(LOWER(F1703),""[^a-z\s]"","""")"),"products were good but delivery took a long time and tracking didnt give updates after day ")</f>
        <v>products were good but delivery took a long time and tracking didnt give updates after day </v>
      </c>
      <c r="H1703" s="4" t="str">
        <f t="shared" si="1"/>
        <v>products were good but delivery took a long time tracking didnt give updates after day</v>
      </c>
      <c r="I1703" s="6">
        <f t="shared" si="2"/>
        <v>15</v>
      </c>
      <c r="J1703" s="6">
        <f>IFERROR(__xludf.DUMMYFUNCTION("IF(H1703="""","""",
SUM(
ARRAYFORMULA(
IF(
REGEXMATCH(
"" ""&amp;H1703&amp;"" "",
"" ""&amp;Sentiment_Words!A$2:A3730&amp;"" ""
),
1,
0
)
)
)
)"),1.0)</f>
        <v>1</v>
      </c>
      <c r="K1703" s="4">
        <f>IFERROR(__xludf.DUMMYFUNCTION("IF(H1703="""","""",
SUM(
ARRAYFORMULA(
IF(
REGEXMATCH(
"" ""&amp;H1703&amp;"" "",
"" ""&amp;Sentiment_Words!B$2:B3730&amp;"" ""
),
1,
0
)
)
)
)"),0.0)</f>
        <v>0</v>
      </c>
      <c r="L1703" s="7" t="str">
        <f t="shared" si="3"/>
        <v>Other</v>
      </c>
      <c r="M1703" s="7" t="str">
        <f t="shared" si="4"/>
        <v>Positive</v>
      </c>
      <c r="N1703" s="7" t="str">
        <f>IFERROR(__xludf.DUMMYFUNCTION("LOWER(
TRIM(
REGEXREPLACE(B1703,""[^a-zA-Z\s]"","""")
)
)
"),"mark stevens")</f>
        <v>mark stevens</v>
      </c>
      <c r="O1703" s="7">
        <f t="shared" si="5"/>
        <v>1</v>
      </c>
      <c r="P1703" s="8" t="str">
        <f t="shared" si="6"/>
        <v>No</v>
      </c>
    </row>
    <row r="1704">
      <c r="A1704" s="4" t="s">
        <v>16</v>
      </c>
      <c r="B1704" s="4" t="s">
        <v>4813</v>
      </c>
      <c r="C1704" s="5">
        <v>44789.0</v>
      </c>
      <c r="D1704" s="10">
        <v>44790.0</v>
      </c>
      <c r="E1704" s="4" t="s">
        <v>4814</v>
      </c>
      <c r="F1704" s="4" t="s">
        <v>4815</v>
      </c>
      <c r="G1704" s="6" t="str">
        <f>IFERROR(__xludf.DUMMYFUNCTION("REGEXREPLACE(LOWER(F1704),""[^a-z\s]"","""")"),"awesome experience pet feeder was bent and email was sent explaining how feeder arrived and new feeder was sent out immediately great customer service well shop here again awesome awesome awesome second feeder arrived in excellent condition and my animals"&amp;" are in love with it")</f>
        <v>awesome experience pet feeder was bent and email was sent explaining how feeder arrived and new feeder was sent out immediately great customer service well shop here again awesome awesome awesome second feeder arrived in excellent condition and my animals are in love with it</v>
      </c>
      <c r="H1704" s="4" t="str">
        <f t="shared" si="1"/>
        <v>awesome experience pet feeder was bent email was sent explaining how feeder arrived new feeder was sent out immediately great customer service well shop here again awesome awesome awesome second feeder arrived in excellent condition my animals are in love with it</v>
      </c>
      <c r="I1704" s="6">
        <f t="shared" si="2"/>
        <v>42</v>
      </c>
      <c r="J1704" s="6">
        <f>IFERROR(__xludf.DUMMYFUNCTION("IF(H1704="""","""",
SUM(
ARRAYFORMULA(
IF(
REGEXMATCH(
"" ""&amp;H1704&amp;"" "",
"" ""&amp;Sentiment_Words!A$2:A3730&amp;"" ""
),
1,
0
)
)
)
)"),4.0)</f>
        <v>4</v>
      </c>
      <c r="K1704" s="4">
        <f>IFERROR(__xludf.DUMMYFUNCTION("IF(H1704="""","""",
SUM(
ARRAYFORMULA(
IF(
REGEXMATCH(
"" ""&amp;H1704&amp;"" "",
"" ""&amp;Sentiment_Words!B$2:B3730&amp;"" ""
),
1,
0
)
)
)
)"),1.0)</f>
        <v>1</v>
      </c>
      <c r="L1704" s="7" t="str">
        <f t="shared" si="3"/>
        <v>Customer Support</v>
      </c>
      <c r="M1704" s="7" t="str">
        <f t="shared" si="4"/>
        <v>Positive</v>
      </c>
      <c r="N1704" s="7" t="str">
        <f>IFERROR(__xludf.DUMMYFUNCTION("LOWER(
TRIM(
REGEXREPLACE(B1704,""[^a-zA-Z\s]"","""")
)
)
"),"timothy cooper")</f>
        <v>timothy cooper</v>
      </c>
      <c r="O1704" s="7">
        <f t="shared" si="5"/>
        <v>1</v>
      </c>
      <c r="P1704" s="8" t="str">
        <f t="shared" si="6"/>
        <v>No</v>
      </c>
    </row>
    <row r="1705">
      <c r="A1705" s="4" t="s">
        <v>16</v>
      </c>
      <c r="B1705" s="4" t="s">
        <v>4816</v>
      </c>
      <c r="C1705" s="5">
        <v>44789.0</v>
      </c>
      <c r="D1705" s="10">
        <v>44789.0</v>
      </c>
      <c r="E1705" s="4" t="s">
        <v>4817</v>
      </c>
      <c r="F1705" s="4" t="s">
        <v>4818</v>
      </c>
      <c r="G1705" s="6" t="str">
        <f>IFERROR(__xludf.DUMMYFUNCTION("REGEXREPLACE(LOWER(F1705),""[^a-z\s]"","""")"),"great prices and fast shipping awesome autoship discount as well")</f>
        <v>great prices and fast shipping awesome autoship discount as well</v>
      </c>
      <c r="H1705" s="4" t="str">
        <f t="shared" si="1"/>
        <v>great prices fast shipping awesome autoship discount as well</v>
      </c>
      <c r="I1705" s="6">
        <f t="shared" si="2"/>
        <v>9</v>
      </c>
      <c r="J1705" s="6">
        <f>IFERROR(__xludf.DUMMYFUNCTION("IF(H1705="""","""",
SUM(
ARRAYFORMULA(
IF(
REGEXMATCH(
"" ""&amp;H1705&amp;"" "",
"" ""&amp;Sentiment_Words!A$2:A3730&amp;"" ""
),
1,
0
)
)
)
)"),2.0)</f>
        <v>2</v>
      </c>
      <c r="K1705" s="4">
        <f>IFERROR(__xludf.DUMMYFUNCTION("IF(H1705="""","""",
SUM(
ARRAYFORMULA(
IF(
REGEXMATCH(
"" ""&amp;H1705&amp;"" "",
"" ""&amp;Sentiment_Words!B$2:B3730&amp;"" ""
),
1,
0
)
)
)
)"),0.0)</f>
        <v>0</v>
      </c>
      <c r="L1705" s="7" t="str">
        <f t="shared" si="3"/>
        <v>Other</v>
      </c>
      <c r="M1705" s="7" t="str">
        <f t="shared" si="4"/>
        <v>Positive</v>
      </c>
      <c r="N1705" s="7" t="str">
        <f>IFERROR(__xludf.DUMMYFUNCTION("LOWER(
TRIM(
REGEXREPLACE(B1705,""[^a-zA-Z\s]"","""")
)
)
"),"dennis")</f>
        <v>dennis</v>
      </c>
      <c r="O1705" s="7">
        <f t="shared" si="5"/>
        <v>2</v>
      </c>
      <c r="P1705" s="8" t="str">
        <f t="shared" si="6"/>
        <v>Yes</v>
      </c>
    </row>
    <row r="1706">
      <c r="A1706" s="4" t="s">
        <v>16</v>
      </c>
      <c r="B1706" s="4" t="s">
        <v>4819</v>
      </c>
      <c r="C1706" s="5">
        <v>44789.0</v>
      </c>
      <c r="D1706" s="10">
        <v>44789.0</v>
      </c>
      <c r="E1706" s="4" t="s">
        <v>4820</v>
      </c>
      <c r="F1706" s="4" t="s">
        <v>331</v>
      </c>
      <c r="G1706" s="6" t="str">
        <f>IFERROR(__xludf.DUMMYFUNCTION("REGEXREPLACE(LOWER(F1706),""[^a-z\s]"","""")"),"none")</f>
        <v>none</v>
      </c>
      <c r="H1706" s="4" t="str">
        <f t="shared" si="1"/>
        <v>none</v>
      </c>
      <c r="I1706" s="6">
        <f t="shared" si="2"/>
        <v>1</v>
      </c>
      <c r="J1706" s="6">
        <f>IFERROR(__xludf.DUMMYFUNCTION("IF(H1706="""","""",
SUM(
ARRAYFORMULA(
IF(
REGEXMATCH(
"" ""&amp;H1706&amp;"" "",
"" ""&amp;Sentiment_Words!A$2:A3730&amp;"" ""
),
1,
0
)
)
)
)"),0.0)</f>
        <v>0</v>
      </c>
      <c r="K1706" s="4">
        <f>IFERROR(__xludf.DUMMYFUNCTION("IF(H1706="""","""",
SUM(
ARRAYFORMULA(
IF(
REGEXMATCH(
"" ""&amp;H1706&amp;"" "",
"" ""&amp;Sentiment_Words!B$2:B3730&amp;"" ""
),
1,
0
)
)
)
)"),0.0)</f>
        <v>0</v>
      </c>
      <c r="L1706" s="7" t="str">
        <f t="shared" si="3"/>
        <v>Other</v>
      </c>
      <c r="M1706" s="7" t="str">
        <f t="shared" si="4"/>
        <v>Neutral</v>
      </c>
      <c r="N1706" s="7" t="str">
        <f>IFERROR(__xludf.DUMMYFUNCTION("LOWER(
TRIM(
REGEXREPLACE(B1706,""[^a-zA-Z\s]"","""")
)
)
"),"stephanie walker")</f>
        <v>stephanie walker</v>
      </c>
      <c r="O1706" s="7">
        <f t="shared" si="5"/>
        <v>1</v>
      </c>
      <c r="P1706" s="8" t="str">
        <f t="shared" si="6"/>
        <v>No</v>
      </c>
    </row>
    <row r="1707">
      <c r="A1707" s="4" t="s">
        <v>16</v>
      </c>
      <c r="B1707" s="4" t="s">
        <v>4821</v>
      </c>
      <c r="C1707" s="5">
        <v>44789.0</v>
      </c>
      <c r="D1707" s="10">
        <v>44789.0</v>
      </c>
      <c r="E1707" s="4" t="s">
        <v>4822</v>
      </c>
      <c r="F1707" s="4" t="s">
        <v>331</v>
      </c>
      <c r="G1707" s="6" t="str">
        <f>IFERROR(__xludf.DUMMYFUNCTION("REGEXREPLACE(LOWER(F1707),""[^a-z\s]"","""")"),"none")</f>
        <v>none</v>
      </c>
      <c r="H1707" s="4" t="str">
        <f t="shared" si="1"/>
        <v>none</v>
      </c>
      <c r="I1707" s="6">
        <f t="shared" si="2"/>
        <v>1</v>
      </c>
      <c r="J1707" s="6">
        <f>IFERROR(__xludf.DUMMYFUNCTION("IF(H1707="""","""",
SUM(
ARRAYFORMULA(
IF(
REGEXMATCH(
"" ""&amp;H1707&amp;"" "",
"" ""&amp;Sentiment_Words!A$2:A3730&amp;"" ""
),
1,
0
)
)
)
)"),0.0)</f>
        <v>0</v>
      </c>
      <c r="K1707" s="4">
        <f>IFERROR(__xludf.DUMMYFUNCTION("IF(H1707="""","""",
SUM(
ARRAYFORMULA(
IF(
REGEXMATCH(
"" ""&amp;H1707&amp;"" "",
"" ""&amp;Sentiment_Words!B$2:B3730&amp;"" ""
),
1,
0
)
)
)
)"),0.0)</f>
        <v>0</v>
      </c>
      <c r="L1707" s="7" t="str">
        <f t="shared" si="3"/>
        <v>Other</v>
      </c>
      <c r="M1707" s="7" t="str">
        <f t="shared" si="4"/>
        <v>Neutral</v>
      </c>
      <c r="N1707" s="7" t="str">
        <f>IFERROR(__xludf.DUMMYFUNCTION("LOWER(
TRIM(
REGEXREPLACE(B1707,""[^a-zA-Z\s]"","""")
)
)
"),"cam")</f>
        <v>cam</v>
      </c>
      <c r="O1707" s="7">
        <f t="shared" si="5"/>
        <v>1</v>
      </c>
      <c r="P1707" s="8" t="str">
        <f t="shared" si="6"/>
        <v>No</v>
      </c>
    </row>
    <row r="1708">
      <c r="A1708" s="4" t="s">
        <v>16</v>
      </c>
      <c r="B1708" s="4" t="s">
        <v>899</v>
      </c>
      <c r="C1708" s="5">
        <v>44788.0</v>
      </c>
      <c r="D1708" s="10">
        <v>44789.0</v>
      </c>
      <c r="E1708" s="4" t="s">
        <v>190</v>
      </c>
      <c r="F1708" s="4" t="s">
        <v>4823</v>
      </c>
      <c r="G1708" s="6" t="str">
        <f>IFERROR(__xludf.DUMMYFUNCTION("REGEXREPLACE(LOWER(F1708),""[^a-z\s]"","""")"),"great customer service i provided some feedback regarding couponpromo codes and received a very nice response quickly i was just offering some feedback in didnt wantexpect anything in return however the rep went above and beyond and provided me with a dis"&amp;"count wonderful customer service")</f>
        <v>great customer service i provided some feedback regarding couponpromo codes and received a very nice response quickly i was just offering some feedback in didnt wantexpect anything in return however the rep went above and beyond and provided me with a discount wonderful customer service</v>
      </c>
      <c r="H1708" s="4" t="str">
        <f t="shared" si="1"/>
        <v>great customer service i provided some feedback regarding couponpromo codes received a very nice response quickly i was just offering some feedback in didnt wantexpect anything in return however rep went above beyond provided me with a discount wonderful customer service</v>
      </c>
      <c r="I1708" s="6">
        <f t="shared" si="2"/>
        <v>41</v>
      </c>
      <c r="J1708" s="6">
        <f>IFERROR(__xludf.DUMMYFUNCTION("IF(H1708="""","""",
SUM(
ARRAYFORMULA(
IF(
REGEXMATCH(
"" ""&amp;H1708&amp;"" "",
"" ""&amp;Sentiment_Words!A$2:A3730&amp;"" ""
),
1,
0
)
)
)
)"),4.0)</f>
        <v>4</v>
      </c>
      <c r="K1708" s="4">
        <f>IFERROR(__xludf.DUMMYFUNCTION("IF(H1708="""","""",
SUM(
ARRAYFORMULA(
IF(
REGEXMATCH(
"" ""&amp;H1708&amp;"" "",
"" ""&amp;Sentiment_Words!B$2:B3730&amp;"" ""
),
1,
0
)
)
)
)"),1.0)</f>
        <v>1</v>
      </c>
      <c r="L1708" s="7" t="str">
        <f t="shared" si="3"/>
        <v>Customer Support</v>
      </c>
      <c r="M1708" s="7" t="str">
        <f t="shared" si="4"/>
        <v>Positive</v>
      </c>
      <c r="N1708" s="7" t="str">
        <f>IFERROR(__xludf.DUMMYFUNCTION("LOWER(
TRIM(
REGEXREPLACE(B1708,""[^a-zA-Z\s]"","""")
)
)
"),"rachel")</f>
        <v>rachel</v>
      </c>
      <c r="O1708" s="7">
        <f t="shared" si="5"/>
        <v>3</v>
      </c>
      <c r="P1708" s="8" t="str">
        <f t="shared" si="6"/>
        <v>Yes</v>
      </c>
    </row>
    <row r="1709">
      <c r="A1709" s="4" t="s">
        <v>16</v>
      </c>
      <c r="B1709" s="4" t="s">
        <v>4824</v>
      </c>
      <c r="C1709" s="5">
        <v>44788.0</v>
      </c>
      <c r="D1709" s="10">
        <v>44789.0</v>
      </c>
      <c r="E1709" s="4" t="s">
        <v>4825</v>
      </c>
      <c r="F1709" s="4" t="s">
        <v>4826</v>
      </c>
      <c r="G1709" s="6" t="str">
        <f>IFERROR(__xludf.DUMMYFUNCTION("REGEXREPLACE(LOWER(F1709),""[^a-z\s]"","""")"),"petflow has great pricing and service i signed up for the autoship program for out dogs hills science diet they were priced the most competitively my order shipped as promised and even delivered a day earlier than expected")</f>
        <v>petflow has great pricing and service i signed up for the autoship program for out dogs hills science diet they were priced the most competitively my order shipped as promised and even delivered a day earlier than expected</v>
      </c>
      <c r="H1709" s="4" t="str">
        <f t="shared" si="1"/>
        <v>petflow has great pricing service i signed up autoship program out dogs hills science diet they were priced most competitively my order shipped as promised even delivered a day earlier than expected</v>
      </c>
      <c r="I1709" s="6">
        <f t="shared" si="2"/>
        <v>32</v>
      </c>
      <c r="J1709" s="6">
        <f>IFERROR(__xludf.DUMMYFUNCTION("IF(H1709="""","""",
SUM(
ARRAYFORMULA(
IF(
REGEXMATCH(
"" ""&amp;H1709&amp;"" "",
"" ""&amp;Sentiment_Words!A$2:A3730&amp;"" ""
),
1,
0
)
)
)
)"),2.0)</f>
        <v>2</v>
      </c>
      <c r="K1709" s="4">
        <f>IFERROR(__xludf.DUMMYFUNCTION("IF(H1709="""","""",
SUM(
ARRAYFORMULA(
IF(
REGEXMATCH(
"" ""&amp;H1709&amp;"" "",
"" ""&amp;Sentiment_Words!B$2:B3730&amp;"" ""
),
1,
0
)
)
)
)"),0.0)</f>
        <v>0</v>
      </c>
      <c r="L1709" s="7" t="str">
        <f t="shared" si="3"/>
        <v>Customer Support</v>
      </c>
      <c r="M1709" s="7" t="str">
        <f t="shared" si="4"/>
        <v>Positive</v>
      </c>
      <c r="N1709" s="7" t="str">
        <f>IFERROR(__xludf.DUMMYFUNCTION("LOWER(
TRIM(
REGEXREPLACE(B1709,""[^a-zA-Z\s]"","""")
)
)
"),"angela rombach")</f>
        <v>angela rombach</v>
      </c>
      <c r="O1709" s="7">
        <f t="shared" si="5"/>
        <v>1</v>
      </c>
      <c r="P1709" s="8" t="str">
        <f t="shared" si="6"/>
        <v>No</v>
      </c>
    </row>
    <row r="1710">
      <c r="A1710" s="4" t="s">
        <v>16</v>
      </c>
      <c r="B1710" s="4" t="s">
        <v>4827</v>
      </c>
      <c r="C1710" s="5">
        <v>44788.0</v>
      </c>
      <c r="D1710" s="10">
        <v>44788.0</v>
      </c>
      <c r="E1710" s="4" t="s">
        <v>4828</v>
      </c>
      <c r="F1710" s="4" t="s">
        <v>4829</v>
      </c>
      <c r="G1710" s="6" t="str">
        <f>IFERROR(__xludf.DUMMYFUNCTION("REGEXREPLACE(LOWER(F1710),""[^a-z\s]"","""")"),"i wasnt happy when they told me they would not charge my card unless the item was available and ready to ship out but unfortunately that wasnt the case when they decided to charge my card even if it was a preauthorization or pending i dont like to see my "&amp;"balance increase unless the item is actually going to ship so today i will call to follow up because when i ordered this last time it looked available i got vet to approve prescription and it turned out the item was not in stock")</f>
        <v>i wasnt happy when they told me they would not charge my card unless the item was available and ready to ship out but unfortunately that wasnt the case when they decided to charge my card even if it was a preauthorization or pending i dont like to see my balance increase unless the item is actually going to ship so today i will call to follow up because when i ordered this last time it looked available i got vet to approve prescription and it turned out the item was not in stock</v>
      </c>
      <c r="H1710" s="4" t="str">
        <f t="shared" si="1"/>
        <v>i wasnt happy when they told me they would not charge my card unless item was available ready ship out but unfortunately that wasnt case when they decided charge my card even if it was a preauthorization or pending i dont like see my balance increase unless item actually going ship so today i will call follow up because when i ordered this last time it looked available i got vet approve prescription it turned out item was not in stock</v>
      </c>
      <c r="I1710" s="6">
        <f t="shared" si="2"/>
        <v>81</v>
      </c>
      <c r="J1710" s="6">
        <f>IFERROR(__xludf.DUMMYFUNCTION("IF(H1710="""","""",
SUM(
ARRAYFORMULA(
IF(
REGEXMATCH(
"" ""&amp;H1710&amp;"" "",
"" ""&amp;Sentiment_Words!A$2:A3730&amp;"" ""
),
1,
0
)
)
)
)"),2.0)</f>
        <v>2</v>
      </c>
      <c r="K1710" s="4">
        <f>IFERROR(__xludf.DUMMYFUNCTION("IF(H1710="""","""",
SUM(
ARRAYFORMULA(
IF(
REGEXMATCH(
"" ""&amp;H1710&amp;"" "",
"" ""&amp;Sentiment_Words!B$2:B3730&amp;"" ""
),
1,
0
)
)
)
)"),0.0)</f>
        <v>0</v>
      </c>
      <c r="L1710" s="7" t="str">
        <f t="shared" si="3"/>
        <v>Other</v>
      </c>
      <c r="M1710" s="7" t="str">
        <f t="shared" si="4"/>
        <v>Positive</v>
      </c>
      <c r="N1710" s="7" t="str">
        <f>IFERROR(__xludf.DUMMYFUNCTION("LOWER(
TRIM(
REGEXREPLACE(B1710,""[^a-zA-Z\s]"","""")
)
)
"),"desiree zambrana")</f>
        <v>desiree zambrana</v>
      </c>
      <c r="O1710" s="7">
        <f t="shared" si="5"/>
        <v>1</v>
      </c>
      <c r="P1710" s="8" t="str">
        <f t="shared" si="6"/>
        <v>No</v>
      </c>
    </row>
    <row r="1711">
      <c r="A1711" s="4" t="s">
        <v>16</v>
      </c>
      <c r="B1711" s="4" t="s">
        <v>4830</v>
      </c>
      <c r="C1711" s="5">
        <v>44788.0</v>
      </c>
      <c r="D1711" s="10">
        <v>44788.0</v>
      </c>
      <c r="E1711" s="4" t="s">
        <v>4831</v>
      </c>
      <c r="F1711" s="4" t="s">
        <v>4832</v>
      </c>
      <c r="G1711" s="6" t="str">
        <f>IFERROR(__xludf.DUMMYFUNCTION("REGEXREPLACE(LOWER(F1711),""[^a-z\s]"","""")"),"petflow has the best prices on nice dog pens and wonderful customer service")</f>
        <v>petflow has the best prices on nice dog pens and wonderful customer service</v>
      </c>
      <c r="H1711" s="4" t="str">
        <f t="shared" si="1"/>
        <v>petflow has best prices on nice dog pens wonderful customer service</v>
      </c>
      <c r="I1711" s="6">
        <f t="shared" si="2"/>
        <v>11</v>
      </c>
      <c r="J1711" s="6">
        <f>IFERROR(__xludf.DUMMYFUNCTION("IF(H1711="""","""",
SUM(
ARRAYFORMULA(
IF(
REGEXMATCH(
"" ""&amp;H1711&amp;"" "",
"" ""&amp;Sentiment_Words!A$2:A3730&amp;"" ""
),
1,
0
)
)
)
)"),1.0)</f>
        <v>1</v>
      </c>
      <c r="K1711" s="4">
        <f>IFERROR(__xludf.DUMMYFUNCTION("IF(H1711="""","""",
SUM(
ARRAYFORMULA(
IF(
REGEXMATCH(
"" ""&amp;H1711&amp;"" "",
"" ""&amp;Sentiment_Words!B$2:B3730&amp;"" ""
),
1,
0
)
)
)
)"),1.0)</f>
        <v>1</v>
      </c>
      <c r="L1711" s="7" t="str">
        <f t="shared" si="3"/>
        <v>Customer Support</v>
      </c>
      <c r="M1711" s="7" t="str">
        <f t="shared" si="4"/>
        <v>Neutral</v>
      </c>
      <c r="N1711" s="7" t="str">
        <f>IFERROR(__xludf.DUMMYFUNCTION("LOWER(
TRIM(
REGEXREPLACE(B1711,""[^a-zA-Z\s]"","""")
)
)
"),"llb")</f>
        <v>llb</v>
      </c>
      <c r="O1711" s="7">
        <f t="shared" si="5"/>
        <v>1</v>
      </c>
      <c r="P1711" s="8" t="str">
        <f t="shared" si="6"/>
        <v>No</v>
      </c>
    </row>
    <row r="1712">
      <c r="A1712" s="4" t="s">
        <v>16</v>
      </c>
      <c r="B1712" s="4" t="s">
        <v>4833</v>
      </c>
      <c r="C1712" s="5">
        <v>44788.0</v>
      </c>
      <c r="D1712" s="10">
        <v>44788.0</v>
      </c>
      <c r="E1712" s="4" t="s">
        <v>4834</v>
      </c>
      <c r="F1712" s="4" t="s">
        <v>4835</v>
      </c>
      <c r="G1712" s="6" t="str">
        <f>IFERROR(__xludf.DUMMYFUNCTION("REGEXREPLACE(LOWER(F1712),""[^a-z\s]"","""")"),"at the time i ordered the product your website said that it was in stock but after about a week later it was no longer in stock and i could not get it at all i was really hoping that i could get this since after much research your website showed that it w"&amp;"as available")</f>
        <v>at the time i ordered the product your website said that it was in stock but after about a week later it was no longer in stock and i could not get it at all i was really hoping that i could get this since after much research your website showed that it was available</v>
      </c>
      <c r="H1712" s="4" t="str">
        <f t="shared" si="1"/>
        <v>at time i ordered product your website said that it was in stock but after about a week later it was no longer in stock i could not get it at all i was really hoping that i could get this since after much research your website showed that it was available</v>
      </c>
      <c r="I1712" s="6">
        <f t="shared" si="2"/>
        <v>52</v>
      </c>
      <c r="J1712" s="6">
        <f>IFERROR(__xludf.DUMMYFUNCTION("IF(H1712="""","""",
SUM(
ARRAYFORMULA(
IF(
REGEXMATCH(
"" ""&amp;H1712&amp;"" "",
"" ""&amp;Sentiment_Words!A$2:A3730&amp;"" ""
),
1,
0
)
)
)
)"),1.0)</f>
        <v>1</v>
      </c>
      <c r="K1712" s="4">
        <f>IFERROR(__xludf.DUMMYFUNCTION("IF(H1712="""","""",
SUM(
ARRAYFORMULA(
IF(
REGEXMATCH(
"" ""&amp;H1712&amp;"" "",
"" ""&amp;Sentiment_Words!B$2:B3730&amp;"" ""
),
1,
0
)
)
)
)"),0.0)</f>
        <v>0</v>
      </c>
      <c r="L1712" s="7" t="str">
        <f t="shared" si="3"/>
        <v>Fulfillment &amp; Shipping</v>
      </c>
      <c r="M1712" s="7" t="str">
        <f t="shared" si="4"/>
        <v>Positive</v>
      </c>
      <c r="N1712" s="7" t="str">
        <f>IFERROR(__xludf.DUMMYFUNCTION("LOWER(
TRIM(
REGEXREPLACE(B1712,""[^a-zA-Z\s]"","""")
)
)
"),"joseph gonzales")</f>
        <v>joseph gonzales</v>
      </c>
      <c r="O1712" s="7">
        <f t="shared" si="5"/>
        <v>1</v>
      </c>
      <c r="P1712" s="8" t="str">
        <f t="shared" si="6"/>
        <v>No</v>
      </c>
    </row>
    <row r="1713">
      <c r="A1713" s="4" t="s">
        <v>16</v>
      </c>
      <c r="B1713" s="4" t="s">
        <v>4836</v>
      </c>
      <c r="C1713" s="5">
        <v>44788.0</v>
      </c>
      <c r="D1713" s="10">
        <v>44788.0</v>
      </c>
      <c r="E1713" s="4" t="s">
        <v>4837</v>
      </c>
      <c r="F1713" s="4" t="s">
        <v>4838</v>
      </c>
      <c r="G1713" s="6" t="str">
        <f>IFERROR(__xludf.DUMMYFUNCTION("REGEXREPLACE(LOWER(F1713),""[^a-z\s]"","""")"),"ive shopped with petflow for years excellent selection very good customer service too the shipping can be a little slow but thats fedex not them i get aggravated with the auto ship and you have to call in to cancel but otherwise dry happy with them")</f>
        <v>ive shopped with petflow for years excellent selection very good customer service too the shipping can be a little slow but thats fedex not them i get aggravated with the auto ship and you have to call in to cancel but otherwise dry happy with them</v>
      </c>
      <c r="H1713" s="4" t="str">
        <f t="shared" si="1"/>
        <v>ive shopped with petflow years excellent selection very good customer service too shipping can be a little slow but thats fedex not them i get aggravated with auto ship you have call in cancel but otherwise dry happy with them</v>
      </c>
      <c r="I1713" s="6">
        <f t="shared" si="2"/>
        <v>40</v>
      </c>
      <c r="J1713" s="6">
        <f>IFERROR(__xludf.DUMMYFUNCTION("IF(H1713="""","""",
SUM(
ARRAYFORMULA(
IF(
REGEXMATCH(
"" ""&amp;H1713&amp;"" "",
"" ""&amp;Sentiment_Words!A$2:A3730&amp;"" ""
),
1,
0
)
)
)
)"),3.0)</f>
        <v>3</v>
      </c>
      <c r="K1713" s="4">
        <f>IFERROR(__xludf.DUMMYFUNCTION("IF(H1713="""","""",
SUM(
ARRAYFORMULA(
IF(
REGEXMATCH(
"" ""&amp;H1713&amp;"" "",
"" ""&amp;Sentiment_Words!B$2:B3730&amp;"" ""
),
1,
0
)
)
)
)"),1.0)</f>
        <v>1</v>
      </c>
      <c r="L1713" s="7" t="str">
        <f t="shared" si="3"/>
        <v>Customer Support</v>
      </c>
      <c r="M1713" s="7" t="str">
        <f t="shared" si="4"/>
        <v>Positive</v>
      </c>
      <c r="N1713" s="7" t="str">
        <f>IFERROR(__xludf.DUMMYFUNCTION("LOWER(
TRIM(
REGEXREPLACE(B1713,""[^a-zA-Z\s]"","""")
)
)
"),"ron")</f>
        <v>ron</v>
      </c>
      <c r="O1713" s="7">
        <f t="shared" si="5"/>
        <v>1</v>
      </c>
      <c r="P1713" s="8" t="str">
        <f t="shared" si="6"/>
        <v>No</v>
      </c>
    </row>
    <row r="1714">
      <c r="A1714" s="4" t="s">
        <v>16</v>
      </c>
      <c r="B1714" s="4" t="s">
        <v>4839</v>
      </c>
      <c r="C1714" s="5">
        <v>44788.0</v>
      </c>
      <c r="D1714" s="10">
        <v>44788.0</v>
      </c>
      <c r="E1714" s="4" t="s">
        <v>4840</v>
      </c>
      <c r="F1714" s="4" t="s">
        <v>4841</v>
      </c>
      <c r="G1714" s="6" t="str">
        <f>IFERROR(__xludf.DUMMYFUNCTION("REGEXREPLACE(LOWER(F1714),""[^a-z\s]"","""")"),"i cant actually manage autoship i always get an error that would prompt me to contact costumer service")</f>
        <v>i cant actually manage autoship i always get an error that would prompt me to contact costumer service</v>
      </c>
      <c r="H1714" s="4" t="str">
        <f t="shared" si="1"/>
        <v>i cant actually manage autoship i always get an error that would prompt me contact costumer service</v>
      </c>
      <c r="I1714" s="6">
        <f t="shared" si="2"/>
        <v>17</v>
      </c>
      <c r="J1714" s="6">
        <f>IFERROR(__xludf.DUMMYFUNCTION("IF(H1714="""","""",
SUM(
ARRAYFORMULA(
IF(
REGEXMATCH(
"" ""&amp;H1714&amp;"" "",
"" ""&amp;Sentiment_Words!A$2:A3730&amp;"" ""
),
1,
0
)
)
)
)"),1.0)</f>
        <v>1</v>
      </c>
      <c r="K1714" s="4">
        <f>IFERROR(__xludf.DUMMYFUNCTION("IF(H1714="""","""",
SUM(
ARRAYFORMULA(
IF(
REGEXMATCH(
"" ""&amp;H1714&amp;"" "",
"" ""&amp;Sentiment_Words!B$2:B3730&amp;"" ""
),
1,
0
)
)
)
)"),0.0)</f>
        <v>0</v>
      </c>
      <c r="L1714" s="7" t="str">
        <f t="shared" si="3"/>
        <v>Customer Support</v>
      </c>
      <c r="M1714" s="7" t="str">
        <f t="shared" si="4"/>
        <v>Positive</v>
      </c>
      <c r="N1714" s="7" t="str">
        <f>IFERROR(__xludf.DUMMYFUNCTION("LOWER(
TRIM(
REGEXREPLACE(B1714,""[^a-zA-Z\s]"","""")
)
)
"),"brenda keister")</f>
        <v>brenda keister</v>
      </c>
      <c r="O1714" s="7">
        <f t="shared" si="5"/>
        <v>1</v>
      </c>
      <c r="P1714" s="8" t="str">
        <f t="shared" si="6"/>
        <v>No</v>
      </c>
    </row>
    <row r="1715">
      <c r="A1715" s="4" t="s">
        <v>16</v>
      </c>
      <c r="B1715" s="4" t="s">
        <v>4842</v>
      </c>
      <c r="C1715" s="5">
        <v>44788.0</v>
      </c>
      <c r="D1715" s="10">
        <v>44788.0</v>
      </c>
      <c r="E1715" s="4" t="s">
        <v>4843</v>
      </c>
      <c r="F1715" s="4" t="s">
        <v>4844</v>
      </c>
      <c r="G1715" s="6" t="str">
        <f>IFERROR(__xludf.DUMMYFUNCTION("REGEXREPLACE(LOWER(F1715),""[^a-z\s]"","""")"),"disappointed in your service was told that you had an item in stock to be mailed when i inquired about status of order i was told an error was made and food was not being mailed out of stock ")</f>
        <v>disappointed in your service was told that you had an item in stock to be mailed when i inquired about status of order i was told an error was made and food was not being mailed out of stock </v>
      </c>
      <c r="H1715" s="4" t="str">
        <f t="shared" si="1"/>
        <v>disappointed in your service was told that you had an item in stock be mailed when i inquired about status of order i was told an error was made food was not being mailed out of stock</v>
      </c>
      <c r="I1715" s="6">
        <f t="shared" si="2"/>
        <v>37</v>
      </c>
      <c r="J1715" s="6">
        <f>IFERROR(__xludf.DUMMYFUNCTION("IF(H1715="""","""",
SUM(
ARRAYFORMULA(
IF(
REGEXMATCH(
"" ""&amp;H1715&amp;"" "",
"" ""&amp;Sentiment_Words!A$2:A3730&amp;"" ""
),
1,
0
)
)
)
)"),0.0)</f>
        <v>0</v>
      </c>
      <c r="K1715" s="4">
        <f>IFERROR(__xludf.DUMMYFUNCTION("IF(H1715="""","""",
SUM(
ARRAYFORMULA(
IF(
REGEXMATCH(
"" ""&amp;H1715&amp;"" "",
"" ""&amp;Sentiment_Words!B$2:B3730&amp;"" ""
),
1,
0
)
)
)
)"),1.0)</f>
        <v>1</v>
      </c>
      <c r="L1715" s="7" t="str">
        <f t="shared" si="3"/>
        <v>Customer Support</v>
      </c>
      <c r="M1715" s="7" t="str">
        <f t="shared" si="4"/>
        <v>Negative</v>
      </c>
      <c r="N1715" s="7" t="str">
        <f>IFERROR(__xludf.DUMMYFUNCTION("LOWER(
TRIM(
REGEXREPLACE(B1715,""[^a-zA-Z\s]"","""")
)
)
"),"linda murphy")</f>
        <v>linda murphy</v>
      </c>
      <c r="O1715" s="7">
        <f t="shared" si="5"/>
        <v>1</v>
      </c>
      <c r="P1715" s="8" t="str">
        <f t="shared" si="6"/>
        <v>No</v>
      </c>
    </row>
    <row r="1716">
      <c r="A1716" s="4" t="s">
        <v>16</v>
      </c>
      <c r="B1716" s="4" t="s">
        <v>4845</v>
      </c>
      <c r="C1716" s="5">
        <v>44788.0</v>
      </c>
      <c r="D1716" s="10">
        <v>44788.0</v>
      </c>
      <c r="E1716" s="4" t="s">
        <v>4846</v>
      </c>
      <c r="F1716" s="4" t="s">
        <v>4847</v>
      </c>
      <c r="G1716" s="6" t="str">
        <f>IFERROR(__xludf.DUMMYFUNCTION("REGEXREPLACE(LOWER(F1716),""[^a-z\s]"","""")"),"i made my first order for blue buffalo wet food for  cases because the price was great the food cost had suddenly skyrocketed on amazon and chewy shipping was fast and exactly right food had extended expiration dates so i immediately repeated my order and"&amp;" had the same great experience im sold on this company")</f>
        <v>i made my first order for blue buffalo wet food for  cases because the price was great the food cost had suddenly skyrocketed on amazon and chewy shipping was fast and exactly right food had extended expiration dates so i immediately repeated my order and had the same great experience im sold on this company</v>
      </c>
      <c r="H1716" s="4" t="str">
        <f t="shared" si="1"/>
        <v>i made my first order blue buffalo wet food cases because price was great food cost had suddenly skyrocketed on amazon chewy shipping was fast exactly right food had extended expiration dates so i immediately repeated my order had same great experience im sold on this company</v>
      </c>
      <c r="I1716" s="6">
        <f t="shared" si="2"/>
        <v>47</v>
      </c>
      <c r="J1716" s="6">
        <f>IFERROR(__xludf.DUMMYFUNCTION("IF(H1716="""","""",
SUM(
ARRAYFORMULA(
IF(
REGEXMATCH(
"" ""&amp;H1716&amp;"" "",
"" ""&amp;Sentiment_Words!A$2:A3730&amp;"" ""
),
1,
0
)
)
)
)"),3.0)</f>
        <v>3</v>
      </c>
      <c r="K1716" s="4">
        <f>IFERROR(__xludf.DUMMYFUNCTION("IF(H1716="""","""",
SUM(
ARRAYFORMULA(
IF(
REGEXMATCH(
"" ""&amp;H1716&amp;"" "",
"" ""&amp;Sentiment_Words!B$2:B3730&amp;"" ""
),
1,
0
)
)
)
)"),0.0)</f>
        <v>0</v>
      </c>
      <c r="L1716" s="7" t="str">
        <f t="shared" si="3"/>
        <v>Other</v>
      </c>
      <c r="M1716" s="7" t="str">
        <f t="shared" si="4"/>
        <v>Positive</v>
      </c>
      <c r="N1716" s="7" t="str">
        <f>IFERROR(__xludf.DUMMYFUNCTION("LOWER(
TRIM(
REGEXREPLACE(B1716,""[^a-zA-Z\s]"","""")
)
)
"),"hat")</f>
        <v>hat</v>
      </c>
      <c r="O1716" s="7">
        <f t="shared" si="5"/>
        <v>1</v>
      </c>
      <c r="P1716" s="8" t="str">
        <f t="shared" si="6"/>
        <v>No</v>
      </c>
    </row>
    <row r="1717">
      <c r="A1717" s="4" t="s">
        <v>16</v>
      </c>
      <c r="B1717" s="4" t="s">
        <v>4848</v>
      </c>
      <c r="C1717" s="5">
        <v>44788.0</v>
      </c>
      <c r="D1717" s="10">
        <v>44788.0</v>
      </c>
      <c r="E1717" s="4" t="s">
        <v>4849</v>
      </c>
      <c r="F1717" s="4" t="s">
        <v>4850</v>
      </c>
      <c r="G1717" s="6" t="str">
        <f>IFERROR(__xludf.DUMMYFUNCTION("REGEXREPLACE(LOWER(F1717),""[^a-z\s]"","""")"),"my canned dog came dented one can was so dented that it opened and was so spoiled from being out on delivery that my whole kitchen smelled and i had to throw away about  or  of the cans it was so incredibly disgusting")</f>
        <v>my canned dog came dented one can was so dented that it opened and was so spoiled from being out on delivery that my whole kitchen smelled and i had to throw away about  or  of the cans it was so incredibly disgusting</v>
      </c>
      <c r="H1717" s="4" t="str">
        <f t="shared" si="1"/>
        <v>my canned dog came dented one can was so dented that it opened was so spoiled from being out on delivery that my whole kitchen smelled i had throw away about or of cans it was so incredibly disgusting</v>
      </c>
      <c r="I1717" s="6">
        <f t="shared" si="2"/>
        <v>39</v>
      </c>
      <c r="J1717" s="6">
        <f>IFERROR(__xludf.DUMMYFUNCTION("IF(H1717="""","""",
SUM(
ARRAYFORMULA(
IF(
REGEXMATCH(
"" ""&amp;H1717&amp;"" "",
"" ""&amp;Sentiment_Words!A$2:A3730&amp;"" ""
),
1,
0
)
)
)
)"),0.0)</f>
        <v>0</v>
      </c>
      <c r="K1717" s="4">
        <f>IFERROR(__xludf.DUMMYFUNCTION("IF(H1717="""","""",
SUM(
ARRAYFORMULA(
IF(
REGEXMATCH(
"" ""&amp;H1717&amp;"" "",
"" ""&amp;Sentiment_Words!B$2:B3730&amp;"" ""
),
1,
0
)
)
)
)"),1.0)</f>
        <v>1</v>
      </c>
      <c r="L1717" s="7" t="str">
        <f t="shared" si="3"/>
        <v>Food Safety</v>
      </c>
      <c r="M1717" s="7" t="str">
        <f t="shared" si="4"/>
        <v>Negative</v>
      </c>
      <c r="N1717" s="7" t="str">
        <f>IFERROR(__xludf.DUMMYFUNCTION("LOWER(
TRIM(
REGEXREPLACE(B1717,""[^a-zA-Z\s]"","""")
)
)
"),"margaret finnegan")</f>
        <v>margaret finnegan</v>
      </c>
      <c r="O1717" s="7">
        <f t="shared" si="5"/>
        <v>1</v>
      </c>
      <c r="P1717" s="8" t="str">
        <f t="shared" si="6"/>
        <v>No</v>
      </c>
    </row>
    <row r="1718">
      <c r="A1718" s="4" t="s">
        <v>16</v>
      </c>
      <c r="B1718" s="4" t="s">
        <v>4851</v>
      </c>
      <c r="C1718" s="5">
        <v>44788.0</v>
      </c>
      <c r="D1718" s="10">
        <v>44788.0</v>
      </c>
      <c r="E1718" s="4" t="s">
        <v>4852</v>
      </c>
      <c r="F1718" s="4" t="s">
        <v>4853</v>
      </c>
      <c r="G1718" s="6" t="str">
        <f>IFERROR(__xludf.DUMMYFUNCTION("REGEXREPLACE(LOWER(F1718),""[^a-z\s]"","""")"),"they did not fulfill any of my orders few reliable")</f>
        <v>they did not fulfill any of my orders few reliable</v>
      </c>
      <c r="H1718" s="4" t="str">
        <f t="shared" si="1"/>
        <v>they did not fulfill any of my orders few reliable</v>
      </c>
      <c r="I1718" s="6">
        <f t="shared" si="2"/>
        <v>10</v>
      </c>
      <c r="J1718" s="6">
        <f>IFERROR(__xludf.DUMMYFUNCTION("IF(H1718="""","""",
SUM(
ARRAYFORMULA(
IF(
REGEXMATCH(
"" ""&amp;H1718&amp;"" "",
"" ""&amp;Sentiment_Words!A$2:A3730&amp;"" ""
),
1,
0
)
)
)
)"),1.0)</f>
        <v>1</v>
      </c>
      <c r="K1718" s="4">
        <f>IFERROR(__xludf.DUMMYFUNCTION("IF(H1718="""","""",
SUM(
ARRAYFORMULA(
IF(
REGEXMATCH(
"" ""&amp;H1718&amp;"" "",
"" ""&amp;Sentiment_Words!B$2:B3730&amp;"" ""
),
1,
0
)
)
)
)"),0.0)</f>
        <v>0</v>
      </c>
      <c r="L1718" s="7" t="str">
        <f t="shared" si="3"/>
        <v>Other</v>
      </c>
      <c r="M1718" s="7" t="str">
        <f t="shared" si="4"/>
        <v>Positive</v>
      </c>
      <c r="N1718" s="7" t="str">
        <f>IFERROR(__xludf.DUMMYFUNCTION("LOWER(
TRIM(
REGEXREPLACE(B1718,""[^a-zA-Z\s]"","""")
)
)
"),"richard davila")</f>
        <v>richard davila</v>
      </c>
      <c r="O1718" s="7">
        <f t="shared" si="5"/>
        <v>1</v>
      </c>
      <c r="P1718" s="8" t="str">
        <f t="shared" si="6"/>
        <v>No</v>
      </c>
    </row>
    <row r="1719">
      <c r="A1719" s="4" t="s">
        <v>16</v>
      </c>
      <c r="B1719" s="4" t="s">
        <v>4854</v>
      </c>
      <c r="C1719" s="5">
        <v>44788.0</v>
      </c>
      <c r="D1719" s="10">
        <v>44788.0</v>
      </c>
      <c r="E1719" s="4" t="s">
        <v>2136</v>
      </c>
      <c r="F1719" s="4" t="s">
        <v>4855</v>
      </c>
      <c r="G1719" s="6" t="str">
        <f>IFERROR(__xludf.DUMMYFUNCTION("REGEXREPLACE(LOWER(F1719),""[^a-z\s]"","""")"),"quick shipping great selection of dog foods")</f>
        <v>quick shipping great selection of dog foods</v>
      </c>
      <c r="H1719" s="4" t="str">
        <f t="shared" si="1"/>
        <v>quick shipping great selection of dog foods</v>
      </c>
      <c r="I1719" s="6">
        <f t="shared" si="2"/>
        <v>7</v>
      </c>
      <c r="J1719" s="6">
        <f>IFERROR(__xludf.DUMMYFUNCTION("IF(H1719="""","""",
SUM(
ARRAYFORMULA(
IF(
REGEXMATCH(
"" ""&amp;H1719&amp;"" "",
"" ""&amp;Sentiment_Words!A$2:A3730&amp;"" ""
),
1,
0
)
)
)
)"),1.0)</f>
        <v>1</v>
      </c>
      <c r="K1719" s="4">
        <f>IFERROR(__xludf.DUMMYFUNCTION("IF(H1719="""","""",
SUM(
ARRAYFORMULA(
IF(
REGEXMATCH(
"" ""&amp;H1719&amp;"" "",
"" ""&amp;Sentiment_Words!B$2:B3730&amp;"" ""
),
1,
0
)
)
)
)"),0.0)</f>
        <v>0</v>
      </c>
      <c r="L1719" s="7" t="str">
        <f t="shared" si="3"/>
        <v>Other</v>
      </c>
      <c r="M1719" s="7" t="str">
        <f t="shared" si="4"/>
        <v>Positive</v>
      </c>
      <c r="N1719" s="7" t="str">
        <f>IFERROR(__xludf.DUMMYFUNCTION("LOWER(
TRIM(
REGEXREPLACE(B1719,""[^a-zA-Z\s]"","""")
)
)
"),"susan ross")</f>
        <v>susan ross</v>
      </c>
      <c r="O1719" s="7">
        <f t="shared" si="5"/>
        <v>1</v>
      </c>
      <c r="P1719" s="8" t="str">
        <f t="shared" si="6"/>
        <v>No</v>
      </c>
    </row>
    <row r="1720">
      <c r="A1720" s="4" t="s">
        <v>16</v>
      </c>
      <c r="B1720" s="4" t="s">
        <v>4856</v>
      </c>
      <c r="C1720" s="5">
        <v>44787.0</v>
      </c>
      <c r="D1720" s="10">
        <v>44788.0</v>
      </c>
      <c r="E1720" s="4" t="s">
        <v>4857</v>
      </c>
      <c r="F1720" s="4" t="s">
        <v>4858</v>
      </c>
      <c r="G1720" s="6" t="str">
        <f>IFERROR(__xludf.DUMMYFUNCTION("REGEXREPLACE(LOWER(F1720),""[^a-z\s]"","""")"),"best price on dog food and super fast shippinglove pet flow")</f>
        <v>best price on dog food and super fast shippinglove pet flow</v>
      </c>
      <c r="H1720" s="4" t="str">
        <f t="shared" si="1"/>
        <v>best price on dog food super fast shippinglove pet flow</v>
      </c>
      <c r="I1720" s="6">
        <f t="shared" si="2"/>
        <v>10</v>
      </c>
      <c r="J1720" s="6">
        <f>IFERROR(__xludf.DUMMYFUNCTION("IF(H1720="""","""",
SUM(
ARRAYFORMULA(
IF(
REGEXMATCH(
"" ""&amp;H1720&amp;"" "",
"" ""&amp;Sentiment_Words!A$2:A3730&amp;"" ""
),
1,
0
)
)
)
)"),1.0)</f>
        <v>1</v>
      </c>
      <c r="K1720" s="4">
        <f>IFERROR(__xludf.DUMMYFUNCTION("IF(H1720="""","""",
SUM(
ARRAYFORMULA(
IF(
REGEXMATCH(
"" ""&amp;H1720&amp;"" "",
"" ""&amp;Sentiment_Words!B$2:B3730&amp;"" ""
),
1,
0
)
)
)
)"),0.0)</f>
        <v>0</v>
      </c>
      <c r="L1720" s="7" t="str">
        <f t="shared" si="3"/>
        <v>Other</v>
      </c>
      <c r="M1720" s="7" t="str">
        <f t="shared" si="4"/>
        <v>Positive</v>
      </c>
      <c r="N1720" s="7" t="str">
        <f>IFERROR(__xludf.DUMMYFUNCTION("LOWER(
TRIM(
REGEXREPLACE(B1720,""[^a-zA-Z\s]"","""")
)
)
"),"terryn")</f>
        <v>terryn</v>
      </c>
      <c r="O1720" s="7">
        <f t="shared" si="5"/>
        <v>1</v>
      </c>
      <c r="P1720" s="8" t="str">
        <f t="shared" si="6"/>
        <v>No</v>
      </c>
    </row>
    <row r="1721">
      <c r="A1721" s="4" t="s">
        <v>16</v>
      </c>
      <c r="B1721" s="4" t="s">
        <v>4859</v>
      </c>
      <c r="C1721" s="5">
        <v>44787.0</v>
      </c>
      <c r="D1721" s="10">
        <v>44787.0</v>
      </c>
      <c r="E1721" s="4" t="s">
        <v>4860</v>
      </c>
      <c r="F1721" s="4" t="s">
        <v>4861</v>
      </c>
      <c r="G1721" s="6" t="str">
        <f>IFERROR(__xludf.DUMMYFUNCTION("REGEXREPLACE(LOWER(F1721),""[^a-z\s]"","""")"),"always easy to work with  the best customer service ")</f>
        <v>always easy to work with  the best customer service </v>
      </c>
      <c r="H1721" s="4" t="str">
        <f t="shared" si="1"/>
        <v>always easy work with best customer service</v>
      </c>
      <c r="I1721" s="6">
        <f t="shared" si="2"/>
        <v>7</v>
      </c>
      <c r="J1721" s="6">
        <f>IFERROR(__xludf.DUMMYFUNCTION("IF(H1721="""","""",
SUM(
ARRAYFORMULA(
IF(
REGEXMATCH(
"" ""&amp;H1721&amp;"" "",
"" ""&amp;Sentiment_Words!A$2:A3730&amp;"" ""
),
1,
0
)
)
)
)"),1.0)</f>
        <v>1</v>
      </c>
      <c r="K1721" s="4">
        <f>IFERROR(__xludf.DUMMYFUNCTION("IF(H1721="""","""",
SUM(
ARRAYFORMULA(
IF(
REGEXMATCH(
"" ""&amp;H1721&amp;"" "",
"" ""&amp;Sentiment_Words!B$2:B3730&amp;"" ""
),
1,
0
)
)
)
)"),1.0)</f>
        <v>1</v>
      </c>
      <c r="L1721" s="7" t="str">
        <f t="shared" si="3"/>
        <v>Customer Support</v>
      </c>
      <c r="M1721" s="7" t="str">
        <f t="shared" si="4"/>
        <v>Neutral</v>
      </c>
      <c r="N1721" s="7" t="str">
        <f>IFERROR(__xludf.DUMMYFUNCTION("LOWER(
TRIM(
REGEXREPLACE(B1721,""[^a-zA-Z\s]"","""")
)
)
"),"patricia sosa")</f>
        <v>patricia sosa</v>
      </c>
      <c r="O1721" s="7">
        <f t="shared" si="5"/>
        <v>1</v>
      </c>
      <c r="P1721" s="8" t="str">
        <f t="shared" si="6"/>
        <v>No</v>
      </c>
    </row>
    <row r="1722">
      <c r="A1722" s="4" t="s">
        <v>16</v>
      </c>
      <c r="B1722" s="4" t="s">
        <v>4862</v>
      </c>
      <c r="C1722" s="5">
        <v>44787.0</v>
      </c>
      <c r="D1722" s="10">
        <v>44787.0</v>
      </c>
      <c r="E1722" s="4" t="s">
        <v>1780</v>
      </c>
      <c r="F1722" s="4" t="s">
        <v>4863</v>
      </c>
      <c r="G1722" s="6" t="str">
        <f>IFERROR(__xludf.DUMMYFUNCTION("REGEXREPLACE(LOWER(F1722),""[^a-z\s]"","""")"),"easy ordering they kept me updated about my order order was shipped and delivered quickly great service")</f>
        <v>easy ordering they kept me updated about my order order was shipped and delivered quickly great service</v>
      </c>
      <c r="H1722" s="4" t="str">
        <f t="shared" si="1"/>
        <v>easy ordering they kept me updated about my order order was shipped delivered quickly great service</v>
      </c>
      <c r="I1722" s="6">
        <f t="shared" si="2"/>
        <v>16</v>
      </c>
      <c r="J1722" s="6">
        <f>IFERROR(__xludf.DUMMYFUNCTION("IF(H1722="""","""",
SUM(
ARRAYFORMULA(
IF(
REGEXMATCH(
"" ""&amp;H1722&amp;"" "",
"" ""&amp;Sentiment_Words!A$2:A3730&amp;"" ""
),
1,
0
)
)
)
)"),3.0)</f>
        <v>3</v>
      </c>
      <c r="K1722" s="4">
        <f>IFERROR(__xludf.DUMMYFUNCTION("IF(H1722="""","""",
SUM(
ARRAYFORMULA(
IF(
REGEXMATCH(
"" ""&amp;H1722&amp;"" "",
"" ""&amp;Sentiment_Words!B$2:B3730&amp;"" ""
),
1,
0
)
)
)
)"),0.0)</f>
        <v>0</v>
      </c>
      <c r="L1722" s="7" t="str">
        <f t="shared" si="3"/>
        <v>Customer Support</v>
      </c>
      <c r="M1722" s="7" t="str">
        <f t="shared" si="4"/>
        <v>Positive</v>
      </c>
      <c r="N1722" s="7" t="str">
        <f>IFERROR(__xludf.DUMMYFUNCTION("LOWER(
TRIM(
REGEXREPLACE(B1722,""[^a-zA-Z\s]"","""")
)
)
"),"lorrie candler")</f>
        <v>lorrie candler</v>
      </c>
      <c r="O1722" s="7">
        <f t="shared" si="5"/>
        <v>1</v>
      </c>
      <c r="P1722" s="8" t="str">
        <f t="shared" si="6"/>
        <v>No</v>
      </c>
    </row>
    <row r="1723">
      <c r="A1723" s="4" t="s">
        <v>16</v>
      </c>
      <c r="B1723" s="4" t="s">
        <v>4864</v>
      </c>
      <c r="C1723" s="5">
        <v>44787.0</v>
      </c>
      <c r="D1723" s="10">
        <v>44787.0</v>
      </c>
      <c r="E1723" s="4" t="s">
        <v>4865</v>
      </c>
      <c r="F1723" s="4" t="s">
        <v>4866</v>
      </c>
      <c r="G1723" s="6" t="str">
        <f>IFERROR(__xludf.DUMMYFUNCTION("REGEXREPLACE(LOWER(F1723),""[^a-z\s]"","""")"),"greatprompt service great product linda ryburn")</f>
        <v>greatprompt service great product linda ryburn</v>
      </c>
      <c r="H1723" s="4" t="str">
        <f t="shared" si="1"/>
        <v>greatprompt service great product linda ryburn</v>
      </c>
      <c r="I1723" s="6">
        <f t="shared" si="2"/>
        <v>6</v>
      </c>
      <c r="J1723" s="6">
        <f>IFERROR(__xludf.DUMMYFUNCTION("IF(H1723="""","""",
SUM(
ARRAYFORMULA(
IF(
REGEXMATCH(
"" ""&amp;H1723&amp;"" "",
"" ""&amp;Sentiment_Words!A$2:A3730&amp;"" ""
),
1,
0
)
)
)
)"),1.0)</f>
        <v>1</v>
      </c>
      <c r="K1723" s="4">
        <f>IFERROR(__xludf.DUMMYFUNCTION("IF(H1723="""","""",
SUM(
ARRAYFORMULA(
IF(
REGEXMATCH(
"" ""&amp;H1723&amp;"" "",
"" ""&amp;Sentiment_Words!B$2:B3730&amp;"" ""
),
1,
0
)
)
)
)"),0.0)</f>
        <v>0</v>
      </c>
      <c r="L1723" s="7" t="str">
        <f t="shared" si="3"/>
        <v>Customer Support</v>
      </c>
      <c r="M1723" s="7" t="str">
        <f t="shared" si="4"/>
        <v>Positive</v>
      </c>
      <c r="N1723" s="7" t="str">
        <f>IFERROR(__xludf.DUMMYFUNCTION("LOWER(
TRIM(
REGEXREPLACE(B1723,""[^a-zA-Z\s]"","""")
)
)
"),"linda ryburn")</f>
        <v>linda ryburn</v>
      </c>
      <c r="O1723" s="7">
        <f t="shared" si="5"/>
        <v>1</v>
      </c>
      <c r="P1723" s="8" t="str">
        <f t="shared" si="6"/>
        <v>No</v>
      </c>
    </row>
    <row r="1724">
      <c r="A1724" s="4" t="s">
        <v>16</v>
      </c>
      <c r="B1724" s="4" t="s">
        <v>4867</v>
      </c>
      <c r="C1724" s="5">
        <v>44787.0</v>
      </c>
      <c r="D1724" s="10">
        <v>44787.0</v>
      </c>
      <c r="E1724" s="4" t="s">
        <v>4868</v>
      </c>
      <c r="F1724" s="4" t="s">
        <v>4869</v>
      </c>
      <c r="G1724" s="6" t="str">
        <f>IFERROR(__xludf.DUMMYFUNCTION("REGEXREPLACE(LOWER(F1724),""[^a-z\s]"","""")"),"i have ordered twice now and the cat food was delivered quickly and best of all with no damage to any cans im very pleased")</f>
        <v>i have ordered twice now and the cat food was delivered quickly and best of all with no damage to any cans im very pleased</v>
      </c>
      <c r="H1724" s="4" t="str">
        <f t="shared" si="1"/>
        <v>i have ordered twice now cat food was delivered quickly best of all with no damage any cans im very pleased</v>
      </c>
      <c r="I1724" s="6">
        <f t="shared" si="2"/>
        <v>21</v>
      </c>
      <c r="J1724" s="6">
        <f>IFERROR(__xludf.DUMMYFUNCTION("IF(H1724="""","""",
SUM(
ARRAYFORMULA(
IF(
REGEXMATCH(
"" ""&amp;H1724&amp;"" "",
"" ""&amp;Sentiment_Words!A$2:A3730&amp;"" ""
),
1,
0
)
)
)
)"),1.0)</f>
        <v>1</v>
      </c>
      <c r="K1724" s="4">
        <f>IFERROR(__xludf.DUMMYFUNCTION("IF(H1724="""","""",
SUM(
ARRAYFORMULA(
IF(
REGEXMATCH(
"" ""&amp;H1724&amp;"" "",
"" ""&amp;Sentiment_Words!B$2:B3730&amp;"" ""
),
1,
0
)
)
)
)"),0.0)</f>
        <v>0</v>
      </c>
      <c r="L1724" s="7" t="str">
        <f t="shared" si="3"/>
        <v>Other</v>
      </c>
      <c r="M1724" s="7" t="str">
        <f t="shared" si="4"/>
        <v>Positive</v>
      </c>
      <c r="N1724" s="7" t="str">
        <f>IFERROR(__xludf.DUMMYFUNCTION("LOWER(
TRIM(
REGEXREPLACE(B1724,""[^a-zA-Z\s]"","""")
)
)
"),"klossau")</f>
        <v>klossau</v>
      </c>
      <c r="O1724" s="7">
        <f t="shared" si="5"/>
        <v>1</v>
      </c>
      <c r="P1724" s="8" t="str">
        <f t="shared" si="6"/>
        <v>No</v>
      </c>
    </row>
    <row r="1725">
      <c r="A1725" s="4" t="s">
        <v>16</v>
      </c>
      <c r="B1725" s="4" t="s">
        <v>4870</v>
      </c>
      <c r="C1725" s="5">
        <v>44787.0</v>
      </c>
      <c r="D1725" s="10">
        <v>44787.0</v>
      </c>
      <c r="E1725" s="4" t="s">
        <v>4871</v>
      </c>
      <c r="F1725" s="4" t="s">
        <v>4872</v>
      </c>
      <c r="G1725" s="6" t="str">
        <f>IFERROR(__xludf.DUMMYFUNCTION("REGEXREPLACE(LOWER(F1725),""[^a-z\s]"","""")"),"i love petflow there is great healthy pet food on this site
my pets look forward to their healthy food and snacks")</f>
        <v>i love petflow there is great healthy pet food on this site
my pets look forward to their healthy food and snacks</v>
      </c>
      <c r="H1725" s="4" t="str">
        <f t="shared" si="1"/>
        <v>i love petflow there great healthy pet food on this site
my pets look forward their healthy food snacks</v>
      </c>
      <c r="I1725" s="6">
        <f t="shared" si="2"/>
        <v>18</v>
      </c>
      <c r="J1725" s="6">
        <f>IFERROR(__xludf.DUMMYFUNCTION("IF(H1725="""","""",
SUM(
ARRAYFORMULA(
IF(
REGEXMATCH(
"" ""&amp;H1725&amp;"" "",
"" ""&amp;Sentiment_Words!A$2:A3730&amp;"" ""
),
1,
0
)
)
)
)"),2.0)</f>
        <v>2</v>
      </c>
      <c r="K1725" s="4">
        <f>IFERROR(__xludf.DUMMYFUNCTION("IF(H1725="""","""",
SUM(
ARRAYFORMULA(
IF(
REGEXMATCH(
"" ""&amp;H1725&amp;"" "",
"" ""&amp;Sentiment_Words!B$2:B3730&amp;"" ""
),
1,
0
)
)
)
)"),0.0)</f>
        <v>0</v>
      </c>
      <c r="L1725" s="7" t="str">
        <f t="shared" si="3"/>
        <v>Other</v>
      </c>
      <c r="M1725" s="7" t="str">
        <f t="shared" si="4"/>
        <v>Positive</v>
      </c>
      <c r="N1725" s="7" t="str">
        <f>IFERROR(__xludf.DUMMYFUNCTION("LOWER(
TRIM(
REGEXREPLACE(B1725,""[^a-zA-Z\s]"","""")
)
)
"),"feo")</f>
        <v>feo</v>
      </c>
      <c r="O1725" s="7">
        <f t="shared" si="5"/>
        <v>1</v>
      </c>
      <c r="P1725" s="8" t="str">
        <f t="shared" si="6"/>
        <v>No</v>
      </c>
    </row>
    <row r="1726">
      <c r="A1726" s="4" t="s">
        <v>16</v>
      </c>
      <c r="B1726" s="4" t="s">
        <v>4873</v>
      </c>
      <c r="C1726" s="5">
        <v>44787.0</v>
      </c>
      <c r="D1726" s="10">
        <v>44787.0</v>
      </c>
      <c r="E1726" s="4" t="s">
        <v>4874</v>
      </c>
      <c r="F1726" s="4" t="s">
        <v>331</v>
      </c>
      <c r="G1726" s="6" t="str">
        <f>IFERROR(__xludf.DUMMYFUNCTION("REGEXREPLACE(LOWER(F1726),""[^a-z\s]"","""")"),"none")</f>
        <v>none</v>
      </c>
      <c r="H1726" s="4" t="str">
        <f t="shared" si="1"/>
        <v>none</v>
      </c>
      <c r="I1726" s="6">
        <f t="shared" si="2"/>
        <v>1</v>
      </c>
      <c r="J1726" s="6">
        <f>IFERROR(__xludf.DUMMYFUNCTION("IF(H1726="""","""",
SUM(
ARRAYFORMULA(
IF(
REGEXMATCH(
"" ""&amp;H1726&amp;"" "",
"" ""&amp;Sentiment_Words!A$2:A3730&amp;"" ""
),
1,
0
)
)
)
)"),0.0)</f>
        <v>0</v>
      </c>
      <c r="K1726" s="4">
        <f>IFERROR(__xludf.DUMMYFUNCTION("IF(H1726="""","""",
SUM(
ARRAYFORMULA(
IF(
REGEXMATCH(
"" ""&amp;H1726&amp;"" "",
"" ""&amp;Sentiment_Words!B$2:B3730&amp;"" ""
),
1,
0
)
)
)
)"),0.0)</f>
        <v>0</v>
      </c>
      <c r="L1726" s="7" t="str">
        <f t="shared" si="3"/>
        <v>Other</v>
      </c>
      <c r="M1726" s="7" t="str">
        <f t="shared" si="4"/>
        <v>Neutral</v>
      </c>
      <c r="N1726" s="7" t="str">
        <f>IFERROR(__xludf.DUMMYFUNCTION("LOWER(
TRIM(
REGEXREPLACE(B1726,""[^a-zA-Z\s]"","""")
)
)
"),"sable jak")</f>
        <v>sable jak</v>
      </c>
      <c r="O1726" s="7">
        <f t="shared" si="5"/>
        <v>1</v>
      </c>
      <c r="P1726" s="8" t="str">
        <f t="shared" si="6"/>
        <v>No</v>
      </c>
    </row>
    <row r="1727">
      <c r="A1727" s="4" t="s">
        <v>16</v>
      </c>
      <c r="B1727" s="4" t="s">
        <v>4875</v>
      </c>
      <c r="C1727" s="5">
        <v>44787.0</v>
      </c>
      <c r="D1727" s="10">
        <v>44787.0</v>
      </c>
      <c r="E1727" s="4" t="s">
        <v>4876</v>
      </c>
      <c r="F1727" s="4" t="s">
        <v>331</v>
      </c>
      <c r="G1727" s="6" t="str">
        <f>IFERROR(__xludf.DUMMYFUNCTION("REGEXREPLACE(LOWER(F1727),""[^a-z\s]"","""")"),"none")</f>
        <v>none</v>
      </c>
      <c r="H1727" s="4" t="str">
        <f t="shared" si="1"/>
        <v>none</v>
      </c>
      <c r="I1727" s="6">
        <f t="shared" si="2"/>
        <v>1</v>
      </c>
      <c r="J1727" s="6">
        <f>IFERROR(__xludf.DUMMYFUNCTION("IF(H1727="""","""",
SUM(
ARRAYFORMULA(
IF(
REGEXMATCH(
"" ""&amp;H1727&amp;"" "",
"" ""&amp;Sentiment_Words!A$2:A3730&amp;"" ""
),
1,
0
)
)
)
)"),0.0)</f>
        <v>0</v>
      </c>
      <c r="K1727" s="4">
        <f>IFERROR(__xludf.DUMMYFUNCTION("IF(H1727="""","""",
SUM(
ARRAYFORMULA(
IF(
REGEXMATCH(
"" ""&amp;H1727&amp;"" "",
"" ""&amp;Sentiment_Words!B$2:B3730&amp;"" ""
),
1,
0
)
)
)
)"),0.0)</f>
        <v>0</v>
      </c>
      <c r="L1727" s="7" t="str">
        <f t="shared" si="3"/>
        <v>Other</v>
      </c>
      <c r="M1727" s="7" t="str">
        <f t="shared" si="4"/>
        <v>Neutral</v>
      </c>
      <c r="N1727" s="7" t="str">
        <f>IFERROR(__xludf.DUMMYFUNCTION("LOWER(
TRIM(
REGEXREPLACE(B1727,""[^a-zA-Z\s]"","""")
)
)
"),"naioma emanuel")</f>
        <v>naioma emanuel</v>
      </c>
      <c r="O1727" s="7">
        <f t="shared" si="5"/>
        <v>1</v>
      </c>
      <c r="P1727" s="8" t="str">
        <f t="shared" si="6"/>
        <v>No</v>
      </c>
    </row>
    <row r="1728">
      <c r="A1728" s="4" t="s">
        <v>16</v>
      </c>
      <c r="B1728" s="4" t="s">
        <v>4877</v>
      </c>
      <c r="C1728" s="5">
        <v>44787.0</v>
      </c>
      <c r="D1728" s="10">
        <v>44787.0</v>
      </c>
      <c r="E1728" s="4" t="s">
        <v>4878</v>
      </c>
      <c r="F1728" s="4" t="s">
        <v>4879</v>
      </c>
      <c r="G1728" s="6" t="str">
        <f>IFERROR(__xludf.DUMMYFUNCTION("REGEXREPLACE(LOWER(F1728),""[^a-z\s]"","""")"),"my order was shipped on august  it is now august  and it has not shown up i would love to cancel because i had to drive  miles to the nearest pet food supplier to buy food no clue where the shipment is")</f>
        <v>my order was shipped on august  it is now august  and it has not shown up i would love to cancel because i had to drive  miles to the nearest pet food supplier to buy food no clue where the shipment is</v>
      </c>
      <c r="H1728" s="4" t="str">
        <f t="shared" si="1"/>
        <v>my order was shipped on august it now august it has not shown up i would love cancel because i had drive miles nearest pet food supplier buy food no clue where shipment</v>
      </c>
      <c r="I1728" s="6">
        <f t="shared" si="2"/>
        <v>33</v>
      </c>
      <c r="J1728" s="6">
        <f>IFERROR(__xludf.DUMMYFUNCTION("IF(H1728="""","""",
SUM(
ARRAYFORMULA(
IF(
REGEXMATCH(
"" ""&amp;H1728&amp;"" "",
"" ""&amp;Sentiment_Words!A$2:A3730&amp;"" ""
),
1,
0
)
)
)
)"),1.0)</f>
        <v>1</v>
      </c>
      <c r="K1728" s="4">
        <f>IFERROR(__xludf.DUMMYFUNCTION("IF(H1728="""","""",
SUM(
ARRAYFORMULA(
IF(
REGEXMATCH(
"" ""&amp;H1728&amp;"" "",
"" ""&amp;Sentiment_Words!B$2:B3730&amp;"" ""
),
1,
0
)
)
)
)"),0.0)</f>
        <v>0</v>
      </c>
      <c r="L1728" s="7" t="str">
        <f t="shared" si="3"/>
        <v>Other</v>
      </c>
      <c r="M1728" s="7" t="str">
        <f t="shared" si="4"/>
        <v>Positive</v>
      </c>
      <c r="N1728" s="7" t="str">
        <f>IFERROR(__xludf.DUMMYFUNCTION("LOWER(
TRIM(
REGEXREPLACE(B1728,""[^a-zA-Z\s]"","""")
)
)
"),"hilary")</f>
        <v>hilary</v>
      </c>
      <c r="O1728" s="7">
        <f t="shared" si="5"/>
        <v>1</v>
      </c>
      <c r="P1728" s="8" t="str">
        <f t="shared" si="6"/>
        <v>No</v>
      </c>
    </row>
    <row r="1729">
      <c r="A1729" s="4" t="s">
        <v>16</v>
      </c>
      <c r="B1729" s="4" t="s">
        <v>4880</v>
      </c>
      <c r="C1729" s="5">
        <v>44787.0</v>
      </c>
      <c r="D1729" s="10">
        <v>44787.0</v>
      </c>
      <c r="E1729" s="4" t="s">
        <v>4881</v>
      </c>
      <c r="F1729" s="4" t="s">
        <v>4882</v>
      </c>
      <c r="G1729" s="6" t="str">
        <f>IFERROR(__xludf.DUMMYFUNCTION("REGEXREPLACE(LOWER(F1729),""[^a-z\s]"","""")"),"very good product and fast shipping my dogs are happy")</f>
        <v>very good product and fast shipping my dogs are happy</v>
      </c>
      <c r="H1729" s="4" t="str">
        <f t="shared" si="1"/>
        <v>very good product fast shipping my dogs are happy</v>
      </c>
      <c r="I1729" s="6">
        <f t="shared" si="2"/>
        <v>9</v>
      </c>
      <c r="J1729" s="6">
        <f>IFERROR(__xludf.DUMMYFUNCTION("IF(H1729="""","""",
SUM(
ARRAYFORMULA(
IF(
REGEXMATCH(
"" ""&amp;H1729&amp;"" "",
"" ""&amp;Sentiment_Words!A$2:A3730&amp;"" ""
),
1,
0
)
)
)
)"),3.0)</f>
        <v>3</v>
      </c>
      <c r="K1729" s="4">
        <f>IFERROR(__xludf.DUMMYFUNCTION("IF(H1729="""","""",
SUM(
ARRAYFORMULA(
IF(
REGEXMATCH(
"" ""&amp;H1729&amp;"" "",
"" ""&amp;Sentiment_Words!B$2:B3730&amp;"" ""
),
1,
0
)
)
)
)"),0.0)</f>
        <v>0</v>
      </c>
      <c r="L1729" s="7" t="str">
        <f t="shared" si="3"/>
        <v>Other</v>
      </c>
      <c r="M1729" s="7" t="str">
        <f t="shared" si="4"/>
        <v>Positive</v>
      </c>
      <c r="N1729" s="7" t="str">
        <f>IFERROR(__xludf.DUMMYFUNCTION("LOWER(
TRIM(
REGEXREPLACE(B1729,""[^a-zA-Z\s]"","""")
)
)
"),"kim b")</f>
        <v>kim b</v>
      </c>
      <c r="O1729" s="7">
        <f t="shared" si="5"/>
        <v>1</v>
      </c>
      <c r="P1729" s="8" t="str">
        <f t="shared" si="6"/>
        <v>No</v>
      </c>
    </row>
    <row r="1730">
      <c r="A1730" s="4" t="s">
        <v>16</v>
      </c>
      <c r="B1730" s="4" t="s">
        <v>4883</v>
      </c>
      <c r="C1730" s="5">
        <v>44786.0</v>
      </c>
      <c r="D1730" s="4" t="s">
        <v>4884</v>
      </c>
      <c r="E1730" s="4" t="s">
        <v>4885</v>
      </c>
      <c r="F1730" s="4" t="s">
        <v>4886</v>
      </c>
      <c r="G1730" s="6" t="str">
        <f>IFERROR(__xludf.DUMMYFUNCTION("REGEXREPLACE(LOWER(F1730),""[^a-z\s]"","""")"),"i dont think i will take a risk ordering from this place ever again i placed an order on saturday for a prescription food for my cat i provided the required information to verify my cats prescription i checked the status on the following tuesday and the o"&amp;"rder status was shipping a couple days later on saturday a week after placing my order i called the petflow to check why my order wasnt shipped and they told me that they cancelled my order due to stocking issues really why do you accept orders if you don"&amp;"t have food in the stock why does it have to take a week to figure out that you dont have food in the stock its not just any food its prescription food the customer service was absolutely oblivious they said that cancellation was sent on thursday i didnt "&amp;"receive anything though any reputable business would call in similar circumstances")</f>
        <v>i dont think i will take a risk ordering from this place ever again i placed an order on saturday for a prescription food for my cat i provided the required information to verify my cats prescription i checked the status on the following tuesday and the order status was shipping a couple days later on saturday a week after placing my order i called the petflow to check why my order wasnt shipped and they told me that they cancelled my order due to stocking issues really why do you accept orders if you dont have food in the stock why does it have to take a week to figure out that you dont have food in the stock its not just any food its prescription food the customer service was absolutely oblivious they said that cancellation was sent on thursday i didnt receive anything though any reputable business would call in similar circumstances</v>
      </c>
      <c r="H1730" s="4" t="str">
        <f t="shared" si="1"/>
        <v>i dont think i will take a risk ordering from this place ever again i placed an order on saturday a prescription food my cat i provided required information verify my cats prescription i checked status on following tuesday order status was shipping a couple days later on saturday a week after placing my order i called petflow check why my order wasnt shipped they told me that they cancelled my order due stocking issues really why do you accept orders if you dont have food in stock why does it have take a week figure out that you dont have food in stock its not just any food its prescription food customer service was absolutely oblivious they said that cancellation was sent on thursday i didnt receive anything though any reputable business would call in similar circumstances</v>
      </c>
      <c r="I1730" s="6">
        <f t="shared" si="2"/>
        <v>138</v>
      </c>
      <c r="J1730" s="6">
        <f>IFERROR(__xludf.DUMMYFUNCTION("IF(H1730="""","""",
SUM(
ARRAYFORMULA(
IF(
REGEXMATCH(
"" ""&amp;H1730&amp;"" "",
"" ""&amp;Sentiment_Words!A$2:A3730&amp;"" ""
),
1,
0
)
)
)
)"),0.0)</f>
        <v>0</v>
      </c>
      <c r="K1730" s="4">
        <f>IFERROR(__xludf.DUMMYFUNCTION("IF(H1730="""","""",
SUM(
ARRAYFORMULA(
IF(
REGEXMATCH(
"" ""&amp;H1730&amp;"" "",
"" ""&amp;Sentiment_Words!B$2:B3730&amp;"" ""
),
1,
0
)
)
)
)"),2.0)</f>
        <v>2</v>
      </c>
      <c r="L1730" s="7" t="str">
        <f t="shared" si="3"/>
        <v>Customer Support</v>
      </c>
      <c r="M1730" s="7" t="str">
        <f t="shared" si="4"/>
        <v>Negative</v>
      </c>
      <c r="N1730" s="7" t="str">
        <f>IFERROR(__xludf.DUMMYFUNCTION("LOWER(
TRIM(
REGEXREPLACE(B1730,""[^a-zA-Z\s]"","""")
)
)
"),"victoria k")</f>
        <v>victoria k</v>
      </c>
      <c r="O1730" s="7">
        <f t="shared" si="5"/>
        <v>1</v>
      </c>
      <c r="P1730" s="8" t="str">
        <f t="shared" si="6"/>
        <v>No</v>
      </c>
    </row>
    <row r="1731">
      <c r="A1731" s="4" t="s">
        <v>16</v>
      </c>
      <c r="B1731" s="4" t="s">
        <v>4887</v>
      </c>
      <c r="C1731" s="5">
        <v>44786.0</v>
      </c>
      <c r="D1731" s="10">
        <v>44787.0</v>
      </c>
      <c r="E1731" s="4" t="s">
        <v>4888</v>
      </c>
      <c r="F1731" s="4" t="s">
        <v>4889</v>
      </c>
      <c r="G1731" s="6" t="str">
        <f>IFERROR(__xludf.DUMMYFUNCTION("REGEXREPLACE(LOWER(F1731),""[^a-z\s]"","""")"),"unfortunately i ordered  bowls for our rescue it showed them as in stock and id searched everywhere i paid for it and received confirmation of the order then after a few days i received a email that there were no bowls available they were out of stock and"&amp;" i wouldnt be receiving my order so disappointing")</f>
        <v>unfortunately i ordered  bowls for our rescue it showed them as in stock and id searched everywhere i paid for it and received confirmation of the order then after a few days i received a email that there were no bowls available they were out of stock and i wouldnt be receiving my order so disappointing</v>
      </c>
      <c r="H1731" s="4" t="str">
        <f t="shared" si="1"/>
        <v>unfortunately i ordered bowls our rescue it showed them as in stock id searched everywhere i paid it received confirmation of order then after a few days i received a email that there were no bowls available they were out of stock i wouldnt be receiving my order so disappointing</v>
      </c>
      <c r="I1731" s="6">
        <f t="shared" si="2"/>
        <v>50</v>
      </c>
      <c r="J1731" s="6">
        <f>IFERROR(__xludf.DUMMYFUNCTION("IF(H1731="""","""",
SUM(
ARRAYFORMULA(
IF(
REGEXMATCH(
"" ""&amp;H1731&amp;"" "",
"" ""&amp;Sentiment_Words!A$2:A3730&amp;"" ""
),
1,
0
)
)
)
)"),1.0)</f>
        <v>1</v>
      </c>
      <c r="K1731" s="4">
        <f>IFERROR(__xludf.DUMMYFUNCTION("IF(H1731="""","""",
SUM(
ARRAYFORMULA(
IF(
REGEXMATCH(
"" ""&amp;H1731&amp;"" "",
"" ""&amp;Sentiment_Words!B$2:B3730&amp;"" ""
),
1,
0
)
)
)
)"),1.0)</f>
        <v>1</v>
      </c>
      <c r="L1731" s="7" t="str">
        <f t="shared" si="3"/>
        <v>Availability</v>
      </c>
      <c r="M1731" s="7" t="str">
        <f t="shared" si="4"/>
        <v>Neutral</v>
      </c>
      <c r="N1731" s="7" t="str">
        <f>IFERROR(__xludf.DUMMYFUNCTION("LOWER(
TRIM(
REGEXREPLACE(B1731,""[^a-zA-Z\s]"","""")
)
)
"),"kimberly reed")</f>
        <v>kimberly reed</v>
      </c>
      <c r="O1731" s="7">
        <f t="shared" si="5"/>
        <v>1</v>
      </c>
      <c r="P1731" s="8" t="str">
        <f t="shared" si="6"/>
        <v>No</v>
      </c>
    </row>
    <row r="1732">
      <c r="A1732" s="4" t="s">
        <v>16</v>
      </c>
      <c r="B1732" s="4" t="s">
        <v>4890</v>
      </c>
      <c r="C1732" s="5">
        <v>44786.0</v>
      </c>
      <c r="D1732" s="10">
        <v>44786.0</v>
      </c>
      <c r="E1732" s="4" t="s">
        <v>4891</v>
      </c>
      <c r="F1732" s="4" t="s">
        <v>4892</v>
      </c>
      <c r="G1732" s="6" t="str">
        <f>IFERROR(__xludf.DUMMYFUNCTION("REGEXREPLACE(LOWER(F1732),""[^a-z\s]"","""")"),"best dog food subscription service i use two different brands for my dogs one is a prescription food petflow has the best prices and always provides excellent customer service when i call my orders always arrive right on time i highly recommend petflow fo"&amp;"r all of your pets needs")</f>
        <v>best dog food subscription service i use two different brands for my dogs one is a prescription food petflow has the best prices and always provides excellent customer service when i call my orders always arrive right on time i highly recommend petflow for all of your pets needs</v>
      </c>
      <c r="H1732" s="4" t="str">
        <f t="shared" si="1"/>
        <v>best dog food subscription service i use two different brands my dogs one a prescription food petflow has best prices always provides excellent customer service when i call my orders always arrive right on time i highly recommend petflow all of your pets needs</v>
      </c>
      <c r="I1732" s="6">
        <f t="shared" si="2"/>
        <v>44</v>
      </c>
      <c r="J1732" s="6">
        <f>IFERROR(__xludf.DUMMYFUNCTION("IF(H1732="""","""",
SUM(
ARRAYFORMULA(
IF(
REGEXMATCH(
"" ""&amp;H1732&amp;"" "",
"" ""&amp;Sentiment_Words!A$2:A3730&amp;"" ""
),
1,
0
)
)
)
)"),1.0)</f>
        <v>1</v>
      </c>
      <c r="K1732" s="4">
        <f>IFERROR(__xludf.DUMMYFUNCTION("IF(H1732="""","""",
SUM(
ARRAYFORMULA(
IF(
REGEXMATCH(
"" ""&amp;H1732&amp;"" "",
"" ""&amp;Sentiment_Words!B$2:B3730&amp;"" ""
),
1,
0
)
)
)
)"),1.0)</f>
        <v>1</v>
      </c>
      <c r="L1732" s="7" t="str">
        <f t="shared" si="3"/>
        <v>Customer Support</v>
      </c>
      <c r="M1732" s="7" t="str">
        <f t="shared" si="4"/>
        <v>Neutral</v>
      </c>
      <c r="N1732" s="7" t="str">
        <f>IFERROR(__xludf.DUMMYFUNCTION("LOWER(
TRIM(
REGEXREPLACE(B1732,""[^a-zA-Z\s]"","""")
)
)
"),"rose g")</f>
        <v>rose g</v>
      </c>
      <c r="O1732" s="7">
        <f t="shared" si="5"/>
        <v>1</v>
      </c>
      <c r="P1732" s="8" t="str">
        <f t="shared" si="6"/>
        <v>No</v>
      </c>
    </row>
    <row r="1733">
      <c r="A1733" s="4" t="s">
        <v>16</v>
      </c>
      <c r="B1733" s="4" t="s">
        <v>4893</v>
      </c>
      <c r="C1733" s="5">
        <v>44786.0</v>
      </c>
      <c r="D1733" s="10">
        <v>44786.0</v>
      </c>
      <c r="E1733" s="4" t="s">
        <v>4894</v>
      </c>
      <c r="F1733" s="4" t="s">
        <v>4895</v>
      </c>
      <c r="G1733" s="6" t="str">
        <f>IFERROR(__xludf.DUMMYFUNCTION("REGEXREPLACE(LOWER(F1733),""[^a-z\s]"","""")"),"horrible experience do not buy from petflow they advertise that they have product in stock and allow you to order it fill out entire order credit card info and everything online and tell you we will let you know when it ships then a week later says oh im "&amp;"sorry we dont actually have this product its out of stock so guess what im going to cancel your order  they have done this to me twice they know they dont have it but still advertise they do horrible deceitful way to do business")</f>
        <v>horrible experience do not buy from petflow they advertise that they have product in stock and allow you to order it fill out entire order credit card info and everything online and tell you we will let you know when it ships then a week later says oh im sorry we dont actually have this product its out of stock so guess what im going to cancel your order  they have done this to me twice they know they dont have it but still advertise they do horrible deceitful way to do business</v>
      </c>
      <c r="H1733" s="4" t="str">
        <f t="shared" si="1"/>
        <v>horrible experience do not buy from petflow they advertise that they have product in stock allow you order it fill out entire order credit card info everything online tell you we will let you know when it ships then a week later says oh im sorry we dont actually have this product its out of stock so guess what im going cancel your order they have done this me twice they know they dont have it but still advertise they do horrible deceitful way do business</v>
      </c>
      <c r="I1733" s="6">
        <f t="shared" si="2"/>
        <v>86</v>
      </c>
      <c r="J1733" s="6">
        <f>IFERROR(__xludf.DUMMYFUNCTION("IF(H1733="""","""",
SUM(
ARRAYFORMULA(
IF(
REGEXMATCH(
"" ""&amp;H1733&amp;"" "",
"" ""&amp;Sentiment_Words!A$2:A3730&amp;"" ""
),
1,
0
)
)
)
)"),0.0)</f>
        <v>0</v>
      </c>
      <c r="K1733" s="4">
        <f>IFERROR(__xludf.DUMMYFUNCTION("IF(H1733="""","""",
SUM(
ARRAYFORMULA(
IF(
REGEXMATCH(
"" ""&amp;H1733&amp;"" "",
"" ""&amp;Sentiment_Words!B$2:B3730&amp;"" ""
),
1,
0
)
)
)
)"),1.0)</f>
        <v>1</v>
      </c>
      <c r="L1733" s="7" t="str">
        <f t="shared" si="3"/>
        <v>Fulfillment &amp; Shipping</v>
      </c>
      <c r="M1733" s="7" t="str">
        <f t="shared" si="4"/>
        <v>Negative</v>
      </c>
      <c r="N1733" s="7" t="str">
        <f>IFERROR(__xludf.DUMMYFUNCTION("LOWER(
TRIM(
REGEXREPLACE(B1733,""[^a-zA-Z\s]"","""")
)
)
"),"andrea menzerfeebeck")</f>
        <v>andrea menzerfeebeck</v>
      </c>
      <c r="O1733" s="7">
        <f t="shared" si="5"/>
        <v>1</v>
      </c>
      <c r="P1733" s="8" t="str">
        <f t="shared" si="6"/>
        <v>No</v>
      </c>
    </row>
    <row r="1734">
      <c r="A1734" s="4" t="s">
        <v>16</v>
      </c>
      <c r="B1734" s="4" t="s">
        <v>4896</v>
      </c>
      <c r="C1734" s="5">
        <v>44786.0</v>
      </c>
      <c r="D1734" s="10">
        <v>44786.0</v>
      </c>
      <c r="E1734" s="4" t="s">
        <v>4897</v>
      </c>
      <c r="F1734" s="4" t="s">
        <v>4898</v>
      </c>
      <c r="G1734" s="6" t="str">
        <f>IFERROR(__xludf.DUMMYFUNCTION("REGEXREPLACE(LOWER(F1734),""[^a-z\s]"","""")"),"my order showed food was in stock email stated pending continued to say pending for a few days called and was told it would be sent asap a couple days after that was told it was out of stick and credited ordered through you because your site said it was a"&amp;"vailable when no one else had it")</f>
        <v>my order showed food was in stock email stated pending continued to say pending for a few days called and was told it would be sent asap a couple days after that was told it was out of stick and credited ordered through you because your site said it was available when no one else had it</v>
      </c>
      <c r="H1734" s="4" t="str">
        <f t="shared" si="1"/>
        <v>my order showed food was in stock email stated pending continued say pending a few days called was told it would be sent asap a couple days after that was told it was out of stick credited ordered through you because your site said it was available when no one else had it</v>
      </c>
      <c r="I1734" s="6">
        <f t="shared" si="2"/>
        <v>53</v>
      </c>
      <c r="J1734" s="6">
        <f>IFERROR(__xludf.DUMMYFUNCTION("IF(H1734="""","""",
SUM(
ARRAYFORMULA(
IF(
REGEXMATCH(
"" ""&amp;H1734&amp;"" "",
"" ""&amp;Sentiment_Words!A$2:A3730&amp;"" ""
),
1,
0
)
)
)
)"),1.0)</f>
        <v>1</v>
      </c>
      <c r="K1734" s="4">
        <f>IFERROR(__xludf.DUMMYFUNCTION("IF(H1734="""","""",
SUM(
ARRAYFORMULA(
IF(
REGEXMATCH(
"" ""&amp;H1734&amp;"" "",
"" ""&amp;Sentiment_Words!B$2:B3730&amp;"" ""
),
1,
0
)
)
)
)"),0.0)</f>
        <v>0</v>
      </c>
      <c r="L1734" s="7" t="str">
        <f t="shared" si="3"/>
        <v>Other</v>
      </c>
      <c r="M1734" s="7" t="str">
        <f t="shared" si="4"/>
        <v>Positive</v>
      </c>
      <c r="N1734" s="7" t="str">
        <f>IFERROR(__xludf.DUMMYFUNCTION("LOWER(
TRIM(
REGEXREPLACE(B1734,""[^a-zA-Z\s]"","""")
)
)
"),"tracie osborne")</f>
        <v>tracie osborne</v>
      </c>
      <c r="O1734" s="7">
        <f t="shared" si="5"/>
        <v>1</v>
      </c>
      <c r="P1734" s="8" t="str">
        <f t="shared" si="6"/>
        <v>No</v>
      </c>
    </row>
    <row r="1735">
      <c r="A1735" s="4" t="s">
        <v>16</v>
      </c>
      <c r="B1735" s="4" t="s">
        <v>4899</v>
      </c>
      <c r="C1735" s="5">
        <v>44786.0</v>
      </c>
      <c r="D1735" s="10">
        <v>44786.0</v>
      </c>
      <c r="E1735" s="4" t="s">
        <v>4900</v>
      </c>
      <c r="F1735" s="4" t="s">
        <v>4901</v>
      </c>
      <c r="G1735" s="6" t="str">
        <f>IFERROR(__xludf.DUMMYFUNCTION("REGEXREPLACE(LOWER(F1735),""[^a-z\s]"","""")"),"fast reliable shipping high quality products for great competitive prices thank you pet flow")</f>
        <v>fast reliable shipping high quality products for great competitive prices thank you pet flow</v>
      </c>
      <c r="H1735" s="4" t="str">
        <f t="shared" si="1"/>
        <v>fast reliable shipping high quality products great competitive prices thank you pet flow</v>
      </c>
      <c r="I1735" s="6">
        <f t="shared" si="2"/>
        <v>13</v>
      </c>
      <c r="J1735" s="6">
        <f>IFERROR(__xludf.DUMMYFUNCTION("IF(H1735="""","""",
SUM(
ARRAYFORMULA(
IF(
REGEXMATCH(
"" ""&amp;H1735&amp;"" "",
"" ""&amp;Sentiment_Words!A$2:A3730&amp;"" ""
),
1,
0
)
)
)
)"),3.0)</f>
        <v>3</v>
      </c>
      <c r="K1735" s="4">
        <f>IFERROR(__xludf.DUMMYFUNCTION("IF(H1735="""","""",
SUM(
ARRAYFORMULA(
IF(
REGEXMATCH(
"" ""&amp;H1735&amp;"" "",
"" ""&amp;Sentiment_Words!B$2:B3730&amp;"" ""
),
1,
0
)
)
)
)"),0.0)</f>
        <v>0</v>
      </c>
      <c r="L1735" s="7" t="str">
        <f t="shared" si="3"/>
        <v>Other</v>
      </c>
      <c r="M1735" s="7" t="str">
        <f t="shared" si="4"/>
        <v>Positive</v>
      </c>
      <c r="N1735" s="7" t="str">
        <f>IFERROR(__xludf.DUMMYFUNCTION("LOWER(
TRIM(
REGEXREPLACE(B1735,""[^a-zA-Z\s]"","""")
)
)
"),"rll")</f>
        <v>rll</v>
      </c>
      <c r="O1735" s="7">
        <f t="shared" si="5"/>
        <v>1</v>
      </c>
      <c r="P1735" s="8" t="str">
        <f t="shared" si="6"/>
        <v>No</v>
      </c>
    </row>
    <row r="1736">
      <c r="A1736" s="4" t="s">
        <v>16</v>
      </c>
      <c r="B1736" s="4" t="s">
        <v>4902</v>
      </c>
      <c r="C1736" s="5">
        <v>44786.0</v>
      </c>
      <c r="D1736" s="10">
        <v>44786.0</v>
      </c>
      <c r="E1736" s="4" t="s">
        <v>4903</v>
      </c>
      <c r="F1736" s="4" t="s">
        <v>4904</v>
      </c>
      <c r="G1736" s="6" t="str">
        <f>IFERROR(__xludf.DUMMYFUNCTION("REGEXREPLACE(LOWER(F1736),""[^a-z\s]"","""")"),"it was a very pleasant shopping experience i bought mixed vegetable food for my dogs they liked it very much but there were too few kinds of petflow products which were the fly in the ointment but it doesnt matter i think they will improve and i will supp"&amp;"ort them")</f>
        <v>it was a very pleasant shopping experience i bought mixed vegetable food for my dogs they liked it very much but there were too few kinds of petflow products which were the fly in the ointment but it doesnt matter i think they will improve and i will support them</v>
      </c>
      <c r="H1736" s="4" t="str">
        <f t="shared" si="1"/>
        <v>it was a very pleasant shopping experience i bought mixed vegetable food my dogs they liked it very much but there were too few kinds of petflow products which were fly in ointment but it doesnt matter i think they will improve i will support them</v>
      </c>
      <c r="I1736" s="6">
        <f t="shared" si="2"/>
        <v>46</v>
      </c>
      <c r="J1736" s="6">
        <f>IFERROR(__xludf.DUMMYFUNCTION("IF(H1736="""","""",
SUM(
ARRAYFORMULA(
IF(
REGEXMATCH(
"" ""&amp;H1736&amp;"" "",
"" ""&amp;Sentiment_Words!A$2:A3730&amp;"" ""
),
1,
0
)
)
)
)"),0.0)</f>
        <v>0</v>
      </c>
      <c r="K1736" s="4">
        <f>IFERROR(__xludf.DUMMYFUNCTION("IF(H1736="""","""",
SUM(
ARRAYFORMULA(
IF(
REGEXMATCH(
"" ""&amp;H1736&amp;"" "",
"" ""&amp;Sentiment_Words!B$2:B3730&amp;"" ""
),
1,
0
)
)
)
)"),0.0)</f>
        <v>0</v>
      </c>
      <c r="L1736" s="7" t="str">
        <f t="shared" si="3"/>
        <v>Customer Support</v>
      </c>
      <c r="M1736" s="7" t="str">
        <f t="shared" si="4"/>
        <v>Neutral</v>
      </c>
      <c r="N1736" s="7" t="str">
        <f>IFERROR(__xludf.DUMMYFUNCTION("LOWER(
TRIM(
REGEXREPLACE(B1736,""[^a-zA-Z\s]"","""")
)
)
"),"bob herbert hsu")</f>
        <v>bob herbert hsu</v>
      </c>
      <c r="O1736" s="7">
        <f t="shared" si="5"/>
        <v>1</v>
      </c>
      <c r="P1736" s="8" t="str">
        <f t="shared" si="6"/>
        <v>No</v>
      </c>
    </row>
    <row r="1737">
      <c r="A1737" s="4" t="s">
        <v>16</v>
      </c>
      <c r="B1737" s="4" t="s">
        <v>4905</v>
      </c>
      <c r="C1737" s="5">
        <v>44785.0</v>
      </c>
      <c r="D1737" s="10">
        <v>44785.0</v>
      </c>
      <c r="E1737" s="4" t="s">
        <v>423</v>
      </c>
      <c r="F1737" s="4" t="s">
        <v>4906</v>
      </c>
      <c r="G1737" s="6" t="str">
        <f>IFERROR(__xludf.DUMMYFUNCTION("REGEXREPLACE(LOWER(F1737),""[^a-z\s]"","""")"),"fast shipping thanks")</f>
        <v>fast shipping thanks</v>
      </c>
      <c r="H1737" s="4" t="str">
        <f t="shared" si="1"/>
        <v>fast shipping thanks</v>
      </c>
      <c r="I1737" s="6">
        <f t="shared" si="2"/>
        <v>3</v>
      </c>
      <c r="J1737" s="6">
        <f>IFERROR(__xludf.DUMMYFUNCTION("IF(H1737="""","""",
SUM(
ARRAYFORMULA(
IF(
REGEXMATCH(
"" ""&amp;H1737&amp;"" "",
"" ""&amp;Sentiment_Words!A$2:A3730&amp;"" ""
),
1,
0
)
)
)
)"),1.0)</f>
        <v>1</v>
      </c>
      <c r="K1737" s="4">
        <f>IFERROR(__xludf.DUMMYFUNCTION("IF(H1737="""","""",
SUM(
ARRAYFORMULA(
IF(
REGEXMATCH(
"" ""&amp;H1737&amp;"" "",
"" ""&amp;Sentiment_Words!B$2:B3730&amp;"" ""
),
1,
0
)
)
)
)"),0.0)</f>
        <v>0</v>
      </c>
      <c r="L1737" s="7" t="str">
        <f t="shared" si="3"/>
        <v>Other</v>
      </c>
      <c r="M1737" s="7" t="str">
        <f t="shared" si="4"/>
        <v>Positive</v>
      </c>
      <c r="N1737" s="7" t="str">
        <f>IFERROR(__xludf.DUMMYFUNCTION("LOWER(
TRIM(
REGEXREPLACE(B1737,""[^a-zA-Z\s]"","""")
)
)
"),"delphiguy")</f>
        <v>delphiguy</v>
      </c>
      <c r="O1737" s="7">
        <f t="shared" si="5"/>
        <v>1</v>
      </c>
      <c r="P1737" s="8" t="str">
        <f t="shared" si="6"/>
        <v>No</v>
      </c>
    </row>
    <row r="1738">
      <c r="A1738" s="4" t="s">
        <v>16</v>
      </c>
      <c r="B1738" s="4" t="s">
        <v>4907</v>
      </c>
      <c r="C1738" s="5">
        <v>44785.0</v>
      </c>
      <c r="D1738" s="10">
        <v>44785.0</v>
      </c>
      <c r="E1738" s="4" t="s">
        <v>4908</v>
      </c>
      <c r="F1738" s="4" t="s">
        <v>4909</v>
      </c>
      <c r="G1738" s="6" t="str">
        <f>IFERROR(__xludf.DUMMYFUNCTION("REGEXREPLACE(LOWER(F1738),""[^a-z\s]"","""")"),"on the website it is too easy to set up multiple auto ships would be nice if there was a confirmation box you already have this item part of an auto ship are you sure you want to add another would be nice if people could delete an autoship order without h"&amp;"ave to call customer service and wait on hold")</f>
        <v>on the website it is too easy to set up multiple auto ships would be nice if there was a confirmation box you already have this item part of an auto ship are you sure you want to add another would be nice if people could delete an autoship order without have to call customer service and wait on hold</v>
      </c>
      <c r="H1738" s="4" t="str">
        <f t="shared" si="1"/>
        <v>on website it too easy set up multiple auto ships would be nice if there was a confirmation box you already have this item part of an auto ship are you sure you want add another would be nice if people could delete an autoship order without have call customer service wait on hold</v>
      </c>
      <c r="I1738" s="6">
        <f t="shared" si="2"/>
        <v>54</v>
      </c>
      <c r="J1738" s="6">
        <f>IFERROR(__xludf.DUMMYFUNCTION("IF(H1738="""","""",
SUM(
ARRAYFORMULA(
IF(
REGEXMATCH(
"" ""&amp;H1738&amp;"" "",
"" ""&amp;Sentiment_Words!A$2:A3730&amp;"" ""
),
1,
0
)
)
)
)"),2.0)</f>
        <v>2</v>
      </c>
      <c r="K1738" s="4">
        <f>IFERROR(__xludf.DUMMYFUNCTION("IF(H1738="""","""",
SUM(
ARRAYFORMULA(
IF(
REGEXMATCH(
"" ""&amp;H1738&amp;"" "",
"" ""&amp;Sentiment_Words!B$2:B3730&amp;"" ""
),
1,
0
)
)
)
)"),1.0)</f>
        <v>1</v>
      </c>
      <c r="L1738" s="7" t="str">
        <f t="shared" si="3"/>
        <v>Customer Support</v>
      </c>
      <c r="M1738" s="7" t="str">
        <f t="shared" si="4"/>
        <v>Positive</v>
      </c>
      <c r="N1738" s="7" t="str">
        <f>IFERROR(__xludf.DUMMYFUNCTION("LOWER(
TRIM(
REGEXREPLACE(B1738,""[^a-zA-Z\s]"","""")
)
)
"),"fynn moreland")</f>
        <v>fynn moreland</v>
      </c>
      <c r="O1738" s="7">
        <f t="shared" si="5"/>
        <v>1</v>
      </c>
      <c r="P1738" s="8" t="str">
        <f t="shared" si="6"/>
        <v>No</v>
      </c>
    </row>
    <row r="1739">
      <c r="A1739" s="4" t="s">
        <v>16</v>
      </c>
      <c r="B1739" s="4" t="s">
        <v>4910</v>
      </c>
      <c r="C1739" s="5">
        <v>44785.0</v>
      </c>
      <c r="D1739" s="10">
        <v>44785.0</v>
      </c>
      <c r="E1739" s="4" t="s">
        <v>4911</v>
      </c>
      <c r="F1739" s="4" t="s">
        <v>4912</v>
      </c>
      <c r="G1739" s="6" t="str">
        <f>IFERROR(__xludf.DUMMYFUNCTION("REGEXREPLACE(LOWER(F1739),""[^a-z\s]"","""")"),"placed order got email that one item was out of stock and was cancelled when order came another item was not shipped but i never received another cancel notice for that one")</f>
        <v>placed order got email that one item was out of stock and was cancelled when order came another item was not shipped but i never received another cancel notice for that one</v>
      </c>
      <c r="H1739" s="4" t="str">
        <f t="shared" si="1"/>
        <v>placed order got email that one item was out of stock was cancelled when order came another item was not shipped but i never received another cancel notice that one</v>
      </c>
      <c r="I1739" s="6">
        <f t="shared" si="2"/>
        <v>30</v>
      </c>
      <c r="J1739" s="6">
        <f>IFERROR(__xludf.DUMMYFUNCTION("IF(H1739="""","""",
SUM(
ARRAYFORMULA(
IF(
REGEXMATCH(
"" ""&amp;H1739&amp;"" "",
"" ""&amp;Sentiment_Words!A$2:A3730&amp;"" ""
),
1,
0
)
)
)
)"),0.0)</f>
        <v>0</v>
      </c>
      <c r="K1739" s="4">
        <f>IFERROR(__xludf.DUMMYFUNCTION("IF(H1739="""","""",
SUM(
ARRAYFORMULA(
IF(
REGEXMATCH(
"" ""&amp;H1739&amp;"" "",
"" ""&amp;Sentiment_Words!B$2:B3730&amp;"" ""
),
1,
0
)
)
)
)"),2.0)</f>
        <v>2</v>
      </c>
      <c r="L1739" s="7" t="str">
        <f t="shared" si="3"/>
        <v>Availability</v>
      </c>
      <c r="M1739" s="7" t="str">
        <f t="shared" si="4"/>
        <v>Negative</v>
      </c>
      <c r="N1739" s="7" t="str">
        <f>IFERROR(__xludf.DUMMYFUNCTION("LOWER(
TRIM(
REGEXREPLACE(B1739,""[^a-zA-Z\s]"","""")
)
)
"),"karen armer")</f>
        <v>karen armer</v>
      </c>
      <c r="O1739" s="7">
        <f t="shared" si="5"/>
        <v>2</v>
      </c>
      <c r="P1739" s="8" t="str">
        <f t="shared" si="6"/>
        <v>Yes</v>
      </c>
    </row>
    <row r="1740">
      <c r="A1740" s="4" t="s">
        <v>16</v>
      </c>
      <c r="B1740" s="4" t="s">
        <v>4913</v>
      </c>
      <c r="C1740" s="5">
        <v>44785.0</v>
      </c>
      <c r="D1740" s="10">
        <v>44785.0</v>
      </c>
      <c r="E1740" s="4" t="s">
        <v>4914</v>
      </c>
      <c r="F1740" s="4" t="s">
        <v>4915</v>
      </c>
      <c r="G1740" s="6" t="str">
        <f>IFERROR(__xludf.DUMMYFUNCTION("REGEXREPLACE(LOWER(F1740),""[^a-z\s]"","""")"),"i ordered food and was told i needed my vet to prescribe it after some back and forth with the vet that happened then petflow informed me that they didnt have the food in stock and instead of backordering it cancelled my order a lot of wasted time for no "&amp;"result")</f>
        <v>i ordered food and was told i needed my vet to prescribe it after some back and forth with the vet that happened then petflow informed me that they didnt have the food in stock and instead of backordering it cancelled my order a lot of wasted time for no result</v>
      </c>
      <c r="H1740" s="4" t="str">
        <f t="shared" si="1"/>
        <v>i ordered food was told i needed my vet prescribe it after some back forth with vet that happened then petflow informed me that they didnt have food in stock instead of backordering it cancelled my order a lot of wasted time no result</v>
      </c>
      <c r="I1740" s="6">
        <f t="shared" si="2"/>
        <v>44</v>
      </c>
      <c r="J1740" s="6">
        <f>IFERROR(__xludf.DUMMYFUNCTION("IF(H1740="""","""",
SUM(
ARRAYFORMULA(
IF(
REGEXMATCH(
"" ""&amp;H1740&amp;"" "",
"" ""&amp;Sentiment_Words!A$2:A3730&amp;"" ""
),
1,
0
)
)
)
)"),0.0)</f>
        <v>0</v>
      </c>
      <c r="K1740" s="4">
        <f>IFERROR(__xludf.DUMMYFUNCTION("IF(H1740="""","""",
SUM(
ARRAYFORMULA(
IF(
REGEXMATCH(
"" ""&amp;H1740&amp;"" "",
"" ""&amp;Sentiment_Words!B$2:B3730&amp;"" ""
),
1,
0
)
)
)
)"),1.0)</f>
        <v>1</v>
      </c>
      <c r="L1740" s="7" t="str">
        <f t="shared" si="3"/>
        <v>Other</v>
      </c>
      <c r="M1740" s="7" t="str">
        <f t="shared" si="4"/>
        <v>Negative</v>
      </c>
      <c r="N1740" s="7" t="str">
        <f>IFERROR(__xludf.DUMMYFUNCTION("LOWER(
TRIM(
REGEXREPLACE(B1740,""[^a-zA-Z\s]"","""")
)
)
"),"terry wolverton")</f>
        <v>terry wolverton</v>
      </c>
      <c r="O1740" s="7">
        <f t="shared" si="5"/>
        <v>1</v>
      </c>
      <c r="P1740" s="8" t="str">
        <f t="shared" si="6"/>
        <v>No</v>
      </c>
    </row>
    <row r="1741">
      <c r="A1741" s="4" t="s">
        <v>16</v>
      </c>
      <c r="B1741" s="4" t="s">
        <v>4916</v>
      </c>
      <c r="C1741" s="5">
        <v>44785.0</v>
      </c>
      <c r="D1741" s="10">
        <v>44785.0</v>
      </c>
      <c r="E1741" s="4" t="s">
        <v>4917</v>
      </c>
      <c r="F1741" s="4" t="s">
        <v>4918</v>
      </c>
      <c r="G1741" s="6" t="str">
        <f>IFERROR(__xludf.DUMMYFUNCTION("REGEXREPLACE(LOWER(F1741),""[^a-z\s]"","""")"),"fabulous great fantastic worth it affordable")</f>
        <v>fabulous great fantastic worth it affordable</v>
      </c>
      <c r="H1741" s="4" t="str">
        <f t="shared" si="1"/>
        <v>fabulous great fantastic worth it affordable</v>
      </c>
      <c r="I1741" s="6">
        <f t="shared" si="2"/>
        <v>6</v>
      </c>
      <c r="J1741" s="6">
        <f>IFERROR(__xludf.DUMMYFUNCTION("IF(H1741="""","""",
SUM(
ARRAYFORMULA(
IF(
REGEXMATCH(
"" ""&amp;H1741&amp;"" "",
"" ""&amp;Sentiment_Words!A$2:A3730&amp;"" ""
),
1,
0
)
)
)
)"),3.0)</f>
        <v>3</v>
      </c>
      <c r="K1741" s="4">
        <f>IFERROR(__xludf.DUMMYFUNCTION("IF(H1741="""","""",
SUM(
ARRAYFORMULA(
IF(
REGEXMATCH(
"" ""&amp;H1741&amp;"" "",
"" ""&amp;Sentiment_Words!B$2:B3730&amp;"" ""
),
1,
0
)
)
)
)"),0.0)</f>
        <v>0</v>
      </c>
      <c r="L1741" s="7" t="str">
        <f t="shared" si="3"/>
        <v>Other</v>
      </c>
      <c r="M1741" s="7" t="str">
        <f t="shared" si="4"/>
        <v>Positive</v>
      </c>
      <c r="N1741" s="7" t="str">
        <f>IFERROR(__xludf.DUMMYFUNCTION("LOWER(
TRIM(
REGEXREPLACE(B1741,""[^a-zA-Z\s]"","""")
)
)
"),"ljudice")</f>
        <v>ljudice</v>
      </c>
      <c r="O1741" s="7">
        <f t="shared" si="5"/>
        <v>1</v>
      </c>
      <c r="P1741" s="8" t="str">
        <f t="shared" si="6"/>
        <v>No</v>
      </c>
    </row>
    <row r="1742">
      <c r="A1742" s="4" t="s">
        <v>16</v>
      </c>
      <c r="B1742" s="4" t="s">
        <v>4919</v>
      </c>
      <c r="C1742" s="5">
        <v>44785.0</v>
      </c>
      <c r="D1742" s="10">
        <v>44785.0</v>
      </c>
      <c r="E1742" s="4" t="s">
        <v>4920</v>
      </c>
      <c r="F1742" s="4" t="s">
        <v>4921</v>
      </c>
      <c r="G1742" s="6" t="str">
        <f>IFERROR(__xludf.DUMMYFUNCTION("REGEXREPLACE(LOWER(F1742),""[^a-z\s]"","""")"),"i originally spoke with a very helpful employee who helped me place my order i received an email verifying the order i then received another email stating the order was vet approved and would ship aug  i looked up my order to check status and saw it was c"&amp;"anceled i called and was told it was out of stock so they canceled it i received no notification of cancellation nor stock availability
i have a blind deaf diabetic dog i searched for the hills product everywhere recommended and realized it was out of sto"&amp;"ck everywhere except your company i was thrilled you took my order verified it checked with my veterinarian and sent a ship date never was i notified of any change to my original order
i will never order from nor recommend your company i am a member of se"&amp;"veral special needs dog groups and will be sharing my experience with your company i wish i could give a negative stars
signed mary griswold")</f>
        <v>i originally spoke with a very helpful employee who helped me place my order i received an email verifying the order i then received another email stating the order was vet approved and would ship aug  i looked up my order to check status and saw it was canceled i called and was told it was out of stock so they canceled it i received no notification of cancellation nor stock availability
i have a blind deaf diabetic dog i searched for the hills product everywhere recommended and realized it was out of stock everywhere except your company i was thrilled you took my order verified it checked with my veterinarian and sent a ship date never was i notified of any change to my original order
i will never order from nor recommend your company i am a member of several special needs dog groups and will be sharing my experience with your company i wish i could give a negative stars
signed mary griswold</v>
      </c>
      <c r="H1742" s="4" t="str">
        <f t="shared" si="1"/>
        <v>i originally spoke with a very helpful employee who helped me place my order i received an email verifying order i then received another email stating order was vet approved would ship aug i looked up my order check status saw it was canceled i called was told it was out of stock so they canceled it i received no notification of cancellation nor stock availability
i have a blind deaf diabetic dog i searched hills product everywhere recommended realized it was out of stock everywhere except your company i was thrilled you took my order verified it checked with my veterinarian sent a ship date never was i notified of any change my original order
i will never order from nor recommend your company i am a member of several special needs dog groups will be sharing my experience with your company i wish i could give a negative stars
signed mary griswold</v>
      </c>
      <c r="I1742" s="6">
        <f t="shared" si="2"/>
        <v>151</v>
      </c>
      <c r="J1742" s="6">
        <f>IFERROR(__xludf.DUMMYFUNCTION("IF(H1742="""","""",
SUM(
ARRAYFORMULA(
IF(
REGEXMATCH(
"" ""&amp;H1742&amp;"" "",
"" ""&amp;Sentiment_Words!A$2:A3730&amp;"" ""
),
1,
0
)
)
)
)"),1.0)</f>
        <v>1</v>
      </c>
      <c r="K1742" s="4">
        <f>IFERROR(__xludf.DUMMYFUNCTION("IF(H1742="""","""",
SUM(
ARRAYFORMULA(
IF(
REGEXMATCH(
"" ""&amp;H1742&amp;"" "",
"" ""&amp;Sentiment_Words!B$2:B3730&amp;"" ""
),
1,
0
)
)
)
)"),1.0)</f>
        <v>1</v>
      </c>
      <c r="L1742" s="7" t="str">
        <f t="shared" si="3"/>
        <v>Availability</v>
      </c>
      <c r="M1742" s="7" t="str">
        <f t="shared" si="4"/>
        <v>Neutral</v>
      </c>
      <c r="N1742" s="7" t="str">
        <f>IFERROR(__xludf.DUMMYFUNCTION("LOWER(
TRIM(
REGEXREPLACE(B1742,""[^a-zA-Z\s]"","""")
)
)
"),"mary griswold")</f>
        <v>mary griswold</v>
      </c>
      <c r="O1742" s="7">
        <f t="shared" si="5"/>
        <v>1</v>
      </c>
      <c r="P1742" s="8" t="str">
        <f t="shared" si="6"/>
        <v>No</v>
      </c>
    </row>
    <row r="1743">
      <c r="A1743" s="4" t="s">
        <v>16</v>
      </c>
      <c r="B1743" s="4" t="s">
        <v>4922</v>
      </c>
      <c r="C1743" s="5">
        <v>44784.0</v>
      </c>
      <c r="D1743" s="10">
        <v>44785.0</v>
      </c>
      <c r="E1743" s="4" t="s">
        <v>4923</v>
      </c>
      <c r="F1743" s="4" t="s">
        <v>4924</v>
      </c>
      <c r="G1743" s="6" t="str">
        <f>IFERROR(__xludf.DUMMYFUNCTION("REGEXREPLACE(LOWER(F1743),""[^a-z\s]"","""")"),"i requested my auto ship arrive early and it was shipped on  at that time i requested the next auto ship arrive in i believe it was  or  weeks however it appears that another  bag of food was shipped today i certainly do not need  of dry food hoping petfl"&amp;"ow will help to resolve the issue")</f>
        <v>i requested my auto ship arrive early and it was shipped on  at that time i requested the next auto ship arrive in i believe it was  or  weeks however it appears that another  bag of food was shipped today i certainly do not need  of dry food hoping petflow will help to resolve the issue</v>
      </c>
      <c r="H1743" s="4" t="str">
        <f t="shared" si="1"/>
        <v>i requested my auto ship arrive early it was shipped on at that time i requested next auto ship arrive in i believe it was or weeks however it appears that another bag of food was shipped today i certainly do not need of dry food hoping petflow will help resolve issue</v>
      </c>
      <c r="I1743" s="6">
        <f t="shared" si="2"/>
        <v>52</v>
      </c>
      <c r="J1743" s="6">
        <f>IFERROR(__xludf.DUMMYFUNCTION("IF(H1743="""","""",
SUM(
ARRAYFORMULA(
IF(
REGEXMATCH(
"" ""&amp;H1743&amp;"" "",
"" ""&amp;Sentiment_Words!A$2:A3730&amp;"" ""
),
1,
0
)
)
)
)"),1.0)</f>
        <v>1</v>
      </c>
      <c r="K1743" s="4">
        <f>IFERROR(__xludf.DUMMYFUNCTION("IF(H1743="""","""",
SUM(
ARRAYFORMULA(
IF(
REGEXMATCH(
"" ""&amp;H1743&amp;"" "",
"" ""&amp;Sentiment_Words!B$2:B3730&amp;"" ""
),
1,
0
)
)
)
)"),1.0)</f>
        <v>1</v>
      </c>
      <c r="L1743" s="7" t="str">
        <f t="shared" si="3"/>
        <v>Other</v>
      </c>
      <c r="M1743" s="7" t="str">
        <f t="shared" si="4"/>
        <v>Neutral</v>
      </c>
      <c r="N1743" s="7" t="str">
        <f>IFERROR(__xludf.DUMMYFUNCTION("LOWER(
TRIM(
REGEXREPLACE(B1743,""[^a-zA-Z\s]"","""")
)
)
"),"anita")</f>
        <v>anita</v>
      </c>
      <c r="O1743" s="7">
        <f t="shared" si="5"/>
        <v>3</v>
      </c>
      <c r="P1743" s="8" t="str">
        <f t="shared" si="6"/>
        <v>Yes</v>
      </c>
    </row>
    <row r="1744">
      <c r="A1744" s="4" t="s">
        <v>16</v>
      </c>
      <c r="B1744" s="4" t="s">
        <v>4925</v>
      </c>
      <c r="C1744" s="5">
        <v>44784.0</v>
      </c>
      <c r="D1744" s="10">
        <v>44785.0</v>
      </c>
      <c r="E1744" s="4" t="s">
        <v>4926</v>
      </c>
      <c r="F1744" s="4" t="s">
        <v>4927</v>
      </c>
      <c r="G1744" s="6" t="str">
        <f>IFERROR(__xludf.DUMMYFUNCTION("REGEXREPLACE(LOWER(F1744),""[^a-z\s]"","""")"),"prices were good and all items arrived in a timely manner website is easy to use")</f>
        <v>prices were good and all items arrived in a timely manner website is easy to use</v>
      </c>
      <c r="H1744" s="4" t="str">
        <f t="shared" si="1"/>
        <v>prices were good all items arrived in a timely manner website easy use</v>
      </c>
      <c r="I1744" s="6">
        <f t="shared" si="2"/>
        <v>13</v>
      </c>
      <c r="J1744" s="6">
        <f>IFERROR(__xludf.DUMMYFUNCTION("IF(H1744="""","""",
SUM(
ARRAYFORMULA(
IF(
REGEXMATCH(
"" ""&amp;H1744&amp;"" "",
"" ""&amp;Sentiment_Words!A$2:A3730&amp;"" ""
),
1,
0
)
)
)
)"),2.0)</f>
        <v>2</v>
      </c>
      <c r="K1744" s="4">
        <f>IFERROR(__xludf.DUMMYFUNCTION("IF(H1744="""","""",
SUM(
ARRAYFORMULA(
IF(
REGEXMATCH(
"" ""&amp;H1744&amp;"" "",
"" ""&amp;Sentiment_Words!B$2:B3730&amp;"" ""
),
1,
0
)
)
)
)"),0.0)</f>
        <v>0</v>
      </c>
      <c r="L1744" s="7" t="str">
        <f t="shared" si="3"/>
        <v>Account &amp; Website</v>
      </c>
      <c r="M1744" s="7" t="str">
        <f t="shared" si="4"/>
        <v>Positive</v>
      </c>
      <c r="N1744" s="7" t="str">
        <f>IFERROR(__xludf.DUMMYFUNCTION("LOWER(
TRIM(
REGEXREPLACE(B1744,""[^a-zA-Z\s]"","""")
)
)
"),"kathy j")</f>
        <v>kathy j</v>
      </c>
      <c r="O1744" s="7">
        <f t="shared" si="5"/>
        <v>1</v>
      </c>
      <c r="P1744" s="8" t="str">
        <f t="shared" si="6"/>
        <v>No</v>
      </c>
    </row>
    <row r="1745">
      <c r="A1745" s="4" t="s">
        <v>16</v>
      </c>
      <c r="B1745" s="4" t="s">
        <v>4928</v>
      </c>
      <c r="C1745" s="5">
        <v>44784.0</v>
      </c>
      <c r="D1745" s="10">
        <v>44784.0</v>
      </c>
      <c r="E1745" s="4" t="s">
        <v>4929</v>
      </c>
      <c r="F1745" s="4" t="s">
        <v>4930</v>
      </c>
      <c r="G1745" s="6" t="str">
        <f>IFERROR(__xludf.DUMMYFUNCTION("REGEXREPLACE(LOWER(F1745),""[^a-z\s]"","""")"),"you dont deliver parcels
very disappointed")</f>
        <v>you dont deliver parcels
very disappointed</v>
      </c>
      <c r="H1745" s="4" t="str">
        <f t="shared" si="1"/>
        <v>you dont deliver parcels
very disappointed</v>
      </c>
      <c r="I1745" s="6">
        <f t="shared" si="2"/>
        <v>5</v>
      </c>
      <c r="J1745" s="6">
        <f>IFERROR(__xludf.DUMMYFUNCTION("IF(H1745="""","""",
SUM(
ARRAYFORMULA(
IF(
REGEXMATCH(
"" ""&amp;H1745&amp;"" "",
"" ""&amp;Sentiment_Words!A$2:A3730&amp;"" ""
),
1,
0
)
)
)
)"),0.0)</f>
        <v>0</v>
      </c>
      <c r="K1745" s="4">
        <f>IFERROR(__xludf.DUMMYFUNCTION("IF(H1745="""","""",
SUM(
ARRAYFORMULA(
IF(
REGEXMATCH(
"" ""&amp;H1745&amp;"" "",
"" ""&amp;Sentiment_Words!B$2:B3730&amp;"" ""
),
1,
0
)
)
)
)"),0.0)</f>
        <v>0</v>
      </c>
      <c r="L1745" s="7" t="str">
        <f t="shared" si="3"/>
        <v>Trust &amp; Experience</v>
      </c>
      <c r="M1745" s="7" t="str">
        <f t="shared" si="4"/>
        <v>Neutral</v>
      </c>
      <c r="N1745" s="7" t="str">
        <f>IFERROR(__xludf.DUMMYFUNCTION("LOWER(
TRIM(
REGEXREPLACE(B1745,""[^a-zA-Z\s]"","""")
)
)
"),"alexis roeber")</f>
        <v>alexis roeber</v>
      </c>
      <c r="O1745" s="7">
        <f t="shared" si="5"/>
        <v>1</v>
      </c>
      <c r="P1745" s="8" t="str">
        <f t="shared" si="6"/>
        <v>No</v>
      </c>
    </row>
    <row r="1746">
      <c r="A1746" s="4" t="s">
        <v>16</v>
      </c>
      <c r="B1746" s="4" t="s">
        <v>4931</v>
      </c>
      <c r="C1746" s="5">
        <v>44784.0</v>
      </c>
      <c r="D1746" s="10">
        <v>44784.0</v>
      </c>
      <c r="E1746" s="4" t="s">
        <v>4932</v>
      </c>
      <c r="F1746" s="4" t="s">
        <v>4933</v>
      </c>
      <c r="G1746" s="6" t="str">
        <f>IFERROR(__xludf.DUMMYFUNCTION("REGEXREPLACE(LOWER(F1746),""[^a-z\s]"","""")"),"i ordered cat food on july th  days ago it still has not arrived i live in oregon early in this misadventure i received a message that it was being shipped from a more distant place nj because the closer warehouse was out of the brand i chose then i got u"&amp;"pdates that the order was in transit the day before it was supposed to be delivered aug th fedex said there was an exception i have heard nothing more since then i am now wondering if i will ever get this order very disappointing")</f>
        <v>i ordered cat food on july th  days ago it still has not arrived i live in oregon early in this misadventure i received a message that it was being shipped from a more distant place nj because the closer warehouse was out of the brand i chose then i got updates that the order was in transit the day before it was supposed to be delivered aug th fedex said there was an exception i have heard nothing more since then i am now wondering if i will ever get this order very disappointing</v>
      </c>
      <c r="H1746" s="4" t="str">
        <f t="shared" si="1"/>
        <v>i ordered cat food on july th days ago it still has not arrived i live in oregon early in this misadventure i received a message that it was being shipped from a more distant place nj because closer warehouse was out of brand i chose then i got updates that order was in transit day before it was supposed be delivered aug th fedex said there was an exception i have heard nothing more since then i am now wondering if i will ever get this order very disappointing</v>
      </c>
      <c r="I1746" s="6">
        <f t="shared" si="2"/>
        <v>90</v>
      </c>
      <c r="J1746" s="6">
        <f>IFERROR(__xludf.DUMMYFUNCTION("IF(H1746="""","""",
SUM(
ARRAYFORMULA(
IF(
REGEXMATCH(
"" ""&amp;H1746&amp;"" "",
"" ""&amp;Sentiment_Words!A$2:A3730&amp;"" ""
),
1,
0
)
)
)
)"),1.0)</f>
        <v>1</v>
      </c>
      <c r="K1746" s="4">
        <f>IFERROR(__xludf.DUMMYFUNCTION("IF(H1746="""","""",
SUM(
ARRAYFORMULA(
IF(
REGEXMATCH(
"" ""&amp;H1746&amp;"" "",
"" ""&amp;Sentiment_Words!B$2:B3730&amp;"" ""
),
1,
0
)
)
)
)"),0.0)</f>
        <v>0</v>
      </c>
      <c r="L1746" s="7" t="str">
        <f t="shared" si="3"/>
        <v>Other</v>
      </c>
      <c r="M1746" s="7" t="str">
        <f t="shared" si="4"/>
        <v>Positive</v>
      </c>
      <c r="N1746" s="7" t="str">
        <f>IFERROR(__xludf.DUMMYFUNCTION("LOWER(
TRIM(
REGEXREPLACE(B1746,""[^a-zA-Z\s]"","""")
)
)
"),"purrfectly contented pat")</f>
        <v>purrfectly contented pat</v>
      </c>
      <c r="O1746" s="7">
        <f t="shared" si="5"/>
        <v>1</v>
      </c>
      <c r="P1746" s="8" t="str">
        <f t="shared" si="6"/>
        <v>No</v>
      </c>
    </row>
    <row r="1747">
      <c r="A1747" s="4" t="s">
        <v>16</v>
      </c>
      <c r="B1747" s="4" t="s">
        <v>4934</v>
      </c>
      <c r="C1747" s="5">
        <v>44784.0</v>
      </c>
      <c r="D1747" s="10">
        <v>44784.0</v>
      </c>
      <c r="E1747" s="4" t="s">
        <v>4935</v>
      </c>
      <c r="F1747" s="4" t="s">
        <v>4936</v>
      </c>
      <c r="G1747" s="6" t="str">
        <f>IFERROR(__xludf.DUMMYFUNCTION("REGEXREPLACE(LOWER(F1747),""[^a-z\s]"","""")"),"you guys suck i couldnt even place an order because of ur fraud dept")</f>
        <v>you guys suck i couldnt even place an order because of ur fraud dept</v>
      </c>
      <c r="H1747" s="4" t="str">
        <f t="shared" si="1"/>
        <v>you guys suck i couldnt even place an order because of ur fraud dept</v>
      </c>
      <c r="I1747" s="6">
        <f t="shared" si="2"/>
        <v>14</v>
      </c>
      <c r="J1747" s="6">
        <f>IFERROR(__xludf.DUMMYFUNCTION("IF(H1747="""","""",
SUM(
ARRAYFORMULA(
IF(
REGEXMATCH(
"" ""&amp;H1747&amp;"" "",
"" ""&amp;Sentiment_Words!A$2:A3730&amp;"" ""
),
1,
0
)
)
)
)"),0.0)</f>
        <v>0</v>
      </c>
      <c r="K1747" s="4">
        <f>IFERROR(__xludf.DUMMYFUNCTION("IF(H1747="""","""",
SUM(
ARRAYFORMULA(
IF(
REGEXMATCH(
"" ""&amp;H1747&amp;"" "",
"" ""&amp;Sentiment_Words!B$2:B3730&amp;"" ""
),
1,
0
)
)
)
)"),0.0)</f>
        <v>0</v>
      </c>
      <c r="L1747" s="7" t="str">
        <f t="shared" si="3"/>
        <v>Other</v>
      </c>
      <c r="M1747" s="7" t="str">
        <f t="shared" si="4"/>
        <v>Neutral</v>
      </c>
      <c r="N1747" s="7" t="str">
        <f>IFERROR(__xludf.DUMMYFUNCTION("LOWER(
TRIM(
REGEXREPLACE(B1747,""[^a-zA-Z\s]"","""")
)
)
"),"tara nosich")</f>
        <v>tara nosich</v>
      </c>
      <c r="O1747" s="7">
        <f t="shared" si="5"/>
        <v>1</v>
      </c>
      <c r="P1747" s="8" t="str">
        <f t="shared" si="6"/>
        <v>No</v>
      </c>
    </row>
    <row r="1748">
      <c r="A1748" s="4" t="s">
        <v>16</v>
      </c>
      <c r="B1748" s="4" t="s">
        <v>4937</v>
      </c>
      <c r="C1748" s="5">
        <v>44783.0</v>
      </c>
      <c r="D1748" s="10">
        <v>44784.0</v>
      </c>
      <c r="E1748" s="4" t="s">
        <v>4938</v>
      </c>
      <c r="F1748" s="4" t="s">
        <v>4939</v>
      </c>
      <c r="G1748" s="6" t="str">
        <f>IFERROR(__xludf.DUMMYFUNCTION("REGEXREPLACE(LOWER(F1748),""[^a-z\s]"","""")"),"i had hoped that petflow would be a reliable source to order my cats food especially the prescription food that is critically important unfortunately petflow has failed me multiple times canceling my order five days after i placed it
sometimes the chat w"&amp;"indow on their website works  sometimes it doesnt even appear i get lots of excuses of why they cant fulfill my orders including supply chain issues which i understand but i can still get those orders fulfilled by petsmart most of the time
i came across "&amp;"petflow when i went to the website for hills pet food and they recommended petflow as a resource i do not recommend petflow if youre looking for a reliable source of pet food and prompt communication you will be sorely disappointed")</f>
        <v>i had hoped that petflow would be a reliable source to order my cats food especially the prescription food that is critically important unfortunately petflow has failed me multiple times canceling my order five days after i placed it
sometimes the chat window on their website works  sometimes it doesnt even appear i get lots of excuses of why they cant fulfill my orders including supply chain issues which i understand but i can still get those orders fulfilled by petsmart most of the time
i came across petflow when i went to the website for hills pet food and they recommended petflow as a resource i do not recommend petflow if youre looking for a reliable source of pet food and prompt communication you will be sorely disappointed</v>
      </c>
      <c r="H1748" s="4" t="str">
        <f t="shared" si="1"/>
        <v>i had hoped that petflow would be a reliable source order my cats food especially prescription food that critically important unfortunately petflow has failed me multiple times canceling my order five days after i placed it
sometimes chat window on their website works sometimes it doesnt even appear i get lots of excuses of why they cant fulfill my orders including supply chain issues which i understand but i can still get those orders fulfilled by petsmart most of time
i came across petflow when i went website hills pet food they recommended petflow as a resource i do not recommend petflow if youre looking a reliable source of pet food prompt communication you will be sorely disappointed</v>
      </c>
      <c r="I1748" s="6">
        <f t="shared" si="2"/>
        <v>116</v>
      </c>
      <c r="J1748" s="6">
        <f>IFERROR(__xludf.DUMMYFUNCTION("IF(H1748="""","""",
SUM(
ARRAYFORMULA(
IF(
REGEXMATCH(
"" ""&amp;H1748&amp;"" "",
"" ""&amp;Sentiment_Words!A$2:A3730&amp;"" ""
),
1,
0
)
)
)
)"),3.0)</f>
        <v>3</v>
      </c>
      <c r="K1748" s="4">
        <f>IFERROR(__xludf.DUMMYFUNCTION("IF(H1748="""","""",
SUM(
ARRAYFORMULA(
IF(
REGEXMATCH(
"" ""&amp;H1748&amp;"" "",
"" ""&amp;Sentiment_Words!B$2:B3730&amp;"" ""
),
1,
0
)
)
)
)"),0.0)</f>
        <v>0</v>
      </c>
      <c r="L1748" s="7" t="str">
        <f t="shared" si="3"/>
        <v>Account &amp; Website</v>
      </c>
      <c r="M1748" s="7" t="str">
        <f t="shared" si="4"/>
        <v>Positive</v>
      </c>
      <c r="N1748" s="7" t="str">
        <f>IFERROR(__xludf.DUMMYFUNCTION("LOWER(
TRIM(
REGEXREPLACE(B1748,""[^a-zA-Z\s]"","""")
)
)
"),"kitty mama")</f>
        <v>kitty mama</v>
      </c>
      <c r="O1748" s="7">
        <f t="shared" si="5"/>
        <v>1</v>
      </c>
      <c r="P1748" s="8" t="str">
        <f t="shared" si="6"/>
        <v>No</v>
      </c>
    </row>
    <row r="1749">
      <c r="A1749" s="4" t="s">
        <v>16</v>
      </c>
      <c r="B1749" s="4" t="s">
        <v>4940</v>
      </c>
      <c r="C1749" s="9">
        <v>44782.0</v>
      </c>
      <c r="D1749" s="10">
        <v>44782.0</v>
      </c>
      <c r="E1749" s="4" t="s">
        <v>4941</v>
      </c>
      <c r="F1749" s="4" t="s">
        <v>4942</v>
      </c>
      <c r="G1749" s="6" t="str">
        <f>IFERROR(__xludf.DUMMYFUNCTION("REGEXREPLACE(LOWER(F1749),""[^a-z\s]"","""")"),"the shipper had damaged the box of dog food and returned it to petflow i received a nice email saying they were shipping a replacement out right away")</f>
        <v>the shipper had damaged the box of dog food and returned it to petflow i received a nice email saying they were shipping a replacement out right away</v>
      </c>
      <c r="H1749" s="4" t="str">
        <f t="shared" si="1"/>
        <v>shipper had damaged box of dog food returned it petflow i received a nice email saying they were shipping a replacement out right away</v>
      </c>
      <c r="I1749" s="6">
        <f t="shared" si="2"/>
        <v>24</v>
      </c>
      <c r="J1749" s="6">
        <f>IFERROR(__xludf.DUMMYFUNCTION("IF(H1749="""","""",
SUM(
ARRAYFORMULA(
IF(
REGEXMATCH(
"" ""&amp;H1749&amp;"" "",
"" ""&amp;Sentiment_Words!A$2:A3730&amp;"" ""
),
1,
0
)
)
)
)"),0.0)</f>
        <v>0</v>
      </c>
      <c r="K1749" s="4">
        <f>IFERROR(__xludf.DUMMYFUNCTION("IF(H1749="""","""",
SUM(
ARRAYFORMULA(
IF(
REGEXMATCH(
"" ""&amp;H1749&amp;"" "",
"" ""&amp;Sentiment_Words!B$2:B3730&amp;"" ""
),
1,
0
)
)
)
)"),1.0)</f>
        <v>1</v>
      </c>
      <c r="L1749" s="7" t="str">
        <f t="shared" si="3"/>
        <v>Other</v>
      </c>
      <c r="M1749" s="7" t="str">
        <f t="shared" si="4"/>
        <v>Negative</v>
      </c>
      <c r="N1749" s="7" t="str">
        <f>IFERROR(__xludf.DUMMYFUNCTION("LOWER(
TRIM(
REGEXREPLACE(B1749,""[^a-zA-Z\s]"","""")
)
)
"),"glenn donofri")</f>
        <v>glenn donofri</v>
      </c>
      <c r="O1749" s="7">
        <f t="shared" si="5"/>
        <v>1</v>
      </c>
      <c r="P1749" s="8" t="str">
        <f t="shared" si="6"/>
        <v>No</v>
      </c>
    </row>
    <row r="1750">
      <c r="A1750" s="4" t="s">
        <v>16</v>
      </c>
      <c r="B1750" s="4" t="s">
        <v>4943</v>
      </c>
      <c r="C1750" s="9">
        <v>44782.0</v>
      </c>
      <c r="D1750" s="10">
        <v>44782.0</v>
      </c>
      <c r="E1750" s="4" t="s">
        <v>4944</v>
      </c>
      <c r="F1750" s="4" t="s">
        <v>4945</v>
      </c>
      <c r="G1750" s="6" t="str">
        <f>IFERROR(__xludf.DUMMYFUNCTION("REGEXREPLACE(LOWER(F1750),""[^a-z\s]"","""")"),"i use petflow because theyre priced right prompt and have what the cats on prescription need")</f>
        <v>i use petflow because theyre priced right prompt and have what the cats on prescription need</v>
      </c>
      <c r="H1750" s="4" t="str">
        <f t="shared" si="1"/>
        <v>i use petflow because theyre priced right prompt have what cats on prescription need</v>
      </c>
      <c r="I1750" s="6">
        <f t="shared" si="2"/>
        <v>14</v>
      </c>
      <c r="J1750" s="6">
        <f>IFERROR(__xludf.DUMMYFUNCTION("IF(H1750="""","""",
SUM(
ARRAYFORMULA(
IF(
REGEXMATCH(
"" ""&amp;H1750&amp;"" "",
"" ""&amp;Sentiment_Words!A$2:A3730&amp;"" ""
),
1,
0
)
)
)
)"),1.0)</f>
        <v>1</v>
      </c>
      <c r="K1750" s="4">
        <f>IFERROR(__xludf.DUMMYFUNCTION("IF(H1750="""","""",
SUM(
ARRAYFORMULA(
IF(
REGEXMATCH(
"" ""&amp;H1750&amp;"" "",
"" ""&amp;Sentiment_Words!B$2:B3730&amp;"" ""
),
1,
0
)
)
)
)"),0.0)</f>
        <v>0</v>
      </c>
      <c r="L1750" s="7" t="str">
        <f t="shared" si="3"/>
        <v>Other</v>
      </c>
      <c r="M1750" s="7" t="str">
        <f t="shared" si="4"/>
        <v>Positive</v>
      </c>
      <c r="N1750" s="7" t="str">
        <f>IFERROR(__xludf.DUMMYFUNCTION("LOWER(
TRIM(
REGEXREPLACE(B1750,""[^a-zA-Z\s]"","""")
)
)
"),"jim d")</f>
        <v>jim d</v>
      </c>
      <c r="O1750" s="7">
        <f t="shared" si="5"/>
        <v>1</v>
      </c>
      <c r="P1750" s="8" t="str">
        <f t="shared" si="6"/>
        <v>No</v>
      </c>
    </row>
    <row r="1751">
      <c r="A1751" s="4" t="s">
        <v>16</v>
      </c>
      <c r="B1751" s="4" t="s">
        <v>4946</v>
      </c>
      <c r="C1751" s="9">
        <v>44782.0</v>
      </c>
      <c r="D1751" s="10">
        <v>44782.0</v>
      </c>
      <c r="E1751" s="4" t="s">
        <v>515</v>
      </c>
      <c r="F1751" s="4" t="s">
        <v>4947</v>
      </c>
      <c r="G1751" s="6" t="str">
        <f>IFERROR(__xludf.DUMMYFUNCTION("REGEXREPLACE(LOWER(F1751),""[^a-z\s]"","""")"),"good price fast shipping thanks")</f>
        <v>good price fast shipping thanks</v>
      </c>
      <c r="H1751" s="4" t="str">
        <f t="shared" si="1"/>
        <v>good price fast shipping thanks</v>
      </c>
      <c r="I1751" s="6">
        <f t="shared" si="2"/>
        <v>5</v>
      </c>
      <c r="J1751" s="6">
        <f>IFERROR(__xludf.DUMMYFUNCTION("IF(H1751="""","""",
SUM(
ARRAYFORMULA(
IF(
REGEXMATCH(
"" ""&amp;H1751&amp;"" "",
"" ""&amp;Sentiment_Words!A$2:A3730&amp;"" ""
),
1,
0
)
)
)
)"),2.0)</f>
        <v>2</v>
      </c>
      <c r="K1751" s="4">
        <f>IFERROR(__xludf.DUMMYFUNCTION("IF(H1751="""","""",
SUM(
ARRAYFORMULA(
IF(
REGEXMATCH(
"" ""&amp;H1751&amp;"" "",
"" ""&amp;Sentiment_Words!B$2:B3730&amp;"" ""
),
1,
0
)
)
)
)"),0.0)</f>
        <v>0</v>
      </c>
      <c r="L1751" s="7" t="str">
        <f t="shared" si="3"/>
        <v>Other</v>
      </c>
      <c r="M1751" s="7" t="str">
        <f t="shared" si="4"/>
        <v>Positive</v>
      </c>
      <c r="N1751" s="7" t="str">
        <f>IFERROR(__xludf.DUMMYFUNCTION("LOWER(
TRIM(
REGEXREPLACE(B1751,""[^a-zA-Z\s]"","""")
)
)
"),"nataliya kutyepova")</f>
        <v>nataliya kutyepova</v>
      </c>
      <c r="O1751" s="7">
        <f t="shared" si="5"/>
        <v>1</v>
      </c>
      <c r="P1751" s="8" t="str">
        <f t="shared" si="6"/>
        <v>No</v>
      </c>
    </row>
    <row r="1752">
      <c r="A1752" s="4" t="s">
        <v>16</v>
      </c>
      <c r="B1752" s="4" t="s">
        <v>4948</v>
      </c>
      <c r="C1752" s="9">
        <v>44782.0</v>
      </c>
      <c r="D1752" s="10">
        <v>44782.0</v>
      </c>
      <c r="E1752" s="4" t="s">
        <v>4949</v>
      </c>
      <c r="F1752" s="4" t="s">
        <v>4950</v>
      </c>
      <c r="G1752" s="6" t="str">
        <f>IFERROR(__xludf.DUMMYFUNCTION("REGEXREPLACE(LOWER(F1752),""[^a-z\s]"","""")"),"ive recently moved and i was struggling to find my cats food and i found it on this website but sadly i was put on their fraud list right away i called customer service and they told me theres no way for me to talk to the fraud department to get my name o"&amp;"ff of the list so i never got to actually use their website or products i feel like this is probably a great company but definitely needs to improve the fraud department i give two stars because after trying everything and didnt really receive help ive ha"&amp;"d to find my cats food on a separate website also if my order is cancelled an email letting me know would be helpful instead of waiting a week expecting their food to come to find out its not")</f>
        <v>ive recently moved and i was struggling to find my cats food and i found it on this website but sadly i was put on their fraud list right away i called customer service and they told me theres no way for me to talk to the fraud department to get my name off of the list so i never got to actually use their website or products i feel like this is probably a great company but definitely needs to improve the fraud department i give two stars because after trying everything and didnt really receive help ive had to find my cats food on a separate website also if my order is cancelled an email letting me know would be helpful instead of waiting a week expecting their food to come to find out its not</v>
      </c>
      <c r="H1752" s="4" t="str">
        <f t="shared" si="1"/>
        <v>ive recently moved i was struggling find my cats food i found it on this website but sadly i was put on their fraud list right away i called customer service they told me theres no way me talk fraud department get my name off of list so i never got actually use their website or products i feel like this probably a great company but definitely needs improve fraud department i give two stars because after trying everything didnt really receive help ive had find my cats food on a separate website also if my order cancelled an email letting me know would be helpful instead of waiting a week expecting their food come find out its not</v>
      </c>
      <c r="I1752" s="6">
        <f t="shared" si="2"/>
        <v>119</v>
      </c>
      <c r="J1752" s="6">
        <f>IFERROR(__xludf.DUMMYFUNCTION("IF(H1752="""","""",
SUM(
ARRAYFORMULA(
IF(
REGEXMATCH(
"" ""&amp;H1752&amp;"" "",
"" ""&amp;Sentiment_Words!A$2:A3730&amp;"" ""
),
1,
0
)
)
)
)"),3.0)</f>
        <v>3</v>
      </c>
      <c r="K1752" s="4">
        <f>IFERROR(__xludf.DUMMYFUNCTION("IF(H1752="""","""",
SUM(
ARRAYFORMULA(
IF(
REGEXMATCH(
"" ""&amp;H1752&amp;"" "",
"" ""&amp;Sentiment_Words!B$2:B3730&amp;"" ""
),
1,
0
)
)
)
)"),2.0)</f>
        <v>2</v>
      </c>
      <c r="L1752" s="7" t="str">
        <f t="shared" si="3"/>
        <v>Customer Support</v>
      </c>
      <c r="M1752" s="7" t="str">
        <f t="shared" si="4"/>
        <v>Positive</v>
      </c>
      <c r="N1752" s="7" t="str">
        <f>IFERROR(__xludf.DUMMYFUNCTION("LOWER(
TRIM(
REGEXREPLACE(B1752,""[^a-zA-Z\s]"","""")
)
)
"),"christy")</f>
        <v>christy</v>
      </c>
      <c r="O1752" s="7">
        <f t="shared" si="5"/>
        <v>1</v>
      </c>
      <c r="P1752" s="8" t="str">
        <f t="shared" si="6"/>
        <v>No</v>
      </c>
    </row>
    <row r="1753">
      <c r="A1753" s="4" t="s">
        <v>16</v>
      </c>
      <c r="B1753" s="4" t="s">
        <v>4951</v>
      </c>
      <c r="C1753" s="9">
        <v>44782.0</v>
      </c>
      <c r="D1753" s="10">
        <v>44782.0</v>
      </c>
      <c r="E1753" s="4" t="s">
        <v>4952</v>
      </c>
      <c r="F1753" s="4" t="s">
        <v>4953</v>
      </c>
      <c r="G1753" s="6" t="str">
        <f>IFERROR(__xludf.DUMMYFUNCTION("REGEXREPLACE(LOWER(F1753),""[^a-z\s]"","""")"),"very helpful service over the phone received just what i ordered fast")</f>
        <v>very helpful service over the phone received just what i ordered fast</v>
      </c>
      <c r="H1753" s="4" t="str">
        <f t="shared" si="1"/>
        <v>very helpful service over phone received just what i ordered fast</v>
      </c>
      <c r="I1753" s="6">
        <f t="shared" si="2"/>
        <v>11</v>
      </c>
      <c r="J1753" s="6">
        <f>IFERROR(__xludf.DUMMYFUNCTION("IF(H1753="""","""",
SUM(
ARRAYFORMULA(
IF(
REGEXMATCH(
"" ""&amp;H1753&amp;"" "",
"" ""&amp;Sentiment_Words!A$2:A3730&amp;"" ""
),
1,
0
)
)
)
)"),2.0)</f>
        <v>2</v>
      </c>
      <c r="K1753" s="4">
        <f>IFERROR(__xludf.DUMMYFUNCTION("IF(H1753="""","""",
SUM(
ARRAYFORMULA(
IF(
REGEXMATCH(
"" ""&amp;H1753&amp;"" "",
"" ""&amp;Sentiment_Words!B$2:B3730&amp;"" ""
),
1,
0
)
)
)
)"),0.0)</f>
        <v>0</v>
      </c>
      <c r="L1753" s="7" t="str">
        <f t="shared" si="3"/>
        <v>Customer Support</v>
      </c>
      <c r="M1753" s="7" t="str">
        <f t="shared" si="4"/>
        <v>Positive</v>
      </c>
      <c r="N1753" s="7" t="str">
        <f>IFERROR(__xludf.DUMMYFUNCTION("LOWER(
TRIM(
REGEXREPLACE(B1753,""[^a-zA-Z\s]"","""")
)
)
"),"ruth butler")</f>
        <v>ruth butler</v>
      </c>
      <c r="O1753" s="7">
        <f t="shared" si="5"/>
        <v>1</v>
      </c>
      <c r="P1753" s="8" t="str">
        <f t="shared" si="6"/>
        <v>No</v>
      </c>
    </row>
    <row r="1754">
      <c r="A1754" s="4" t="s">
        <v>16</v>
      </c>
      <c r="B1754" s="4" t="s">
        <v>4954</v>
      </c>
      <c r="C1754" s="9">
        <v>44782.0</v>
      </c>
      <c r="D1754" s="10">
        <v>44782.0</v>
      </c>
      <c r="E1754" s="4" t="s">
        <v>4955</v>
      </c>
      <c r="F1754" s="4" t="s">
        <v>4956</v>
      </c>
      <c r="G1754" s="6" t="str">
        <f>IFERROR(__xludf.DUMMYFUNCTION("REGEXREPLACE(LOWER(F1754),""[^a-z\s]"","""")"),"never heard from you guys said my order was reported as fraudulent 
seriously you never even got back to me i think your company is super sketch would never ever order from you again
byeeeeeeee")</f>
        <v>never heard from you guys said my order was reported as fraudulent 
seriously you never even got back to me i think your company is super sketch would never ever order from you again
byeeeeeeee</v>
      </c>
      <c r="H1754" s="4" t="str">
        <f t="shared" si="1"/>
        <v>never heard from you guys said my order was reported as fraudulent 
seriously you never even got back me i think your company super sketch would never ever order from you again
byeeeeeeee</v>
      </c>
      <c r="I1754" s="6">
        <f t="shared" si="2"/>
        <v>32</v>
      </c>
      <c r="J1754" s="6">
        <f>IFERROR(__xludf.DUMMYFUNCTION("IF(H1754="""","""",
SUM(
ARRAYFORMULA(
IF(
REGEXMATCH(
"" ""&amp;H1754&amp;"" "",
"" ""&amp;Sentiment_Words!A$2:A3730&amp;"" ""
),
1,
0
)
)
)
)"),0.0)</f>
        <v>0</v>
      </c>
      <c r="K1754" s="4">
        <f>IFERROR(__xludf.DUMMYFUNCTION("IF(H1754="""","""",
SUM(
ARRAYFORMULA(
IF(
REGEXMATCH(
"" ""&amp;H1754&amp;"" "",
"" ""&amp;Sentiment_Words!B$2:B3730&amp;"" ""
),
1,
0
)
)
)
)"),0.0)</f>
        <v>0</v>
      </c>
      <c r="L1754" s="7" t="str">
        <f t="shared" si="3"/>
        <v>Other</v>
      </c>
      <c r="M1754" s="7" t="str">
        <f t="shared" si="4"/>
        <v>Neutral</v>
      </c>
      <c r="N1754" s="7" t="str">
        <f>IFERROR(__xludf.DUMMYFUNCTION("LOWER(
TRIM(
REGEXREPLACE(B1754,""[^a-zA-Z\s]"","""")
)
)
"),"janet alli")</f>
        <v>janet alli</v>
      </c>
      <c r="O1754" s="7">
        <f t="shared" si="5"/>
        <v>1</v>
      </c>
      <c r="P1754" s="8" t="str">
        <f t="shared" si="6"/>
        <v>No</v>
      </c>
    </row>
    <row r="1755">
      <c r="A1755" s="4" t="s">
        <v>16</v>
      </c>
      <c r="B1755" s="4" t="s">
        <v>4957</v>
      </c>
      <c r="C1755" s="9">
        <v>44781.0</v>
      </c>
      <c r="D1755" s="10">
        <v>44782.0</v>
      </c>
      <c r="E1755" s="4" t="s">
        <v>4958</v>
      </c>
      <c r="F1755" s="4" t="s">
        <v>4959</v>
      </c>
      <c r="G1755" s="6" t="str">
        <f>IFERROR(__xludf.DUMMYFUNCTION("REGEXREPLACE(LOWER(F1755),""[^a-z\s]"","""")"),"great prices and fast shipping")</f>
        <v>great prices and fast shipping</v>
      </c>
      <c r="H1755" s="4" t="str">
        <f t="shared" si="1"/>
        <v>great prices fast shipping</v>
      </c>
      <c r="I1755" s="6">
        <f t="shared" si="2"/>
        <v>4</v>
      </c>
      <c r="J1755" s="6">
        <f>IFERROR(__xludf.DUMMYFUNCTION("IF(H1755="""","""",
SUM(
ARRAYFORMULA(
IF(
REGEXMATCH(
"" ""&amp;H1755&amp;"" "",
"" ""&amp;Sentiment_Words!A$2:A3730&amp;"" ""
),
1,
0
)
)
)
)"),2.0)</f>
        <v>2</v>
      </c>
      <c r="K1755" s="4">
        <f>IFERROR(__xludf.DUMMYFUNCTION("IF(H1755="""","""",
SUM(
ARRAYFORMULA(
IF(
REGEXMATCH(
"" ""&amp;H1755&amp;"" "",
"" ""&amp;Sentiment_Words!B$2:B3730&amp;"" ""
),
1,
0
)
)
)
)"),0.0)</f>
        <v>0</v>
      </c>
      <c r="L1755" s="7" t="str">
        <f t="shared" si="3"/>
        <v>Other</v>
      </c>
      <c r="M1755" s="7" t="str">
        <f t="shared" si="4"/>
        <v>Positive</v>
      </c>
      <c r="N1755" s="7" t="str">
        <f>IFERROR(__xludf.DUMMYFUNCTION("LOWER(
TRIM(
REGEXREPLACE(B1755,""[^a-zA-Z\s]"","""")
)
)
"),"ken")</f>
        <v>ken</v>
      </c>
      <c r="O1755" s="7">
        <f t="shared" si="5"/>
        <v>3</v>
      </c>
      <c r="P1755" s="8" t="str">
        <f t="shared" si="6"/>
        <v>Yes</v>
      </c>
    </row>
    <row r="1756">
      <c r="A1756" s="4" t="s">
        <v>16</v>
      </c>
      <c r="B1756" s="4" t="s">
        <v>4960</v>
      </c>
      <c r="C1756" s="9">
        <v>44781.0</v>
      </c>
      <c r="D1756" s="10">
        <v>44781.0</v>
      </c>
      <c r="E1756" s="4" t="s">
        <v>4961</v>
      </c>
      <c r="F1756" s="4" t="s">
        <v>4962</v>
      </c>
      <c r="G1756" s="6" t="str">
        <f>IFERROR(__xludf.DUMMYFUNCTION("REGEXREPLACE(LOWER(F1756),""[^a-z\s]"","""")"),"order online was easy
check out offered pay pal and was easy to check out
shipping is quick
pricing was great
customer service is fantastic")</f>
        <v>order online was easy
check out offered pay pal and was easy to check out
shipping is quick
pricing was great
customer service is fantastic</v>
      </c>
      <c r="H1756" s="4" t="str">
        <f t="shared" si="1"/>
        <v>order online was easy
check out offered pay pal was easy check out
shipping quick
pricing was great
customer service fantastic</v>
      </c>
      <c r="I1756" s="6">
        <f t="shared" si="2"/>
        <v>17</v>
      </c>
      <c r="J1756" s="6">
        <f>IFERROR(__xludf.DUMMYFUNCTION("IF(H1756="""","""",
SUM(
ARRAYFORMULA(
IF(
REGEXMATCH(
"" ""&amp;H1756&amp;"" "",
"" ""&amp;Sentiment_Words!A$2:A3730&amp;"" ""
),
1,
0
)
)
)
)"),1.0)</f>
        <v>1</v>
      </c>
      <c r="K1756" s="4">
        <f>IFERROR(__xludf.DUMMYFUNCTION("IF(H1756="""","""",
SUM(
ARRAYFORMULA(
IF(
REGEXMATCH(
"" ""&amp;H1756&amp;"" "",
"" ""&amp;Sentiment_Words!B$2:B3730&amp;"" ""
),
1,
0
)
)
)
)"),0.0)</f>
        <v>0</v>
      </c>
      <c r="L1756" s="7" t="str">
        <f t="shared" si="3"/>
        <v>Customer Support</v>
      </c>
      <c r="M1756" s="7" t="str">
        <f t="shared" si="4"/>
        <v>Positive</v>
      </c>
      <c r="N1756" s="7" t="str">
        <f>IFERROR(__xludf.DUMMYFUNCTION("LOWER(
TRIM(
REGEXREPLACE(B1756,""[^a-zA-Z\s]"","""")
)
)
"),"gator")</f>
        <v>gator</v>
      </c>
      <c r="O1756" s="7">
        <f t="shared" si="5"/>
        <v>1</v>
      </c>
      <c r="P1756" s="8" t="str">
        <f t="shared" si="6"/>
        <v>No</v>
      </c>
    </row>
    <row r="1757">
      <c r="A1757" s="4" t="s">
        <v>16</v>
      </c>
      <c r="B1757" s="4" t="s">
        <v>4963</v>
      </c>
      <c r="C1757" s="9">
        <v>44781.0</v>
      </c>
      <c r="D1757" s="10">
        <v>44781.0</v>
      </c>
      <c r="E1757" s="4" t="s">
        <v>4964</v>
      </c>
      <c r="F1757" s="4" t="s">
        <v>4965</v>
      </c>
      <c r="G1757" s="6" t="str">
        <f>IFERROR(__xludf.DUMMYFUNCTION("REGEXREPLACE(LOWER(F1757),""[^a-z\s]"","""")"),"terrible customer service and company to work with site days  business days delivered from purchase date didnt even ship the product until a week after the order and kept making excuses as to why it wasnt being shipped product was dog food for my puppy th"&amp;"at could only be ordered online will never order from here again")</f>
        <v>terrible customer service and company to work with site days  business days delivered from purchase date didnt even ship the product until a week after the order and kept making excuses as to why it wasnt being shipped product was dog food for my puppy that could only be ordered online will never order from here again</v>
      </c>
      <c r="H1757" s="4" t="str">
        <f t="shared" si="1"/>
        <v>terrible customer service company work with site days business days delivered from purchase date didnt even ship product until a week after order kept making excuses as why it wasnt being shipped product was dog food my puppy that could only be ordered online will never order from here again</v>
      </c>
      <c r="I1757" s="6">
        <f t="shared" si="2"/>
        <v>50</v>
      </c>
      <c r="J1757" s="6">
        <f>IFERROR(__xludf.DUMMYFUNCTION("IF(H1757="""","""",
SUM(
ARRAYFORMULA(
IF(
REGEXMATCH(
"" ""&amp;H1757&amp;"" "",
"" ""&amp;Sentiment_Words!A$2:A3730&amp;"" ""
),
1,
0
)
)
)
)"),1.0)</f>
        <v>1</v>
      </c>
      <c r="K1757" s="4">
        <f>IFERROR(__xludf.DUMMYFUNCTION("IF(H1757="""","""",
SUM(
ARRAYFORMULA(
IF(
REGEXMATCH(
"" ""&amp;H1757&amp;"" "",
"" ""&amp;Sentiment_Words!B$2:B3730&amp;"" ""
),
1,
0
)
)
)
)"),2.0)</f>
        <v>2</v>
      </c>
      <c r="L1757" s="7" t="str">
        <f t="shared" si="3"/>
        <v>Customer Support</v>
      </c>
      <c r="M1757" s="7" t="str">
        <f t="shared" si="4"/>
        <v>Negative</v>
      </c>
      <c r="N1757" s="7" t="str">
        <f>IFERROR(__xludf.DUMMYFUNCTION("LOWER(
TRIM(
REGEXREPLACE(B1757,""[^a-zA-Z\s]"","""")
)
)
"),"ben szilagy")</f>
        <v>ben szilagy</v>
      </c>
      <c r="O1757" s="7">
        <f t="shared" si="5"/>
        <v>1</v>
      </c>
      <c r="P1757" s="8" t="str">
        <f t="shared" si="6"/>
        <v>No</v>
      </c>
    </row>
    <row r="1758">
      <c r="A1758" s="4" t="s">
        <v>16</v>
      </c>
      <c r="B1758" s="4" t="s">
        <v>4966</v>
      </c>
      <c r="C1758" s="9">
        <v>44781.0</v>
      </c>
      <c r="D1758" s="10">
        <v>44781.0</v>
      </c>
      <c r="E1758" s="4" t="s">
        <v>4967</v>
      </c>
      <c r="F1758" s="4" t="s">
        <v>4968</v>
      </c>
      <c r="G1758" s="6" t="str">
        <f>IFERROR(__xludf.DUMMYFUNCTION("REGEXREPLACE(LOWER(F1758),""[^a-z\s]"","""")"),"this is a place where they have fair prices fast delivery would buy from again a")</f>
        <v>this is a place where they have fair prices fast delivery would buy from again a</v>
      </c>
      <c r="H1758" s="4" t="str">
        <f t="shared" si="1"/>
        <v>this a place where they have fair prices fast delivery would buy from again a</v>
      </c>
      <c r="I1758" s="6">
        <f t="shared" si="2"/>
        <v>15</v>
      </c>
      <c r="J1758" s="6">
        <f>IFERROR(__xludf.DUMMYFUNCTION("IF(H1758="""","""",
SUM(
ARRAYFORMULA(
IF(
REGEXMATCH(
"" ""&amp;H1758&amp;"" "",
"" ""&amp;Sentiment_Words!A$2:A3730&amp;"" ""
),
1,
0
)
)
)
)"),2.0)</f>
        <v>2</v>
      </c>
      <c r="K1758" s="4">
        <f>IFERROR(__xludf.DUMMYFUNCTION("IF(H1758="""","""",
SUM(
ARRAYFORMULA(
IF(
REGEXMATCH(
"" ""&amp;H1758&amp;"" "",
"" ""&amp;Sentiment_Words!B$2:B3730&amp;"" ""
),
1,
0
)
)
)
)"),0.0)</f>
        <v>0</v>
      </c>
      <c r="L1758" s="7" t="str">
        <f t="shared" si="3"/>
        <v>Other</v>
      </c>
      <c r="M1758" s="7" t="str">
        <f t="shared" si="4"/>
        <v>Positive</v>
      </c>
      <c r="N1758" s="7" t="str">
        <f>IFERROR(__xludf.DUMMYFUNCTION("LOWER(
TRIM(
REGEXREPLACE(B1758,""[^a-zA-Z\s]"","""")
)
)
"),"deborah h")</f>
        <v>deborah h</v>
      </c>
      <c r="O1758" s="7">
        <f t="shared" si="5"/>
        <v>1</v>
      </c>
      <c r="P1758" s="8" t="str">
        <f t="shared" si="6"/>
        <v>No</v>
      </c>
    </row>
    <row r="1759">
      <c r="A1759" s="4" t="s">
        <v>16</v>
      </c>
      <c r="B1759" s="4" t="s">
        <v>4969</v>
      </c>
      <c r="C1759" s="9">
        <v>44781.0</v>
      </c>
      <c r="D1759" s="10">
        <v>44781.0</v>
      </c>
      <c r="E1759" s="4" t="s">
        <v>4970</v>
      </c>
      <c r="F1759" s="4" t="s">
        <v>4971</v>
      </c>
      <c r="G1759" s="6" t="str">
        <f>IFERROR(__xludf.DUMMYFUNCTION("REGEXREPLACE(LOWER(F1759),""[^a-z\s]"","""")"),"i asked to be shipped on a monday
my order wasnt shipped until tuesday
the expiration date on the dog treats i this november
when i purchase them from chewy or amazon the expiration date is always at least one year out")</f>
        <v>i asked to be shipped on a monday
my order wasnt shipped until tuesday
the expiration date on the dog treats i this november
when i purchase them from chewy or amazon the expiration date is always at least one year out</v>
      </c>
      <c r="H1759" s="4" t="str">
        <f t="shared" si="1"/>
        <v>i asked be shipped on a monday
my order wasnt shipped until tuesday
the expiration date on dog treats i this november
when i purchase them from chewy or amazon expiration date always at least one year out</v>
      </c>
      <c r="I1759" s="6">
        <f t="shared" si="2"/>
        <v>35</v>
      </c>
      <c r="J1759" s="6">
        <f>IFERROR(__xludf.DUMMYFUNCTION("IF(H1759="""","""",
SUM(
ARRAYFORMULA(
IF(
REGEXMATCH(
"" ""&amp;H1759&amp;"" "",
"" ""&amp;Sentiment_Words!A$2:A3730&amp;"" ""
),
1,
0
)
)
)
)"),0.0)</f>
        <v>0</v>
      </c>
      <c r="K1759" s="4">
        <f>IFERROR(__xludf.DUMMYFUNCTION("IF(H1759="""","""",
SUM(
ARRAYFORMULA(
IF(
REGEXMATCH(
"" ""&amp;H1759&amp;"" "",
"" ""&amp;Sentiment_Words!B$2:B3730&amp;"" ""
),
1,
0
)
)
)
)"),0.0)</f>
        <v>0</v>
      </c>
      <c r="L1759" s="7" t="str">
        <f t="shared" si="3"/>
        <v>Other</v>
      </c>
      <c r="M1759" s="7" t="str">
        <f t="shared" si="4"/>
        <v>Neutral</v>
      </c>
      <c r="N1759" s="7" t="str">
        <f>IFERROR(__xludf.DUMMYFUNCTION("LOWER(
TRIM(
REGEXREPLACE(B1759,""[^a-zA-Z\s]"","""")
)
)
"),"betsy rayle")</f>
        <v>betsy rayle</v>
      </c>
      <c r="O1759" s="7">
        <f t="shared" si="5"/>
        <v>1</v>
      </c>
      <c r="P1759" s="8" t="str">
        <f t="shared" si="6"/>
        <v>No</v>
      </c>
    </row>
    <row r="1760">
      <c r="A1760" s="4" t="s">
        <v>16</v>
      </c>
      <c r="B1760" s="4" t="s">
        <v>4972</v>
      </c>
      <c r="C1760" s="9">
        <v>44781.0</v>
      </c>
      <c r="D1760" s="10">
        <v>44781.0</v>
      </c>
      <c r="E1760" s="4" t="s">
        <v>4973</v>
      </c>
      <c r="F1760" s="4" t="s">
        <v>4974</v>
      </c>
      <c r="G1760" s="6" t="str">
        <f>IFERROR(__xludf.DUMMYFUNCTION("REGEXREPLACE(LOWER(F1760),""[^a-z\s]"","""")"),"i am happy with petflow there are some inconsistencies with their warehouse packaging i placed an extra order and they shipped out boxes weighing  lb i dont know how fedex moved them i certainly couldnt i believe they need a little more training and need "&amp;"to use common sense on what they pack in a box my rep is helpful and the manager that i have spoken to has also been extremely helpful i would definitely recommend using petflow for all your animals needs")</f>
        <v>i am happy with petflow there are some inconsistencies with their warehouse packaging i placed an extra order and they shipped out boxes weighing  lb i dont know how fedex moved them i certainly couldnt i believe they need a little more training and need to use common sense on what they pack in a box my rep is helpful and the manager that i have spoken to has also been extremely helpful i would definitely recommend using petflow for all your animals needs</v>
      </c>
      <c r="H1760" s="4" t="str">
        <f t="shared" si="1"/>
        <v>i am happy with petflow there are some inconsistencies with their warehouse packaging i placed an extra order they shipped out boxes weighing lb i dont know how fedex moved them i certainly couldnt i believe they need a little more training need use common sense on what they pack in a box my rep helpful manager that i have spoken has also been extremely helpful i would definitely recommend using petflow all your animals needs</v>
      </c>
      <c r="I1760" s="6">
        <f t="shared" si="2"/>
        <v>76</v>
      </c>
      <c r="J1760" s="6">
        <f>IFERROR(__xludf.DUMMYFUNCTION("IF(H1760="""","""",
SUM(
ARRAYFORMULA(
IF(
REGEXMATCH(
"" ""&amp;H1760&amp;"" "",
"" ""&amp;Sentiment_Words!A$2:A3730&amp;"" ""
),
1,
0
)
)
)
)"),2.0)</f>
        <v>2</v>
      </c>
      <c r="K1760" s="4">
        <f>IFERROR(__xludf.DUMMYFUNCTION("IF(H1760="""","""",
SUM(
ARRAYFORMULA(
IF(
REGEXMATCH(
"" ""&amp;H1760&amp;"" "",
"" ""&amp;Sentiment_Words!B$2:B3730&amp;"" ""
),
1,
0
)
)
)
)"),0.0)</f>
        <v>0</v>
      </c>
      <c r="L1760" s="7" t="str">
        <f t="shared" si="3"/>
        <v>Other</v>
      </c>
      <c r="M1760" s="7" t="str">
        <f t="shared" si="4"/>
        <v>Positive</v>
      </c>
      <c r="N1760" s="7" t="str">
        <f>IFERROR(__xludf.DUMMYFUNCTION("LOWER(
TRIM(
REGEXREPLACE(B1760,""[^a-zA-Z\s]"","""")
)
)
"),"tyrone morgan")</f>
        <v>tyrone morgan</v>
      </c>
      <c r="O1760" s="7">
        <f t="shared" si="5"/>
        <v>1</v>
      </c>
      <c r="P1760" s="8" t="str">
        <f t="shared" si="6"/>
        <v>No</v>
      </c>
    </row>
    <row r="1761">
      <c r="A1761" s="4" t="s">
        <v>16</v>
      </c>
      <c r="B1761" s="4" t="s">
        <v>4653</v>
      </c>
      <c r="C1761" s="9">
        <v>44781.0</v>
      </c>
      <c r="D1761" s="10">
        <v>44781.0</v>
      </c>
      <c r="E1761" s="4" t="s">
        <v>4975</v>
      </c>
      <c r="F1761" s="4" t="s">
        <v>4976</v>
      </c>
      <c r="G1761" s="6" t="str">
        <f>IFERROR(__xludf.DUMMYFUNCTION("REGEXREPLACE(LOWER(F1761),""[^a-z\s]"","""")"),"i called customer service to discuss the possibility of your obtaining more fromm cat food in small bag sizes great conversation")</f>
        <v>i called customer service to discuss the possibility of your obtaining more fromm cat food in small bag sizes great conversation</v>
      </c>
      <c r="H1761" s="4" t="str">
        <f t="shared" si="1"/>
        <v>i called customer service discuss possibility of your obtaining more fromm cat food in small bag sizes great conversation</v>
      </c>
      <c r="I1761" s="6">
        <f t="shared" si="2"/>
        <v>19</v>
      </c>
      <c r="J1761" s="6">
        <f>IFERROR(__xludf.DUMMYFUNCTION("IF(H1761="""","""",
SUM(
ARRAYFORMULA(
IF(
REGEXMATCH(
"" ""&amp;H1761&amp;"" "",
"" ""&amp;Sentiment_Words!A$2:A3730&amp;"" ""
),
1,
0
)
)
)
)"),1.0)</f>
        <v>1</v>
      </c>
      <c r="K1761" s="4">
        <f>IFERROR(__xludf.DUMMYFUNCTION("IF(H1761="""","""",
SUM(
ARRAYFORMULA(
IF(
REGEXMATCH(
"" ""&amp;H1761&amp;"" "",
"" ""&amp;Sentiment_Words!B$2:B3730&amp;"" ""
),
1,
0
)
)
)
)"),1.0)</f>
        <v>1</v>
      </c>
      <c r="L1761" s="7" t="str">
        <f t="shared" si="3"/>
        <v>Customer Support</v>
      </c>
      <c r="M1761" s="7" t="str">
        <f t="shared" si="4"/>
        <v>Neutral</v>
      </c>
      <c r="N1761" s="7" t="str">
        <f>IFERROR(__xludf.DUMMYFUNCTION("LOWER(
TRIM(
REGEXREPLACE(B1761,""[^a-zA-Z\s]"","""")
)
)
"),"cynthia")</f>
        <v>cynthia</v>
      </c>
      <c r="O1761" s="7">
        <f t="shared" si="5"/>
        <v>2</v>
      </c>
      <c r="P1761" s="8" t="str">
        <f t="shared" si="6"/>
        <v>Yes</v>
      </c>
    </row>
    <row r="1762">
      <c r="A1762" s="4" t="s">
        <v>16</v>
      </c>
      <c r="B1762" s="4" t="s">
        <v>4977</v>
      </c>
      <c r="C1762" s="9">
        <v>44780.0</v>
      </c>
      <c r="D1762" s="10">
        <v>44781.0</v>
      </c>
      <c r="E1762" s="4" t="s">
        <v>4978</v>
      </c>
      <c r="F1762" s="4" t="s">
        <v>4979</v>
      </c>
      <c r="G1762" s="6" t="str">
        <f>IFERROR(__xludf.DUMMYFUNCTION("REGEXREPLACE(LOWER(F1762),""[^a-z\s]"","""")"),"all past orders have been good and if there were any issues in the past the staff handled it appropriately and quick however this past problem was a slap in the face and took much needed funds away from my rescues petflow did not take responsibility for a"&amp;" screw up on an order and i was charged for two orders which took away a few hundred dollars from my rescue pups account not sure if i should continue with my auto delivery or find another source that caresdelivery")</f>
        <v>all past orders have been good and if there were any issues in the past the staff handled it appropriately and quick however this past problem was a slap in the face and took much needed funds away from my rescues petflow did not take responsibility for a screw up on an order and i was charged for two orders which took away a few hundred dollars from my rescue pups account not sure if i should continue with my auto delivery or find another source that caresdelivery</v>
      </c>
      <c r="H1762" s="4" t="str">
        <f t="shared" si="1"/>
        <v>all past orders have been good if there were any issues in past staff handled it appropriately quick however this past problem was a slap in face took much needed funds away from my rescues petflow did not take responsibility a screw up on an order i was charged two orders which took away a few hundred dollars from my rescue pups account not sure if i should continue with my auto delivery or find another source that caresdelivery</v>
      </c>
      <c r="I1762" s="6">
        <f t="shared" si="2"/>
        <v>79</v>
      </c>
      <c r="J1762" s="6">
        <f>IFERROR(__xludf.DUMMYFUNCTION("IF(H1762="""","""",
SUM(
ARRAYFORMULA(
IF(
REGEXMATCH(
"" ""&amp;H1762&amp;"" "",
"" ""&amp;Sentiment_Words!A$2:A3730&amp;"" ""
),
1,
0
)
)
)
)"),1.0)</f>
        <v>1</v>
      </c>
      <c r="K1762" s="4">
        <f>IFERROR(__xludf.DUMMYFUNCTION("IF(H1762="""","""",
SUM(
ARRAYFORMULA(
IF(
REGEXMATCH(
"" ""&amp;H1762&amp;"" "",
"" ""&amp;Sentiment_Words!B$2:B3730&amp;"" ""
),
1,
0
)
)
)
)"),1.0)</f>
        <v>1</v>
      </c>
      <c r="L1762" s="7" t="str">
        <f t="shared" si="3"/>
        <v>Account &amp; Website</v>
      </c>
      <c r="M1762" s="7" t="str">
        <f t="shared" si="4"/>
        <v>Neutral</v>
      </c>
      <c r="N1762" s="7" t="str">
        <f>IFERROR(__xludf.DUMMYFUNCTION("LOWER(
TRIM(
REGEXREPLACE(B1762,""[^a-zA-Z\s]"","""")
)
)
"),"lbrotkin")</f>
        <v>lbrotkin</v>
      </c>
      <c r="O1762" s="7">
        <f t="shared" si="5"/>
        <v>1</v>
      </c>
      <c r="P1762" s="8" t="str">
        <f t="shared" si="6"/>
        <v>No</v>
      </c>
    </row>
    <row r="1763">
      <c r="A1763" s="4" t="s">
        <v>16</v>
      </c>
      <c r="B1763" s="4" t="s">
        <v>4980</v>
      </c>
      <c r="C1763" s="9">
        <v>44780.0</v>
      </c>
      <c r="D1763" s="10">
        <v>44780.0</v>
      </c>
      <c r="E1763" s="4" t="s">
        <v>4981</v>
      </c>
      <c r="F1763" s="4" t="s">
        <v>4982</v>
      </c>
      <c r="G1763" s="6" t="str">
        <f>IFERROR(__xludf.DUMMYFUNCTION("REGEXREPLACE(LOWER(F1763),""[^a-z\s]"","""")"),"where is the rest of my order
your website shows the hills prescription metabolic and mobility  bag as being in stock yet it has not been shipped to me i do not know whether i have been charged for it
please respond to me
carol ann no e  olsen")</f>
        <v>where is the rest of my order
your website shows the hills prescription metabolic and mobility  bag as being in stock yet it has not been shipped to me i do not know whether i have been charged for it
please respond to me
carol ann no e  olsen</v>
      </c>
      <c r="H1763" s="4" t="str">
        <f t="shared" si="1"/>
        <v>where rest of my order
your website shows hills prescription metabolic mobility bag as being in stock yet it has not been shipped me i do not know whether i have been charged it
please respond me
carol ann no e olsen</v>
      </c>
      <c r="I1763" s="6">
        <f t="shared" si="2"/>
        <v>39</v>
      </c>
      <c r="J1763" s="6">
        <f>IFERROR(__xludf.DUMMYFUNCTION("IF(H1763="""","""",
SUM(
ARRAYFORMULA(
IF(
REGEXMATCH(
"" ""&amp;H1763&amp;"" "",
"" ""&amp;Sentiment_Words!A$2:A3730&amp;"" ""
),
1,
0
)
)
)
)"),0.0)</f>
        <v>0</v>
      </c>
      <c r="K1763" s="4">
        <f>IFERROR(__xludf.DUMMYFUNCTION("IF(H1763="""","""",
SUM(
ARRAYFORMULA(
IF(
REGEXMATCH(
"" ""&amp;H1763&amp;"" "",
"" ""&amp;Sentiment_Words!B$2:B3730&amp;"" ""
),
1,
0
)
)
)
)"),0.0)</f>
        <v>0</v>
      </c>
      <c r="L1763" s="7" t="str">
        <f t="shared" si="3"/>
        <v>Account &amp; Website</v>
      </c>
      <c r="M1763" s="7" t="str">
        <f t="shared" si="4"/>
        <v>Neutral</v>
      </c>
      <c r="N1763" s="7" t="str">
        <f>IFERROR(__xludf.DUMMYFUNCTION("LOWER(
TRIM(
REGEXREPLACE(B1763,""[^a-zA-Z\s]"","""")
)
)
"),"stacy bovefulgenzi")</f>
        <v>stacy bovefulgenzi</v>
      </c>
      <c r="O1763" s="7">
        <f t="shared" si="5"/>
        <v>1</v>
      </c>
      <c r="P1763" s="8" t="str">
        <f t="shared" si="6"/>
        <v>No</v>
      </c>
    </row>
    <row r="1764">
      <c r="A1764" s="4" t="s">
        <v>16</v>
      </c>
      <c r="B1764" s="4" t="s">
        <v>4983</v>
      </c>
      <c r="C1764" s="9">
        <v>44780.0</v>
      </c>
      <c r="D1764" s="10">
        <v>44780.0</v>
      </c>
      <c r="E1764" s="4" t="s">
        <v>4984</v>
      </c>
      <c r="F1764" s="4" t="s">
        <v>4985</v>
      </c>
      <c r="G1764" s="6" t="str">
        <f>IFERROR(__xludf.DUMMYFUNCTION("REGEXREPLACE(LOWER(F1764),""[^a-z\s]"","""")"),"first time order on a pet food i couldnt find anywhere else placed order and received order in  business days which included the time the pharmacy contacted my vet was a mailed and updated as to when my order would be delivered will order again")</f>
        <v>first time order on a pet food i couldnt find anywhere else placed order and received order in  business days which included the time the pharmacy contacted my vet was a mailed and updated as to when my order would be delivered will order again</v>
      </c>
      <c r="H1764" s="4" t="str">
        <f t="shared" si="1"/>
        <v>first time order on a pet food i couldnt find anywhere else placed order received order in business days which included time pharmacy contacted my vet was a mailed updated as when my order would be delivered will order again</v>
      </c>
      <c r="I1764" s="6">
        <f t="shared" si="2"/>
        <v>40</v>
      </c>
      <c r="J1764" s="6">
        <f>IFERROR(__xludf.DUMMYFUNCTION("IF(H1764="""","""",
SUM(
ARRAYFORMULA(
IF(
REGEXMATCH(
"" ""&amp;H1764&amp;"" "",
"" ""&amp;Sentiment_Words!A$2:A3730&amp;"" ""
),
1,
0
)
)
)
)"),1.0)</f>
        <v>1</v>
      </c>
      <c r="K1764" s="4">
        <f>IFERROR(__xludf.DUMMYFUNCTION("IF(H1764="""","""",
SUM(
ARRAYFORMULA(
IF(
REGEXMATCH(
"" ""&amp;H1764&amp;"" "",
"" ""&amp;Sentiment_Words!B$2:B3730&amp;"" ""
),
1,
0
)
)
)
)"),0.0)</f>
        <v>0</v>
      </c>
      <c r="L1764" s="7" t="str">
        <f t="shared" si="3"/>
        <v>Other</v>
      </c>
      <c r="M1764" s="7" t="str">
        <f t="shared" si="4"/>
        <v>Positive</v>
      </c>
      <c r="N1764" s="7" t="str">
        <f>IFERROR(__xludf.DUMMYFUNCTION("LOWER(
TRIM(
REGEXREPLACE(B1764,""[^a-zA-Z\s]"","""")
)
)
"),"carol anne olsen")</f>
        <v>carol anne olsen</v>
      </c>
      <c r="O1764" s="7">
        <f t="shared" si="5"/>
        <v>1</v>
      </c>
      <c r="P1764" s="8" t="str">
        <f t="shared" si="6"/>
        <v>No</v>
      </c>
    </row>
    <row r="1765">
      <c r="A1765" s="4" t="s">
        <v>16</v>
      </c>
      <c r="B1765" s="4" t="s">
        <v>4986</v>
      </c>
      <c r="C1765" s="9">
        <v>44780.0</v>
      </c>
      <c r="D1765" s="10">
        <v>44780.0</v>
      </c>
      <c r="E1765" s="4" t="s">
        <v>4987</v>
      </c>
      <c r="F1765" s="4" t="s">
        <v>4988</v>
      </c>
      <c r="G1765" s="6" t="str">
        <f>IFERROR(__xludf.DUMMYFUNCTION("REGEXREPLACE(LOWER(F1765),""[^a-z\s]"","""")"),"very bothersome you dont instantly charge my card sometimes its a day or two later i turn my credit card on and off as ive had so much fraud it takes me many attempts each month to get my order other companies i do regular
busy with do the transaction imm"&amp;"ediately super annoyed once the order goes through yall are five star but the credit card thing is absolutely rediculous whats up with that")</f>
        <v>very bothersome you dont instantly charge my card sometimes its a day or two later i turn my credit card on and off as ive had so much fraud it takes me many attempts each month to get my order other companies i do regular
busy with do the transaction immediately super annoyed once the order goes through yall are five star but the credit card thing is absolutely rediculous whats up with that</v>
      </c>
      <c r="H1765" s="4" t="str">
        <f t="shared" si="1"/>
        <v>very bothersome you dont instantly charge my card sometimes its a day or two later i turn my credit card on off as ive had so much fraud it takes me many attempts each month get my order other companies i do regular
busy with do transaction immediately super annoyed once order goes through yall are five star but credit card thing absolutely rediculous whats up with that</v>
      </c>
      <c r="I1765" s="6">
        <f t="shared" si="2"/>
        <v>67</v>
      </c>
      <c r="J1765" s="6">
        <f>IFERROR(__xludf.DUMMYFUNCTION("IF(H1765="""","""",
SUM(
ARRAYFORMULA(
IF(
REGEXMATCH(
"" ""&amp;H1765&amp;"" "",
"" ""&amp;Sentiment_Words!A$2:A3730&amp;"" ""
),
1,
0
)
)
)
)"),1.0)</f>
        <v>1</v>
      </c>
      <c r="K1765" s="4">
        <f>IFERROR(__xludf.DUMMYFUNCTION("IF(H1765="""","""",
SUM(
ARRAYFORMULA(
IF(
REGEXMATCH(
"" ""&amp;H1765&amp;"" "",
"" ""&amp;Sentiment_Words!B$2:B3730&amp;"" ""
),
1,
0
)
)
)
)"),0.0)</f>
        <v>0</v>
      </c>
      <c r="L1765" s="7" t="str">
        <f t="shared" si="3"/>
        <v>Fulfillment &amp; Shipping</v>
      </c>
      <c r="M1765" s="7" t="str">
        <f t="shared" si="4"/>
        <v>Positive</v>
      </c>
      <c r="N1765" s="7" t="str">
        <f>IFERROR(__xludf.DUMMYFUNCTION("LOWER(
TRIM(
REGEXREPLACE(B1765,""[^a-zA-Z\s]"","""")
)
)
"),"deb")</f>
        <v>deb</v>
      </c>
      <c r="O1765" s="7">
        <f t="shared" si="5"/>
        <v>4</v>
      </c>
      <c r="P1765" s="8" t="str">
        <f t="shared" si="6"/>
        <v>Yes</v>
      </c>
    </row>
    <row r="1766">
      <c r="A1766" s="4" t="s">
        <v>16</v>
      </c>
      <c r="B1766" s="4" t="s">
        <v>4989</v>
      </c>
      <c r="C1766" s="9">
        <v>44780.0</v>
      </c>
      <c r="D1766" s="10">
        <v>44780.0</v>
      </c>
      <c r="E1766" s="4" t="s">
        <v>4990</v>
      </c>
      <c r="F1766" s="4" t="s">
        <v>331</v>
      </c>
      <c r="G1766" s="6" t="str">
        <f>IFERROR(__xludf.DUMMYFUNCTION("REGEXREPLACE(LOWER(F1766),""[^a-z\s]"","""")"),"none")</f>
        <v>none</v>
      </c>
      <c r="H1766" s="4" t="str">
        <f t="shared" si="1"/>
        <v>none</v>
      </c>
      <c r="I1766" s="6">
        <f t="shared" si="2"/>
        <v>1</v>
      </c>
      <c r="J1766" s="6">
        <f>IFERROR(__xludf.DUMMYFUNCTION("IF(H1766="""","""",
SUM(
ARRAYFORMULA(
IF(
REGEXMATCH(
"" ""&amp;H1766&amp;"" "",
"" ""&amp;Sentiment_Words!A$2:A3730&amp;"" ""
),
1,
0
)
)
)
)"),0.0)</f>
        <v>0</v>
      </c>
      <c r="K1766" s="4">
        <f>IFERROR(__xludf.DUMMYFUNCTION("IF(H1766="""","""",
SUM(
ARRAYFORMULA(
IF(
REGEXMATCH(
"" ""&amp;H1766&amp;"" "",
"" ""&amp;Sentiment_Words!B$2:B3730&amp;"" ""
),
1,
0
)
)
)
)"),0.0)</f>
        <v>0</v>
      </c>
      <c r="L1766" s="7" t="str">
        <f t="shared" si="3"/>
        <v>Other</v>
      </c>
      <c r="M1766" s="7" t="str">
        <f t="shared" si="4"/>
        <v>Neutral</v>
      </c>
      <c r="N1766" s="7" t="str">
        <f>IFERROR(__xludf.DUMMYFUNCTION("LOWER(
TRIM(
REGEXREPLACE(B1766,""[^a-zA-Z\s]"","""")
)
)
"),"robert william")</f>
        <v>robert william</v>
      </c>
      <c r="O1766" s="7">
        <f t="shared" si="5"/>
        <v>1</v>
      </c>
      <c r="P1766" s="8" t="str">
        <f t="shared" si="6"/>
        <v>No</v>
      </c>
    </row>
    <row r="1767">
      <c r="A1767" s="4" t="s">
        <v>16</v>
      </c>
      <c r="B1767" s="4" t="s">
        <v>4991</v>
      </c>
      <c r="C1767" s="9">
        <v>44780.0</v>
      </c>
      <c r="D1767" s="10">
        <v>44780.0</v>
      </c>
      <c r="E1767" s="4" t="s">
        <v>4992</v>
      </c>
      <c r="F1767" s="4" t="s">
        <v>331</v>
      </c>
      <c r="G1767" s="6" t="str">
        <f>IFERROR(__xludf.DUMMYFUNCTION("REGEXREPLACE(LOWER(F1767),""[^a-z\s]"","""")"),"none")</f>
        <v>none</v>
      </c>
      <c r="H1767" s="4" t="str">
        <f t="shared" si="1"/>
        <v>none</v>
      </c>
      <c r="I1767" s="6">
        <f t="shared" si="2"/>
        <v>1</v>
      </c>
      <c r="J1767" s="6">
        <f>IFERROR(__xludf.DUMMYFUNCTION("IF(H1767="""","""",
SUM(
ARRAYFORMULA(
IF(
REGEXMATCH(
"" ""&amp;H1767&amp;"" "",
"" ""&amp;Sentiment_Words!A$2:A3730&amp;"" ""
),
1,
0
)
)
)
)"),0.0)</f>
        <v>0</v>
      </c>
      <c r="K1767" s="4">
        <f>IFERROR(__xludf.DUMMYFUNCTION("IF(H1767="""","""",
SUM(
ARRAYFORMULA(
IF(
REGEXMATCH(
"" ""&amp;H1767&amp;"" "",
"" ""&amp;Sentiment_Words!B$2:B3730&amp;"" ""
),
1,
0
)
)
)
)"),0.0)</f>
        <v>0</v>
      </c>
      <c r="L1767" s="7" t="str">
        <f t="shared" si="3"/>
        <v>Other</v>
      </c>
      <c r="M1767" s="7" t="str">
        <f t="shared" si="4"/>
        <v>Neutral</v>
      </c>
      <c r="N1767" s="7" t="str">
        <f>IFERROR(__xludf.DUMMYFUNCTION("LOWER(
TRIM(
REGEXREPLACE(B1767,""[^a-zA-Z\s]"","""")
)
)
"),"kaybar")</f>
        <v>kaybar</v>
      </c>
      <c r="O1767" s="7">
        <f t="shared" si="5"/>
        <v>1</v>
      </c>
      <c r="P1767" s="8" t="str">
        <f t="shared" si="6"/>
        <v>No</v>
      </c>
    </row>
    <row r="1768">
      <c r="A1768" s="4" t="s">
        <v>16</v>
      </c>
      <c r="B1768" s="4" t="s">
        <v>4993</v>
      </c>
      <c r="C1768" s="9">
        <v>44779.0</v>
      </c>
      <c r="D1768" s="10">
        <v>44779.0</v>
      </c>
      <c r="E1768" s="4" t="s">
        <v>4994</v>
      </c>
      <c r="F1768" s="4" t="s">
        <v>4995</v>
      </c>
      <c r="G1768" s="6" t="str">
        <f>IFERROR(__xludf.DUMMYFUNCTION("REGEXREPLACE(LOWER(F1768),""[^a-z\s]"","""")"),"petflow is amazing best brands fast delivery and fair prices")</f>
        <v>petflow is amazing best brands fast delivery and fair prices</v>
      </c>
      <c r="H1768" s="4" t="str">
        <f t="shared" si="1"/>
        <v>petflow amazing best brands fast delivery fair prices</v>
      </c>
      <c r="I1768" s="6">
        <f t="shared" si="2"/>
        <v>8</v>
      </c>
      <c r="J1768" s="6">
        <f>IFERROR(__xludf.DUMMYFUNCTION("IF(H1768="""","""",
SUM(
ARRAYFORMULA(
IF(
REGEXMATCH(
"" ""&amp;H1768&amp;"" "",
"" ""&amp;Sentiment_Words!A$2:A3730&amp;"" ""
),
1,
0
)
)
)
)"),2.0)</f>
        <v>2</v>
      </c>
      <c r="K1768" s="4">
        <f>IFERROR(__xludf.DUMMYFUNCTION("IF(H1768="""","""",
SUM(
ARRAYFORMULA(
IF(
REGEXMATCH(
"" ""&amp;H1768&amp;"" "",
"" ""&amp;Sentiment_Words!B$2:B3730&amp;"" ""
),
1,
0
)
)
)
)"),0.0)</f>
        <v>0</v>
      </c>
      <c r="L1768" s="7" t="str">
        <f t="shared" si="3"/>
        <v>Other</v>
      </c>
      <c r="M1768" s="7" t="str">
        <f t="shared" si="4"/>
        <v>Positive</v>
      </c>
      <c r="N1768" s="7" t="str">
        <f>IFERROR(__xludf.DUMMYFUNCTION("LOWER(
TRIM(
REGEXREPLACE(B1768,""[^a-zA-Z\s]"","""")
)
)
"),"lb")</f>
        <v>lb</v>
      </c>
      <c r="O1768" s="7">
        <f t="shared" si="5"/>
        <v>2</v>
      </c>
      <c r="P1768" s="8" t="str">
        <f t="shared" si="6"/>
        <v>Yes</v>
      </c>
    </row>
    <row r="1769">
      <c r="A1769" s="4" t="s">
        <v>16</v>
      </c>
      <c r="B1769" s="4" t="s">
        <v>4996</v>
      </c>
      <c r="C1769" s="9">
        <v>44779.0</v>
      </c>
      <c r="D1769" s="10">
        <v>44779.0</v>
      </c>
      <c r="E1769" s="4" t="s">
        <v>4997</v>
      </c>
      <c r="F1769" s="4" t="s">
        <v>4998</v>
      </c>
      <c r="G1769" s="6" t="str">
        <f>IFERROR(__xludf.DUMMYFUNCTION("REGEXREPLACE(LOWER(F1769),""[^a-z\s]"","""")"),"i have been happy with petflow ive been able to get the cases of food that my cats like that i was unable to find elsewhere the website is easy to use and the price is as expected")</f>
        <v>i have been happy with petflow ive been able to get the cases of food that my cats like that i was unable to find elsewhere the website is easy to use and the price is as expected</v>
      </c>
      <c r="H1769" s="4" t="str">
        <f t="shared" si="1"/>
        <v>i have been happy with petflow ive been able get cases of food that my cats like that i was unable find elsewhere website easy use price as expected</v>
      </c>
      <c r="I1769" s="6">
        <f t="shared" si="2"/>
        <v>29</v>
      </c>
      <c r="J1769" s="6">
        <f>IFERROR(__xludf.DUMMYFUNCTION("IF(H1769="""","""",
SUM(
ARRAYFORMULA(
IF(
REGEXMATCH(
"" ""&amp;H1769&amp;"" "",
"" ""&amp;Sentiment_Words!A$2:A3730&amp;"" ""
),
1,
0
)
)
)
)"),3.0)</f>
        <v>3</v>
      </c>
      <c r="K1769" s="4">
        <f>IFERROR(__xludf.DUMMYFUNCTION("IF(H1769="""","""",
SUM(
ARRAYFORMULA(
IF(
REGEXMATCH(
"" ""&amp;H1769&amp;"" "",
"" ""&amp;Sentiment_Words!B$2:B3730&amp;"" ""
),
1,
0
)
)
)
)"),0.0)</f>
        <v>0</v>
      </c>
      <c r="L1769" s="7" t="str">
        <f t="shared" si="3"/>
        <v>Account &amp; Website</v>
      </c>
      <c r="M1769" s="7" t="str">
        <f t="shared" si="4"/>
        <v>Positive</v>
      </c>
      <c r="N1769" s="7" t="str">
        <f>IFERROR(__xludf.DUMMYFUNCTION("LOWER(
TRIM(
REGEXREPLACE(B1769,""[^a-zA-Z\s]"","""")
)
)
"),"elissa rogovin")</f>
        <v>elissa rogovin</v>
      </c>
      <c r="O1769" s="7">
        <f t="shared" si="5"/>
        <v>1</v>
      </c>
      <c r="P1769" s="8" t="str">
        <f t="shared" si="6"/>
        <v>No</v>
      </c>
    </row>
    <row r="1770">
      <c r="A1770" s="4" t="s">
        <v>16</v>
      </c>
      <c r="B1770" s="4" t="s">
        <v>4999</v>
      </c>
      <c r="C1770" s="9">
        <v>44779.0</v>
      </c>
      <c r="D1770" s="10">
        <v>44779.0</v>
      </c>
      <c r="E1770" s="4" t="s">
        <v>5000</v>
      </c>
      <c r="F1770" s="4" t="s">
        <v>5001</v>
      </c>
      <c r="G1770" s="6" t="str">
        <f>IFERROR(__xludf.DUMMYFUNCTION("REGEXREPLACE(LOWER(F1770),""[^a-z\s]"","""")"),"ordering was easy enough shipping was the problem petflow uses fedex an unreliable company the order was split without petflow or me being aware the second portion arrived  days later this is unacceptable no packing slip was available on either shipment s"&amp;"o no information was available to me i stated to customer service when i called to determine status of order that if petflow continues to use fedex i will find another vendor")</f>
        <v>ordering was easy enough shipping was the problem petflow uses fedex an unreliable company the order was split without petflow or me being aware the second portion arrived  days later this is unacceptable no packing slip was available on either shipment so no information was available to me i stated to customer service when i called to determine status of order that if petflow continues to use fedex i will find another vendor</v>
      </c>
      <c r="H1770" s="4" t="str">
        <f t="shared" si="1"/>
        <v>ordering was easy enough shipping was problem petflow uses fedex an unreliable company order was split without petflow or me being aware second portion arrived days later this unacceptable no packing slip was available on either shipment so no information was available me i stated customer service when i called determine status of order that if petflow continues use fedex i will find another vendor</v>
      </c>
      <c r="I1770" s="6">
        <f t="shared" si="2"/>
        <v>65</v>
      </c>
      <c r="J1770" s="6">
        <f>IFERROR(__xludf.DUMMYFUNCTION("IF(H1770="""","""",
SUM(
ARRAYFORMULA(
IF(
REGEXMATCH(
"" ""&amp;H1770&amp;"" "",
"" ""&amp;Sentiment_Words!A$2:A3730&amp;"" ""
),
1,
0
)
)
)
)"),2.0)</f>
        <v>2</v>
      </c>
      <c r="K1770" s="4">
        <f>IFERROR(__xludf.DUMMYFUNCTION("IF(H1770="""","""",
SUM(
ARRAYFORMULA(
IF(
REGEXMATCH(
"" ""&amp;H1770&amp;"" "",
"" ""&amp;Sentiment_Words!B$2:B3730&amp;"" ""
),
1,
0
)
)
)
)"),2.0)</f>
        <v>2</v>
      </c>
      <c r="L1770" s="7" t="str">
        <f t="shared" si="3"/>
        <v>Customer Support</v>
      </c>
      <c r="M1770" s="7" t="str">
        <f t="shared" si="4"/>
        <v>Neutral</v>
      </c>
      <c r="N1770" s="7" t="str">
        <f>IFERROR(__xludf.DUMMYFUNCTION("LOWER(
TRIM(
REGEXREPLACE(B1770,""[^a-zA-Z\s]"","""")
)
)
"),"kathleen hale")</f>
        <v>kathleen hale</v>
      </c>
      <c r="O1770" s="7">
        <f t="shared" si="5"/>
        <v>1</v>
      </c>
      <c r="P1770" s="8" t="str">
        <f t="shared" si="6"/>
        <v>No</v>
      </c>
    </row>
    <row r="1771">
      <c r="A1771" s="4" t="s">
        <v>16</v>
      </c>
      <c r="B1771" s="4" t="s">
        <v>5002</v>
      </c>
      <c r="C1771" s="9">
        <v>44779.0</v>
      </c>
      <c r="D1771" s="10">
        <v>44779.0</v>
      </c>
      <c r="E1771" s="4" t="s">
        <v>4959</v>
      </c>
      <c r="F1771" s="4" t="s">
        <v>5003</v>
      </c>
      <c r="G1771" s="6" t="str">
        <f>IFERROR(__xludf.DUMMYFUNCTION("REGEXREPLACE(LOWER(F1771),""[^a-z\s]"","""")"),"i placed a large order for kitten food credit card processed when i looked to find out shipping date a few days later it had been cancelled no notice to me no email nothing i called and they said when a large order is placed they suspect fraud total bs fi"&amp;"rst and only time youll get an order from me")</f>
        <v>i placed a large order for kitten food credit card processed when i looked to find out shipping date a few days later it had been cancelled no notice to me no email nothing i called and they said when a large order is placed they suspect fraud total bs first and only time youll get an order from me</v>
      </c>
      <c r="H1771" s="4" t="str">
        <f t="shared" si="1"/>
        <v>i placed a large order kitten food credit card processed when i looked find out shipping date a few days later it had been cancelled no notice me no email nothing i called they said when a large order placed they suspect fraud total bs first only time youll get an order from me</v>
      </c>
      <c r="I1771" s="6">
        <f t="shared" si="2"/>
        <v>54</v>
      </c>
      <c r="J1771" s="6">
        <f>IFERROR(__xludf.DUMMYFUNCTION("IF(H1771="""","""",
SUM(
ARRAYFORMULA(
IF(
REGEXMATCH(
"" ""&amp;H1771&amp;"" "",
"" ""&amp;Sentiment_Words!A$2:A3730&amp;"" ""
),
1,
0
)
)
)
)"),0.0)</f>
        <v>0</v>
      </c>
      <c r="K1771" s="4">
        <f>IFERROR(__xludf.DUMMYFUNCTION("IF(H1771="""","""",
SUM(
ARRAYFORMULA(
IF(
REGEXMATCH(
"" ""&amp;H1771&amp;"" "",
"" ""&amp;Sentiment_Words!B$2:B3730&amp;"" ""
),
1,
0
)
)
)
)"),1.0)</f>
        <v>1</v>
      </c>
      <c r="L1771" s="7" t="str">
        <f t="shared" si="3"/>
        <v>Fulfillment &amp; Shipping</v>
      </c>
      <c r="M1771" s="7" t="str">
        <f t="shared" si="4"/>
        <v>Negative</v>
      </c>
      <c r="N1771" s="7" t="str">
        <f>IFERROR(__xludf.DUMMYFUNCTION("LOWER(
TRIM(
REGEXREPLACE(B1771,""[^a-zA-Z\s]"","""")
)
)
"),"patrick wood")</f>
        <v>patrick wood</v>
      </c>
      <c r="O1771" s="7">
        <f t="shared" si="5"/>
        <v>1</v>
      </c>
      <c r="P1771" s="8" t="str">
        <f t="shared" si="6"/>
        <v>No</v>
      </c>
    </row>
    <row r="1772">
      <c r="A1772" s="4" t="s">
        <v>16</v>
      </c>
      <c r="B1772" s="4" t="s">
        <v>5004</v>
      </c>
      <c r="C1772" s="9">
        <v>44779.0</v>
      </c>
      <c r="D1772" s="10">
        <v>44779.0</v>
      </c>
      <c r="E1772" s="4" t="s">
        <v>5005</v>
      </c>
      <c r="F1772" s="4" t="s">
        <v>5006</v>
      </c>
      <c r="G1772" s="6" t="str">
        <f>IFERROR(__xludf.DUMMYFUNCTION("REGEXREPLACE(LOWER(F1772),""[^a-z\s]"","""")"),"theres no status available to see whether or not my vet has been contacted canceling the autoship is deceiving i can only pause it up to  weeks everything about this website is difficult")</f>
        <v>theres no status available to see whether or not my vet has been contacted canceling the autoship is deceiving i can only pause it up to  weeks everything about this website is difficult</v>
      </c>
      <c r="H1772" s="4" t="str">
        <f t="shared" si="1"/>
        <v>theres no status available see whether or not my vet has been contacted canceling autoship deceiving i can only pause it up weeks everything about this website difficult</v>
      </c>
      <c r="I1772" s="6">
        <f t="shared" si="2"/>
        <v>28</v>
      </c>
      <c r="J1772" s="6">
        <f>IFERROR(__xludf.DUMMYFUNCTION("IF(H1772="""","""",
SUM(
ARRAYFORMULA(
IF(
REGEXMATCH(
"" ""&amp;H1772&amp;"" "",
"" ""&amp;Sentiment_Words!A$2:A3730&amp;"" ""
),
1,
0
)
)
)
)"),1.0)</f>
        <v>1</v>
      </c>
      <c r="K1772" s="4">
        <f>IFERROR(__xludf.DUMMYFUNCTION("IF(H1772="""","""",
SUM(
ARRAYFORMULA(
IF(
REGEXMATCH(
"" ""&amp;H1772&amp;"" "",
"" ""&amp;Sentiment_Words!B$2:B3730&amp;"" ""
),
1,
0
)
)
)
)"),0.0)</f>
        <v>0</v>
      </c>
      <c r="L1772" s="7" t="str">
        <f t="shared" si="3"/>
        <v>Account &amp; Website</v>
      </c>
      <c r="M1772" s="7" t="str">
        <f t="shared" si="4"/>
        <v>Positive</v>
      </c>
      <c r="N1772" s="7" t="str">
        <f>IFERROR(__xludf.DUMMYFUNCTION("LOWER(
TRIM(
REGEXREPLACE(B1772,""[^a-zA-Z\s]"","""")
)
)
"),"suzie mcleod")</f>
        <v>suzie mcleod</v>
      </c>
      <c r="O1772" s="7">
        <f t="shared" si="5"/>
        <v>1</v>
      </c>
      <c r="P1772" s="8" t="str">
        <f t="shared" si="6"/>
        <v>No</v>
      </c>
    </row>
    <row r="1773">
      <c r="A1773" s="4" t="s">
        <v>16</v>
      </c>
      <c r="B1773" s="4" t="s">
        <v>5007</v>
      </c>
      <c r="C1773" s="9">
        <v>44779.0</v>
      </c>
      <c r="D1773" s="10">
        <v>44779.0</v>
      </c>
      <c r="E1773" s="4" t="s">
        <v>3355</v>
      </c>
      <c r="F1773" s="4" t="s">
        <v>5008</v>
      </c>
      <c r="G1773" s="6" t="str">
        <f>IFERROR(__xludf.DUMMYFUNCTION("REGEXREPLACE(LOWER(F1773),""[^a-z\s]"","""")"),"prices were fair and shipment came in a reasonable time")</f>
        <v>prices were fair and shipment came in a reasonable time</v>
      </c>
      <c r="H1773" s="4" t="str">
        <f t="shared" si="1"/>
        <v>prices were fair shipment came in a reasonable time</v>
      </c>
      <c r="I1773" s="6">
        <f t="shared" si="2"/>
        <v>9</v>
      </c>
      <c r="J1773" s="6">
        <f>IFERROR(__xludf.DUMMYFUNCTION("IF(H1773="""","""",
SUM(
ARRAYFORMULA(
IF(
REGEXMATCH(
"" ""&amp;H1773&amp;"" "",
"" ""&amp;Sentiment_Words!A$2:A3730&amp;"" ""
),
1,
0
)
)
)
)"),0.0)</f>
        <v>0</v>
      </c>
      <c r="K1773" s="4">
        <f>IFERROR(__xludf.DUMMYFUNCTION("IF(H1773="""","""",
SUM(
ARRAYFORMULA(
IF(
REGEXMATCH(
"" ""&amp;H1773&amp;"" "",
"" ""&amp;Sentiment_Words!B$2:B3730&amp;"" ""
),
1,
0
)
)
)
)"),0.0)</f>
        <v>0</v>
      </c>
      <c r="L1773" s="7" t="str">
        <f t="shared" si="3"/>
        <v>Other</v>
      </c>
      <c r="M1773" s="7" t="str">
        <f t="shared" si="4"/>
        <v>Neutral</v>
      </c>
      <c r="N1773" s="7" t="str">
        <f>IFERROR(__xludf.DUMMYFUNCTION("LOWER(
TRIM(
REGEXREPLACE(B1773,""[^a-zA-Z\s]"","""")
)
)
"),"megan j")</f>
        <v>megan j</v>
      </c>
      <c r="O1773" s="7">
        <f t="shared" si="5"/>
        <v>1</v>
      </c>
      <c r="P1773" s="8" t="str">
        <f t="shared" si="6"/>
        <v>No</v>
      </c>
    </row>
    <row r="1774">
      <c r="A1774" s="4" t="s">
        <v>16</v>
      </c>
      <c r="B1774" s="4" t="s">
        <v>5009</v>
      </c>
      <c r="C1774" s="9">
        <v>44778.0</v>
      </c>
      <c r="D1774" s="10">
        <v>44778.0</v>
      </c>
      <c r="E1774" s="4" t="s">
        <v>5010</v>
      </c>
      <c r="F1774" s="4" t="s">
        <v>5011</v>
      </c>
      <c r="G1774" s="6" t="str">
        <f>IFERROR(__xludf.DUMMYFUNCTION("REGEXREPLACE(LOWER(F1774),""[^a-z\s]"","""")"),"good products at good prices and fast delivery ill be using pet flow again")</f>
        <v>good products at good prices and fast delivery ill be using pet flow again</v>
      </c>
      <c r="H1774" s="4" t="str">
        <f t="shared" si="1"/>
        <v>good products at good prices fast delivery ill be using pet flow again</v>
      </c>
      <c r="I1774" s="6">
        <f t="shared" si="2"/>
        <v>13</v>
      </c>
      <c r="J1774" s="6">
        <f>IFERROR(__xludf.DUMMYFUNCTION("IF(H1774="""","""",
SUM(
ARRAYFORMULA(
IF(
REGEXMATCH(
"" ""&amp;H1774&amp;"" "",
"" ""&amp;Sentiment_Words!A$2:A3730&amp;"" ""
),
1,
0
)
)
)
)"),3.0)</f>
        <v>3</v>
      </c>
      <c r="K1774" s="4">
        <f>IFERROR(__xludf.DUMMYFUNCTION("IF(H1774="""","""",
SUM(
ARRAYFORMULA(
IF(
REGEXMATCH(
"" ""&amp;H1774&amp;"" "",
"" ""&amp;Sentiment_Words!B$2:B3730&amp;"" ""
),
1,
0
)
)
)
)"),0.0)</f>
        <v>0</v>
      </c>
      <c r="L1774" s="7" t="str">
        <f t="shared" si="3"/>
        <v>Other</v>
      </c>
      <c r="M1774" s="7" t="str">
        <f t="shared" si="4"/>
        <v>Positive</v>
      </c>
      <c r="N1774" s="7" t="str">
        <f>IFERROR(__xludf.DUMMYFUNCTION("LOWER(
TRIM(
REGEXREPLACE(B1774,""[^a-zA-Z\s]"","""")
)
)
"),"suzanne")</f>
        <v>suzanne</v>
      </c>
      <c r="O1774" s="7">
        <f t="shared" si="5"/>
        <v>3</v>
      </c>
      <c r="P1774" s="8" t="str">
        <f t="shared" si="6"/>
        <v>Yes</v>
      </c>
    </row>
    <row r="1775">
      <c r="A1775" s="4" t="s">
        <v>16</v>
      </c>
      <c r="B1775" s="4" t="s">
        <v>5012</v>
      </c>
      <c r="C1775" s="9">
        <v>44778.0</v>
      </c>
      <c r="D1775" s="10">
        <v>44778.0</v>
      </c>
      <c r="E1775" s="4" t="s">
        <v>5013</v>
      </c>
      <c r="F1775" s="4" t="s">
        <v>5014</v>
      </c>
      <c r="G1775" s="6" t="str">
        <f>IFERROR(__xludf.DUMMYFUNCTION("REGEXREPLACE(LOWER(F1775),""[^a-z\s]"","""")"),"the ease of ordering was great  the shipping was fast")</f>
        <v>the ease of ordering was great  the shipping was fast</v>
      </c>
      <c r="H1775" s="4" t="str">
        <f t="shared" si="1"/>
        <v>ease of ordering was great shipping was fast</v>
      </c>
      <c r="I1775" s="6">
        <f t="shared" si="2"/>
        <v>8</v>
      </c>
      <c r="J1775" s="6">
        <f>IFERROR(__xludf.DUMMYFUNCTION("IF(H1775="""","""",
SUM(
ARRAYFORMULA(
IF(
REGEXMATCH(
"" ""&amp;H1775&amp;"" "",
"" ""&amp;Sentiment_Words!A$2:A3730&amp;"" ""
),
1,
0
)
)
)
)"),2.0)</f>
        <v>2</v>
      </c>
      <c r="K1775" s="4">
        <f>IFERROR(__xludf.DUMMYFUNCTION("IF(H1775="""","""",
SUM(
ARRAYFORMULA(
IF(
REGEXMATCH(
"" ""&amp;H1775&amp;"" "",
"" ""&amp;Sentiment_Words!B$2:B3730&amp;"" ""
),
1,
0
)
)
)
)"),0.0)</f>
        <v>0</v>
      </c>
      <c r="L1775" s="7" t="str">
        <f t="shared" si="3"/>
        <v>Other</v>
      </c>
      <c r="M1775" s="7" t="str">
        <f t="shared" si="4"/>
        <v>Positive</v>
      </c>
      <c r="N1775" s="7" t="str">
        <f>IFERROR(__xludf.DUMMYFUNCTION("LOWER(
TRIM(
REGEXREPLACE(B1775,""[^a-zA-Z\s]"","""")
)
)
"),"karen good")</f>
        <v>karen good</v>
      </c>
      <c r="O1775" s="7">
        <f t="shared" si="5"/>
        <v>1</v>
      </c>
      <c r="P1775" s="8" t="str">
        <f t="shared" si="6"/>
        <v>No</v>
      </c>
    </row>
    <row r="1776">
      <c r="A1776" s="4" t="s">
        <v>16</v>
      </c>
      <c r="B1776" s="4" t="s">
        <v>5015</v>
      </c>
      <c r="C1776" s="9">
        <v>44778.0</v>
      </c>
      <c r="D1776" s="10">
        <v>44778.0</v>
      </c>
      <c r="E1776" s="4" t="s">
        <v>5016</v>
      </c>
      <c r="F1776" s="4" t="s">
        <v>5017</v>
      </c>
      <c r="G1776" s="6" t="str">
        <f>IFERROR(__xludf.DUMMYFUNCTION("REGEXREPLACE(LOWER(F1776),""[^a-z\s]"","""")"),"petflow carries food that others dont that i want the prices are fair and shipping is good i buy formm and nurti source the treats and toys are great")</f>
        <v>petflow carries food that others dont that i want the prices are fair and shipping is good i buy formm and nurti source the treats and toys are great</v>
      </c>
      <c r="H1776" s="4" t="str">
        <f t="shared" si="1"/>
        <v>petflow carries food that others dont that i want prices are fair shipping good i buy formm nurti source treats toys are great</v>
      </c>
      <c r="I1776" s="6">
        <f t="shared" si="2"/>
        <v>23</v>
      </c>
      <c r="J1776" s="6">
        <f>IFERROR(__xludf.DUMMYFUNCTION("IF(H1776="""","""",
SUM(
ARRAYFORMULA(
IF(
REGEXMATCH(
"" ""&amp;H1776&amp;"" "",
"" ""&amp;Sentiment_Words!A$2:A3730&amp;"" ""
),
1,
0
)
)
)
)"),2.0)</f>
        <v>2</v>
      </c>
      <c r="K1776" s="4">
        <f>IFERROR(__xludf.DUMMYFUNCTION("IF(H1776="""","""",
SUM(
ARRAYFORMULA(
IF(
REGEXMATCH(
"" ""&amp;H1776&amp;"" "",
"" ""&amp;Sentiment_Words!B$2:B3730&amp;"" ""
),
1,
0
)
)
)
)"),0.0)</f>
        <v>0</v>
      </c>
      <c r="L1776" s="7" t="str">
        <f t="shared" si="3"/>
        <v>Other</v>
      </c>
      <c r="M1776" s="7" t="str">
        <f t="shared" si="4"/>
        <v>Positive</v>
      </c>
      <c r="N1776" s="7" t="str">
        <f>IFERROR(__xludf.DUMMYFUNCTION("LOWER(
TRIM(
REGEXREPLACE(B1776,""[^a-zA-Z\s]"","""")
)
)
"),"kim bartley")</f>
        <v>kim bartley</v>
      </c>
      <c r="O1776" s="7">
        <f t="shared" si="5"/>
        <v>1</v>
      </c>
      <c r="P1776" s="8" t="str">
        <f t="shared" si="6"/>
        <v>No</v>
      </c>
    </row>
    <row r="1777">
      <c r="A1777" s="4" t="s">
        <v>16</v>
      </c>
      <c r="B1777" s="4" t="s">
        <v>5018</v>
      </c>
      <c r="C1777" s="9">
        <v>44777.0</v>
      </c>
      <c r="D1777" s="10">
        <v>44778.0</v>
      </c>
      <c r="E1777" s="4" t="s">
        <v>5019</v>
      </c>
      <c r="F1777" s="4" t="s">
        <v>5020</v>
      </c>
      <c r="G1777" s="6" t="str">
        <f>IFERROR(__xludf.DUMMYFUNCTION("REGEXREPLACE(LOWER(F1777),""[^a-z\s]"","""")"),"ordered  cases canned dog food eleven cans of food severely damaged  cans actually were broke open
excellent place to shop but not so good packing")</f>
        <v>ordered  cases canned dog food eleven cans of food severely damaged  cans actually were broke open
excellent place to shop but not so good packing</v>
      </c>
      <c r="H1777" s="4" t="str">
        <f t="shared" si="1"/>
        <v>ordered cases canned dog food eleven cans of food severely damaged cans actually were broke open
excellent place shop but not so good packing</v>
      </c>
      <c r="I1777" s="6">
        <f t="shared" si="2"/>
        <v>23</v>
      </c>
      <c r="J1777" s="6">
        <f>IFERROR(__xludf.DUMMYFUNCTION("IF(H1777="""","""",
SUM(
ARRAYFORMULA(
IF(
REGEXMATCH(
"" ""&amp;H1777&amp;"" "",
"" ""&amp;Sentiment_Words!A$2:A3730&amp;"" ""
),
1,
0
)
)
)
)"),1.0)</f>
        <v>1</v>
      </c>
      <c r="K1777" s="4">
        <f>IFERROR(__xludf.DUMMYFUNCTION("IF(H1777="""","""",
SUM(
ARRAYFORMULA(
IF(
REGEXMATCH(
"" ""&amp;H1777&amp;"" "",
"" ""&amp;Sentiment_Words!B$2:B3730&amp;"" ""
),
1,
0
)
)
)
)"),0.0)</f>
        <v>0</v>
      </c>
      <c r="L1777" s="7" t="str">
        <f t="shared" si="3"/>
        <v>Other</v>
      </c>
      <c r="M1777" s="7" t="str">
        <f t="shared" si="4"/>
        <v>Positive</v>
      </c>
      <c r="N1777" s="7" t="str">
        <f>IFERROR(__xludf.DUMMYFUNCTION("LOWER(
TRIM(
REGEXREPLACE(B1777,""[^a-zA-Z\s]"","""")
)
)
"),"nancy roberts")</f>
        <v>nancy roberts</v>
      </c>
      <c r="O1777" s="7">
        <f t="shared" si="5"/>
        <v>1</v>
      </c>
      <c r="P1777" s="8" t="str">
        <f t="shared" si="6"/>
        <v>No</v>
      </c>
    </row>
    <row r="1778">
      <c r="A1778" s="4" t="s">
        <v>16</v>
      </c>
      <c r="B1778" s="4" t="s">
        <v>5021</v>
      </c>
      <c r="C1778" s="9">
        <v>44777.0</v>
      </c>
      <c r="D1778" s="10">
        <v>44778.0</v>
      </c>
      <c r="E1778" s="4" t="s">
        <v>5022</v>
      </c>
      <c r="F1778" s="4" t="s">
        <v>5023</v>
      </c>
      <c r="G1778" s="6" t="str">
        <f>IFERROR(__xludf.DUMMYFUNCTION("REGEXREPLACE(LOWER(F1778),""[^a-z\s]"","""")"),"this is in reference to my order  i ordered  packages of these dog treats that your system said were in stock and confirmed the order via email then i receive a subsequent email advising they were out of stock not a good experience and no way to know how "&amp;"long before i can receive my order not a very efficient system")</f>
        <v>this is in reference to my order  i ordered  packages of these dog treats that your system said were in stock and confirmed the order via email then i receive a subsequent email advising they were out of stock not a good experience and no way to know how long before i can receive my order not a very efficient system</v>
      </c>
      <c r="H1778" s="4" t="str">
        <f t="shared" si="1"/>
        <v>this in reference my order i ordered packages of these dog treats that your system said were in stock confirmed order via email then i receive a subsequent email advising they were out of stock not a good experience no way know how long before i can receive my order not a very efficient system</v>
      </c>
      <c r="I1778" s="6">
        <f t="shared" si="2"/>
        <v>55</v>
      </c>
      <c r="J1778" s="6">
        <f>IFERROR(__xludf.DUMMYFUNCTION("IF(H1778="""","""",
SUM(
ARRAYFORMULA(
IF(
REGEXMATCH(
"" ""&amp;H1778&amp;"" "",
"" ""&amp;Sentiment_Words!A$2:A3730&amp;"" ""
),
1,
0
)
)
)
)"),2.0)</f>
        <v>2</v>
      </c>
      <c r="K1778" s="4">
        <f>IFERROR(__xludf.DUMMYFUNCTION("IF(H1778="""","""",
SUM(
ARRAYFORMULA(
IF(
REGEXMATCH(
"" ""&amp;H1778&amp;"" "",
"" ""&amp;Sentiment_Words!B$2:B3730&amp;"" ""
),
1,
0
)
)
)
)"),1.0)</f>
        <v>1</v>
      </c>
      <c r="L1778" s="7" t="str">
        <f t="shared" si="3"/>
        <v>Availability</v>
      </c>
      <c r="M1778" s="7" t="str">
        <f t="shared" si="4"/>
        <v>Positive</v>
      </c>
      <c r="N1778" s="7" t="str">
        <f>IFERROR(__xludf.DUMMYFUNCTION("LOWER(
TRIM(
REGEXREPLACE(B1778,""[^a-zA-Z\s]"","""")
)
)
"),"carl mchenry")</f>
        <v>carl mchenry</v>
      </c>
      <c r="O1778" s="7">
        <f t="shared" si="5"/>
        <v>1</v>
      </c>
      <c r="P1778" s="8" t="str">
        <f t="shared" si="6"/>
        <v>No</v>
      </c>
    </row>
    <row r="1779">
      <c r="A1779" s="4" t="s">
        <v>16</v>
      </c>
      <c r="B1779" s="4" t="s">
        <v>5024</v>
      </c>
      <c r="C1779" s="9">
        <v>44777.0</v>
      </c>
      <c r="D1779" s="10">
        <v>44777.0</v>
      </c>
      <c r="E1779" s="4" t="s">
        <v>5025</v>
      </c>
      <c r="F1779" s="4" t="s">
        <v>5026</v>
      </c>
      <c r="G1779" s="6" t="str">
        <f>IFERROR(__xludf.DUMMYFUNCTION("REGEXREPLACE(LOWER(F1779),""[^a-z\s]"","""")"),"customer service wouldnt help located an order i placed approximately  days ago she referred me to the website disclosures we i told her how to do her job she became upset customer service rep said we all have pets as though it wasnt a big deal my dogs or"&amp;"der had no information")</f>
        <v>customer service wouldnt help located an order i placed approximately  days ago she referred me to the website disclosures we i told her how to do her job she became upset customer service rep said we all have pets as though it wasnt a big deal my dogs order had no information</v>
      </c>
      <c r="H1779" s="4" t="str">
        <f t="shared" si="1"/>
        <v>customer service wouldnt help located an order i placed approximately days ago she referred me website disclosures we i told her how do her job she became upset customer service rep said we all have pets as though it wasnt a big deal my dogs order had no information</v>
      </c>
      <c r="I1779" s="6">
        <f t="shared" si="2"/>
        <v>49</v>
      </c>
      <c r="J1779" s="6">
        <f>IFERROR(__xludf.DUMMYFUNCTION("IF(H1779="""","""",
SUM(
ARRAYFORMULA(
IF(
REGEXMATCH(
"" ""&amp;H1779&amp;"" "",
"" ""&amp;Sentiment_Words!A$2:A3730&amp;"" ""
),
1,
0
)
)
)
)"),0.0)</f>
        <v>0</v>
      </c>
      <c r="K1779" s="4">
        <f>IFERROR(__xludf.DUMMYFUNCTION("IF(H1779="""","""",
SUM(
ARRAYFORMULA(
IF(
REGEXMATCH(
"" ""&amp;H1779&amp;"" "",
"" ""&amp;Sentiment_Words!B$2:B3730&amp;"" ""
),
1,
0
)
)
)
)"),1.0)</f>
        <v>1</v>
      </c>
      <c r="L1779" s="7" t="str">
        <f t="shared" si="3"/>
        <v>Customer Support</v>
      </c>
      <c r="M1779" s="7" t="str">
        <f t="shared" si="4"/>
        <v>Negative</v>
      </c>
      <c r="N1779" s="7" t="str">
        <f>IFERROR(__xludf.DUMMYFUNCTION("LOWER(
TRIM(
REGEXREPLACE(B1779,""[^a-zA-Z\s]"","""")
)
)
"),"richard arvonio")</f>
        <v>richard arvonio</v>
      </c>
      <c r="O1779" s="7">
        <f t="shared" si="5"/>
        <v>1</v>
      </c>
      <c r="P1779" s="8" t="str">
        <f t="shared" si="6"/>
        <v>No</v>
      </c>
    </row>
    <row r="1780">
      <c r="A1780" s="4" t="s">
        <v>16</v>
      </c>
      <c r="B1780" s="4" t="s">
        <v>5027</v>
      </c>
      <c r="C1780" s="9">
        <v>44777.0</v>
      </c>
      <c r="D1780" s="10">
        <v>44777.0</v>
      </c>
      <c r="E1780" s="4" t="s">
        <v>5028</v>
      </c>
      <c r="F1780" s="4" t="s">
        <v>5029</v>
      </c>
      <c r="G1780" s="6" t="str">
        <f>IFERROR(__xludf.DUMMYFUNCTION("REGEXREPLACE(LOWER(F1780),""[^a-z\s]"","""")"),"it was so easy to find what i need for my kitties it was easy to order and it was at a great price and the delivery was very fast petflow is the best")</f>
        <v>it was so easy to find what i need for my kitties it was easy to order and it was at a great price and the delivery was very fast petflow is the best</v>
      </c>
      <c r="H1780" s="4" t="str">
        <f t="shared" si="1"/>
        <v>it was so easy find what i need my kitties it was easy order it was at a great price delivery was very fast petflow best</v>
      </c>
      <c r="I1780" s="6">
        <f t="shared" si="2"/>
        <v>26</v>
      </c>
      <c r="J1780" s="6">
        <f>IFERROR(__xludf.DUMMYFUNCTION("IF(H1780="""","""",
SUM(
ARRAYFORMULA(
IF(
REGEXMATCH(
"" ""&amp;H1780&amp;"" "",
"" ""&amp;Sentiment_Words!A$2:A3730&amp;"" ""
),
1,
0
)
)
)
)"),3.0)</f>
        <v>3</v>
      </c>
      <c r="K1780" s="4">
        <f>IFERROR(__xludf.DUMMYFUNCTION("IF(H1780="""","""",
SUM(
ARRAYFORMULA(
IF(
REGEXMATCH(
"" ""&amp;H1780&amp;"" "",
"" ""&amp;Sentiment_Words!B$2:B3730&amp;"" ""
),
1,
0
)
)
)
)"),0.0)</f>
        <v>0</v>
      </c>
      <c r="L1780" s="7" t="str">
        <f t="shared" si="3"/>
        <v>Other</v>
      </c>
      <c r="M1780" s="7" t="str">
        <f t="shared" si="4"/>
        <v>Positive</v>
      </c>
      <c r="N1780" s="7" t="str">
        <f>IFERROR(__xludf.DUMMYFUNCTION("LOWER(
TRIM(
REGEXREPLACE(B1780,""[^a-zA-Z\s]"","""")
)
)
"),"valued customer")</f>
        <v>valued customer</v>
      </c>
      <c r="O1780" s="7">
        <f t="shared" si="5"/>
        <v>2</v>
      </c>
      <c r="P1780" s="8" t="str">
        <f t="shared" si="6"/>
        <v>Yes</v>
      </c>
    </row>
    <row r="1781">
      <c r="A1781" s="4" t="s">
        <v>16</v>
      </c>
      <c r="B1781" s="4" t="s">
        <v>5030</v>
      </c>
      <c r="C1781" s="9">
        <v>44777.0</v>
      </c>
      <c r="D1781" s="10">
        <v>44777.0</v>
      </c>
      <c r="E1781" s="4" t="s">
        <v>5031</v>
      </c>
      <c r="F1781" s="4" t="s">
        <v>5032</v>
      </c>
      <c r="G1781" s="6" t="str">
        <f>IFERROR(__xludf.DUMMYFUNCTION("REGEXREPLACE(LOWER(F1781),""[^a-z\s]"","""")"),"ecxellent always helpful")</f>
        <v>ecxellent always helpful</v>
      </c>
      <c r="H1781" s="4" t="str">
        <f t="shared" si="1"/>
        <v>ecxellent always helpful</v>
      </c>
      <c r="I1781" s="6">
        <f t="shared" si="2"/>
        <v>3</v>
      </c>
      <c r="J1781" s="6">
        <f>IFERROR(__xludf.DUMMYFUNCTION("IF(H1781="""","""",
SUM(
ARRAYFORMULA(
IF(
REGEXMATCH(
"" ""&amp;H1781&amp;"" "",
"" ""&amp;Sentiment_Words!A$2:A3730&amp;"" ""
),
1,
0
)
)
)
)"),1.0)</f>
        <v>1</v>
      </c>
      <c r="K1781" s="4">
        <f>IFERROR(__xludf.DUMMYFUNCTION("IF(H1781="""","""",
SUM(
ARRAYFORMULA(
IF(
REGEXMATCH(
"" ""&amp;H1781&amp;"" "",
"" ""&amp;Sentiment_Words!B$2:B3730&amp;"" ""
),
1,
0
)
)
)
)"),0.0)</f>
        <v>0</v>
      </c>
      <c r="L1781" s="7" t="str">
        <f t="shared" si="3"/>
        <v>Other</v>
      </c>
      <c r="M1781" s="7" t="str">
        <f t="shared" si="4"/>
        <v>Positive</v>
      </c>
      <c r="N1781" s="7" t="str">
        <f>IFERROR(__xludf.DUMMYFUNCTION("LOWER(
TRIM(
REGEXREPLACE(B1781,""[^a-zA-Z\s]"","""")
)
)
"),"karen")</f>
        <v>karen</v>
      </c>
      <c r="O1781" s="7">
        <f t="shared" si="5"/>
        <v>8</v>
      </c>
      <c r="P1781" s="8" t="str">
        <f t="shared" si="6"/>
        <v>Yes</v>
      </c>
    </row>
    <row r="1782">
      <c r="A1782" s="4" t="s">
        <v>16</v>
      </c>
      <c r="B1782" s="4" t="s">
        <v>5033</v>
      </c>
      <c r="C1782" s="9">
        <v>44777.0</v>
      </c>
      <c r="D1782" s="10">
        <v>44777.0</v>
      </c>
      <c r="E1782" s="4" t="s">
        <v>5034</v>
      </c>
      <c r="F1782" s="4" t="s">
        <v>5035</v>
      </c>
      <c r="G1782" s="6" t="str">
        <f>IFERROR(__xludf.DUMMYFUNCTION("REGEXREPLACE(LOWER(F1782),""[^a-z\s]"","""")"),"my pups really like the dr marty freez dried food
and i like being able to get better pricing from petflow")</f>
        <v>my pups really like the dr marty freez dried food
and i like being able to get better pricing from petflow</v>
      </c>
      <c r="H1782" s="4" t="str">
        <f t="shared" si="1"/>
        <v>my pups really like dr marty freez dried food
and i like being able get better pricing from petflow</v>
      </c>
      <c r="I1782" s="6">
        <f t="shared" si="2"/>
        <v>18</v>
      </c>
      <c r="J1782" s="6">
        <f>IFERROR(__xludf.DUMMYFUNCTION("IF(H1782="""","""",
SUM(
ARRAYFORMULA(
IF(
REGEXMATCH(
"" ""&amp;H1782&amp;"" "",
"" ""&amp;Sentiment_Words!A$2:A3730&amp;"" ""
),
1,
0
)
)
)
)"),1.0)</f>
        <v>1</v>
      </c>
      <c r="K1782" s="4">
        <f>IFERROR(__xludf.DUMMYFUNCTION("IF(H1782="""","""",
SUM(
ARRAYFORMULA(
IF(
REGEXMATCH(
"" ""&amp;H1782&amp;"" "",
"" ""&amp;Sentiment_Words!B$2:B3730&amp;"" ""
),
1,
0
)
)
)
)"),0.0)</f>
        <v>0</v>
      </c>
      <c r="L1782" s="7" t="str">
        <f t="shared" si="3"/>
        <v>Other</v>
      </c>
      <c r="M1782" s="7" t="str">
        <f t="shared" si="4"/>
        <v>Positive</v>
      </c>
      <c r="N1782" s="7" t="str">
        <f>IFERROR(__xludf.DUMMYFUNCTION("LOWER(
TRIM(
REGEXREPLACE(B1782,""[^a-zA-Z\s]"","""")
)
)
"),"martha")</f>
        <v>martha</v>
      </c>
      <c r="O1782" s="7">
        <f t="shared" si="5"/>
        <v>3</v>
      </c>
      <c r="P1782" s="8" t="str">
        <f t="shared" si="6"/>
        <v>Yes</v>
      </c>
    </row>
    <row r="1783">
      <c r="A1783" s="4" t="s">
        <v>16</v>
      </c>
      <c r="B1783" s="4" t="s">
        <v>5036</v>
      </c>
      <c r="C1783" s="9">
        <v>44775.0</v>
      </c>
      <c r="D1783" s="10">
        <v>44775.0</v>
      </c>
      <c r="E1783" s="4" t="s">
        <v>5037</v>
      </c>
      <c r="F1783" s="4" t="s">
        <v>5038</v>
      </c>
      <c r="G1783" s="6" t="str">
        <f>IFERROR(__xludf.DUMMYFUNCTION("REGEXREPLACE(LOWER(F1783),""[^a-z\s]"","""")"),"i ordered  boxes of arm and hammer litter i received  yesterday the packing box was not strong enough plus tape was not holding the box had holes plus one of the two boxes had broken open and litter all over the boxes inside i should have  boxes to com so"&amp;"on you did notify me that some were returned to you hope you will let me know when and get those out to me asap")</f>
        <v>i ordered  boxes of arm and hammer litter i received  yesterday the packing box was not strong enough plus tape was not holding the box had holes plus one of the two boxes had broken open and litter all over the boxes inside i should have  boxes to com soon you did notify me that some were returned to you hope you will let me know when and get those out to me asap</v>
      </c>
      <c r="H1783" s="4" t="str">
        <f t="shared" si="1"/>
        <v>i ordered boxes of arm hammer litter i received yesterday packing box was not strong enough plus tape was not holding box had holes plus one of two boxes had broken open litter all over boxes inside i should have boxes com soon you did notify me that some were returned you hope you will let me know when get those out me asap</v>
      </c>
      <c r="I1783" s="6">
        <f t="shared" si="2"/>
        <v>64</v>
      </c>
      <c r="J1783" s="6">
        <f>IFERROR(__xludf.DUMMYFUNCTION("IF(H1783="""","""",
SUM(
ARRAYFORMULA(
IF(
REGEXMATCH(
"" ""&amp;H1783&amp;"" "",
"" ""&amp;Sentiment_Words!A$2:A3730&amp;"" ""
),
1,
0
)
)
)
)"),0.0)</f>
        <v>0</v>
      </c>
      <c r="K1783" s="4">
        <f>IFERROR(__xludf.DUMMYFUNCTION("IF(H1783="""","""",
SUM(
ARRAYFORMULA(
IF(
REGEXMATCH(
"" ""&amp;H1783&amp;"" "",
"" ""&amp;Sentiment_Words!B$2:B3730&amp;"" ""
),
1,
0
)
)
)
)"),1.0)</f>
        <v>1</v>
      </c>
      <c r="L1783" s="7" t="str">
        <f t="shared" si="3"/>
        <v>Other</v>
      </c>
      <c r="M1783" s="7" t="str">
        <f t="shared" si="4"/>
        <v>Negative</v>
      </c>
      <c r="N1783" s="7" t="str">
        <f>IFERROR(__xludf.DUMMYFUNCTION("LOWER(
TRIM(
REGEXREPLACE(B1783,""[^a-zA-Z\s]"","""")
)
)
"),"faye robinson")</f>
        <v>faye robinson</v>
      </c>
      <c r="O1783" s="7">
        <f t="shared" si="5"/>
        <v>1</v>
      </c>
      <c r="P1783" s="8" t="str">
        <f t="shared" si="6"/>
        <v>No</v>
      </c>
    </row>
    <row r="1784">
      <c r="A1784" s="4" t="s">
        <v>16</v>
      </c>
      <c r="B1784" s="4" t="s">
        <v>5039</v>
      </c>
      <c r="C1784" s="9">
        <v>44774.0</v>
      </c>
      <c r="D1784" s="10">
        <v>44775.0</v>
      </c>
      <c r="E1784" s="4" t="s">
        <v>5040</v>
      </c>
      <c r="F1784" s="4" t="s">
        <v>5041</v>
      </c>
      <c r="G1784" s="6" t="str">
        <f>IFERROR(__xludf.DUMMYFUNCTION("REGEXREPLACE(LOWER(F1784),""[^a-z\s]"","""")"),"easy to navigate around the site delivery was quick and my items were packaged nicely")</f>
        <v>easy to navigate around the site delivery was quick and my items were packaged nicely</v>
      </c>
      <c r="H1784" s="4" t="str">
        <f t="shared" si="1"/>
        <v>easy navigate around site delivery was quick my items were packaged nicely</v>
      </c>
      <c r="I1784" s="6">
        <f t="shared" si="2"/>
        <v>12</v>
      </c>
      <c r="J1784" s="6">
        <f>IFERROR(__xludf.DUMMYFUNCTION("IF(H1784="""","""",
SUM(
ARRAYFORMULA(
IF(
REGEXMATCH(
"" ""&amp;H1784&amp;"" "",
"" ""&amp;Sentiment_Words!A$2:A3730&amp;"" ""
),
1,
0
)
)
)
)"),1.0)</f>
        <v>1</v>
      </c>
      <c r="K1784" s="4">
        <f>IFERROR(__xludf.DUMMYFUNCTION("IF(H1784="""","""",
SUM(
ARRAYFORMULA(
IF(
REGEXMATCH(
"" ""&amp;H1784&amp;"" "",
"" ""&amp;Sentiment_Words!B$2:B3730&amp;"" ""
),
1,
0
)
)
)
)"),0.0)</f>
        <v>0</v>
      </c>
      <c r="L1784" s="7" t="str">
        <f t="shared" si="3"/>
        <v>Other</v>
      </c>
      <c r="M1784" s="7" t="str">
        <f t="shared" si="4"/>
        <v>Positive</v>
      </c>
      <c r="N1784" s="7" t="str">
        <f>IFERROR(__xludf.DUMMYFUNCTION("LOWER(
TRIM(
REGEXREPLACE(B1784,""[^a-zA-Z\s]"","""")
)
)
"),"judy sander")</f>
        <v>judy sander</v>
      </c>
      <c r="O1784" s="7">
        <f t="shared" si="5"/>
        <v>1</v>
      </c>
      <c r="P1784" s="8" t="str">
        <f t="shared" si="6"/>
        <v>No</v>
      </c>
    </row>
    <row r="1785">
      <c r="A1785" s="4" t="s">
        <v>16</v>
      </c>
      <c r="B1785" s="4" t="s">
        <v>5042</v>
      </c>
      <c r="C1785" s="9">
        <v>44774.0</v>
      </c>
      <c r="D1785" s="10">
        <v>44774.0</v>
      </c>
      <c r="E1785" s="4" t="s">
        <v>5043</v>
      </c>
      <c r="F1785" s="4" t="s">
        <v>5044</v>
      </c>
      <c r="G1785" s="6" t="str">
        <f>IFERROR(__xludf.DUMMYFUNCTION("REGEXREPLACE(LOWER(F1785),""[^a-z\s]"","""")"),"the food i needed was in stock when i purchased it when i didnt get an email that it had shipped i looked at my account online the account said it was delivered to my address it was not at my house so i called pet flow and was told that my order had been "&amp;"cancelled because they were unable to get the cat food from the company my cat was then out of food and i had to hurry up and get new cat food from another company which is not her prescribed food after my phone call i got an email from pet flow that my o"&amp;"rder had been cancelled due to the fact that they couldnt get it from the manufacture it would have been nice to know that right away so i could have picked another company to begin with unsatisfactory")</f>
        <v>the food i needed was in stock when i purchased it when i didnt get an email that it had shipped i looked at my account online the account said it was delivered to my address it was not at my house so i called pet flow and was told that my order had been cancelled because they were unable to get the cat food from the company my cat was then out of food and i had to hurry up and get new cat food from another company which is not her prescribed food after my phone call i got an email from pet flow that my order had been cancelled due to the fact that they couldnt get it from the manufacture it would have been nice to know that right away so i could have picked another company to begin with unsatisfactory</v>
      </c>
      <c r="H1785" s="4" t="str">
        <f t="shared" si="1"/>
        <v>food i needed was in stock when i purchased it when i didnt get an email that it had shipped i looked at my account online account said it was delivered my address it was not at my house so i called pet flow was told that my order had been cancelled because they were unable get cat food from company my cat was then out of food i had hurry up get new cat food from another company which not her prescribed food after my phone call i got an email from pet flow that my order had been cancelled due fact that they couldnt get it from manufacture it would have been nice know that right away so i could have picked another company begin with unsatisfactory</v>
      </c>
      <c r="I1785" s="6">
        <f t="shared" si="2"/>
        <v>129</v>
      </c>
      <c r="J1785" s="6">
        <f>IFERROR(__xludf.DUMMYFUNCTION("IF(H1785="""","""",
SUM(
ARRAYFORMULA(
IF(
REGEXMATCH(
"" ""&amp;H1785&amp;"" "",
"" ""&amp;Sentiment_Words!A$2:A3730&amp;"" ""
),
1,
0
)
)
)
)"),1.0)</f>
        <v>1</v>
      </c>
      <c r="K1785" s="4">
        <f>IFERROR(__xludf.DUMMYFUNCTION("IF(H1785="""","""",
SUM(
ARRAYFORMULA(
IF(
REGEXMATCH(
"" ""&amp;H1785&amp;"" "",
"" ""&amp;Sentiment_Words!B$2:B3730&amp;"" ""
),
1,
0
)
)
)
)"),1.0)</f>
        <v>1</v>
      </c>
      <c r="L1785" s="7" t="str">
        <f t="shared" si="3"/>
        <v>Account &amp; Website</v>
      </c>
      <c r="M1785" s="7" t="str">
        <f t="shared" si="4"/>
        <v>Neutral</v>
      </c>
      <c r="N1785" s="7" t="str">
        <f>IFERROR(__xludf.DUMMYFUNCTION("LOWER(
TRIM(
REGEXREPLACE(B1785,""[^a-zA-Z\s]"","""")
)
)
"),"lisa green")</f>
        <v>lisa green</v>
      </c>
      <c r="O1785" s="7">
        <f t="shared" si="5"/>
        <v>1</v>
      </c>
      <c r="P1785" s="8" t="str">
        <f t="shared" si="6"/>
        <v>No</v>
      </c>
    </row>
    <row r="1786">
      <c r="A1786" s="4" t="s">
        <v>16</v>
      </c>
      <c r="B1786" s="4" t="s">
        <v>5045</v>
      </c>
      <c r="C1786" s="9">
        <v>44774.0</v>
      </c>
      <c r="D1786" s="10">
        <v>44774.0</v>
      </c>
      <c r="E1786" s="4" t="s">
        <v>5046</v>
      </c>
      <c r="F1786" s="4" t="s">
        <v>5047</v>
      </c>
      <c r="G1786" s="6" t="str">
        <f>IFERROR(__xludf.DUMMYFUNCTION("REGEXREPLACE(LOWER(F1786),""[^a-z\s]"","""")"),"i recently ordered hills science diet feline wd your website indicated that it was in stock however after several days of waiting for shipping info to come through i called to check on the order i was told that it was out of stock then a few days later yo"&amp;"u canceled my order")</f>
        <v>i recently ordered hills science diet feline wd your website indicated that it was in stock however after several days of waiting for shipping info to come through i called to check on the order i was told that it was out of stock then a few days later you canceled my order</v>
      </c>
      <c r="H1786" s="4" t="str">
        <f t="shared" si="1"/>
        <v>i recently ordered hills science diet feline wd your website indicated that it was in stock however after several days of waiting shipping info come through i called check on order i was told that it was out of stock then a few days later you canceled my order</v>
      </c>
      <c r="I1786" s="6">
        <f t="shared" si="2"/>
        <v>49</v>
      </c>
      <c r="J1786" s="6">
        <f>IFERROR(__xludf.DUMMYFUNCTION("IF(H1786="""","""",
SUM(
ARRAYFORMULA(
IF(
REGEXMATCH(
"" ""&amp;H1786&amp;"" "",
"" ""&amp;Sentiment_Words!A$2:A3730&amp;"" ""
),
1,
0
)
)
)
)"),0.0)</f>
        <v>0</v>
      </c>
      <c r="K1786" s="4">
        <f>IFERROR(__xludf.DUMMYFUNCTION("IF(H1786="""","""",
SUM(
ARRAYFORMULA(
IF(
REGEXMATCH(
"" ""&amp;H1786&amp;"" "",
"" ""&amp;Sentiment_Words!B$2:B3730&amp;"" ""
),
1,
0
)
)
)
)"),1.0)</f>
        <v>1</v>
      </c>
      <c r="L1786" s="7" t="str">
        <f t="shared" si="3"/>
        <v>Fulfillment &amp; Shipping</v>
      </c>
      <c r="M1786" s="7" t="str">
        <f t="shared" si="4"/>
        <v>Negative</v>
      </c>
      <c r="N1786" s="7" t="str">
        <f>IFERROR(__xludf.DUMMYFUNCTION("LOWER(
TRIM(
REGEXREPLACE(B1786,""[^a-zA-Z\s]"","""")
)
)
"),"francesca")</f>
        <v>francesca</v>
      </c>
      <c r="O1786" s="7">
        <f t="shared" si="5"/>
        <v>2</v>
      </c>
      <c r="P1786" s="8" t="str">
        <f t="shared" si="6"/>
        <v>Yes</v>
      </c>
    </row>
    <row r="1787">
      <c r="A1787" s="4" t="s">
        <v>16</v>
      </c>
      <c r="B1787" s="4" t="s">
        <v>5048</v>
      </c>
      <c r="C1787" s="9">
        <v>44774.0</v>
      </c>
      <c r="D1787" s="10">
        <v>44774.0</v>
      </c>
      <c r="E1787" s="4" t="s">
        <v>5049</v>
      </c>
      <c r="F1787" s="4" t="s">
        <v>331</v>
      </c>
      <c r="G1787" s="6" t="str">
        <f>IFERROR(__xludf.DUMMYFUNCTION("REGEXREPLACE(LOWER(F1787),""[^a-z\s]"","""")"),"none")</f>
        <v>none</v>
      </c>
      <c r="H1787" s="4" t="str">
        <f t="shared" si="1"/>
        <v>none</v>
      </c>
      <c r="I1787" s="6">
        <f t="shared" si="2"/>
        <v>1</v>
      </c>
      <c r="J1787" s="6">
        <f>IFERROR(__xludf.DUMMYFUNCTION("IF(H1787="""","""",
SUM(
ARRAYFORMULA(
IF(
REGEXMATCH(
"" ""&amp;H1787&amp;"" "",
"" ""&amp;Sentiment_Words!A$2:A3730&amp;"" ""
),
1,
0
)
)
)
)"),0.0)</f>
        <v>0</v>
      </c>
      <c r="K1787" s="4">
        <f>IFERROR(__xludf.DUMMYFUNCTION("IF(H1787="""","""",
SUM(
ARRAYFORMULA(
IF(
REGEXMATCH(
"" ""&amp;H1787&amp;"" "",
"" ""&amp;Sentiment_Words!B$2:B3730&amp;"" ""
),
1,
0
)
)
)
)"),0.0)</f>
        <v>0</v>
      </c>
      <c r="L1787" s="7" t="str">
        <f t="shared" si="3"/>
        <v>Other</v>
      </c>
      <c r="M1787" s="7" t="str">
        <f t="shared" si="4"/>
        <v>Neutral</v>
      </c>
      <c r="N1787" s="7" t="str">
        <f>IFERROR(__xludf.DUMMYFUNCTION("LOWER(
TRIM(
REGEXREPLACE(B1787,""[^a-zA-Z\s]"","""")
)
)
"),"john fezio")</f>
        <v>john fezio</v>
      </c>
      <c r="O1787" s="7">
        <f t="shared" si="5"/>
        <v>1</v>
      </c>
      <c r="P1787" s="8" t="str">
        <f t="shared" si="6"/>
        <v>No</v>
      </c>
    </row>
    <row r="1788">
      <c r="A1788" s="4" t="s">
        <v>16</v>
      </c>
      <c r="B1788" s="4" t="s">
        <v>5050</v>
      </c>
      <c r="C1788" s="9">
        <v>44774.0</v>
      </c>
      <c r="D1788" s="10">
        <v>44774.0</v>
      </c>
      <c r="E1788" s="4" t="s">
        <v>4172</v>
      </c>
      <c r="F1788" s="4" t="s">
        <v>5051</v>
      </c>
      <c r="G1788" s="6" t="str">
        <f>IFERROR(__xludf.DUMMYFUNCTION("REGEXREPLACE(LOWER(F1788),""[^a-z\s]"","""")"),"great products fair prices fast service")</f>
        <v>great products fair prices fast service</v>
      </c>
      <c r="H1788" s="4" t="str">
        <f t="shared" si="1"/>
        <v>great products fair prices fast service</v>
      </c>
      <c r="I1788" s="6">
        <f t="shared" si="2"/>
        <v>6</v>
      </c>
      <c r="J1788" s="6">
        <f>IFERROR(__xludf.DUMMYFUNCTION("IF(H1788="""","""",
SUM(
ARRAYFORMULA(
IF(
REGEXMATCH(
"" ""&amp;H1788&amp;"" "",
"" ""&amp;Sentiment_Words!A$2:A3730&amp;"" ""
),
1,
0
)
)
)
)"),2.0)</f>
        <v>2</v>
      </c>
      <c r="K1788" s="4">
        <f>IFERROR(__xludf.DUMMYFUNCTION("IF(H1788="""","""",
SUM(
ARRAYFORMULA(
IF(
REGEXMATCH(
"" ""&amp;H1788&amp;"" "",
"" ""&amp;Sentiment_Words!B$2:B3730&amp;"" ""
),
1,
0
)
)
)
)"),0.0)</f>
        <v>0</v>
      </c>
      <c r="L1788" s="7" t="str">
        <f t="shared" si="3"/>
        <v>Customer Support</v>
      </c>
      <c r="M1788" s="7" t="str">
        <f t="shared" si="4"/>
        <v>Positive</v>
      </c>
      <c r="N1788" s="7" t="str">
        <f>IFERROR(__xludf.DUMMYFUNCTION("LOWER(
TRIM(
REGEXREPLACE(B1788,""[^a-zA-Z\s]"","""")
)
)
"),"diane tempe az")</f>
        <v>diane tempe az</v>
      </c>
      <c r="O1788" s="7">
        <f t="shared" si="5"/>
        <v>1</v>
      </c>
      <c r="P1788" s="8" t="str">
        <f t="shared" si="6"/>
        <v>No</v>
      </c>
    </row>
    <row r="1789">
      <c r="A1789" s="4" t="s">
        <v>16</v>
      </c>
      <c r="B1789" s="4" t="s">
        <v>5052</v>
      </c>
      <c r="C1789" s="5">
        <v>44773.0</v>
      </c>
      <c r="D1789" s="10">
        <v>44774.0</v>
      </c>
      <c r="E1789" s="4" t="s">
        <v>5053</v>
      </c>
      <c r="F1789" s="4" t="s">
        <v>5054</v>
      </c>
      <c r="G1789" s="6" t="str">
        <f>IFERROR(__xludf.DUMMYFUNCTION("REGEXREPLACE(LOWER(F1789),""[^a-z\s]"","""")"),"easy toorder and fast to deliver")</f>
        <v>easy toorder and fast to deliver</v>
      </c>
      <c r="H1789" s="4" t="str">
        <f t="shared" si="1"/>
        <v>easy toorder fast deliver</v>
      </c>
      <c r="I1789" s="6">
        <f t="shared" si="2"/>
        <v>4</v>
      </c>
      <c r="J1789" s="6">
        <f>IFERROR(__xludf.DUMMYFUNCTION("IF(H1789="""","""",
SUM(
ARRAYFORMULA(
IF(
REGEXMATCH(
"" ""&amp;H1789&amp;"" "",
"" ""&amp;Sentiment_Words!A$2:A3730&amp;"" ""
),
1,
0
)
)
)
)"),2.0)</f>
        <v>2</v>
      </c>
      <c r="K1789" s="4">
        <f>IFERROR(__xludf.DUMMYFUNCTION("IF(H1789="""","""",
SUM(
ARRAYFORMULA(
IF(
REGEXMATCH(
"" ""&amp;H1789&amp;"" "",
"" ""&amp;Sentiment_Words!B$2:B3730&amp;"" ""
),
1,
0
)
)
)
)"),0.0)</f>
        <v>0</v>
      </c>
      <c r="L1789" s="7" t="str">
        <f t="shared" si="3"/>
        <v>Other</v>
      </c>
      <c r="M1789" s="7" t="str">
        <f t="shared" si="4"/>
        <v>Positive</v>
      </c>
      <c r="N1789" s="7" t="str">
        <f>IFERROR(__xludf.DUMMYFUNCTION("LOWER(
TRIM(
REGEXREPLACE(B1789,""[^a-zA-Z\s]"","""")
)
)
"),"richard bott")</f>
        <v>richard bott</v>
      </c>
      <c r="O1789" s="7">
        <f t="shared" si="5"/>
        <v>1</v>
      </c>
      <c r="P1789" s="8" t="str">
        <f t="shared" si="6"/>
        <v>No</v>
      </c>
    </row>
    <row r="1790">
      <c r="A1790" s="4" t="s">
        <v>16</v>
      </c>
      <c r="B1790" s="4" t="s">
        <v>5055</v>
      </c>
      <c r="C1790" s="5">
        <v>44773.0</v>
      </c>
      <c r="D1790" s="10">
        <v>44773.0</v>
      </c>
      <c r="E1790" s="4" t="s">
        <v>5056</v>
      </c>
      <c r="F1790" s="4" t="s">
        <v>5057</v>
      </c>
      <c r="G1790" s="6" t="str">
        <f>IFERROR(__xludf.DUMMYFUNCTION("REGEXREPLACE(LOWER(F1790),""[^a-z\s]"","""")"),"shipping was quick however a food product needed to be exchanged due to manufacturer changed formula and didnt want old formula sold customer service was unbelievably rude and lacking concern completely i wont spend another dollar with them again and i ha"&amp;"ve told all the pet parents i know about my experience")</f>
        <v>shipping was quick however a food product needed to be exchanged due to manufacturer changed formula and didnt want old formula sold customer service was unbelievably rude and lacking concern completely i wont spend another dollar with them again and i have told all the pet parents i know about my experience</v>
      </c>
      <c r="H1790" s="4" t="str">
        <f t="shared" si="1"/>
        <v>shipping was quick however a food product needed be exchanged due manufacturer changed formula didnt want old formula sold customer service was unbelievably rude lacking concern completely i wont spend another dollar with them again i have told all pet parents i know about my experience</v>
      </c>
      <c r="I1790" s="6">
        <f t="shared" si="2"/>
        <v>46</v>
      </c>
      <c r="J1790" s="6">
        <f>IFERROR(__xludf.DUMMYFUNCTION("IF(H1790="""","""",
SUM(
ARRAYFORMULA(
IF(
REGEXMATCH(
"" ""&amp;H1790&amp;"" "",
"" ""&amp;Sentiment_Words!A$2:A3730&amp;"" ""
),
1,
0
)
)
)
)"),0.0)</f>
        <v>0</v>
      </c>
      <c r="K1790" s="4">
        <f>IFERROR(__xludf.DUMMYFUNCTION("IF(H1790="""","""",
SUM(
ARRAYFORMULA(
IF(
REGEXMATCH(
"" ""&amp;H1790&amp;"" "",
"" ""&amp;Sentiment_Words!B$2:B3730&amp;"" ""
),
1,
0
)
)
)
)"),1.0)</f>
        <v>1</v>
      </c>
      <c r="L1790" s="7" t="str">
        <f t="shared" si="3"/>
        <v>Customer Support</v>
      </c>
      <c r="M1790" s="7" t="str">
        <f t="shared" si="4"/>
        <v>Negative</v>
      </c>
      <c r="N1790" s="7" t="str">
        <f>IFERROR(__xludf.DUMMYFUNCTION("LOWER(
TRIM(
REGEXREPLACE(B1790,""[^a-zA-Z\s]"","""")
)
)
"),"kg")</f>
        <v>kg</v>
      </c>
      <c r="O1790" s="7">
        <f t="shared" si="5"/>
        <v>2</v>
      </c>
      <c r="P1790" s="8" t="str">
        <f t="shared" si="6"/>
        <v>Yes</v>
      </c>
    </row>
    <row r="1791">
      <c r="A1791" s="4" t="s">
        <v>16</v>
      </c>
      <c r="B1791" s="4" t="s">
        <v>5058</v>
      </c>
      <c r="C1791" s="5">
        <v>44773.0</v>
      </c>
      <c r="D1791" s="10">
        <v>44773.0</v>
      </c>
      <c r="E1791" s="4" t="s">
        <v>5059</v>
      </c>
      <c r="F1791" s="4" t="s">
        <v>5060</v>
      </c>
      <c r="G1791" s="6" t="str">
        <f>IFERROR(__xludf.DUMMYFUNCTION("REGEXREPLACE(LOWER(F1791),""[^a-z\s]"","""")"),"started our automatic delivery program it worked flawlessly i was able to correct a mistake in my order without any problem")</f>
        <v>started our automatic delivery program it worked flawlessly i was able to correct a mistake in my order without any problem</v>
      </c>
      <c r="H1791" s="4" t="str">
        <f t="shared" si="1"/>
        <v>started our automatic delivery program it worked flawlessly i was able correct a mistake in my order without any problem</v>
      </c>
      <c r="I1791" s="6">
        <f t="shared" si="2"/>
        <v>20</v>
      </c>
      <c r="J1791" s="6">
        <f>IFERROR(__xludf.DUMMYFUNCTION("IF(H1791="""","""",
SUM(
ARRAYFORMULA(
IF(
REGEXMATCH(
"" ""&amp;H1791&amp;"" "",
"" ""&amp;Sentiment_Words!A$2:A3730&amp;"" ""
),
1,
0
)
)
)
)"),2.0)</f>
        <v>2</v>
      </c>
      <c r="K1791" s="4">
        <f>IFERROR(__xludf.DUMMYFUNCTION("IF(H1791="""","""",
SUM(
ARRAYFORMULA(
IF(
REGEXMATCH(
"" ""&amp;H1791&amp;"" "",
"" ""&amp;Sentiment_Words!B$2:B3730&amp;"" ""
),
1,
0
)
)
)
)"),1.0)</f>
        <v>1</v>
      </c>
      <c r="L1791" s="7" t="str">
        <f t="shared" si="3"/>
        <v>Other</v>
      </c>
      <c r="M1791" s="7" t="str">
        <f t="shared" si="4"/>
        <v>Positive</v>
      </c>
      <c r="N1791" s="7" t="str">
        <f>IFERROR(__xludf.DUMMYFUNCTION("LOWER(
TRIM(
REGEXREPLACE(B1791,""[^a-zA-Z\s]"","""")
)
)
"),"cornelis boudewijn")</f>
        <v>cornelis boudewijn</v>
      </c>
      <c r="O1791" s="7">
        <f t="shared" si="5"/>
        <v>1</v>
      </c>
      <c r="P1791" s="8" t="str">
        <f t="shared" si="6"/>
        <v>No</v>
      </c>
    </row>
    <row r="1792">
      <c r="A1792" s="4" t="s">
        <v>16</v>
      </c>
      <c r="B1792" s="4" t="s">
        <v>5061</v>
      </c>
      <c r="C1792" s="5">
        <v>44773.0</v>
      </c>
      <c r="D1792" s="10">
        <v>44773.0</v>
      </c>
      <c r="E1792" s="4" t="s">
        <v>5062</v>
      </c>
      <c r="F1792" s="4" t="s">
        <v>5063</v>
      </c>
      <c r="G1792" s="6" t="str">
        <f>IFERROR(__xludf.DUMMYFUNCTION("REGEXREPLACE(LOWER(F1792),""[^a-z\s]"","""")"),"the initial order went great when it came time to reorder our cats diabetic food it was out of stock we waited hoping it would return by the time we needed it but we were sent scrambling to find another source")</f>
        <v>the initial order went great when it came time to reorder our cats diabetic food it was out of stock we waited hoping it would return by the time we needed it but we were sent scrambling to find another source</v>
      </c>
      <c r="H1792" s="4" t="str">
        <f t="shared" si="1"/>
        <v>initial order went great when it came time reorder our cats diabetic food it was out of stock we waited hoping it would return by time we needed it but we were sent scrambling find another source</v>
      </c>
      <c r="I1792" s="6">
        <f t="shared" si="2"/>
        <v>37</v>
      </c>
      <c r="J1792" s="6">
        <f>IFERROR(__xludf.DUMMYFUNCTION("IF(H1792="""","""",
SUM(
ARRAYFORMULA(
IF(
REGEXMATCH(
"" ""&amp;H1792&amp;"" "",
"" ""&amp;Sentiment_Words!A$2:A3730&amp;"" ""
),
1,
0
)
)
)
)"),1.0)</f>
        <v>1</v>
      </c>
      <c r="K1792" s="4">
        <f>IFERROR(__xludf.DUMMYFUNCTION("IF(H1792="""","""",
SUM(
ARRAYFORMULA(
IF(
REGEXMATCH(
"" ""&amp;H1792&amp;"" "",
"" ""&amp;Sentiment_Words!B$2:B3730&amp;"" ""
),
1,
0
)
)
)
)"),1.0)</f>
        <v>1</v>
      </c>
      <c r="L1792" s="7" t="str">
        <f t="shared" si="3"/>
        <v>Availability</v>
      </c>
      <c r="M1792" s="7" t="str">
        <f t="shared" si="4"/>
        <v>Neutral</v>
      </c>
      <c r="N1792" s="7" t="str">
        <f>IFERROR(__xludf.DUMMYFUNCTION("LOWER(
TRIM(
REGEXREPLACE(B1792,""[^a-zA-Z\s]"","""")
)
)
"),"scott holder")</f>
        <v>scott holder</v>
      </c>
      <c r="O1792" s="7">
        <f t="shared" si="5"/>
        <v>1</v>
      </c>
      <c r="P1792" s="8" t="str">
        <f t="shared" si="6"/>
        <v>No</v>
      </c>
    </row>
    <row r="1793">
      <c r="A1793" s="4" t="s">
        <v>16</v>
      </c>
      <c r="B1793" s="4" t="s">
        <v>5064</v>
      </c>
      <c r="C1793" s="5">
        <v>44773.0</v>
      </c>
      <c r="D1793" s="10">
        <v>44773.0</v>
      </c>
      <c r="E1793" s="4" t="s">
        <v>5065</v>
      </c>
      <c r="F1793" s="4" t="s">
        <v>5066</v>
      </c>
      <c r="G1793" s="6" t="str">
        <f>IFERROR(__xludf.DUMMYFUNCTION("REGEXREPLACE(LOWER(F1793),""[^a-z\s]"","""")"),"reliable repeat order program at reasonable prices")</f>
        <v>reliable repeat order program at reasonable prices</v>
      </c>
      <c r="H1793" s="4" t="str">
        <f t="shared" si="1"/>
        <v>reliable repeat order program at reasonable prices</v>
      </c>
      <c r="I1793" s="6">
        <f t="shared" si="2"/>
        <v>7</v>
      </c>
      <c r="J1793" s="6">
        <f>IFERROR(__xludf.DUMMYFUNCTION("IF(H1793="""","""",
SUM(
ARRAYFORMULA(
IF(
REGEXMATCH(
"" ""&amp;H1793&amp;"" "",
"" ""&amp;Sentiment_Words!A$2:A3730&amp;"" ""
),
1,
0
)
)
)
)"),1.0)</f>
        <v>1</v>
      </c>
      <c r="K1793" s="4">
        <f>IFERROR(__xludf.DUMMYFUNCTION("IF(H1793="""","""",
SUM(
ARRAYFORMULA(
IF(
REGEXMATCH(
"" ""&amp;H1793&amp;"" "",
"" ""&amp;Sentiment_Words!B$2:B3730&amp;"" ""
),
1,
0
)
)
)
)"),0.0)</f>
        <v>0</v>
      </c>
      <c r="L1793" s="7" t="str">
        <f t="shared" si="3"/>
        <v>Other</v>
      </c>
      <c r="M1793" s="7" t="str">
        <f t="shared" si="4"/>
        <v>Positive</v>
      </c>
      <c r="N1793" s="7" t="str">
        <f>IFERROR(__xludf.DUMMYFUNCTION("LOWER(
TRIM(
REGEXREPLACE(B1793,""[^a-zA-Z\s]"","""")
)
)
"),"howard low")</f>
        <v>howard low</v>
      </c>
      <c r="O1793" s="7">
        <f t="shared" si="5"/>
        <v>1</v>
      </c>
      <c r="P1793" s="8" t="str">
        <f t="shared" si="6"/>
        <v>No</v>
      </c>
    </row>
    <row r="1794">
      <c r="A1794" s="4" t="s">
        <v>16</v>
      </c>
      <c r="B1794" s="4" t="s">
        <v>5067</v>
      </c>
      <c r="C1794" s="5">
        <v>44773.0</v>
      </c>
      <c r="D1794" s="10">
        <v>44773.0</v>
      </c>
      <c r="E1794" s="4" t="s">
        <v>1858</v>
      </c>
      <c r="F1794" s="4" t="s">
        <v>5068</v>
      </c>
      <c r="G1794" s="6" t="str">
        <f>IFERROR(__xludf.DUMMYFUNCTION("REGEXREPLACE(LOWER(F1794),""[^a-z\s]"","""")"),"petfow is consistently good overall timely shipping and mostly reasonable in costs any issues ive had were always addressed to satisfaction")</f>
        <v>petfow is consistently good overall timely shipping and mostly reasonable in costs any issues ive had were always addressed to satisfaction</v>
      </c>
      <c r="H1794" s="4" t="str">
        <f t="shared" si="1"/>
        <v>petfow consistently good overall timely shipping mostly reasonable in costs any issues ive had were always addressed satisfaction</v>
      </c>
      <c r="I1794" s="6">
        <f t="shared" si="2"/>
        <v>18</v>
      </c>
      <c r="J1794" s="6">
        <f>IFERROR(__xludf.DUMMYFUNCTION("IF(H1794="""","""",
SUM(
ARRAYFORMULA(
IF(
REGEXMATCH(
"" ""&amp;H1794&amp;"" "",
"" ""&amp;Sentiment_Words!A$2:A3730&amp;"" ""
),
1,
0
)
)
)
)"),1.0)</f>
        <v>1</v>
      </c>
      <c r="K1794" s="4">
        <f>IFERROR(__xludf.DUMMYFUNCTION("IF(H1794="""","""",
SUM(
ARRAYFORMULA(
IF(
REGEXMATCH(
"" ""&amp;H1794&amp;"" "",
"" ""&amp;Sentiment_Words!B$2:B3730&amp;"" ""
),
1,
0
)
)
)
)"),0.0)</f>
        <v>0</v>
      </c>
      <c r="L1794" s="7" t="str">
        <f t="shared" si="3"/>
        <v>Other</v>
      </c>
      <c r="M1794" s="7" t="str">
        <f t="shared" si="4"/>
        <v>Positive</v>
      </c>
      <c r="N1794" s="7" t="str">
        <f>IFERROR(__xludf.DUMMYFUNCTION("LOWER(
TRIM(
REGEXREPLACE(B1794,""[^a-zA-Z\s]"","""")
)
)
"),"carol")</f>
        <v>carol</v>
      </c>
      <c r="O1794" s="7">
        <f t="shared" si="5"/>
        <v>8</v>
      </c>
      <c r="P1794" s="8" t="str">
        <f t="shared" si="6"/>
        <v>Yes</v>
      </c>
    </row>
    <row r="1795">
      <c r="A1795" s="4" t="s">
        <v>16</v>
      </c>
      <c r="B1795" s="4" t="s">
        <v>739</v>
      </c>
      <c r="C1795" s="5">
        <v>44773.0</v>
      </c>
      <c r="D1795" s="10">
        <v>44773.0</v>
      </c>
      <c r="E1795" s="4" t="s">
        <v>5069</v>
      </c>
      <c r="F1795" s="4" t="s">
        <v>5070</v>
      </c>
      <c r="G1795" s="6" t="str">
        <f>IFERROR(__xludf.DUMMYFUNCTION("REGEXREPLACE(LOWER(F1795),""[^a-z\s]"","""")"),"great prices always in stock and fast delivery excellent customer service")</f>
        <v>great prices always in stock and fast delivery excellent customer service</v>
      </c>
      <c r="H1795" s="4" t="str">
        <f t="shared" si="1"/>
        <v>great prices always in stock fast delivery excellent customer service</v>
      </c>
      <c r="I1795" s="6">
        <f t="shared" si="2"/>
        <v>10</v>
      </c>
      <c r="J1795" s="6">
        <f>IFERROR(__xludf.DUMMYFUNCTION("IF(H1795="""","""",
SUM(
ARRAYFORMULA(
IF(
REGEXMATCH(
"" ""&amp;H1795&amp;"" "",
"" ""&amp;Sentiment_Words!A$2:A3730&amp;"" ""
),
1,
0
)
)
)
)"),3.0)</f>
        <v>3</v>
      </c>
      <c r="K1795" s="4">
        <f>IFERROR(__xludf.DUMMYFUNCTION("IF(H1795="""","""",
SUM(
ARRAYFORMULA(
IF(
REGEXMATCH(
"" ""&amp;H1795&amp;"" "",
"" ""&amp;Sentiment_Words!B$2:B3730&amp;"" ""
),
1,
0
)
)
)
)"),1.0)</f>
        <v>1</v>
      </c>
      <c r="L1795" s="7" t="str">
        <f t="shared" si="3"/>
        <v>Customer Support</v>
      </c>
      <c r="M1795" s="7" t="str">
        <f t="shared" si="4"/>
        <v>Positive</v>
      </c>
      <c r="N1795" s="7" t="str">
        <f>IFERROR(__xludf.DUMMYFUNCTION("LOWER(
TRIM(
REGEXREPLACE(B1795,""[^a-zA-Z\s]"","""")
)
)
"),"customer")</f>
        <v>customer</v>
      </c>
      <c r="O1795" s="7">
        <f t="shared" si="5"/>
        <v>54</v>
      </c>
      <c r="P1795" s="8" t="str">
        <f t="shared" si="6"/>
        <v>Yes</v>
      </c>
    </row>
    <row r="1796">
      <c r="A1796" s="4" t="s">
        <v>16</v>
      </c>
      <c r="B1796" s="4" t="s">
        <v>5071</v>
      </c>
      <c r="C1796" s="5">
        <v>44773.0</v>
      </c>
      <c r="D1796" s="10">
        <v>44773.0</v>
      </c>
      <c r="E1796" s="4" t="s">
        <v>5072</v>
      </c>
      <c r="F1796" s="4" t="s">
        <v>5073</v>
      </c>
      <c r="G1796" s="6" t="str">
        <f>IFERROR(__xludf.DUMMYFUNCTION("REGEXREPLACE(LOWER(F1796),""[^a-z\s]"","""")"),"i have shopped petflow for years but lately they are having difficulties filling and shipping orders i order when i am about  weeks out from having either dog or cat food they cant ship in a timely manneri have cancelled my last  orders due to shipping i "&amp;"will wait and try them again")</f>
        <v>i have shopped petflow for years but lately they are having difficulties filling and shipping orders i order when i am about  weeks out from having either dog or cat food they cant ship in a timely manneri have cancelled my last  orders due to shipping i will wait and try them again</v>
      </c>
      <c r="H1796" s="4" t="str">
        <f t="shared" si="1"/>
        <v>i have shopped petflow years but lately they are having difficulties filling shipping orders i order when i am about weeks out from having either dog or cat food they cant ship in a timely manneri have cancelled my last orders due shipping i will wait try them again</v>
      </c>
      <c r="I1796" s="6">
        <f t="shared" si="2"/>
        <v>49</v>
      </c>
      <c r="J1796" s="6">
        <f>IFERROR(__xludf.DUMMYFUNCTION("IF(H1796="""","""",
SUM(
ARRAYFORMULA(
IF(
REGEXMATCH(
"" ""&amp;H1796&amp;"" "",
"" ""&amp;Sentiment_Words!A$2:A3730&amp;"" ""
),
1,
0
)
)
)
)"),0.0)</f>
        <v>0</v>
      </c>
      <c r="K1796" s="4">
        <f>IFERROR(__xludf.DUMMYFUNCTION("IF(H1796="""","""",
SUM(
ARRAYFORMULA(
IF(
REGEXMATCH(
"" ""&amp;H1796&amp;"" "",
"" ""&amp;Sentiment_Words!B$2:B3730&amp;"" ""
),
1,
0
)
)
)
)"),1.0)</f>
        <v>1</v>
      </c>
      <c r="L1796" s="7" t="str">
        <f t="shared" si="3"/>
        <v>Fulfillment &amp; Shipping</v>
      </c>
      <c r="M1796" s="7" t="str">
        <f t="shared" si="4"/>
        <v>Negative</v>
      </c>
      <c r="N1796" s="7" t="str">
        <f>IFERROR(__xludf.DUMMYFUNCTION("LOWER(
TRIM(
REGEXREPLACE(B1796,""[^a-zA-Z\s]"","""")
)
)
"),"scott")</f>
        <v>scott</v>
      </c>
      <c r="O1796" s="7">
        <f t="shared" si="5"/>
        <v>1</v>
      </c>
      <c r="P1796" s="8" t="str">
        <f t="shared" si="6"/>
        <v>No</v>
      </c>
    </row>
    <row r="1797">
      <c r="A1797" s="4" t="s">
        <v>16</v>
      </c>
      <c r="B1797" s="4" t="s">
        <v>5074</v>
      </c>
      <c r="C1797" s="5">
        <v>44773.0</v>
      </c>
      <c r="D1797" s="10">
        <v>44773.0</v>
      </c>
      <c r="E1797" s="4" t="s">
        <v>5075</v>
      </c>
      <c r="F1797" s="4" t="s">
        <v>5076</v>
      </c>
      <c r="G1797" s="6" t="str">
        <f>IFERROR(__xludf.DUMMYFUNCTION("REGEXREPLACE(LOWER(F1797),""[^a-z\s]"","""")"),"unfortunately the delivery was promised for a specific acceptable date then changed by petflows carrier to the next day and to make your service unusable delayed yet another day
learn to honor your commitments if you want my ongoing business expectations "&amp;"for saturday do not mean monday no excuses")</f>
        <v>unfortunately the delivery was promised for a specific acceptable date then changed by petflows carrier to the next day and to make your service unusable delayed yet another day
learn to honor your commitments if you want my ongoing business expectations for saturday do not mean monday no excuses</v>
      </c>
      <c r="H1797" s="4" t="str">
        <f t="shared" si="1"/>
        <v>unfortunately delivery was promised a specific acceptable date then changed by petflows carrier next day make your service unusable delayed yet another day
learn honor your commitments if you want my ongoing business expectations saturday do not mean monday no excuses</v>
      </c>
      <c r="I1797" s="6">
        <f t="shared" si="2"/>
        <v>40</v>
      </c>
      <c r="J1797" s="6">
        <f>IFERROR(__xludf.DUMMYFUNCTION("IF(H1797="""","""",
SUM(
ARRAYFORMULA(
IF(
REGEXMATCH(
"" ""&amp;H1797&amp;"" "",
"" ""&amp;Sentiment_Words!A$2:A3730&amp;"" ""
),
1,
0
)
)
)
)"),0.0)</f>
        <v>0</v>
      </c>
      <c r="K1797" s="4">
        <f>IFERROR(__xludf.DUMMYFUNCTION("IF(H1797="""","""",
SUM(
ARRAYFORMULA(
IF(
REGEXMATCH(
"" ""&amp;H1797&amp;"" "",
"" ""&amp;Sentiment_Words!B$2:B3730&amp;"" ""
),
1,
0
)
)
)
)"),1.0)</f>
        <v>1</v>
      </c>
      <c r="L1797" s="7" t="str">
        <f t="shared" si="3"/>
        <v>Customer Support</v>
      </c>
      <c r="M1797" s="7" t="str">
        <f t="shared" si="4"/>
        <v>Negative</v>
      </c>
      <c r="N1797" s="7" t="str">
        <f>IFERROR(__xludf.DUMMYFUNCTION("LOWER(
TRIM(
REGEXREPLACE(B1797,""[^a-zA-Z\s]"","""")
)
)
"),"k rom")</f>
        <v>k rom</v>
      </c>
      <c r="O1797" s="7">
        <f t="shared" si="5"/>
        <v>1</v>
      </c>
      <c r="P1797" s="8" t="str">
        <f t="shared" si="6"/>
        <v>No</v>
      </c>
    </row>
    <row r="1798">
      <c r="A1798" s="4" t="s">
        <v>16</v>
      </c>
      <c r="B1798" s="4" t="s">
        <v>5077</v>
      </c>
      <c r="C1798" s="5">
        <v>44773.0</v>
      </c>
      <c r="D1798" s="10">
        <v>44773.0</v>
      </c>
      <c r="E1798" s="4" t="s">
        <v>5078</v>
      </c>
      <c r="F1798" s="4" t="s">
        <v>5079</v>
      </c>
      <c r="G1798" s="6" t="str">
        <f>IFERROR(__xludf.DUMMYFUNCTION("REGEXREPLACE(LOWER(F1798),""[^a-z\s]"","""")"),"while there were a couple of mishaps in my order petflow went out of its way to make sure everything was made right in fact they went above and beyond ive been recommending them to my friends and family with confidence have ordered and will definitely ord"&amp;"er again thanks especially to ryan from petflow")</f>
        <v>while there were a couple of mishaps in my order petflow went out of its way to make sure everything was made right in fact they went above and beyond ive been recommending them to my friends and family with confidence have ordered and will definitely order again thanks especially to ryan from petflow</v>
      </c>
      <c r="H1798" s="4" t="str">
        <f t="shared" si="1"/>
        <v>while there were a couple of mishaps in my order petflow went out of its way make sure everything was made right in fact they went above beyond ive been recommending them my friends family with confidence have ordered will definitely order again thanks especially ryan from petflow</v>
      </c>
      <c r="I1798" s="6">
        <f t="shared" si="2"/>
        <v>48</v>
      </c>
      <c r="J1798" s="6">
        <f>IFERROR(__xludf.DUMMYFUNCTION("IF(H1798="""","""",
SUM(
ARRAYFORMULA(
IF(
REGEXMATCH(
"" ""&amp;H1798&amp;"" "",
"" ""&amp;Sentiment_Words!A$2:A3730&amp;"" ""
),
1,
0
)
)
)
)"),1.0)</f>
        <v>1</v>
      </c>
      <c r="K1798" s="4">
        <f>IFERROR(__xludf.DUMMYFUNCTION("IF(H1798="""","""",
SUM(
ARRAYFORMULA(
IF(
REGEXMATCH(
"" ""&amp;H1798&amp;"" "",
"" ""&amp;Sentiment_Words!B$2:B3730&amp;"" ""
),
1,
0
)
)
)
)"),0.0)</f>
        <v>0</v>
      </c>
      <c r="L1798" s="7" t="str">
        <f t="shared" si="3"/>
        <v>Other</v>
      </c>
      <c r="M1798" s="7" t="str">
        <f t="shared" si="4"/>
        <v>Positive</v>
      </c>
      <c r="N1798" s="7" t="str">
        <f>IFERROR(__xludf.DUMMYFUNCTION("LOWER(
TRIM(
REGEXREPLACE(B1798,""[^a-zA-Z\s]"","""")
)
)
"),"joyce curtis")</f>
        <v>joyce curtis</v>
      </c>
      <c r="O1798" s="7">
        <f t="shared" si="5"/>
        <v>1</v>
      </c>
      <c r="P1798" s="8" t="str">
        <f t="shared" si="6"/>
        <v>No</v>
      </c>
    </row>
    <row r="1799">
      <c r="A1799" s="4" t="s">
        <v>16</v>
      </c>
      <c r="B1799" s="4" t="s">
        <v>5080</v>
      </c>
      <c r="C1799" s="5">
        <v>44773.0</v>
      </c>
      <c r="D1799" s="10">
        <v>44773.0</v>
      </c>
      <c r="E1799" s="4" t="s">
        <v>5081</v>
      </c>
      <c r="F1799" s="4" t="s">
        <v>5082</v>
      </c>
      <c r="G1799" s="6" t="str">
        <f>IFERROR(__xludf.DUMMYFUNCTION("REGEXREPLACE(LOWER(F1799),""[^a-z\s]"","""")"),"great company very fast shipping prices are competitive")</f>
        <v>great company very fast shipping prices are competitive</v>
      </c>
      <c r="H1799" s="4" t="str">
        <f t="shared" si="1"/>
        <v>great company very fast shipping prices are competitive</v>
      </c>
      <c r="I1799" s="6">
        <f t="shared" si="2"/>
        <v>8</v>
      </c>
      <c r="J1799" s="6">
        <f>IFERROR(__xludf.DUMMYFUNCTION("IF(H1799="""","""",
SUM(
ARRAYFORMULA(
IF(
REGEXMATCH(
"" ""&amp;H1799&amp;"" "",
"" ""&amp;Sentiment_Words!A$2:A3730&amp;"" ""
),
1,
0
)
)
)
)"),2.0)</f>
        <v>2</v>
      </c>
      <c r="K1799" s="4">
        <f>IFERROR(__xludf.DUMMYFUNCTION("IF(H1799="""","""",
SUM(
ARRAYFORMULA(
IF(
REGEXMATCH(
"" ""&amp;H1799&amp;"" "",
"" ""&amp;Sentiment_Words!B$2:B3730&amp;"" ""
),
1,
0
)
)
)
)"),0.0)</f>
        <v>0</v>
      </c>
      <c r="L1799" s="7" t="str">
        <f t="shared" si="3"/>
        <v>Other</v>
      </c>
      <c r="M1799" s="7" t="str">
        <f t="shared" si="4"/>
        <v>Positive</v>
      </c>
      <c r="N1799" s="7" t="str">
        <f>IFERROR(__xludf.DUMMYFUNCTION("LOWER(
TRIM(
REGEXREPLACE(B1799,""[^a-zA-Z\s]"","""")
)
)
"),"richard k")</f>
        <v>richard k</v>
      </c>
      <c r="O1799" s="7">
        <f t="shared" si="5"/>
        <v>1</v>
      </c>
      <c r="P1799" s="8" t="str">
        <f t="shared" si="6"/>
        <v>No</v>
      </c>
    </row>
    <row r="1800">
      <c r="A1800" s="4" t="s">
        <v>16</v>
      </c>
      <c r="B1800" s="4" t="s">
        <v>5083</v>
      </c>
      <c r="C1800" s="5">
        <v>44772.0</v>
      </c>
      <c r="D1800" s="10">
        <v>44773.0</v>
      </c>
      <c r="E1800" s="4" t="s">
        <v>5084</v>
      </c>
      <c r="F1800" s="4" t="s">
        <v>5085</v>
      </c>
      <c r="G1800" s="6" t="str">
        <f>IFERROR(__xludf.DUMMYFUNCTION("REGEXREPLACE(LOWER(F1800),""[^a-z\s]"","""")"),"petflow has the best price on the dog food i purchase for my dog ordering is simple and delivery is fast")</f>
        <v>petflow has the best price on the dog food i purchase for my dog ordering is simple and delivery is fast</v>
      </c>
      <c r="H1800" s="4" t="str">
        <f t="shared" si="1"/>
        <v>petflow has best price on dog food i purchase my dog ordering simple delivery fast</v>
      </c>
      <c r="I1800" s="6">
        <f t="shared" si="2"/>
        <v>15</v>
      </c>
      <c r="J1800" s="6">
        <f>IFERROR(__xludf.DUMMYFUNCTION("IF(H1800="""","""",
SUM(
ARRAYFORMULA(
IF(
REGEXMATCH(
"" ""&amp;H1800&amp;"" "",
"" ""&amp;Sentiment_Words!A$2:A3730&amp;"" ""
),
1,
0
)
)
)
)"),1.0)</f>
        <v>1</v>
      </c>
      <c r="K1800" s="4">
        <f>IFERROR(__xludf.DUMMYFUNCTION("IF(H1800="""","""",
SUM(
ARRAYFORMULA(
IF(
REGEXMATCH(
"" ""&amp;H1800&amp;"" "",
"" ""&amp;Sentiment_Words!B$2:B3730&amp;"" ""
),
1,
0
)
)
)
)"),0.0)</f>
        <v>0</v>
      </c>
      <c r="L1800" s="7" t="str">
        <f t="shared" si="3"/>
        <v>Other</v>
      </c>
      <c r="M1800" s="7" t="str">
        <f t="shared" si="4"/>
        <v>Positive</v>
      </c>
      <c r="N1800" s="7" t="str">
        <f>IFERROR(__xludf.DUMMYFUNCTION("LOWER(
TRIM(
REGEXREPLACE(B1800,""[^a-zA-Z\s]"","""")
)
)
"),"denise kramer")</f>
        <v>denise kramer</v>
      </c>
      <c r="O1800" s="7">
        <f t="shared" si="5"/>
        <v>1</v>
      </c>
      <c r="P1800" s="8" t="str">
        <f t="shared" si="6"/>
        <v>No</v>
      </c>
    </row>
    <row r="1801">
      <c r="A1801" s="4" t="s">
        <v>16</v>
      </c>
      <c r="B1801" s="4" t="s">
        <v>231</v>
      </c>
      <c r="C1801" s="5">
        <v>44772.0</v>
      </c>
      <c r="D1801" s="10">
        <v>44773.0</v>
      </c>
      <c r="E1801" s="4" t="s">
        <v>518</v>
      </c>
      <c r="F1801" s="4" t="s">
        <v>5086</v>
      </c>
      <c r="G1801" s="6" t="str">
        <f>IFERROR(__xludf.DUMMYFUNCTION("REGEXREPLACE(LOWER(F1801),""[^a-z\s]"","""")"),"excellent product selection and pricing we are so happy that there is a wide variety of pet products customer service is above par")</f>
        <v>excellent product selection and pricing we are so happy that there is a wide variety of pet products customer service is above par</v>
      </c>
      <c r="H1801" s="4" t="str">
        <f t="shared" si="1"/>
        <v>excellent product selection pricing we are so happy that there a wide variety of pet products customer service above par</v>
      </c>
      <c r="I1801" s="6">
        <f t="shared" si="2"/>
        <v>20</v>
      </c>
      <c r="J1801" s="6">
        <f>IFERROR(__xludf.DUMMYFUNCTION("IF(H1801="""","""",
SUM(
ARRAYFORMULA(
IF(
REGEXMATCH(
"" ""&amp;H1801&amp;"" "",
"" ""&amp;Sentiment_Words!A$2:A3730&amp;"" ""
),
1,
0
)
)
)
)"),1.0)</f>
        <v>1</v>
      </c>
      <c r="K1801" s="4">
        <f>IFERROR(__xludf.DUMMYFUNCTION("IF(H1801="""","""",
SUM(
ARRAYFORMULA(
IF(
REGEXMATCH(
"" ""&amp;H1801&amp;"" "",
"" ""&amp;Sentiment_Words!B$2:B3730&amp;"" ""
),
1,
0
)
)
)
)"),1.0)</f>
        <v>1</v>
      </c>
      <c r="L1801" s="7" t="str">
        <f t="shared" si="3"/>
        <v>Customer Support</v>
      </c>
      <c r="M1801" s="7" t="str">
        <f t="shared" si="4"/>
        <v>Neutral</v>
      </c>
      <c r="N1801" s="7" t="str">
        <f>IFERROR(__xludf.DUMMYFUNCTION("LOWER(
TRIM(
REGEXREPLACE(B1801,""[^a-zA-Z\s]"","""")
)
)
"),"sue")</f>
        <v>sue</v>
      </c>
      <c r="O1801" s="7">
        <f t="shared" si="5"/>
        <v>3</v>
      </c>
      <c r="P1801" s="8" t="str">
        <f t="shared" si="6"/>
        <v>Yes</v>
      </c>
    </row>
    <row r="1802">
      <c r="A1802" s="4" t="s">
        <v>16</v>
      </c>
      <c r="B1802" s="4" t="s">
        <v>5087</v>
      </c>
      <c r="C1802" s="5">
        <v>44772.0</v>
      </c>
      <c r="D1802" s="10">
        <v>44772.0</v>
      </c>
      <c r="E1802" s="4" t="s">
        <v>5088</v>
      </c>
      <c r="F1802" s="4" t="s">
        <v>5089</v>
      </c>
      <c r="G1802" s="6" t="str">
        <f>IFERROR(__xludf.DUMMYFUNCTION("REGEXREPLACE(LOWER(F1802),""[^a-z\s]"","""")"),"the package arrived on time and everything inside was good")</f>
        <v>the package arrived on time and everything inside was good</v>
      </c>
      <c r="H1802" s="4" t="str">
        <f t="shared" si="1"/>
        <v>package arrived on time everything inside was good</v>
      </c>
      <c r="I1802" s="6">
        <f t="shared" si="2"/>
        <v>8</v>
      </c>
      <c r="J1802" s="6">
        <f>IFERROR(__xludf.DUMMYFUNCTION("IF(H1802="""","""",
SUM(
ARRAYFORMULA(
IF(
REGEXMATCH(
"" ""&amp;H1802&amp;"" "",
"" ""&amp;Sentiment_Words!A$2:A3730&amp;"" ""
),
1,
0
)
)
)
)"),2.0)</f>
        <v>2</v>
      </c>
      <c r="K1802" s="4">
        <f>IFERROR(__xludf.DUMMYFUNCTION("IF(H1802="""","""",
SUM(
ARRAYFORMULA(
IF(
REGEXMATCH(
"" ""&amp;H1802&amp;"" "",
"" ""&amp;Sentiment_Words!B$2:B3730&amp;"" ""
),
1,
0
)
)
)
)"),0.0)</f>
        <v>0</v>
      </c>
      <c r="L1802" s="7" t="str">
        <f t="shared" si="3"/>
        <v>Other</v>
      </c>
      <c r="M1802" s="7" t="str">
        <f t="shared" si="4"/>
        <v>Positive</v>
      </c>
      <c r="N1802" s="7" t="str">
        <f>IFERROR(__xludf.DUMMYFUNCTION("LOWER(
TRIM(
REGEXREPLACE(B1802,""[^a-zA-Z\s]"","""")
)
)
"),"john b")</f>
        <v>john b</v>
      </c>
      <c r="O1802" s="7">
        <f t="shared" si="5"/>
        <v>1</v>
      </c>
      <c r="P1802" s="8" t="str">
        <f t="shared" si="6"/>
        <v>No</v>
      </c>
    </row>
    <row r="1803">
      <c r="A1803" s="4" t="s">
        <v>16</v>
      </c>
      <c r="B1803" s="4" t="s">
        <v>5090</v>
      </c>
      <c r="C1803" s="5">
        <v>44772.0</v>
      </c>
      <c r="D1803" s="10">
        <v>44772.0</v>
      </c>
      <c r="E1803" s="4" t="s">
        <v>5091</v>
      </c>
      <c r="F1803" s="4" t="s">
        <v>5092</v>
      </c>
      <c r="G1803" s="6" t="str">
        <f>IFERROR(__xludf.DUMMYFUNCTION("REGEXREPLACE(LOWER(F1803),""[^a-z\s]"","""")"),"ordered hills wd wet cat food website said in stock i get a confirmation email and am asked to be patient as they contact my veterinarian for approval about a week later i get an email saying the food is now out of stock veterinarian was prompt in their r"&amp;"esponse so unfortunately i think that this is just poor management of stock very unfortunate")</f>
        <v>ordered hills wd wet cat food website said in stock i get a confirmation email and am asked to be patient as they contact my veterinarian for approval about a week later i get an email saying the food is now out of stock veterinarian was prompt in their response so unfortunately i think that this is just poor management of stock very unfortunate</v>
      </c>
      <c r="H1803" s="4" t="str">
        <f t="shared" si="1"/>
        <v>ordered hills wd wet cat food website said in stock i get a confirmation email am asked be patient as they contact my veterinarian approval about a week later i get an email saying food now out of stock veterinarian was prompt in their response so unfortunately i think that this just poor management of stock very unfortunate</v>
      </c>
      <c r="I1803" s="6">
        <f t="shared" si="2"/>
        <v>58</v>
      </c>
      <c r="J1803" s="6">
        <f>IFERROR(__xludf.DUMMYFUNCTION("IF(H1803="""","""",
SUM(
ARRAYFORMULA(
IF(
REGEXMATCH(
"" ""&amp;H1803&amp;"" "",
"" ""&amp;Sentiment_Words!A$2:A3730&amp;"" ""
),
1,
0
)
)
)
)"),1.0)</f>
        <v>1</v>
      </c>
      <c r="K1803" s="4">
        <f>IFERROR(__xludf.DUMMYFUNCTION("IF(H1803="""","""",
SUM(
ARRAYFORMULA(
IF(
REGEXMATCH(
"" ""&amp;H1803&amp;"" "",
"" ""&amp;Sentiment_Words!B$2:B3730&amp;"" ""
),
1,
0
)
)
)
)"),1.0)</f>
        <v>1</v>
      </c>
      <c r="L1803" s="7" t="str">
        <f t="shared" si="3"/>
        <v>Fulfillment &amp; Shipping</v>
      </c>
      <c r="M1803" s="7" t="str">
        <f t="shared" si="4"/>
        <v>Neutral</v>
      </c>
      <c r="N1803" s="7" t="str">
        <f>IFERROR(__xludf.DUMMYFUNCTION("LOWER(
TRIM(
REGEXREPLACE(B1803,""[^a-zA-Z\s]"","""")
)
)
"),"courtney fraley")</f>
        <v>courtney fraley</v>
      </c>
      <c r="O1803" s="7">
        <f t="shared" si="5"/>
        <v>1</v>
      </c>
      <c r="P1803" s="8" t="str">
        <f t="shared" si="6"/>
        <v>No</v>
      </c>
    </row>
    <row r="1804">
      <c r="A1804" s="4" t="s">
        <v>16</v>
      </c>
      <c r="B1804" s="4" t="s">
        <v>2595</v>
      </c>
      <c r="C1804" s="5">
        <v>44772.0</v>
      </c>
      <c r="D1804" s="10">
        <v>44772.0</v>
      </c>
      <c r="E1804" s="4" t="s">
        <v>5093</v>
      </c>
      <c r="F1804" s="4" t="s">
        <v>5094</v>
      </c>
      <c r="G1804" s="6" t="str">
        <f>IFERROR(__xludf.DUMMYFUNCTION("REGEXREPLACE(LOWER(F1804),""[^a-z\s]"","""")"),"nobody including my vet could get this particular rx product it was out of stock everywhere so i was thrilled to see pfs website say it was in stock i did the order arranged the rx and my vet responded to fax the next day i assumed it was all set and plan"&amp;"ned around it shipping soon waited i got notified  days after my order that pf didnt have the item and wasnt going to get it so they canceled my order i am not sure if that means the website just was wrong and pf was like every other site that didnt have "&amp;"this in stock except websiteinventory error in this case i have a backup plan for my cats new medical needs this is a new diet after hospital admission and so im not left hanging cat will be fine but the fact that i waited  days just to hear this order wa"&amp;"s never going to happen will make me avoid this service for my next rx hope this feedback is helpful to the company to potentially improve the service")</f>
        <v>nobody including my vet could get this particular rx product it was out of stock everywhere so i was thrilled to see pfs website say it was in stock i did the order arranged the rx and my vet responded to fax the next day i assumed it was all set and planned around it shipping soon waited i got notified  days after my order that pf didnt have the item and wasnt going to get it so they canceled my order i am not sure if that means the website just was wrong and pf was like every other site that didnt have this in stock except websiteinventory error in this case i have a backup plan for my cats new medical needs this is a new diet after hospital admission and so im not left hanging cat will be fine but the fact that i waited  days just to hear this order was never going to happen will make me avoid this service for my next rx hope this feedback is helpful to the company to potentially improve the service</v>
      </c>
      <c r="H1804" s="4" t="str">
        <f t="shared" si="1"/>
        <v>nobody including my vet could get this particular rx product it was out of stock everywhere so i was thrilled see pfs website say it was in stock i did order arranged rx my vet responded fax next day i assumed it was all set planned around it shipping soon waited i got notified days after my order that pf didnt have item wasnt going get it so they canceled my order i am not sure if that means website just was wrong pf was like every other site that didnt have this in stock except websiteinventory error in this case i have a backup plan my cats new medical needs this a new diet after hospital admission so im not left hanging cat will be fine but fact that i waited days just hear this order was never going happen will make me avoid this service my next rx hope this feedback helpful company potentially improve service</v>
      </c>
      <c r="I1804" s="6">
        <f t="shared" si="2"/>
        <v>158</v>
      </c>
      <c r="J1804" s="6">
        <f>IFERROR(__xludf.DUMMYFUNCTION("IF(H1804="""","""",
SUM(
ARRAYFORMULA(
IF(
REGEXMATCH(
"" ""&amp;H1804&amp;"" "",
"" ""&amp;Sentiment_Words!A$2:A3730&amp;"" ""
),
1,
0
)
)
)
)"),1.0)</f>
        <v>1</v>
      </c>
      <c r="K1804" s="4">
        <f>IFERROR(__xludf.DUMMYFUNCTION("IF(H1804="""","""",
SUM(
ARRAYFORMULA(
IF(
REGEXMATCH(
"" ""&amp;H1804&amp;"" "",
"" ""&amp;Sentiment_Words!B$2:B3730&amp;"" ""
),
1,
0
)
)
)
)"),2.0)</f>
        <v>2</v>
      </c>
      <c r="L1804" s="7" t="str">
        <f t="shared" si="3"/>
        <v>Customer Support</v>
      </c>
      <c r="M1804" s="7" t="str">
        <f t="shared" si="4"/>
        <v>Negative</v>
      </c>
      <c r="N1804" s="7" t="str">
        <f>IFERROR(__xludf.DUMMYFUNCTION("LOWER(
TRIM(
REGEXREPLACE(B1804,""[^a-zA-Z\s]"","""")
)
)
"),"susan")</f>
        <v>susan</v>
      </c>
      <c r="O1804" s="7">
        <f t="shared" si="5"/>
        <v>5</v>
      </c>
      <c r="P1804" s="8" t="str">
        <f t="shared" si="6"/>
        <v>Yes</v>
      </c>
    </row>
    <row r="1805">
      <c r="A1805" s="4" t="s">
        <v>16</v>
      </c>
      <c r="B1805" s="4" t="s">
        <v>5095</v>
      </c>
      <c r="C1805" s="5">
        <v>44772.0</v>
      </c>
      <c r="D1805" s="10">
        <v>44772.0</v>
      </c>
      <c r="E1805" s="4" t="s">
        <v>5096</v>
      </c>
      <c r="F1805" s="4" t="s">
        <v>5097</v>
      </c>
      <c r="G1805" s="6" t="str">
        <f>IFERROR(__xludf.DUMMYFUNCTION("REGEXREPLACE(LOWER(F1805),""[^a-z\s]"","""")"),"products arrive on time and are very well packaged")</f>
        <v>products arrive on time and are very well packaged</v>
      </c>
      <c r="H1805" s="4" t="str">
        <f t="shared" si="1"/>
        <v>products arrive on time are very well packaged</v>
      </c>
      <c r="I1805" s="6">
        <f t="shared" si="2"/>
        <v>8</v>
      </c>
      <c r="J1805" s="6">
        <f>IFERROR(__xludf.DUMMYFUNCTION("IF(H1805="""","""",
SUM(
ARRAYFORMULA(
IF(
REGEXMATCH(
"" ""&amp;H1805&amp;"" "",
"" ""&amp;Sentiment_Words!A$2:A3730&amp;"" ""
),
1,
0
)
)
)
)"),1.0)</f>
        <v>1</v>
      </c>
      <c r="K1805" s="4">
        <f>IFERROR(__xludf.DUMMYFUNCTION("IF(H1805="""","""",
SUM(
ARRAYFORMULA(
IF(
REGEXMATCH(
"" ""&amp;H1805&amp;"" "",
"" ""&amp;Sentiment_Words!B$2:B3730&amp;"" ""
),
1,
0
)
)
)
)"),0.0)</f>
        <v>0</v>
      </c>
      <c r="L1805" s="7" t="str">
        <f t="shared" si="3"/>
        <v>Other</v>
      </c>
      <c r="M1805" s="7" t="str">
        <f t="shared" si="4"/>
        <v>Positive</v>
      </c>
      <c r="N1805" s="7" t="str">
        <f>IFERROR(__xludf.DUMMYFUNCTION("LOWER(
TRIM(
REGEXREPLACE(B1805,""[^a-zA-Z\s]"","""")
)
)
"),"megan")</f>
        <v>megan</v>
      </c>
      <c r="O1805" s="7">
        <f t="shared" si="5"/>
        <v>2</v>
      </c>
      <c r="P1805" s="8" t="str">
        <f t="shared" si="6"/>
        <v>Yes</v>
      </c>
    </row>
    <row r="1806">
      <c r="A1806" s="4" t="s">
        <v>16</v>
      </c>
      <c r="B1806" s="4" t="s">
        <v>5098</v>
      </c>
      <c r="C1806" s="5">
        <v>44772.0</v>
      </c>
      <c r="D1806" s="10">
        <v>44772.0</v>
      </c>
      <c r="E1806" s="4" t="s">
        <v>5099</v>
      </c>
      <c r="F1806" s="4" t="s">
        <v>331</v>
      </c>
      <c r="G1806" s="6" t="str">
        <f>IFERROR(__xludf.DUMMYFUNCTION("REGEXREPLACE(LOWER(F1806),""[^a-z\s]"","""")"),"none")</f>
        <v>none</v>
      </c>
      <c r="H1806" s="4" t="str">
        <f t="shared" si="1"/>
        <v>none</v>
      </c>
      <c r="I1806" s="6">
        <f t="shared" si="2"/>
        <v>1</v>
      </c>
      <c r="J1806" s="6">
        <f>IFERROR(__xludf.DUMMYFUNCTION("IF(H1806="""","""",
SUM(
ARRAYFORMULA(
IF(
REGEXMATCH(
"" ""&amp;H1806&amp;"" "",
"" ""&amp;Sentiment_Words!A$2:A3730&amp;"" ""
),
1,
0
)
)
)
)"),0.0)</f>
        <v>0</v>
      </c>
      <c r="K1806" s="4">
        <f>IFERROR(__xludf.DUMMYFUNCTION("IF(H1806="""","""",
SUM(
ARRAYFORMULA(
IF(
REGEXMATCH(
"" ""&amp;H1806&amp;"" "",
"" ""&amp;Sentiment_Words!B$2:B3730&amp;"" ""
),
1,
0
)
)
)
)"),0.0)</f>
        <v>0</v>
      </c>
      <c r="L1806" s="7" t="str">
        <f t="shared" si="3"/>
        <v>Other</v>
      </c>
      <c r="M1806" s="7" t="str">
        <f t="shared" si="4"/>
        <v>Neutral</v>
      </c>
      <c r="N1806" s="7" t="str">
        <f>IFERROR(__xludf.DUMMYFUNCTION("LOWER(
TRIM(
REGEXREPLACE(B1806,""[^a-zA-Z\s]"","""")
)
)
"),"cap")</f>
        <v>cap</v>
      </c>
      <c r="O1806" s="7">
        <f t="shared" si="5"/>
        <v>1</v>
      </c>
      <c r="P1806" s="8" t="str">
        <f t="shared" si="6"/>
        <v>No</v>
      </c>
    </row>
    <row r="1807">
      <c r="A1807" s="4" t="s">
        <v>16</v>
      </c>
      <c r="B1807" s="4" t="s">
        <v>5100</v>
      </c>
      <c r="C1807" s="5">
        <v>44771.0</v>
      </c>
      <c r="D1807" s="10">
        <v>44771.0</v>
      </c>
      <c r="E1807" s="4" t="s">
        <v>5101</v>
      </c>
      <c r="F1807" s="4" t="s">
        <v>331</v>
      </c>
      <c r="G1807" s="6" t="str">
        <f>IFERROR(__xludf.DUMMYFUNCTION("REGEXREPLACE(LOWER(F1807),""[^a-z\s]"","""")"),"none")</f>
        <v>none</v>
      </c>
      <c r="H1807" s="4" t="str">
        <f t="shared" si="1"/>
        <v>none</v>
      </c>
      <c r="I1807" s="6">
        <f t="shared" si="2"/>
        <v>1</v>
      </c>
      <c r="J1807" s="6">
        <f>IFERROR(__xludf.DUMMYFUNCTION("IF(H1807="""","""",
SUM(
ARRAYFORMULA(
IF(
REGEXMATCH(
"" ""&amp;H1807&amp;"" "",
"" ""&amp;Sentiment_Words!A$2:A3730&amp;"" ""
),
1,
0
)
)
)
)"),0.0)</f>
        <v>0</v>
      </c>
      <c r="K1807" s="4">
        <f>IFERROR(__xludf.DUMMYFUNCTION("IF(H1807="""","""",
SUM(
ARRAYFORMULA(
IF(
REGEXMATCH(
"" ""&amp;H1807&amp;"" "",
"" ""&amp;Sentiment_Words!B$2:B3730&amp;"" ""
),
1,
0
)
)
)
)"),0.0)</f>
        <v>0</v>
      </c>
      <c r="L1807" s="7" t="str">
        <f t="shared" si="3"/>
        <v>Other</v>
      </c>
      <c r="M1807" s="7" t="str">
        <f t="shared" si="4"/>
        <v>Neutral</v>
      </c>
      <c r="N1807" s="7" t="str">
        <f>IFERROR(__xludf.DUMMYFUNCTION("LOWER(
TRIM(
REGEXREPLACE(B1807,""[^a-zA-Z\s]"","""")
)
)
"),"ellen")</f>
        <v>ellen</v>
      </c>
      <c r="O1807" s="7">
        <f t="shared" si="5"/>
        <v>1</v>
      </c>
      <c r="P1807" s="8" t="str">
        <f t="shared" si="6"/>
        <v>No</v>
      </c>
    </row>
    <row r="1808">
      <c r="A1808" s="4" t="s">
        <v>16</v>
      </c>
      <c r="B1808" s="4" t="s">
        <v>5102</v>
      </c>
      <c r="C1808" s="5">
        <v>44771.0</v>
      </c>
      <c r="D1808" s="10">
        <v>44771.0</v>
      </c>
      <c r="E1808" s="4" t="s">
        <v>1045</v>
      </c>
      <c r="F1808" s="4" t="s">
        <v>5103</v>
      </c>
      <c r="G1808" s="6" t="str">
        <f>IFERROR(__xludf.DUMMYFUNCTION("REGEXREPLACE(LOWER(F1808),""[^a-z\s]"","""")"),"my cat only wants a certain brand of talapia for breakfast each morning and since the supply chain issues we havent been able to find it from our usual source its a popular grain free brand and they havent been able to keep this brand in stock in any of t"&amp;"heir stores that also applies to other flavors of the same brand ive had no issues buying cases of the food from petflow as a matter of fact i decided to put it on auto ship because i know i can rely on getting what i need at basically the same price but "&amp;"delivered to my door thanks")</f>
        <v>my cat only wants a certain brand of talapia for breakfast each morning and since the supply chain issues we havent been able to find it from our usual source its a popular grain free brand and they havent been able to keep this brand in stock in any of their stores that also applies to other flavors of the same brand ive had no issues buying cases of the food from petflow as a matter of fact i decided to put it on auto ship because i know i can rely on getting what i need at basically the same price but delivered to my door thanks</v>
      </c>
      <c r="H1808" s="4" t="str">
        <f t="shared" si="1"/>
        <v>my cat only wants a certain brand of talapia breakfast each morning since supply chain issues we havent been able find it from our usual source its a popular grain free brand they havent been able keep this brand in stock in any of their stores that also applies other flavors of same brand ive had no issues buying cases of food from petflow as a matter of fact i decided put it on auto ship because i know i can rely on getting what i need at basically same price but delivered my door thanks</v>
      </c>
      <c r="I1808" s="6">
        <f t="shared" si="2"/>
        <v>96</v>
      </c>
      <c r="J1808" s="6">
        <f>IFERROR(__xludf.DUMMYFUNCTION("IF(H1808="""","""",
SUM(
ARRAYFORMULA(
IF(
REGEXMATCH(
"" ""&amp;H1808&amp;"" "",
"" ""&amp;Sentiment_Words!A$2:A3730&amp;"" ""
),
1,
0
)
)
)
)"),4.0)</f>
        <v>4</v>
      </c>
      <c r="K1808" s="4">
        <f>IFERROR(__xludf.DUMMYFUNCTION("IF(H1808="""","""",
SUM(
ARRAYFORMULA(
IF(
REGEXMATCH(
"" ""&amp;H1808&amp;"" "",
"" ""&amp;Sentiment_Words!B$2:B3730&amp;"" ""
),
1,
0
)
)
)
)"),0.0)</f>
        <v>0</v>
      </c>
      <c r="L1808" s="7" t="str">
        <f t="shared" si="3"/>
        <v>Other</v>
      </c>
      <c r="M1808" s="7" t="str">
        <f t="shared" si="4"/>
        <v>Positive</v>
      </c>
      <c r="N1808" s="7" t="str">
        <f>IFERROR(__xludf.DUMMYFUNCTION("LOWER(
TRIM(
REGEXREPLACE(B1808,""[^a-zA-Z\s]"","""")
)
)
"),"jailall ramlagan")</f>
        <v>jailall ramlagan</v>
      </c>
      <c r="O1808" s="7">
        <f t="shared" si="5"/>
        <v>1</v>
      </c>
      <c r="P1808" s="8" t="str">
        <f t="shared" si="6"/>
        <v>No</v>
      </c>
    </row>
    <row r="1809">
      <c r="A1809" s="4" t="s">
        <v>16</v>
      </c>
      <c r="B1809" s="4" t="s">
        <v>5104</v>
      </c>
      <c r="C1809" s="5">
        <v>44771.0</v>
      </c>
      <c r="D1809" s="10">
        <v>44771.0</v>
      </c>
      <c r="E1809" s="4" t="s">
        <v>5105</v>
      </c>
      <c r="F1809" s="4" t="s">
        <v>5106</v>
      </c>
      <c r="G1809" s="6" t="str">
        <f>IFERROR(__xludf.DUMMYFUNCTION("REGEXREPLACE(LOWER(F1809),""[^a-z\s]"","""")"),"i wish i could give a five star because i love the availability for delivery it did take a little long to receive the order but i didnt like the packaging when i opened the box i cut the bag of dog food even thought i opened it carefully just in case ther"&amp;"e should be some type of protection at least where we have to cut the box open")</f>
        <v>i wish i could give a five star because i love the availability for delivery it did take a little long to receive the order but i didnt like the packaging when i opened the box i cut the bag of dog food even thought i opened it carefully just in case there should be some type of protection at least where we have to cut the box open</v>
      </c>
      <c r="H1809" s="4" t="str">
        <f t="shared" si="1"/>
        <v>i wish i could give a five star because i love availability delivery it did take a little long receive order but i didnt like packaging when i opened box i cut bag of dog food even thought i opened it carefully just in case there should be some type of protection at least where we have cut box open</v>
      </c>
      <c r="I1809" s="6">
        <f t="shared" si="2"/>
        <v>60</v>
      </c>
      <c r="J1809" s="6">
        <f>IFERROR(__xludf.DUMMYFUNCTION("IF(H1809="""","""",
SUM(
ARRAYFORMULA(
IF(
REGEXMATCH(
"" ""&amp;H1809&amp;"" "",
"" ""&amp;Sentiment_Words!A$2:A3730&amp;"" ""
),
1,
0
)
)
)
)"),1.0)</f>
        <v>1</v>
      </c>
      <c r="K1809" s="4">
        <f>IFERROR(__xludf.DUMMYFUNCTION("IF(H1809="""","""",
SUM(
ARRAYFORMULA(
IF(
REGEXMATCH(
"" ""&amp;H1809&amp;"" "",
"" ""&amp;Sentiment_Words!B$2:B3730&amp;"" ""
),
1,
0
)
)
)
)"),0.0)</f>
        <v>0</v>
      </c>
      <c r="L1809" s="7" t="str">
        <f t="shared" si="3"/>
        <v>Other</v>
      </c>
      <c r="M1809" s="7" t="str">
        <f t="shared" si="4"/>
        <v>Positive</v>
      </c>
      <c r="N1809" s="7" t="str">
        <f>IFERROR(__xludf.DUMMYFUNCTION("LOWER(
TRIM(
REGEXREPLACE(B1809,""[^a-zA-Z\s]"","""")
)
)
"),"deborah")</f>
        <v>deborah</v>
      </c>
      <c r="O1809" s="7">
        <f t="shared" si="5"/>
        <v>4</v>
      </c>
      <c r="P1809" s="8" t="str">
        <f t="shared" si="6"/>
        <v>Yes</v>
      </c>
    </row>
    <row r="1810">
      <c r="A1810" s="4" t="s">
        <v>16</v>
      </c>
      <c r="B1810" s="4" t="s">
        <v>5107</v>
      </c>
      <c r="C1810" s="5">
        <v>44771.0</v>
      </c>
      <c r="D1810" s="10">
        <v>44771.0</v>
      </c>
      <c r="E1810" s="4" t="s">
        <v>5108</v>
      </c>
      <c r="F1810" s="4" t="s">
        <v>5109</v>
      </c>
      <c r="G1810" s="6" t="str">
        <f>IFERROR(__xludf.DUMMYFUNCTION("REGEXREPLACE(LOWER(F1810),""[^a-z\s]"","""")"),"cats like food that was ordered yet again the box was partially open when delivered some cans dented what goes")</f>
        <v>cats like food that was ordered yet again the box was partially open when delivered some cans dented what goes</v>
      </c>
      <c r="H1810" s="4" t="str">
        <f t="shared" si="1"/>
        <v>cats like food that was ordered yet again box was partially open when delivered some cans dented what goes</v>
      </c>
      <c r="I1810" s="6">
        <f t="shared" si="2"/>
        <v>19</v>
      </c>
      <c r="J1810" s="6">
        <f>IFERROR(__xludf.DUMMYFUNCTION("IF(H1810="""","""",
SUM(
ARRAYFORMULA(
IF(
REGEXMATCH(
"" ""&amp;H1810&amp;"" "",
"" ""&amp;Sentiment_Words!A$2:A3730&amp;"" ""
),
1,
0
)
)
)
)"),1.0)</f>
        <v>1</v>
      </c>
      <c r="K1810" s="4">
        <f>IFERROR(__xludf.DUMMYFUNCTION("IF(H1810="""","""",
SUM(
ARRAYFORMULA(
IF(
REGEXMATCH(
"" ""&amp;H1810&amp;"" "",
"" ""&amp;Sentiment_Words!B$2:B3730&amp;"" ""
),
1,
0
)
)
)
)"),0.0)</f>
        <v>0</v>
      </c>
      <c r="L1810" s="7" t="str">
        <f t="shared" si="3"/>
        <v>Other</v>
      </c>
      <c r="M1810" s="7" t="str">
        <f t="shared" si="4"/>
        <v>Positive</v>
      </c>
      <c r="N1810" s="7" t="str">
        <f>IFERROR(__xludf.DUMMYFUNCTION("LOWER(
TRIM(
REGEXREPLACE(B1810,""[^a-zA-Z\s]"","""")
)
)
"),"lyanne lopez")</f>
        <v>lyanne lopez</v>
      </c>
      <c r="O1810" s="7">
        <f t="shared" si="5"/>
        <v>1</v>
      </c>
      <c r="P1810" s="8" t="str">
        <f t="shared" si="6"/>
        <v>No</v>
      </c>
    </row>
    <row r="1811">
      <c r="A1811" s="4" t="s">
        <v>16</v>
      </c>
      <c r="B1811" s="4" t="s">
        <v>5110</v>
      </c>
      <c r="C1811" s="5">
        <v>44771.0</v>
      </c>
      <c r="D1811" s="10">
        <v>44771.0</v>
      </c>
      <c r="E1811" s="4" t="s">
        <v>5111</v>
      </c>
      <c r="F1811" s="4" t="s">
        <v>5112</v>
      </c>
      <c r="G1811" s="6" t="str">
        <f>IFERROR(__xludf.DUMMYFUNCTION("REGEXREPLACE(LOWER(F1811),""[^a-z\s]"","""")"),"easy to use website products desired always in stock so far")</f>
        <v>easy to use website products desired always in stock so far</v>
      </c>
      <c r="H1811" s="4" t="str">
        <f t="shared" si="1"/>
        <v>easy use website products desired always in stock so far</v>
      </c>
      <c r="I1811" s="6">
        <f t="shared" si="2"/>
        <v>10</v>
      </c>
      <c r="J1811" s="6">
        <f>IFERROR(__xludf.DUMMYFUNCTION("IF(H1811="""","""",
SUM(
ARRAYFORMULA(
IF(
REGEXMATCH(
"" ""&amp;H1811&amp;"" "",
"" ""&amp;Sentiment_Words!A$2:A3730&amp;"" ""
),
1,
0
)
)
)
)"),1.0)</f>
        <v>1</v>
      </c>
      <c r="K1811" s="4">
        <f>IFERROR(__xludf.DUMMYFUNCTION("IF(H1811="""","""",
SUM(
ARRAYFORMULA(
IF(
REGEXMATCH(
"" ""&amp;H1811&amp;"" "",
"" ""&amp;Sentiment_Words!B$2:B3730&amp;"" ""
),
1,
0
)
)
)
)"),0.0)</f>
        <v>0</v>
      </c>
      <c r="L1811" s="7" t="str">
        <f t="shared" si="3"/>
        <v>Account &amp; Website</v>
      </c>
      <c r="M1811" s="7" t="str">
        <f t="shared" si="4"/>
        <v>Positive</v>
      </c>
      <c r="N1811" s="7" t="str">
        <f>IFERROR(__xludf.DUMMYFUNCTION("LOWER(
TRIM(
REGEXREPLACE(B1811,""[^a-zA-Z\s]"","""")
)
)
"),"ruth rothman")</f>
        <v>ruth rothman</v>
      </c>
      <c r="O1811" s="7">
        <f t="shared" si="5"/>
        <v>1</v>
      </c>
      <c r="P1811" s="8" t="str">
        <f t="shared" si="6"/>
        <v>No</v>
      </c>
    </row>
    <row r="1812">
      <c r="A1812" s="4" t="s">
        <v>16</v>
      </c>
      <c r="B1812" s="4" t="s">
        <v>5113</v>
      </c>
      <c r="C1812" s="5">
        <v>44770.0</v>
      </c>
      <c r="D1812" s="10">
        <v>44771.0</v>
      </c>
      <c r="E1812" s="4" t="s">
        <v>2581</v>
      </c>
      <c r="F1812" s="4" t="s">
        <v>5114</v>
      </c>
      <c r="G1812" s="6" t="str">
        <f>IFERROR(__xludf.DUMMYFUNCTION("REGEXREPLACE(LOWER(F1812),""[^a-z\s]"","""")"),"when i ordered wd canned cat food i know it has to be approved by my vet and that it takes a little longer because it is prescription it was in stock when i ordered it and i thought with my request once it was approved i would get a case believing a case "&amp;"was held for my order i made  or  phones call to petflow regarding status and after receiving an email to have my vet approve their request i call to let them know my vet would be approving shortly the person said they would let the pharmacy know but he n"&amp;"ever asked me for the order number my name or any of my order information the last call i made petflow said it would ship that day or by monday the next day i saw the order was rejected and i called again apparently it became out of stock right before my "&amp;"vet approved the prescription")</f>
        <v>when i ordered wd canned cat food i know it has to be approved by my vet and that it takes a little longer because it is prescription it was in stock when i ordered it and i thought with my request once it was approved i would get a case believing a case was held for my order i made  or  phones call to petflow regarding status and after receiving an email to have my vet approve their request i call to let them know my vet would be approving shortly the person said they would let the pharmacy know but he never asked me for the order number my name or any of my order information the last call i made petflow said it would ship that day or by monday the next day i saw the order was rejected and i called again apparently it became out of stock right before my vet approved the prescription</v>
      </c>
      <c r="H1812" s="4" t="str">
        <f t="shared" si="1"/>
        <v>when i ordered wd canned cat food i know it has be approved by my vet that it takes a little longer because it prescription it was in stock when i ordered it i thought with my request once it was approved i would get a case believing a case was held my order i made or phones call petflow regarding status after receiving an email have my vet approve their request i call let them know my vet would be approving shortly person said they would let pharmacy know but he never asked me order number my name or any of my order information last call i made petflow said it would ship that day or by monday next day i saw order was rejected i called again apparently it became out of stock right before my vet approved prescription</v>
      </c>
      <c r="I1812" s="6">
        <f t="shared" si="2"/>
        <v>141</v>
      </c>
      <c r="J1812" s="6">
        <f>IFERROR(__xludf.DUMMYFUNCTION("IF(H1812="""","""",
SUM(
ARRAYFORMULA(
IF(
REGEXMATCH(
"" ""&amp;H1812&amp;"" "",
"" ""&amp;Sentiment_Words!A$2:A3730&amp;"" ""
),
1,
0
)
)
)
)"),0.0)</f>
        <v>0</v>
      </c>
      <c r="K1812" s="4">
        <f>IFERROR(__xludf.DUMMYFUNCTION("IF(H1812="""","""",
SUM(
ARRAYFORMULA(
IF(
REGEXMATCH(
"" ""&amp;H1812&amp;"" "",
"" ""&amp;Sentiment_Words!B$2:B3730&amp;"" ""
),
1,
0
)
)
)
)"),1.0)</f>
        <v>1</v>
      </c>
      <c r="L1812" s="7" t="str">
        <f t="shared" si="3"/>
        <v>Availability</v>
      </c>
      <c r="M1812" s="7" t="str">
        <f t="shared" si="4"/>
        <v>Negative</v>
      </c>
      <c r="N1812" s="7" t="str">
        <f>IFERROR(__xludf.DUMMYFUNCTION("LOWER(
TRIM(
REGEXREPLACE(B1812,""[^a-zA-Z\s]"","""")
)
)
"),"richard")</f>
        <v>richard</v>
      </c>
      <c r="O1812" s="7">
        <f t="shared" si="5"/>
        <v>3</v>
      </c>
      <c r="P1812" s="8" t="str">
        <f t="shared" si="6"/>
        <v>Yes</v>
      </c>
    </row>
    <row r="1813">
      <c r="A1813" s="4" t="s">
        <v>16</v>
      </c>
      <c r="B1813" s="4" t="s">
        <v>5115</v>
      </c>
      <c r="C1813" s="5">
        <v>44770.0</v>
      </c>
      <c r="D1813" s="10">
        <v>44770.0</v>
      </c>
      <c r="E1813" s="4" t="s">
        <v>5116</v>
      </c>
      <c r="F1813" s="4" t="s">
        <v>5117</v>
      </c>
      <c r="G1813" s="6" t="str">
        <f>IFERROR(__xludf.DUMMYFUNCTION("REGEXREPLACE(LOWER(F1813),""[^a-z\s]"","""")"),"was out of the dogfood that i wanted but i guess that was not their fault they cancelled the order automatically instead of giving me the option for back order or to cancel it myself")</f>
        <v>was out of the dogfood that i wanted but i guess that was not their fault they cancelled the order automatically instead of giving me the option for back order or to cancel it myself</v>
      </c>
      <c r="H1813" s="4" t="str">
        <f t="shared" si="1"/>
        <v>was out of dogfood that i wanted but i guess that was not their fault they cancelled order automatically instead of giving me option back order or cancel it myself</v>
      </c>
      <c r="I1813" s="6">
        <f t="shared" si="2"/>
        <v>30</v>
      </c>
      <c r="J1813" s="6">
        <f>IFERROR(__xludf.DUMMYFUNCTION("IF(H1813="""","""",
SUM(
ARRAYFORMULA(
IF(
REGEXMATCH(
"" ""&amp;H1813&amp;"" "",
"" ""&amp;Sentiment_Words!A$2:A3730&amp;"" ""
),
1,
0
)
)
)
)"),0.0)</f>
        <v>0</v>
      </c>
      <c r="K1813" s="4">
        <f>IFERROR(__xludf.DUMMYFUNCTION("IF(H1813="""","""",
SUM(
ARRAYFORMULA(
IF(
REGEXMATCH(
"" ""&amp;H1813&amp;"" "",
"" ""&amp;Sentiment_Words!B$2:B3730&amp;"" ""
),
1,
0
)
)
)
)"),1.0)</f>
        <v>1</v>
      </c>
      <c r="L1813" s="7" t="str">
        <f t="shared" si="3"/>
        <v>Other</v>
      </c>
      <c r="M1813" s="7" t="str">
        <f t="shared" si="4"/>
        <v>Negative</v>
      </c>
      <c r="N1813" s="7" t="str">
        <f>IFERROR(__xludf.DUMMYFUNCTION("LOWER(
TRIM(
REGEXREPLACE(B1813,""[^a-zA-Z\s]"","""")
)
)
"),"ccole")</f>
        <v>ccole</v>
      </c>
      <c r="O1813" s="7">
        <f t="shared" si="5"/>
        <v>1</v>
      </c>
      <c r="P1813" s="8" t="str">
        <f t="shared" si="6"/>
        <v>No</v>
      </c>
    </row>
    <row r="1814">
      <c r="A1814" s="4" t="s">
        <v>16</v>
      </c>
      <c r="B1814" s="4" t="s">
        <v>5118</v>
      </c>
      <c r="C1814" s="5">
        <v>44770.0</v>
      </c>
      <c r="D1814" s="10">
        <v>44770.0</v>
      </c>
      <c r="E1814" s="4" t="s">
        <v>5119</v>
      </c>
      <c r="F1814" s="4" t="s">
        <v>5120</v>
      </c>
      <c r="G1814" s="6" t="str">
        <f>IFERROR(__xludf.DUMMYFUNCTION("REGEXREPLACE(LOWER(F1814),""[^a-z\s]"","""")"),"petflow is fast and accurate at shipping out my order but the packing leaves something to be desired i order two cases of canned dog food with each order and the box usually shows up damaged andor repaired but the cans are ok this time three of the  cans "&amp;"where bent with one actually crushed i realized the order is heavy and challenging to pack but it could be done better than it has been")</f>
        <v>petflow is fast and accurate at shipping out my order but the packing leaves something to be desired i order two cases of canned dog food with each order and the box usually shows up damaged andor repaired but the cans are ok this time three of the  cans where bent with one actually crushed i realized the order is heavy and challenging to pack but it could be done better than it has been</v>
      </c>
      <c r="H1814" s="4" t="str">
        <f t="shared" si="1"/>
        <v>petflow fast accurate at shipping out my order but packing leaves something be desired i order two cases of canned dog food with each order box usually shows up damaged andor repaired but cans are ok this time three of cans where bent with one actually crushed i realized order heavy challenging pack but it could be done better than it has been</v>
      </c>
      <c r="I1814" s="6">
        <f t="shared" si="2"/>
        <v>63</v>
      </c>
      <c r="J1814" s="6">
        <f>IFERROR(__xludf.DUMMYFUNCTION("IF(H1814="""","""",
SUM(
ARRAYFORMULA(
IF(
REGEXMATCH(
"" ""&amp;H1814&amp;"" "",
"" ""&amp;Sentiment_Words!A$2:A3730&amp;"" ""
),
1,
0
)
)
)
)"),1.0)</f>
        <v>1</v>
      </c>
      <c r="K1814" s="4">
        <f>IFERROR(__xludf.DUMMYFUNCTION("IF(H1814="""","""",
SUM(
ARRAYFORMULA(
IF(
REGEXMATCH(
"" ""&amp;H1814&amp;"" "",
"" ""&amp;Sentiment_Words!B$2:B3730&amp;"" ""
),
1,
0
)
)
)
)"),0.0)</f>
        <v>0</v>
      </c>
      <c r="L1814" s="7" t="str">
        <f t="shared" si="3"/>
        <v>Other</v>
      </c>
      <c r="M1814" s="7" t="str">
        <f t="shared" si="4"/>
        <v>Positive</v>
      </c>
      <c r="N1814" s="7" t="str">
        <f>IFERROR(__xludf.DUMMYFUNCTION("LOWER(
TRIM(
REGEXREPLACE(B1814,""[^a-zA-Z\s]"","""")
)
)
"),"kathy huber")</f>
        <v>kathy huber</v>
      </c>
      <c r="O1814" s="7">
        <f t="shared" si="5"/>
        <v>1</v>
      </c>
      <c r="P1814" s="8" t="str">
        <f t="shared" si="6"/>
        <v>No</v>
      </c>
    </row>
    <row r="1815">
      <c r="A1815" s="4" t="s">
        <v>16</v>
      </c>
      <c r="B1815" s="4" t="s">
        <v>5121</v>
      </c>
      <c r="C1815" s="5">
        <v>44770.0</v>
      </c>
      <c r="D1815" s="10">
        <v>44770.0</v>
      </c>
      <c r="E1815" s="4" t="s">
        <v>5122</v>
      </c>
      <c r="F1815" s="4" t="s">
        <v>5123</v>
      </c>
      <c r="G1815" s="6" t="str">
        <f>IFERROR(__xludf.DUMMYFUNCTION("REGEXREPLACE(LOWER(F1815),""[^a-z\s]"","""")"),"everything was great
everything was great until the shipping i dont know what happened but it took too long this time and i had to go locally and buy the same things that almost cost me double i cant have my cat who has kidney issues eat anything else bu"&amp;"t this brand of canned food maybe next time it will be better")</f>
        <v>everything was great
everything was great until the shipping i dont know what happened but it took too long this time and i had to go locally and buy the same things that almost cost me double i cant have my cat who has kidney issues eat anything else but this brand of canned food maybe next time it will be better</v>
      </c>
      <c r="H1815" s="4" t="str">
        <f t="shared" si="1"/>
        <v>everything was great
everything was great until shipping i dont know what happened but it took too long this time i had go locally buy same things that almost cost me double i cant have my cat who has kidney issues eat anything else but this brand of canned food maybe next time it will be better</v>
      </c>
      <c r="I1815" s="6">
        <f t="shared" si="2"/>
        <v>56</v>
      </c>
      <c r="J1815" s="6">
        <f>IFERROR(__xludf.DUMMYFUNCTION("IF(H1815="""","""",
SUM(
ARRAYFORMULA(
IF(
REGEXMATCH(
"" ""&amp;H1815&amp;"" "",
"" ""&amp;Sentiment_Words!A$2:A3730&amp;"" ""
),
1,
0
)
)
)
)"),1.0)</f>
        <v>1</v>
      </c>
      <c r="K1815" s="4">
        <f>IFERROR(__xludf.DUMMYFUNCTION("IF(H1815="""","""",
SUM(
ARRAYFORMULA(
IF(
REGEXMATCH(
"" ""&amp;H1815&amp;"" "",
"" ""&amp;Sentiment_Words!B$2:B3730&amp;"" ""
),
1,
0
)
)
)
)"),0.0)</f>
        <v>0</v>
      </c>
      <c r="L1815" s="7" t="str">
        <f t="shared" si="3"/>
        <v>Other</v>
      </c>
      <c r="M1815" s="7" t="str">
        <f t="shared" si="4"/>
        <v>Positive</v>
      </c>
      <c r="N1815" s="7" t="str">
        <f>IFERROR(__xludf.DUMMYFUNCTION("LOWER(
TRIM(
REGEXREPLACE(B1815,""[^a-zA-Z\s]"","""")
)
)
"),"barb s")</f>
        <v>barb s</v>
      </c>
      <c r="O1815" s="7">
        <f t="shared" si="5"/>
        <v>1</v>
      </c>
      <c r="P1815" s="8" t="str">
        <f t="shared" si="6"/>
        <v>No</v>
      </c>
    </row>
    <row r="1816">
      <c r="A1816" s="4" t="s">
        <v>16</v>
      </c>
      <c r="B1816" s="4" t="s">
        <v>5124</v>
      </c>
      <c r="C1816" s="5">
        <v>44770.0</v>
      </c>
      <c r="D1816" s="10">
        <v>44770.0</v>
      </c>
      <c r="E1816" s="4" t="s">
        <v>5125</v>
      </c>
      <c r="F1816" s="4" t="s">
        <v>5126</v>
      </c>
      <c r="G1816" s="6" t="str">
        <f>IFERROR(__xludf.DUMMYFUNCTION("REGEXREPLACE(LOWER(F1816),""[^a-z\s]"","""")"),"petflow always processes orders quickly and accurately shipment is excellent")</f>
        <v>petflow always processes orders quickly and accurately shipment is excellent</v>
      </c>
      <c r="H1816" s="4" t="str">
        <f t="shared" si="1"/>
        <v>petflow always processes orders quickly accurately shipment excellent</v>
      </c>
      <c r="I1816" s="6">
        <f t="shared" si="2"/>
        <v>8</v>
      </c>
      <c r="J1816" s="6">
        <f>IFERROR(__xludf.DUMMYFUNCTION("IF(H1816="""","""",
SUM(
ARRAYFORMULA(
IF(
REGEXMATCH(
"" ""&amp;H1816&amp;"" "",
"" ""&amp;Sentiment_Words!A$2:A3730&amp;"" ""
),
1,
0
)
)
)
)"),0.0)</f>
        <v>0</v>
      </c>
      <c r="K1816" s="4">
        <f>IFERROR(__xludf.DUMMYFUNCTION("IF(H1816="""","""",
SUM(
ARRAYFORMULA(
IF(
REGEXMATCH(
"" ""&amp;H1816&amp;"" "",
"" ""&amp;Sentiment_Words!B$2:B3730&amp;"" ""
),
1,
0
)
)
)
)"),0.0)</f>
        <v>0</v>
      </c>
      <c r="L1816" s="7" t="str">
        <f t="shared" si="3"/>
        <v>Other</v>
      </c>
      <c r="M1816" s="7" t="str">
        <f t="shared" si="4"/>
        <v>Neutral</v>
      </c>
      <c r="N1816" s="7" t="str">
        <f>IFERROR(__xludf.DUMMYFUNCTION("LOWER(
TRIM(
REGEXREPLACE(B1816,""[^a-zA-Z\s]"","""")
)
)
"),"zoofmly")</f>
        <v>zoofmly</v>
      </c>
      <c r="O1816" s="7">
        <f t="shared" si="5"/>
        <v>1</v>
      </c>
      <c r="P1816" s="8" t="str">
        <f t="shared" si="6"/>
        <v>No</v>
      </c>
    </row>
    <row r="1817">
      <c r="A1817" s="4" t="s">
        <v>16</v>
      </c>
      <c r="B1817" s="4" t="s">
        <v>5127</v>
      </c>
      <c r="C1817" s="5">
        <v>44770.0</v>
      </c>
      <c r="D1817" s="10">
        <v>44770.0</v>
      </c>
      <c r="E1817" s="4" t="s">
        <v>5128</v>
      </c>
      <c r="F1817" s="4" t="s">
        <v>5129</v>
      </c>
      <c r="G1817" s="6" t="str">
        <f>IFERROR(__xludf.DUMMYFUNCTION("REGEXREPLACE(LOWER(F1817),""[^a-z\s]"","""")"),"extremely poor packaging with using cheap boxes and very little tape that results in receiving damaged products even walmart and amazon use better boxes and more tape for sealing")</f>
        <v>extremely poor packaging with using cheap boxes and very little tape that results in receiving damaged products even walmart and amazon use better boxes and more tape for sealing</v>
      </c>
      <c r="H1817" s="4" t="str">
        <f t="shared" si="1"/>
        <v>extremely poor packaging with using cheap boxes very little tape that results in receiving damaged products even walmart amazon use better boxes more tape sealing</v>
      </c>
      <c r="I1817" s="6">
        <f t="shared" si="2"/>
        <v>25</v>
      </c>
      <c r="J1817" s="6">
        <f>IFERROR(__xludf.DUMMYFUNCTION("IF(H1817="""","""",
SUM(
ARRAYFORMULA(
IF(
REGEXMATCH(
"" ""&amp;H1817&amp;"" "",
"" ""&amp;Sentiment_Words!A$2:A3730&amp;"" ""
),
1,
0
)
)
)
)"),0.0)</f>
        <v>0</v>
      </c>
      <c r="K1817" s="4">
        <f>IFERROR(__xludf.DUMMYFUNCTION("IF(H1817="""","""",
SUM(
ARRAYFORMULA(
IF(
REGEXMATCH(
"" ""&amp;H1817&amp;"" "",
"" ""&amp;Sentiment_Words!B$2:B3730&amp;"" ""
),
1,
0
)
)
)
)"),0.0)</f>
        <v>0</v>
      </c>
      <c r="L1817" s="7" t="str">
        <f t="shared" si="3"/>
        <v>Other</v>
      </c>
      <c r="M1817" s="7" t="str">
        <f t="shared" si="4"/>
        <v>Neutral</v>
      </c>
      <c r="N1817" s="7" t="str">
        <f>IFERROR(__xludf.DUMMYFUNCTION("LOWER(
TRIM(
REGEXREPLACE(B1817,""[^a-zA-Z\s]"","""")
)
)
"),"john down")</f>
        <v>john down</v>
      </c>
      <c r="O1817" s="7">
        <f t="shared" si="5"/>
        <v>1</v>
      </c>
      <c r="P1817" s="8" t="str">
        <f t="shared" si="6"/>
        <v>No</v>
      </c>
    </row>
    <row r="1818">
      <c r="A1818" s="4" t="s">
        <v>16</v>
      </c>
      <c r="B1818" s="4" t="s">
        <v>5130</v>
      </c>
      <c r="C1818" s="5">
        <v>44770.0</v>
      </c>
      <c r="D1818" s="10">
        <v>44770.0</v>
      </c>
      <c r="E1818" s="4" t="s">
        <v>5131</v>
      </c>
      <c r="F1818" s="4" t="s">
        <v>5132</v>
      </c>
      <c r="G1818" s="6" t="str">
        <f>IFERROR(__xludf.DUMMYFUNCTION("REGEXREPLACE(LOWER(F1818),""[^a-z\s]"","""")"),"i ordered something out of stock so it was the case they said they would let me know when it came back in the customer service was very fine")</f>
        <v>i ordered something out of stock so it was the case they said they would let me know when it came back in the customer service was very fine</v>
      </c>
      <c r="H1818" s="4" t="str">
        <f t="shared" si="1"/>
        <v>i ordered something out of stock so it was case they said they would let me know when it came back in customer service was very fine</v>
      </c>
      <c r="I1818" s="6">
        <f t="shared" si="2"/>
        <v>27</v>
      </c>
      <c r="J1818" s="6">
        <f>IFERROR(__xludf.DUMMYFUNCTION("IF(H1818="""","""",
SUM(
ARRAYFORMULA(
IF(
REGEXMATCH(
"" ""&amp;H1818&amp;"" "",
"" ""&amp;Sentiment_Words!A$2:A3730&amp;"" ""
),
1,
0
)
)
)
)"),0.0)</f>
        <v>0</v>
      </c>
      <c r="K1818" s="4">
        <f>IFERROR(__xludf.DUMMYFUNCTION("IF(H1818="""","""",
SUM(
ARRAYFORMULA(
IF(
REGEXMATCH(
"" ""&amp;H1818&amp;"" "",
"" ""&amp;Sentiment_Words!B$2:B3730&amp;"" ""
),
1,
0
)
)
)
)"),2.0)</f>
        <v>2</v>
      </c>
      <c r="L1818" s="7" t="str">
        <f t="shared" si="3"/>
        <v>Customer Support</v>
      </c>
      <c r="M1818" s="7" t="str">
        <f t="shared" si="4"/>
        <v>Negative</v>
      </c>
      <c r="N1818" s="7" t="str">
        <f>IFERROR(__xludf.DUMMYFUNCTION("LOWER(
TRIM(
REGEXREPLACE(B1818,""[^a-zA-Z\s]"","""")
)
)
"),"mark eliasoff")</f>
        <v>mark eliasoff</v>
      </c>
      <c r="O1818" s="7">
        <f t="shared" si="5"/>
        <v>1</v>
      </c>
      <c r="P1818" s="8" t="str">
        <f t="shared" si="6"/>
        <v>No</v>
      </c>
    </row>
    <row r="1819">
      <c r="A1819" s="4" t="s">
        <v>16</v>
      </c>
      <c r="B1819" s="4" t="s">
        <v>5133</v>
      </c>
      <c r="C1819" s="5">
        <v>44770.0</v>
      </c>
      <c r="D1819" s="10">
        <v>44770.0</v>
      </c>
      <c r="E1819" s="4" t="s">
        <v>5134</v>
      </c>
      <c r="F1819" s="4" t="s">
        <v>5135</v>
      </c>
      <c r="G1819" s="6" t="str">
        <f>IFERROR(__xludf.DUMMYFUNCTION("REGEXREPLACE(LOWER(F1819),""[^a-z\s]"","""")"),"the profit racks is something like speed bumps to hold me back from completing my purchase i dont like it")</f>
        <v>the profit racks is something like speed bumps to hold me back from completing my purchase i dont like it</v>
      </c>
      <c r="H1819" s="4" t="str">
        <f t="shared" si="1"/>
        <v>profit racks something like speed bumps hold me back from completing my purchase i dont like it</v>
      </c>
      <c r="I1819" s="6">
        <f t="shared" si="2"/>
        <v>17</v>
      </c>
      <c r="J1819" s="6">
        <f>IFERROR(__xludf.DUMMYFUNCTION("IF(H1819="""","""",
SUM(
ARRAYFORMULA(
IF(
REGEXMATCH(
"" ""&amp;H1819&amp;"" "",
"" ""&amp;Sentiment_Words!A$2:A3730&amp;"" ""
),
1,
0
)
)
)
)"),0.0)</f>
        <v>0</v>
      </c>
      <c r="K1819" s="4">
        <f>IFERROR(__xludf.DUMMYFUNCTION("IF(H1819="""","""",
SUM(
ARRAYFORMULA(
IF(
REGEXMATCH(
"" ""&amp;H1819&amp;"" "",
"" ""&amp;Sentiment_Words!B$2:B3730&amp;"" ""
),
1,
0
)
)
)
)"),0.0)</f>
        <v>0</v>
      </c>
      <c r="L1819" s="7" t="str">
        <f t="shared" si="3"/>
        <v>Other</v>
      </c>
      <c r="M1819" s="7" t="str">
        <f t="shared" si="4"/>
        <v>Neutral</v>
      </c>
      <c r="N1819" s="7" t="str">
        <f>IFERROR(__xludf.DUMMYFUNCTION("LOWER(
TRIM(
REGEXREPLACE(B1819,""[^a-zA-Z\s]"","""")
)
)
"),"audrey epstein")</f>
        <v>audrey epstein</v>
      </c>
      <c r="O1819" s="7">
        <f t="shared" si="5"/>
        <v>1</v>
      </c>
      <c r="P1819" s="8" t="str">
        <f t="shared" si="6"/>
        <v>No</v>
      </c>
    </row>
    <row r="1820">
      <c r="A1820" s="4" t="s">
        <v>16</v>
      </c>
      <c r="B1820" s="4" t="s">
        <v>5136</v>
      </c>
      <c r="C1820" s="5">
        <v>44769.0</v>
      </c>
      <c r="D1820" s="10">
        <v>44770.0</v>
      </c>
      <c r="E1820" s="4" t="s">
        <v>5137</v>
      </c>
      <c r="F1820" s="4" t="s">
        <v>5138</v>
      </c>
      <c r="G1820" s="6" t="str">
        <f>IFERROR(__xludf.DUMMYFUNCTION("REGEXREPLACE(LOWER(F1820),""[^a-z\s]"","""")"),"always have available merchandise the staff is very helpful and friendly")</f>
        <v>always have available merchandise the staff is very helpful and friendly</v>
      </c>
      <c r="H1820" s="4" t="str">
        <f t="shared" si="1"/>
        <v>always have available merchandise staff very helpful friendly</v>
      </c>
      <c r="I1820" s="6">
        <f t="shared" si="2"/>
        <v>8</v>
      </c>
      <c r="J1820" s="6">
        <f>IFERROR(__xludf.DUMMYFUNCTION("IF(H1820="""","""",
SUM(
ARRAYFORMULA(
IF(
REGEXMATCH(
"" ""&amp;H1820&amp;"" "",
"" ""&amp;Sentiment_Words!A$2:A3730&amp;"" ""
),
1,
0
)
)
)
)"),2.0)</f>
        <v>2</v>
      </c>
      <c r="K1820" s="4">
        <f>IFERROR(__xludf.DUMMYFUNCTION("IF(H1820="""","""",
SUM(
ARRAYFORMULA(
IF(
REGEXMATCH(
"" ""&amp;H1820&amp;"" "",
"" ""&amp;Sentiment_Words!B$2:B3730&amp;"" ""
),
1,
0
)
)
)
)"),0.0)</f>
        <v>0</v>
      </c>
      <c r="L1820" s="7" t="str">
        <f t="shared" si="3"/>
        <v>Other</v>
      </c>
      <c r="M1820" s="7" t="str">
        <f t="shared" si="4"/>
        <v>Positive</v>
      </c>
      <c r="N1820" s="7" t="str">
        <f>IFERROR(__xludf.DUMMYFUNCTION("LOWER(
TRIM(
REGEXREPLACE(B1820,""[^a-zA-Z\s]"","""")
)
)
"),"robert ewing")</f>
        <v>robert ewing</v>
      </c>
      <c r="O1820" s="7">
        <f t="shared" si="5"/>
        <v>1</v>
      </c>
      <c r="P1820" s="8" t="str">
        <f t="shared" si="6"/>
        <v>No</v>
      </c>
    </row>
    <row r="1821">
      <c r="A1821" s="4" t="s">
        <v>16</v>
      </c>
      <c r="B1821" s="4" t="s">
        <v>5139</v>
      </c>
      <c r="C1821" s="5">
        <v>44769.0</v>
      </c>
      <c r="D1821" s="10">
        <v>44770.0</v>
      </c>
      <c r="E1821" s="4" t="s">
        <v>5140</v>
      </c>
      <c r="F1821" s="4" t="s">
        <v>5141</v>
      </c>
      <c r="G1821" s="6" t="str">
        <f>IFERROR(__xludf.DUMMYFUNCTION("REGEXREPLACE(LOWER(F1821),""[^a-z\s]"","""")"),"petflow has always been great and prompt customer service always friendly the only thing i wish for one day is for fromm products dog to go on sale once in a while  ")</f>
        <v>petflow has always been great and prompt customer service always friendly the only thing i wish for one day is for fromm products dog to go on sale once in a while  </v>
      </c>
      <c r="H1821" s="4" t="str">
        <f t="shared" si="1"/>
        <v>petflow has always been great prompt customer service always friendly only thing i wish one day fromm products dog go on sale once in a while</v>
      </c>
      <c r="I1821" s="6">
        <f t="shared" si="2"/>
        <v>26</v>
      </c>
      <c r="J1821" s="6">
        <f>IFERROR(__xludf.DUMMYFUNCTION("IF(H1821="""","""",
SUM(
ARRAYFORMULA(
IF(
REGEXMATCH(
"" ""&amp;H1821&amp;"" "",
"" ""&amp;Sentiment_Words!A$2:A3730&amp;"" ""
),
1,
0
)
)
)
)"),2.0)</f>
        <v>2</v>
      </c>
      <c r="K1821" s="4">
        <f>IFERROR(__xludf.DUMMYFUNCTION("IF(H1821="""","""",
SUM(
ARRAYFORMULA(
IF(
REGEXMATCH(
"" ""&amp;H1821&amp;"" "",
"" ""&amp;Sentiment_Words!B$2:B3730&amp;"" ""
),
1,
0
)
)
)
)"),1.0)</f>
        <v>1</v>
      </c>
      <c r="L1821" s="7" t="str">
        <f t="shared" si="3"/>
        <v>Customer Support</v>
      </c>
      <c r="M1821" s="7" t="str">
        <f t="shared" si="4"/>
        <v>Positive</v>
      </c>
      <c r="N1821" s="7" t="str">
        <f>IFERROR(__xludf.DUMMYFUNCTION("LOWER(
TRIM(
REGEXREPLACE(B1821,""[^a-zA-Z\s]"","""")
)
)
"),"diane aldrete")</f>
        <v>diane aldrete</v>
      </c>
      <c r="O1821" s="7">
        <f t="shared" si="5"/>
        <v>1</v>
      </c>
      <c r="P1821" s="8" t="str">
        <f t="shared" si="6"/>
        <v>No</v>
      </c>
    </row>
    <row r="1822">
      <c r="A1822" s="4" t="s">
        <v>16</v>
      </c>
      <c r="B1822" s="4" t="s">
        <v>5142</v>
      </c>
      <c r="C1822" s="5">
        <v>44769.0</v>
      </c>
      <c r="D1822" s="10">
        <v>44770.0</v>
      </c>
      <c r="E1822" s="4" t="s">
        <v>5143</v>
      </c>
      <c r="F1822" s="4" t="s">
        <v>5144</v>
      </c>
      <c r="G1822" s="6" t="str">
        <f>IFERROR(__xludf.DUMMYFUNCTION("REGEXREPLACE(LOWER(F1822),""[^a-z\s]"","""")"),"you helped us by getting the dr marty had huge problems we received from you you spent hours trying to get this for our pup it came so fast our dog really to get this we found you by google we now will be getting this from you nice job cindy")</f>
        <v>you helped us by getting the dr marty had huge problems we received from you you spent hours trying to get this for our pup it came so fast our dog really to get this we found you by google we now will be getting this from you nice job cindy</v>
      </c>
      <c r="H1822" s="4" t="str">
        <f t="shared" si="1"/>
        <v>you helped us by getting dr marty had huge problems we received from you you spent hours trying get this our pup it came so fast our dog really get this we found you by google we now will be getting this from you nice job cindy</v>
      </c>
      <c r="I1822" s="6">
        <f t="shared" si="2"/>
        <v>47</v>
      </c>
      <c r="J1822" s="6">
        <f>IFERROR(__xludf.DUMMYFUNCTION("IF(H1822="""","""",
SUM(
ARRAYFORMULA(
IF(
REGEXMATCH(
"" ""&amp;H1822&amp;"" "",
"" ""&amp;Sentiment_Words!A$2:A3730&amp;"" ""
),
1,
0
)
)
)
)"),2.0)</f>
        <v>2</v>
      </c>
      <c r="K1822" s="4">
        <f>IFERROR(__xludf.DUMMYFUNCTION("IF(H1822="""","""",
SUM(
ARRAYFORMULA(
IF(
REGEXMATCH(
"" ""&amp;H1822&amp;"" "",
"" ""&amp;Sentiment_Words!B$2:B3730&amp;"" ""
),
1,
0
)
)
)
)"),0.0)</f>
        <v>0</v>
      </c>
      <c r="L1822" s="7" t="str">
        <f t="shared" si="3"/>
        <v>Other</v>
      </c>
      <c r="M1822" s="7" t="str">
        <f t="shared" si="4"/>
        <v>Positive</v>
      </c>
      <c r="N1822" s="7" t="str">
        <f>IFERROR(__xludf.DUMMYFUNCTION("LOWER(
TRIM(
REGEXREPLACE(B1822,""[^a-zA-Z\s]"","""")
)
)
"),"lori digiovanni")</f>
        <v>lori digiovanni</v>
      </c>
      <c r="O1822" s="7">
        <f t="shared" si="5"/>
        <v>1</v>
      </c>
      <c r="P1822" s="8" t="str">
        <f t="shared" si="6"/>
        <v>No</v>
      </c>
    </row>
    <row r="1823">
      <c r="A1823" s="4" t="s">
        <v>16</v>
      </c>
      <c r="B1823" s="4" t="s">
        <v>5145</v>
      </c>
      <c r="C1823" s="5">
        <v>44769.0</v>
      </c>
      <c r="D1823" s="10">
        <v>44769.0</v>
      </c>
      <c r="E1823" s="4" t="s">
        <v>5146</v>
      </c>
      <c r="F1823" s="4" t="s">
        <v>5147</v>
      </c>
      <c r="G1823" s="6" t="str">
        <f>IFERROR(__xludf.DUMMYFUNCTION("REGEXREPLACE(LOWER(F1823),""[^a-z\s]"","""")"),"i recently had a very helpful and pleasant experience with petflow they had left out one item by mistake in my order and also replaced a bag of dog food that came with a small hole in it no questions asked they just said they would replace it no hassle of"&amp;" fuss and very pleasant in the phone ive ordered from them for years and will continue to do so")</f>
        <v>i recently had a very helpful and pleasant experience with petflow they had left out one item by mistake in my order and also replaced a bag of dog food that came with a small hole in it no questions asked they just said they would replace it no hassle of fuss and very pleasant in the phone ive ordered from them for years and will continue to do so</v>
      </c>
      <c r="H1823" s="4" t="str">
        <f t="shared" si="1"/>
        <v>i recently had a very helpful pleasant experience with petflow they had left out one item by mistake in my order also replaced a bag of dog food that came with a small hole in it no questions asked they just said they would replace it no hassle of fuss very pleasant in phone ive ordered from them years will continue do so</v>
      </c>
      <c r="I1823" s="6">
        <f t="shared" si="2"/>
        <v>63</v>
      </c>
      <c r="J1823" s="6">
        <f>IFERROR(__xludf.DUMMYFUNCTION("IF(H1823="""","""",
SUM(
ARRAYFORMULA(
IF(
REGEXMATCH(
"" ""&amp;H1823&amp;"" "",
"" ""&amp;Sentiment_Words!A$2:A3730&amp;"" ""
),
1,
0
)
)
)
)"),1.0)</f>
        <v>1</v>
      </c>
      <c r="K1823" s="4">
        <f>IFERROR(__xludf.DUMMYFUNCTION("IF(H1823="""","""",
SUM(
ARRAYFORMULA(
IF(
REGEXMATCH(
"" ""&amp;H1823&amp;"" "",
"" ""&amp;Sentiment_Words!B$2:B3730&amp;"" ""
),
1,
0
)
)
)
)"),0.0)</f>
        <v>0</v>
      </c>
      <c r="L1823" s="7" t="str">
        <f t="shared" si="3"/>
        <v>Other</v>
      </c>
      <c r="M1823" s="7" t="str">
        <f t="shared" si="4"/>
        <v>Positive</v>
      </c>
      <c r="N1823" s="7" t="str">
        <f>IFERROR(__xludf.DUMMYFUNCTION("LOWER(
TRIM(
REGEXREPLACE(B1823,""[^a-zA-Z\s]"","""")
)
)
"),"charles")</f>
        <v>charles</v>
      </c>
      <c r="O1823" s="7">
        <f t="shared" si="5"/>
        <v>2</v>
      </c>
      <c r="P1823" s="8" t="str">
        <f t="shared" si="6"/>
        <v>Yes</v>
      </c>
    </row>
    <row r="1824">
      <c r="A1824" s="4" t="s">
        <v>16</v>
      </c>
      <c r="B1824" s="4" t="s">
        <v>5148</v>
      </c>
      <c r="C1824" s="5">
        <v>44769.0</v>
      </c>
      <c r="D1824" s="10">
        <v>44769.0</v>
      </c>
      <c r="E1824" s="4" t="s">
        <v>5149</v>
      </c>
      <c r="F1824" s="4" t="s">
        <v>5150</v>
      </c>
      <c r="G1824" s="6" t="str">
        <f>IFERROR(__xludf.DUMMYFUNCTION("REGEXREPLACE(LOWER(F1824),""[^a-z\s]"","""")"),"always easy  convenient to order our dogs food online")</f>
        <v>always easy  convenient to order our dogs food online</v>
      </c>
      <c r="H1824" s="4" t="str">
        <f t="shared" si="1"/>
        <v>always easy convenient order our dogs food online</v>
      </c>
      <c r="I1824" s="6">
        <f t="shared" si="2"/>
        <v>8</v>
      </c>
      <c r="J1824" s="6">
        <f>IFERROR(__xludf.DUMMYFUNCTION("IF(H1824="""","""",
SUM(
ARRAYFORMULA(
IF(
REGEXMATCH(
"" ""&amp;H1824&amp;"" "",
"" ""&amp;Sentiment_Words!A$2:A3730&amp;"" ""
),
1,
0
)
)
)
)"),2.0)</f>
        <v>2</v>
      </c>
      <c r="K1824" s="4">
        <f>IFERROR(__xludf.DUMMYFUNCTION("IF(H1824="""","""",
SUM(
ARRAYFORMULA(
IF(
REGEXMATCH(
"" ""&amp;H1824&amp;"" "",
"" ""&amp;Sentiment_Words!B$2:B3730&amp;"" ""
),
1,
0
)
)
)
)"),0.0)</f>
        <v>0</v>
      </c>
      <c r="L1824" s="7" t="str">
        <f t="shared" si="3"/>
        <v>Value &amp; Convenience</v>
      </c>
      <c r="M1824" s="7" t="str">
        <f t="shared" si="4"/>
        <v>Positive</v>
      </c>
      <c r="N1824" s="7" t="str">
        <f>IFERROR(__xludf.DUMMYFUNCTION("LOWER(
TRIM(
REGEXREPLACE(B1824,""[^a-zA-Z\s]"","""")
)
)
"),"sandra f")</f>
        <v>sandra f</v>
      </c>
      <c r="O1824" s="7">
        <f t="shared" si="5"/>
        <v>1</v>
      </c>
      <c r="P1824" s="8" t="str">
        <f t="shared" si="6"/>
        <v>No</v>
      </c>
    </row>
    <row r="1825">
      <c r="A1825" s="4" t="s">
        <v>16</v>
      </c>
      <c r="B1825" s="4" t="s">
        <v>5151</v>
      </c>
      <c r="C1825" s="5">
        <v>44769.0</v>
      </c>
      <c r="D1825" s="10">
        <v>44769.0</v>
      </c>
      <c r="E1825" s="4" t="s">
        <v>190</v>
      </c>
      <c r="F1825" s="4" t="s">
        <v>5152</v>
      </c>
      <c r="G1825" s="6" t="str">
        <f>IFERROR(__xludf.DUMMYFUNCTION("REGEXREPLACE(LOWER(F1825),""[^a-z\s]"","""")"),"competitive prices and fast delivery i would order from them again ")</f>
        <v>competitive prices and fast delivery i would order from them again </v>
      </c>
      <c r="H1825" s="4" t="str">
        <f t="shared" si="1"/>
        <v>competitive prices fast delivery i would order from them again</v>
      </c>
      <c r="I1825" s="6">
        <f t="shared" si="2"/>
        <v>10</v>
      </c>
      <c r="J1825" s="6">
        <f>IFERROR(__xludf.DUMMYFUNCTION("IF(H1825="""","""",
SUM(
ARRAYFORMULA(
IF(
REGEXMATCH(
"" ""&amp;H1825&amp;"" "",
"" ""&amp;Sentiment_Words!A$2:A3730&amp;"" ""
),
1,
0
)
)
)
)"),2.0)</f>
        <v>2</v>
      </c>
      <c r="K1825" s="4">
        <f>IFERROR(__xludf.DUMMYFUNCTION("IF(H1825="""","""",
SUM(
ARRAYFORMULA(
IF(
REGEXMATCH(
"" ""&amp;H1825&amp;"" "",
"" ""&amp;Sentiment_Words!B$2:B3730&amp;"" ""
),
1,
0
)
)
)
)"),0.0)</f>
        <v>0</v>
      </c>
      <c r="L1825" s="7" t="str">
        <f t="shared" si="3"/>
        <v>Other</v>
      </c>
      <c r="M1825" s="7" t="str">
        <f t="shared" si="4"/>
        <v>Positive</v>
      </c>
      <c r="N1825" s="7" t="str">
        <f>IFERROR(__xludf.DUMMYFUNCTION("LOWER(
TRIM(
REGEXREPLACE(B1825,""[^a-zA-Z\s]"","""")
)
)
"),"pet friend")</f>
        <v>pet friend</v>
      </c>
      <c r="O1825" s="7">
        <f t="shared" si="5"/>
        <v>1</v>
      </c>
      <c r="P1825" s="8" t="str">
        <f t="shared" si="6"/>
        <v>No</v>
      </c>
    </row>
    <row r="1826">
      <c r="A1826" s="4" t="s">
        <v>16</v>
      </c>
      <c r="B1826" s="4" t="s">
        <v>5153</v>
      </c>
      <c r="C1826" s="5">
        <v>44769.0</v>
      </c>
      <c r="D1826" s="10">
        <v>44769.0</v>
      </c>
      <c r="E1826" s="4" t="s">
        <v>5154</v>
      </c>
      <c r="F1826" s="4" t="s">
        <v>331</v>
      </c>
      <c r="G1826" s="6" t="str">
        <f>IFERROR(__xludf.DUMMYFUNCTION("REGEXREPLACE(LOWER(F1826),""[^a-z\s]"","""")"),"none")</f>
        <v>none</v>
      </c>
      <c r="H1826" s="4" t="str">
        <f t="shared" si="1"/>
        <v>none</v>
      </c>
      <c r="I1826" s="6">
        <f t="shared" si="2"/>
        <v>1</v>
      </c>
      <c r="J1826" s="6">
        <f>IFERROR(__xludf.DUMMYFUNCTION("IF(H1826="""","""",
SUM(
ARRAYFORMULA(
IF(
REGEXMATCH(
"" ""&amp;H1826&amp;"" "",
"" ""&amp;Sentiment_Words!A$2:A3730&amp;"" ""
),
1,
0
)
)
)
)"),0.0)</f>
        <v>0</v>
      </c>
      <c r="K1826" s="4">
        <f>IFERROR(__xludf.DUMMYFUNCTION("IF(H1826="""","""",
SUM(
ARRAYFORMULA(
IF(
REGEXMATCH(
"" ""&amp;H1826&amp;"" "",
"" ""&amp;Sentiment_Words!B$2:B3730&amp;"" ""
),
1,
0
)
)
)
)"),0.0)</f>
        <v>0</v>
      </c>
      <c r="L1826" s="7" t="str">
        <f t="shared" si="3"/>
        <v>Other</v>
      </c>
      <c r="M1826" s="7" t="str">
        <f t="shared" si="4"/>
        <v>Neutral</v>
      </c>
      <c r="N1826" s="7" t="str">
        <f>IFERROR(__xludf.DUMMYFUNCTION("LOWER(
TRIM(
REGEXREPLACE(B1826,""[^a-zA-Z\s]"","""")
)
)
"),"lance young")</f>
        <v>lance young</v>
      </c>
      <c r="O1826" s="7">
        <f t="shared" si="5"/>
        <v>1</v>
      </c>
      <c r="P1826" s="8" t="str">
        <f t="shared" si="6"/>
        <v>No</v>
      </c>
    </row>
    <row r="1827">
      <c r="A1827" s="4" t="s">
        <v>16</v>
      </c>
      <c r="B1827" s="4" t="s">
        <v>5155</v>
      </c>
      <c r="C1827" s="5">
        <v>44769.0</v>
      </c>
      <c r="D1827" s="10">
        <v>44769.0</v>
      </c>
      <c r="E1827" s="4" t="s">
        <v>5156</v>
      </c>
      <c r="F1827" s="4" t="s">
        <v>331</v>
      </c>
      <c r="G1827" s="6" t="str">
        <f>IFERROR(__xludf.DUMMYFUNCTION("REGEXREPLACE(LOWER(F1827),""[^a-z\s]"","""")"),"none")</f>
        <v>none</v>
      </c>
      <c r="H1827" s="4" t="str">
        <f t="shared" si="1"/>
        <v>none</v>
      </c>
      <c r="I1827" s="6">
        <f t="shared" si="2"/>
        <v>1</v>
      </c>
      <c r="J1827" s="6">
        <f>IFERROR(__xludf.DUMMYFUNCTION("IF(H1827="""","""",
SUM(
ARRAYFORMULA(
IF(
REGEXMATCH(
"" ""&amp;H1827&amp;"" "",
"" ""&amp;Sentiment_Words!A$2:A3730&amp;"" ""
),
1,
0
)
)
)
)"),0.0)</f>
        <v>0</v>
      </c>
      <c r="K1827" s="4">
        <f>IFERROR(__xludf.DUMMYFUNCTION("IF(H1827="""","""",
SUM(
ARRAYFORMULA(
IF(
REGEXMATCH(
"" ""&amp;H1827&amp;"" "",
"" ""&amp;Sentiment_Words!B$2:B3730&amp;"" ""
),
1,
0
)
)
)
)"),0.0)</f>
        <v>0</v>
      </c>
      <c r="L1827" s="7" t="str">
        <f t="shared" si="3"/>
        <v>Other</v>
      </c>
      <c r="M1827" s="7" t="str">
        <f t="shared" si="4"/>
        <v>Neutral</v>
      </c>
      <c r="N1827" s="7" t="str">
        <f>IFERROR(__xludf.DUMMYFUNCTION("LOWER(
TRIM(
REGEXREPLACE(B1827,""[^a-zA-Z\s]"","""")
)
)
"),"patricia lloyd")</f>
        <v>patricia lloyd</v>
      </c>
      <c r="O1827" s="7">
        <f t="shared" si="5"/>
        <v>1</v>
      </c>
      <c r="P1827" s="8" t="str">
        <f t="shared" si="6"/>
        <v>No</v>
      </c>
    </row>
    <row r="1828">
      <c r="A1828" s="4" t="s">
        <v>16</v>
      </c>
      <c r="B1828" s="4" t="s">
        <v>5157</v>
      </c>
      <c r="C1828" s="5">
        <v>44769.0</v>
      </c>
      <c r="D1828" s="10">
        <v>44769.0</v>
      </c>
      <c r="E1828" s="4" t="s">
        <v>5158</v>
      </c>
      <c r="F1828" s="4" t="s">
        <v>5159</v>
      </c>
      <c r="G1828" s="6" t="str">
        <f>IFERROR(__xludf.DUMMYFUNCTION("REGEXREPLACE(LOWER(F1828),""[^a-z\s]"","""")"),"i appreciated the email stating the dog food i ordered would be a few days late im glad they sell fromms its the only dog food my dogs have been used to")</f>
        <v>i appreciated the email stating the dog food i ordered would be a few days late im glad they sell fromms its the only dog food my dogs have been used to</v>
      </c>
      <c r="H1828" s="4" t="str">
        <f t="shared" si="1"/>
        <v>i appreciated email stating dog food i ordered would be a few days late im glad they sell fromms its only dog food my dogs have been used</v>
      </c>
      <c r="I1828" s="6">
        <f t="shared" si="2"/>
        <v>28</v>
      </c>
      <c r="J1828" s="6">
        <f>IFERROR(__xludf.DUMMYFUNCTION("IF(H1828="""","""",
SUM(
ARRAYFORMULA(
IF(
REGEXMATCH(
"" ""&amp;H1828&amp;"" "",
"" ""&amp;Sentiment_Words!A$2:A3730&amp;"" ""
),
1,
0
)
)
)
)"),0.0)</f>
        <v>0</v>
      </c>
      <c r="K1828" s="4">
        <f>IFERROR(__xludf.DUMMYFUNCTION("IF(H1828="""","""",
SUM(
ARRAYFORMULA(
IF(
REGEXMATCH(
"" ""&amp;H1828&amp;"" "",
"" ""&amp;Sentiment_Words!B$2:B3730&amp;"" ""
),
1,
0
)
)
)
)"),0.0)</f>
        <v>0</v>
      </c>
      <c r="L1828" s="7" t="str">
        <f t="shared" si="3"/>
        <v>Fulfillment &amp; Shipping</v>
      </c>
      <c r="M1828" s="7" t="str">
        <f t="shared" si="4"/>
        <v>Neutral</v>
      </c>
      <c r="N1828" s="7" t="str">
        <f>IFERROR(__xludf.DUMMYFUNCTION("LOWER(
TRIM(
REGEXREPLACE(B1828,""[^a-zA-Z\s]"","""")
)
)
"),"robert stoff")</f>
        <v>robert stoff</v>
      </c>
      <c r="O1828" s="7">
        <f t="shared" si="5"/>
        <v>1</v>
      </c>
      <c r="P1828" s="8" t="str">
        <f t="shared" si="6"/>
        <v>No</v>
      </c>
    </row>
    <row r="1829">
      <c r="A1829" s="4" t="s">
        <v>16</v>
      </c>
      <c r="B1829" s="4" t="s">
        <v>5160</v>
      </c>
      <c r="C1829" s="5">
        <v>44769.0</v>
      </c>
      <c r="D1829" s="10">
        <v>44769.0</v>
      </c>
      <c r="E1829" s="4" t="s">
        <v>5161</v>
      </c>
      <c r="F1829" s="4" t="s">
        <v>5162</v>
      </c>
      <c r="G1829" s="6" t="str">
        <f>IFERROR(__xludf.DUMMYFUNCTION("REGEXREPLACE(LOWER(F1829),""[^a-z\s]"","""")"),"great to deal with easy ordering and fast delivery thanks petflow")</f>
        <v>great to deal with easy ordering and fast delivery thanks petflow</v>
      </c>
      <c r="H1829" s="4" t="str">
        <f t="shared" si="1"/>
        <v>great deal with easy ordering fast delivery thanks petflow</v>
      </c>
      <c r="I1829" s="6">
        <f t="shared" si="2"/>
        <v>9</v>
      </c>
      <c r="J1829" s="6">
        <f>IFERROR(__xludf.DUMMYFUNCTION("IF(H1829="""","""",
SUM(
ARRAYFORMULA(
IF(
REGEXMATCH(
"" ""&amp;H1829&amp;"" "",
"" ""&amp;Sentiment_Words!A$2:A3730&amp;"" ""
),
1,
0
)
)
)
)"),4.0)</f>
        <v>4</v>
      </c>
      <c r="K1829" s="4">
        <f>IFERROR(__xludf.DUMMYFUNCTION("IF(H1829="""","""",
SUM(
ARRAYFORMULA(
IF(
REGEXMATCH(
"" ""&amp;H1829&amp;"" "",
"" ""&amp;Sentiment_Words!B$2:B3730&amp;"" ""
),
1,
0
)
)
)
)"),0.0)</f>
        <v>0</v>
      </c>
      <c r="L1829" s="7" t="str">
        <f t="shared" si="3"/>
        <v>Other</v>
      </c>
      <c r="M1829" s="7" t="str">
        <f t="shared" si="4"/>
        <v>Positive</v>
      </c>
      <c r="N1829" s="7" t="str">
        <f>IFERROR(__xludf.DUMMYFUNCTION("LOWER(
TRIM(
REGEXREPLACE(B1829,""[^a-zA-Z\s]"","""")
)
)
"),"wilson")</f>
        <v>wilson</v>
      </c>
      <c r="O1829" s="7">
        <f t="shared" si="5"/>
        <v>2</v>
      </c>
      <c r="P1829" s="8" t="str">
        <f t="shared" si="6"/>
        <v>Yes</v>
      </c>
    </row>
    <row r="1830">
      <c r="A1830" s="4" t="s">
        <v>16</v>
      </c>
      <c r="B1830" s="4" t="s">
        <v>5163</v>
      </c>
      <c r="C1830" s="5">
        <v>44769.0</v>
      </c>
      <c r="D1830" s="10">
        <v>44769.0</v>
      </c>
      <c r="E1830" s="4" t="s">
        <v>5164</v>
      </c>
      <c r="F1830" s="4" t="s">
        <v>5165</v>
      </c>
      <c r="G1830" s="6" t="str">
        <f>IFERROR(__xludf.DUMMYFUNCTION("REGEXREPLACE(LOWER(F1830),""[^a-z\s]"","""")"),"really one star is too high of a rating i tried to order hills science prescription diet wd wet food for my cat and saw where petflow had it available petflow verified with my vet that my cat was supposed to have the food and then i got a notice that petf"&amp;"low cancelled my order because they did not have it in stock why say you had it in stock online and then go through the process of charging my credit card and verifying with my vet when you knew good and well you did not have it in stock poor very poor ex"&amp;"perience")</f>
        <v>really one star is too high of a rating i tried to order hills science prescription diet wd wet food for my cat and saw where petflow had it available petflow verified with my vet that my cat was supposed to have the food and then i got a notice that petflow cancelled my order because they did not have it in stock why say you had it in stock online and then go through the process of charging my credit card and verifying with my vet when you knew good and well you did not have it in stock poor very poor experience</v>
      </c>
      <c r="H1830" s="4" t="str">
        <f t="shared" si="1"/>
        <v>really one star too high of a rating i tried order hills science prescription diet wd wet food my cat saw where petflow had it available petflow verified with my vet that my cat was supposed have food then i got a notice that petflow cancelled my order because they did not have it in stock why say you had it in stock online then go through process of charging my credit card verifying with my vet when you knew good well you did not have it in stock poor very poor experience</v>
      </c>
      <c r="I1830" s="6">
        <f t="shared" si="2"/>
        <v>93</v>
      </c>
      <c r="J1830" s="6">
        <f>IFERROR(__xludf.DUMMYFUNCTION("IF(H1830="""","""",
SUM(
ARRAYFORMULA(
IF(
REGEXMATCH(
"" ""&amp;H1830&amp;"" "",
"" ""&amp;Sentiment_Words!A$2:A3730&amp;"" ""
),
1,
0
)
)
)
)"),2.0)</f>
        <v>2</v>
      </c>
      <c r="K1830" s="4">
        <f>IFERROR(__xludf.DUMMYFUNCTION("IF(H1830="""","""",
SUM(
ARRAYFORMULA(
IF(
REGEXMATCH(
"" ""&amp;H1830&amp;"" "",
"" ""&amp;Sentiment_Words!B$2:B3730&amp;"" ""
),
1,
0
)
)
)
)"),1.0)</f>
        <v>1</v>
      </c>
      <c r="L1830" s="7" t="str">
        <f t="shared" si="3"/>
        <v>Trust &amp; Experience</v>
      </c>
      <c r="M1830" s="7" t="str">
        <f t="shared" si="4"/>
        <v>Positive</v>
      </c>
      <c r="N1830" s="7" t="str">
        <f>IFERROR(__xludf.DUMMYFUNCTION("LOWER(
TRIM(
REGEXREPLACE(B1830,""[^a-zA-Z\s]"","""")
)
)
"),"patricia walley")</f>
        <v>patricia walley</v>
      </c>
      <c r="O1830" s="7">
        <f t="shared" si="5"/>
        <v>1</v>
      </c>
      <c r="P1830" s="8" t="str">
        <f t="shared" si="6"/>
        <v>No</v>
      </c>
    </row>
    <row r="1831">
      <c r="A1831" s="4" t="s">
        <v>16</v>
      </c>
      <c r="B1831" s="4" t="s">
        <v>5166</v>
      </c>
      <c r="C1831" s="5">
        <v>44769.0</v>
      </c>
      <c r="D1831" s="10">
        <v>44769.0</v>
      </c>
      <c r="E1831" s="4" t="s">
        <v>5167</v>
      </c>
      <c r="F1831" s="4" t="s">
        <v>5168</v>
      </c>
      <c r="G1831" s="6" t="str">
        <f>IFERROR(__xludf.DUMMYFUNCTION("REGEXREPLACE(LOWER(F1831),""[^a-z\s]"","""")"),"i ordered a prescription canned food for my cat you emailed me asking me to contact my vet because you didnt have approval for the food my vet approved then you canceled my order because you didnt even have the product available what a joke of a process t"&amp;"hanks for wasting everyones time")</f>
        <v>i ordered a prescription canned food for my cat you emailed me asking me to contact my vet because you didnt have approval for the food my vet approved then you canceled my order because you didnt even have the product available what a joke of a process thanks for wasting everyones time</v>
      </c>
      <c r="H1831" s="4" t="str">
        <f t="shared" si="1"/>
        <v>i ordered a prescription canned food my cat you emailed me asking me contact my vet because you didnt have approval food my vet approved then you canceled my order because you didnt even have product available what a joke of a process thanks wasting everyones time</v>
      </c>
      <c r="I1831" s="6">
        <f t="shared" si="2"/>
        <v>47</v>
      </c>
      <c r="J1831" s="6">
        <f>IFERROR(__xludf.DUMMYFUNCTION("IF(H1831="""","""",
SUM(
ARRAYFORMULA(
IF(
REGEXMATCH(
"" ""&amp;H1831&amp;"" "",
"" ""&amp;Sentiment_Words!A$2:A3730&amp;"" ""
),
1,
0
)
)
)
)"),1.0)</f>
        <v>1</v>
      </c>
      <c r="K1831" s="4">
        <f>IFERROR(__xludf.DUMMYFUNCTION("IF(H1831="""","""",
SUM(
ARRAYFORMULA(
IF(
REGEXMATCH(
"" ""&amp;H1831&amp;"" "",
"" ""&amp;Sentiment_Words!B$2:B3730&amp;"" ""
),
1,
0
)
)
)
)"),0.0)</f>
        <v>0</v>
      </c>
      <c r="L1831" s="7" t="str">
        <f t="shared" si="3"/>
        <v>Other</v>
      </c>
      <c r="M1831" s="7" t="str">
        <f t="shared" si="4"/>
        <v>Positive</v>
      </c>
      <c r="N1831" s="7" t="str">
        <f>IFERROR(__xludf.DUMMYFUNCTION("LOWER(
TRIM(
REGEXREPLACE(B1831,""[^a-zA-Z\s]"","""")
)
)
"),"stepheny tays")</f>
        <v>stepheny tays</v>
      </c>
      <c r="O1831" s="7">
        <f t="shared" si="5"/>
        <v>1</v>
      </c>
      <c r="P1831" s="8" t="str">
        <f t="shared" si="6"/>
        <v>No</v>
      </c>
    </row>
    <row r="1832">
      <c r="A1832" s="4" t="s">
        <v>16</v>
      </c>
      <c r="B1832" s="4" t="s">
        <v>5169</v>
      </c>
      <c r="C1832" s="5">
        <v>44769.0</v>
      </c>
      <c r="D1832" s="10">
        <v>44769.0</v>
      </c>
      <c r="E1832" s="4" t="s">
        <v>5170</v>
      </c>
      <c r="F1832" s="4" t="s">
        <v>5171</v>
      </c>
      <c r="G1832" s="6" t="str">
        <f>IFERROR(__xludf.DUMMYFUNCTION("REGEXREPLACE(LOWER(F1832),""[^a-z\s]"","""")"),"your website specifically said you had my prescription cat food in stock so i ordered it  twice only after you took all my personal info and told me you were getting ready to ship my order did you inform me the food was out of stock i lost a week of findi"&amp;"ng food for my poor cat waiting on you to be honest and admit you didnt have it i also told you to cancel my account and delete my personal information you obviously did not because you emailed me to do this survey")</f>
        <v>your website specifically said you had my prescription cat food in stock so i ordered it  twice only after you took all my personal info and told me you were getting ready to ship my order did you inform me the food was out of stock i lost a week of finding food for my poor cat waiting on you to be honest and admit you didnt have it i also told you to cancel my account and delete my personal information you obviously did not because you emailed me to do this survey</v>
      </c>
      <c r="H1832" s="4" t="str">
        <f t="shared" si="1"/>
        <v>your website specifically said you had my prescription cat food in stock so i ordered it twice only after you took all my personal info told me you were getting ready ship my order did you inform me food was out of stock i lost a week of finding food my poor cat waiting on you be honest admit you didnt have it i also told you cancel my account delete my personal information you obviously did not because you emailed me do this survey</v>
      </c>
      <c r="I1832" s="6">
        <f t="shared" si="2"/>
        <v>85</v>
      </c>
      <c r="J1832" s="6">
        <f>IFERROR(__xludf.DUMMYFUNCTION("IF(H1832="""","""",
SUM(
ARRAYFORMULA(
IF(
REGEXMATCH(
"" ""&amp;H1832&amp;"" "",
"" ""&amp;Sentiment_Words!A$2:A3730&amp;"" ""
),
1,
0
)
)
)
)"),0.0)</f>
        <v>0</v>
      </c>
      <c r="K1832" s="4">
        <f>IFERROR(__xludf.DUMMYFUNCTION("IF(H1832="""","""",
SUM(
ARRAYFORMULA(
IF(
REGEXMATCH(
"" ""&amp;H1832&amp;"" "",
"" ""&amp;Sentiment_Words!B$2:B3730&amp;"" ""
),
1,
0
)
)
)
)"),1.0)</f>
        <v>1</v>
      </c>
      <c r="L1832" s="7" t="str">
        <f t="shared" si="3"/>
        <v>Availability</v>
      </c>
      <c r="M1832" s="7" t="str">
        <f t="shared" si="4"/>
        <v>Negative</v>
      </c>
      <c r="N1832" s="7" t="str">
        <f>IFERROR(__xludf.DUMMYFUNCTION("LOWER(
TRIM(
REGEXREPLACE(B1832,""[^a-zA-Z\s]"","""")
)
)
"),"banteaux")</f>
        <v>banteaux</v>
      </c>
      <c r="O1832" s="7">
        <f t="shared" si="5"/>
        <v>1</v>
      </c>
      <c r="P1832" s="8" t="str">
        <f t="shared" si="6"/>
        <v>No</v>
      </c>
    </row>
    <row r="1833">
      <c r="A1833" s="4" t="s">
        <v>16</v>
      </c>
      <c r="B1833" s="4" t="s">
        <v>5172</v>
      </c>
      <c r="C1833" s="5">
        <v>44768.0</v>
      </c>
      <c r="D1833" s="10">
        <v>44769.0</v>
      </c>
      <c r="E1833" s="4" t="s">
        <v>5173</v>
      </c>
      <c r="F1833" s="4" t="s">
        <v>5174</v>
      </c>
      <c r="G1833" s="6" t="str">
        <f>IFERROR(__xludf.DUMMYFUNCTION("REGEXREPLACE(LOWER(F1833),""[^a-z\s]"","""")"),"petflow is wonderful and always comes to my rescue when other places cannot they contact the veterinarian promptly to verify my cats prescription and the food is delivered in record time im completely satisfied with petflow")</f>
        <v>petflow is wonderful and always comes to my rescue when other places cannot they contact the veterinarian promptly to verify my cats prescription and the food is delivered in record time im completely satisfied with petflow</v>
      </c>
      <c r="H1833" s="4" t="str">
        <f t="shared" si="1"/>
        <v>petflow wonderful always comes my rescue when other places cannot they contact veterinarian promptly verify my cats prescription food delivered in record time im completely satisfied with petflow</v>
      </c>
      <c r="I1833" s="6">
        <f t="shared" si="2"/>
        <v>28</v>
      </c>
      <c r="J1833" s="6">
        <f>IFERROR(__xludf.DUMMYFUNCTION("IF(H1833="""","""",
SUM(
ARRAYFORMULA(
IF(
REGEXMATCH(
"" ""&amp;H1833&amp;"" "",
"" ""&amp;Sentiment_Words!A$2:A3730&amp;"" ""
),
1,
0
)
)
)
)"),3.0)</f>
        <v>3</v>
      </c>
      <c r="K1833" s="4">
        <f>IFERROR(__xludf.DUMMYFUNCTION("IF(H1833="""","""",
SUM(
ARRAYFORMULA(
IF(
REGEXMATCH(
"" ""&amp;H1833&amp;"" "",
"" ""&amp;Sentiment_Words!B$2:B3730&amp;"" ""
),
1,
0
)
)
)
)"),0.0)</f>
        <v>0</v>
      </c>
      <c r="L1833" s="7" t="str">
        <f t="shared" si="3"/>
        <v>Other</v>
      </c>
      <c r="M1833" s="7" t="str">
        <f t="shared" si="4"/>
        <v>Positive</v>
      </c>
      <c r="N1833" s="7" t="str">
        <f>IFERROR(__xludf.DUMMYFUNCTION("LOWER(
TRIM(
REGEXREPLACE(B1833,""[^a-zA-Z\s]"","""")
)
)
"),"angie tracy")</f>
        <v>angie tracy</v>
      </c>
      <c r="O1833" s="7">
        <f t="shared" si="5"/>
        <v>1</v>
      </c>
      <c r="P1833" s="8" t="str">
        <f t="shared" si="6"/>
        <v>No</v>
      </c>
    </row>
    <row r="1834">
      <c r="A1834" s="4" t="s">
        <v>16</v>
      </c>
      <c r="B1834" s="4" t="s">
        <v>5175</v>
      </c>
      <c r="C1834" s="5">
        <v>44768.0</v>
      </c>
      <c r="D1834" s="10">
        <v>44768.0</v>
      </c>
      <c r="E1834" s="4" t="s">
        <v>5176</v>
      </c>
      <c r="F1834" s="4" t="s">
        <v>5177</v>
      </c>
      <c r="G1834" s="6" t="str">
        <f>IFERROR(__xludf.DUMMYFUNCTION("REGEXREPLACE(LOWER(F1834),""[^a-z\s]"","""")"),"i just started using petflow for my dogs first prescription food as i found the prices better than competition they even reached out to our vet to get the prescription and in just a few days i had the food on my porch easy peasy")</f>
        <v>i just started using petflow for my dogs first prescription food as i found the prices better than competition they even reached out to our vet to get the prescription and in just a few days i had the food on my porch easy peasy</v>
      </c>
      <c r="H1834" s="4" t="str">
        <f t="shared" si="1"/>
        <v>i just started using petflow my dogs first prescription food as i found prices better than competition they even reached out our vet get prescription in just a few days i had food on my porch easy peasy</v>
      </c>
      <c r="I1834" s="6">
        <f t="shared" si="2"/>
        <v>38</v>
      </c>
      <c r="J1834" s="6">
        <f>IFERROR(__xludf.DUMMYFUNCTION("IF(H1834="""","""",
SUM(
ARRAYFORMULA(
IF(
REGEXMATCH(
"" ""&amp;H1834&amp;"" "",
"" ""&amp;Sentiment_Words!A$2:A3730&amp;"" ""
),
1,
0
)
)
)
)"),2.0)</f>
        <v>2</v>
      </c>
      <c r="K1834" s="4">
        <f>IFERROR(__xludf.DUMMYFUNCTION("IF(H1834="""","""",
SUM(
ARRAYFORMULA(
IF(
REGEXMATCH(
"" ""&amp;H1834&amp;"" "",
"" ""&amp;Sentiment_Words!B$2:B3730&amp;"" ""
),
1,
0
)
)
)
)"),0.0)</f>
        <v>0</v>
      </c>
      <c r="L1834" s="7" t="str">
        <f t="shared" si="3"/>
        <v>Other</v>
      </c>
      <c r="M1834" s="7" t="str">
        <f t="shared" si="4"/>
        <v>Positive</v>
      </c>
      <c r="N1834" s="7" t="str">
        <f>IFERROR(__xludf.DUMMYFUNCTION("LOWER(
TRIM(
REGEXREPLACE(B1834,""[^a-zA-Z\s]"","""")
)
)
"),"mrs bill")</f>
        <v>mrs bill</v>
      </c>
      <c r="O1834" s="7">
        <f t="shared" si="5"/>
        <v>1</v>
      </c>
      <c r="P1834" s="8" t="str">
        <f t="shared" si="6"/>
        <v>No</v>
      </c>
    </row>
    <row r="1835">
      <c r="A1835" s="4" t="s">
        <v>16</v>
      </c>
      <c r="B1835" s="4" t="s">
        <v>5178</v>
      </c>
      <c r="C1835" s="5">
        <v>44768.0</v>
      </c>
      <c r="D1835" s="10">
        <v>44768.0</v>
      </c>
      <c r="E1835" s="4" t="s">
        <v>5179</v>
      </c>
      <c r="F1835" s="4" t="s">
        <v>5180</v>
      </c>
      <c r="G1835" s="6" t="str">
        <f>IFERROR(__xludf.DUMMYFUNCTION("REGEXREPLACE(LOWER(F1835),""[^a-z\s]"","""")"),"shipment arrived right on time thank you")</f>
        <v>shipment arrived right on time thank you</v>
      </c>
      <c r="H1835" s="4" t="str">
        <f t="shared" si="1"/>
        <v>shipment arrived right on time thank you</v>
      </c>
      <c r="I1835" s="6">
        <f t="shared" si="2"/>
        <v>7</v>
      </c>
      <c r="J1835" s="6">
        <f>IFERROR(__xludf.DUMMYFUNCTION("IF(H1835="""","""",
SUM(
ARRAYFORMULA(
IF(
REGEXMATCH(
"" ""&amp;H1835&amp;"" "",
"" ""&amp;Sentiment_Words!A$2:A3730&amp;"" ""
),
1,
0
)
)
)
)"),1.0)</f>
        <v>1</v>
      </c>
      <c r="K1835" s="4">
        <f>IFERROR(__xludf.DUMMYFUNCTION("IF(H1835="""","""",
SUM(
ARRAYFORMULA(
IF(
REGEXMATCH(
"" ""&amp;H1835&amp;"" "",
"" ""&amp;Sentiment_Words!B$2:B3730&amp;"" ""
),
1,
0
)
)
)
)"),0.0)</f>
        <v>0</v>
      </c>
      <c r="L1835" s="7" t="str">
        <f t="shared" si="3"/>
        <v>Other</v>
      </c>
      <c r="M1835" s="7" t="str">
        <f t="shared" si="4"/>
        <v>Positive</v>
      </c>
      <c r="N1835" s="7" t="str">
        <f>IFERROR(__xludf.DUMMYFUNCTION("LOWER(
TRIM(
REGEXREPLACE(B1835,""[^a-zA-Z\s]"","""")
)
)
"),"sheila brooks")</f>
        <v>sheila brooks</v>
      </c>
      <c r="O1835" s="7">
        <f t="shared" si="5"/>
        <v>1</v>
      </c>
      <c r="P1835" s="8" t="str">
        <f t="shared" si="6"/>
        <v>No</v>
      </c>
    </row>
    <row r="1836">
      <c r="A1836" s="4" t="s">
        <v>16</v>
      </c>
      <c r="B1836" s="4" t="s">
        <v>5181</v>
      </c>
      <c r="C1836" s="5">
        <v>44768.0</v>
      </c>
      <c r="D1836" s="10">
        <v>44768.0</v>
      </c>
      <c r="E1836" s="4" t="s">
        <v>5182</v>
      </c>
      <c r="F1836" s="4" t="s">
        <v>5183</v>
      </c>
      <c r="G1836" s="6" t="str">
        <f>IFERROR(__xludf.DUMMYFUNCTION("REGEXREPLACE(LOWER(F1836),""[^a-z\s]"","""")"),"very slow delivery
no delivery status report
much slower than chewy")</f>
        <v>very slow delivery
no delivery status report
much slower than chewy</v>
      </c>
      <c r="H1836" s="4" t="str">
        <f t="shared" si="1"/>
        <v>very slow delivery
no delivery status report
much slower than chewy</v>
      </c>
      <c r="I1836" s="6">
        <f t="shared" si="2"/>
        <v>9</v>
      </c>
      <c r="J1836" s="6">
        <f>IFERROR(__xludf.DUMMYFUNCTION("IF(H1836="""","""",
SUM(
ARRAYFORMULA(
IF(
REGEXMATCH(
"" ""&amp;H1836&amp;"" "",
"" ""&amp;Sentiment_Words!A$2:A3730&amp;"" ""
),
1,
0
)
)
)
)"),0.0)</f>
        <v>0</v>
      </c>
      <c r="K1836" s="4">
        <f>IFERROR(__xludf.DUMMYFUNCTION("IF(H1836="""","""",
SUM(
ARRAYFORMULA(
IF(
REGEXMATCH(
"" ""&amp;H1836&amp;"" "",
"" ""&amp;Sentiment_Words!B$2:B3730&amp;"" ""
),
1,
0
)
)
)
)"),0.0)</f>
        <v>0</v>
      </c>
      <c r="L1836" s="7" t="str">
        <f t="shared" si="3"/>
        <v>Other</v>
      </c>
      <c r="M1836" s="7" t="str">
        <f t="shared" si="4"/>
        <v>Neutral</v>
      </c>
      <c r="N1836" s="7" t="str">
        <f>IFERROR(__xludf.DUMMYFUNCTION("LOWER(
TRIM(
REGEXREPLACE(B1836,""[^a-zA-Z\s]"","""")
)
)
"),"crystal shackleford")</f>
        <v>crystal shackleford</v>
      </c>
      <c r="O1836" s="7">
        <f t="shared" si="5"/>
        <v>1</v>
      </c>
      <c r="P1836" s="8" t="str">
        <f t="shared" si="6"/>
        <v>No</v>
      </c>
    </row>
    <row r="1837">
      <c r="A1837" s="4" t="s">
        <v>16</v>
      </c>
      <c r="B1837" s="4" t="s">
        <v>5184</v>
      </c>
      <c r="C1837" s="5">
        <v>44768.0</v>
      </c>
      <c r="D1837" s="10">
        <v>44768.0</v>
      </c>
      <c r="E1837" s="4" t="s">
        <v>5185</v>
      </c>
      <c r="F1837" s="4" t="s">
        <v>5186</v>
      </c>
      <c r="G1837" s="6" t="str">
        <f>IFERROR(__xludf.DUMMYFUNCTION("REGEXREPLACE(LOWER(F1837),""[^a-z\s]"","""")"),"first order went overall well need more discounts")</f>
        <v>first order went overall well need more discounts</v>
      </c>
      <c r="H1837" s="4" t="str">
        <f t="shared" si="1"/>
        <v>first order went overall well need more discounts</v>
      </c>
      <c r="I1837" s="6">
        <f t="shared" si="2"/>
        <v>8</v>
      </c>
      <c r="J1837" s="6">
        <f>IFERROR(__xludf.DUMMYFUNCTION("IF(H1837="""","""",
SUM(
ARRAYFORMULA(
IF(
REGEXMATCH(
"" ""&amp;H1837&amp;"" "",
"" ""&amp;Sentiment_Words!A$2:A3730&amp;"" ""
),
1,
0
)
)
)
)"),0.0)</f>
        <v>0</v>
      </c>
      <c r="K1837" s="4">
        <f>IFERROR(__xludf.DUMMYFUNCTION("IF(H1837="""","""",
SUM(
ARRAYFORMULA(
IF(
REGEXMATCH(
"" ""&amp;H1837&amp;"" "",
"" ""&amp;Sentiment_Words!B$2:B3730&amp;"" ""
),
1,
0
)
)
)
)"),0.0)</f>
        <v>0</v>
      </c>
      <c r="L1837" s="7" t="str">
        <f t="shared" si="3"/>
        <v>Other</v>
      </c>
      <c r="M1837" s="7" t="str">
        <f t="shared" si="4"/>
        <v>Neutral</v>
      </c>
      <c r="N1837" s="7" t="str">
        <f>IFERROR(__xludf.DUMMYFUNCTION("LOWER(
TRIM(
REGEXREPLACE(B1837,""[^a-zA-Z\s]"","""")
)
)
"),"elizabeth moody")</f>
        <v>elizabeth moody</v>
      </c>
      <c r="O1837" s="7">
        <f t="shared" si="5"/>
        <v>1</v>
      </c>
      <c r="P1837" s="8" t="str">
        <f t="shared" si="6"/>
        <v>No</v>
      </c>
    </row>
    <row r="1838">
      <c r="A1838" s="4" t="s">
        <v>16</v>
      </c>
      <c r="B1838" s="4" t="s">
        <v>5187</v>
      </c>
      <c r="C1838" s="5">
        <v>44767.0</v>
      </c>
      <c r="D1838" s="10">
        <v>44767.0</v>
      </c>
      <c r="E1838" s="4" t="s">
        <v>5188</v>
      </c>
      <c r="F1838" s="4" t="s">
        <v>5189</v>
      </c>
      <c r="G1838" s="6" t="str">
        <f>IFERROR(__xludf.DUMMYFUNCTION("REGEXREPLACE(LOWER(F1838),""[^a-z\s]"","""")"),"awesome customer service carolina is professional and always provides fantastic customer service resolved my problem with a smile thanks")</f>
        <v>awesome customer service carolina is professional and always provides fantastic customer service resolved my problem with a smile thanks</v>
      </c>
      <c r="H1838" s="4" t="str">
        <f t="shared" si="1"/>
        <v>awesome customer service carolina professional always provides fantastic customer service resolved my problem with a smile thanks</v>
      </c>
      <c r="I1838" s="6">
        <f t="shared" si="2"/>
        <v>17</v>
      </c>
      <c r="J1838" s="6">
        <f>IFERROR(__xludf.DUMMYFUNCTION("IF(H1838="""","""",
SUM(
ARRAYFORMULA(
IF(
REGEXMATCH(
"" ""&amp;H1838&amp;"" "",
"" ""&amp;Sentiment_Words!A$2:A3730&amp;"" ""
),
1,
0
)
)
)
)"),1.0)</f>
        <v>1</v>
      </c>
      <c r="K1838" s="4">
        <f>IFERROR(__xludf.DUMMYFUNCTION("IF(H1838="""","""",
SUM(
ARRAYFORMULA(
IF(
REGEXMATCH(
"" ""&amp;H1838&amp;"" "",
"" ""&amp;Sentiment_Words!B$2:B3730&amp;"" ""
),
1,
0
)
)
)
)"),2.0)</f>
        <v>2</v>
      </c>
      <c r="L1838" s="7" t="str">
        <f t="shared" si="3"/>
        <v>Customer Support</v>
      </c>
      <c r="M1838" s="7" t="str">
        <f t="shared" si="4"/>
        <v>Negative</v>
      </c>
      <c r="N1838" s="7" t="str">
        <f>IFERROR(__xludf.DUMMYFUNCTION("LOWER(
TRIM(
REGEXREPLACE(B1838,""[^a-zA-Z\s]"","""")
)
)
"),"doreen barnas")</f>
        <v>doreen barnas</v>
      </c>
      <c r="O1838" s="7">
        <f t="shared" si="5"/>
        <v>1</v>
      </c>
      <c r="P1838" s="8" t="str">
        <f t="shared" si="6"/>
        <v>No</v>
      </c>
    </row>
    <row r="1839">
      <c r="A1839" s="4" t="s">
        <v>16</v>
      </c>
      <c r="B1839" s="4" t="s">
        <v>5190</v>
      </c>
      <c r="C1839" s="5">
        <v>44767.0</v>
      </c>
      <c r="D1839" s="10">
        <v>44767.0</v>
      </c>
      <c r="E1839" s="4" t="s">
        <v>5191</v>
      </c>
      <c r="F1839" s="4" t="s">
        <v>5192</v>
      </c>
      <c r="G1839" s="6" t="str">
        <f>IFERROR(__xludf.DUMMYFUNCTION("REGEXREPLACE(LOWER(F1839),""[^a-z\s]"","""")"),"cats dont like and they dont take returns what do i do with such expensive food took over a week to get when chewy does  day shipping at most")</f>
        <v>cats dont like and they dont take returns what do i do with such expensive food took over a week to get when chewy does  day shipping at most</v>
      </c>
      <c r="H1839" s="4" t="str">
        <f t="shared" si="1"/>
        <v>cats dont like they dont take returns what do i do with such expensive food took over a week get when chewy does day shipping at most</v>
      </c>
      <c r="I1839" s="6">
        <f t="shared" si="2"/>
        <v>27</v>
      </c>
      <c r="J1839" s="6">
        <f>IFERROR(__xludf.DUMMYFUNCTION("IF(H1839="""","""",
SUM(
ARRAYFORMULA(
IF(
REGEXMATCH(
"" ""&amp;H1839&amp;"" "",
"" ""&amp;Sentiment_Words!A$2:A3730&amp;"" ""
),
1,
0
)
)
)
)"),0.0)</f>
        <v>0</v>
      </c>
      <c r="K1839" s="4">
        <f>IFERROR(__xludf.DUMMYFUNCTION("IF(H1839="""","""",
SUM(
ARRAYFORMULA(
IF(
REGEXMATCH(
"" ""&amp;H1839&amp;"" "",
"" ""&amp;Sentiment_Words!B$2:B3730&amp;"" ""
),
1,
0
)
)
)
)"),0.0)</f>
        <v>0</v>
      </c>
      <c r="L1839" s="7" t="str">
        <f t="shared" si="3"/>
        <v>Other</v>
      </c>
      <c r="M1839" s="7" t="str">
        <f t="shared" si="4"/>
        <v>Neutral</v>
      </c>
      <c r="N1839" s="7" t="str">
        <f>IFERROR(__xludf.DUMMYFUNCTION("LOWER(
TRIM(
REGEXREPLACE(B1839,""[^a-zA-Z\s]"","""")
)
)
"),"jsmom")</f>
        <v>jsmom</v>
      </c>
      <c r="O1839" s="7">
        <f t="shared" si="5"/>
        <v>1</v>
      </c>
      <c r="P1839" s="8" t="str">
        <f t="shared" si="6"/>
        <v>No</v>
      </c>
    </row>
    <row r="1840">
      <c r="A1840" s="4" t="s">
        <v>16</v>
      </c>
      <c r="B1840" s="4" t="s">
        <v>5193</v>
      </c>
      <c r="C1840" s="5">
        <v>44767.0</v>
      </c>
      <c r="D1840" s="10">
        <v>44767.0</v>
      </c>
      <c r="E1840" s="4" t="s">
        <v>5194</v>
      </c>
      <c r="F1840" s="4" t="s">
        <v>5195</v>
      </c>
      <c r="G1840" s="6" t="str">
        <f>IFERROR(__xludf.DUMMYFUNCTION("REGEXREPLACE(LOWER(F1840),""[^a-z\s]"","""")"),"placed an order and it was at my door in a couple of days")</f>
        <v>placed an order and it was at my door in a couple of days</v>
      </c>
      <c r="H1840" s="4" t="str">
        <f t="shared" si="1"/>
        <v>placed an order it was at my door in a couple of days</v>
      </c>
      <c r="I1840" s="6">
        <f t="shared" si="2"/>
        <v>13</v>
      </c>
      <c r="J1840" s="6">
        <f>IFERROR(__xludf.DUMMYFUNCTION("IF(H1840="""","""",
SUM(
ARRAYFORMULA(
IF(
REGEXMATCH(
"" ""&amp;H1840&amp;"" "",
"" ""&amp;Sentiment_Words!A$2:A3730&amp;"" ""
),
1,
0
)
)
)
)"),0.0)</f>
        <v>0</v>
      </c>
      <c r="K1840" s="4">
        <f>IFERROR(__xludf.DUMMYFUNCTION("IF(H1840="""","""",
SUM(
ARRAYFORMULA(
IF(
REGEXMATCH(
"" ""&amp;H1840&amp;"" "",
"" ""&amp;Sentiment_Words!B$2:B3730&amp;"" ""
),
1,
0
)
)
)
)"),0.0)</f>
        <v>0</v>
      </c>
      <c r="L1840" s="7" t="str">
        <f t="shared" si="3"/>
        <v>Other</v>
      </c>
      <c r="M1840" s="7" t="str">
        <f t="shared" si="4"/>
        <v>Neutral</v>
      </c>
      <c r="N1840" s="7" t="str">
        <f>IFERROR(__xludf.DUMMYFUNCTION("LOWER(
TRIM(
REGEXREPLACE(B1840,""[^a-zA-Z\s]"","""")
)
)
"),"cantwell joanne")</f>
        <v>cantwell joanne</v>
      </c>
      <c r="O1840" s="7">
        <f t="shared" si="5"/>
        <v>1</v>
      </c>
      <c r="P1840" s="8" t="str">
        <f t="shared" si="6"/>
        <v>No</v>
      </c>
    </row>
    <row r="1841">
      <c r="A1841" s="4" t="s">
        <v>16</v>
      </c>
      <c r="B1841" s="4" t="s">
        <v>5196</v>
      </c>
      <c r="C1841" s="5">
        <v>44767.0</v>
      </c>
      <c r="D1841" s="10">
        <v>44767.0</v>
      </c>
      <c r="E1841" s="4" t="s">
        <v>5197</v>
      </c>
      <c r="F1841" s="4" t="s">
        <v>5198</v>
      </c>
      <c r="G1841" s="6" t="str">
        <f>IFERROR(__xludf.DUMMYFUNCTION("REGEXREPLACE(LOWER(F1841),""[^a-z\s]"","""")"),"im disappointed with autoship items cant be added if theyre in stock when in stock and added they arent shipped if out of stock that is theyre not reserved when the order is placed why use autoship ive started ordering and buying directly and pay a penalt"&amp;"y for doing that")</f>
        <v>im disappointed with autoship items cant be added if theyre in stock when in stock and added they arent shipped if out of stock that is theyre not reserved when the order is placed why use autoship ive started ordering and buying directly and pay a penalty for doing that</v>
      </c>
      <c r="H1841" s="4" t="str">
        <f t="shared" si="1"/>
        <v>im disappointed with autoship items cant be added if theyre in stock when in stock added they arent shipped if out of stock that theyre not reserved when order placed why use autoship ive started ordering buying directly pay a penalty doing that</v>
      </c>
      <c r="I1841" s="6">
        <f t="shared" si="2"/>
        <v>43</v>
      </c>
      <c r="J1841" s="6">
        <f>IFERROR(__xludf.DUMMYFUNCTION("IF(H1841="""","""",
SUM(
ARRAYFORMULA(
IF(
REGEXMATCH(
"" ""&amp;H1841&amp;"" "",
"" ""&amp;Sentiment_Words!A$2:A3730&amp;"" ""
),
1,
0
)
)
)
)"),0.0)</f>
        <v>0</v>
      </c>
      <c r="K1841" s="4">
        <f>IFERROR(__xludf.DUMMYFUNCTION("IF(H1841="""","""",
SUM(
ARRAYFORMULA(
IF(
REGEXMATCH(
"" ""&amp;H1841&amp;"" "",
"" ""&amp;Sentiment_Words!B$2:B3730&amp;"" ""
),
1,
0
)
)
)
)"),1.0)</f>
        <v>1</v>
      </c>
      <c r="L1841" s="7" t="str">
        <f t="shared" si="3"/>
        <v>Availability</v>
      </c>
      <c r="M1841" s="7" t="str">
        <f t="shared" si="4"/>
        <v>Negative</v>
      </c>
      <c r="N1841" s="7" t="str">
        <f>IFERROR(__xludf.DUMMYFUNCTION("LOWER(
TRIM(
REGEXREPLACE(B1841,""[^a-zA-Z\s]"","""")
)
)
"),"riley mcintire")</f>
        <v>riley mcintire</v>
      </c>
      <c r="O1841" s="7">
        <f t="shared" si="5"/>
        <v>1</v>
      </c>
      <c r="P1841" s="8" t="str">
        <f t="shared" si="6"/>
        <v>No</v>
      </c>
    </row>
    <row r="1842">
      <c r="A1842" s="4" t="s">
        <v>16</v>
      </c>
      <c r="B1842" s="4" t="s">
        <v>5199</v>
      </c>
      <c r="C1842" s="5">
        <v>44766.0</v>
      </c>
      <c r="D1842" s="10">
        <v>44767.0</v>
      </c>
      <c r="E1842" s="4" t="s">
        <v>5200</v>
      </c>
      <c r="F1842" s="4" t="s">
        <v>5201</v>
      </c>
      <c r="G1842" s="6" t="str">
        <f>IFERROR(__xludf.DUMMYFUNCTION("REGEXREPLACE(LOWER(F1842),""[^a-z\s]"","""")"),"placed my order on july th  im still waiting for my shipment ive had to buy food locally due to get him by i texted  emailed my concerns  was told its been approved  would be shipping in a few days as of today july th still no shipping notification or why"&amp;" there is a delay terrible customer service  im very unhappy")</f>
        <v>placed my order on july th  im still waiting for my shipment ive had to buy food locally due to get him by i texted  emailed my concerns  was told its been approved  would be shipping in a few days as of today july th still no shipping notification or why there is a delay terrible customer service  im very unhappy</v>
      </c>
      <c r="H1842" s="4" t="str">
        <f t="shared" si="1"/>
        <v>placed my order on july th im still waiting my shipment ive had buy food locally due get him by i texted emailed my concerns was told its been approved would be shipping in a few days as of today july th still no shipping notification or why there a delay terrible customer service im very unhappy</v>
      </c>
      <c r="I1842" s="6">
        <f t="shared" si="2"/>
        <v>57</v>
      </c>
      <c r="J1842" s="6">
        <f>IFERROR(__xludf.DUMMYFUNCTION("IF(H1842="""","""",
SUM(
ARRAYFORMULA(
IF(
REGEXMATCH(
"" ""&amp;H1842&amp;"" "",
"" ""&amp;Sentiment_Words!A$2:A3730&amp;"" ""
),
1,
0
)
)
)
)"),0.0)</f>
        <v>0</v>
      </c>
      <c r="K1842" s="4">
        <f>IFERROR(__xludf.DUMMYFUNCTION("IF(H1842="""","""",
SUM(
ARRAYFORMULA(
IF(
REGEXMATCH(
"" ""&amp;H1842&amp;"" "",
"" ""&amp;Sentiment_Words!B$2:B3730&amp;"" ""
),
1,
0
)
)
)
)"),3.0)</f>
        <v>3</v>
      </c>
      <c r="L1842" s="7" t="str">
        <f t="shared" si="3"/>
        <v>Customer Support</v>
      </c>
      <c r="M1842" s="7" t="str">
        <f t="shared" si="4"/>
        <v>Negative</v>
      </c>
      <c r="N1842" s="7" t="str">
        <f>IFERROR(__xludf.DUMMYFUNCTION("LOWER(
TRIM(
REGEXREPLACE(B1842,""[^a-zA-Z\s]"","""")
)
)
"),"gloria")</f>
        <v>gloria</v>
      </c>
      <c r="O1842" s="7">
        <f t="shared" si="5"/>
        <v>1</v>
      </c>
      <c r="P1842" s="8" t="str">
        <f t="shared" si="6"/>
        <v>No</v>
      </c>
    </row>
    <row r="1843">
      <c r="A1843" s="4" t="s">
        <v>16</v>
      </c>
      <c r="B1843" s="4" t="s">
        <v>5202</v>
      </c>
      <c r="C1843" s="5">
        <v>44766.0</v>
      </c>
      <c r="D1843" s="10">
        <v>44767.0</v>
      </c>
      <c r="E1843" s="4" t="s">
        <v>2596</v>
      </c>
      <c r="F1843" s="4" t="s">
        <v>5203</v>
      </c>
      <c r="G1843" s="6" t="str">
        <f>IFERROR(__xludf.DUMMYFUNCTION("REGEXREPLACE(LOWER(F1843),""[^a-z\s]"","""")"),"had an issue with a previous order petflow issued a credit for that order so i ordered again and this time everything was great i appreciate a company that makes things right i will be ordering from them again")</f>
        <v>had an issue with a previous order petflow issued a credit for that order so i ordered again and this time everything was great i appreciate a company that makes things right i will be ordering from them again</v>
      </c>
      <c r="H1843" s="4" t="str">
        <f t="shared" si="1"/>
        <v>had an issue with a previous order petflow issued a credit that order so i ordered again this time everything was great i appreciate a company that makes things right i will be ordering from them again</v>
      </c>
      <c r="I1843" s="6">
        <f t="shared" si="2"/>
        <v>37</v>
      </c>
      <c r="J1843" s="6">
        <f>IFERROR(__xludf.DUMMYFUNCTION("IF(H1843="""","""",
SUM(
ARRAYFORMULA(
IF(
REGEXMATCH(
"" ""&amp;H1843&amp;"" "",
"" ""&amp;Sentiment_Words!A$2:A3730&amp;"" ""
),
1,
0
)
)
)
)"),1.0)</f>
        <v>1</v>
      </c>
      <c r="K1843" s="4">
        <f>IFERROR(__xludf.DUMMYFUNCTION("IF(H1843="""","""",
SUM(
ARRAYFORMULA(
IF(
REGEXMATCH(
"" ""&amp;H1843&amp;"" "",
"" ""&amp;Sentiment_Words!B$2:B3730&amp;"" ""
),
1,
0
)
)
)
)"),1.0)</f>
        <v>1</v>
      </c>
      <c r="L1843" s="7" t="str">
        <f t="shared" si="3"/>
        <v>Other</v>
      </c>
      <c r="M1843" s="7" t="str">
        <f t="shared" si="4"/>
        <v>Neutral</v>
      </c>
      <c r="N1843" s="7" t="str">
        <f>IFERROR(__xludf.DUMMYFUNCTION("LOWER(
TRIM(
REGEXREPLACE(B1843,""[^a-zA-Z\s]"","""")
)
)
"),"deborah treadway")</f>
        <v>deborah treadway</v>
      </c>
      <c r="O1843" s="7">
        <f t="shared" si="5"/>
        <v>1</v>
      </c>
      <c r="P1843" s="8" t="str">
        <f t="shared" si="6"/>
        <v>No</v>
      </c>
    </row>
    <row r="1844">
      <c r="A1844" s="4" t="s">
        <v>16</v>
      </c>
      <c r="B1844" s="4" t="s">
        <v>5204</v>
      </c>
      <c r="C1844" s="5">
        <v>44766.0</v>
      </c>
      <c r="D1844" s="10">
        <v>44767.0</v>
      </c>
      <c r="E1844" s="4" t="s">
        <v>5205</v>
      </c>
      <c r="F1844" s="4" t="s">
        <v>5206</v>
      </c>
      <c r="G1844" s="6" t="str">
        <f>IFERROR(__xludf.DUMMYFUNCTION("REGEXREPLACE(LOWER(F1844),""[^a-z\s]"","""")"),"i would say the customer service rep has had the issue i called about many times so she certainly understood the frustration i think petflow as a company leaves a lot to be desired regarding how they handle things the  stars is for the young lady whom i s"&amp;"poke with")</f>
        <v>i would say the customer service rep has had the issue i called about many times so she certainly understood the frustration i think petflow as a company leaves a lot to be desired regarding how they handle things the  stars is for the young lady whom i spoke with</v>
      </c>
      <c r="H1844" s="4" t="str">
        <f t="shared" si="1"/>
        <v>i would say customer service rep has had issue i called about many times so she certainly understood frustration i think petflow as a company leaves a lot be desired regarding how they handle things stars young lady whom i spoke with</v>
      </c>
      <c r="I1844" s="6">
        <f t="shared" si="2"/>
        <v>42</v>
      </c>
      <c r="J1844" s="6">
        <f>IFERROR(__xludf.DUMMYFUNCTION("IF(H1844="""","""",
SUM(
ARRAYFORMULA(
IF(
REGEXMATCH(
"" ""&amp;H1844&amp;"" "",
"" ""&amp;Sentiment_Words!A$2:A3730&amp;"" ""
),
1,
0
)
)
)
)"),0.0)</f>
        <v>0</v>
      </c>
      <c r="K1844" s="4">
        <f>IFERROR(__xludf.DUMMYFUNCTION("IF(H1844="""","""",
SUM(
ARRAYFORMULA(
IF(
REGEXMATCH(
"" ""&amp;H1844&amp;"" "",
"" ""&amp;Sentiment_Words!B$2:B3730&amp;"" ""
),
1,
0
)
)
)
)"),2.0)</f>
        <v>2</v>
      </c>
      <c r="L1844" s="7" t="str">
        <f t="shared" si="3"/>
        <v>Customer Support</v>
      </c>
      <c r="M1844" s="7" t="str">
        <f t="shared" si="4"/>
        <v>Negative</v>
      </c>
      <c r="N1844" s="7" t="str">
        <f>IFERROR(__xludf.DUMMYFUNCTION("LOWER(
TRIM(
REGEXREPLACE(B1844,""[^a-zA-Z\s]"","""")
)
)
"),"lisa herndon")</f>
        <v>lisa herndon</v>
      </c>
      <c r="O1844" s="7">
        <f t="shared" si="5"/>
        <v>1</v>
      </c>
      <c r="P1844" s="8" t="str">
        <f t="shared" si="6"/>
        <v>No</v>
      </c>
    </row>
    <row r="1845">
      <c r="A1845" s="4" t="s">
        <v>16</v>
      </c>
      <c r="B1845" s="4" t="s">
        <v>5207</v>
      </c>
      <c r="C1845" s="5">
        <v>44766.0</v>
      </c>
      <c r="D1845" s="10">
        <v>44766.0</v>
      </c>
      <c r="E1845" s="4" t="s">
        <v>5208</v>
      </c>
      <c r="F1845" s="4" t="s">
        <v>5209</v>
      </c>
      <c r="G1845" s="6" t="str">
        <f>IFERROR(__xludf.DUMMYFUNCTION("REGEXREPLACE(LOWER(F1845),""[^a-z\s]"","""")"),"petflow delivers to my door and not to the post office and the order is accurate and secure i love them")</f>
        <v>petflow delivers to my door and not to the post office and the order is accurate and secure i love them</v>
      </c>
      <c r="H1845" s="4" t="str">
        <f t="shared" si="1"/>
        <v>petflow delivers my door not post office order accurate secure i love them</v>
      </c>
      <c r="I1845" s="6">
        <f t="shared" si="2"/>
        <v>13</v>
      </c>
      <c r="J1845" s="6">
        <f>IFERROR(__xludf.DUMMYFUNCTION("IF(H1845="""","""",
SUM(
ARRAYFORMULA(
IF(
REGEXMATCH(
"" ""&amp;H1845&amp;"" "",
"" ""&amp;Sentiment_Words!A$2:A3730&amp;"" ""
),
1,
0
)
)
)
)"),1.0)</f>
        <v>1</v>
      </c>
      <c r="K1845" s="4">
        <f>IFERROR(__xludf.DUMMYFUNCTION("IF(H1845="""","""",
SUM(
ARRAYFORMULA(
IF(
REGEXMATCH(
"" ""&amp;H1845&amp;"" "",
"" ""&amp;Sentiment_Words!B$2:B3730&amp;"" ""
),
1,
0
)
)
)
)"),0.0)</f>
        <v>0</v>
      </c>
      <c r="L1845" s="7" t="str">
        <f t="shared" si="3"/>
        <v>Other</v>
      </c>
      <c r="M1845" s="7" t="str">
        <f t="shared" si="4"/>
        <v>Positive</v>
      </c>
      <c r="N1845" s="7" t="str">
        <f>IFERROR(__xludf.DUMMYFUNCTION("LOWER(
TRIM(
REGEXREPLACE(B1845,""[^a-zA-Z\s]"","""")
)
)
"),"dl")</f>
        <v>dl</v>
      </c>
      <c r="O1845" s="7">
        <f t="shared" si="5"/>
        <v>1</v>
      </c>
      <c r="P1845" s="8" t="str">
        <f t="shared" si="6"/>
        <v>No</v>
      </c>
    </row>
    <row r="1846">
      <c r="A1846" s="4" t="s">
        <v>16</v>
      </c>
      <c r="B1846" s="4" t="s">
        <v>5210</v>
      </c>
      <c r="C1846" s="5">
        <v>44766.0</v>
      </c>
      <c r="D1846" s="10">
        <v>44766.0</v>
      </c>
      <c r="E1846" s="4" t="s">
        <v>5211</v>
      </c>
      <c r="F1846" s="4" t="s">
        <v>5212</v>
      </c>
      <c r="G1846" s="6" t="str">
        <f>IFERROR(__xludf.DUMMYFUNCTION("REGEXREPLACE(LOWER(F1846),""[^a-z\s]"","""")"),"i have dealt with pet flow for over a year now  prices very reasonable customer service great very quick delivery  have recommended them to others will continue to use them in the future")</f>
        <v>i have dealt with pet flow for over a year now  prices very reasonable customer service great very quick delivery  have recommended them to others will continue to use them in the future</v>
      </c>
      <c r="H1846" s="4" t="str">
        <f t="shared" si="1"/>
        <v>i have dealt with pet flow over a year now prices very reasonable customer service great very quick delivery have recommended them others will continue use them in future</v>
      </c>
      <c r="I1846" s="6">
        <f t="shared" si="2"/>
        <v>29</v>
      </c>
      <c r="J1846" s="6">
        <f>IFERROR(__xludf.DUMMYFUNCTION("IF(H1846="""","""",
SUM(
ARRAYFORMULA(
IF(
REGEXMATCH(
"" ""&amp;H1846&amp;"" "",
"" ""&amp;Sentiment_Words!A$2:A3730&amp;"" ""
),
1,
0
)
)
)
)"),2.0)</f>
        <v>2</v>
      </c>
      <c r="K1846" s="4">
        <f>IFERROR(__xludf.DUMMYFUNCTION("IF(H1846="""","""",
SUM(
ARRAYFORMULA(
IF(
REGEXMATCH(
"" ""&amp;H1846&amp;"" "",
"" ""&amp;Sentiment_Words!B$2:B3730&amp;"" ""
),
1,
0
)
)
)
)"),1.0)</f>
        <v>1</v>
      </c>
      <c r="L1846" s="7" t="str">
        <f t="shared" si="3"/>
        <v>Customer Support</v>
      </c>
      <c r="M1846" s="7" t="str">
        <f t="shared" si="4"/>
        <v>Positive</v>
      </c>
      <c r="N1846" s="7" t="str">
        <f>IFERROR(__xludf.DUMMYFUNCTION("LOWER(
TRIM(
REGEXREPLACE(B1846,""[^a-zA-Z\s]"","""")
)
)
"),"riki orellana")</f>
        <v>riki orellana</v>
      </c>
      <c r="O1846" s="7">
        <f t="shared" si="5"/>
        <v>1</v>
      </c>
      <c r="P1846" s="8" t="str">
        <f t="shared" si="6"/>
        <v>No</v>
      </c>
    </row>
    <row r="1847">
      <c r="A1847" s="4" t="s">
        <v>16</v>
      </c>
      <c r="B1847" s="4" t="s">
        <v>5213</v>
      </c>
      <c r="C1847" s="5">
        <v>44766.0</v>
      </c>
      <c r="D1847" s="10">
        <v>44766.0</v>
      </c>
      <c r="E1847" s="4" t="s">
        <v>5214</v>
      </c>
      <c r="F1847" s="4" t="s">
        <v>5215</v>
      </c>
      <c r="G1847" s="6" t="str">
        <f>IFERROR(__xludf.DUMMYFUNCTION("REGEXREPLACE(LOWER(F1847),""[^a-z\s]"","""")"),"i still have not received my order or a ship date i ordered two weeks ago and the item was in stock i am out of food and disappointed")</f>
        <v>i still have not received my order or a ship date i ordered two weeks ago and the item was in stock i am out of food and disappointed</v>
      </c>
      <c r="H1847" s="4" t="str">
        <f t="shared" si="1"/>
        <v>i still have not received my order or a ship date i ordered two weeks ago item was in stock i am out of food disappointed</v>
      </c>
      <c r="I1847" s="6">
        <f t="shared" si="2"/>
        <v>26</v>
      </c>
      <c r="J1847" s="6">
        <f>IFERROR(__xludf.DUMMYFUNCTION("IF(H1847="""","""",
SUM(
ARRAYFORMULA(
IF(
REGEXMATCH(
"" ""&amp;H1847&amp;"" "",
"" ""&amp;Sentiment_Words!A$2:A3730&amp;"" ""
),
1,
0
)
)
)
)"),0.0)</f>
        <v>0</v>
      </c>
      <c r="K1847" s="4">
        <f>IFERROR(__xludf.DUMMYFUNCTION("IF(H1847="""","""",
SUM(
ARRAYFORMULA(
IF(
REGEXMATCH(
"" ""&amp;H1847&amp;"" "",
"" ""&amp;Sentiment_Words!B$2:B3730&amp;"" ""
),
1,
0
)
)
)
)"),0.0)</f>
        <v>0</v>
      </c>
      <c r="L1847" s="7" t="str">
        <f t="shared" si="3"/>
        <v>Trust &amp; Experience</v>
      </c>
      <c r="M1847" s="7" t="str">
        <f t="shared" si="4"/>
        <v>Neutral</v>
      </c>
      <c r="N1847" s="7" t="str">
        <f>IFERROR(__xludf.DUMMYFUNCTION("LOWER(
TRIM(
REGEXREPLACE(B1847,""[^a-zA-Z\s]"","""")
)
)
"),"linda schulz")</f>
        <v>linda schulz</v>
      </c>
      <c r="O1847" s="7">
        <f t="shared" si="5"/>
        <v>1</v>
      </c>
      <c r="P1847" s="8" t="str">
        <f t="shared" si="6"/>
        <v>No</v>
      </c>
    </row>
    <row r="1848">
      <c r="A1848" s="4" t="s">
        <v>16</v>
      </c>
      <c r="B1848" s="4" t="s">
        <v>5216</v>
      </c>
      <c r="C1848" s="5">
        <v>44765.0</v>
      </c>
      <c r="D1848" s="10">
        <v>44766.0</v>
      </c>
      <c r="E1848" s="4" t="s">
        <v>5217</v>
      </c>
      <c r="F1848" s="4" t="s">
        <v>5218</v>
      </c>
      <c r="G1848" s="6" t="str">
        <f>IFERROR(__xludf.DUMMYFUNCTION("REGEXREPLACE(LOWER(F1848),""[^a-z\s]"","""")"),"worst pet online company unreliable delivery service overall horrible pet online company do not use this company for your furry babies i am a very dissatisfied customer")</f>
        <v>worst pet online company unreliable delivery service overall horrible pet online company do not use this company for your furry babies i am a very dissatisfied customer</v>
      </c>
      <c r="H1848" s="4" t="str">
        <f t="shared" si="1"/>
        <v>worst pet online company unreliable delivery service overall horrible pet online company do not use this company your furry babies i am a very dissatisfied customer</v>
      </c>
      <c r="I1848" s="6">
        <f t="shared" si="2"/>
        <v>26</v>
      </c>
      <c r="J1848" s="6">
        <f>IFERROR(__xludf.DUMMYFUNCTION("IF(H1848="""","""",
SUM(
ARRAYFORMULA(
IF(
REGEXMATCH(
"" ""&amp;H1848&amp;"" "",
"" ""&amp;Sentiment_Words!A$2:A3730&amp;"" ""
),
1,
0
)
)
)
)"),0.0)</f>
        <v>0</v>
      </c>
      <c r="K1848" s="4">
        <f>IFERROR(__xludf.DUMMYFUNCTION("IF(H1848="""","""",
SUM(
ARRAYFORMULA(
IF(
REGEXMATCH(
"" ""&amp;H1848&amp;"" "",
"" ""&amp;Sentiment_Words!B$2:B3730&amp;"" ""
),
1,
0
)
)
)
)"),0.0)</f>
        <v>0</v>
      </c>
      <c r="L1848" s="7" t="str">
        <f t="shared" si="3"/>
        <v>Customer Support</v>
      </c>
      <c r="M1848" s="7" t="str">
        <f t="shared" si="4"/>
        <v>Neutral</v>
      </c>
      <c r="N1848" s="7" t="str">
        <f>IFERROR(__xludf.DUMMYFUNCTION("LOWER(
TRIM(
REGEXREPLACE(B1848,""[^a-zA-Z\s]"","""")
)
)
"),"keith schwartz schwartz")</f>
        <v>keith schwartz schwartz</v>
      </c>
      <c r="O1848" s="7">
        <f t="shared" si="5"/>
        <v>1</v>
      </c>
      <c r="P1848" s="8" t="str">
        <f t="shared" si="6"/>
        <v>No</v>
      </c>
    </row>
    <row r="1849">
      <c r="A1849" s="4" t="s">
        <v>16</v>
      </c>
      <c r="B1849" s="4" t="s">
        <v>5219</v>
      </c>
      <c r="C1849" s="5">
        <v>44765.0</v>
      </c>
      <c r="D1849" s="10">
        <v>44766.0</v>
      </c>
      <c r="E1849" s="4" t="s">
        <v>5220</v>
      </c>
      <c r="F1849" s="4" t="s">
        <v>5221</v>
      </c>
      <c r="G1849" s="6" t="str">
        <f>IFERROR(__xludf.DUMMYFUNCTION("REGEXREPLACE(LOWER(F1849),""[^a-z\s]"","""")"),"customer service was good disappointed that i was able to add an item to my cart check out and process an order only to find out a week later it was not available to order")</f>
        <v>customer service was good disappointed that i was able to add an item to my cart check out and process an order only to find out a week later it was not available to order</v>
      </c>
      <c r="H1849" s="4" t="str">
        <f t="shared" si="1"/>
        <v>customer service was good disappointed that i was able add an item my cart check out process an order only find out a week later it was not available order</v>
      </c>
      <c r="I1849" s="6">
        <f t="shared" si="2"/>
        <v>30</v>
      </c>
      <c r="J1849" s="6">
        <f>IFERROR(__xludf.DUMMYFUNCTION("IF(H1849="""","""",
SUM(
ARRAYFORMULA(
IF(
REGEXMATCH(
"" ""&amp;H1849&amp;"" "",
"" ""&amp;Sentiment_Words!A$2:A3730&amp;"" ""
),
1,
0
)
)
)
)"),3.0)</f>
        <v>3</v>
      </c>
      <c r="K1849" s="4">
        <f>IFERROR(__xludf.DUMMYFUNCTION("IF(H1849="""","""",
SUM(
ARRAYFORMULA(
IF(
REGEXMATCH(
"" ""&amp;H1849&amp;"" "",
"" ""&amp;Sentiment_Words!B$2:B3730&amp;"" ""
),
1,
0
)
)
)
)"),1.0)</f>
        <v>1</v>
      </c>
      <c r="L1849" s="7" t="str">
        <f t="shared" si="3"/>
        <v>Customer Support</v>
      </c>
      <c r="M1849" s="7" t="str">
        <f t="shared" si="4"/>
        <v>Positive</v>
      </c>
      <c r="N1849" s="7" t="str">
        <f>IFERROR(__xludf.DUMMYFUNCTION("LOWER(
TRIM(
REGEXREPLACE(B1849,""[^a-zA-Z\s]"","""")
)
)
"),"erin anselm")</f>
        <v>erin anselm</v>
      </c>
      <c r="O1849" s="7">
        <f t="shared" si="5"/>
        <v>1</v>
      </c>
      <c r="P1849" s="8" t="str">
        <f t="shared" si="6"/>
        <v>No</v>
      </c>
    </row>
    <row r="1850">
      <c r="A1850" s="4" t="s">
        <v>16</v>
      </c>
      <c r="B1850" s="4" t="s">
        <v>5222</v>
      </c>
      <c r="C1850" s="5">
        <v>44765.0</v>
      </c>
      <c r="D1850" s="10">
        <v>44765.0</v>
      </c>
      <c r="E1850" s="4" t="s">
        <v>5223</v>
      </c>
      <c r="F1850" s="4" t="s">
        <v>5224</v>
      </c>
      <c r="G1850" s="6" t="str">
        <f>IFERROR(__xludf.DUMMYFUNCTION("REGEXREPLACE(LOWER(F1850),""[^a-z\s]"","""")"),"always ship fast worked hard to get my prescription food customer service is very responsive")</f>
        <v>always ship fast worked hard to get my prescription food customer service is very responsive</v>
      </c>
      <c r="H1850" s="4" t="str">
        <f t="shared" si="1"/>
        <v>always ship fast worked hard get my prescription food customer service very responsive</v>
      </c>
      <c r="I1850" s="6">
        <f t="shared" si="2"/>
        <v>13</v>
      </c>
      <c r="J1850" s="6">
        <f>IFERROR(__xludf.DUMMYFUNCTION("IF(H1850="""","""",
SUM(
ARRAYFORMULA(
IF(
REGEXMATCH(
"" ""&amp;H1850&amp;"" "",
"" ""&amp;Sentiment_Words!A$2:A3730&amp;"" ""
),
1,
0
)
)
)
)"),2.0)</f>
        <v>2</v>
      </c>
      <c r="K1850" s="4">
        <f>IFERROR(__xludf.DUMMYFUNCTION("IF(H1850="""","""",
SUM(
ARRAYFORMULA(
IF(
REGEXMATCH(
"" ""&amp;H1850&amp;"" "",
"" ""&amp;Sentiment_Words!B$2:B3730&amp;"" ""
),
1,
0
)
)
)
)"),1.0)</f>
        <v>1</v>
      </c>
      <c r="L1850" s="7" t="str">
        <f t="shared" si="3"/>
        <v>Customer Support</v>
      </c>
      <c r="M1850" s="7" t="str">
        <f t="shared" si="4"/>
        <v>Positive</v>
      </c>
      <c r="N1850" s="7" t="str">
        <f>IFERROR(__xludf.DUMMYFUNCTION("LOWER(
TRIM(
REGEXREPLACE(B1850,""[^a-zA-Z\s]"","""")
)
)
"),"trinidad magno")</f>
        <v>trinidad magno</v>
      </c>
      <c r="O1850" s="7">
        <f t="shared" si="5"/>
        <v>1</v>
      </c>
      <c r="P1850" s="8" t="str">
        <f t="shared" si="6"/>
        <v>No</v>
      </c>
    </row>
    <row r="1851">
      <c r="A1851" s="4" t="s">
        <v>16</v>
      </c>
      <c r="B1851" s="4" t="s">
        <v>5225</v>
      </c>
      <c r="C1851" s="5">
        <v>44765.0</v>
      </c>
      <c r="D1851" s="10">
        <v>44765.0</v>
      </c>
      <c r="E1851" s="4" t="s">
        <v>5226</v>
      </c>
      <c r="F1851" s="4" t="s">
        <v>5227</v>
      </c>
      <c r="G1851" s="6" t="str">
        <f>IFERROR(__xludf.DUMMYFUNCTION("REGEXREPLACE(LOWER(F1851),""[^a-z\s]"","""")"),"i was very happy to find petflow since they have some products i no longer can get on chewy their ordering was smooth prices fair and i have used them twice now and i will again")</f>
        <v>i was very happy to find petflow since they have some products i no longer can get on chewy their ordering was smooth prices fair and i have used them twice now and i will again</v>
      </c>
      <c r="H1851" s="4" t="str">
        <f t="shared" si="1"/>
        <v>i was very happy find petflow since they have some products i no longer can get on chewy their ordering was smooth prices fair i have used them twice now i will again</v>
      </c>
      <c r="I1851" s="6">
        <f t="shared" si="2"/>
        <v>33</v>
      </c>
      <c r="J1851" s="6">
        <f>IFERROR(__xludf.DUMMYFUNCTION("IF(H1851="""","""",
SUM(
ARRAYFORMULA(
IF(
REGEXMATCH(
"" ""&amp;H1851&amp;"" "",
"" ""&amp;Sentiment_Words!A$2:A3730&amp;"" ""
),
1,
0
)
)
)
)"),1.0)</f>
        <v>1</v>
      </c>
      <c r="K1851" s="4">
        <f>IFERROR(__xludf.DUMMYFUNCTION("IF(H1851="""","""",
SUM(
ARRAYFORMULA(
IF(
REGEXMATCH(
"" ""&amp;H1851&amp;"" "",
"" ""&amp;Sentiment_Words!B$2:B3730&amp;"" ""
),
1,
0
)
)
)
)"),0.0)</f>
        <v>0</v>
      </c>
      <c r="L1851" s="7" t="str">
        <f t="shared" si="3"/>
        <v>Other</v>
      </c>
      <c r="M1851" s="7" t="str">
        <f t="shared" si="4"/>
        <v>Positive</v>
      </c>
      <c r="N1851" s="7" t="str">
        <f>IFERROR(__xludf.DUMMYFUNCTION("LOWER(
TRIM(
REGEXREPLACE(B1851,""[^a-zA-Z\s]"","""")
)
)
"),"kam")</f>
        <v>kam</v>
      </c>
      <c r="O1851" s="7">
        <f t="shared" si="5"/>
        <v>1</v>
      </c>
      <c r="P1851" s="8" t="str">
        <f t="shared" si="6"/>
        <v>No</v>
      </c>
    </row>
    <row r="1852">
      <c r="A1852" s="4" t="s">
        <v>16</v>
      </c>
      <c r="B1852" s="4" t="s">
        <v>5228</v>
      </c>
      <c r="C1852" s="5">
        <v>44765.0</v>
      </c>
      <c r="D1852" s="10">
        <v>44765.0</v>
      </c>
      <c r="E1852" s="4" t="s">
        <v>5229</v>
      </c>
      <c r="F1852" s="4" t="s">
        <v>5230</v>
      </c>
      <c r="G1852" s="6" t="str">
        <f>IFERROR(__xludf.DUMMYFUNCTION("REGEXREPLACE(LOWER(F1852),""[^a-z\s]"","""")"),"ordered hard to get dog food  arrived on time as ordered")</f>
        <v>ordered hard to get dog food  arrived on time as ordered</v>
      </c>
      <c r="H1852" s="4" t="str">
        <f t="shared" si="1"/>
        <v>ordered hard get dog food arrived on time as ordered</v>
      </c>
      <c r="I1852" s="6">
        <f t="shared" si="2"/>
        <v>10</v>
      </c>
      <c r="J1852" s="6">
        <f>IFERROR(__xludf.DUMMYFUNCTION("IF(H1852="""","""",
SUM(
ARRAYFORMULA(
IF(
REGEXMATCH(
"" ""&amp;H1852&amp;"" "",
"" ""&amp;Sentiment_Words!A$2:A3730&amp;"" ""
),
1,
0
)
)
)
)"),1.0)</f>
        <v>1</v>
      </c>
      <c r="K1852" s="4">
        <f>IFERROR(__xludf.DUMMYFUNCTION("IF(H1852="""","""",
SUM(
ARRAYFORMULA(
IF(
REGEXMATCH(
"" ""&amp;H1852&amp;"" "",
"" ""&amp;Sentiment_Words!B$2:B3730&amp;"" ""
),
1,
0
)
)
)
)"),0.0)</f>
        <v>0</v>
      </c>
      <c r="L1852" s="7" t="str">
        <f t="shared" si="3"/>
        <v>Other</v>
      </c>
      <c r="M1852" s="7" t="str">
        <f t="shared" si="4"/>
        <v>Positive</v>
      </c>
      <c r="N1852" s="7" t="str">
        <f>IFERROR(__xludf.DUMMYFUNCTION("LOWER(
TRIM(
REGEXREPLACE(B1852,""[^a-zA-Z\s]"","""")
)
)
"),"kara miller")</f>
        <v>kara miller</v>
      </c>
      <c r="O1852" s="7">
        <f t="shared" si="5"/>
        <v>1</v>
      </c>
      <c r="P1852" s="8" t="str">
        <f t="shared" si="6"/>
        <v>No</v>
      </c>
    </row>
    <row r="1853">
      <c r="A1853" s="4" t="s">
        <v>16</v>
      </c>
      <c r="B1853" s="4" t="s">
        <v>5231</v>
      </c>
      <c r="C1853" s="5">
        <v>44765.0</v>
      </c>
      <c r="D1853" s="10">
        <v>44765.0</v>
      </c>
      <c r="E1853" s="4" t="s">
        <v>978</v>
      </c>
      <c r="F1853" s="4" t="s">
        <v>5232</v>
      </c>
      <c r="G1853" s="6" t="str">
        <f>IFERROR(__xludf.DUMMYFUNCTION("REGEXREPLACE(LOWER(F1853),""[^a-z\s]"","""")"),"very pleased with your service especially the people that answered the phone i wait only a minute to speak to someone they are very pleasant and professional thank you")</f>
        <v>very pleased with your service especially the people that answered the phone i wait only a minute to speak to someone they are very pleasant and professional thank you</v>
      </c>
      <c r="H1853" s="4" t="str">
        <f t="shared" si="1"/>
        <v>very pleased with your service especially people that answered phone i wait only a minute speak someone they are very pleasant professional thank you</v>
      </c>
      <c r="I1853" s="6">
        <f t="shared" si="2"/>
        <v>24</v>
      </c>
      <c r="J1853" s="6">
        <f>IFERROR(__xludf.DUMMYFUNCTION("IF(H1853="""","""",
SUM(
ARRAYFORMULA(
IF(
REGEXMATCH(
"" ""&amp;H1853&amp;"" "",
"" ""&amp;Sentiment_Words!A$2:A3730&amp;"" ""
),
1,
0
)
)
)
)"),0.0)</f>
        <v>0</v>
      </c>
      <c r="K1853" s="4">
        <f>IFERROR(__xludf.DUMMYFUNCTION("IF(H1853="""","""",
SUM(
ARRAYFORMULA(
IF(
REGEXMATCH(
"" ""&amp;H1853&amp;"" "",
"" ""&amp;Sentiment_Words!B$2:B3730&amp;"" ""
),
1,
0
)
)
)
)"),0.0)</f>
        <v>0</v>
      </c>
      <c r="L1853" s="7" t="str">
        <f t="shared" si="3"/>
        <v>Customer Support</v>
      </c>
      <c r="M1853" s="7" t="str">
        <f t="shared" si="4"/>
        <v>Neutral</v>
      </c>
      <c r="N1853" s="7" t="str">
        <f>IFERROR(__xludf.DUMMYFUNCTION("LOWER(
TRIM(
REGEXREPLACE(B1853,""[^a-zA-Z\s]"","""")
)
)
"),"lydia theys")</f>
        <v>lydia theys</v>
      </c>
      <c r="O1853" s="7">
        <f t="shared" si="5"/>
        <v>1</v>
      </c>
      <c r="P1853" s="8" t="str">
        <f t="shared" si="6"/>
        <v>No</v>
      </c>
    </row>
    <row r="1854">
      <c r="A1854" s="4" t="s">
        <v>16</v>
      </c>
      <c r="B1854" s="4" t="s">
        <v>3816</v>
      </c>
      <c r="C1854" s="5">
        <v>44765.0</v>
      </c>
      <c r="D1854" s="10">
        <v>44765.0</v>
      </c>
      <c r="E1854" s="4" t="s">
        <v>5233</v>
      </c>
      <c r="F1854" s="4" t="s">
        <v>5234</v>
      </c>
      <c r="G1854" s="6" t="str">
        <f>IFERROR(__xludf.DUMMYFUNCTION("REGEXREPLACE(LOWER(F1854),""[^a-z\s]"","""")"),"it to long to get then i only got  order then you tell me i cant get the can foodi differently wont buy from you again")</f>
        <v>it to long to get then i only got  order then you tell me i cant get the can foodi differently wont buy from you again</v>
      </c>
      <c r="H1854" s="4" t="str">
        <f t="shared" si="1"/>
        <v>it long get then i only got order then you tell me i cant get can foodi differently wont buy from you again</v>
      </c>
      <c r="I1854" s="6">
        <f t="shared" si="2"/>
        <v>23</v>
      </c>
      <c r="J1854" s="6">
        <f>IFERROR(__xludf.DUMMYFUNCTION("IF(H1854="""","""",
SUM(
ARRAYFORMULA(
IF(
REGEXMATCH(
"" ""&amp;H1854&amp;"" "",
"" ""&amp;Sentiment_Words!A$2:A3730&amp;"" ""
),
1,
0
)
)
)
)"),0.0)</f>
        <v>0</v>
      </c>
      <c r="K1854" s="4">
        <f>IFERROR(__xludf.DUMMYFUNCTION("IF(H1854="""","""",
SUM(
ARRAYFORMULA(
IF(
REGEXMATCH(
"" ""&amp;H1854&amp;"" "",
"" ""&amp;Sentiment_Words!B$2:B3730&amp;"" ""
),
1,
0
)
)
)
)"),0.0)</f>
        <v>0</v>
      </c>
      <c r="L1854" s="7" t="str">
        <f t="shared" si="3"/>
        <v>Other</v>
      </c>
      <c r="M1854" s="7" t="str">
        <f t="shared" si="4"/>
        <v>Neutral</v>
      </c>
      <c r="N1854" s="7" t="str">
        <f>IFERROR(__xludf.DUMMYFUNCTION("LOWER(
TRIM(
REGEXREPLACE(B1854,""[^a-zA-Z\s]"","""")
)
)
"),"lynn")</f>
        <v>lynn</v>
      </c>
      <c r="O1854" s="7">
        <f t="shared" si="5"/>
        <v>4</v>
      </c>
      <c r="P1854" s="8" t="str">
        <f t="shared" si="6"/>
        <v>Yes</v>
      </c>
    </row>
    <row r="1855">
      <c r="A1855" s="4" t="s">
        <v>16</v>
      </c>
      <c r="B1855" s="4" t="s">
        <v>5235</v>
      </c>
      <c r="C1855" s="5">
        <v>44764.0</v>
      </c>
      <c r="D1855" s="10">
        <v>44764.0</v>
      </c>
      <c r="E1855" s="4" t="s">
        <v>5236</v>
      </c>
      <c r="F1855" s="4" t="s">
        <v>5237</v>
      </c>
      <c r="G1855" s="6" t="str">
        <f>IFERROR(__xludf.DUMMYFUNCTION("REGEXREPLACE(LOWER(F1855),""[^a-z\s]"","""")"),"still has not yet shipped despite a  day wait on the website ive contacted support via text and despite this my dogs food has not shipped")</f>
        <v>still has not yet shipped despite a  day wait on the website ive contacted support via text and despite this my dogs food has not shipped</v>
      </c>
      <c r="H1855" s="4" t="str">
        <f t="shared" si="1"/>
        <v>still has not yet shipped despite a day wait on website ive contacted support via text despite this my dogs food has not shipped</v>
      </c>
      <c r="I1855" s="6">
        <f t="shared" si="2"/>
        <v>24</v>
      </c>
      <c r="J1855" s="6">
        <f>IFERROR(__xludf.DUMMYFUNCTION("IF(H1855="""","""",
SUM(
ARRAYFORMULA(
IF(
REGEXMATCH(
"" ""&amp;H1855&amp;"" "",
"" ""&amp;Sentiment_Words!A$2:A3730&amp;"" ""
),
1,
0
)
)
)
)"),0.0)</f>
        <v>0</v>
      </c>
      <c r="K1855" s="4">
        <f>IFERROR(__xludf.DUMMYFUNCTION("IF(H1855="""","""",
SUM(
ARRAYFORMULA(
IF(
REGEXMATCH(
"" ""&amp;H1855&amp;"" "",
"" ""&amp;Sentiment_Words!B$2:B3730&amp;"" ""
),
1,
0
)
)
)
)"),0.0)</f>
        <v>0</v>
      </c>
      <c r="L1855" s="7" t="str">
        <f t="shared" si="3"/>
        <v>Customer Support</v>
      </c>
      <c r="M1855" s="7" t="str">
        <f t="shared" si="4"/>
        <v>Neutral</v>
      </c>
      <c r="N1855" s="7" t="str">
        <f>IFERROR(__xludf.DUMMYFUNCTION("LOWER(
TRIM(
REGEXREPLACE(B1855,""[^a-zA-Z\s]"","""")
)
)
"),"barbara grossi")</f>
        <v>barbara grossi</v>
      </c>
      <c r="O1855" s="7">
        <f t="shared" si="5"/>
        <v>1</v>
      </c>
      <c r="P1855" s="8" t="str">
        <f t="shared" si="6"/>
        <v>No</v>
      </c>
    </row>
    <row r="1856">
      <c r="A1856" s="4" t="s">
        <v>16</v>
      </c>
      <c r="B1856" s="4" t="s">
        <v>5238</v>
      </c>
      <c r="C1856" s="5">
        <v>44764.0</v>
      </c>
      <c r="D1856" s="10">
        <v>44764.0</v>
      </c>
      <c r="E1856" s="4" t="s">
        <v>5239</v>
      </c>
      <c r="F1856" s="4" t="s">
        <v>331</v>
      </c>
      <c r="G1856" s="6" t="str">
        <f>IFERROR(__xludf.DUMMYFUNCTION("REGEXREPLACE(LOWER(F1856),""[^a-z\s]"","""")"),"none")</f>
        <v>none</v>
      </c>
      <c r="H1856" s="4" t="str">
        <f t="shared" si="1"/>
        <v>none</v>
      </c>
      <c r="I1856" s="6">
        <f t="shared" si="2"/>
        <v>1</v>
      </c>
      <c r="J1856" s="6">
        <f>IFERROR(__xludf.DUMMYFUNCTION("IF(H1856="""","""",
SUM(
ARRAYFORMULA(
IF(
REGEXMATCH(
"" ""&amp;H1856&amp;"" "",
"" ""&amp;Sentiment_Words!A$2:A3730&amp;"" ""
),
1,
0
)
)
)
)"),0.0)</f>
        <v>0</v>
      </c>
      <c r="K1856" s="4">
        <f>IFERROR(__xludf.DUMMYFUNCTION("IF(H1856="""","""",
SUM(
ARRAYFORMULA(
IF(
REGEXMATCH(
"" ""&amp;H1856&amp;"" "",
"" ""&amp;Sentiment_Words!B$2:B3730&amp;"" ""
),
1,
0
)
)
)
)"),0.0)</f>
        <v>0</v>
      </c>
      <c r="L1856" s="7" t="str">
        <f t="shared" si="3"/>
        <v>Other</v>
      </c>
      <c r="M1856" s="7" t="str">
        <f t="shared" si="4"/>
        <v>Neutral</v>
      </c>
      <c r="N1856" s="7" t="str">
        <f>IFERROR(__xludf.DUMMYFUNCTION("LOWER(
TRIM(
REGEXREPLACE(B1856,""[^a-zA-Z\s]"","""")
)
)
"),"richard baumgartner")</f>
        <v>richard baumgartner</v>
      </c>
      <c r="O1856" s="7">
        <f t="shared" si="5"/>
        <v>1</v>
      </c>
      <c r="P1856" s="8" t="str">
        <f t="shared" si="6"/>
        <v>No</v>
      </c>
    </row>
    <row r="1857">
      <c r="A1857" s="4" t="s">
        <v>16</v>
      </c>
      <c r="B1857" s="4" t="s">
        <v>5240</v>
      </c>
      <c r="C1857" s="5">
        <v>44764.0</v>
      </c>
      <c r="D1857" s="10">
        <v>44764.0</v>
      </c>
      <c r="E1857" s="4" t="s">
        <v>5241</v>
      </c>
      <c r="F1857" s="4" t="s">
        <v>331</v>
      </c>
      <c r="G1857" s="6" t="str">
        <f>IFERROR(__xludf.DUMMYFUNCTION("REGEXREPLACE(LOWER(F1857),""[^a-z\s]"","""")"),"none")</f>
        <v>none</v>
      </c>
      <c r="H1857" s="4" t="str">
        <f t="shared" si="1"/>
        <v>none</v>
      </c>
      <c r="I1857" s="6">
        <f t="shared" si="2"/>
        <v>1</v>
      </c>
      <c r="J1857" s="6">
        <f>IFERROR(__xludf.DUMMYFUNCTION("IF(H1857="""","""",
SUM(
ARRAYFORMULA(
IF(
REGEXMATCH(
"" ""&amp;H1857&amp;"" "",
"" ""&amp;Sentiment_Words!A$2:A3730&amp;"" ""
),
1,
0
)
)
)
)"),0.0)</f>
        <v>0</v>
      </c>
      <c r="K1857" s="4">
        <f>IFERROR(__xludf.DUMMYFUNCTION("IF(H1857="""","""",
SUM(
ARRAYFORMULA(
IF(
REGEXMATCH(
"" ""&amp;H1857&amp;"" "",
"" ""&amp;Sentiment_Words!B$2:B3730&amp;"" ""
),
1,
0
)
)
)
)"),0.0)</f>
        <v>0</v>
      </c>
      <c r="L1857" s="7" t="str">
        <f t="shared" si="3"/>
        <v>Other</v>
      </c>
      <c r="M1857" s="7" t="str">
        <f t="shared" si="4"/>
        <v>Neutral</v>
      </c>
      <c r="N1857" s="7" t="str">
        <f>IFERROR(__xludf.DUMMYFUNCTION("LOWER(
TRIM(
REGEXREPLACE(B1857,""[^a-zA-Z\s]"","""")
)
)
"),"aaron schott")</f>
        <v>aaron schott</v>
      </c>
      <c r="O1857" s="7">
        <f t="shared" si="5"/>
        <v>1</v>
      </c>
      <c r="P1857" s="8" t="str">
        <f t="shared" si="6"/>
        <v>No</v>
      </c>
    </row>
    <row r="1858">
      <c r="A1858" s="4" t="s">
        <v>16</v>
      </c>
      <c r="B1858" s="4" t="s">
        <v>5242</v>
      </c>
      <c r="C1858" s="5">
        <v>44764.0</v>
      </c>
      <c r="D1858" s="10">
        <v>44764.0</v>
      </c>
      <c r="E1858" s="4" t="s">
        <v>5243</v>
      </c>
      <c r="F1858" s="4" t="s">
        <v>5244</v>
      </c>
      <c r="G1858" s="6" t="str">
        <f>IFERROR(__xludf.DUMMYFUNCTION("REGEXREPLACE(LOWER(F1858),""[^a-z\s]"","""")"),"customer service very helpful quick response to text message")</f>
        <v>customer service very helpful quick response to text message</v>
      </c>
      <c r="H1858" s="4" t="str">
        <f t="shared" si="1"/>
        <v>customer service very helpful quick response text message</v>
      </c>
      <c r="I1858" s="6">
        <f t="shared" si="2"/>
        <v>8</v>
      </c>
      <c r="J1858" s="6">
        <f>IFERROR(__xludf.DUMMYFUNCTION("IF(H1858="""","""",
SUM(
ARRAYFORMULA(
IF(
REGEXMATCH(
"" ""&amp;H1858&amp;"" "",
"" ""&amp;Sentiment_Words!A$2:A3730&amp;"" ""
),
1,
0
)
)
)
)"),1.0)</f>
        <v>1</v>
      </c>
      <c r="K1858" s="4">
        <f>IFERROR(__xludf.DUMMYFUNCTION("IF(H1858="""","""",
SUM(
ARRAYFORMULA(
IF(
REGEXMATCH(
"" ""&amp;H1858&amp;"" "",
"" ""&amp;Sentiment_Words!B$2:B3730&amp;"" ""
),
1,
0
)
)
)
)"),1.0)</f>
        <v>1</v>
      </c>
      <c r="L1858" s="7" t="str">
        <f t="shared" si="3"/>
        <v>Customer Support</v>
      </c>
      <c r="M1858" s="7" t="str">
        <f t="shared" si="4"/>
        <v>Neutral</v>
      </c>
      <c r="N1858" s="7" t="str">
        <f>IFERROR(__xludf.DUMMYFUNCTION("LOWER(
TRIM(
REGEXREPLACE(B1858,""[^a-zA-Z\s]"","""")
)
)
"),"patty jablonowski")</f>
        <v>patty jablonowski</v>
      </c>
      <c r="O1858" s="7">
        <f t="shared" si="5"/>
        <v>1</v>
      </c>
      <c r="P1858" s="8" t="str">
        <f t="shared" si="6"/>
        <v>No</v>
      </c>
    </row>
    <row r="1859">
      <c r="A1859" s="4" t="s">
        <v>16</v>
      </c>
      <c r="B1859" s="4" t="s">
        <v>5245</v>
      </c>
      <c r="C1859" s="5">
        <v>44763.0</v>
      </c>
      <c r="D1859" s="10">
        <v>44764.0</v>
      </c>
      <c r="E1859" s="4" t="s">
        <v>5246</v>
      </c>
      <c r="F1859" s="4" t="s">
        <v>5247</v>
      </c>
      <c r="G1859" s="6" t="str">
        <f>IFERROR(__xludf.DUMMYFUNCTION("REGEXREPLACE(LOWER(F1859),""[^a-z\s]"","""")"),"i would like thank pet flow and especially the young lady i spoke to when i called in about my order i have always been very happy with your service especially now service and customer satisfaction have always been extraordinary")</f>
        <v>i would like thank pet flow and especially the young lady i spoke to when i called in about my order i have always been very happy with your service especially now service and customer satisfaction have always been extraordinary</v>
      </c>
      <c r="H1859" s="4" t="str">
        <f t="shared" si="1"/>
        <v>i would like thank pet flow especially young lady i spoke when i called in about my order i have always been very happy with your service especially now service customer satisfaction have always been extraordinary</v>
      </c>
      <c r="I1859" s="6">
        <f t="shared" si="2"/>
        <v>36</v>
      </c>
      <c r="J1859" s="6">
        <f>IFERROR(__xludf.DUMMYFUNCTION("IF(H1859="""","""",
SUM(
ARRAYFORMULA(
IF(
REGEXMATCH(
"" ""&amp;H1859&amp;"" "",
"" ""&amp;Sentiment_Words!A$2:A3730&amp;"" ""
),
1,
0
)
)
)
)"),1.0)</f>
        <v>1</v>
      </c>
      <c r="K1859" s="4">
        <f>IFERROR(__xludf.DUMMYFUNCTION("IF(H1859="""","""",
SUM(
ARRAYFORMULA(
IF(
REGEXMATCH(
"" ""&amp;H1859&amp;"" "",
"" ""&amp;Sentiment_Words!B$2:B3730&amp;"" ""
),
1,
0
)
)
)
)"),0.0)</f>
        <v>0</v>
      </c>
      <c r="L1859" s="7" t="str">
        <f t="shared" si="3"/>
        <v>Customer Support</v>
      </c>
      <c r="M1859" s="7" t="str">
        <f t="shared" si="4"/>
        <v>Positive</v>
      </c>
      <c r="N1859" s="7" t="str">
        <f>IFERROR(__xludf.DUMMYFUNCTION("LOWER(
TRIM(
REGEXREPLACE(B1859,""[^a-zA-Z\s]"","""")
)
)
"),"richard ritchey")</f>
        <v>richard ritchey</v>
      </c>
      <c r="O1859" s="7">
        <f t="shared" si="5"/>
        <v>1</v>
      </c>
      <c r="P1859" s="8" t="str">
        <f t="shared" si="6"/>
        <v>No</v>
      </c>
    </row>
    <row r="1860">
      <c r="A1860" s="4" t="s">
        <v>16</v>
      </c>
      <c r="B1860" s="4" t="s">
        <v>5248</v>
      </c>
      <c r="C1860" s="5">
        <v>44763.0</v>
      </c>
      <c r="D1860" s="10">
        <v>44764.0</v>
      </c>
      <c r="E1860" s="4" t="s">
        <v>5249</v>
      </c>
      <c r="F1860" s="4" t="s">
        <v>5250</v>
      </c>
      <c r="G1860" s="6" t="str">
        <f>IFERROR(__xludf.DUMMYFUNCTION("REGEXREPLACE(LOWER(F1860),""[^a-z\s]"","""")"),"they sent me a duplicate order and told me i could return it if i pay the shipping not good business practice lost this customer of a shipping charge that was their fault")</f>
        <v>they sent me a duplicate order and told me i could return it if i pay the shipping not good business practice lost this customer of a shipping charge that was their fault</v>
      </c>
      <c r="H1860" s="4" t="str">
        <f t="shared" si="1"/>
        <v>they sent me a duplicate order told me i could return it if i pay shipping not good business practice lost this customer of a shipping charge that was their fault</v>
      </c>
      <c r="I1860" s="6">
        <f t="shared" si="2"/>
        <v>31</v>
      </c>
      <c r="J1860" s="6">
        <f>IFERROR(__xludf.DUMMYFUNCTION("IF(H1860="""","""",
SUM(
ARRAYFORMULA(
IF(
REGEXMATCH(
"" ""&amp;H1860&amp;"" "",
"" ""&amp;Sentiment_Words!A$2:A3730&amp;"" ""
),
1,
0
)
)
)
)"),1.0)</f>
        <v>1</v>
      </c>
      <c r="K1860" s="4">
        <f>IFERROR(__xludf.DUMMYFUNCTION("IF(H1860="""","""",
SUM(
ARRAYFORMULA(
IF(
REGEXMATCH(
"" ""&amp;H1860&amp;"" "",
"" ""&amp;Sentiment_Words!B$2:B3730&amp;"" ""
),
1,
0
)
)
)
)"),0.0)</f>
        <v>0</v>
      </c>
      <c r="L1860" s="7" t="str">
        <f t="shared" si="3"/>
        <v>Other</v>
      </c>
      <c r="M1860" s="7" t="str">
        <f t="shared" si="4"/>
        <v>Positive</v>
      </c>
      <c r="N1860" s="7" t="str">
        <f>IFERROR(__xludf.DUMMYFUNCTION("LOWER(
TRIM(
REGEXREPLACE(B1860,""[^a-zA-Z\s]"","""")
)
)
"),"richard ceccacci jr")</f>
        <v>richard ceccacci jr</v>
      </c>
      <c r="O1860" s="7">
        <f t="shared" si="5"/>
        <v>1</v>
      </c>
      <c r="P1860" s="8" t="str">
        <f t="shared" si="6"/>
        <v>No</v>
      </c>
    </row>
    <row r="1861">
      <c r="A1861" s="4" t="s">
        <v>16</v>
      </c>
      <c r="B1861" s="4" t="s">
        <v>5251</v>
      </c>
      <c r="C1861" s="5">
        <v>44763.0</v>
      </c>
      <c r="D1861" s="10">
        <v>44763.0</v>
      </c>
      <c r="E1861" s="4" t="s">
        <v>5252</v>
      </c>
      <c r="F1861" s="4" t="s">
        <v>5253</v>
      </c>
      <c r="G1861" s="6" t="str">
        <f>IFERROR(__xludf.DUMMYFUNCTION("REGEXREPLACE(LOWER(F1861),""[^a-z\s]"","""")"),"i ordered a product you listed as in stock
gave info for vet clinic
order was marked shipped in account but no tracking supplied
after a few days i looked on line and account said script denied by clinic
then i received an email saying out of stock and or"&amp;"der cancelled
not a good way to start with my first order")</f>
        <v>i ordered a product you listed as in stock
gave info for vet clinic
order was marked shipped in account but no tracking supplied
after a few days i looked on line and account said script denied by clinic
then i received an email saying out of stock and order cancelled
not a good way to start with my first order</v>
      </c>
      <c r="H1861" s="4" t="str">
        <f t="shared" si="1"/>
        <v>i ordered a product you listed as in stock
gave info vet clinic
order was marked shipped in account but no tracking supplied
after a few days i looked on line account said script denied by clinic
then i received an email saying out of stock order cancelled
not a good way start with my first order</v>
      </c>
      <c r="I1861" s="6">
        <f t="shared" si="2"/>
        <v>52</v>
      </c>
      <c r="J1861" s="6">
        <f>IFERROR(__xludf.DUMMYFUNCTION("IF(H1861="""","""",
SUM(
ARRAYFORMULA(
IF(
REGEXMATCH(
"" ""&amp;H1861&amp;"" "",
"" ""&amp;Sentiment_Words!A$2:A3730&amp;"" ""
),
1,
0
)
)
)
)"),1.0)</f>
        <v>1</v>
      </c>
      <c r="K1861" s="4">
        <f>IFERROR(__xludf.DUMMYFUNCTION("IF(H1861="""","""",
SUM(
ARRAYFORMULA(
IF(
REGEXMATCH(
"" ""&amp;H1861&amp;"" "",
"" ""&amp;Sentiment_Words!B$2:B3730&amp;"" ""
),
1,
0
)
)
)
)"),1.0)</f>
        <v>1</v>
      </c>
      <c r="L1861" s="7" t="str">
        <f t="shared" si="3"/>
        <v>Availability</v>
      </c>
      <c r="M1861" s="7" t="str">
        <f t="shared" si="4"/>
        <v>Neutral</v>
      </c>
      <c r="N1861" s="7" t="str">
        <f>IFERROR(__xludf.DUMMYFUNCTION("LOWER(
TRIM(
REGEXREPLACE(B1861,""[^a-zA-Z\s]"","""")
)
)
"),"robin elder")</f>
        <v>robin elder</v>
      </c>
      <c r="O1861" s="7">
        <f t="shared" si="5"/>
        <v>1</v>
      </c>
      <c r="P1861" s="8" t="str">
        <f t="shared" si="6"/>
        <v>No</v>
      </c>
    </row>
    <row r="1862">
      <c r="A1862" s="4" t="s">
        <v>16</v>
      </c>
      <c r="B1862" s="4" t="s">
        <v>5254</v>
      </c>
      <c r="C1862" s="5">
        <v>44763.0</v>
      </c>
      <c r="D1862" s="10">
        <v>44763.0</v>
      </c>
      <c r="E1862" s="4" t="s">
        <v>5255</v>
      </c>
      <c r="F1862" s="4" t="s">
        <v>5256</v>
      </c>
      <c r="G1862" s="6" t="str">
        <f>IFERROR(__xludf.DUMMYFUNCTION("REGEXREPLACE(LOWER(F1862),""[^a-z\s]"","""")"),"finding birdfood in  lbs is very hard the order went great and was delivered fast very happy")</f>
        <v>finding birdfood in  lbs is very hard the order went great and was delivered fast very happy</v>
      </c>
      <c r="H1862" s="4" t="str">
        <f t="shared" si="1"/>
        <v>finding birdfood in lbs very hard order went great was delivered fast very happy</v>
      </c>
      <c r="I1862" s="6">
        <f t="shared" si="2"/>
        <v>14</v>
      </c>
      <c r="J1862" s="6">
        <f>IFERROR(__xludf.DUMMYFUNCTION("IF(H1862="""","""",
SUM(
ARRAYFORMULA(
IF(
REGEXMATCH(
"" ""&amp;H1862&amp;"" "",
"" ""&amp;Sentiment_Words!A$2:A3730&amp;"" ""
),
1,
0
)
)
)
)"),4.0)</f>
        <v>4</v>
      </c>
      <c r="K1862" s="4">
        <f>IFERROR(__xludf.DUMMYFUNCTION("IF(H1862="""","""",
SUM(
ARRAYFORMULA(
IF(
REGEXMATCH(
"" ""&amp;H1862&amp;"" "",
"" ""&amp;Sentiment_Words!B$2:B3730&amp;"" ""
),
1,
0
)
)
)
)"),0.0)</f>
        <v>0</v>
      </c>
      <c r="L1862" s="7" t="str">
        <f t="shared" si="3"/>
        <v>Other</v>
      </c>
      <c r="M1862" s="7" t="str">
        <f t="shared" si="4"/>
        <v>Positive</v>
      </c>
      <c r="N1862" s="7" t="str">
        <f>IFERROR(__xludf.DUMMYFUNCTION("LOWER(
TRIM(
REGEXREPLACE(B1862,""[^a-zA-Z\s]"","""")
)
)
"),"laura anne welch")</f>
        <v>laura anne welch</v>
      </c>
      <c r="O1862" s="7">
        <f t="shared" si="5"/>
        <v>1</v>
      </c>
      <c r="P1862" s="8" t="str">
        <f t="shared" si="6"/>
        <v>No</v>
      </c>
    </row>
    <row r="1863">
      <c r="A1863" s="4" t="s">
        <v>16</v>
      </c>
      <c r="B1863" s="4" t="s">
        <v>5257</v>
      </c>
      <c r="C1863" s="5">
        <v>44763.0</v>
      </c>
      <c r="D1863" s="10">
        <v>44763.0</v>
      </c>
      <c r="E1863" s="4" t="s">
        <v>5258</v>
      </c>
      <c r="F1863" s="4" t="s">
        <v>5259</v>
      </c>
      <c r="G1863" s="6" t="str">
        <f>IFERROR(__xludf.DUMMYFUNCTION("REGEXREPLACE(LOWER(F1863),""[^a-z\s]"","""")"),"my orders were canceled and i didnt get any email letting me know i had to contact customer service and they told me they were canceled")</f>
        <v>my orders were canceled and i didnt get any email letting me know i had to contact customer service and they told me they were canceled</v>
      </c>
      <c r="H1863" s="4" t="str">
        <f t="shared" si="1"/>
        <v>my orders were canceled i didnt get any email letting me know i had contact customer service they told me they were canceled</v>
      </c>
      <c r="I1863" s="6">
        <f t="shared" si="2"/>
        <v>23</v>
      </c>
      <c r="J1863" s="6">
        <f>IFERROR(__xludf.DUMMYFUNCTION("IF(H1863="""","""",
SUM(
ARRAYFORMULA(
IF(
REGEXMATCH(
"" ""&amp;H1863&amp;"" "",
"" ""&amp;Sentiment_Words!A$2:A3730&amp;"" ""
),
1,
0
)
)
)
)"),0.0)</f>
        <v>0</v>
      </c>
      <c r="K1863" s="4">
        <f>IFERROR(__xludf.DUMMYFUNCTION("IF(H1863="""","""",
SUM(
ARRAYFORMULA(
IF(
REGEXMATCH(
"" ""&amp;H1863&amp;"" "",
"" ""&amp;Sentiment_Words!B$2:B3730&amp;"" ""
),
1,
0
)
)
)
)"),1.0)</f>
        <v>1</v>
      </c>
      <c r="L1863" s="7" t="str">
        <f t="shared" si="3"/>
        <v>Customer Support</v>
      </c>
      <c r="M1863" s="7" t="str">
        <f t="shared" si="4"/>
        <v>Negative</v>
      </c>
      <c r="N1863" s="7" t="str">
        <f>IFERROR(__xludf.DUMMYFUNCTION("LOWER(
TRIM(
REGEXREPLACE(B1863,""[^a-zA-Z\s]"","""")
)
)
"),"dorecia wilde")</f>
        <v>dorecia wilde</v>
      </c>
      <c r="O1863" s="7">
        <f t="shared" si="5"/>
        <v>1</v>
      </c>
      <c r="P1863" s="8" t="str">
        <f t="shared" si="6"/>
        <v>No</v>
      </c>
    </row>
    <row r="1864">
      <c r="A1864" s="4" t="s">
        <v>16</v>
      </c>
      <c r="B1864" s="4" t="s">
        <v>5260</v>
      </c>
      <c r="C1864" s="5">
        <v>44763.0</v>
      </c>
      <c r="D1864" s="10">
        <v>44763.0</v>
      </c>
      <c r="E1864" s="4" t="s">
        <v>5261</v>
      </c>
      <c r="F1864" s="4" t="s">
        <v>5262</v>
      </c>
      <c r="G1864" s="6" t="str">
        <f>IFERROR(__xludf.DUMMYFUNCTION("REGEXREPLACE(LOWER(F1864),""[^a-z\s]"","""")"),"good experience and they had what i wanted and quick delivery ill use you again")</f>
        <v>good experience and they had what i wanted and quick delivery ill use you again</v>
      </c>
      <c r="H1864" s="4" t="str">
        <f t="shared" si="1"/>
        <v>good experience they had what i wanted quick delivery ill use you again</v>
      </c>
      <c r="I1864" s="6">
        <f t="shared" si="2"/>
        <v>13</v>
      </c>
      <c r="J1864" s="6">
        <f>IFERROR(__xludf.DUMMYFUNCTION("IF(H1864="""","""",
SUM(
ARRAYFORMULA(
IF(
REGEXMATCH(
"" ""&amp;H1864&amp;"" "",
"" ""&amp;Sentiment_Words!A$2:A3730&amp;"" ""
),
1,
0
)
)
)
)"),2.0)</f>
        <v>2</v>
      </c>
      <c r="K1864" s="4">
        <f>IFERROR(__xludf.DUMMYFUNCTION("IF(H1864="""","""",
SUM(
ARRAYFORMULA(
IF(
REGEXMATCH(
"" ""&amp;H1864&amp;"" "",
"" ""&amp;Sentiment_Words!B$2:B3730&amp;"" ""
),
1,
0
)
)
)
)"),0.0)</f>
        <v>0</v>
      </c>
      <c r="L1864" s="7" t="str">
        <f t="shared" si="3"/>
        <v>Other</v>
      </c>
      <c r="M1864" s="7" t="str">
        <f t="shared" si="4"/>
        <v>Positive</v>
      </c>
      <c r="N1864" s="7" t="str">
        <f>IFERROR(__xludf.DUMMYFUNCTION("LOWER(
TRIM(
REGEXREPLACE(B1864,""[^a-zA-Z\s]"","""")
)
)
"),"christine bonham")</f>
        <v>christine bonham</v>
      </c>
      <c r="O1864" s="7">
        <f t="shared" si="5"/>
        <v>1</v>
      </c>
      <c r="P1864" s="8" t="str">
        <f t="shared" si="6"/>
        <v>No</v>
      </c>
    </row>
    <row r="1865">
      <c r="A1865" s="4" t="s">
        <v>16</v>
      </c>
      <c r="B1865" s="4" t="s">
        <v>5263</v>
      </c>
      <c r="C1865" s="5">
        <v>44763.0</v>
      </c>
      <c r="D1865" s="10">
        <v>44763.0</v>
      </c>
      <c r="E1865" s="4" t="s">
        <v>5264</v>
      </c>
      <c r="F1865" s="4" t="s">
        <v>5265</v>
      </c>
      <c r="G1865" s="6" t="str">
        <f>IFERROR(__xludf.DUMMYFUNCTION("REGEXREPLACE(LOWER(F1865),""[^a-z\s]"","""")"),"i think the communication around delivery was good and the prices were good but the separate package i was sent of wet food to fulfill the order had dents along the side which i am reluctant to give to any of the cats we care for so in that regard im unsu"&amp;"re of whether to ask for a partial refund andor to order through petflow again")</f>
        <v>i think the communication around delivery was good and the prices were good but the separate package i was sent of wet food to fulfill the order had dents along the side which i am reluctant to give to any of the cats we care for so in that regard im unsure of whether to ask for a partial refund andor to order through petflow again</v>
      </c>
      <c r="H1865" s="4" t="str">
        <f t="shared" si="1"/>
        <v>i think communication around delivery was good prices were good but separate package i was sent of wet food fulfill order had dents along side which i am reluctant give any of cats we care so in that regard im unsure of whether ask a partial refund andor order through petflow again</v>
      </c>
      <c r="I1865" s="6">
        <f t="shared" si="2"/>
        <v>52</v>
      </c>
      <c r="J1865" s="6">
        <f>IFERROR(__xludf.DUMMYFUNCTION("IF(H1865="""","""",
SUM(
ARRAYFORMULA(
IF(
REGEXMATCH(
"" ""&amp;H1865&amp;"" "",
"" ""&amp;Sentiment_Words!A$2:A3730&amp;"" ""
),
1,
0
)
)
)
)"),1.0)</f>
        <v>1</v>
      </c>
      <c r="K1865" s="4">
        <f>IFERROR(__xludf.DUMMYFUNCTION("IF(H1865="""","""",
SUM(
ARRAYFORMULA(
IF(
REGEXMATCH(
"" ""&amp;H1865&amp;"" "",
"" ""&amp;Sentiment_Words!B$2:B3730&amp;"" ""
),
1,
0
)
)
)
)"),1.0)</f>
        <v>1</v>
      </c>
      <c r="L1865" s="7" t="str">
        <f t="shared" si="3"/>
        <v>Other</v>
      </c>
      <c r="M1865" s="7" t="str">
        <f t="shared" si="4"/>
        <v>Neutral</v>
      </c>
      <c r="N1865" s="7" t="str">
        <f>IFERROR(__xludf.DUMMYFUNCTION("LOWER(
TRIM(
REGEXREPLACE(B1865,""[^a-zA-Z\s]"","""")
)
)
"),"douglas vergara")</f>
        <v>douglas vergara</v>
      </c>
      <c r="O1865" s="7">
        <f t="shared" si="5"/>
        <v>1</v>
      </c>
      <c r="P1865" s="8" t="str">
        <f t="shared" si="6"/>
        <v>No</v>
      </c>
    </row>
    <row r="1866">
      <c r="A1866" s="4" t="s">
        <v>16</v>
      </c>
      <c r="B1866" s="4" t="s">
        <v>5266</v>
      </c>
      <c r="C1866" s="5">
        <v>44763.0</v>
      </c>
      <c r="D1866" s="10">
        <v>44763.0</v>
      </c>
      <c r="E1866" s="4" t="s">
        <v>5267</v>
      </c>
      <c r="F1866" s="4" t="s">
        <v>5268</v>
      </c>
      <c r="G1866" s="6" t="str">
        <f>IFERROR(__xludf.DUMMYFUNCTION("REGEXREPLACE(LOWER(F1866),""[^a-z\s]"","""")"),"only picked your website because of the promised  off first order and it wasnt valid for my products")</f>
        <v>only picked your website because of the promised  off first order and it wasnt valid for my products</v>
      </c>
      <c r="H1866" s="4" t="str">
        <f t="shared" si="1"/>
        <v>only picked your website because of promised off first order it wasnt valid my products</v>
      </c>
      <c r="I1866" s="6">
        <f t="shared" si="2"/>
        <v>15</v>
      </c>
      <c r="J1866" s="6">
        <f>IFERROR(__xludf.DUMMYFUNCTION("IF(H1866="""","""",
SUM(
ARRAYFORMULA(
IF(
REGEXMATCH(
"" ""&amp;H1866&amp;"" "",
"" ""&amp;Sentiment_Words!A$2:A3730&amp;"" ""
),
1,
0
)
)
)
)"),0.0)</f>
        <v>0</v>
      </c>
      <c r="K1866" s="4">
        <f>IFERROR(__xludf.DUMMYFUNCTION("IF(H1866="""","""",
SUM(
ARRAYFORMULA(
IF(
REGEXMATCH(
"" ""&amp;H1866&amp;"" "",
"" ""&amp;Sentiment_Words!B$2:B3730&amp;"" ""
),
1,
0
)
)
)
)"),0.0)</f>
        <v>0</v>
      </c>
      <c r="L1866" s="7" t="str">
        <f t="shared" si="3"/>
        <v>Account &amp; Website</v>
      </c>
      <c r="M1866" s="7" t="str">
        <f t="shared" si="4"/>
        <v>Neutral</v>
      </c>
      <c r="N1866" s="7" t="str">
        <f>IFERROR(__xludf.DUMMYFUNCTION("LOWER(
TRIM(
REGEXREPLACE(B1866,""[^a-zA-Z\s]"","""")
)
)
"),"bwheeler")</f>
        <v>bwheeler</v>
      </c>
      <c r="O1866" s="7">
        <f t="shared" si="5"/>
        <v>1</v>
      </c>
      <c r="P1866" s="8" t="str">
        <f t="shared" si="6"/>
        <v>No</v>
      </c>
    </row>
    <row r="1867">
      <c r="A1867" s="4" t="s">
        <v>16</v>
      </c>
      <c r="B1867" s="4" t="s">
        <v>5269</v>
      </c>
      <c r="C1867" s="5">
        <v>44762.0</v>
      </c>
      <c r="D1867" s="10">
        <v>44763.0</v>
      </c>
      <c r="E1867" s="4" t="s">
        <v>5270</v>
      </c>
      <c r="F1867" s="4" t="s">
        <v>5271</v>
      </c>
      <c r="G1867" s="6" t="str">
        <f>IFERROR(__xludf.DUMMYFUNCTION("REGEXREPLACE(LOWER(F1867),""[^a-z\s]"","""")"),"exceptional communication  deliver right on time")</f>
        <v>exceptional communication  deliver right on time</v>
      </c>
      <c r="H1867" s="4" t="str">
        <f t="shared" si="1"/>
        <v>exceptional communication deliver right on time</v>
      </c>
      <c r="I1867" s="6">
        <f t="shared" si="2"/>
        <v>6</v>
      </c>
      <c r="J1867" s="6">
        <f>IFERROR(__xludf.DUMMYFUNCTION("IF(H1867="""","""",
SUM(
ARRAYFORMULA(
IF(
REGEXMATCH(
"" ""&amp;H1867&amp;"" "",
"" ""&amp;Sentiment_Words!A$2:A3730&amp;"" ""
),
1,
0
)
)
)
)"),1.0)</f>
        <v>1</v>
      </c>
      <c r="K1867" s="4">
        <f>IFERROR(__xludf.DUMMYFUNCTION("IF(H1867="""","""",
SUM(
ARRAYFORMULA(
IF(
REGEXMATCH(
"" ""&amp;H1867&amp;"" "",
"" ""&amp;Sentiment_Words!B$2:B3730&amp;"" ""
),
1,
0
)
)
)
)"),0.0)</f>
        <v>0</v>
      </c>
      <c r="L1867" s="7" t="str">
        <f t="shared" si="3"/>
        <v>Other</v>
      </c>
      <c r="M1867" s="7" t="str">
        <f t="shared" si="4"/>
        <v>Positive</v>
      </c>
      <c r="N1867" s="7" t="str">
        <f>IFERROR(__xludf.DUMMYFUNCTION("LOWER(
TRIM(
REGEXREPLACE(B1867,""[^a-zA-Z\s]"","""")
)
)
"),"roy chen")</f>
        <v>roy chen</v>
      </c>
      <c r="O1867" s="7">
        <f t="shared" si="5"/>
        <v>1</v>
      </c>
      <c r="P1867" s="8" t="str">
        <f t="shared" si="6"/>
        <v>No</v>
      </c>
    </row>
    <row r="1868">
      <c r="A1868" s="4" t="s">
        <v>16</v>
      </c>
      <c r="B1868" s="4" t="s">
        <v>5272</v>
      </c>
      <c r="C1868" s="5">
        <v>44762.0</v>
      </c>
      <c r="D1868" s="10">
        <v>44763.0</v>
      </c>
      <c r="E1868" s="4" t="s">
        <v>5273</v>
      </c>
      <c r="F1868" s="4" t="s">
        <v>5274</v>
      </c>
      <c r="G1868" s="6" t="str">
        <f>IFERROR(__xludf.DUMMYFUNCTION("REGEXREPLACE(LOWER(F1868),""[^a-z\s]"","""")"),"i ordered specific food was told two to three times just hadnt been packed and shipped vet provided prescription last minute told didnt have in inventory they repeatedly were dishonest caveat emptor")</f>
        <v>i ordered specific food was told two to three times just hadnt been packed and shipped vet provided prescription last minute told didnt have in inventory they repeatedly were dishonest caveat emptor</v>
      </c>
      <c r="H1868" s="4" t="str">
        <f t="shared" si="1"/>
        <v>i ordered specific food was told two three times just hadnt been packed shipped vet provided prescription last minute told didnt have in inventory they repeatedly were dishonest caveat emptor</v>
      </c>
      <c r="I1868" s="6">
        <f t="shared" si="2"/>
        <v>30</v>
      </c>
      <c r="J1868" s="6">
        <f>IFERROR(__xludf.DUMMYFUNCTION("IF(H1868="""","""",
SUM(
ARRAYFORMULA(
IF(
REGEXMATCH(
"" ""&amp;H1868&amp;"" "",
"" ""&amp;Sentiment_Words!A$2:A3730&amp;"" ""
),
1,
0
)
)
)
)"),0.0)</f>
        <v>0</v>
      </c>
      <c r="K1868" s="4">
        <f>IFERROR(__xludf.DUMMYFUNCTION("IF(H1868="""","""",
SUM(
ARRAYFORMULA(
IF(
REGEXMATCH(
"" ""&amp;H1868&amp;"" "",
"" ""&amp;Sentiment_Words!B$2:B3730&amp;"" ""
),
1,
0
)
)
)
)"),0.0)</f>
        <v>0</v>
      </c>
      <c r="L1868" s="7" t="str">
        <f t="shared" si="3"/>
        <v>Other</v>
      </c>
      <c r="M1868" s="7" t="str">
        <f t="shared" si="4"/>
        <v>Neutral</v>
      </c>
      <c r="N1868" s="7" t="str">
        <f>IFERROR(__xludf.DUMMYFUNCTION("LOWER(
TRIM(
REGEXREPLACE(B1868,""[^a-zA-Z\s]"","""")
)
)
"),"susan winter")</f>
        <v>susan winter</v>
      </c>
      <c r="O1868" s="7">
        <f t="shared" si="5"/>
        <v>1</v>
      </c>
      <c r="P1868" s="8" t="str">
        <f t="shared" si="6"/>
        <v>No</v>
      </c>
    </row>
    <row r="1869">
      <c r="A1869" s="4" t="s">
        <v>16</v>
      </c>
      <c r="B1869" s="4" t="s">
        <v>5275</v>
      </c>
      <c r="C1869" s="5">
        <v>44762.0</v>
      </c>
      <c r="D1869" s="10">
        <v>44762.0</v>
      </c>
      <c r="E1869" s="4" t="s">
        <v>5276</v>
      </c>
      <c r="F1869" s="4" t="s">
        <v>5277</v>
      </c>
      <c r="G1869" s="6" t="str">
        <f>IFERROR(__xludf.DUMMYFUNCTION("REGEXREPLACE(LOWER(F1869),""[^a-z\s]"","""")"),"my order was canceled by you guys because you didnt have the product")</f>
        <v>my order was canceled by you guys because you didnt have the product</v>
      </c>
      <c r="H1869" s="4" t="str">
        <f t="shared" si="1"/>
        <v>my order was canceled by you guys because you didnt have product</v>
      </c>
      <c r="I1869" s="6">
        <f t="shared" si="2"/>
        <v>12</v>
      </c>
      <c r="J1869" s="6">
        <f>IFERROR(__xludf.DUMMYFUNCTION("IF(H1869="""","""",
SUM(
ARRAYFORMULA(
IF(
REGEXMATCH(
"" ""&amp;H1869&amp;"" "",
"" ""&amp;Sentiment_Words!A$2:A3730&amp;"" ""
),
1,
0
)
)
)
)"),0.0)</f>
        <v>0</v>
      </c>
      <c r="K1869" s="4">
        <f>IFERROR(__xludf.DUMMYFUNCTION("IF(H1869="""","""",
SUM(
ARRAYFORMULA(
IF(
REGEXMATCH(
"" ""&amp;H1869&amp;"" "",
"" ""&amp;Sentiment_Words!B$2:B3730&amp;"" ""
),
1,
0
)
)
)
)"),0.0)</f>
        <v>0</v>
      </c>
      <c r="L1869" s="7" t="str">
        <f t="shared" si="3"/>
        <v>Other</v>
      </c>
      <c r="M1869" s="7" t="str">
        <f t="shared" si="4"/>
        <v>Neutral</v>
      </c>
      <c r="N1869" s="7" t="str">
        <f>IFERROR(__xludf.DUMMYFUNCTION("LOWER(
TRIM(
REGEXREPLACE(B1869,""[^a-zA-Z\s]"","""")
)
)
"),"john dustin")</f>
        <v>john dustin</v>
      </c>
      <c r="O1869" s="7">
        <f t="shared" si="5"/>
        <v>1</v>
      </c>
      <c r="P1869" s="8" t="str">
        <f t="shared" si="6"/>
        <v>No</v>
      </c>
    </row>
    <row r="1870">
      <c r="A1870" s="4" t="s">
        <v>16</v>
      </c>
      <c r="B1870" s="4" t="s">
        <v>5278</v>
      </c>
      <c r="C1870" s="5">
        <v>44762.0</v>
      </c>
      <c r="D1870" s="10">
        <v>44762.0</v>
      </c>
      <c r="E1870" s="4" t="s">
        <v>5279</v>
      </c>
      <c r="F1870" s="4" t="s">
        <v>5280</v>
      </c>
      <c r="G1870" s="6" t="str">
        <f>IFERROR(__xludf.DUMMYFUNCTION("REGEXREPLACE(LOWER(F1870),""[^a-z\s]"","""")"),"appreciative of recent discount offered when purchasing greater than  worth of products i feed approximately  cats so i buy in larger quantities when on sale canned food continues to arrive dented and one can popped open on last delivery but ive already i"&amp;"nformed your company of dented cans in the past with no change")</f>
        <v>appreciative of recent discount offered when purchasing greater than  worth of products i feed approximately  cats so i buy in larger quantities when on sale canned food continues to arrive dented and one can popped open on last delivery but ive already informed your company of dented cans in the past with no change</v>
      </c>
      <c r="H1870" s="4" t="str">
        <f t="shared" si="1"/>
        <v>appreciative of recent discount offered when purchasing greater than worth of products i feed approximately cats so i buy in larger quantities when on sale canned food continues arrive dented one can popped open on last delivery but ive already informed your company of dented cans in past with no change</v>
      </c>
      <c r="I1870" s="6">
        <f t="shared" si="2"/>
        <v>51</v>
      </c>
      <c r="J1870" s="6">
        <f>IFERROR(__xludf.DUMMYFUNCTION("IF(H1870="""","""",
SUM(
ARRAYFORMULA(
IF(
REGEXMATCH(
"" ""&amp;H1870&amp;"" "",
"" ""&amp;Sentiment_Words!A$2:A3730&amp;"" ""
),
1,
0
)
)
)
)"),1.0)</f>
        <v>1</v>
      </c>
      <c r="K1870" s="4">
        <f>IFERROR(__xludf.DUMMYFUNCTION("IF(H1870="""","""",
SUM(
ARRAYFORMULA(
IF(
REGEXMATCH(
"" ""&amp;H1870&amp;"" "",
"" ""&amp;Sentiment_Words!B$2:B3730&amp;"" ""
),
1,
0
)
)
)
)"),0.0)</f>
        <v>0</v>
      </c>
      <c r="L1870" s="7" t="str">
        <f t="shared" si="3"/>
        <v>Other</v>
      </c>
      <c r="M1870" s="7" t="str">
        <f t="shared" si="4"/>
        <v>Positive</v>
      </c>
      <c r="N1870" s="7" t="str">
        <f>IFERROR(__xludf.DUMMYFUNCTION("LOWER(
TRIM(
REGEXREPLACE(B1870,""[^a-zA-Z\s]"","""")
)
)
"),"lazaro perez")</f>
        <v>lazaro perez</v>
      </c>
      <c r="O1870" s="7">
        <f t="shared" si="5"/>
        <v>1</v>
      </c>
      <c r="P1870" s="8" t="str">
        <f t="shared" si="6"/>
        <v>No</v>
      </c>
    </row>
    <row r="1871">
      <c r="A1871" s="4" t="s">
        <v>16</v>
      </c>
      <c r="B1871" s="4" t="s">
        <v>5281</v>
      </c>
      <c r="C1871" s="5">
        <v>44762.0</v>
      </c>
      <c r="D1871" s="10">
        <v>44762.0</v>
      </c>
      <c r="E1871" s="4" t="s">
        <v>5282</v>
      </c>
      <c r="F1871" s="4" t="s">
        <v>5283</v>
      </c>
      <c r="G1871" s="6" t="str">
        <f>IFERROR(__xludf.DUMMYFUNCTION("REGEXREPLACE(LOWER(F1871),""[^a-z\s]"","""")"),"i am very satisfied with petflow service is great delivery is fast")</f>
        <v>i am very satisfied with petflow service is great delivery is fast</v>
      </c>
      <c r="H1871" s="4" t="str">
        <f t="shared" si="1"/>
        <v>i am very satisfied with petflow service great delivery fast</v>
      </c>
      <c r="I1871" s="6">
        <f t="shared" si="2"/>
        <v>10</v>
      </c>
      <c r="J1871" s="6">
        <f>IFERROR(__xludf.DUMMYFUNCTION("IF(H1871="""","""",
SUM(
ARRAYFORMULA(
IF(
REGEXMATCH(
"" ""&amp;H1871&amp;"" "",
"" ""&amp;Sentiment_Words!A$2:A3730&amp;"" ""
),
1,
0
)
)
)
)"),3.0)</f>
        <v>3</v>
      </c>
      <c r="K1871" s="4">
        <f>IFERROR(__xludf.DUMMYFUNCTION("IF(H1871="""","""",
SUM(
ARRAYFORMULA(
IF(
REGEXMATCH(
"" ""&amp;H1871&amp;"" "",
"" ""&amp;Sentiment_Words!B$2:B3730&amp;"" ""
),
1,
0
)
)
)
)"),0.0)</f>
        <v>0</v>
      </c>
      <c r="L1871" s="7" t="str">
        <f t="shared" si="3"/>
        <v>Customer Support</v>
      </c>
      <c r="M1871" s="7" t="str">
        <f t="shared" si="4"/>
        <v>Positive</v>
      </c>
      <c r="N1871" s="7" t="str">
        <f>IFERROR(__xludf.DUMMYFUNCTION("LOWER(
TRIM(
REGEXREPLACE(B1871,""[^a-zA-Z\s]"","""")
)
)
"),"jen petsu")</f>
        <v>jen petsu</v>
      </c>
      <c r="O1871" s="7">
        <f t="shared" si="5"/>
        <v>1</v>
      </c>
      <c r="P1871" s="8" t="str">
        <f t="shared" si="6"/>
        <v>No</v>
      </c>
    </row>
    <row r="1872">
      <c r="A1872" s="4" t="s">
        <v>16</v>
      </c>
      <c r="B1872" s="4" t="s">
        <v>5284</v>
      </c>
      <c r="C1872" s="5">
        <v>44762.0</v>
      </c>
      <c r="D1872" s="10">
        <v>44762.0</v>
      </c>
      <c r="E1872" s="4" t="s">
        <v>5285</v>
      </c>
      <c r="F1872" s="4" t="s">
        <v>5286</v>
      </c>
      <c r="G1872" s="6" t="str">
        <f>IFERROR(__xludf.DUMMYFUNCTION("REGEXREPLACE(LOWER(F1872),""[^a-z\s]"","""")"),"so happy i found this website  they have all my frenchies products  will order again soon")</f>
        <v>so happy i found this website  they have all my frenchies products  will order again soon</v>
      </c>
      <c r="H1872" s="4" t="str">
        <f t="shared" si="1"/>
        <v>so happy i found this website they have all my frenchies products will order again soon</v>
      </c>
      <c r="I1872" s="6">
        <f t="shared" si="2"/>
        <v>16</v>
      </c>
      <c r="J1872" s="6">
        <f>IFERROR(__xludf.DUMMYFUNCTION("IF(H1872="""","""",
SUM(
ARRAYFORMULA(
IF(
REGEXMATCH(
"" ""&amp;H1872&amp;"" "",
"" ""&amp;Sentiment_Words!A$2:A3730&amp;"" ""
),
1,
0
)
)
)
)"),2.0)</f>
        <v>2</v>
      </c>
      <c r="K1872" s="4">
        <f>IFERROR(__xludf.DUMMYFUNCTION("IF(H1872="""","""",
SUM(
ARRAYFORMULA(
IF(
REGEXMATCH(
"" ""&amp;H1872&amp;"" "",
"" ""&amp;Sentiment_Words!B$2:B3730&amp;"" ""
),
1,
0
)
)
)
)"),0.0)</f>
        <v>0</v>
      </c>
      <c r="L1872" s="7" t="str">
        <f t="shared" si="3"/>
        <v>Account &amp; Website</v>
      </c>
      <c r="M1872" s="7" t="str">
        <f t="shared" si="4"/>
        <v>Positive</v>
      </c>
      <c r="N1872" s="7" t="str">
        <f>IFERROR(__xludf.DUMMYFUNCTION("LOWER(
TRIM(
REGEXREPLACE(B1872,""[^a-zA-Z\s]"","""")
)
)
"),"mildred crawford")</f>
        <v>mildred crawford</v>
      </c>
      <c r="O1872" s="7">
        <f t="shared" si="5"/>
        <v>1</v>
      </c>
      <c r="P1872" s="8" t="str">
        <f t="shared" si="6"/>
        <v>No</v>
      </c>
    </row>
    <row r="1873">
      <c r="A1873" s="4" t="s">
        <v>16</v>
      </c>
      <c r="B1873" s="4" t="s">
        <v>5287</v>
      </c>
      <c r="C1873" s="5">
        <v>44762.0</v>
      </c>
      <c r="D1873" s="10">
        <v>44762.0</v>
      </c>
      <c r="E1873" s="4" t="s">
        <v>5288</v>
      </c>
      <c r="F1873" s="4" t="s">
        <v>5289</v>
      </c>
      <c r="G1873" s="6" t="str">
        <f>IFERROR(__xludf.DUMMYFUNCTION("REGEXREPLACE(LOWER(F1873),""[^a-z\s]"","""")"),"i know its a specialty food but i think for the amount of food delivered for the price is still too high")</f>
        <v>i know its a specialty food but i think for the amount of food delivered for the price is still too high</v>
      </c>
      <c r="H1873" s="4" t="str">
        <f t="shared" si="1"/>
        <v>i know its a specialty food but i think amount of food delivered price still too high</v>
      </c>
      <c r="I1873" s="6">
        <f t="shared" si="2"/>
        <v>17</v>
      </c>
      <c r="J1873" s="6">
        <f>IFERROR(__xludf.DUMMYFUNCTION("IF(H1873="""","""",
SUM(
ARRAYFORMULA(
IF(
REGEXMATCH(
"" ""&amp;H1873&amp;"" "",
"" ""&amp;Sentiment_Words!A$2:A3730&amp;"" ""
),
1,
0
)
)
)
)"),1.0)</f>
        <v>1</v>
      </c>
      <c r="K1873" s="4">
        <f>IFERROR(__xludf.DUMMYFUNCTION("IF(H1873="""","""",
SUM(
ARRAYFORMULA(
IF(
REGEXMATCH(
"" ""&amp;H1873&amp;"" "",
"" ""&amp;Sentiment_Words!B$2:B3730&amp;"" ""
),
1,
0
)
)
)
)"),0.0)</f>
        <v>0</v>
      </c>
      <c r="L1873" s="7" t="str">
        <f t="shared" si="3"/>
        <v>Other</v>
      </c>
      <c r="M1873" s="7" t="str">
        <f t="shared" si="4"/>
        <v>Positive</v>
      </c>
      <c r="N1873" s="7" t="str">
        <f>IFERROR(__xludf.DUMMYFUNCTION("LOWER(
TRIM(
REGEXREPLACE(B1873,""[^a-zA-Z\s]"","""")
)
)
"),"erica a")</f>
        <v>erica a</v>
      </c>
      <c r="O1873" s="7">
        <f t="shared" si="5"/>
        <v>1</v>
      </c>
      <c r="P1873" s="8" t="str">
        <f t="shared" si="6"/>
        <v>No</v>
      </c>
    </row>
    <row r="1874">
      <c r="A1874" s="4" t="s">
        <v>16</v>
      </c>
      <c r="B1874" s="4" t="s">
        <v>5290</v>
      </c>
      <c r="C1874" s="5">
        <v>44761.0</v>
      </c>
      <c r="D1874" s="10">
        <v>44761.0</v>
      </c>
      <c r="E1874" s="4" t="s">
        <v>5291</v>
      </c>
      <c r="F1874" s="4" t="s">
        <v>5292</v>
      </c>
      <c r="G1874" s="6" t="str">
        <f>IFERROR(__xludf.DUMMYFUNCTION("REGEXREPLACE(LOWER(F1874),""[^a-z\s]"","""")"),"order was processed very quickly and website is very easy to navigate")</f>
        <v>order was processed very quickly and website is very easy to navigate</v>
      </c>
      <c r="H1874" s="4" t="str">
        <f t="shared" si="1"/>
        <v>order was processed very quickly website very easy navigate</v>
      </c>
      <c r="I1874" s="6">
        <f t="shared" si="2"/>
        <v>9</v>
      </c>
      <c r="J1874" s="6">
        <f>IFERROR(__xludf.DUMMYFUNCTION("IF(H1874="""","""",
SUM(
ARRAYFORMULA(
IF(
REGEXMATCH(
"" ""&amp;H1874&amp;"" "",
"" ""&amp;Sentiment_Words!A$2:A3730&amp;"" ""
),
1,
0
)
)
)
)"),1.0)</f>
        <v>1</v>
      </c>
      <c r="K1874" s="4">
        <f>IFERROR(__xludf.DUMMYFUNCTION("IF(H1874="""","""",
SUM(
ARRAYFORMULA(
IF(
REGEXMATCH(
"" ""&amp;H1874&amp;"" "",
"" ""&amp;Sentiment_Words!B$2:B3730&amp;"" ""
),
1,
0
)
)
)
)"),0.0)</f>
        <v>0</v>
      </c>
      <c r="L1874" s="7" t="str">
        <f t="shared" si="3"/>
        <v>Account &amp; Website</v>
      </c>
      <c r="M1874" s="7" t="str">
        <f t="shared" si="4"/>
        <v>Positive</v>
      </c>
      <c r="N1874" s="7" t="str">
        <f>IFERROR(__xludf.DUMMYFUNCTION("LOWER(
TRIM(
REGEXREPLACE(B1874,""[^a-zA-Z\s]"","""")
)
)
"),"vicki hartsburg")</f>
        <v>vicki hartsburg</v>
      </c>
      <c r="O1874" s="7">
        <f t="shared" si="5"/>
        <v>1</v>
      </c>
      <c r="P1874" s="8" t="str">
        <f t="shared" si="6"/>
        <v>No</v>
      </c>
    </row>
    <row r="1875">
      <c r="A1875" s="4" t="s">
        <v>16</v>
      </c>
      <c r="B1875" s="4" t="s">
        <v>5293</v>
      </c>
      <c r="C1875" s="5">
        <v>44761.0</v>
      </c>
      <c r="D1875" s="10">
        <v>44761.0</v>
      </c>
      <c r="E1875" s="4" t="s">
        <v>5294</v>
      </c>
      <c r="F1875" s="4" t="s">
        <v>5295</v>
      </c>
      <c r="G1875" s="6" t="str">
        <f>IFERROR(__xludf.DUMMYFUNCTION("REGEXREPLACE(LOWER(F1875),""[^a-z\s]"","""")"),"excellent service they keep me informed on my orders if there is a problem they inform me in advance good job")</f>
        <v>excellent service they keep me informed on my orders if there is a problem they inform me in advance good job</v>
      </c>
      <c r="H1875" s="4" t="str">
        <f t="shared" si="1"/>
        <v>excellent service they keep me informed on my orders if there a problem they inform me in advance good job</v>
      </c>
      <c r="I1875" s="6">
        <f t="shared" si="2"/>
        <v>20</v>
      </c>
      <c r="J1875" s="6">
        <f>IFERROR(__xludf.DUMMYFUNCTION("IF(H1875="""","""",
SUM(
ARRAYFORMULA(
IF(
REGEXMATCH(
"" ""&amp;H1875&amp;"" "",
"" ""&amp;Sentiment_Words!A$2:A3730&amp;"" ""
),
1,
0
)
)
)
)"),1.0)</f>
        <v>1</v>
      </c>
      <c r="K1875" s="4">
        <f>IFERROR(__xludf.DUMMYFUNCTION("IF(H1875="""","""",
SUM(
ARRAYFORMULA(
IF(
REGEXMATCH(
"" ""&amp;H1875&amp;"" "",
"" ""&amp;Sentiment_Words!B$2:B3730&amp;"" ""
),
1,
0
)
)
)
)"),1.0)</f>
        <v>1</v>
      </c>
      <c r="L1875" s="7" t="str">
        <f t="shared" si="3"/>
        <v>Customer Support</v>
      </c>
      <c r="M1875" s="7" t="str">
        <f t="shared" si="4"/>
        <v>Neutral</v>
      </c>
      <c r="N1875" s="7" t="str">
        <f>IFERROR(__xludf.DUMMYFUNCTION("LOWER(
TRIM(
REGEXREPLACE(B1875,""[^a-zA-Z\s]"","""")
)
)
"),"stan")</f>
        <v>stan</v>
      </c>
      <c r="O1875" s="7">
        <f t="shared" si="5"/>
        <v>1</v>
      </c>
      <c r="P1875" s="8" t="str">
        <f t="shared" si="6"/>
        <v>No</v>
      </c>
    </row>
    <row r="1876">
      <c r="A1876" s="4" t="s">
        <v>16</v>
      </c>
      <c r="B1876" s="4" t="s">
        <v>5296</v>
      </c>
      <c r="C1876" s="5">
        <v>44761.0</v>
      </c>
      <c r="D1876" s="10">
        <v>44761.0</v>
      </c>
      <c r="E1876" s="4" t="s">
        <v>5297</v>
      </c>
      <c r="F1876" s="4" t="s">
        <v>331</v>
      </c>
      <c r="G1876" s="6" t="str">
        <f>IFERROR(__xludf.DUMMYFUNCTION("REGEXREPLACE(LOWER(F1876),""[^a-z\s]"","""")"),"none")</f>
        <v>none</v>
      </c>
      <c r="H1876" s="4" t="str">
        <f t="shared" si="1"/>
        <v>none</v>
      </c>
      <c r="I1876" s="6">
        <f t="shared" si="2"/>
        <v>1</v>
      </c>
      <c r="J1876" s="6">
        <f>IFERROR(__xludf.DUMMYFUNCTION("IF(H1876="""","""",
SUM(
ARRAYFORMULA(
IF(
REGEXMATCH(
"" ""&amp;H1876&amp;"" "",
"" ""&amp;Sentiment_Words!A$2:A3730&amp;"" ""
),
1,
0
)
)
)
)"),0.0)</f>
        <v>0</v>
      </c>
      <c r="K1876" s="4">
        <f>IFERROR(__xludf.DUMMYFUNCTION("IF(H1876="""","""",
SUM(
ARRAYFORMULA(
IF(
REGEXMATCH(
"" ""&amp;H1876&amp;"" "",
"" ""&amp;Sentiment_Words!B$2:B3730&amp;"" ""
),
1,
0
)
)
)
)"),0.0)</f>
        <v>0</v>
      </c>
      <c r="L1876" s="7" t="str">
        <f t="shared" si="3"/>
        <v>Other</v>
      </c>
      <c r="M1876" s="7" t="str">
        <f t="shared" si="4"/>
        <v>Neutral</v>
      </c>
      <c r="N1876" s="7" t="str">
        <f>IFERROR(__xludf.DUMMYFUNCTION("LOWER(
TRIM(
REGEXREPLACE(B1876,""[^a-zA-Z\s]"","""")
)
)
"),"virginia sundin")</f>
        <v>virginia sundin</v>
      </c>
      <c r="O1876" s="7">
        <f t="shared" si="5"/>
        <v>1</v>
      </c>
      <c r="P1876" s="8" t="str">
        <f t="shared" si="6"/>
        <v>No</v>
      </c>
    </row>
    <row r="1877">
      <c r="A1877" s="4" t="s">
        <v>16</v>
      </c>
      <c r="B1877" s="4" t="s">
        <v>5298</v>
      </c>
      <c r="C1877" s="5">
        <v>44761.0</v>
      </c>
      <c r="D1877" s="10">
        <v>44761.0</v>
      </c>
      <c r="E1877" s="4" t="s">
        <v>1319</v>
      </c>
      <c r="F1877" s="4" t="s">
        <v>331</v>
      </c>
      <c r="G1877" s="6" t="str">
        <f>IFERROR(__xludf.DUMMYFUNCTION("REGEXREPLACE(LOWER(F1877),""[^a-z\s]"","""")"),"none")</f>
        <v>none</v>
      </c>
      <c r="H1877" s="4" t="str">
        <f t="shared" si="1"/>
        <v>none</v>
      </c>
      <c r="I1877" s="6">
        <f t="shared" si="2"/>
        <v>1</v>
      </c>
      <c r="J1877" s="6">
        <f>IFERROR(__xludf.DUMMYFUNCTION("IF(H1877="""","""",
SUM(
ARRAYFORMULA(
IF(
REGEXMATCH(
"" ""&amp;H1877&amp;"" "",
"" ""&amp;Sentiment_Words!A$2:A3730&amp;"" ""
),
1,
0
)
)
)
)"),0.0)</f>
        <v>0</v>
      </c>
      <c r="K1877" s="4">
        <f>IFERROR(__xludf.DUMMYFUNCTION("IF(H1877="""","""",
SUM(
ARRAYFORMULA(
IF(
REGEXMATCH(
"" ""&amp;H1877&amp;"" "",
"" ""&amp;Sentiment_Words!B$2:B3730&amp;"" ""
),
1,
0
)
)
)
)"),0.0)</f>
        <v>0</v>
      </c>
      <c r="L1877" s="7" t="str">
        <f t="shared" si="3"/>
        <v>Other</v>
      </c>
      <c r="M1877" s="7" t="str">
        <f t="shared" si="4"/>
        <v>Neutral</v>
      </c>
      <c r="N1877" s="7" t="str">
        <f>IFERROR(__xludf.DUMMYFUNCTION("LOWER(
TRIM(
REGEXREPLACE(B1877,""[^a-zA-Z\s]"","""")
)
)
"),"steven kellerman")</f>
        <v>steven kellerman</v>
      </c>
      <c r="O1877" s="7">
        <f t="shared" si="5"/>
        <v>1</v>
      </c>
      <c r="P1877" s="8" t="str">
        <f t="shared" si="6"/>
        <v>No</v>
      </c>
    </row>
    <row r="1878">
      <c r="A1878" s="4" t="s">
        <v>16</v>
      </c>
      <c r="B1878" s="4" t="s">
        <v>5299</v>
      </c>
      <c r="C1878" s="5">
        <v>44761.0</v>
      </c>
      <c r="D1878" s="10">
        <v>44761.0</v>
      </c>
      <c r="E1878" s="4" t="s">
        <v>5300</v>
      </c>
      <c r="F1878" s="4" t="s">
        <v>5301</v>
      </c>
      <c r="G1878" s="6" t="str">
        <f>IFERROR(__xludf.DUMMYFUNCTION("REGEXREPLACE(LOWER(F1878),""[^a-z\s]"","""")"),"this was my first order with petflow i ordered a bag of puppy food and fed ex was to deliver i received a notice stating that it was delivered and i checked and it was not there
petflow and fedex were both excellent in finding the dog food
great customer "&amp;"service")</f>
        <v>this was my first order with petflow i ordered a bag of puppy food and fed ex was to deliver i received a notice stating that it was delivered and i checked and it was not there
petflow and fedex were both excellent in finding the dog food
great customer service</v>
      </c>
      <c r="H1878" s="4" t="str">
        <f t="shared" si="1"/>
        <v>this was my first order with petflow i ordered a bag of puppy food fed ex was deliver i received a notice stating that it was delivered i checked it was not there
petflow fedex were both excellent in finding dog food
great customer service</v>
      </c>
      <c r="I1878" s="6">
        <f t="shared" si="2"/>
        <v>43</v>
      </c>
      <c r="J1878" s="6">
        <f>IFERROR(__xludf.DUMMYFUNCTION("IF(H1878="""","""",
SUM(
ARRAYFORMULA(
IF(
REGEXMATCH(
"" ""&amp;H1878&amp;"" "",
"" ""&amp;Sentiment_Words!A$2:A3730&amp;"" ""
),
1,
0
)
)
)
)"),1.0)</f>
        <v>1</v>
      </c>
      <c r="K1878" s="4">
        <f>IFERROR(__xludf.DUMMYFUNCTION("IF(H1878="""","""",
SUM(
ARRAYFORMULA(
IF(
REGEXMATCH(
"" ""&amp;H1878&amp;"" "",
"" ""&amp;Sentiment_Words!B$2:B3730&amp;"" ""
),
1,
0
)
)
)
)"),1.0)</f>
        <v>1</v>
      </c>
      <c r="L1878" s="7" t="str">
        <f t="shared" si="3"/>
        <v>Customer Support</v>
      </c>
      <c r="M1878" s="7" t="str">
        <f t="shared" si="4"/>
        <v>Neutral</v>
      </c>
      <c r="N1878" s="7" t="str">
        <f>IFERROR(__xludf.DUMMYFUNCTION("LOWER(
TRIM(
REGEXREPLACE(B1878,""[^a-zA-Z\s]"","""")
)
)
"),"nelfudge")</f>
        <v>nelfudge</v>
      </c>
      <c r="O1878" s="7">
        <f t="shared" si="5"/>
        <v>1</v>
      </c>
      <c r="P1878" s="8" t="str">
        <f t="shared" si="6"/>
        <v>No</v>
      </c>
    </row>
    <row r="1879">
      <c r="A1879" s="4" t="s">
        <v>16</v>
      </c>
      <c r="B1879" s="4" t="s">
        <v>5302</v>
      </c>
      <c r="C1879" s="5">
        <v>44761.0</v>
      </c>
      <c r="D1879" s="10">
        <v>44761.0</v>
      </c>
      <c r="E1879" s="4" t="s">
        <v>5303</v>
      </c>
      <c r="F1879" s="4" t="s">
        <v>5304</v>
      </c>
      <c r="G1879" s="6" t="str">
        <f>IFERROR(__xludf.DUMMYFUNCTION("REGEXREPLACE(LOWER(F1879),""[^a-z\s]"","""")"),"easy to use website ordering  delivery were quick and easy")</f>
        <v>easy to use website ordering  delivery were quick and easy</v>
      </c>
      <c r="H1879" s="4" t="str">
        <f t="shared" si="1"/>
        <v>easy use website ordering delivery were quick easy</v>
      </c>
      <c r="I1879" s="6">
        <f t="shared" si="2"/>
        <v>8</v>
      </c>
      <c r="J1879" s="6">
        <f>IFERROR(__xludf.DUMMYFUNCTION("IF(H1879="""","""",
SUM(
ARRAYFORMULA(
IF(
REGEXMATCH(
"" ""&amp;H1879&amp;"" "",
"" ""&amp;Sentiment_Words!A$2:A3730&amp;"" ""
),
1,
0
)
)
)
)"),1.0)</f>
        <v>1</v>
      </c>
      <c r="K1879" s="4">
        <f>IFERROR(__xludf.DUMMYFUNCTION("IF(H1879="""","""",
SUM(
ARRAYFORMULA(
IF(
REGEXMATCH(
"" ""&amp;H1879&amp;"" "",
"" ""&amp;Sentiment_Words!B$2:B3730&amp;"" ""
),
1,
0
)
)
)
)"),0.0)</f>
        <v>0</v>
      </c>
      <c r="L1879" s="7" t="str">
        <f t="shared" si="3"/>
        <v>Account &amp; Website</v>
      </c>
      <c r="M1879" s="7" t="str">
        <f t="shared" si="4"/>
        <v>Positive</v>
      </c>
      <c r="N1879" s="7" t="str">
        <f>IFERROR(__xludf.DUMMYFUNCTION("LOWER(
TRIM(
REGEXREPLACE(B1879,""[^a-zA-Z\s]"","""")
)
)
"),"jenn")</f>
        <v>jenn</v>
      </c>
      <c r="O1879" s="7">
        <f t="shared" si="5"/>
        <v>1</v>
      </c>
      <c r="P1879" s="8" t="str">
        <f t="shared" si="6"/>
        <v>No</v>
      </c>
    </row>
    <row r="1880">
      <c r="A1880" s="4" t="s">
        <v>16</v>
      </c>
      <c r="B1880" s="4" t="s">
        <v>5305</v>
      </c>
      <c r="C1880" s="5">
        <v>44761.0</v>
      </c>
      <c r="D1880" s="10">
        <v>44761.0</v>
      </c>
      <c r="E1880" s="4" t="s">
        <v>5306</v>
      </c>
      <c r="F1880" s="4" t="s">
        <v>5307</v>
      </c>
      <c r="G1880" s="6" t="str">
        <f>IFERROR(__xludf.DUMMYFUNCTION("REGEXREPLACE(LOWER(F1880),""[^a-z\s]"","""")"),"my cat has a very sensitive system and no one had her food except petflow you got it here quickly and it was correct thank you")</f>
        <v>my cat has a very sensitive system and no one had her food except petflow you got it here quickly and it was correct thank you</v>
      </c>
      <c r="H1880" s="4" t="str">
        <f t="shared" si="1"/>
        <v>my cat has a very sensitive system no one had her food except petflow you got it here quickly it was correct thank you</v>
      </c>
      <c r="I1880" s="6">
        <f t="shared" si="2"/>
        <v>24</v>
      </c>
      <c r="J1880" s="6">
        <f>IFERROR(__xludf.DUMMYFUNCTION("IF(H1880="""","""",
SUM(
ARRAYFORMULA(
IF(
REGEXMATCH(
"" ""&amp;H1880&amp;"" "",
"" ""&amp;Sentiment_Words!A$2:A3730&amp;"" ""
),
1,
0
)
)
)
)"),0.0)</f>
        <v>0</v>
      </c>
      <c r="K1880" s="4">
        <f>IFERROR(__xludf.DUMMYFUNCTION("IF(H1880="""","""",
SUM(
ARRAYFORMULA(
IF(
REGEXMATCH(
"" ""&amp;H1880&amp;"" "",
"" ""&amp;Sentiment_Words!B$2:B3730&amp;"" ""
),
1,
0
)
)
)
)"),0.0)</f>
        <v>0</v>
      </c>
      <c r="L1880" s="7" t="str">
        <f t="shared" si="3"/>
        <v>Other</v>
      </c>
      <c r="M1880" s="7" t="str">
        <f t="shared" si="4"/>
        <v>Neutral</v>
      </c>
      <c r="N1880" s="7" t="str">
        <f>IFERROR(__xludf.DUMMYFUNCTION("LOWER(
TRIM(
REGEXREPLACE(B1880,""[^a-zA-Z\s]"","""")
)
)
"),"deidra eckerd")</f>
        <v>deidra eckerd</v>
      </c>
      <c r="O1880" s="7">
        <f t="shared" si="5"/>
        <v>1</v>
      </c>
      <c r="P1880" s="8" t="str">
        <f t="shared" si="6"/>
        <v>No</v>
      </c>
    </row>
    <row r="1881">
      <c r="A1881" s="4" t="s">
        <v>16</v>
      </c>
      <c r="B1881" s="4" t="s">
        <v>5308</v>
      </c>
      <c r="C1881" s="5">
        <v>44761.0</v>
      </c>
      <c r="D1881" s="10">
        <v>44761.0</v>
      </c>
      <c r="E1881" s="4" t="s">
        <v>5309</v>
      </c>
      <c r="F1881" s="4" t="s">
        <v>5310</v>
      </c>
      <c r="G1881" s="6" t="str">
        <f>IFERROR(__xludf.DUMMYFUNCTION("REGEXREPLACE(LOWER(F1881),""[^a-z\s]"","""")"),"long time returning customer love this company")</f>
        <v>long time returning customer love this company</v>
      </c>
      <c r="H1881" s="4" t="str">
        <f t="shared" si="1"/>
        <v>long time returning customer love this company</v>
      </c>
      <c r="I1881" s="6">
        <f t="shared" si="2"/>
        <v>7</v>
      </c>
      <c r="J1881" s="6">
        <f>IFERROR(__xludf.DUMMYFUNCTION("IF(H1881="""","""",
SUM(
ARRAYFORMULA(
IF(
REGEXMATCH(
"" ""&amp;H1881&amp;"" "",
"" ""&amp;Sentiment_Words!A$2:A3730&amp;"" ""
),
1,
0
)
)
)
)"),1.0)</f>
        <v>1</v>
      </c>
      <c r="K1881" s="4">
        <f>IFERROR(__xludf.DUMMYFUNCTION("IF(H1881="""","""",
SUM(
ARRAYFORMULA(
IF(
REGEXMATCH(
"" ""&amp;H1881&amp;"" "",
"" ""&amp;Sentiment_Words!B$2:B3730&amp;"" ""
),
1,
0
)
)
)
)"),0.0)</f>
        <v>0</v>
      </c>
      <c r="L1881" s="7" t="str">
        <f t="shared" si="3"/>
        <v>Other</v>
      </c>
      <c r="M1881" s="7" t="str">
        <f t="shared" si="4"/>
        <v>Positive</v>
      </c>
      <c r="N1881" s="7" t="str">
        <f>IFERROR(__xludf.DUMMYFUNCTION("LOWER(
TRIM(
REGEXREPLACE(B1881,""[^a-zA-Z\s]"","""")
)
)
"),"gems mom")</f>
        <v>gems mom</v>
      </c>
      <c r="O1881" s="7">
        <f t="shared" si="5"/>
        <v>1</v>
      </c>
      <c r="P1881" s="8" t="str">
        <f t="shared" si="6"/>
        <v>No</v>
      </c>
    </row>
    <row r="1882">
      <c r="A1882" s="4" t="s">
        <v>16</v>
      </c>
      <c r="B1882" s="4" t="s">
        <v>5311</v>
      </c>
      <c r="C1882" s="5">
        <v>44761.0</v>
      </c>
      <c r="D1882" s="10">
        <v>44761.0</v>
      </c>
      <c r="E1882" s="4" t="s">
        <v>181</v>
      </c>
      <c r="F1882" s="4" t="s">
        <v>5312</v>
      </c>
      <c r="G1882" s="6" t="str">
        <f>IFERROR(__xludf.DUMMYFUNCTION("REGEXREPLACE(LOWER(F1882),""[^a-z\s]"","""")"),"great prices fast shipping")</f>
        <v>great prices fast shipping</v>
      </c>
      <c r="H1882" s="4" t="str">
        <f t="shared" si="1"/>
        <v>great prices fast shipping</v>
      </c>
      <c r="I1882" s="6">
        <f t="shared" si="2"/>
        <v>4</v>
      </c>
      <c r="J1882" s="6">
        <f>IFERROR(__xludf.DUMMYFUNCTION("IF(H1882="""","""",
SUM(
ARRAYFORMULA(
IF(
REGEXMATCH(
"" ""&amp;H1882&amp;"" "",
"" ""&amp;Sentiment_Words!A$2:A3730&amp;"" ""
),
1,
0
)
)
)
)"),2.0)</f>
        <v>2</v>
      </c>
      <c r="K1882" s="4">
        <f>IFERROR(__xludf.DUMMYFUNCTION("IF(H1882="""","""",
SUM(
ARRAYFORMULA(
IF(
REGEXMATCH(
"" ""&amp;H1882&amp;"" "",
"" ""&amp;Sentiment_Words!B$2:B3730&amp;"" ""
),
1,
0
)
)
)
)"),0.0)</f>
        <v>0</v>
      </c>
      <c r="L1882" s="7" t="str">
        <f t="shared" si="3"/>
        <v>Other</v>
      </c>
      <c r="M1882" s="7" t="str">
        <f t="shared" si="4"/>
        <v>Positive</v>
      </c>
      <c r="N1882" s="7" t="str">
        <f>IFERROR(__xludf.DUMMYFUNCTION("LOWER(
TRIM(
REGEXREPLACE(B1882,""[^a-zA-Z\s]"","""")
)
)
"),"alicia p")</f>
        <v>alicia p</v>
      </c>
      <c r="O1882" s="7">
        <f t="shared" si="5"/>
        <v>1</v>
      </c>
      <c r="P1882" s="8" t="str">
        <f t="shared" si="6"/>
        <v>No</v>
      </c>
    </row>
    <row r="1883">
      <c r="A1883" s="4" t="s">
        <v>16</v>
      </c>
      <c r="B1883" s="4" t="s">
        <v>5313</v>
      </c>
      <c r="C1883" s="5">
        <v>44761.0</v>
      </c>
      <c r="D1883" s="10">
        <v>44761.0</v>
      </c>
      <c r="E1883" s="4" t="s">
        <v>5314</v>
      </c>
      <c r="F1883" s="4" t="s">
        <v>5315</v>
      </c>
      <c r="G1883" s="6" t="str">
        <f>IFERROR(__xludf.DUMMYFUNCTION("REGEXREPLACE(LOWER(F1883),""[^a-z\s]"","""")"),"fast delivery and better prices than petsmart or petco purchased  lbs of dry blue buffalo")</f>
        <v>fast delivery and better prices than petsmart or petco purchased  lbs of dry blue buffalo</v>
      </c>
      <c r="H1883" s="4" t="str">
        <f t="shared" si="1"/>
        <v>fast delivery better prices than petsmart or petco purchased lbs of dry blue buffalo</v>
      </c>
      <c r="I1883" s="6">
        <f t="shared" si="2"/>
        <v>14</v>
      </c>
      <c r="J1883" s="6">
        <f>IFERROR(__xludf.DUMMYFUNCTION("IF(H1883="""","""",
SUM(
ARRAYFORMULA(
IF(
REGEXMATCH(
"" ""&amp;H1883&amp;"" "",
"" ""&amp;Sentiment_Words!A$2:A3730&amp;"" ""
),
1,
0
)
)
)
)"),2.0)</f>
        <v>2</v>
      </c>
      <c r="K1883" s="4">
        <f>IFERROR(__xludf.DUMMYFUNCTION("IF(H1883="""","""",
SUM(
ARRAYFORMULA(
IF(
REGEXMATCH(
"" ""&amp;H1883&amp;"" "",
"" ""&amp;Sentiment_Words!B$2:B3730&amp;"" ""
),
1,
0
)
)
)
)"),0.0)</f>
        <v>0</v>
      </c>
      <c r="L1883" s="7" t="str">
        <f t="shared" si="3"/>
        <v>Other</v>
      </c>
      <c r="M1883" s="7" t="str">
        <f t="shared" si="4"/>
        <v>Positive</v>
      </c>
      <c r="N1883" s="7" t="str">
        <f>IFERROR(__xludf.DUMMYFUNCTION("LOWER(
TRIM(
REGEXREPLACE(B1883,""[^a-zA-Z\s]"","""")
)
)
"),"txbear")</f>
        <v>txbear</v>
      </c>
      <c r="O1883" s="7">
        <f t="shared" si="5"/>
        <v>1</v>
      </c>
      <c r="P1883" s="8" t="str">
        <f t="shared" si="6"/>
        <v>No</v>
      </c>
    </row>
    <row r="1884">
      <c r="A1884" s="4" t="s">
        <v>16</v>
      </c>
      <c r="B1884" s="4" t="s">
        <v>5316</v>
      </c>
      <c r="C1884" s="5">
        <v>44761.0</v>
      </c>
      <c r="D1884" s="10">
        <v>44761.0</v>
      </c>
      <c r="E1884" s="4" t="s">
        <v>5317</v>
      </c>
      <c r="F1884" s="4" t="s">
        <v>5318</v>
      </c>
      <c r="G1884" s="6" t="str">
        <f>IFERROR(__xludf.DUMMYFUNCTION("REGEXREPLACE(LOWER(F1884),""[^a-z\s]"","""")"),"first i couldnt remember the name of the dog food replied to one of their ads asking about it immediately they replied that theyd find it sent me the link and bingo ordered it and it came in about  days its the one food dog can eat without scratching his "&amp;"hide off lovely be it")</f>
        <v>first i couldnt remember the name of the dog food replied to one of their ads asking about it immediately they replied that theyd find it sent me the link and bingo ordered it and it came in about  days its the one food dog can eat without scratching his hide off lovely be it</v>
      </c>
      <c r="H1884" s="4" t="str">
        <f t="shared" si="1"/>
        <v>first i couldnt remember name of dog food replied one of their ads asking about it immediately they replied that theyd find it sent me link bingo ordered it it came in about days its one food dog can eat without scratching his hide off lovely be it</v>
      </c>
      <c r="I1884" s="6">
        <f t="shared" si="2"/>
        <v>48</v>
      </c>
      <c r="J1884" s="6">
        <f>IFERROR(__xludf.DUMMYFUNCTION("IF(H1884="""","""",
SUM(
ARRAYFORMULA(
IF(
REGEXMATCH(
"" ""&amp;H1884&amp;"" "",
"" ""&amp;Sentiment_Words!A$2:A3730&amp;"" ""
),
1,
0
)
)
)
)"),1.0)</f>
        <v>1</v>
      </c>
      <c r="K1884" s="4">
        <f>IFERROR(__xludf.DUMMYFUNCTION("IF(H1884="""","""",
SUM(
ARRAYFORMULA(
IF(
REGEXMATCH(
"" ""&amp;H1884&amp;"" "",
"" ""&amp;Sentiment_Words!B$2:B3730&amp;"" ""
),
1,
0
)
)
)
)"),0.0)</f>
        <v>0</v>
      </c>
      <c r="L1884" s="7" t="str">
        <f t="shared" si="3"/>
        <v>Other</v>
      </c>
      <c r="M1884" s="7" t="str">
        <f t="shared" si="4"/>
        <v>Positive</v>
      </c>
      <c r="N1884" s="7" t="str">
        <f>IFERROR(__xludf.DUMMYFUNCTION("LOWER(
TRIM(
REGEXREPLACE(B1884,""[^a-zA-Z\s]"","""")
)
)
"),"joan")</f>
        <v>joan</v>
      </c>
      <c r="O1884" s="7">
        <f t="shared" si="5"/>
        <v>7</v>
      </c>
      <c r="P1884" s="8" t="str">
        <f t="shared" si="6"/>
        <v>Yes</v>
      </c>
    </row>
    <row r="1885">
      <c r="A1885" s="4" t="s">
        <v>16</v>
      </c>
      <c r="B1885" s="4" t="s">
        <v>3071</v>
      </c>
      <c r="C1885" s="5">
        <v>44761.0</v>
      </c>
      <c r="D1885" s="10">
        <v>44761.0</v>
      </c>
      <c r="E1885" s="4" t="s">
        <v>5319</v>
      </c>
      <c r="F1885" s="4" t="s">
        <v>5320</v>
      </c>
      <c r="G1885" s="6" t="str">
        <f>IFERROR(__xludf.DUMMYFUNCTION("REGEXREPLACE(LOWER(F1885),""[^a-z\s]"","""")"),"excellent selection of dog food and treats good prices")</f>
        <v>excellent selection of dog food and treats good prices</v>
      </c>
      <c r="H1885" s="4" t="str">
        <f t="shared" si="1"/>
        <v>excellent selection of dog food treats good prices</v>
      </c>
      <c r="I1885" s="6">
        <f t="shared" si="2"/>
        <v>8</v>
      </c>
      <c r="J1885" s="6">
        <f>IFERROR(__xludf.DUMMYFUNCTION("IF(H1885="""","""",
SUM(
ARRAYFORMULA(
IF(
REGEXMATCH(
"" ""&amp;H1885&amp;"" "",
"" ""&amp;Sentiment_Words!A$2:A3730&amp;"" ""
),
1,
0
)
)
)
)"),1.0)</f>
        <v>1</v>
      </c>
      <c r="K1885" s="4">
        <f>IFERROR(__xludf.DUMMYFUNCTION("IF(H1885="""","""",
SUM(
ARRAYFORMULA(
IF(
REGEXMATCH(
"" ""&amp;H1885&amp;"" "",
"" ""&amp;Sentiment_Words!B$2:B3730&amp;"" ""
),
1,
0
)
)
)
)"),0.0)</f>
        <v>0</v>
      </c>
      <c r="L1885" s="7" t="str">
        <f t="shared" si="3"/>
        <v>Other</v>
      </c>
      <c r="M1885" s="7" t="str">
        <f t="shared" si="4"/>
        <v>Positive</v>
      </c>
      <c r="N1885" s="7" t="str">
        <f>IFERROR(__xludf.DUMMYFUNCTION("LOWER(
TRIM(
REGEXREPLACE(B1885,""[^a-zA-Z\s]"","""")
)
)
"),"michele")</f>
        <v>michele</v>
      </c>
      <c r="O1885" s="7">
        <f t="shared" si="5"/>
        <v>5</v>
      </c>
      <c r="P1885" s="8" t="str">
        <f t="shared" si="6"/>
        <v>Yes</v>
      </c>
    </row>
    <row r="1886">
      <c r="A1886" s="4" t="s">
        <v>16</v>
      </c>
      <c r="B1886" s="4" t="s">
        <v>5321</v>
      </c>
      <c r="C1886" s="5">
        <v>44761.0</v>
      </c>
      <c r="D1886" s="10">
        <v>44761.0</v>
      </c>
      <c r="E1886" s="4" t="s">
        <v>5322</v>
      </c>
      <c r="F1886" s="4" t="s">
        <v>5323</v>
      </c>
      <c r="G1886" s="6" t="str">
        <f>IFERROR(__xludf.DUMMYFUNCTION("REGEXREPLACE(LOWER(F1886),""[^a-z\s]"","""")"),"readily replaced an item damaged in shipping very helpful customer service")</f>
        <v>readily replaced an item damaged in shipping very helpful customer service</v>
      </c>
      <c r="H1886" s="4" t="str">
        <f t="shared" si="1"/>
        <v>readily replaced an item damaged in shipping very helpful customer service</v>
      </c>
      <c r="I1886" s="6">
        <f t="shared" si="2"/>
        <v>11</v>
      </c>
      <c r="J1886" s="6">
        <f>IFERROR(__xludf.DUMMYFUNCTION("IF(H1886="""","""",
SUM(
ARRAYFORMULA(
IF(
REGEXMATCH(
"" ""&amp;H1886&amp;"" "",
"" ""&amp;Sentiment_Words!A$2:A3730&amp;"" ""
),
1,
0
)
)
)
)"),1.0)</f>
        <v>1</v>
      </c>
      <c r="K1886" s="4">
        <f>IFERROR(__xludf.DUMMYFUNCTION("IF(H1886="""","""",
SUM(
ARRAYFORMULA(
IF(
REGEXMATCH(
"" ""&amp;H1886&amp;"" "",
"" ""&amp;Sentiment_Words!B$2:B3730&amp;"" ""
),
1,
0
)
)
)
)"),1.0)</f>
        <v>1</v>
      </c>
      <c r="L1886" s="7" t="str">
        <f t="shared" si="3"/>
        <v>Customer Support</v>
      </c>
      <c r="M1886" s="7" t="str">
        <f t="shared" si="4"/>
        <v>Neutral</v>
      </c>
      <c r="N1886" s="7" t="str">
        <f>IFERROR(__xludf.DUMMYFUNCTION("LOWER(
TRIM(
REGEXREPLACE(B1886,""[^a-zA-Z\s]"","""")
)
)
"),"cynthia mcmahan")</f>
        <v>cynthia mcmahan</v>
      </c>
      <c r="O1886" s="7">
        <f t="shared" si="5"/>
        <v>1</v>
      </c>
      <c r="P1886" s="8" t="str">
        <f t="shared" si="6"/>
        <v>No</v>
      </c>
    </row>
    <row r="1887">
      <c r="A1887" s="4" t="s">
        <v>16</v>
      </c>
      <c r="B1887" s="4" t="s">
        <v>5324</v>
      </c>
      <c r="C1887" s="5">
        <v>44761.0</v>
      </c>
      <c r="D1887" s="10">
        <v>44761.0</v>
      </c>
      <c r="E1887" s="4" t="s">
        <v>5325</v>
      </c>
      <c r="F1887" s="4" t="s">
        <v>5326</v>
      </c>
      <c r="G1887" s="6" t="str">
        <f>IFERROR(__xludf.DUMMYFUNCTION("REGEXREPLACE(LOWER(F1887),""[^a-z\s]"","""")"),"had the quality brands need at best price")</f>
        <v>had the quality brands need at best price</v>
      </c>
      <c r="H1887" s="4" t="str">
        <f t="shared" si="1"/>
        <v>had quality brands need at best price</v>
      </c>
      <c r="I1887" s="6">
        <f t="shared" si="2"/>
        <v>7</v>
      </c>
      <c r="J1887" s="6">
        <f>IFERROR(__xludf.DUMMYFUNCTION("IF(H1887="""","""",
SUM(
ARRAYFORMULA(
IF(
REGEXMATCH(
"" ""&amp;H1887&amp;"" "",
"" ""&amp;Sentiment_Words!A$2:A3730&amp;"" ""
),
1,
0
)
)
)
)"),0.0)</f>
        <v>0</v>
      </c>
      <c r="K1887" s="4">
        <f>IFERROR(__xludf.DUMMYFUNCTION("IF(H1887="""","""",
SUM(
ARRAYFORMULA(
IF(
REGEXMATCH(
"" ""&amp;H1887&amp;"" "",
"" ""&amp;Sentiment_Words!B$2:B3730&amp;"" ""
),
1,
0
)
)
)
)"),0.0)</f>
        <v>0</v>
      </c>
      <c r="L1887" s="7" t="str">
        <f t="shared" si="3"/>
        <v>Other</v>
      </c>
      <c r="M1887" s="7" t="str">
        <f t="shared" si="4"/>
        <v>Neutral</v>
      </c>
      <c r="N1887" s="7" t="str">
        <f>IFERROR(__xludf.DUMMYFUNCTION("LOWER(
TRIM(
REGEXREPLACE(B1887,""[^a-zA-Z\s]"","""")
)
)
"),"carter farmer")</f>
        <v>carter farmer</v>
      </c>
      <c r="O1887" s="7">
        <f t="shared" si="5"/>
        <v>1</v>
      </c>
      <c r="P1887" s="8" t="str">
        <f t="shared" si="6"/>
        <v>No</v>
      </c>
    </row>
    <row r="1888">
      <c r="A1888" s="4" t="s">
        <v>16</v>
      </c>
      <c r="B1888" s="4" t="s">
        <v>5327</v>
      </c>
      <c r="C1888" s="5">
        <v>44760.0</v>
      </c>
      <c r="D1888" s="10">
        <v>44761.0</v>
      </c>
      <c r="E1888" s="4" t="s">
        <v>3814</v>
      </c>
      <c r="F1888" s="4" t="s">
        <v>5328</v>
      </c>
      <c r="G1888" s="6" t="str">
        <f>IFERROR(__xludf.DUMMYFUNCTION("REGEXREPLACE(LOWER(F1888),""[^a-z\s]"","""")"),"lately i have a few problems with the items ordered
some chews looked really bad and i ordered some bird items that were damaged
however customer service were very helpful and sent corrected items
these things happen in shipment")</f>
        <v>lately i have a few problems with the items ordered
some chews looked really bad and i ordered some bird items that were damaged
however customer service were very helpful and sent corrected items
these things happen in shipment</v>
      </c>
      <c r="H1888" s="4" t="str">
        <f t="shared" si="1"/>
        <v>lately i have a few problems with items ordered
some chews looked really bad i ordered some bird items that were damaged
however customer service were very helpful sent corrected items
these things happen in shipment</v>
      </c>
      <c r="I1888" s="6">
        <f t="shared" si="2"/>
        <v>33</v>
      </c>
      <c r="J1888" s="6">
        <f>IFERROR(__xludf.DUMMYFUNCTION("IF(H1888="""","""",
SUM(
ARRAYFORMULA(
IF(
REGEXMATCH(
"" ""&amp;H1888&amp;"" "",
"" ""&amp;Sentiment_Words!A$2:A3730&amp;"" ""
),
1,
0
)
)
)
)"),1.0)</f>
        <v>1</v>
      </c>
      <c r="K1888" s="4">
        <f>IFERROR(__xludf.DUMMYFUNCTION("IF(H1888="""","""",
SUM(
ARRAYFORMULA(
IF(
REGEXMATCH(
"" ""&amp;H1888&amp;"" "",
"" ""&amp;Sentiment_Words!B$2:B3730&amp;"" ""
),
1,
0
)
)
)
)"),1.0)</f>
        <v>1</v>
      </c>
      <c r="L1888" s="7" t="str">
        <f t="shared" si="3"/>
        <v>Customer Support</v>
      </c>
      <c r="M1888" s="7" t="str">
        <f t="shared" si="4"/>
        <v>Neutral</v>
      </c>
      <c r="N1888" s="7" t="str">
        <f>IFERROR(__xludf.DUMMYFUNCTION("LOWER(
TRIM(
REGEXREPLACE(B1888,""[^a-zA-Z\s]"","""")
)
)
"),"marilyn thorson")</f>
        <v>marilyn thorson</v>
      </c>
      <c r="O1888" s="7">
        <f t="shared" si="5"/>
        <v>1</v>
      </c>
      <c r="P1888" s="8" t="str">
        <f t="shared" si="6"/>
        <v>No</v>
      </c>
    </row>
    <row r="1889">
      <c r="A1889" s="4" t="s">
        <v>16</v>
      </c>
      <c r="B1889" s="4" t="s">
        <v>5329</v>
      </c>
      <c r="C1889" s="5">
        <v>44760.0</v>
      </c>
      <c r="D1889" s="10">
        <v>44760.0</v>
      </c>
      <c r="E1889" s="4" t="s">
        <v>5330</v>
      </c>
      <c r="F1889" s="4" t="s">
        <v>5331</v>
      </c>
      <c r="G1889" s="6" t="str">
        <f>IFERROR(__xludf.DUMMYFUNCTION("REGEXREPLACE(LOWER(F1889),""[^a-z\s]"","""")"),"your site was the only one that had the prescription diet my cat needed also when i went online to look for another option there was no way i could look at the ingredient list i called someone using the number you listed she also was unable to get the lis"&amp;"t of ingredients but told me she would call the company and get back to me about an hour later she sent me an email listing the ingredients appreciate the wonderful service")</f>
        <v>your site was the only one that had the prescription diet my cat needed also when i went online to look for another option there was no way i could look at the ingredient list i called someone using the number you listed she also was unable to get the list of ingredients but told me she would call the company and get back to me about an hour later she sent me an email listing the ingredients appreciate the wonderful service</v>
      </c>
      <c r="H1889" s="4" t="str">
        <f t="shared" si="1"/>
        <v>your site was only one that had prescription diet my cat needed also when i went online look another option there was no way i could look at ingredient list i called someone using number you listed she also was unable get list of ingredients but told me she would call company get back me about an hour later she sent me an email listing ingredients appreciate wonderful service</v>
      </c>
      <c r="I1889" s="6">
        <f t="shared" si="2"/>
        <v>69</v>
      </c>
      <c r="J1889" s="6">
        <f>IFERROR(__xludf.DUMMYFUNCTION("IF(H1889="""","""",
SUM(
ARRAYFORMULA(
IF(
REGEXMATCH(
"" ""&amp;H1889&amp;"" "",
"" ""&amp;Sentiment_Words!A$2:A3730&amp;"" ""
),
1,
0
)
)
)
)"),1.0)</f>
        <v>1</v>
      </c>
      <c r="K1889" s="4">
        <f>IFERROR(__xludf.DUMMYFUNCTION("IF(H1889="""","""",
SUM(
ARRAYFORMULA(
IF(
REGEXMATCH(
"" ""&amp;H1889&amp;"" "",
"" ""&amp;Sentiment_Words!B$2:B3730&amp;"" ""
),
1,
0
)
)
)
)"),0.0)</f>
        <v>0</v>
      </c>
      <c r="L1889" s="7" t="str">
        <f t="shared" si="3"/>
        <v>Customer Support</v>
      </c>
      <c r="M1889" s="7" t="str">
        <f t="shared" si="4"/>
        <v>Positive</v>
      </c>
      <c r="N1889" s="7" t="str">
        <f>IFERROR(__xludf.DUMMYFUNCTION("LOWER(
TRIM(
REGEXREPLACE(B1889,""[^a-zA-Z\s]"","""")
)
)
"),"jane smiley")</f>
        <v>jane smiley</v>
      </c>
      <c r="O1889" s="7">
        <f t="shared" si="5"/>
        <v>1</v>
      </c>
      <c r="P1889" s="8" t="str">
        <f t="shared" si="6"/>
        <v>No</v>
      </c>
    </row>
    <row r="1890">
      <c r="A1890" s="4" t="s">
        <v>16</v>
      </c>
      <c r="B1890" s="4" t="s">
        <v>219</v>
      </c>
      <c r="C1890" s="5">
        <v>44760.0</v>
      </c>
      <c r="D1890" s="10">
        <v>44760.0</v>
      </c>
      <c r="E1890" s="4" t="s">
        <v>5332</v>
      </c>
      <c r="F1890" s="4" t="s">
        <v>5333</v>
      </c>
      <c r="G1890" s="6" t="str">
        <f>IFERROR(__xludf.DUMMYFUNCTION("REGEXREPLACE(LOWER(F1890),""[^a-z\s]"","""")"),"we have  german shepards who decided to become really picky after ordering this food they eat it right up they love it i have noticed even after just a couple weeks it has also calmed down scoobys scratching some we havent been able to pinpoint why he scr"&amp;"atches so much so hoping that with continued feeding of this brand it will help even more")</f>
        <v>we have  german shepards who decided to become really picky after ordering this food they eat it right up they love it i have noticed even after just a couple weeks it has also calmed down scoobys scratching some we havent been able to pinpoint why he scratches so much so hoping that with continued feeding of this brand it will help even more</v>
      </c>
      <c r="H1890" s="4" t="str">
        <f t="shared" si="1"/>
        <v>we have german shepards who decided become really picky after ordering this food they eat it right up they love it i have noticed even after just a couple weeks it has also calmed down scoobys scratching some we havent been able pinpoint why he scratches so much so hoping that with continued feeding of this brand it will help even more</v>
      </c>
      <c r="I1890" s="6">
        <f t="shared" si="2"/>
        <v>62</v>
      </c>
      <c r="J1890" s="6">
        <f>IFERROR(__xludf.DUMMYFUNCTION("IF(H1890="""","""",
SUM(
ARRAYFORMULA(
IF(
REGEXMATCH(
"" ""&amp;H1890&amp;"" "",
"" ""&amp;Sentiment_Words!A$2:A3730&amp;"" ""
),
1,
0
)
)
)
)"),2.0)</f>
        <v>2</v>
      </c>
      <c r="K1890" s="4">
        <f>IFERROR(__xludf.DUMMYFUNCTION("IF(H1890="""","""",
SUM(
ARRAYFORMULA(
IF(
REGEXMATCH(
"" ""&amp;H1890&amp;"" "",
"" ""&amp;Sentiment_Words!B$2:B3730&amp;"" ""
),
1,
0
)
)
)
)"),0.0)</f>
        <v>0</v>
      </c>
      <c r="L1890" s="7" t="str">
        <f t="shared" si="3"/>
        <v>Other</v>
      </c>
      <c r="M1890" s="7" t="str">
        <f t="shared" si="4"/>
        <v>Positive</v>
      </c>
      <c r="N1890" s="7" t="str">
        <f>IFERROR(__xludf.DUMMYFUNCTION("LOWER(
TRIM(
REGEXREPLACE(B1890,""[^a-zA-Z\s]"","""")
)
)
"),"linda")</f>
        <v>linda</v>
      </c>
      <c r="O1890" s="7">
        <f t="shared" si="5"/>
        <v>10</v>
      </c>
      <c r="P1890" s="8" t="str">
        <f t="shared" si="6"/>
        <v>Yes</v>
      </c>
    </row>
    <row r="1891">
      <c r="A1891" s="4" t="s">
        <v>16</v>
      </c>
      <c r="B1891" s="4" t="s">
        <v>5334</v>
      </c>
      <c r="C1891" s="5">
        <v>44760.0</v>
      </c>
      <c r="D1891" s="10">
        <v>44760.0</v>
      </c>
      <c r="E1891" s="4" t="s">
        <v>5335</v>
      </c>
      <c r="F1891" s="4" t="s">
        <v>5336</v>
      </c>
      <c r="G1891" s="6" t="str">
        <f>IFERROR(__xludf.DUMMYFUNCTION("REGEXREPLACE(LOWER(F1891),""[^a-z\s]"","""")"),"i have been using petflow for over  years their prices are great and shipping is always super fast")</f>
        <v>i have been using petflow for over  years their prices are great and shipping is always super fast</v>
      </c>
      <c r="H1891" s="4" t="str">
        <f t="shared" si="1"/>
        <v>i have been using petflow over years their prices are great shipping always super fast</v>
      </c>
      <c r="I1891" s="6">
        <f t="shared" si="2"/>
        <v>15</v>
      </c>
      <c r="J1891" s="6">
        <f>IFERROR(__xludf.DUMMYFUNCTION("IF(H1891="""","""",
SUM(
ARRAYFORMULA(
IF(
REGEXMATCH(
"" ""&amp;H1891&amp;"" "",
"" ""&amp;Sentiment_Words!A$2:A3730&amp;"" ""
),
1,
0
)
)
)
)"),2.0)</f>
        <v>2</v>
      </c>
      <c r="K1891" s="4">
        <f>IFERROR(__xludf.DUMMYFUNCTION("IF(H1891="""","""",
SUM(
ARRAYFORMULA(
IF(
REGEXMATCH(
"" ""&amp;H1891&amp;"" "",
"" ""&amp;Sentiment_Words!B$2:B3730&amp;"" ""
),
1,
0
)
)
)
)"),0.0)</f>
        <v>0</v>
      </c>
      <c r="L1891" s="7" t="str">
        <f t="shared" si="3"/>
        <v>Other</v>
      </c>
      <c r="M1891" s="7" t="str">
        <f t="shared" si="4"/>
        <v>Positive</v>
      </c>
      <c r="N1891" s="7" t="str">
        <f>IFERROR(__xludf.DUMMYFUNCTION("LOWER(
TRIM(
REGEXREPLACE(B1891,""[^a-zA-Z\s]"","""")
)
)
"),"joan")</f>
        <v>joan</v>
      </c>
      <c r="O1891" s="7">
        <f t="shared" si="5"/>
        <v>7</v>
      </c>
      <c r="P1891" s="8" t="str">
        <f t="shared" si="6"/>
        <v>Yes</v>
      </c>
    </row>
    <row r="1892">
      <c r="A1892" s="4" t="s">
        <v>16</v>
      </c>
      <c r="B1892" s="4" t="s">
        <v>5337</v>
      </c>
      <c r="C1892" s="5">
        <v>44760.0</v>
      </c>
      <c r="D1892" s="10">
        <v>44760.0</v>
      </c>
      <c r="E1892" s="4" t="s">
        <v>5338</v>
      </c>
      <c r="F1892" s="4" t="s">
        <v>5339</v>
      </c>
      <c r="G1892" s="6" t="str">
        <f>IFERROR(__xludf.DUMMYFUNCTION("REGEXREPLACE(LOWER(F1892),""[^a-z\s]"","""")"),"trustworthy company pet food shipped quickly just as good as competitors i can always rely on them")</f>
        <v>trustworthy company pet food shipped quickly just as good as competitors i can always rely on them</v>
      </c>
      <c r="H1892" s="4" t="str">
        <f t="shared" si="1"/>
        <v>trustworthy company pet food shipped quickly just as good as competitors i can always rely on them</v>
      </c>
      <c r="I1892" s="6">
        <f t="shared" si="2"/>
        <v>17</v>
      </c>
      <c r="J1892" s="6">
        <f>IFERROR(__xludf.DUMMYFUNCTION("IF(H1892="""","""",
SUM(
ARRAYFORMULA(
IF(
REGEXMATCH(
"" ""&amp;H1892&amp;"" "",
"" ""&amp;Sentiment_Words!A$2:A3730&amp;"" ""
),
1,
0
)
)
)
)"),2.0)</f>
        <v>2</v>
      </c>
      <c r="K1892" s="4">
        <f>IFERROR(__xludf.DUMMYFUNCTION("IF(H1892="""","""",
SUM(
ARRAYFORMULA(
IF(
REGEXMATCH(
"" ""&amp;H1892&amp;"" "",
"" ""&amp;Sentiment_Words!B$2:B3730&amp;"" ""
),
1,
0
)
)
)
)"),0.0)</f>
        <v>0</v>
      </c>
      <c r="L1892" s="7" t="str">
        <f t="shared" si="3"/>
        <v>Trust &amp; Experience</v>
      </c>
      <c r="M1892" s="7" t="str">
        <f t="shared" si="4"/>
        <v>Positive</v>
      </c>
      <c r="N1892" s="7" t="str">
        <f>IFERROR(__xludf.DUMMYFUNCTION("LOWER(
TRIM(
REGEXREPLACE(B1892,""[^a-zA-Z\s]"","""")
)
)
"),"jc")</f>
        <v>jc</v>
      </c>
      <c r="O1892" s="7">
        <f t="shared" si="5"/>
        <v>2</v>
      </c>
      <c r="P1892" s="8" t="str">
        <f t="shared" si="6"/>
        <v>Yes</v>
      </c>
    </row>
    <row r="1893">
      <c r="A1893" s="4" t="s">
        <v>16</v>
      </c>
      <c r="B1893" s="4" t="s">
        <v>5340</v>
      </c>
      <c r="C1893" s="5">
        <v>44760.0</v>
      </c>
      <c r="D1893" s="10">
        <v>44760.0</v>
      </c>
      <c r="E1893" s="4" t="s">
        <v>5341</v>
      </c>
      <c r="F1893" s="4" t="s">
        <v>5342</v>
      </c>
      <c r="G1893" s="6" t="str">
        <f>IFERROR(__xludf.DUMMYFUNCTION("REGEXREPLACE(LOWER(F1893),""[^a-z\s]"","""")"),"took  days for delivery ran out of dog food in the interim several emails and a phone contact to customer service nobody could tell me where my order was i received several messages none of which could tell me a correct delivery date frustrating")</f>
        <v>took  days for delivery ran out of dog food in the interim several emails and a phone contact to customer service nobody could tell me where my order was i received several messages none of which could tell me a correct delivery date frustrating</v>
      </c>
      <c r="H1893" s="4" t="str">
        <f t="shared" si="1"/>
        <v>took days delivery ran out of dog food in interim several emails a phone contact customer service nobody could tell me where my order was i received several messages none of which could tell me a correct delivery date frustrating</v>
      </c>
      <c r="I1893" s="6">
        <f t="shared" si="2"/>
        <v>40</v>
      </c>
      <c r="J1893" s="6">
        <f>IFERROR(__xludf.DUMMYFUNCTION("IF(H1893="""","""",
SUM(
ARRAYFORMULA(
IF(
REGEXMATCH(
"" ""&amp;H1893&amp;"" "",
"" ""&amp;Sentiment_Words!A$2:A3730&amp;"" ""
),
1,
0
)
)
)
)"),0.0)</f>
        <v>0</v>
      </c>
      <c r="K1893" s="4">
        <f>IFERROR(__xludf.DUMMYFUNCTION("IF(H1893="""","""",
SUM(
ARRAYFORMULA(
IF(
REGEXMATCH(
"" ""&amp;H1893&amp;"" "",
"" ""&amp;Sentiment_Words!B$2:B3730&amp;"" ""
),
1,
0
)
)
)
)"),2.0)</f>
        <v>2</v>
      </c>
      <c r="L1893" s="7" t="str">
        <f t="shared" si="3"/>
        <v>Customer Support</v>
      </c>
      <c r="M1893" s="7" t="str">
        <f t="shared" si="4"/>
        <v>Negative</v>
      </c>
      <c r="N1893" s="7" t="str">
        <f>IFERROR(__xludf.DUMMYFUNCTION("LOWER(
TRIM(
REGEXREPLACE(B1893,""[^a-zA-Z\s]"","""")
)
)
"),"mj")</f>
        <v>mj</v>
      </c>
      <c r="O1893" s="7">
        <f t="shared" si="5"/>
        <v>2</v>
      </c>
      <c r="P1893" s="8" t="str">
        <f t="shared" si="6"/>
        <v>Yes</v>
      </c>
    </row>
    <row r="1894">
      <c r="A1894" s="4" t="s">
        <v>16</v>
      </c>
      <c r="B1894" s="4" t="s">
        <v>5343</v>
      </c>
      <c r="C1894" s="5">
        <v>44760.0</v>
      </c>
      <c r="D1894" s="10">
        <v>44760.0</v>
      </c>
      <c r="E1894" s="4" t="s">
        <v>5344</v>
      </c>
      <c r="F1894" s="4" t="s">
        <v>5345</v>
      </c>
      <c r="G1894" s="6" t="str">
        <f>IFERROR(__xludf.DUMMYFUNCTION("REGEXREPLACE(LOWER(F1894),""[^a-z\s]"","""")"),"delivery is fast my cats love hills cat food great job hills")</f>
        <v>delivery is fast my cats love hills cat food great job hills</v>
      </c>
      <c r="H1894" s="4" t="str">
        <f t="shared" si="1"/>
        <v>delivery fast my cats love hills cat food great job hills</v>
      </c>
      <c r="I1894" s="6">
        <f t="shared" si="2"/>
        <v>11</v>
      </c>
      <c r="J1894" s="6">
        <f>IFERROR(__xludf.DUMMYFUNCTION("IF(H1894="""","""",
SUM(
ARRAYFORMULA(
IF(
REGEXMATCH(
"" ""&amp;H1894&amp;"" "",
"" ""&amp;Sentiment_Words!A$2:A3730&amp;"" ""
),
1,
0
)
)
)
)"),3.0)</f>
        <v>3</v>
      </c>
      <c r="K1894" s="4">
        <f>IFERROR(__xludf.DUMMYFUNCTION("IF(H1894="""","""",
SUM(
ARRAYFORMULA(
IF(
REGEXMATCH(
"" ""&amp;H1894&amp;"" "",
"" ""&amp;Sentiment_Words!B$2:B3730&amp;"" ""
),
1,
0
)
)
)
)"),0.0)</f>
        <v>0</v>
      </c>
      <c r="L1894" s="7" t="str">
        <f t="shared" si="3"/>
        <v>Other</v>
      </c>
      <c r="M1894" s="7" t="str">
        <f t="shared" si="4"/>
        <v>Positive</v>
      </c>
      <c r="N1894" s="7" t="str">
        <f>IFERROR(__xludf.DUMMYFUNCTION("LOWER(
TRIM(
REGEXREPLACE(B1894,""[^a-zA-Z\s]"","""")
)
)
"),"jerry scott")</f>
        <v>jerry scott</v>
      </c>
      <c r="O1894" s="7">
        <f t="shared" si="5"/>
        <v>1</v>
      </c>
      <c r="P1894" s="8" t="str">
        <f t="shared" si="6"/>
        <v>No</v>
      </c>
    </row>
    <row r="1895">
      <c r="A1895" s="4" t="s">
        <v>16</v>
      </c>
      <c r="B1895" s="4" t="s">
        <v>5346</v>
      </c>
      <c r="C1895" s="5">
        <v>44760.0</v>
      </c>
      <c r="D1895" s="10">
        <v>44760.0</v>
      </c>
      <c r="E1895" s="4" t="s">
        <v>2518</v>
      </c>
      <c r="F1895" s="4" t="s">
        <v>5347</v>
      </c>
      <c r="G1895" s="6" t="str">
        <f>IFERROR(__xludf.DUMMYFUNCTION("REGEXREPLACE(LOWER(F1895),""[^a-z\s]"","""")"),"good price on dog food order tracking provided and fast shipping")</f>
        <v>good price on dog food order tracking provided and fast shipping</v>
      </c>
      <c r="H1895" s="4" t="str">
        <f t="shared" si="1"/>
        <v>good price on dog food order tracking provided fast shipping</v>
      </c>
      <c r="I1895" s="6">
        <f t="shared" si="2"/>
        <v>10</v>
      </c>
      <c r="J1895" s="6">
        <f>IFERROR(__xludf.DUMMYFUNCTION("IF(H1895="""","""",
SUM(
ARRAYFORMULA(
IF(
REGEXMATCH(
"" ""&amp;H1895&amp;"" "",
"" ""&amp;Sentiment_Words!A$2:A3730&amp;"" ""
),
1,
0
)
)
)
)"),2.0)</f>
        <v>2</v>
      </c>
      <c r="K1895" s="4">
        <f>IFERROR(__xludf.DUMMYFUNCTION("IF(H1895="""","""",
SUM(
ARRAYFORMULA(
IF(
REGEXMATCH(
"" ""&amp;H1895&amp;"" "",
"" ""&amp;Sentiment_Words!B$2:B3730&amp;"" ""
),
1,
0
)
)
)
)"),0.0)</f>
        <v>0</v>
      </c>
      <c r="L1895" s="7" t="str">
        <f t="shared" si="3"/>
        <v>Other</v>
      </c>
      <c r="M1895" s="7" t="str">
        <f t="shared" si="4"/>
        <v>Positive</v>
      </c>
      <c r="N1895" s="7" t="str">
        <f>IFERROR(__xludf.DUMMYFUNCTION("LOWER(
TRIM(
REGEXREPLACE(B1895,""[^a-zA-Z\s]"","""")
)
)
"),"jim")</f>
        <v>jim</v>
      </c>
      <c r="O1895" s="7">
        <f t="shared" si="5"/>
        <v>4</v>
      </c>
      <c r="P1895" s="8" t="str">
        <f t="shared" si="6"/>
        <v>Yes</v>
      </c>
    </row>
    <row r="1896">
      <c r="A1896" s="4" t="s">
        <v>16</v>
      </c>
      <c r="B1896" s="4" t="s">
        <v>5348</v>
      </c>
      <c r="C1896" s="5">
        <v>44760.0</v>
      </c>
      <c r="D1896" s="10">
        <v>44760.0</v>
      </c>
      <c r="E1896" s="4" t="s">
        <v>5349</v>
      </c>
      <c r="F1896" s="4" t="s">
        <v>5350</v>
      </c>
      <c r="G1896" s="6" t="str">
        <f>IFERROR(__xludf.DUMMYFUNCTION("REGEXREPLACE(LOWER(F1896),""[^a-z\s]"","""")"),"quick customer service a variety of dog foods to choose from")</f>
        <v>quick customer service a variety of dog foods to choose from</v>
      </c>
      <c r="H1896" s="4" t="str">
        <f t="shared" si="1"/>
        <v>quick customer service a variety of dog foods choose from</v>
      </c>
      <c r="I1896" s="6">
        <f t="shared" si="2"/>
        <v>10</v>
      </c>
      <c r="J1896" s="6">
        <f>IFERROR(__xludf.DUMMYFUNCTION("IF(H1896="""","""",
SUM(
ARRAYFORMULA(
IF(
REGEXMATCH(
"" ""&amp;H1896&amp;"" "",
"" ""&amp;Sentiment_Words!A$2:A3730&amp;"" ""
),
1,
0
)
)
)
)"),0.0)</f>
        <v>0</v>
      </c>
      <c r="K1896" s="4">
        <f>IFERROR(__xludf.DUMMYFUNCTION("IF(H1896="""","""",
SUM(
ARRAYFORMULA(
IF(
REGEXMATCH(
"" ""&amp;H1896&amp;"" "",
"" ""&amp;Sentiment_Words!B$2:B3730&amp;"" ""
),
1,
0
)
)
)
)"),1.0)</f>
        <v>1</v>
      </c>
      <c r="L1896" s="7" t="str">
        <f t="shared" si="3"/>
        <v>Customer Support</v>
      </c>
      <c r="M1896" s="7" t="str">
        <f t="shared" si="4"/>
        <v>Negative</v>
      </c>
      <c r="N1896" s="7" t="str">
        <f>IFERROR(__xludf.DUMMYFUNCTION("LOWER(
TRIM(
REGEXREPLACE(B1896,""[^a-zA-Z\s]"","""")
)
)
"),"dave g")</f>
        <v>dave g</v>
      </c>
      <c r="O1896" s="7">
        <f t="shared" si="5"/>
        <v>1</v>
      </c>
      <c r="P1896" s="8" t="str">
        <f t="shared" si="6"/>
        <v>No</v>
      </c>
    </row>
    <row r="1897">
      <c r="A1897" s="4" t="s">
        <v>16</v>
      </c>
      <c r="B1897" s="4" t="s">
        <v>5351</v>
      </c>
      <c r="C1897" s="5">
        <v>44760.0</v>
      </c>
      <c r="D1897" s="10">
        <v>44760.0</v>
      </c>
      <c r="E1897" s="4" t="s">
        <v>5352</v>
      </c>
      <c r="F1897" s="4" t="s">
        <v>331</v>
      </c>
      <c r="G1897" s="6" t="str">
        <f>IFERROR(__xludf.DUMMYFUNCTION("REGEXREPLACE(LOWER(F1897),""[^a-z\s]"","""")"),"none")</f>
        <v>none</v>
      </c>
      <c r="H1897" s="4" t="str">
        <f t="shared" si="1"/>
        <v>none</v>
      </c>
      <c r="I1897" s="6">
        <f t="shared" si="2"/>
        <v>1</v>
      </c>
      <c r="J1897" s="6">
        <f>IFERROR(__xludf.DUMMYFUNCTION("IF(H1897="""","""",
SUM(
ARRAYFORMULA(
IF(
REGEXMATCH(
"" ""&amp;H1897&amp;"" "",
"" ""&amp;Sentiment_Words!A$2:A3730&amp;"" ""
),
1,
0
)
)
)
)"),0.0)</f>
        <v>0</v>
      </c>
      <c r="K1897" s="4">
        <f>IFERROR(__xludf.DUMMYFUNCTION("IF(H1897="""","""",
SUM(
ARRAYFORMULA(
IF(
REGEXMATCH(
"" ""&amp;H1897&amp;"" "",
"" ""&amp;Sentiment_Words!B$2:B3730&amp;"" ""
),
1,
0
)
)
)
)"),0.0)</f>
        <v>0</v>
      </c>
      <c r="L1897" s="7" t="str">
        <f t="shared" si="3"/>
        <v>Other</v>
      </c>
      <c r="M1897" s="7" t="str">
        <f t="shared" si="4"/>
        <v>Neutral</v>
      </c>
      <c r="N1897" s="7" t="str">
        <f>IFERROR(__xludf.DUMMYFUNCTION("LOWER(
TRIM(
REGEXREPLACE(B1897,""[^a-zA-Z\s]"","""")
)
)
"),"breewynd labradors")</f>
        <v>breewynd labradors</v>
      </c>
      <c r="O1897" s="7">
        <f t="shared" si="5"/>
        <v>1</v>
      </c>
      <c r="P1897" s="8" t="str">
        <f t="shared" si="6"/>
        <v>No</v>
      </c>
    </row>
    <row r="1898">
      <c r="A1898" s="4" t="s">
        <v>16</v>
      </c>
      <c r="B1898" s="4" t="s">
        <v>5353</v>
      </c>
      <c r="C1898" s="5">
        <v>44760.0</v>
      </c>
      <c r="D1898" s="10">
        <v>44760.0</v>
      </c>
      <c r="E1898" s="4" t="s">
        <v>5354</v>
      </c>
      <c r="F1898" s="4" t="s">
        <v>5355</v>
      </c>
      <c r="G1898" s="6" t="str">
        <f>IFERROR(__xludf.DUMMYFUNCTION("REGEXREPLACE(LOWER(F1898),""[^a-z\s]"","""")"),"i called to change an order for a later date and told her to make sure she keeps the newest date well she cancelled both orders when i called back to find out why the girl was very rude because i was upset and said the earlier call she didnt know what she"&amp;" was doing i may just switch back to chewy")</f>
        <v>i called to change an order for a later date and told her to make sure she keeps the newest date well she cancelled both orders when i called back to find out why the girl was very rude because i was upset and said the earlier call she didnt know what she was doing i may just switch back to chewy</v>
      </c>
      <c r="H1898" s="4" t="str">
        <f t="shared" si="1"/>
        <v>i called change an order a later date told her make sure she keeps newest date well she cancelled both orders when i called back find out why girl was very rude because i was upset said earlier call she didnt know what she was doing i may just switch back chewy</v>
      </c>
      <c r="I1898" s="6">
        <f t="shared" si="2"/>
        <v>52</v>
      </c>
      <c r="J1898" s="6">
        <f>IFERROR(__xludf.DUMMYFUNCTION("IF(H1898="""","""",
SUM(
ARRAYFORMULA(
IF(
REGEXMATCH(
"" ""&amp;H1898&amp;"" "",
"" ""&amp;Sentiment_Words!A$2:A3730&amp;"" ""
),
1,
0
)
)
)
)"),0.0)</f>
        <v>0</v>
      </c>
      <c r="K1898" s="4">
        <f>IFERROR(__xludf.DUMMYFUNCTION("IF(H1898="""","""",
SUM(
ARRAYFORMULA(
IF(
REGEXMATCH(
"" ""&amp;H1898&amp;"" "",
"" ""&amp;Sentiment_Words!B$2:B3730&amp;"" ""
),
1,
0
)
)
)
)"),1.0)</f>
        <v>1</v>
      </c>
      <c r="L1898" s="7" t="str">
        <f t="shared" si="3"/>
        <v>Fulfillment &amp; Shipping</v>
      </c>
      <c r="M1898" s="7" t="str">
        <f t="shared" si="4"/>
        <v>Negative</v>
      </c>
      <c r="N1898" s="7" t="str">
        <f>IFERROR(__xludf.DUMMYFUNCTION("LOWER(
TRIM(
REGEXREPLACE(B1898,""[^a-zA-Z\s]"","""")
)
)
"),"john boster")</f>
        <v>john boster</v>
      </c>
      <c r="O1898" s="7">
        <f t="shared" si="5"/>
        <v>1</v>
      </c>
      <c r="P1898" s="8" t="str">
        <f t="shared" si="6"/>
        <v>No</v>
      </c>
    </row>
    <row r="1899">
      <c r="A1899" s="4" t="s">
        <v>16</v>
      </c>
      <c r="B1899" s="4" t="s">
        <v>5356</v>
      </c>
      <c r="C1899" s="5">
        <v>44759.0</v>
      </c>
      <c r="D1899" s="10">
        <v>44759.0</v>
      </c>
      <c r="E1899" s="4" t="s">
        <v>5357</v>
      </c>
      <c r="F1899" s="4" t="s">
        <v>5358</v>
      </c>
      <c r="G1899" s="6" t="str">
        <f>IFERROR(__xludf.DUMMYFUNCTION("REGEXREPLACE(LOWER(F1899),""[^a-z\s]"","""")"),"ordered with a coupon perfect delivery")</f>
        <v>ordered with a coupon perfect delivery</v>
      </c>
      <c r="H1899" s="4" t="str">
        <f t="shared" si="1"/>
        <v>ordered with a coupon perfect delivery</v>
      </c>
      <c r="I1899" s="6">
        <f t="shared" si="2"/>
        <v>6</v>
      </c>
      <c r="J1899" s="6">
        <f>IFERROR(__xludf.DUMMYFUNCTION("IF(H1899="""","""",
SUM(
ARRAYFORMULA(
IF(
REGEXMATCH(
"" ""&amp;H1899&amp;"" "",
"" ""&amp;Sentiment_Words!A$2:A3730&amp;"" ""
),
1,
0
)
)
)
)"),0.0)</f>
        <v>0</v>
      </c>
      <c r="K1899" s="4">
        <f>IFERROR(__xludf.DUMMYFUNCTION("IF(H1899="""","""",
SUM(
ARRAYFORMULA(
IF(
REGEXMATCH(
"" ""&amp;H1899&amp;"" "",
"" ""&amp;Sentiment_Words!B$2:B3730&amp;"" ""
),
1,
0
)
)
)
)"),0.0)</f>
        <v>0</v>
      </c>
      <c r="L1899" s="7" t="str">
        <f t="shared" si="3"/>
        <v>Other</v>
      </c>
      <c r="M1899" s="7" t="str">
        <f t="shared" si="4"/>
        <v>Neutral</v>
      </c>
      <c r="N1899" s="7" t="str">
        <f>IFERROR(__xludf.DUMMYFUNCTION("LOWER(
TRIM(
REGEXREPLACE(B1899,""[^a-zA-Z\s]"","""")
)
)
"),"mntx")</f>
        <v>mntx</v>
      </c>
      <c r="O1899" s="7">
        <f t="shared" si="5"/>
        <v>1</v>
      </c>
      <c r="P1899" s="8" t="str">
        <f t="shared" si="6"/>
        <v>No</v>
      </c>
    </row>
    <row r="1900">
      <c r="A1900" s="4" t="s">
        <v>16</v>
      </c>
      <c r="B1900" s="4" t="s">
        <v>5359</v>
      </c>
      <c r="C1900" s="5">
        <v>44759.0</v>
      </c>
      <c r="D1900" s="10">
        <v>44759.0</v>
      </c>
      <c r="E1900" s="4" t="s">
        <v>5360</v>
      </c>
      <c r="F1900" s="4" t="s">
        <v>5361</v>
      </c>
      <c r="G1900" s="6" t="str">
        <f>IFERROR(__xludf.DUMMYFUNCTION("REGEXREPLACE(LOWER(F1900),""[^a-z\s]"","""")"),"only received half of our order and cannot get the auto ship part to work correctly also a very hard to navigate and unclear website not user friendly")</f>
        <v>only received half of our order and cannot get the auto ship part to work correctly also a very hard to navigate and unclear website not user friendly</v>
      </c>
      <c r="H1900" s="4" t="str">
        <f t="shared" si="1"/>
        <v>only received half of our order cannot get auto ship part work correctly also a very hard navigate unclear website not user friendly</v>
      </c>
      <c r="I1900" s="6">
        <f t="shared" si="2"/>
        <v>23</v>
      </c>
      <c r="J1900" s="6">
        <f>IFERROR(__xludf.DUMMYFUNCTION("IF(H1900="""","""",
SUM(
ARRAYFORMULA(
IF(
REGEXMATCH(
"" ""&amp;H1900&amp;"" "",
"" ""&amp;Sentiment_Words!A$2:A3730&amp;"" ""
),
1,
0
)
)
)
)"),1.0)</f>
        <v>1</v>
      </c>
      <c r="K1900" s="4">
        <f>IFERROR(__xludf.DUMMYFUNCTION("IF(H1900="""","""",
SUM(
ARRAYFORMULA(
IF(
REGEXMATCH(
"" ""&amp;H1900&amp;"" "",
"" ""&amp;Sentiment_Words!B$2:B3730&amp;"" ""
),
1,
0
)
)
)
)"),0.0)</f>
        <v>0</v>
      </c>
      <c r="L1900" s="7" t="str">
        <f t="shared" si="3"/>
        <v>Account &amp; Website</v>
      </c>
      <c r="M1900" s="7" t="str">
        <f t="shared" si="4"/>
        <v>Positive</v>
      </c>
      <c r="N1900" s="7" t="str">
        <f>IFERROR(__xludf.DUMMYFUNCTION("LOWER(
TRIM(
REGEXREPLACE(B1900,""[^a-zA-Z\s]"","""")
)
)
"),"linda miville")</f>
        <v>linda miville</v>
      </c>
      <c r="O1900" s="7">
        <f t="shared" si="5"/>
        <v>1</v>
      </c>
      <c r="P1900" s="8" t="str">
        <f t="shared" si="6"/>
        <v>No</v>
      </c>
    </row>
    <row r="1901">
      <c r="A1901" s="4" t="s">
        <v>16</v>
      </c>
      <c r="B1901" s="4" t="s">
        <v>5362</v>
      </c>
      <c r="C1901" s="5">
        <v>44759.0</v>
      </c>
      <c r="D1901" s="10">
        <v>44759.0</v>
      </c>
      <c r="E1901" s="4" t="s">
        <v>5363</v>
      </c>
      <c r="F1901" s="4" t="s">
        <v>5364</v>
      </c>
      <c r="G1901" s="6" t="str">
        <f>IFERROR(__xludf.DUMMYFUNCTION("REGEXREPLACE(LOWER(F1901),""[^a-z\s]"","""")"),"my food order was lost in transit and after waiting for  days and having to contact the company they made it up to me by simply sending me a new order while shipping issues may not be the vendors fault communication and customer satisfaction should still "&amp;"matter")</f>
        <v>my food order was lost in transit and after waiting for  days and having to contact the company they made it up to me by simply sending me a new order while shipping issues may not be the vendors fault communication and customer satisfaction should still matter</v>
      </c>
      <c r="H1901" s="4" t="str">
        <f t="shared" si="1"/>
        <v>my food order was lost in transit after waiting days having contact company they made it up me by simply sending me a new order while shipping issues may not be vendors fault communication customer satisfaction should still matter</v>
      </c>
      <c r="I1901" s="6">
        <f t="shared" si="2"/>
        <v>39</v>
      </c>
      <c r="J1901" s="6">
        <f>IFERROR(__xludf.DUMMYFUNCTION("IF(H1901="""","""",
SUM(
ARRAYFORMULA(
IF(
REGEXMATCH(
"" ""&amp;H1901&amp;"" "",
"" ""&amp;Sentiment_Words!A$2:A3730&amp;"" ""
),
1,
0
)
)
)
)"),0.0)</f>
        <v>0</v>
      </c>
      <c r="K1901" s="4">
        <f>IFERROR(__xludf.DUMMYFUNCTION("IF(H1901="""","""",
SUM(
ARRAYFORMULA(
IF(
REGEXMATCH(
"" ""&amp;H1901&amp;"" "",
"" ""&amp;Sentiment_Words!B$2:B3730&amp;"" ""
),
1,
0
)
)
)
)"),0.0)</f>
        <v>0</v>
      </c>
      <c r="L1901" s="7" t="str">
        <f t="shared" si="3"/>
        <v>Other</v>
      </c>
      <c r="M1901" s="7" t="str">
        <f t="shared" si="4"/>
        <v>Neutral</v>
      </c>
      <c r="N1901" s="7" t="str">
        <f>IFERROR(__xludf.DUMMYFUNCTION("LOWER(
TRIM(
REGEXREPLACE(B1901,""[^a-zA-Z\s]"","""")
)
)
"),"janet moore")</f>
        <v>janet moore</v>
      </c>
      <c r="O1901" s="7">
        <f t="shared" si="5"/>
        <v>1</v>
      </c>
      <c r="P1901" s="8" t="str">
        <f t="shared" si="6"/>
        <v>No</v>
      </c>
    </row>
    <row r="1902">
      <c r="A1902" s="4" t="s">
        <v>16</v>
      </c>
      <c r="B1902" s="4" t="s">
        <v>5365</v>
      </c>
      <c r="C1902" s="5">
        <v>44759.0</v>
      </c>
      <c r="D1902" s="10">
        <v>44759.0</v>
      </c>
      <c r="E1902" s="4" t="s">
        <v>5366</v>
      </c>
      <c r="F1902" s="4" t="s">
        <v>5367</v>
      </c>
      <c r="G1902" s="6" t="str">
        <f>IFERROR(__xludf.DUMMYFUNCTION("REGEXREPLACE(LOWER(F1902),""[^a-z\s]"","""")"),"placed my first order everything arrived in wonderful condition and was priced at great prices")</f>
        <v>placed my first order everything arrived in wonderful condition and was priced at great prices</v>
      </c>
      <c r="H1902" s="4" t="str">
        <f t="shared" si="1"/>
        <v>placed my first order everything arrived in wonderful condition was priced at great prices</v>
      </c>
      <c r="I1902" s="6">
        <f t="shared" si="2"/>
        <v>14</v>
      </c>
      <c r="J1902" s="6">
        <f>IFERROR(__xludf.DUMMYFUNCTION("IF(H1902="""","""",
SUM(
ARRAYFORMULA(
IF(
REGEXMATCH(
"" ""&amp;H1902&amp;"" "",
"" ""&amp;Sentiment_Words!A$2:A3730&amp;"" ""
),
1,
0
)
)
)
)"),2.0)</f>
        <v>2</v>
      </c>
      <c r="K1902" s="4">
        <f>IFERROR(__xludf.DUMMYFUNCTION("IF(H1902="""","""",
SUM(
ARRAYFORMULA(
IF(
REGEXMATCH(
"" ""&amp;H1902&amp;"" "",
"" ""&amp;Sentiment_Words!B$2:B3730&amp;"" ""
),
1,
0
)
)
)
)"),0.0)</f>
        <v>0</v>
      </c>
      <c r="L1902" s="7" t="str">
        <f t="shared" si="3"/>
        <v>Other</v>
      </c>
      <c r="M1902" s="7" t="str">
        <f t="shared" si="4"/>
        <v>Positive</v>
      </c>
      <c r="N1902" s="7" t="str">
        <f>IFERROR(__xludf.DUMMYFUNCTION("LOWER(
TRIM(
REGEXREPLACE(B1902,""[^a-zA-Z\s]"","""")
)
)
"),"sarah mcanally")</f>
        <v>sarah mcanally</v>
      </c>
      <c r="O1902" s="7">
        <f t="shared" si="5"/>
        <v>1</v>
      </c>
      <c r="P1902" s="8" t="str">
        <f t="shared" si="6"/>
        <v>No</v>
      </c>
    </row>
    <row r="1903">
      <c r="A1903" s="4" t="s">
        <v>16</v>
      </c>
      <c r="B1903" s="4" t="s">
        <v>5368</v>
      </c>
      <c r="C1903" s="5">
        <v>44759.0</v>
      </c>
      <c r="D1903" s="10">
        <v>44759.0</v>
      </c>
      <c r="E1903" s="4" t="s">
        <v>5369</v>
      </c>
      <c r="F1903" s="4" t="s">
        <v>5370</v>
      </c>
      <c r="G1903" s="6" t="str">
        <f>IFERROR(__xludf.DUMMYFUNCTION("REGEXREPLACE(LOWER(F1903),""[^a-z\s]"","""")"),"so great and will help if there is a problem with order al ways on time")</f>
        <v>so great and will help if there is a problem with order al ways on time</v>
      </c>
      <c r="H1903" s="4" t="str">
        <f t="shared" si="1"/>
        <v>so great will help if there a problem with order al ways on time</v>
      </c>
      <c r="I1903" s="6">
        <f t="shared" si="2"/>
        <v>14</v>
      </c>
      <c r="J1903" s="6">
        <f>IFERROR(__xludf.DUMMYFUNCTION("IF(H1903="""","""",
SUM(
ARRAYFORMULA(
IF(
REGEXMATCH(
"" ""&amp;H1903&amp;"" "",
"" ""&amp;Sentiment_Words!A$2:A3730&amp;"" ""
),
1,
0
)
)
)
)"),2.0)</f>
        <v>2</v>
      </c>
      <c r="K1903" s="4">
        <f>IFERROR(__xludf.DUMMYFUNCTION("IF(H1903="""","""",
SUM(
ARRAYFORMULA(
IF(
REGEXMATCH(
"" ""&amp;H1903&amp;"" "",
"" ""&amp;Sentiment_Words!B$2:B3730&amp;"" ""
),
1,
0
)
)
)
)"),1.0)</f>
        <v>1</v>
      </c>
      <c r="L1903" s="7" t="str">
        <f t="shared" si="3"/>
        <v>Other</v>
      </c>
      <c r="M1903" s="7" t="str">
        <f t="shared" si="4"/>
        <v>Positive</v>
      </c>
      <c r="N1903" s="7" t="str">
        <f>IFERROR(__xludf.DUMMYFUNCTION("LOWER(
TRIM(
REGEXREPLACE(B1903,""[^a-zA-Z\s]"","""")
)
)
"),"cfrick")</f>
        <v>cfrick</v>
      </c>
      <c r="O1903" s="7">
        <f t="shared" si="5"/>
        <v>1</v>
      </c>
      <c r="P1903" s="8" t="str">
        <f t="shared" si="6"/>
        <v>No</v>
      </c>
    </row>
    <row r="1904">
      <c r="A1904" s="4" t="s">
        <v>16</v>
      </c>
      <c r="B1904" s="4" t="s">
        <v>5371</v>
      </c>
      <c r="C1904" s="5">
        <v>44758.0</v>
      </c>
      <c r="D1904" s="10">
        <v>44759.0</v>
      </c>
      <c r="E1904" s="4" t="s">
        <v>5372</v>
      </c>
      <c r="F1904" s="4" t="s">
        <v>5373</v>
      </c>
      <c r="G1904" s="6" t="str">
        <f>IFERROR(__xludf.DUMMYFUNCTION("REGEXREPLACE(LOWER(F1904),""[^a-z\s]"","""")"),"a few things went wrong items shipped from two warehouses which is okay but took an extra few days for shipping didnt ship immediately the first shipment they shorted me a bag of food so since the chat feature wasnt working email stated they are behind on"&amp;" answering so i called them i was told the missing bag would arrive on monday this didnt sound right to me since it showed it had been shipped with the order and i knew i was going to get the remaining part of my order by wednesday this was on a friday i "&amp;"then emailed for confirmation the missing bag would be here on monday as stated instead the next representative who responded by email let me know they had put in a replacement to ship the missing bag so the shorted bag was simply a packing error and inst"&amp;"ead of telling me they had messed up they were stringing me along because the second rep put the order in i did finally receive the bag i had been shorted also always check the fresh by dates one item i received has a use by date of  which is only a month"&amp;" out luckily it is a treat and i will be using it this coming week so overall not too thrilled with how they ship some of their customer service but the prices are goods i will probably order from again but i know to stay vigilant on when its being shippe"&amp;"d once its arrived to check it then to verify the use by dates")</f>
        <v>a few things went wrong items shipped from two warehouses which is okay but took an extra few days for shipping didnt ship immediately the first shipment they shorted me a bag of food so since the chat feature wasnt working email stated they are behind on answering so i called them i was told the missing bag would arrive on monday this didnt sound right to me since it showed it had been shipped with the order and i knew i was going to get the remaining part of my order by wednesday this was on a friday i then emailed for confirmation the missing bag would be here on monday as stated instead the next representative who responded by email let me know they had put in a replacement to ship the missing bag so the shorted bag was simply a packing error and instead of telling me they had messed up they were stringing me along because the second rep put the order in i did finally receive the bag i had been shorted also always check the fresh by dates one item i received has a use by date of  which is only a month out luckily it is a treat and i will be using it this coming week so overall not too thrilled with how they ship some of their customer service but the prices are goods i will probably order from again but i know to stay vigilant on when its being shipped once its arrived to check it then to verify the use by dates</v>
      </c>
      <c r="H1904" s="4" t="str">
        <f t="shared" si="1"/>
        <v>a few things went wrong items shipped from two warehouses which okay but took an extra few days shipping didnt ship immediately first shipment they shorted me a bag of food so since chat feature wasnt working email stated they are behind on answering so i called them i was told missing bag would arrive on monday this didnt sound right me since it showed it had been shipped with order i knew i was going get remaining part of my order by wednesday this was on a friday i then emailed confirmation missing bag would be here on monday as stated instead next representative who responded by email let me know they had put in a replacement ship missing bag so shorted bag was simply a packing error instead of telling me they had messed up they were stringing me along because second rep put order in i did finally receive bag i had been shorted also always check fresh by dates one item i received has a use by date of which only a month out luckily it a treat i will be using it this coming week so overall not too thrilled with how they ship some of their customer service but prices are goods i will probably order from again but i know stay vigilant on when its being shipped once its arrived check it then verify use by dates</v>
      </c>
      <c r="I1904" s="6">
        <f t="shared" si="2"/>
        <v>234</v>
      </c>
      <c r="J1904" s="6">
        <f>IFERROR(__xludf.DUMMYFUNCTION("IF(H1904="""","""",
SUM(
ARRAYFORMULA(
IF(
REGEXMATCH(
"" ""&amp;H1904&amp;"" "",
"" ""&amp;Sentiment_Words!A$2:A3730&amp;"" ""
),
1,
0
)
)
)
)"),2.0)</f>
        <v>2</v>
      </c>
      <c r="K1904" s="4">
        <f>IFERROR(__xludf.DUMMYFUNCTION("IF(H1904="""","""",
SUM(
ARRAYFORMULA(
IF(
REGEXMATCH(
"" ""&amp;H1904&amp;"" "",
"" ""&amp;Sentiment_Words!B$2:B3730&amp;"" ""
),
1,
0
)
)
)
)"),3.0)</f>
        <v>3</v>
      </c>
      <c r="L1904" s="7" t="str">
        <f t="shared" si="3"/>
        <v>Customer Support</v>
      </c>
      <c r="M1904" s="7" t="str">
        <f t="shared" si="4"/>
        <v>Negative</v>
      </c>
      <c r="N1904" s="7" t="str">
        <f>IFERROR(__xludf.DUMMYFUNCTION("LOWER(
TRIM(
REGEXREPLACE(B1904,""[^a-zA-Z\s]"","""")
)
)
"),"clementine maureen l paradise")</f>
        <v>clementine maureen l paradise</v>
      </c>
      <c r="O1904" s="7">
        <f t="shared" si="5"/>
        <v>1</v>
      </c>
      <c r="P1904" s="8" t="str">
        <f t="shared" si="6"/>
        <v>No</v>
      </c>
    </row>
    <row r="1905">
      <c r="A1905" s="4" t="s">
        <v>16</v>
      </c>
      <c r="B1905" s="4" t="s">
        <v>5374</v>
      </c>
      <c r="C1905" s="5">
        <v>44758.0</v>
      </c>
      <c r="D1905" s="10">
        <v>44758.0</v>
      </c>
      <c r="E1905" s="4" t="s">
        <v>5375</v>
      </c>
      <c r="F1905" s="4" t="s">
        <v>5376</v>
      </c>
      <c r="G1905" s="6" t="str">
        <f>IFERROR(__xludf.DUMMYFUNCTION("REGEXREPLACE(LOWER(F1905),""[^a-z\s]"","""")"),"good fast delivery and cat food was in good shape when it got here best price i could find on it too i will definitely use petflow again")</f>
        <v>good fast delivery and cat food was in good shape when it got here best price i could find on it too i will definitely use petflow again</v>
      </c>
      <c r="H1905" s="4" t="str">
        <f t="shared" si="1"/>
        <v>good fast delivery cat food was in good shape when it got here best price i could find on it too i will definitely use petflow again</v>
      </c>
      <c r="I1905" s="6">
        <f t="shared" si="2"/>
        <v>27</v>
      </c>
      <c r="J1905" s="6">
        <f>IFERROR(__xludf.DUMMYFUNCTION("IF(H1905="""","""",
SUM(
ARRAYFORMULA(
IF(
REGEXMATCH(
"" ""&amp;H1905&amp;"" "",
"" ""&amp;Sentiment_Words!A$2:A3730&amp;"" ""
),
1,
0
)
)
)
)"),3.0)</f>
        <v>3</v>
      </c>
      <c r="K1905" s="4">
        <f>IFERROR(__xludf.DUMMYFUNCTION("IF(H1905="""","""",
SUM(
ARRAYFORMULA(
IF(
REGEXMATCH(
"" ""&amp;H1905&amp;"" "",
"" ""&amp;Sentiment_Words!B$2:B3730&amp;"" ""
),
1,
0
)
)
)
)"),0.0)</f>
        <v>0</v>
      </c>
      <c r="L1905" s="7" t="str">
        <f t="shared" si="3"/>
        <v>Other</v>
      </c>
      <c r="M1905" s="7" t="str">
        <f t="shared" si="4"/>
        <v>Positive</v>
      </c>
      <c r="N1905" s="7" t="str">
        <f>IFERROR(__xludf.DUMMYFUNCTION("LOWER(
TRIM(
REGEXREPLACE(B1905,""[^a-zA-Z\s]"","""")
)
)
"),"linda")</f>
        <v>linda</v>
      </c>
      <c r="O1905" s="7">
        <f t="shared" si="5"/>
        <v>10</v>
      </c>
      <c r="P1905" s="8" t="str">
        <f t="shared" si="6"/>
        <v>Yes</v>
      </c>
    </row>
    <row r="1906">
      <c r="A1906" s="4" t="s">
        <v>16</v>
      </c>
      <c r="B1906" s="4" t="s">
        <v>5377</v>
      </c>
      <c r="C1906" s="5">
        <v>44758.0</v>
      </c>
      <c r="D1906" s="10">
        <v>44758.0</v>
      </c>
      <c r="E1906" s="4" t="s">
        <v>5378</v>
      </c>
      <c r="F1906" s="4" t="s">
        <v>5379</v>
      </c>
      <c r="G1906" s="6" t="str">
        <f>IFERROR(__xludf.DUMMYFUNCTION("REGEXREPLACE(LOWER(F1906),""[^a-z\s]"","""")"),"will order again  stars")</f>
        <v>will order again  stars</v>
      </c>
      <c r="H1906" s="4" t="str">
        <f t="shared" si="1"/>
        <v>will order again stars</v>
      </c>
      <c r="I1906" s="6">
        <f t="shared" si="2"/>
        <v>4</v>
      </c>
      <c r="J1906" s="6">
        <f>IFERROR(__xludf.DUMMYFUNCTION("IF(H1906="""","""",
SUM(
ARRAYFORMULA(
IF(
REGEXMATCH(
"" ""&amp;H1906&amp;"" "",
"" ""&amp;Sentiment_Words!A$2:A3730&amp;"" ""
),
1,
0
)
)
)
)"),0.0)</f>
        <v>0</v>
      </c>
      <c r="K1906" s="4">
        <f>IFERROR(__xludf.DUMMYFUNCTION("IF(H1906="""","""",
SUM(
ARRAYFORMULA(
IF(
REGEXMATCH(
"" ""&amp;H1906&amp;"" "",
"" ""&amp;Sentiment_Words!B$2:B3730&amp;"" ""
),
1,
0
)
)
)
)"),0.0)</f>
        <v>0</v>
      </c>
      <c r="L1906" s="7" t="str">
        <f t="shared" si="3"/>
        <v>Other</v>
      </c>
      <c r="M1906" s="7" t="str">
        <f t="shared" si="4"/>
        <v>Neutral</v>
      </c>
      <c r="N1906" s="7" t="str">
        <f>IFERROR(__xludf.DUMMYFUNCTION("LOWER(
TRIM(
REGEXREPLACE(B1906,""[^a-zA-Z\s]"","""")
)
)
"),"customer brenda")</f>
        <v>customer brenda</v>
      </c>
      <c r="O1906" s="7">
        <f t="shared" si="5"/>
        <v>1</v>
      </c>
      <c r="P1906" s="8" t="str">
        <f t="shared" si="6"/>
        <v>No</v>
      </c>
    </row>
    <row r="1907">
      <c r="A1907" s="4" t="s">
        <v>16</v>
      </c>
      <c r="B1907" s="4" t="s">
        <v>3816</v>
      </c>
      <c r="C1907" s="5">
        <v>44758.0</v>
      </c>
      <c r="D1907" s="10">
        <v>44758.0</v>
      </c>
      <c r="E1907" s="4" t="s">
        <v>5380</v>
      </c>
      <c r="F1907" s="4" t="s">
        <v>5381</v>
      </c>
      <c r="G1907" s="6" t="str">
        <f>IFERROR(__xludf.DUMMYFUNCTION("REGEXREPLACE(LOWER(F1907),""[^a-z\s]"","""")"),"fast delivery available products
i was able to find a certain dog food that was not available on another pet food website
thanks petflow")</f>
        <v>fast delivery available products
i was able to find a certain dog food that was not available on another pet food website
thanks petflow</v>
      </c>
      <c r="H1907" s="4" t="str">
        <f t="shared" si="1"/>
        <v>fast delivery available products
i was able find a certain dog food that was not available on another pet food website
thanks petflow</v>
      </c>
      <c r="I1907" s="6">
        <f t="shared" si="2"/>
        <v>21</v>
      </c>
      <c r="J1907" s="6">
        <f>IFERROR(__xludf.DUMMYFUNCTION("IF(H1907="""","""",
SUM(
ARRAYFORMULA(
IF(
REGEXMATCH(
"" ""&amp;H1907&amp;"" "",
"" ""&amp;Sentiment_Words!A$2:A3730&amp;"" ""
),
1,
0
)
)
)
)"),4.0)</f>
        <v>4</v>
      </c>
      <c r="K1907" s="4">
        <f>IFERROR(__xludf.DUMMYFUNCTION("IF(H1907="""","""",
SUM(
ARRAYFORMULA(
IF(
REGEXMATCH(
"" ""&amp;H1907&amp;"" "",
"" ""&amp;Sentiment_Words!B$2:B3730&amp;"" ""
),
1,
0
)
)
)
)"),0.0)</f>
        <v>0</v>
      </c>
      <c r="L1907" s="7" t="str">
        <f t="shared" si="3"/>
        <v>Account &amp; Website</v>
      </c>
      <c r="M1907" s="7" t="str">
        <f t="shared" si="4"/>
        <v>Positive</v>
      </c>
      <c r="N1907" s="7" t="str">
        <f>IFERROR(__xludf.DUMMYFUNCTION("LOWER(
TRIM(
REGEXREPLACE(B1907,""[^a-zA-Z\s]"","""")
)
)
"),"lynn")</f>
        <v>lynn</v>
      </c>
      <c r="O1907" s="7">
        <f t="shared" si="5"/>
        <v>4</v>
      </c>
      <c r="P1907" s="8" t="str">
        <f t="shared" si="6"/>
        <v>Yes</v>
      </c>
    </row>
    <row r="1908">
      <c r="A1908" s="4" t="s">
        <v>16</v>
      </c>
      <c r="B1908" s="4" t="s">
        <v>5382</v>
      </c>
      <c r="C1908" s="5">
        <v>44758.0</v>
      </c>
      <c r="D1908" s="10">
        <v>44758.0</v>
      </c>
      <c r="E1908" s="4" t="s">
        <v>5303</v>
      </c>
      <c r="F1908" s="4" t="s">
        <v>5383</v>
      </c>
      <c r="G1908" s="6" t="str">
        <f>IFERROR(__xludf.DUMMYFUNCTION("REGEXREPLACE(LOWER(F1908),""[^a-z\s]"","""")"),"it was great i will always order my food from here")</f>
        <v>it was great i will always order my food from here</v>
      </c>
      <c r="H1908" s="4" t="str">
        <f t="shared" si="1"/>
        <v>it was great i will always order my food from here</v>
      </c>
      <c r="I1908" s="6">
        <f t="shared" si="2"/>
        <v>11</v>
      </c>
      <c r="J1908" s="6">
        <f>IFERROR(__xludf.DUMMYFUNCTION("IF(H1908="""","""",
SUM(
ARRAYFORMULA(
IF(
REGEXMATCH(
"" ""&amp;H1908&amp;"" "",
"" ""&amp;Sentiment_Words!A$2:A3730&amp;"" ""
),
1,
0
)
)
)
)"),1.0)</f>
        <v>1</v>
      </c>
      <c r="K1908" s="4">
        <f>IFERROR(__xludf.DUMMYFUNCTION("IF(H1908="""","""",
SUM(
ARRAYFORMULA(
IF(
REGEXMATCH(
"" ""&amp;H1908&amp;"" "",
"" ""&amp;Sentiment_Words!B$2:B3730&amp;"" ""
),
1,
0
)
)
)
)"),0.0)</f>
        <v>0</v>
      </c>
      <c r="L1908" s="7" t="str">
        <f t="shared" si="3"/>
        <v>Other</v>
      </c>
      <c r="M1908" s="7" t="str">
        <f t="shared" si="4"/>
        <v>Positive</v>
      </c>
      <c r="N1908" s="7" t="str">
        <f>IFERROR(__xludf.DUMMYFUNCTION("LOWER(
TRIM(
REGEXREPLACE(B1908,""[^a-zA-Z\s]"","""")
)
)
"),"kika")</f>
        <v>kika</v>
      </c>
      <c r="O1908" s="7">
        <f t="shared" si="5"/>
        <v>1</v>
      </c>
      <c r="P1908" s="8" t="str">
        <f t="shared" si="6"/>
        <v>No</v>
      </c>
    </row>
    <row r="1909">
      <c r="A1909" s="4" t="s">
        <v>16</v>
      </c>
      <c r="B1909" s="4" t="s">
        <v>5384</v>
      </c>
      <c r="C1909" s="5">
        <v>44758.0</v>
      </c>
      <c r="D1909" s="10">
        <v>44758.0</v>
      </c>
      <c r="E1909" s="4" t="s">
        <v>1045</v>
      </c>
      <c r="F1909" s="4" t="s">
        <v>5385</v>
      </c>
      <c r="G1909" s="6" t="str">
        <f>IFERROR(__xludf.DUMMYFUNCTION("REGEXREPLACE(LOWER(F1909),""[^a-z\s]"","""")"),"have been using perflow for several years with  standard poodles was nice to have a lb bag of food delivered every month before they ran out plus always good prices on treats dog toothpaste bird food etc my dog gets excited to find out whats in the box")</f>
        <v>have been using perflow for several years with  standard poodles was nice to have a lb bag of food delivered every month before they ran out plus always good prices on treats dog toothpaste bird food etc my dog gets excited to find out whats in the box</v>
      </c>
      <c r="H1909" s="4" t="str">
        <f t="shared" si="1"/>
        <v>have been using perflow several years with standard poodles was nice have a lb bag of food delivered every month before they ran out plus always good prices on treats dog toothpaste bird food etc my dog gets excited find out whats in box</v>
      </c>
      <c r="I1909" s="6">
        <f t="shared" si="2"/>
        <v>44</v>
      </c>
      <c r="J1909" s="6">
        <f>IFERROR(__xludf.DUMMYFUNCTION("IF(H1909="""","""",
SUM(
ARRAYFORMULA(
IF(
REGEXMATCH(
"" ""&amp;H1909&amp;"" "",
"" ""&amp;Sentiment_Words!A$2:A3730&amp;"" ""
),
1,
0
)
)
)
)"),2.0)</f>
        <v>2</v>
      </c>
      <c r="K1909" s="4">
        <f>IFERROR(__xludf.DUMMYFUNCTION("IF(H1909="""","""",
SUM(
ARRAYFORMULA(
IF(
REGEXMATCH(
"" ""&amp;H1909&amp;"" "",
"" ""&amp;Sentiment_Words!B$2:B3730&amp;"" ""
),
1,
0
)
)
)
)"),0.0)</f>
        <v>0</v>
      </c>
      <c r="L1909" s="7" t="str">
        <f t="shared" si="3"/>
        <v>Other</v>
      </c>
      <c r="M1909" s="7" t="str">
        <f t="shared" si="4"/>
        <v>Positive</v>
      </c>
      <c r="N1909" s="7" t="str">
        <f>IFERROR(__xludf.DUMMYFUNCTION("LOWER(
TRIM(
REGEXREPLACE(B1909,""[^a-zA-Z\s]"","""")
)
)
"),"cheryl")</f>
        <v>cheryl</v>
      </c>
      <c r="O1909" s="7">
        <f t="shared" si="5"/>
        <v>5</v>
      </c>
      <c r="P1909" s="8" t="str">
        <f t="shared" si="6"/>
        <v>Yes</v>
      </c>
    </row>
    <row r="1910">
      <c r="A1910" s="4" t="s">
        <v>16</v>
      </c>
      <c r="B1910" s="4" t="s">
        <v>5386</v>
      </c>
      <c r="C1910" s="5">
        <v>44758.0</v>
      </c>
      <c r="D1910" s="10">
        <v>44758.0</v>
      </c>
      <c r="E1910" s="4" t="s">
        <v>5387</v>
      </c>
      <c r="F1910" s="4" t="s">
        <v>5388</v>
      </c>
      <c r="G1910" s="6" t="str">
        <f>IFERROR(__xludf.DUMMYFUNCTION("REGEXREPLACE(LOWER(F1910),""[^a-z\s]"","""")"),"product is a little light for  pound dog shipping was quick arrived early and in good shape")</f>
        <v>product is a little light for  pound dog shipping was quick arrived early and in good shape</v>
      </c>
      <c r="H1910" s="4" t="str">
        <f t="shared" si="1"/>
        <v>product a little light pound dog shipping was quick arrived early in good shape</v>
      </c>
      <c r="I1910" s="6">
        <f t="shared" si="2"/>
        <v>14</v>
      </c>
      <c r="J1910" s="6">
        <f>IFERROR(__xludf.DUMMYFUNCTION("IF(H1910="""","""",
SUM(
ARRAYFORMULA(
IF(
REGEXMATCH(
"" ""&amp;H1910&amp;"" "",
"" ""&amp;Sentiment_Words!A$2:A3730&amp;"" ""
),
1,
0
)
)
)
)"),1.0)</f>
        <v>1</v>
      </c>
      <c r="K1910" s="4">
        <f>IFERROR(__xludf.DUMMYFUNCTION("IF(H1910="""","""",
SUM(
ARRAYFORMULA(
IF(
REGEXMATCH(
"" ""&amp;H1910&amp;"" "",
"" ""&amp;Sentiment_Words!B$2:B3730&amp;"" ""
),
1,
0
)
)
)
)"),0.0)</f>
        <v>0</v>
      </c>
      <c r="L1910" s="7" t="str">
        <f t="shared" si="3"/>
        <v>Other</v>
      </c>
      <c r="M1910" s="7" t="str">
        <f t="shared" si="4"/>
        <v>Positive</v>
      </c>
      <c r="N1910" s="7" t="str">
        <f>IFERROR(__xludf.DUMMYFUNCTION("LOWER(
TRIM(
REGEXREPLACE(B1910,""[^a-zA-Z\s]"","""")
)
)
"),"morgan briggs")</f>
        <v>morgan briggs</v>
      </c>
      <c r="O1910" s="7">
        <f t="shared" si="5"/>
        <v>1</v>
      </c>
      <c r="P1910" s="8" t="str">
        <f t="shared" si="6"/>
        <v>No</v>
      </c>
    </row>
    <row r="1911">
      <c r="A1911" s="4" t="s">
        <v>16</v>
      </c>
      <c r="B1911" s="4" t="s">
        <v>5389</v>
      </c>
      <c r="C1911" s="5">
        <v>44757.0</v>
      </c>
      <c r="D1911" s="10">
        <v>44758.0</v>
      </c>
      <c r="E1911" s="4" t="s">
        <v>5390</v>
      </c>
      <c r="F1911" s="4" t="s">
        <v>5391</v>
      </c>
      <c r="G1911" s="6" t="str">
        <f>IFERROR(__xludf.DUMMYFUNCTION("REGEXREPLACE(LOWER(F1911),""[^a-z\s]"","""")"),"petflow has always been easy to use and a good source of our pets food i just wish the shipping time was a little faster")</f>
        <v>petflow has always been easy to use and a good source of our pets food i just wish the shipping time was a little faster</v>
      </c>
      <c r="H1911" s="4" t="str">
        <f t="shared" si="1"/>
        <v>petflow has always been easy use a good source of our pets food i just wish shipping time was a little faster</v>
      </c>
      <c r="I1911" s="6">
        <f t="shared" si="2"/>
        <v>22</v>
      </c>
      <c r="J1911" s="6">
        <f>IFERROR(__xludf.DUMMYFUNCTION("IF(H1911="""","""",
SUM(
ARRAYFORMULA(
IF(
REGEXMATCH(
"" ""&amp;H1911&amp;"" "",
"" ""&amp;Sentiment_Words!A$2:A3730&amp;"" ""
),
1,
0
)
)
)
)"),2.0)</f>
        <v>2</v>
      </c>
      <c r="K1911" s="4">
        <f>IFERROR(__xludf.DUMMYFUNCTION("IF(H1911="""","""",
SUM(
ARRAYFORMULA(
IF(
REGEXMATCH(
"" ""&amp;H1911&amp;"" "",
"" ""&amp;Sentiment_Words!B$2:B3730&amp;"" ""
),
1,
0
)
)
)
)"),0.0)</f>
        <v>0</v>
      </c>
      <c r="L1911" s="7" t="str">
        <f t="shared" si="3"/>
        <v>Other</v>
      </c>
      <c r="M1911" s="7" t="str">
        <f t="shared" si="4"/>
        <v>Positive</v>
      </c>
      <c r="N1911" s="7" t="str">
        <f>IFERROR(__xludf.DUMMYFUNCTION("LOWER(
TRIM(
REGEXREPLACE(B1911,""[^a-zA-Z\s]"","""")
)
)
"),"suzy osum")</f>
        <v>suzy osum</v>
      </c>
      <c r="O1911" s="7">
        <f t="shared" si="5"/>
        <v>1</v>
      </c>
      <c r="P1911" s="8" t="str">
        <f t="shared" si="6"/>
        <v>No</v>
      </c>
    </row>
    <row r="1912">
      <c r="A1912" s="4" t="s">
        <v>16</v>
      </c>
      <c r="B1912" s="4" t="s">
        <v>5392</v>
      </c>
      <c r="C1912" s="5">
        <v>44757.0</v>
      </c>
      <c r="D1912" s="10">
        <v>44757.0</v>
      </c>
      <c r="E1912" s="4" t="s">
        <v>5393</v>
      </c>
      <c r="F1912" s="4" t="s">
        <v>5394</v>
      </c>
      <c r="G1912" s="6" t="str">
        <f>IFERROR(__xludf.DUMMYFUNCTION("REGEXREPLACE(LOWER(F1912),""[^a-z\s]"","""")"),"i had found some bones at a grocery store that my dogs loved i hadnt seen them anywhere else so i saved a wrapper and checked online sure enough petflow had them i literally ordered as box full the price was way better than the store and i got them delive"&amp;"red what could be better than keeping your pups happy for less money")</f>
        <v>i had found some bones at a grocery store that my dogs loved i hadnt seen them anywhere else so i saved a wrapper and checked online sure enough petflow had them i literally ordered as box full the price was way better than the store and i got them delivered what could be better than keeping your pups happy for less money</v>
      </c>
      <c r="H1912" s="4" t="str">
        <f t="shared" si="1"/>
        <v>i had found some bones at a grocery store that my dogs loved i hadnt seen them anywhere else so i saved a wrapper checked online sure enough petflow had them i literally ordered as box full price was way better than store i got them delivered what could be better than keeping your pups happy less money</v>
      </c>
      <c r="I1912" s="6">
        <f t="shared" si="2"/>
        <v>58</v>
      </c>
      <c r="J1912" s="6">
        <f>IFERROR(__xludf.DUMMYFUNCTION("IF(H1912="""","""",
SUM(
ARRAYFORMULA(
IF(
REGEXMATCH(
"" ""&amp;H1912&amp;"" "",
"" ""&amp;Sentiment_Words!A$2:A3730&amp;"" ""
),
1,
0
)
)
)
)"),3.0)</f>
        <v>3</v>
      </c>
      <c r="K1912" s="4">
        <f>IFERROR(__xludf.DUMMYFUNCTION("IF(H1912="""","""",
SUM(
ARRAYFORMULA(
IF(
REGEXMATCH(
"" ""&amp;H1912&amp;"" "",
"" ""&amp;Sentiment_Words!B$2:B3730&amp;"" ""
),
1,
0
)
)
)
)"),0.0)</f>
        <v>0</v>
      </c>
      <c r="L1912" s="7" t="str">
        <f t="shared" si="3"/>
        <v>Other</v>
      </c>
      <c r="M1912" s="7" t="str">
        <f t="shared" si="4"/>
        <v>Positive</v>
      </c>
      <c r="N1912" s="7" t="str">
        <f>IFERROR(__xludf.DUMMYFUNCTION("LOWER(
TRIM(
REGEXREPLACE(B1912,""[^a-zA-Z\s]"","""")
)
)
"),"dub crofford")</f>
        <v>dub crofford</v>
      </c>
      <c r="O1912" s="7">
        <f t="shared" si="5"/>
        <v>1</v>
      </c>
      <c r="P1912" s="8" t="str">
        <f t="shared" si="6"/>
        <v>No</v>
      </c>
    </row>
    <row r="1913">
      <c r="A1913" s="4" t="s">
        <v>16</v>
      </c>
      <c r="B1913" s="4" t="s">
        <v>5395</v>
      </c>
      <c r="C1913" s="5">
        <v>44757.0</v>
      </c>
      <c r="D1913" s="10">
        <v>44757.0</v>
      </c>
      <c r="E1913" s="4" t="s">
        <v>5396</v>
      </c>
      <c r="F1913" s="4" t="s">
        <v>5397</v>
      </c>
      <c r="G1913" s="6" t="str">
        <f>IFERROR(__xludf.DUMMYFUNCTION("REGEXREPLACE(LOWER(F1913),""[^a-z\s]"","""")"),"very unhappy with lack of service or effort to fill script for hills diet food for kidney issues we provided the vets prescription along with the vets email which the vet said hed approve the script if petflow would just email him for approval after petfl"&amp;"ow related they could not reach the vet petflow never did fill the script so were left without option except to just take the script to petsmart to fill instead as we cant just accept that petsflow wont fill it and therefore our cat has to go without the "&amp;"necessary diet after the ultrasound showed his sediments in his bladderkidney very disappointed")</f>
        <v>very unhappy with lack of service or effort to fill script for hills diet food for kidney issues we provided the vets prescription along with the vets email which the vet said hed approve the script if petflow would just email him for approval after petflow related they could not reach the vet petflow never did fill the script so were left without option except to just take the script to petsmart to fill instead as we cant just accept that petsflow wont fill it and therefore our cat has to go without the necessary diet after the ultrasound showed his sediments in his bladderkidney very disappointed</v>
      </c>
      <c r="H1913" s="4" t="str">
        <f t="shared" si="1"/>
        <v>very unhappy with lack of service or effort fill script hills diet food kidney issues we provided vets prescription along with vets email which vet said hed approve script if petflow would just email him approval after petflow related they could not reach vet petflow never did fill script so were left without option except just take script petsmart fill instead as we cant just accept that petsflow wont fill it therefore our cat has go without necessary diet after ultrasound showed his sediments in his bladderkidney very disappointed</v>
      </c>
      <c r="I1913" s="6">
        <f t="shared" si="2"/>
        <v>89</v>
      </c>
      <c r="J1913" s="6">
        <f>IFERROR(__xludf.DUMMYFUNCTION("IF(H1913="""","""",
SUM(
ARRAYFORMULA(
IF(
REGEXMATCH(
"" ""&amp;H1913&amp;"" "",
"" ""&amp;Sentiment_Words!A$2:A3730&amp;"" ""
),
1,
0
)
)
)
)"),0.0)</f>
        <v>0</v>
      </c>
      <c r="K1913" s="4">
        <f>IFERROR(__xludf.DUMMYFUNCTION("IF(H1913="""","""",
SUM(
ARRAYFORMULA(
IF(
REGEXMATCH(
"" ""&amp;H1913&amp;"" "",
"" ""&amp;Sentiment_Words!B$2:B3730&amp;"" ""
),
1,
0
)
)
)
)"),0.0)</f>
        <v>0</v>
      </c>
      <c r="L1913" s="7" t="str">
        <f t="shared" si="3"/>
        <v>Customer Support</v>
      </c>
      <c r="M1913" s="7" t="str">
        <f t="shared" si="4"/>
        <v>Neutral</v>
      </c>
      <c r="N1913" s="7" t="str">
        <f>IFERROR(__xludf.DUMMYFUNCTION("LOWER(
TRIM(
REGEXREPLACE(B1913,""[^a-zA-Z\s]"","""")
)
)
"),"charlie")</f>
        <v>charlie</v>
      </c>
      <c r="O1913" s="7">
        <f t="shared" si="5"/>
        <v>2</v>
      </c>
      <c r="P1913" s="8" t="str">
        <f t="shared" si="6"/>
        <v>Yes</v>
      </c>
    </row>
    <row r="1914">
      <c r="A1914" s="4" t="s">
        <v>16</v>
      </c>
      <c r="B1914" s="4" t="s">
        <v>5398</v>
      </c>
      <c r="C1914" s="5">
        <v>44757.0</v>
      </c>
      <c r="D1914" s="10">
        <v>44757.0</v>
      </c>
      <c r="E1914" s="4" t="s">
        <v>5399</v>
      </c>
      <c r="F1914" s="4" t="s">
        <v>5400</v>
      </c>
      <c r="G1914" s="6" t="str">
        <f>IFERROR(__xludf.DUMMYFUNCTION("REGEXREPLACE(LOWER(F1914),""[^a-z\s]"","""")"),"i am so glad that i found petflow i can get my cats their farmina dry food at a great price with fast service")</f>
        <v>i am so glad that i found petflow i can get my cats their farmina dry food at a great price with fast service</v>
      </c>
      <c r="H1914" s="4" t="str">
        <f t="shared" si="1"/>
        <v>i am so glad that i found petflow i can get my cats their farmina dry food at a great price with fast service</v>
      </c>
      <c r="I1914" s="6">
        <f t="shared" si="2"/>
        <v>24</v>
      </c>
      <c r="J1914" s="6">
        <f>IFERROR(__xludf.DUMMYFUNCTION("IF(H1914="""","""",
SUM(
ARRAYFORMULA(
IF(
REGEXMATCH(
"" ""&amp;H1914&amp;"" "",
"" ""&amp;Sentiment_Words!A$2:A3730&amp;"" ""
),
1,
0
)
)
)
)"),3.0)</f>
        <v>3</v>
      </c>
      <c r="K1914" s="4">
        <f>IFERROR(__xludf.DUMMYFUNCTION("IF(H1914="""","""",
SUM(
ARRAYFORMULA(
IF(
REGEXMATCH(
"" ""&amp;H1914&amp;"" "",
"" ""&amp;Sentiment_Words!B$2:B3730&amp;"" ""
),
1,
0
)
)
)
)"),0.0)</f>
        <v>0</v>
      </c>
      <c r="L1914" s="7" t="str">
        <f t="shared" si="3"/>
        <v>Customer Support</v>
      </c>
      <c r="M1914" s="7" t="str">
        <f t="shared" si="4"/>
        <v>Positive</v>
      </c>
      <c r="N1914" s="7" t="str">
        <f>IFERROR(__xludf.DUMMYFUNCTION("LOWER(
TRIM(
REGEXREPLACE(B1914,""[^a-zA-Z\s]"","""")
)
)
"),"randi buslik")</f>
        <v>randi buslik</v>
      </c>
      <c r="O1914" s="7">
        <f t="shared" si="5"/>
        <v>1</v>
      </c>
      <c r="P1914" s="8" t="str">
        <f t="shared" si="6"/>
        <v>No</v>
      </c>
    </row>
    <row r="1915">
      <c r="A1915" s="4" t="s">
        <v>16</v>
      </c>
      <c r="B1915" s="4" t="s">
        <v>5401</v>
      </c>
      <c r="C1915" s="5">
        <v>44757.0</v>
      </c>
      <c r="D1915" s="10">
        <v>44757.0</v>
      </c>
      <c r="E1915" s="4" t="s">
        <v>5402</v>
      </c>
      <c r="F1915" s="4" t="s">
        <v>5403</v>
      </c>
      <c r="G1915" s="6" t="str">
        <f>IFERROR(__xludf.DUMMYFUNCTION("REGEXREPLACE(LOWER(F1915),""[^a-z\s]"","""")"),"petflow website is very easy to navigate able to place my order quickly and receive product in a short time")</f>
        <v>petflow website is very easy to navigate able to place my order quickly and receive product in a short time</v>
      </c>
      <c r="H1915" s="4" t="str">
        <f t="shared" si="1"/>
        <v>petflow website very easy navigate able place my order quickly receive product in a short time</v>
      </c>
      <c r="I1915" s="6">
        <f t="shared" si="2"/>
        <v>16</v>
      </c>
      <c r="J1915" s="6">
        <f>IFERROR(__xludf.DUMMYFUNCTION("IF(H1915="""","""",
SUM(
ARRAYFORMULA(
IF(
REGEXMATCH(
"" ""&amp;H1915&amp;"" "",
"" ""&amp;Sentiment_Words!A$2:A3730&amp;"" ""
),
1,
0
)
)
)
)"),2.0)</f>
        <v>2</v>
      </c>
      <c r="K1915" s="4">
        <f>IFERROR(__xludf.DUMMYFUNCTION("IF(H1915="""","""",
SUM(
ARRAYFORMULA(
IF(
REGEXMATCH(
"" ""&amp;H1915&amp;"" "",
"" ""&amp;Sentiment_Words!B$2:B3730&amp;"" ""
),
1,
0
)
)
)
)"),0.0)</f>
        <v>0</v>
      </c>
      <c r="L1915" s="7" t="str">
        <f t="shared" si="3"/>
        <v>Account &amp; Website</v>
      </c>
      <c r="M1915" s="7" t="str">
        <f t="shared" si="4"/>
        <v>Positive</v>
      </c>
      <c r="N1915" s="7" t="str">
        <f>IFERROR(__xludf.DUMMYFUNCTION("LOWER(
TRIM(
REGEXREPLACE(B1915,""[^a-zA-Z\s]"","""")
)
)
"),"sandra n")</f>
        <v>sandra n</v>
      </c>
      <c r="O1915" s="7">
        <f t="shared" si="5"/>
        <v>1</v>
      </c>
      <c r="P1915" s="8" t="str">
        <f t="shared" si="6"/>
        <v>No</v>
      </c>
    </row>
    <row r="1916">
      <c r="A1916" s="4" t="s">
        <v>16</v>
      </c>
      <c r="B1916" s="4" t="s">
        <v>5404</v>
      </c>
      <c r="C1916" s="5">
        <v>44757.0</v>
      </c>
      <c r="D1916" s="10">
        <v>44757.0</v>
      </c>
      <c r="E1916" s="4" t="s">
        <v>5405</v>
      </c>
      <c r="F1916" s="4" t="s">
        <v>331</v>
      </c>
      <c r="G1916" s="6" t="str">
        <f>IFERROR(__xludf.DUMMYFUNCTION("REGEXREPLACE(LOWER(F1916),""[^a-z\s]"","""")"),"none")</f>
        <v>none</v>
      </c>
      <c r="H1916" s="4" t="str">
        <f t="shared" si="1"/>
        <v>none</v>
      </c>
      <c r="I1916" s="6">
        <f t="shared" si="2"/>
        <v>1</v>
      </c>
      <c r="J1916" s="6">
        <f>IFERROR(__xludf.DUMMYFUNCTION("IF(H1916="""","""",
SUM(
ARRAYFORMULA(
IF(
REGEXMATCH(
"" ""&amp;H1916&amp;"" "",
"" ""&amp;Sentiment_Words!A$2:A3730&amp;"" ""
),
1,
0
)
)
)
)"),0.0)</f>
        <v>0</v>
      </c>
      <c r="K1916" s="4">
        <f>IFERROR(__xludf.DUMMYFUNCTION("IF(H1916="""","""",
SUM(
ARRAYFORMULA(
IF(
REGEXMATCH(
"" ""&amp;H1916&amp;"" "",
"" ""&amp;Sentiment_Words!B$2:B3730&amp;"" ""
),
1,
0
)
)
)
)"),0.0)</f>
        <v>0</v>
      </c>
      <c r="L1916" s="7" t="str">
        <f t="shared" si="3"/>
        <v>Other</v>
      </c>
      <c r="M1916" s="7" t="str">
        <f t="shared" si="4"/>
        <v>Neutral</v>
      </c>
      <c r="N1916" s="7" t="str">
        <f>IFERROR(__xludf.DUMMYFUNCTION("LOWER(
TRIM(
REGEXREPLACE(B1916,""[^a-zA-Z\s]"","""")
)
)
"),"maureen whyte")</f>
        <v>maureen whyte</v>
      </c>
      <c r="O1916" s="7">
        <f t="shared" si="5"/>
        <v>1</v>
      </c>
      <c r="P1916" s="8" t="str">
        <f t="shared" si="6"/>
        <v>No</v>
      </c>
    </row>
    <row r="1917">
      <c r="A1917" s="4" t="s">
        <v>16</v>
      </c>
      <c r="B1917" s="4" t="s">
        <v>5406</v>
      </c>
      <c r="C1917" s="5">
        <v>44757.0</v>
      </c>
      <c r="D1917" s="10">
        <v>44757.0</v>
      </c>
      <c r="E1917" s="4" t="s">
        <v>5407</v>
      </c>
      <c r="F1917" s="4" t="s">
        <v>331</v>
      </c>
      <c r="G1917" s="6" t="str">
        <f>IFERROR(__xludf.DUMMYFUNCTION("REGEXREPLACE(LOWER(F1917),""[^a-z\s]"","""")"),"none")</f>
        <v>none</v>
      </c>
      <c r="H1917" s="4" t="str">
        <f t="shared" si="1"/>
        <v>none</v>
      </c>
      <c r="I1917" s="6">
        <f t="shared" si="2"/>
        <v>1</v>
      </c>
      <c r="J1917" s="6">
        <f>IFERROR(__xludf.DUMMYFUNCTION("IF(H1917="""","""",
SUM(
ARRAYFORMULA(
IF(
REGEXMATCH(
"" ""&amp;H1917&amp;"" "",
"" ""&amp;Sentiment_Words!A$2:A3730&amp;"" ""
),
1,
0
)
)
)
)"),0.0)</f>
        <v>0</v>
      </c>
      <c r="K1917" s="4">
        <f>IFERROR(__xludf.DUMMYFUNCTION("IF(H1917="""","""",
SUM(
ARRAYFORMULA(
IF(
REGEXMATCH(
"" ""&amp;H1917&amp;"" "",
"" ""&amp;Sentiment_Words!B$2:B3730&amp;"" ""
),
1,
0
)
)
)
)"),0.0)</f>
        <v>0</v>
      </c>
      <c r="L1917" s="7" t="str">
        <f t="shared" si="3"/>
        <v>Other</v>
      </c>
      <c r="M1917" s="7" t="str">
        <f t="shared" si="4"/>
        <v>Neutral</v>
      </c>
      <c r="N1917" s="7" t="str">
        <f>IFERROR(__xludf.DUMMYFUNCTION("LOWER(
TRIM(
REGEXREPLACE(B1917,""[^a-zA-Z\s]"","""")
)
)
"),"ruth monzel")</f>
        <v>ruth monzel</v>
      </c>
      <c r="O1917" s="7">
        <f t="shared" si="5"/>
        <v>1</v>
      </c>
      <c r="P1917" s="8" t="str">
        <f t="shared" si="6"/>
        <v>No</v>
      </c>
    </row>
    <row r="1918">
      <c r="A1918" s="4" t="s">
        <v>16</v>
      </c>
      <c r="B1918" s="4" t="s">
        <v>5408</v>
      </c>
      <c r="C1918" s="5">
        <v>44757.0</v>
      </c>
      <c r="D1918" s="10">
        <v>44757.0</v>
      </c>
      <c r="E1918" s="4" t="s">
        <v>5409</v>
      </c>
      <c r="F1918" s="4" t="s">
        <v>5410</v>
      </c>
      <c r="G1918" s="6" t="str">
        <f>IFERROR(__xludf.DUMMYFUNCTION("REGEXREPLACE(LOWER(F1918),""[^a-z\s]"","""")"),"they sent me an email of monthly coupon codes i used one for  off there were no exclusions listed  it worked in my cart until after i submitted my order when they removed my coupon  my credit card was charged for  more than the total shown when i submitte"&amp;"d the order when i contacted customer service about it they tried to say the coupon was only good for autoship orders which there was no indication of even during checkout if it was i would have made my order into an autoship order they didnt care i dispu"&amp;"ted the overcharge with my credit card cancelled all of my autoship orders  will never order from petflow again")</f>
        <v>they sent me an email of monthly coupon codes i used one for  off there were no exclusions listed  it worked in my cart until after i submitted my order when they removed my coupon  my credit card was charged for  more than the total shown when i submitted the order when i contacted customer service about it they tried to say the coupon was only good for autoship orders which there was no indication of even during checkout if it was i would have made my order into an autoship order they didnt care i disputed the overcharge with my credit card cancelled all of my autoship orders  will never order from petflow again</v>
      </c>
      <c r="H1918" s="4" t="str">
        <f t="shared" si="1"/>
        <v>they sent me an email of monthly coupon codes i used one off there were no exclusions listed it worked in my cart until after i submitted my order when they removed my coupon my credit card was charged more than total shown when i submitted order when i contacted customer service about it they tried say coupon was only good autoship orders which there was no indication of even during checkout if it was i would have made my order into an autoship order they didnt care i disputed overcharge with my credit card cancelled all of my autoship orders will never order from petflow again</v>
      </c>
      <c r="I1918" s="6">
        <f t="shared" si="2"/>
        <v>107</v>
      </c>
      <c r="J1918" s="6">
        <f>IFERROR(__xludf.DUMMYFUNCTION("IF(H1918="""","""",
SUM(
ARRAYFORMULA(
IF(
REGEXMATCH(
"" ""&amp;H1918&amp;"" "",
"" ""&amp;Sentiment_Words!A$2:A3730&amp;"" ""
),
1,
0
)
)
)
)"),2.0)</f>
        <v>2</v>
      </c>
      <c r="K1918" s="4">
        <f>IFERROR(__xludf.DUMMYFUNCTION("IF(H1918="""","""",
SUM(
ARRAYFORMULA(
IF(
REGEXMATCH(
"" ""&amp;H1918&amp;"" "",
"" ""&amp;Sentiment_Words!B$2:B3730&amp;"" ""
),
1,
0
)
)
)
)"),2.0)</f>
        <v>2</v>
      </c>
      <c r="L1918" s="7" t="str">
        <f t="shared" si="3"/>
        <v>Customer Support</v>
      </c>
      <c r="M1918" s="7" t="str">
        <f t="shared" si="4"/>
        <v>Neutral</v>
      </c>
      <c r="N1918" s="7" t="str">
        <f>IFERROR(__xludf.DUMMYFUNCTION("LOWER(
TRIM(
REGEXREPLACE(B1918,""[^a-zA-Z\s]"","""")
)
)
"),"kerin anthony")</f>
        <v>kerin anthony</v>
      </c>
      <c r="O1918" s="7">
        <f t="shared" si="5"/>
        <v>1</v>
      </c>
      <c r="P1918" s="8" t="str">
        <f t="shared" si="6"/>
        <v>No</v>
      </c>
    </row>
    <row r="1919">
      <c r="A1919" s="4" t="s">
        <v>16</v>
      </c>
      <c r="B1919" s="4" t="s">
        <v>5411</v>
      </c>
      <c r="C1919" s="5">
        <v>44757.0</v>
      </c>
      <c r="D1919" s="10">
        <v>44757.0</v>
      </c>
      <c r="E1919" s="4" t="s">
        <v>5412</v>
      </c>
      <c r="F1919" s="4" t="s">
        <v>5413</v>
      </c>
      <c r="G1919" s="6" t="str">
        <f>IFERROR(__xludf.DUMMYFUNCTION("REGEXREPLACE(LOWER(F1919),""[^a-z\s]"","""")"),"i have three auto ships over the past three months that were all canceled and i was not notified that they were canceled id call up to find out a week later where they were and they said oh we ran out so i order for the third time and i put the order in l"&amp;"ast friday tomorrow morning is friday again and i still havent gotten any shipment information or any response from any customer service person in regards to the shipment of my two cases of cat food")</f>
        <v>i have three auto ships over the past three months that were all canceled and i was not notified that they were canceled id call up to find out a week later where they were and they said oh we ran out so i order for the third time and i put the order in last friday tomorrow morning is friday again and i still havent gotten any shipment information or any response from any customer service person in regards to the shipment of my two cases of cat food</v>
      </c>
      <c r="H1919" s="4" t="str">
        <f t="shared" si="1"/>
        <v>i have three auto ships over past three months that were all canceled i was not notified that they were canceled id call up find out a week later where they were they said oh we ran out so i order third time i put order in last friday tomorrow morning friday again i still havent gotten any shipment information or any response from any customer service person in regards shipment of my two cases of cat food</v>
      </c>
      <c r="I1919" s="6">
        <f t="shared" si="2"/>
        <v>78</v>
      </c>
      <c r="J1919" s="6">
        <f>IFERROR(__xludf.DUMMYFUNCTION("IF(H1919="""","""",
SUM(
ARRAYFORMULA(
IF(
REGEXMATCH(
"" ""&amp;H1919&amp;"" "",
"" ""&amp;Sentiment_Words!A$2:A3730&amp;"" ""
),
1,
0
)
)
)
)"),0.0)</f>
        <v>0</v>
      </c>
      <c r="K1919" s="4">
        <f>IFERROR(__xludf.DUMMYFUNCTION("IF(H1919="""","""",
SUM(
ARRAYFORMULA(
IF(
REGEXMATCH(
"" ""&amp;H1919&amp;"" "",
"" ""&amp;Sentiment_Words!B$2:B3730&amp;"" ""
),
1,
0
)
)
)
)"),1.0)</f>
        <v>1</v>
      </c>
      <c r="L1919" s="7" t="str">
        <f t="shared" si="3"/>
        <v>Customer Support</v>
      </c>
      <c r="M1919" s="7" t="str">
        <f t="shared" si="4"/>
        <v>Negative</v>
      </c>
      <c r="N1919" s="7" t="str">
        <f>IFERROR(__xludf.DUMMYFUNCTION("LOWER(
TRIM(
REGEXREPLACE(B1919,""[^a-zA-Z\s]"","""")
)
)
"),"lisa kleiner")</f>
        <v>lisa kleiner</v>
      </c>
      <c r="O1919" s="7">
        <f t="shared" si="5"/>
        <v>1</v>
      </c>
      <c r="P1919" s="8" t="str">
        <f t="shared" si="6"/>
        <v>No</v>
      </c>
    </row>
    <row r="1920">
      <c r="A1920" s="4" t="s">
        <v>16</v>
      </c>
      <c r="B1920" s="4" t="s">
        <v>5414</v>
      </c>
      <c r="C1920" s="5">
        <v>44757.0</v>
      </c>
      <c r="D1920" s="10">
        <v>44757.0</v>
      </c>
      <c r="E1920" s="4" t="s">
        <v>5415</v>
      </c>
      <c r="F1920" s="4" t="s">
        <v>5416</v>
      </c>
      <c r="G1920" s="6" t="str">
        <f>IFERROR(__xludf.DUMMYFUNCTION("REGEXREPLACE(LOWER(F1920),""[^a-z\s]"","""")"),"every order i place gets cancelled due to not in stock")</f>
        <v>every order i place gets cancelled due to not in stock</v>
      </c>
      <c r="H1920" s="4" t="str">
        <f t="shared" si="1"/>
        <v>every order i place gets cancelled due not in stock</v>
      </c>
      <c r="I1920" s="6">
        <f t="shared" si="2"/>
        <v>10</v>
      </c>
      <c r="J1920" s="6">
        <f>IFERROR(__xludf.DUMMYFUNCTION("IF(H1920="""","""",
SUM(
ARRAYFORMULA(
IF(
REGEXMATCH(
"" ""&amp;H1920&amp;"" "",
"" ""&amp;Sentiment_Words!A$2:A3730&amp;"" ""
),
1,
0
)
)
)
)"),0.0)</f>
        <v>0</v>
      </c>
      <c r="K1920" s="4">
        <f>IFERROR(__xludf.DUMMYFUNCTION("IF(H1920="""","""",
SUM(
ARRAYFORMULA(
IF(
REGEXMATCH(
"" ""&amp;H1920&amp;"" "",
"" ""&amp;Sentiment_Words!B$2:B3730&amp;"" ""
),
1,
0
)
)
)
)"),1.0)</f>
        <v>1</v>
      </c>
      <c r="L1920" s="7" t="str">
        <f t="shared" si="3"/>
        <v>Other</v>
      </c>
      <c r="M1920" s="7" t="str">
        <f t="shared" si="4"/>
        <v>Negative</v>
      </c>
      <c r="N1920" s="7" t="str">
        <f>IFERROR(__xludf.DUMMYFUNCTION("LOWER(
TRIM(
REGEXREPLACE(B1920,""[^a-zA-Z\s]"","""")
)
)
"),"s shay")</f>
        <v>s shay</v>
      </c>
      <c r="O1920" s="7">
        <f t="shared" si="5"/>
        <v>1</v>
      </c>
      <c r="P1920" s="8" t="str">
        <f t="shared" si="6"/>
        <v>No</v>
      </c>
    </row>
    <row r="1921">
      <c r="A1921" s="4" t="s">
        <v>16</v>
      </c>
      <c r="B1921" s="4" t="s">
        <v>5417</v>
      </c>
      <c r="C1921" s="5">
        <v>44757.0</v>
      </c>
      <c r="D1921" s="10">
        <v>44757.0</v>
      </c>
      <c r="E1921" s="4" t="s">
        <v>5418</v>
      </c>
      <c r="F1921" s="4" t="s">
        <v>5419</v>
      </c>
      <c r="G1921" s="6" t="str">
        <f>IFERROR(__xludf.DUMMYFUNCTION("REGEXREPLACE(LOWER(F1921),""[^a-z\s]"","""")"),"ordered prescription cat food site accepted order and said available they followed up via email to get vet prescription three days later email me food is out of stock and they were cancelling order")</f>
        <v>ordered prescription cat food site accepted order and said available they followed up via email to get vet prescription three days later email me food is out of stock and they were cancelling order</v>
      </c>
      <c r="H1921" s="4" t="str">
        <f t="shared" si="1"/>
        <v>ordered prescription cat food site accepted order said available they followed up via email get vet prescription three days later email me food out of stock they were cancelling order</v>
      </c>
      <c r="I1921" s="6">
        <f t="shared" si="2"/>
        <v>30</v>
      </c>
      <c r="J1921" s="6">
        <f>IFERROR(__xludf.DUMMYFUNCTION("IF(H1921="""","""",
SUM(
ARRAYFORMULA(
IF(
REGEXMATCH(
"" ""&amp;H1921&amp;"" "",
"" ""&amp;Sentiment_Words!A$2:A3730&amp;"" ""
),
1,
0
)
)
)
)"),2.0)</f>
        <v>2</v>
      </c>
      <c r="K1921" s="4">
        <f>IFERROR(__xludf.DUMMYFUNCTION("IF(H1921="""","""",
SUM(
ARRAYFORMULA(
IF(
REGEXMATCH(
"" ""&amp;H1921&amp;"" "",
"" ""&amp;Sentiment_Words!B$2:B3730&amp;"" ""
),
1,
0
)
)
)
)"),1.0)</f>
        <v>1</v>
      </c>
      <c r="L1921" s="7" t="str">
        <f t="shared" si="3"/>
        <v>Fulfillment &amp; Shipping</v>
      </c>
      <c r="M1921" s="7" t="str">
        <f t="shared" si="4"/>
        <v>Positive</v>
      </c>
      <c r="N1921" s="7" t="str">
        <f>IFERROR(__xludf.DUMMYFUNCTION("LOWER(
TRIM(
REGEXREPLACE(B1921,""[^a-zA-Z\s]"","""")
)
)
"),"virginia")</f>
        <v>virginia</v>
      </c>
      <c r="O1921" s="7">
        <f t="shared" si="5"/>
        <v>1</v>
      </c>
      <c r="P1921" s="8" t="str">
        <f t="shared" si="6"/>
        <v>No</v>
      </c>
    </row>
    <row r="1922">
      <c r="A1922" s="4" t="s">
        <v>16</v>
      </c>
      <c r="B1922" s="4" t="s">
        <v>5420</v>
      </c>
      <c r="C1922" s="5">
        <v>44756.0</v>
      </c>
      <c r="D1922" s="10">
        <v>44756.0</v>
      </c>
      <c r="E1922" s="4" t="s">
        <v>5421</v>
      </c>
      <c r="F1922" s="4" t="s">
        <v>5422</v>
      </c>
      <c r="G1922" s="6" t="str">
        <f>IFERROR(__xludf.DUMMYFUNCTION("REGEXREPLACE(LOWER(F1922),""[^a-z\s]"","""")"),"pet flow is the worst place to get your pets food i decided to go with then since not everyone has that perticular brand since im on auto ship program it should be shipped every  weeks and first time i didnt get it ive been told there was double order i d"&amp;"idnt get it again and been told that they cancelled my order completely im trying to be nice but irresposible people should get fired worst company ever would never recommend")</f>
        <v>pet flow is the worst place to get your pets food i decided to go with then since not everyone has that perticular brand since im on auto ship program it should be shipped every  weeks and first time i didnt get it ive been told there was double order i didnt get it again and been told that they cancelled my order completely im trying to be nice but irresposible people should get fired worst company ever would never recommend</v>
      </c>
      <c r="H1922" s="4" t="str">
        <f t="shared" si="1"/>
        <v>pet flow worst place get your pets food i decided go with then since not everyone has that perticular brand since im on auto ship program it should be shipped every weeks first time i didnt get it ive been told there was double order i didnt get it again been told that they cancelled my order completely im trying be nice but irresposible people should get fired worst company ever would never recommend</v>
      </c>
      <c r="I1922" s="6">
        <f t="shared" si="2"/>
        <v>74</v>
      </c>
      <c r="J1922" s="6">
        <f>IFERROR(__xludf.DUMMYFUNCTION("IF(H1922="""","""",
SUM(
ARRAYFORMULA(
IF(
REGEXMATCH(
"" ""&amp;H1922&amp;"" "",
"" ""&amp;Sentiment_Words!A$2:A3730&amp;"" ""
),
1,
0
)
)
)
)"),1.0)</f>
        <v>1</v>
      </c>
      <c r="K1922" s="4">
        <f>IFERROR(__xludf.DUMMYFUNCTION("IF(H1922="""","""",
SUM(
ARRAYFORMULA(
IF(
REGEXMATCH(
"" ""&amp;H1922&amp;"" "",
"" ""&amp;Sentiment_Words!B$2:B3730&amp;"" ""
),
1,
0
)
)
)
)"),1.0)</f>
        <v>1</v>
      </c>
      <c r="L1922" s="7" t="str">
        <f t="shared" si="3"/>
        <v>Other</v>
      </c>
      <c r="M1922" s="7" t="str">
        <f t="shared" si="4"/>
        <v>Neutral</v>
      </c>
      <c r="N1922" s="7" t="str">
        <f>IFERROR(__xludf.DUMMYFUNCTION("LOWER(
TRIM(
REGEXREPLACE(B1922,""[^a-zA-Z\s]"","""")
)
)
"),"galina moliboga")</f>
        <v>galina moliboga</v>
      </c>
      <c r="O1922" s="7">
        <f t="shared" si="5"/>
        <v>1</v>
      </c>
      <c r="P1922" s="8" t="str">
        <f t="shared" si="6"/>
        <v>No</v>
      </c>
    </row>
    <row r="1923">
      <c r="A1923" s="4" t="s">
        <v>16</v>
      </c>
      <c r="B1923" s="4" t="s">
        <v>5423</v>
      </c>
      <c r="C1923" s="5">
        <v>44756.0</v>
      </c>
      <c r="D1923" s="10">
        <v>44756.0</v>
      </c>
      <c r="E1923" s="4" t="s">
        <v>5424</v>
      </c>
      <c r="F1923" s="4" t="s">
        <v>5425</v>
      </c>
      <c r="G1923" s="6" t="str">
        <f>IFERROR(__xludf.DUMMYFUNCTION("REGEXREPLACE(LOWER(F1923),""[^a-z\s]"","""")"),"the folks at petflow are v nice they responded to my query quite promptly and gave me a credit because my order was delayed in shipping
the notsogood part i didnt find out unril after id placed my order that it would be shipped the following week which fo"&amp;"rced me to scramble to buy more as well the order wasnt shipped as originally scheduled promised and i had to ask when it would be shipped instead of being sent an email informing me of the delay")</f>
        <v>the folks at petflow are v nice they responded to my query quite promptly and gave me a credit because my order was delayed in shipping
the notsogood part i didnt find out unril after id placed my order that it would be shipped the following week which forced me to scramble to buy more as well the order wasnt shipped as originally scheduled promised and i had to ask when it would be shipped instead of being sent an email informing me of the delay</v>
      </c>
      <c r="H1923" s="4" t="str">
        <f t="shared" si="1"/>
        <v>folks at petflow are v nice they responded my query quite promptly gave me a credit because my order was delayed in shipping
the notsogood part i didnt find out unril after id placed my order that it would be shipped following week which forced me scramble buy more as well order wasnt shipped as originally scheduled promised i had ask when it would be shipped instead of being sent an email informing me of delay</v>
      </c>
      <c r="I1923" s="6">
        <f t="shared" si="2"/>
        <v>75</v>
      </c>
      <c r="J1923" s="6">
        <f>IFERROR(__xludf.DUMMYFUNCTION("IF(H1923="""","""",
SUM(
ARRAYFORMULA(
IF(
REGEXMATCH(
"" ""&amp;H1923&amp;"" "",
"" ""&amp;Sentiment_Words!A$2:A3730&amp;"" ""
),
1,
0
)
)
)
)"),0.0)</f>
        <v>0</v>
      </c>
      <c r="K1923" s="4">
        <f>IFERROR(__xludf.DUMMYFUNCTION("IF(H1923="""","""",
SUM(
ARRAYFORMULA(
IF(
REGEXMATCH(
"" ""&amp;H1923&amp;"" "",
"" ""&amp;Sentiment_Words!B$2:B3730&amp;"" ""
),
1,
0
)
)
)
)"),2.0)</f>
        <v>2</v>
      </c>
      <c r="L1923" s="7" t="str">
        <f t="shared" si="3"/>
        <v>Fulfillment &amp; Shipping</v>
      </c>
      <c r="M1923" s="7" t="str">
        <f t="shared" si="4"/>
        <v>Negative</v>
      </c>
      <c r="N1923" s="7" t="str">
        <f>IFERROR(__xludf.DUMMYFUNCTION("LOWER(
TRIM(
REGEXREPLACE(B1923,""[^a-zA-Z\s]"","""")
)
)
"),"maria plochocki")</f>
        <v>maria plochocki</v>
      </c>
      <c r="O1923" s="7">
        <f t="shared" si="5"/>
        <v>1</v>
      </c>
      <c r="P1923" s="8" t="str">
        <f t="shared" si="6"/>
        <v>No</v>
      </c>
    </row>
    <row r="1924">
      <c r="A1924" s="4" t="s">
        <v>16</v>
      </c>
      <c r="B1924" s="4" t="s">
        <v>5426</v>
      </c>
      <c r="C1924" s="5">
        <v>44756.0</v>
      </c>
      <c r="D1924" s="10">
        <v>44756.0</v>
      </c>
      <c r="E1924" s="4" t="s">
        <v>623</v>
      </c>
      <c r="F1924" s="4" t="s">
        <v>5427</v>
      </c>
      <c r="G1924" s="6" t="str">
        <f>IFERROR(__xludf.DUMMYFUNCTION("REGEXREPLACE(LOWER(F1924),""[^a-z\s]"","""")"),"easy order process and set up of automatic delivery good price")</f>
        <v>easy order process and set up of automatic delivery good price</v>
      </c>
      <c r="H1924" s="4" t="str">
        <f t="shared" si="1"/>
        <v>easy order process set up of automatic delivery good price</v>
      </c>
      <c r="I1924" s="6">
        <f t="shared" si="2"/>
        <v>10</v>
      </c>
      <c r="J1924" s="6">
        <f>IFERROR(__xludf.DUMMYFUNCTION("IF(H1924="""","""",
SUM(
ARRAYFORMULA(
IF(
REGEXMATCH(
"" ""&amp;H1924&amp;"" "",
"" ""&amp;Sentiment_Words!A$2:A3730&amp;"" ""
),
1,
0
)
)
)
)"),2.0)</f>
        <v>2</v>
      </c>
      <c r="K1924" s="4">
        <f>IFERROR(__xludf.DUMMYFUNCTION("IF(H1924="""","""",
SUM(
ARRAYFORMULA(
IF(
REGEXMATCH(
"" ""&amp;H1924&amp;"" "",
"" ""&amp;Sentiment_Words!B$2:B3730&amp;"" ""
),
1,
0
)
)
)
)"),0.0)</f>
        <v>0</v>
      </c>
      <c r="L1924" s="7" t="str">
        <f t="shared" si="3"/>
        <v>Other</v>
      </c>
      <c r="M1924" s="7" t="str">
        <f t="shared" si="4"/>
        <v>Positive</v>
      </c>
      <c r="N1924" s="7" t="str">
        <f>IFERROR(__xludf.DUMMYFUNCTION("LOWER(
TRIM(
REGEXREPLACE(B1924,""[^a-zA-Z\s]"","""")
)
)
"),"damien horst")</f>
        <v>damien horst</v>
      </c>
      <c r="O1924" s="7">
        <f t="shared" si="5"/>
        <v>1</v>
      </c>
      <c r="P1924" s="8" t="str">
        <f t="shared" si="6"/>
        <v>No</v>
      </c>
    </row>
    <row r="1925">
      <c r="A1925" s="4" t="s">
        <v>16</v>
      </c>
      <c r="B1925" s="4" t="s">
        <v>5428</v>
      </c>
      <c r="C1925" s="5">
        <v>44756.0</v>
      </c>
      <c r="D1925" s="10">
        <v>44756.0</v>
      </c>
      <c r="E1925" s="4" t="s">
        <v>5429</v>
      </c>
      <c r="F1925" s="4" t="s">
        <v>5430</v>
      </c>
      <c r="G1925" s="6" t="str">
        <f>IFERROR(__xludf.DUMMYFUNCTION("REGEXREPLACE(LOWER(F1925),""[^a-z\s]"","""")"),"delivery on schedule very happy with")</f>
        <v>delivery on schedule very happy with</v>
      </c>
      <c r="H1925" s="4" t="str">
        <f t="shared" si="1"/>
        <v>delivery on schedule very happy with</v>
      </c>
      <c r="I1925" s="6">
        <f t="shared" si="2"/>
        <v>6</v>
      </c>
      <c r="J1925" s="6">
        <f>IFERROR(__xludf.DUMMYFUNCTION("IF(H1925="""","""",
SUM(
ARRAYFORMULA(
IF(
REGEXMATCH(
"" ""&amp;H1925&amp;"" "",
"" ""&amp;Sentiment_Words!A$2:A3730&amp;"" ""
),
1,
0
)
)
)
)"),1.0)</f>
        <v>1</v>
      </c>
      <c r="K1925" s="4">
        <f>IFERROR(__xludf.DUMMYFUNCTION("IF(H1925="""","""",
SUM(
ARRAYFORMULA(
IF(
REGEXMATCH(
"" ""&amp;H1925&amp;"" "",
"" ""&amp;Sentiment_Words!B$2:B3730&amp;"" ""
),
1,
0
)
)
)
)"),0.0)</f>
        <v>0</v>
      </c>
      <c r="L1925" s="7" t="str">
        <f t="shared" si="3"/>
        <v>Other</v>
      </c>
      <c r="M1925" s="7" t="str">
        <f t="shared" si="4"/>
        <v>Positive</v>
      </c>
      <c r="N1925" s="7" t="str">
        <f>IFERROR(__xludf.DUMMYFUNCTION("LOWER(
TRIM(
REGEXREPLACE(B1925,""[^a-zA-Z\s]"","""")
)
)
"),"duwi")</f>
        <v>duwi</v>
      </c>
      <c r="O1925" s="7">
        <f t="shared" si="5"/>
        <v>1</v>
      </c>
      <c r="P1925" s="8" t="str">
        <f t="shared" si="6"/>
        <v>No</v>
      </c>
    </row>
    <row r="1926">
      <c r="A1926" s="4" t="s">
        <v>16</v>
      </c>
      <c r="B1926" s="4" t="s">
        <v>5431</v>
      </c>
      <c r="C1926" s="5">
        <v>44756.0</v>
      </c>
      <c r="D1926" s="10">
        <v>44756.0</v>
      </c>
      <c r="E1926" s="4" t="s">
        <v>5432</v>
      </c>
      <c r="F1926" s="4" t="s">
        <v>5433</v>
      </c>
      <c r="G1926" s="6" t="str">
        <f>IFERROR(__xludf.DUMMYFUNCTION("REGEXREPLACE(LOWER(F1926),""[^a-z\s]"","""")"),"you had our dog food listed as in stock so we ordered two bags after quite a bit of time you alerted us that it wasnt in stock that put us a week plus behind and we ran out of food this is a special diet food for our dog and not easily found very bad expe"&amp;"rience and we wont be back")</f>
        <v>you had our dog food listed as in stock so we ordered two bags after quite a bit of time you alerted us that it wasnt in stock that put us a week plus behind and we ran out of food this is a special diet food for our dog and not easily found very bad experience and we wont be back</v>
      </c>
      <c r="H1926" s="4" t="str">
        <f t="shared" si="1"/>
        <v>you had our dog food listed as in stock so we ordered two bags after quite a bit of time you alerted us that it wasnt in stock that put us a week plus behind we ran out of food this a special diet food our dog not easily found very bad experience we wont be back</v>
      </c>
      <c r="I1926" s="6">
        <f t="shared" si="2"/>
        <v>57</v>
      </c>
      <c r="J1926" s="6">
        <f>IFERROR(__xludf.DUMMYFUNCTION("IF(H1926="""","""",
SUM(
ARRAYFORMULA(
IF(
REGEXMATCH(
"" ""&amp;H1926&amp;"" "",
"" ""&amp;Sentiment_Words!A$2:A3730&amp;"" ""
),
1,
0
)
)
)
)"),1.0)</f>
        <v>1</v>
      </c>
      <c r="K1926" s="4">
        <f>IFERROR(__xludf.DUMMYFUNCTION("IF(H1926="""","""",
SUM(
ARRAYFORMULA(
IF(
REGEXMATCH(
"" ""&amp;H1926&amp;"" "",
"" ""&amp;Sentiment_Words!B$2:B3730&amp;"" ""
),
1,
0
)
)
)
)"),0.0)</f>
        <v>0</v>
      </c>
      <c r="L1926" s="7" t="str">
        <f t="shared" si="3"/>
        <v>Other</v>
      </c>
      <c r="M1926" s="7" t="str">
        <f t="shared" si="4"/>
        <v>Positive</v>
      </c>
      <c r="N1926" s="7" t="str">
        <f>IFERROR(__xludf.DUMMYFUNCTION("LOWER(
TRIM(
REGEXREPLACE(B1926,""[^a-zA-Z\s]"","""")
)
)
"),"ado zohorovic")</f>
        <v>ado zohorovic</v>
      </c>
      <c r="O1926" s="7">
        <f t="shared" si="5"/>
        <v>1</v>
      </c>
      <c r="P1926" s="8" t="str">
        <f t="shared" si="6"/>
        <v>No</v>
      </c>
    </row>
    <row r="1927">
      <c r="A1927" s="4" t="s">
        <v>16</v>
      </c>
      <c r="B1927" s="4" t="s">
        <v>5434</v>
      </c>
      <c r="C1927" s="5">
        <v>44756.0</v>
      </c>
      <c r="D1927" s="10">
        <v>44756.0</v>
      </c>
      <c r="E1927" s="4" t="s">
        <v>5435</v>
      </c>
      <c r="F1927" s="4" t="s">
        <v>5436</v>
      </c>
      <c r="G1927" s="6" t="str">
        <f>IFERROR(__xludf.DUMMYFUNCTION("REGEXREPLACE(LOWER(F1927),""[^a-z\s]"","""")"),"im happy with the product that i order however the lack of date of delivery makes it hard for a customer to be able to receive it or plan to schedule to be home ive gotten email notices saying your shipment will be there tomorrow with no actual date but c"&amp;"omes a couple of days later")</f>
        <v>im happy with the product that i order however the lack of date of delivery makes it hard for a customer to be able to receive it or plan to schedule to be home ive gotten email notices saying your shipment will be there tomorrow with no actual date but comes a couple of days later</v>
      </c>
      <c r="H1927" s="4" t="str">
        <f t="shared" si="1"/>
        <v>im happy with product that i order however lack of date of delivery makes it hard a customer be able receive it or plan schedule be home ive gotten email notices saying your shipment will be there tomorrow with no actual date but comes a couple of days later</v>
      </c>
      <c r="I1927" s="6">
        <f t="shared" si="2"/>
        <v>49</v>
      </c>
      <c r="J1927" s="6">
        <f>IFERROR(__xludf.DUMMYFUNCTION("IF(H1927="""","""",
SUM(
ARRAYFORMULA(
IF(
REGEXMATCH(
"" ""&amp;H1927&amp;"" "",
"" ""&amp;Sentiment_Words!A$2:A3730&amp;"" ""
),
1,
0
)
)
)
)"),2.0)</f>
        <v>2</v>
      </c>
      <c r="K1927" s="4">
        <f>IFERROR(__xludf.DUMMYFUNCTION("IF(H1927="""","""",
SUM(
ARRAYFORMULA(
IF(
REGEXMATCH(
"" ""&amp;H1927&amp;"" "",
"" ""&amp;Sentiment_Words!B$2:B3730&amp;"" ""
),
1,
0
)
)
)
)"),0.0)</f>
        <v>0</v>
      </c>
      <c r="L1927" s="7" t="str">
        <f t="shared" si="3"/>
        <v>Fulfillment &amp; Shipping</v>
      </c>
      <c r="M1927" s="7" t="str">
        <f t="shared" si="4"/>
        <v>Positive</v>
      </c>
      <c r="N1927" s="7" t="str">
        <f>IFERROR(__xludf.DUMMYFUNCTION("LOWER(
TRIM(
REGEXREPLACE(B1927,""[^a-zA-Z\s]"","""")
)
)
"),"dave reik")</f>
        <v>dave reik</v>
      </c>
      <c r="O1927" s="7">
        <f t="shared" si="5"/>
        <v>1</v>
      </c>
      <c r="P1927" s="8" t="str">
        <f t="shared" si="6"/>
        <v>No</v>
      </c>
    </row>
    <row r="1928">
      <c r="A1928" s="4" t="s">
        <v>16</v>
      </c>
      <c r="B1928" s="4" t="s">
        <v>5437</v>
      </c>
      <c r="C1928" s="5">
        <v>44756.0</v>
      </c>
      <c r="D1928" s="10">
        <v>44756.0</v>
      </c>
      <c r="E1928" s="4" t="s">
        <v>5438</v>
      </c>
      <c r="F1928" s="4" t="s">
        <v>5439</v>
      </c>
      <c r="G1928" s="6" t="str">
        <f>IFERROR(__xludf.DUMMYFUNCTION("REGEXREPLACE(LOWER(F1928),""[^a-z\s]"","""")"),"this is the third time i have ordered this cat food and the order was submitted and accepted leading me to believe i would be receiving the product three or four days later i receive an email that it is out of stock dont keep sending me emails to order it"&amp;" if it is out of stock")</f>
        <v>this is the third time i have ordered this cat food and the order was submitted and accepted leading me to believe i would be receiving the product three or four days later i receive an email that it is out of stock dont keep sending me emails to order it if it is out of stock</v>
      </c>
      <c r="H1928" s="4" t="str">
        <f t="shared" si="1"/>
        <v>this third time i have ordered this cat food order was submitted accepted leading me believe i would be receiving product three or four days later i receive an email that it out of stock dont keep sending me emails order it if it out of stock</v>
      </c>
      <c r="I1928" s="6">
        <f t="shared" si="2"/>
        <v>47</v>
      </c>
      <c r="J1928" s="6">
        <f>IFERROR(__xludf.DUMMYFUNCTION("IF(H1928="""","""",
SUM(
ARRAYFORMULA(
IF(
REGEXMATCH(
"" ""&amp;H1928&amp;"" "",
"" ""&amp;Sentiment_Words!A$2:A3730&amp;"" ""
),
1,
0
)
)
)
)"),0.0)</f>
        <v>0</v>
      </c>
      <c r="K1928" s="4">
        <f>IFERROR(__xludf.DUMMYFUNCTION("IF(H1928="""","""",
SUM(
ARRAYFORMULA(
IF(
REGEXMATCH(
"" ""&amp;H1928&amp;"" "",
"" ""&amp;Sentiment_Words!B$2:B3730&amp;"" ""
),
1,
0
)
)
)
)"),1.0)</f>
        <v>1</v>
      </c>
      <c r="L1928" s="7" t="str">
        <f t="shared" si="3"/>
        <v>Fulfillment &amp; Shipping</v>
      </c>
      <c r="M1928" s="7" t="str">
        <f t="shared" si="4"/>
        <v>Negative</v>
      </c>
      <c r="N1928" s="7" t="str">
        <f>IFERROR(__xludf.DUMMYFUNCTION("LOWER(
TRIM(
REGEXREPLACE(B1928,""[^a-zA-Z\s]"","""")
)
)
"),"jill greer")</f>
        <v>jill greer</v>
      </c>
      <c r="O1928" s="7">
        <f t="shared" si="5"/>
        <v>1</v>
      </c>
      <c r="P1928" s="8" t="str">
        <f t="shared" si="6"/>
        <v>No</v>
      </c>
    </row>
    <row r="1929">
      <c r="A1929" s="4" t="s">
        <v>16</v>
      </c>
      <c r="B1929" s="4" t="s">
        <v>5440</v>
      </c>
      <c r="C1929" s="5">
        <v>44755.0</v>
      </c>
      <c r="D1929" s="10">
        <v>44756.0</v>
      </c>
      <c r="E1929" s="4" t="s">
        <v>5441</v>
      </c>
      <c r="F1929" s="4" t="s">
        <v>5442</v>
      </c>
      <c r="G1929" s="6" t="str">
        <f>IFERROR(__xludf.DUMMYFUNCTION("REGEXREPLACE(LOWER(F1929),""[^a-z\s]"","""")"),"i have been having a hard time finding some pet food faves for the dog and stumbled upon your site and you had those hard to find faves for him yay")</f>
        <v>i have been having a hard time finding some pet food faves for the dog and stumbled upon your site and you had those hard to find faves for him yay</v>
      </c>
      <c r="H1929" s="4" t="str">
        <f t="shared" si="1"/>
        <v>i have been having a hard time finding some pet food faves dog stumbled upon your site you had those hard find faves him yay</v>
      </c>
      <c r="I1929" s="6">
        <f t="shared" si="2"/>
        <v>25</v>
      </c>
      <c r="J1929" s="6">
        <f>IFERROR(__xludf.DUMMYFUNCTION("IF(H1929="""","""",
SUM(
ARRAYFORMULA(
IF(
REGEXMATCH(
"" ""&amp;H1929&amp;"" "",
"" ""&amp;Sentiment_Words!A$2:A3730&amp;"" ""
),
1,
0
)
)
)
)"),0.0)</f>
        <v>0</v>
      </c>
      <c r="K1929" s="4">
        <f>IFERROR(__xludf.DUMMYFUNCTION("IF(H1929="""","""",
SUM(
ARRAYFORMULA(
IF(
REGEXMATCH(
"" ""&amp;H1929&amp;"" "",
"" ""&amp;Sentiment_Words!B$2:B3730&amp;"" ""
),
1,
0
)
)
)
)"),0.0)</f>
        <v>0</v>
      </c>
      <c r="L1929" s="7" t="str">
        <f t="shared" si="3"/>
        <v>Other</v>
      </c>
      <c r="M1929" s="7" t="str">
        <f t="shared" si="4"/>
        <v>Neutral</v>
      </c>
      <c r="N1929" s="7" t="str">
        <f>IFERROR(__xludf.DUMMYFUNCTION("LOWER(
TRIM(
REGEXREPLACE(B1929,""[^a-zA-Z\s]"","""")
)
)
"),"kitty queen")</f>
        <v>kitty queen</v>
      </c>
      <c r="O1929" s="7">
        <f t="shared" si="5"/>
        <v>1</v>
      </c>
      <c r="P1929" s="8" t="str">
        <f t="shared" si="6"/>
        <v>No</v>
      </c>
    </row>
    <row r="1930">
      <c r="A1930" s="4" t="s">
        <v>16</v>
      </c>
      <c r="B1930" s="4" t="s">
        <v>5443</v>
      </c>
      <c r="C1930" s="5">
        <v>44755.0</v>
      </c>
      <c r="D1930" s="10">
        <v>44755.0</v>
      </c>
      <c r="E1930" s="4" t="s">
        <v>5444</v>
      </c>
      <c r="F1930" s="4" t="s">
        <v>5445</v>
      </c>
      <c r="G1930" s="6" t="str">
        <f>IFERROR(__xludf.DUMMYFUNCTION("REGEXREPLACE(LOWER(F1930),""[^a-z\s]"","""")"),"i ordered my dogs brand of dry food fast and easy to order web site they carry my dogs brand fromm which not many physical stores do fast shipping too")</f>
        <v>i ordered my dogs brand of dry food fast and easy to order web site they carry my dogs brand fromm which not many physical stores do fast shipping too</v>
      </c>
      <c r="H1930" s="4" t="str">
        <f t="shared" si="1"/>
        <v>i ordered my dogs brand of dry food fast easy order web site they carry my dogs brand fromm which not many physical stores do fast shipping too</v>
      </c>
      <c r="I1930" s="6">
        <f t="shared" si="2"/>
        <v>28</v>
      </c>
      <c r="J1930" s="6">
        <f>IFERROR(__xludf.DUMMYFUNCTION("IF(H1930="""","""",
SUM(
ARRAYFORMULA(
IF(
REGEXMATCH(
"" ""&amp;H1930&amp;"" "",
"" ""&amp;Sentiment_Words!A$2:A3730&amp;"" ""
),
1,
0
)
)
)
)"),2.0)</f>
        <v>2</v>
      </c>
      <c r="K1930" s="4">
        <f>IFERROR(__xludf.DUMMYFUNCTION("IF(H1930="""","""",
SUM(
ARRAYFORMULA(
IF(
REGEXMATCH(
"" ""&amp;H1930&amp;"" "",
"" ""&amp;Sentiment_Words!B$2:B3730&amp;"" ""
),
1,
0
)
)
)
)"),0.0)</f>
        <v>0</v>
      </c>
      <c r="L1930" s="7" t="str">
        <f t="shared" si="3"/>
        <v>Other</v>
      </c>
      <c r="M1930" s="7" t="str">
        <f t="shared" si="4"/>
        <v>Positive</v>
      </c>
      <c r="N1930" s="7" t="str">
        <f>IFERROR(__xludf.DUMMYFUNCTION("LOWER(
TRIM(
REGEXREPLACE(B1930,""[^a-zA-Z\s]"","""")
)
)
"),"sheri garrison")</f>
        <v>sheri garrison</v>
      </c>
      <c r="O1930" s="7">
        <f t="shared" si="5"/>
        <v>1</v>
      </c>
      <c r="P1930" s="8" t="str">
        <f t="shared" si="6"/>
        <v>No</v>
      </c>
    </row>
    <row r="1931">
      <c r="A1931" s="4" t="s">
        <v>16</v>
      </c>
      <c r="B1931" s="4" t="s">
        <v>5446</v>
      </c>
      <c r="C1931" s="5">
        <v>44755.0</v>
      </c>
      <c r="D1931" s="10">
        <v>44755.0</v>
      </c>
      <c r="E1931" s="4" t="s">
        <v>5447</v>
      </c>
      <c r="F1931" s="4" t="s">
        <v>5448</v>
      </c>
      <c r="G1931" s="6" t="str">
        <f>IFERROR(__xludf.DUMMYFUNCTION("REGEXREPLACE(LOWER(F1931),""[^a-z\s]"","""")"),"your company led me on to beleive the food i ordered was in process of delivery you cancelled the order when i was down to one can at home then i had to struggle to find food for my cat with no advice from you i will not ever order from you again")</f>
        <v>your company led me on to beleive the food i ordered was in process of delivery you cancelled the order when i was down to one can at home then i had to struggle to find food for my cat with no advice from you i will not ever order from you again</v>
      </c>
      <c r="H1931" s="4" t="str">
        <f t="shared" si="1"/>
        <v>your company led me on beleive food i ordered was in process of delivery you cancelled order when i was down one can at home then i had struggle find food my cat with no advice from you i will not ever order from you again</v>
      </c>
      <c r="I1931" s="6">
        <f t="shared" si="2"/>
        <v>46</v>
      </c>
      <c r="J1931" s="6">
        <f>IFERROR(__xludf.DUMMYFUNCTION("IF(H1931="""","""",
SUM(
ARRAYFORMULA(
IF(
REGEXMATCH(
"" ""&amp;H1931&amp;"" "",
"" ""&amp;Sentiment_Words!A$2:A3730&amp;"" ""
),
1,
0
)
)
)
)"),0.0)</f>
        <v>0</v>
      </c>
      <c r="K1931" s="4">
        <f>IFERROR(__xludf.DUMMYFUNCTION("IF(H1931="""","""",
SUM(
ARRAYFORMULA(
IF(
REGEXMATCH(
"" ""&amp;H1931&amp;"" "",
"" ""&amp;Sentiment_Words!B$2:B3730&amp;"" ""
),
1,
0
)
)
)
)"),1.0)</f>
        <v>1</v>
      </c>
      <c r="L1931" s="7" t="str">
        <f t="shared" si="3"/>
        <v>Other</v>
      </c>
      <c r="M1931" s="7" t="str">
        <f t="shared" si="4"/>
        <v>Negative</v>
      </c>
      <c r="N1931" s="7" t="str">
        <f>IFERROR(__xludf.DUMMYFUNCTION("LOWER(
TRIM(
REGEXREPLACE(B1931,""[^a-zA-Z\s]"","""")
)
)
"),"debra loper")</f>
        <v>debra loper</v>
      </c>
      <c r="O1931" s="7">
        <f t="shared" si="5"/>
        <v>1</v>
      </c>
      <c r="P1931" s="8" t="str">
        <f t="shared" si="6"/>
        <v>No</v>
      </c>
    </row>
    <row r="1932">
      <c r="A1932" s="4" t="s">
        <v>16</v>
      </c>
      <c r="B1932" s="4" t="s">
        <v>5449</v>
      </c>
      <c r="C1932" s="5">
        <v>44755.0</v>
      </c>
      <c r="D1932" s="10">
        <v>44755.0</v>
      </c>
      <c r="E1932" s="4" t="s">
        <v>5450</v>
      </c>
      <c r="F1932" s="4" t="s">
        <v>5451</v>
      </c>
      <c r="G1932" s="6" t="str">
        <f>IFERROR(__xludf.DUMMYFUNCTION("REGEXREPLACE(LOWER(F1932),""[^a-z\s]"","""")"),"i have ordered before and my order was the same rx cat food even in the middle of covid first time customer and it was fast this time days after ordering it still didnt ship i asked for it to be cancelled and was told they werent sure if it could be but t"&amp;"hey would let me know  days later still no word i sent another email same response so here i am  days after i ordered still dont know if my order has been cancelled because they use another party because of the rx and the status still shows shipping i can"&amp;"t get a straight answer they need a new system so they can provide customers with accurate answers back to getting the food from the vet and chewy i should have read the other reviews")</f>
        <v>i have ordered before and my order was the same rx cat food even in the middle of covid first time customer and it was fast this time days after ordering it still didnt ship i asked for it to be cancelled and was told they werent sure if it could be but they would let me know  days later still no word i sent another email same response so here i am  days after i ordered still dont know if my order has been cancelled because they use another party because of the rx and the status still shows shipping i cant get a straight answer they need a new system so they can provide customers with accurate answers back to getting the food from the vet and chewy i should have read the other reviews</v>
      </c>
      <c r="H1932" s="4" t="str">
        <f t="shared" si="1"/>
        <v>i have ordered before my order was same rx cat food even in middle of covid first time customer it was fast this time days after ordering it still didnt ship i asked it be cancelled was told they werent sure if it could be but they would let me know days later still no word i sent another email same response so here i am days after i ordered still dont know if my order has been cancelled because they use another party because of rx status still shows shipping i cant get a straight answer they need a new system so they can provide customers with accurate answers back getting food from vet chewy i should have read other reviews</v>
      </c>
      <c r="I1932" s="6">
        <f t="shared" si="2"/>
        <v>122</v>
      </c>
      <c r="J1932" s="6">
        <f>IFERROR(__xludf.DUMMYFUNCTION("IF(H1932="""","""",
SUM(
ARRAYFORMULA(
IF(
REGEXMATCH(
"" ""&amp;H1932&amp;"" "",
"" ""&amp;Sentiment_Words!A$2:A3730&amp;"" ""
),
1,
0
)
)
)
)"),1.0)</f>
        <v>1</v>
      </c>
      <c r="K1932" s="4">
        <f>IFERROR(__xludf.DUMMYFUNCTION("IF(H1932="""","""",
SUM(
ARRAYFORMULA(
IF(
REGEXMATCH(
"" ""&amp;H1932&amp;"" "",
"" ""&amp;Sentiment_Words!B$2:B3730&amp;"" ""
),
1,
0
)
)
)
)"),1.0)</f>
        <v>1</v>
      </c>
      <c r="L1932" s="7" t="str">
        <f t="shared" si="3"/>
        <v>Fulfillment &amp; Shipping</v>
      </c>
      <c r="M1932" s="7" t="str">
        <f t="shared" si="4"/>
        <v>Neutral</v>
      </c>
      <c r="N1932" s="7" t="str">
        <f>IFERROR(__xludf.DUMMYFUNCTION("LOWER(
TRIM(
REGEXREPLACE(B1932,""[^a-zA-Z\s]"","""")
)
)
"),"mary henry")</f>
        <v>mary henry</v>
      </c>
      <c r="O1932" s="7">
        <f t="shared" si="5"/>
        <v>1</v>
      </c>
      <c r="P1932" s="8" t="str">
        <f t="shared" si="6"/>
        <v>No</v>
      </c>
    </row>
    <row r="1933">
      <c r="A1933" s="4" t="s">
        <v>16</v>
      </c>
      <c r="B1933" s="4" t="s">
        <v>5452</v>
      </c>
      <c r="C1933" s="5">
        <v>44755.0</v>
      </c>
      <c r="D1933" s="10">
        <v>44755.0</v>
      </c>
      <c r="E1933" s="4" t="s">
        <v>3665</v>
      </c>
      <c r="F1933" s="4" t="s">
        <v>5453</v>
      </c>
      <c r="G1933" s="6" t="str">
        <f>IFERROR(__xludf.DUMMYFUNCTION("REGEXREPLACE(LOWER(F1933),""[^a-z\s]"","""")"),"process was seamless as far as ordering and receiving my order in a timely manner had no issues and would highly recommend petflow to anyone looking for good service and product selection")</f>
        <v>process was seamless as far as ordering and receiving my order in a timely manner had no issues and would highly recommend petflow to anyone looking for good service and product selection</v>
      </c>
      <c r="H1933" s="4" t="str">
        <f t="shared" si="1"/>
        <v>process was seamless as far as ordering receiving my order in a timely manner had no issues would highly recommend petflow anyone looking good service product selection</v>
      </c>
      <c r="I1933" s="6">
        <f t="shared" si="2"/>
        <v>27</v>
      </c>
      <c r="J1933" s="6">
        <f>IFERROR(__xludf.DUMMYFUNCTION("IF(H1933="""","""",
SUM(
ARRAYFORMULA(
IF(
REGEXMATCH(
"" ""&amp;H1933&amp;"" "",
"" ""&amp;Sentiment_Words!A$2:A3730&amp;"" ""
),
1,
0
)
)
)
)"),2.0)</f>
        <v>2</v>
      </c>
      <c r="K1933" s="4">
        <f>IFERROR(__xludf.DUMMYFUNCTION("IF(H1933="""","""",
SUM(
ARRAYFORMULA(
IF(
REGEXMATCH(
"" ""&amp;H1933&amp;"" "",
"" ""&amp;Sentiment_Words!B$2:B3730&amp;"" ""
),
1,
0
)
)
)
)"),0.0)</f>
        <v>0</v>
      </c>
      <c r="L1933" s="7" t="str">
        <f t="shared" si="3"/>
        <v>Customer Support</v>
      </c>
      <c r="M1933" s="7" t="str">
        <f t="shared" si="4"/>
        <v>Positive</v>
      </c>
      <c r="N1933" s="7" t="str">
        <f>IFERROR(__xludf.DUMMYFUNCTION("LOWER(
TRIM(
REGEXREPLACE(B1933,""[^a-zA-Z\s]"","""")
)
)
"),"tiffany driscoll")</f>
        <v>tiffany driscoll</v>
      </c>
      <c r="O1933" s="7">
        <f t="shared" si="5"/>
        <v>1</v>
      </c>
      <c r="P1933" s="8" t="str">
        <f t="shared" si="6"/>
        <v>No</v>
      </c>
    </row>
    <row r="1934">
      <c r="A1934" s="4" t="s">
        <v>16</v>
      </c>
      <c r="B1934" s="4" t="s">
        <v>5454</v>
      </c>
      <c r="C1934" s="5">
        <v>44755.0</v>
      </c>
      <c r="D1934" s="10">
        <v>44755.0</v>
      </c>
      <c r="E1934" s="4" t="s">
        <v>5455</v>
      </c>
      <c r="F1934" s="4" t="s">
        <v>5456</v>
      </c>
      <c r="G1934" s="6" t="str">
        <f>IFERROR(__xludf.DUMMYFUNCTION("REGEXREPLACE(LOWER(F1934),""[^a-z\s]"","""")"),"it would be nice to be able to edit your autoship if the item is backorder online i have had the item on backorder twice and the last was canceled i do not like having to make a phone call when it should be easy to make the changes online this goes for th"&amp;"e cancelation of an autosgip as well")</f>
        <v>it would be nice to be able to edit your autoship if the item is backorder online i have had the item on backorder twice and the last was canceled i do not like having to make a phone call when it should be easy to make the changes online this goes for the cancelation of an autosgip as well</v>
      </c>
      <c r="H1934" s="4" t="str">
        <f t="shared" si="1"/>
        <v>it would be nice be able edit your autoship if item backorder online i have had item on backorder twice last was canceled i do not like having make a phone call when it should be easy make changes online this goes cancelation of an autosgip as well</v>
      </c>
      <c r="I1934" s="6">
        <f t="shared" si="2"/>
        <v>48</v>
      </c>
      <c r="J1934" s="6">
        <f>IFERROR(__xludf.DUMMYFUNCTION("IF(H1934="""","""",
SUM(
ARRAYFORMULA(
IF(
REGEXMATCH(
"" ""&amp;H1934&amp;"" "",
"" ""&amp;Sentiment_Words!A$2:A3730&amp;"" ""
),
1,
0
)
)
)
)"),2.0)</f>
        <v>2</v>
      </c>
      <c r="K1934" s="4">
        <f>IFERROR(__xludf.DUMMYFUNCTION("IF(H1934="""","""",
SUM(
ARRAYFORMULA(
IF(
REGEXMATCH(
"" ""&amp;H1934&amp;"" "",
"" ""&amp;Sentiment_Words!B$2:B3730&amp;"" ""
),
1,
0
)
)
)
)"),0.0)</f>
        <v>0</v>
      </c>
      <c r="L1934" s="7" t="str">
        <f t="shared" si="3"/>
        <v>Other</v>
      </c>
      <c r="M1934" s="7" t="str">
        <f t="shared" si="4"/>
        <v>Positive</v>
      </c>
      <c r="N1934" s="7" t="str">
        <f>IFERROR(__xludf.DUMMYFUNCTION("LOWER(
TRIM(
REGEXREPLACE(B1934,""[^a-zA-Z\s]"","""")
)
)
"),"dave pinner")</f>
        <v>dave pinner</v>
      </c>
      <c r="O1934" s="7">
        <f t="shared" si="5"/>
        <v>1</v>
      </c>
      <c r="P1934" s="8" t="str">
        <f t="shared" si="6"/>
        <v>No</v>
      </c>
    </row>
    <row r="1935">
      <c r="A1935" s="4" t="s">
        <v>16</v>
      </c>
      <c r="B1935" s="4" t="s">
        <v>5457</v>
      </c>
      <c r="C1935" s="5">
        <v>44755.0</v>
      </c>
      <c r="D1935" s="10">
        <v>44755.0</v>
      </c>
      <c r="E1935" s="4" t="s">
        <v>5458</v>
      </c>
      <c r="F1935" s="4" t="s">
        <v>5459</v>
      </c>
      <c r="G1935" s="6" t="str">
        <f>IFERROR(__xludf.DUMMYFUNCTION("REGEXREPLACE(LOWER(F1935),""[^a-z\s]"","""")"),"originally my order was to ship on july th then an email said the shipment would be late and would arrive today it currently is pm and i do not have my order")</f>
        <v>originally my order was to ship on july th then an email said the shipment would be late and would arrive today it currently is pm and i do not have my order</v>
      </c>
      <c r="H1935" s="4" t="str">
        <f t="shared" si="1"/>
        <v>originally my order was ship on july th then an email said shipment would be late would arrive today it currently pm i do not have my order</v>
      </c>
      <c r="I1935" s="6">
        <f t="shared" si="2"/>
        <v>28</v>
      </c>
      <c r="J1935" s="6">
        <f>IFERROR(__xludf.DUMMYFUNCTION("IF(H1935="""","""",
SUM(
ARRAYFORMULA(
IF(
REGEXMATCH(
"" ""&amp;H1935&amp;"" "",
"" ""&amp;Sentiment_Words!A$2:A3730&amp;"" ""
),
1,
0
)
)
)
)"),0.0)</f>
        <v>0</v>
      </c>
      <c r="K1935" s="4">
        <f>IFERROR(__xludf.DUMMYFUNCTION("IF(H1935="""","""",
SUM(
ARRAYFORMULA(
IF(
REGEXMATCH(
"" ""&amp;H1935&amp;"" "",
"" ""&amp;Sentiment_Words!B$2:B3730&amp;"" ""
),
1,
0
)
)
)
)"),0.0)</f>
        <v>0</v>
      </c>
      <c r="L1935" s="7" t="str">
        <f t="shared" si="3"/>
        <v>Fulfillment &amp; Shipping</v>
      </c>
      <c r="M1935" s="7" t="str">
        <f t="shared" si="4"/>
        <v>Neutral</v>
      </c>
      <c r="N1935" s="7" t="str">
        <f>IFERROR(__xludf.DUMMYFUNCTION("LOWER(
TRIM(
REGEXREPLACE(B1935,""[^a-zA-Z\s]"","""")
)
)
"),"tammy krauss")</f>
        <v>tammy krauss</v>
      </c>
      <c r="O1935" s="7">
        <f t="shared" si="5"/>
        <v>1</v>
      </c>
      <c r="P1935" s="8" t="str">
        <f t="shared" si="6"/>
        <v>No</v>
      </c>
    </row>
    <row r="1936">
      <c r="A1936" s="4" t="s">
        <v>16</v>
      </c>
      <c r="B1936" s="4" t="s">
        <v>5460</v>
      </c>
      <c r="C1936" s="5">
        <v>44755.0</v>
      </c>
      <c r="D1936" s="10">
        <v>44755.0</v>
      </c>
      <c r="E1936" s="4" t="s">
        <v>5461</v>
      </c>
      <c r="F1936" s="4" t="s">
        <v>5462</v>
      </c>
      <c r="G1936" s="6" t="str">
        <f>IFERROR(__xludf.DUMMYFUNCTION("REGEXREPLACE(LOWER(F1936),""[^a-z\s]"","""")"),"petflow had all the items i needed delivered them promptly and quickly responded to questionsconcerns i had")</f>
        <v>petflow had all the items i needed delivered them promptly and quickly responded to questionsconcerns i had</v>
      </c>
      <c r="H1936" s="4" t="str">
        <f t="shared" si="1"/>
        <v>petflow had all items i needed delivered them promptly quickly responded questionsconcerns i had</v>
      </c>
      <c r="I1936" s="6">
        <f t="shared" si="2"/>
        <v>14</v>
      </c>
      <c r="J1936" s="6">
        <f>IFERROR(__xludf.DUMMYFUNCTION("IF(H1936="""","""",
SUM(
ARRAYFORMULA(
IF(
REGEXMATCH(
"" ""&amp;H1936&amp;"" "",
"" ""&amp;Sentiment_Words!A$2:A3730&amp;"" ""
),
1,
0
)
)
)
)"),1.0)</f>
        <v>1</v>
      </c>
      <c r="K1936" s="4">
        <f>IFERROR(__xludf.DUMMYFUNCTION("IF(H1936="""","""",
SUM(
ARRAYFORMULA(
IF(
REGEXMATCH(
"" ""&amp;H1936&amp;"" "",
"" ""&amp;Sentiment_Words!B$2:B3730&amp;"" ""
),
1,
0
)
)
)
)"),0.0)</f>
        <v>0</v>
      </c>
      <c r="L1936" s="7" t="str">
        <f t="shared" si="3"/>
        <v>Other</v>
      </c>
      <c r="M1936" s="7" t="str">
        <f t="shared" si="4"/>
        <v>Positive</v>
      </c>
      <c r="N1936" s="7" t="str">
        <f>IFERROR(__xludf.DUMMYFUNCTION("LOWER(
TRIM(
REGEXREPLACE(B1936,""[^a-zA-Z\s]"","""")
)
)
"),"judith jones")</f>
        <v>judith jones</v>
      </c>
      <c r="O1936" s="7">
        <f t="shared" si="5"/>
        <v>1</v>
      </c>
      <c r="P1936" s="8" t="str">
        <f t="shared" si="6"/>
        <v>No</v>
      </c>
    </row>
    <row r="1937">
      <c r="A1937" s="4" t="s">
        <v>16</v>
      </c>
      <c r="B1937" s="4" t="s">
        <v>5463</v>
      </c>
      <c r="C1937" s="5">
        <v>44755.0</v>
      </c>
      <c r="D1937" s="10">
        <v>44755.0</v>
      </c>
      <c r="E1937" s="4" t="s">
        <v>5464</v>
      </c>
      <c r="F1937" s="4" t="s">
        <v>331</v>
      </c>
      <c r="G1937" s="6" t="str">
        <f>IFERROR(__xludf.DUMMYFUNCTION("REGEXREPLACE(LOWER(F1937),""[^a-z\s]"","""")"),"none")</f>
        <v>none</v>
      </c>
      <c r="H1937" s="4" t="str">
        <f t="shared" si="1"/>
        <v>none</v>
      </c>
      <c r="I1937" s="6">
        <f t="shared" si="2"/>
        <v>1</v>
      </c>
      <c r="J1937" s="6">
        <f>IFERROR(__xludf.DUMMYFUNCTION("IF(H1937="""","""",
SUM(
ARRAYFORMULA(
IF(
REGEXMATCH(
"" ""&amp;H1937&amp;"" "",
"" ""&amp;Sentiment_Words!A$2:A3730&amp;"" ""
),
1,
0
)
)
)
)"),0.0)</f>
        <v>0</v>
      </c>
      <c r="K1937" s="4">
        <f>IFERROR(__xludf.DUMMYFUNCTION("IF(H1937="""","""",
SUM(
ARRAYFORMULA(
IF(
REGEXMATCH(
"" ""&amp;H1937&amp;"" "",
"" ""&amp;Sentiment_Words!B$2:B3730&amp;"" ""
),
1,
0
)
)
)
)"),0.0)</f>
        <v>0</v>
      </c>
      <c r="L1937" s="7" t="str">
        <f t="shared" si="3"/>
        <v>Other</v>
      </c>
      <c r="M1937" s="7" t="str">
        <f t="shared" si="4"/>
        <v>Neutral</v>
      </c>
      <c r="N1937" s="7" t="str">
        <f>IFERROR(__xludf.DUMMYFUNCTION("LOWER(
TRIM(
REGEXREPLACE(B1937,""[^a-zA-Z\s]"","""")
)
)
"),"cat appreciator from se ny")</f>
        <v>cat appreciator from se ny</v>
      </c>
      <c r="O1937" s="7">
        <f t="shared" si="5"/>
        <v>1</v>
      </c>
      <c r="P1937" s="8" t="str">
        <f t="shared" si="6"/>
        <v>No</v>
      </c>
    </row>
    <row r="1938">
      <c r="A1938" s="4" t="s">
        <v>16</v>
      </c>
      <c r="B1938" s="4" t="s">
        <v>4659</v>
      </c>
      <c r="C1938" s="5">
        <v>44755.0</v>
      </c>
      <c r="D1938" s="10">
        <v>44755.0</v>
      </c>
      <c r="E1938" s="4" t="s">
        <v>5465</v>
      </c>
      <c r="F1938" s="4" t="s">
        <v>5466</v>
      </c>
      <c r="G1938" s="6" t="str">
        <f>IFERROR(__xludf.DUMMYFUNCTION("REGEXREPLACE(LOWER(F1938),""[^a-z\s]"","""")"),"fast shipping with sturdy packaging good price user friendly website thanks so much")</f>
        <v>fast shipping with sturdy packaging good price user friendly website thanks so much</v>
      </c>
      <c r="H1938" s="4" t="str">
        <f t="shared" si="1"/>
        <v>fast shipping with sturdy packaging good price user friendly website thanks so much</v>
      </c>
      <c r="I1938" s="6">
        <f t="shared" si="2"/>
        <v>13</v>
      </c>
      <c r="J1938" s="6">
        <f>IFERROR(__xludf.DUMMYFUNCTION("IF(H1938="""","""",
SUM(
ARRAYFORMULA(
IF(
REGEXMATCH(
"" ""&amp;H1938&amp;"" "",
"" ""&amp;Sentiment_Words!A$2:A3730&amp;"" ""
),
1,
0
)
)
)
)"),2.0)</f>
        <v>2</v>
      </c>
      <c r="K1938" s="4">
        <f>IFERROR(__xludf.DUMMYFUNCTION("IF(H1938="""","""",
SUM(
ARRAYFORMULA(
IF(
REGEXMATCH(
"" ""&amp;H1938&amp;"" "",
"" ""&amp;Sentiment_Words!B$2:B3730&amp;"" ""
),
1,
0
)
)
)
)"),0.0)</f>
        <v>0</v>
      </c>
      <c r="L1938" s="7" t="str">
        <f t="shared" si="3"/>
        <v>Account &amp; Website</v>
      </c>
      <c r="M1938" s="7" t="str">
        <f t="shared" si="4"/>
        <v>Positive</v>
      </c>
      <c r="N1938" s="7" t="str">
        <f>IFERROR(__xludf.DUMMYFUNCTION("LOWER(
TRIM(
REGEXREPLACE(B1938,""[^a-zA-Z\s]"","""")
)
)
"),"carol")</f>
        <v>carol</v>
      </c>
      <c r="O1938" s="7">
        <f t="shared" si="5"/>
        <v>8</v>
      </c>
      <c r="P1938" s="8" t="str">
        <f t="shared" si="6"/>
        <v>Yes</v>
      </c>
    </row>
    <row r="1939">
      <c r="A1939" s="4" t="s">
        <v>16</v>
      </c>
      <c r="B1939" s="4" t="s">
        <v>5467</v>
      </c>
      <c r="C1939" s="5">
        <v>44755.0</v>
      </c>
      <c r="D1939" s="10">
        <v>44755.0</v>
      </c>
      <c r="E1939" s="4" t="s">
        <v>423</v>
      </c>
      <c r="F1939" s="4" t="s">
        <v>5468</v>
      </c>
      <c r="G1939" s="6" t="str">
        <f>IFERROR(__xludf.DUMMYFUNCTION("REGEXREPLACE(LOWER(F1939),""[^a-z\s]"","""")"),"ordered wet dog food came quick and what i ordered")</f>
        <v>ordered wet dog food came quick and what i ordered</v>
      </c>
      <c r="H1939" s="4" t="str">
        <f t="shared" si="1"/>
        <v>ordered wet dog food came quick what i ordered</v>
      </c>
      <c r="I1939" s="6">
        <f t="shared" si="2"/>
        <v>9</v>
      </c>
      <c r="J1939" s="6">
        <f>IFERROR(__xludf.DUMMYFUNCTION("IF(H1939="""","""",
SUM(
ARRAYFORMULA(
IF(
REGEXMATCH(
"" ""&amp;H1939&amp;"" "",
"" ""&amp;Sentiment_Words!A$2:A3730&amp;"" ""
),
1,
0
)
)
)
)"),0.0)</f>
        <v>0</v>
      </c>
      <c r="K1939" s="4">
        <f>IFERROR(__xludf.DUMMYFUNCTION("IF(H1939="""","""",
SUM(
ARRAYFORMULA(
IF(
REGEXMATCH(
"" ""&amp;H1939&amp;"" "",
"" ""&amp;Sentiment_Words!B$2:B3730&amp;"" ""
),
1,
0
)
)
)
)"),0.0)</f>
        <v>0</v>
      </c>
      <c r="L1939" s="7" t="str">
        <f t="shared" si="3"/>
        <v>Other</v>
      </c>
      <c r="M1939" s="7" t="str">
        <f t="shared" si="4"/>
        <v>Neutral</v>
      </c>
      <c r="N1939" s="7" t="str">
        <f>IFERROR(__xludf.DUMMYFUNCTION("LOWER(
TRIM(
REGEXREPLACE(B1939,""[^a-zA-Z\s]"","""")
)
)
"),"go")</f>
        <v>go</v>
      </c>
      <c r="O1939" s="7">
        <f t="shared" si="5"/>
        <v>1</v>
      </c>
      <c r="P1939" s="8" t="str">
        <f t="shared" si="6"/>
        <v>No</v>
      </c>
    </row>
    <row r="1940">
      <c r="A1940" s="4" t="s">
        <v>16</v>
      </c>
      <c r="B1940" s="4" t="s">
        <v>5469</v>
      </c>
      <c r="C1940" s="5">
        <v>44755.0</v>
      </c>
      <c r="D1940" s="10">
        <v>44755.0</v>
      </c>
      <c r="E1940" s="4" t="s">
        <v>5470</v>
      </c>
      <c r="F1940" s="4" t="s">
        <v>5471</v>
      </c>
      <c r="G1940" s="6" t="str">
        <f>IFERROR(__xludf.DUMMYFUNCTION("REGEXREPLACE(LOWER(F1940),""[^a-z\s]"","""")"),"easy online ordering and prompt delivery")</f>
        <v>easy online ordering and prompt delivery</v>
      </c>
      <c r="H1940" s="4" t="str">
        <f t="shared" si="1"/>
        <v>easy online ordering prompt delivery</v>
      </c>
      <c r="I1940" s="6">
        <f t="shared" si="2"/>
        <v>5</v>
      </c>
      <c r="J1940" s="6">
        <f>IFERROR(__xludf.DUMMYFUNCTION("IF(H1940="""","""",
SUM(
ARRAYFORMULA(
IF(
REGEXMATCH(
"" ""&amp;H1940&amp;"" "",
"" ""&amp;Sentiment_Words!A$2:A3730&amp;"" ""
),
1,
0
)
)
)
)"),2.0)</f>
        <v>2</v>
      </c>
      <c r="K1940" s="4">
        <f>IFERROR(__xludf.DUMMYFUNCTION("IF(H1940="""","""",
SUM(
ARRAYFORMULA(
IF(
REGEXMATCH(
"" ""&amp;H1940&amp;"" "",
"" ""&amp;Sentiment_Words!B$2:B3730&amp;"" ""
),
1,
0
)
)
)
)"),0.0)</f>
        <v>0</v>
      </c>
      <c r="L1940" s="7" t="str">
        <f t="shared" si="3"/>
        <v>Other</v>
      </c>
      <c r="M1940" s="7" t="str">
        <f t="shared" si="4"/>
        <v>Positive</v>
      </c>
      <c r="N1940" s="7" t="str">
        <f>IFERROR(__xludf.DUMMYFUNCTION("LOWER(
TRIM(
REGEXREPLACE(B1940,""[^a-zA-Z\s]"","""")
)
)
"),"chuck howard")</f>
        <v>chuck howard</v>
      </c>
      <c r="O1940" s="7">
        <f t="shared" si="5"/>
        <v>1</v>
      </c>
      <c r="P1940" s="8" t="str">
        <f t="shared" si="6"/>
        <v>No</v>
      </c>
    </row>
    <row r="1941">
      <c r="A1941" s="4" t="s">
        <v>16</v>
      </c>
      <c r="B1941" s="4" t="s">
        <v>5472</v>
      </c>
      <c r="C1941" s="5">
        <v>44754.0</v>
      </c>
      <c r="D1941" s="10">
        <v>44755.0</v>
      </c>
      <c r="E1941" s="4" t="s">
        <v>5473</v>
      </c>
      <c r="F1941" s="4" t="s">
        <v>5474</v>
      </c>
      <c r="G1941" s="6" t="str">
        <f>IFERROR(__xludf.DUMMYFUNCTION("REGEXREPLACE(LOWER(F1941),""[^a-z\s]"","""")"),"i order my cat food and it arrived quickly cannot ask for anything better
oscr")</f>
        <v>i order my cat food and it arrived quickly cannot ask for anything better
oscr</v>
      </c>
      <c r="H1941" s="4" t="str">
        <f t="shared" si="1"/>
        <v>i order my cat food it arrived quickly cannot ask anything better
oscr</v>
      </c>
      <c r="I1941" s="6">
        <f t="shared" si="2"/>
        <v>12</v>
      </c>
      <c r="J1941" s="6">
        <f>IFERROR(__xludf.DUMMYFUNCTION("IF(H1941="""","""",
SUM(
ARRAYFORMULA(
IF(
REGEXMATCH(
"" ""&amp;H1941&amp;"" "",
"" ""&amp;Sentiment_Words!A$2:A3730&amp;"" ""
),
1,
0
)
)
)
)"),0.0)</f>
        <v>0</v>
      </c>
      <c r="K1941" s="4">
        <f>IFERROR(__xludf.DUMMYFUNCTION("IF(H1941="""","""",
SUM(
ARRAYFORMULA(
IF(
REGEXMATCH(
"" ""&amp;H1941&amp;"" "",
"" ""&amp;Sentiment_Words!B$2:B3730&amp;"" ""
),
1,
0
)
)
)
)"),0.0)</f>
        <v>0</v>
      </c>
      <c r="L1941" s="7" t="str">
        <f t="shared" si="3"/>
        <v>Other</v>
      </c>
      <c r="M1941" s="7" t="str">
        <f t="shared" si="4"/>
        <v>Neutral</v>
      </c>
      <c r="N1941" s="7" t="str">
        <f>IFERROR(__xludf.DUMMYFUNCTION("LOWER(
TRIM(
REGEXREPLACE(B1941,""[^a-zA-Z\s]"","""")
)
)
"),"mr")</f>
        <v>mr</v>
      </c>
      <c r="O1941" s="7">
        <f t="shared" si="5"/>
        <v>2</v>
      </c>
      <c r="P1941" s="8" t="str">
        <f t="shared" si="6"/>
        <v>Yes</v>
      </c>
    </row>
    <row r="1942">
      <c r="A1942" s="4" t="s">
        <v>16</v>
      </c>
      <c r="B1942" s="4" t="s">
        <v>5475</v>
      </c>
      <c r="C1942" s="5">
        <v>44754.0</v>
      </c>
      <c r="D1942" s="10">
        <v>44755.0</v>
      </c>
      <c r="E1942" s="4" t="s">
        <v>5476</v>
      </c>
      <c r="F1942" s="4" t="s">
        <v>5477</v>
      </c>
      <c r="G1942" s="6" t="str">
        <f>IFERROR(__xludf.DUMMYFUNCTION("REGEXREPLACE(LOWER(F1942),""[^a-z\s]"","""")"),"we needed a certain vet approved cat food petflow faxed my vet for authorization and returned the approval petflow went to work on filling the order unfortunately it was over the th of july holiday  ran into delivery problems but petflow followed up with "&amp;"the carrier petflow monitored the transportation petflows customer service answered all my questions wo hesitation even over the holiday great job and my two furry babies also thank you for your service")</f>
        <v>we needed a certain vet approved cat food petflow faxed my vet for authorization and returned the approval petflow went to work on filling the order unfortunately it was over the th of july holiday  ran into delivery problems but petflow followed up with the carrier petflow monitored the transportation petflows customer service answered all my questions wo hesitation even over the holiday great job and my two furry babies also thank you for your service</v>
      </c>
      <c r="H1942" s="4" t="str">
        <f t="shared" si="1"/>
        <v>we needed a certain vet approved cat food petflow faxed my vet authorization returned approval petflow went work on filling order unfortunately it was over th of july holiday ran into delivery problems but petflow followed up with carrier petflow monitored transportation petflows customer service answered all my questions wo hesitation even over holiday great job my two furry babies also thank you your service</v>
      </c>
      <c r="I1942" s="6">
        <f t="shared" si="2"/>
        <v>65</v>
      </c>
      <c r="J1942" s="6">
        <f>IFERROR(__xludf.DUMMYFUNCTION("IF(H1942="""","""",
SUM(
ARRAYFORMULA(
IF(
REGEXMATCH(
"" ""&amp;H1942&amp;"" "",
"" ""&amp;Sentiment_Words!A$2:A3730&amp;"" ""
),
1,
0
)
)
)
)"),2.0)</f>
        <v>2</v>
      </c>
      <c r="K1942" s="4">
        <f>IFERROR(__xludf.DUMMYFUNCTION("IF(H1942="""","""",
SUM(
ARRAYFORMULA(
IF(
REGEXMATCH(
"" ""&amp;H1942&amp;"" "",
"" ""&amp;Sentiment_Words!B$2:B3730&amp;"" ""
),
1,
0
)
)
)
)"),2.0)</f>
        <v>2</v>
      </c>
      <c r="L1942" s="7" t="str">
        <f t="shared" si="3"/>
        <v>Customer Support</v>
      </c>
      <c r="M1942" s="7" t="str">
        <f t="shared" si="4"/>
        <v>Neutral</v>
      </c>
      <c r="N1942" s="7" t="str">
        <f>IFERROR(__xludf.DUMMYFUNCTION("LOWER(
TRIM(
REGEXREPLACE(B1942,""[^a-zA-Z\s]"","""")
)
)
"),"oscar ringness")</f>
        <v>oscar ringness</v>
      </c>
      <c r="O1942" s="7">
        <f t="shared" si="5"/>
        <v>1</v>
      </c>
      <c r="P1942" s="8" t="str">
        <f t="shared" si="6"/>
        <v>No</v>
      </c>
    </row>
    <row r="1943">
      <c r="A1943" s="4" t="s">
        <v>16</v>
      </c>
      <c r="B1943" s="4" t="s">
        <v>5478</v>
      </c>
      <c r="C1943" s="5">
        <v>44754.0</v>
      </c>
      <c r="D1943" s="10">
        <v>44754.0</v>
      </c>
      <c r="E1943" s="4" t="s">
        <v>5479</v>
      </c>
      <c r="F1943" s="4" t="s">
        <v>5480</v>
      </c>
      <c r="G1943" s="6" t="str">
        <f>IFERROR(__xludf.DUMMYFUNCTION("REGEXREPLACE(LOWER(F1943),""[^a-z\s]"","""")"),"i suppose i purchased something though i dont recall")</f>
        <v>i suppose i purchased something though i dont recall</v>
      </c>
      <c r="H1943" s="4" t="str">
        <f t="shared" si="1"/>
        <v>i suppose i purchased something though i dont recall</v>
      </c>
      <c r="I1943" s="6">
        <f t="shared" si="2"/>
        <v>9</v>
      </c>
      <c r="J1943" s="6">
        <f>IFERROR(__xludf.DUMMYFUNCTION("IF(H1943="""","""",
SUM(
ARRAYFORMULA(
IF(
REGEXMATCH(
"" ""&amp;H1943&amp;"" "",
"" ""&amp;Sentiment_Words!A$2:A3730&amp;"" ""
),
1,
0
)
)
)
)"),0.0)</f>
        <v>0</v>
      </c>
      <c r="K1943" s="4">
        <f>IFERROR(__xludf.DUMMYFUNCTION("IF(H1943="""","""",
SUM(
ARRAYFORMULA(
IF(
REGEXMATCH(
"" ""&amp;H1943&amp;"" "",
"" ""&amp;Sentiment_Words!B$2:B3730&amp;"" ""
),
1,
0
)
)
)
)"),0.0)</f>
        <v>0</v>
      </c>
      <c r="L1943" s="7" t="str">
        <f t="shared" si="3"/>
        <v>Other</v>
      </c>
      <c r="M1943" s="7" t="str">
        <f t="shared" si="4"/>
        <v>Neutral</v>
      </c>
      <c r="N1943" s="7" t="str">
        <f>IFERROR(__xludf.DUMMYFUNCTION("LOWER(
TRIM(
REGEXREPLACE(B1943,""[^a-zA-Z\s]"","""")
)
)
"),"william hroch")</f>
        <v>william hroch</v>
      </c>
      <c r="O1943" s="7">
        <f t="shared" si="5"/>
        <v>1</v>
      </c>
      <c r="P1943" s="8" t="str">
        <f t="shared" si="6"/>
        <v>No</v>
      </c>
    </row>
    <row r="1944">
      <c r="A1944" s="4" t="s">
        <v>16</v>
      </c>
      <c r="B1944" s="4" t="s">
        <v>5481</v>
      </c>
      <c r="C1944" s="5">
        <v>44754.0</v>
      </c>
      <c r="D1944" s="10">
        <v>44754.0</v>
      </c>
      <c r="E1944" s="4" t="s">
        <v>5482</v>
      </c>
      <c r="F1944" s="4" t="s">
        <v>5483</v>
      </c>
      <c r="G1944" s="6" t="str">
        <f>IFERROR(__xludf.DUMMYFUNCTION("REGEXREPLACE(LOWER(F1944),""[^a-z\s]"","""")"),"i love that this site carries fromm gold brand and fast delivery")</f>
        <v>i love that this site carries fromm gold brand and fast delivery</v>
      </c>
      <c r="H1944" s="4" t="str">
        <f t="shared" si="1"/>
        <v>i love that this site carries fromm gold brand fast delivery</v>
      </c>
      <c r="I1944" s="6">
        <f t="shared" si="2"/>
        <v>11</v>
      </c>
      <c r="J1944" s="6">
        <f>IFERROR(__xludf.DUMMYFUNCTION("IF(H1944="""","""",
SUM(
ARRAYFORMULA(
IF(
REGEXMATCH(
"" ""&amp;H1944&amp;"" "",
"" ""&amp;Sentiment_Words!A$2:A3730&amp;"" ""
),
1,
0
)
)
)
)"),3.0)</f>
        <v>3</v>
      </c>
      <c r="K1944" s="4">
        <f>IFERROR(__xludf.DUMMYFUNCTION("IF(H1944="""","""",
SUM(
ARRAYFORMULA(
IF(
REGEXMATCH(
"" ""&amp;H1944&amp;"" "",
"" ""&amp;Sentiment_Words!B$2:B3730&amp;"" ""
),
1,
0
)
)
)
)"),0.0)</f>
        <v>0</v>
      </c>
      <c r="L1944" s="7" t="str">
        <f t="shared" si="3"/>
        <v>Other</v>
      </c>
      <c r="M1944" s="7" t="str">
        <f t="shared" si="4"/>
        <v>Positive</v>
      </c>
      <c r="N1944" s="7" t="str">
        <f>IFERROR(__xludf.DUMMYFUNCTION("LOWER(
TRIM(
REGEXREPLACE(B1944,""[^a-zA-Z\s]"","""")
)
)
"),"ubaldo morales")</f>
        <v>ubaldo morales</v>
      </c>
      <c r="O1944" s="7">
        <f t="shared" si="5"/>
        <v>1</v>
      </c>
      <c r="P1944" s="8" t="str">
        <f t="shared" si="6"/>
        <v>No</v>
      </c>
    </row>
    <row r="1945">
      <c r="A1945" s="4" t="s">
        <v>16</v>
      </c>
      <c r="B1945" s="4" t="s">
        <v>5484</v>
      </c>
      <c r="C1945" s="5">
        <v>44754.0</v>
      </c>
      <c r="D1945" s="10">
        <v>44754.0</v>
      </c>
      <c r="E1945" s="4" t="s">
        <v>5485</v>
      </c>
      <c r="F1945" s="4" t="s">
        <v>5486</v>
      </c>
      <c r="G1945" s="6" t="str">
        <f>IFERROR(__xludf.DUMMYFUNCTION("REGEXREPLACE(LOWER(F1945),""[^a-z\s]"","""")"),"the box arrived half open and crushed and ripped open on one corner but the  bags of prescription dog food were still fine inside i informed petflow and they promptly replied and said they would initiate a complaint with the shipping company as long as th"&amp;"e food was fine nothing else needed to be done on my end")</f>
        <v>the box arrived half open and crushed and ripped open on one corner but the  bags of prescription dog food were still fine inside i informed petflow and they promptly replied and said they would initiate a complaint with the shipping company as long as the food was fine nothing else needed to be done on my end</v>
      </c>
      <c r="H1945" s="4" t="str">
        <f t="shared" si="1"/>
        <v>box arrived half open crushed ripped open on one corner but bags of prescription dog food were still fine inside i informed petflow they promptly replied said they would initiate a complaint with shipping company as long as food was fine nothing else needed be done on my end</v>
      </c>
      <c r="I1945" s="6">
        <f t="shared" si="2"/>
        <v>49</v>
      </c>
      <c r="J1945" s="6">
        <f>IFERROR(__xludf.DUMMYFUNCTION("IF(H1945="""","""",
SUM(
ARRAYFORMULA(
IF(
REGEXMATCH(
"" ""&amp;H1945&amp;"" "",
"" ""&amp;Sentiment_Words!A$2:A3730&amp;"" ""
),
1,
0
)
)
)
)"),0.0)</f>
        <v>0</v>
      </c>
      <c r="K1945" s="4">
        <f>IFERROR(__xludf.DUMMYFUNCTION("IF(H1945="""","""",
SUM(
ARRAYFORMULA(
IF(
REGEXMATCH(
"" ""&amp;H1945&amp;"" "",
"" ""&amp;Sentiment_Words!B$2:B3730&amp;"" ""
),
1,
0
)
)
)
)"),0.0)</f>
        <v>0</v>
      </c>
      <c r="L1945" s="7" t="str">
        <f t="shared" si="3"/>
        <v>Other</v>
      </c>
      <c r="M1945" s="7" t="str">
        <f t="shared" si="4"/>
        <v>Neutral</v>
      </c>
      <c r="N1945" s="7" t="str">
        <f>IFERROR(__xludf.DUMMYFUNCTION("LOWER(
TRIM(
REGEXREPLACE(B1945,""[^a-zA-Z\s]"","""")
)
)
"),"sandi lynn dupuy")</f>
        <v>sandi lynn dupuy</v>
      </c>
      <c r="O1945" s="7">
        <f t="shared" si="5"/>
        <v>1</v>
      </c>
      <c r="P1945" s="8" t="str">
        <f t="shared" si="6"/>
        <v>No</v>
      </c>
    </row>
    <row r="1946">
      <c r="A1946" s="4" t="s">
        <v>16</v>
      </c>
      <c r="B1946" s="4" t="s">
        <v>5487</v>
      </c>
      <c r="C1946" s="5">
        <v>44754.0</v>
      </c>
      <c r="D1946" s="10">
        <v>44754.0</v>
      </c>
      <c r="E1946" s="4" t="s">
        <v>5488</v>
      </c>
      <c r="F1946" s="4" t="s">
        <v>5489</v>
      </c>
      <c r="G1946" s="6" t="str">
        <f>IFERROR(__xludf.DUMMYFUNCTION("REGEXREPLACE(LOWER(F1946),""[^a-z\s]"","""")"),"i got what i ordered but it took ten days and a lot of the cans were dented and banged up these days i guess i should be glad that i got my order at all")</f>
        <v>i got what i ordered but it took ten days and a lot of the cans were dented and banged up these days i guess i should be glad that i got my order at all</v>
      </c>
      <c r="H1946" s="4" t="str">
        <f t="shared" si="1"/>
        <v>i got what i ordered but it took ten days a lot of cans were dented banged up these days i guess i should be glad that i got my order at all</v>
      </c>
      <c r="I1946" s="6">
        <f t="shared" si="2"/>
        <v>33</v>
      </c>
      <c r="J1946" s="6">
        <f>IFERROR(__xludf.DUMMYFUNCTION("IF(H1946="""","""",
SUM(
ARRAYFORMULA(
IF(
REGEXMATCH(
"" ""&amp;H1946&amp;"" "",
"" ""&amp;Sentiment_Words!A$2:A3730&amp;"" ""
),
1,
0
)
)
)
)"),0.0)</f>
        <v>0</v>
      </c>
      <c r="K1946" s="4">
        <f>IFERROR(__xludf.DUMMYFUNCTION("IF(H1946="""","""",
SUM(
ARRAYFORMULA(
IF(
REGEXMATCH(
"" ""&amp;H1946&amp;"" "",
"" ""&amp;Sentiment_Words!B$2:B3730&amp;"" ""
),
1,
0
)
)
)
)"),0.0)</f>
        <v>0</v>
      </c>
      <c r="L1946" s="7" t="str">
        <f t="shared" si="3"/>
        <v>Other</v>
      </c>
      <c r="M1946" s="7" t="str">
        <f t="shared" si="4"/>
        <v>Neutral</v>
      </c>
      <c r="N1946" s="7" t="str">
        <f>IFERROR(__xludf.DUMMYFUNCTION("LOWER(
TRIM(
REGEXREPLACE(B1946,""[^a-zA-Z\s]"","""")
)
)
"),"hayley")</f>
        <v>hayley</v>
      </c>
      <c r="O1946" s="7">
        <f t="shared" si="5"/>
        <v>1</v>
      </c>
      <c r="P1946" s="8" t="str">
        <f t="shared" si="6"/>
        <v>No</v>
      </c>
    </row>
    <row r="1947">
      <c r="A1947" s="4" t="s">
        <v>16</v>
      </c>
      <c r="B1947" s="4" t="s">
        <v>1939</v>
      </c>
      <c r="C1947" s="5">
        <v>44754.0</v>
      </c>
      <c r="D1947" s="10">
        <v>44754.0</v>
      </c>
      <c r="E1947" s="4" t="s">
        <v>5490</v>
      </c>
      <c r="F1947" s="4" t="s">
        <v>5491</v>
      </c>
      <c r="G1947" s="6" t="str">
        <f>IFERROR(__xludf.DUMMYFUNCTION("REGEXREPLACE(LOWER(F1947),""[^a-z\s]"","""")"),"i had never heard of this company but decided to use them for their prices i was amazed at how effectively they communicated how quickly the products arrived and the price was better than their competitors i will shop them again for sure")</f>
        <v>i had never heard of this company but decided to use them for their prices i was amazed at how effectively they communicated how quickly the products arrived and the price was better than their competitors i will shop them again for sure</v>
      </c>
      <c r="H1947" s="4" t="str">
        <f t="shared" si="1"/>
        <v>i had never heard of this company but decided use them their prices i was amazed at how effectively they communicated how quickly products arrived price was better than their competitors i will shop them again sure</v>
      </c>
      <c r="I1947" s="6">
        <f t="shared" si="2"/>
        <v>37</v>
      </c>
      <c r="J1947" s="6">
        <f>IFERROR(__xludf.DUMMYFUNCTION("IF(H1947="""","""",
SUM(
ARRAYFORMULA(
IF(
REGEXMATCH(
"" ""&amp;H1947&amp;"" "",
"" ""&amp;Sentiment_Words!A$2:A3730&amp;"" ""
),
1,
0
)
)
)
)"),0.0)</f>
        <v>0</v>
      </c>
      <c r="K1947" s="4">
        <f>IFERROR(__xludf.DUMMYFUNCTION("IF(H1947="""","""",
SUM(
ARRAYFORMULA(
IF(
REGEXMATCH(
"" ""&amp;H1947&amp;"" "",
"" ""&amp;Sentiment_Words!B$2:B3730&amp;"" ""
),
1,
0
)
)
)
)"),0.0)</f>
        <v>0</v>
      </c>
      <c r="L1947" s="7" t="str">
        <f t="shared" si="3"/>
        <v>Other</v>
      </c>
      <c r="M1947" s="7" t="str">
        <f t="shared" si="4"/>
        <v>Neutral</v>
      </c>
      <c r="N1947" s="7" t="str">
        <f>IFERROR(__xludf.DUMMYFUNCTION("LOWER(
TRIM(
REGEXREPLACE(B1947,""[^a-zA-Z\s]"","""")
)
)
"),"jj")</f>
        <v>jj</v>
      </c>
      <c r="O1947" s="7">
        <f t="shared" si="5"/>
        <v>2</v>
      </c>
      <c r="P1947" s="8" t="str">
        <f t="shared" si="6"/>
        <v>Yes</v>
      </c>
    </row>
    <row r="1948">
      <c r="A1948" s="4" t="s">
        <v>16</v>
      </c>
      <c r="B1948" s="4" t="s">
        <v>5492</v>
      </c>
      <c r="C1948" s="5">
        <v>44754.0</v>
      </c>
      <c r="D1948" s="10">
        <v>44754.0</v>
      </c>
      <c r="E1948" s="4" t="s">
        <v>5493</v>
      </c>
      <c r="F1948" s="4" t="s">
        <v>5494</v>
      </c>
      <c r="G1948" s="6" t="str">
        <f>IFERROR(__xludf.DUMMYFUNCTION("REGEXREPLACE(LOWER(F1948),""[^a-z\s]"","""")"),"the price was very good but the delivery was sloppy and careless i came home to find the boxes laying on my lower stair step and on the walkway leading to the stairs they couldve easily been stolen as they were so close to the public sidewalk when i order"&amp;" from other companies they have the courtesy and common sense to leave the packages on the porch hidden behind the shrubs also there was quite a bit of spilled litter for me to clean up since one of the boxes had a tear in the corner so that was annoying "&amp;"for me to have to do")</f>
        <v>the price was very good but the delivery was sloppy and careless i came home to find the boxes laying on my lower stair step and on the walkway leading to the stairs they couldve easily been stolen as they were so close to the public sidewalk when i order from other companies they have the courtesy and common sense to leave the packages on the porch hidden behind the shrubs also there was quite a bit of spilled litter for me to clean up since one of the boxes had a tear in the corner so that was annoying for me to have to do</v>
      </c>
      <c r="H1948" s="4" t="str">
        <f t="shared" si="1"/>
        <v>price was very good but delivery was sloppy careless i came home find boxes laying on my lower stair step on walkway leading stairs they couldve easily been stolen as they were so close public sidewalk when i order from other companies they have courtesy common sense leave packages on porch hidden behind shrubs also there was quite a bit of spilled litter me clean up since one of boxes had a tear in corner so that was annoying me have do</v>
      </c>
      <c r="I1948" s="6">
        <f t="shared" si="2"/>
        <v>82</v>
      </c>
      <c r="J1948" s="6">
        <f>IFERROR(__xludf.DUMMYFUNCTION("IF(H1948="""","""",
SUM(
ARRAYFORMULA(
IF(
REGEXMATCH(
"" ""&amp;H1948&amp;"" "",
"" ""&amp;Sentiment_Words!A$2:A3730&amp;"" ""
),
1,
0
)
)
)
)"),2.0)</f>
        <v>2</v>
      </c>
      <c r="K1948" s="4">
        <f>IFERROR(__xludf.DUMMYFUNCTION("IF(H1948="""","""",
SUM(
ARRAYFORMULA(
IF(
REGEXMATCH(
"" ""&amp;H1948&amp;"" "",
"" ""&amp;Sentiment_Words!B$2:B3730&amp;"" ""
),
1,
0
)
)
)
)"),0.0)</f>
        <v>0</v>
      </c>
      <c r="L1948" s="7" t="str">
        <f t="shared" si="3"/>
        <v>Other</v>
      </c>
      <c r="M1948" s="7" t="str">
        <f t="shared" si="4"/>
        <v>Positive</v>
      </c>
      <c r="N1948" s="7" t="str">
        <f>IFERROR(__xludf.DUMMYFUNCTION("LOWER(
TRIM(
REGEXREPLACE(B1948,""[^a-zA-Z\s]"","""")
)
)
"),"caitlin r")</f>
        <v>caitlin r</v>
      </c>
      <c r="O1948" s="7">
        <f t="shared" si="5"/>
        <v>1</v>
      </c>
      <c r="P1948" s="8" t="str">
        <f t="shared" si="6"/>
        <v>No</v>
      </c>
    </row>
    <row r="1949">
      <c r="A1949" s="4" t="s">
        <v>16</v>
      </c>
      <c r="B1949" s="4" t="s">
        <v>5495</v>
      </c>
      <c r="C1949" s="5">
        <v>44753.0</v>
      </c>
      <c r="D1949" s="10">
        <v>44754.0</v>
      </c>
      <c r="E1949" s="4" t="s">
        <v>5496</v>
      </c>
      <c r="F1949" s="4" t="s">
        <v>5497</v>
      </c>
      <c r="G1949" s="6" t="str">
        <f>IFERROR(__xludf.DUMMYFUNCTION("REGEXREPLACE(LOWER(F1949),""[^a-z\s]"","""")"),"great price but out of stock why take the order in the first place waste of time and effort never coming back")</f>
        <v>great price but out of stock why take the order in the first place waste of time and effort never coming back</v>
      </c>
      <c r="H1949" s="4" t="str">
        <f t="shared" si="1"/>
        <v>great price but out of stock why take order in first place waste of time effort never coming back</v>
      </c>
      <c r="I1949" s="6">
        <f t="shared" si="2"/>
        <v>19</v>
      </c>
      <c r="J1949" s="6">
        <f>IFERROR(__xludf.DUMMYFUNCTION("IF(H1949="""","""",
SUM(
ARRAYFORMULA(
IF(
REGEXMATCH(
"" ""&amp;H1949&amp;"" "",
"" ""&amp;Sentiment_Words!A$2:A3730&amp;"" ""
),
1,
0
)
)
)
)"),1.0)</f>
        <v>1</v>
      </c>
      <c r="K1949" s="4">
        <f>IFERROR(__xludf.DUMMYFUNCTION("IF(H1949="""","""",
SUM(
ARRAYFORMULA(
IF(
REGEXMATCH(
"" ""&amp;H1949&amp;"" "",
"" ""&amp;Sentiment_Words!B$2:B3730&amp;"" ""
),
1,
0
)
)
)
)"),1.0)</f>
        <v>1</v>
      </c>
      <c r="L1949" s="7" t="str">
        <f t="shared" si="3"/>
        <v>Availability</v>
      </c>
      <c r="M1949" s="7" t="str">
        <f t="shared" si="4"/>
        <v>Neutral</v>
      </c>
      <c r="N1949" s="7" t="str">
        <f>IFERROR(__xludf.DUMMYFUNCTION("LOWER(
TRIM(
REGEXREPLACE(B1949,""[^a-zA-Z\s]"","""")
)
)
"),"renato fabbro")</f>
        <v>renato fabbro</v>
      </c>
      <c r="O1949" s="7">
        <f t="shared" si="5"/>
        <v>1</v>
      </c>
      <c r="P1949" s="8" t="str">
        <f t="shared" si="6"/>
        <v>No</v>
      </c>
    </row>
    <row r="1950">
      <c r="A1950" s="4" t="s">
        <v>16</v>
      </c>
      <c r="B1950" s="4" t="s">
        <v>5498</v>
      </c>
      <c r="C1950" s="5">
        <v>44753.0</v>
      </c>
      <c r="D1950" s="10">
        <v>44753.0</v>
      </c>
      <c r="E1950" s="4" t="s">
        <v>5499</v>
      </c>
      <c r="F1950" s="4" t="s">
        <v>5500</v>
      </c>
      <c r="G1950" s="6" t="str">
        <f>IFERROR(__xludf.DUMMYFUNCTION("REGEXREPLACE(LOWER(F1950),""[^a-z\s]"","""")"),"i was very disappointed i ordered a case of hills prescription diet cd canine urinary care chicken  vegetable stew canned dog food and all of sudden it was cancelled")</f>
        <v>i was very disappointed i ordered a case of hills prescription diet cd canine urinary care chicken  vegetable stew canned dog food and all of sudden it was cancelled</v>
      </c>
      <c r="H1950" s="4" t="str">
        <f t="shared" si="1"/>
        <v>i was very disappointed i ordered a case of hills prescription diet cd canine urinary care chicken vegetable stew canned dog food all of sudden it was cancelled</v>
      </c>
      <c r="I1950" s="6">
        <f t="shared" si="2"/>
        <v>28</v>
      </c>
      <c r="J1950" s="6">
        <f>IFERROR(__xludf.DUMMYFUNCTION("IF(H1950="""","""",
SUM(
ARRAYFORMULA(
IF(
REGEXMATCH(
"" ""&amp;H1950&amp;"" "",
"" ""&amp;Sentiment_Words!A$2:A3730&amp;"" ""
),
1,
0
)
)
)
)"),0.0)</f>
        <v>0</v>
      </c>
      <c r="K1950" s="4">
        <f>IFERROR(__xludf.DUMMYFUNCTION("IF(H1950="""","""",
SUM(
ARRAYFORMULA(
IF(
REGEXMATCH(
"" ""&amp;H1950&amp;"" "",
"" ""&amp;Sentiment_Words!B$2:B3730&amp;"" ""
),
1,
0
)
)
)
)"),1.0)</f>
        <v>1</v>
      </c>
      <c r="L1950" s="7" t="str">
        <f t="shared" si="3"/>
        <v>Trust &amp; Experience</v>
      </c>
      <c r="M1950" s="7" t="str">
        <f t="shared" si="4"/>
        <v>Negative</v>
      </c>
      <c r="N1950" s="7" t="str">
        <f>IFERROR(__xludf.DUMMYFUNCTION("LOWER(
TRIM(
REGEXREPLACE(B1950,""[^a-zA-Z\s]"","""")
)
)
"),"rick doctor")</f>
        <v>rick doctor</v>
      </c>
      <c r="O1950" s="7">
        <f t="shared" si="5"/>
        <v>1</v>
      </c>
      <c r="P1950" s="8" t="str">
        <f t="shared" si="6"/>
        <v>No</v>
      </c>
    </row>
    <row r="1951">
      <c r="A1951" s="4" t="s">
        <v>16</v>
      </c>
      <c r="B1951" s="4" t="s">
        <v>5501</v>
      </c>
      <c r="C1951" s="5">
        <v>44753.0</v>
      </c>
      <c r="D1951" s="10">
        <v>44753.0</v>
      </c>
      <c r="E1951" s="4" t="s">
        <v>5502</v>
      </c>
      <c r="F1951" s="4" t="s">
        <v>5503</v>
      </c>
      <c r="G1951" s="6" t="str">
        <f>IFERROR(__xludf.DUMMYFUNCTION("REGEXREPLACE(LOWER(F1951),""[^a-z\s]"","""")"),"they had my cats prescription diet in stock when i couldnt find it anyplace else my order was delivered more quickly than anticipated ill use them again")</f>
        <v>they had my cats prescription diet in stock when i couldnt find it anyplace else my order was delivered more quickly than anticipated ill use them again</v>
      </c>
      <c r="H1951" s="4" t="str">
        <f t="shared" si="1"/>
        <v>they had my cats prescription diet in stock when i couldnt find it anyplace else my order was delivered more quickly than anticipated ill use them again</v>
      </c>
      <c r="I1951" s="6">
        <f t="shared" si="2"/>
        <v>27</v>
      </c>
      <c r="J1951" s="6">
        <f>IFERROR(__xludf.DUMMYFUNCTION("IF(H1951="""","""",
SUM(
ARRAYFORMULA(
IF(
REGEXMATCH(
"" ""&amp;H1951&amp;"" "",
"" ""&amp;Sentiment_Words!A$2:A3730&amp;"" ""
),
1,
0
)
)
)
)"),1.0)</f>
        <v>1</v>
      </c>
      <c r="K1951" s="4">
        <f>IFERROR(__xludf.DUMMYFUNCTION("IF(H1951="""","""",
SUM(
ARRAYFORMULA(
IF(
REGEXMATCH(
"" ""&amp;H1951&amp;"" "",
"" ""&amp;Sentiment_Words!B$2:B3730&amp;"" ""
),
1,
0
)
)
)
)"),0.0)</f>
        <v>0</v>
      </c>
      <c r="L1951" s="7" t="str">
        <f t="shared" si="3"/>
        <v>Other</v>
      </c>
      <c r="M1951" s="7" t="str">
        <f t="shared" si="4"/>
        <v>Positive</v>
      </c>
      <c r="N1951" s="7" t="str">
        <f>IFERROR(__xludf.DUMMYFUNCTION("LOWER(
TRIM(
REGEXREPLACE(B1951,""[^a-zA-Z\s]"","""")
)
)
"),"james badaczewski")</f>
        <v>james badaczewski</v>
      </c>
      <c r="O1951" s="7">
        <f t="shared" si="5"/>
        <v>1</v>
      </c>
      <c r="P1951" s="8" t="str">
        <f t="shared" si="6"/>
        <v>No</v>
      </c>
    </row>
    <row r="1952">
      <c r="A1952" s="4" t="s">
        <v>16</v>
      </c>
      <c r="B1952" s="4" t="s">
        <v>5504</v>
      </c>
      <c r="C1952" s="5">
        <v>44753.0</v>
      </c>
      <c r="D1952" s="10">
        <v>44753.0</v>
      </c>
      <c r="E1952" s="4" t="s">
        <v>5505</v>
      </c>
      <c r="F1952" s="4" t="s">
        <v>5506</v>
      </c>
      <c r="G1952" s="6" t="str">
        <f>IFERROR(__xludf.DUMMYFUNCTION("REGEXREPLACE(LOWER(F1952),""[^a-z\s]"","""")"),"the food was in stock when i ordered it took so long for your people to get the prescription from the vet someone even called me thinking they was calling the vets office it was out of stock so i never got my order it was canceled if i could have gave no "&amp;"stars i would of do yourself a favor and dont waste your time ordering from them")</f>
        <v>the food was in stock when i ordered it took so long for your people to get the prescription from the vet someone even called me thinking they was calling the vets office it was out of stock so i never got my order it was canceled if i could have gave no stars i would of do yourself a favor and dont waste your time ordering from them</v>
      </c>
      <c r="H1952" s="4" t="str">
        <f t="shared" si="1"/>
        <v>food was in stock when i ordered it took so long your people get prescription from vet someone even called me thinking they was calling vets office it was out of stock so i never got my order it was canceled if i could have gave no stars i would of do yourself a favor dont waste your time ordering from them</v>
      </c>
      <c r="I1952" s="6">
        <f t="shared" si="2"/>
        <v>62</v>
      </c>
      <c r="J1952" s="6">
        <f>IFERROR(__xludf.DUMMYFUNCTION("IF(H1952="""","""",
SUM(
ARRAYFORMULA(
IF(
REGEXMATCH(
"" ""&amp;H1952&amp;"" "",
"" ""&amp;Sentiment_Words!A$2:A3730&amp;"" ""
),
1,
0
)
)
)
)"),0.0)</f>
        <v>0</v>
      </c>
      <c r="K1952" s="4">
        <f>IFERROR(__xludf.DUMMYFUNCTION("IF(H1952="""","""",
SUM(
ARRAYFORMULA(
IF(
REGEXMATCH(
"" ""&amp;H1952&amp;"" "",
"" ""&amp;Sentiment_Words!B$2:B3730&amp;"" ""
),
1,
0
)
)
)
)"),1.0)</f>
        <v>1</v>
      </c>
      <c r="L1952" s="7" t="str">
        <f t="shared" si="3"/>
        <v>Availability</v>
      </c>
      <c r="M1952" s="7" t="str">
        <f t="shared" si="4"/>
        <v>Negative</v>
      </c>
      <c r="N1952" s="7" t="str">
        <f>IFERROR(__xludf.DUMMYFUNCTION("LOWER(
TRIM(
REGEXREPLACE(B1952,""[^a-zA-Z\s]"","""")
)
)
"),"jennotjenn")</f>
        <v>jennotjenn</v>
      </c>
      <c r="O1952" s="7">
        <f t="shared" si="5"/>
        <v>1</v>
      </c>
      <c r="P1952" s="8" t="str">
        <f t="shared" si="6"/>
        <v>No</v>
      </c>
    </row>
    <row r="1953">
      <c r="A1953" s="4" t="s">
        <v>16</v>
      </c>
      <c r="B1953" s="4" t="s">
        <v>5507</v>
      </c>
      <c r="C1953" s="5">
        <v>44753.0</v>
      </c>
      <c r="D1953" s="4" t="s">
        <v>5508</v>
      </c>
      <c r="E1953" s="4" t="s">
        <v>5509</v>
      </c>
      <c r="F1953" s="4" t="s">
        <v>5510</v>
      </c>
      <c r="G1953" s="6" t="str">
        <f>IFERROR(__xludf.DUMMYFUNCTION("REGEXREPLACE(LOWER(F1953),""[^a-z\s]"","""")"),"package wasnt taped very securely many of the cans were dinged or dented and worst of all was the godzilla sized cockroach i had to kill when i opened the package will not be using you again")</f>
        <v>package wasnt taped very securely many of the cans were dinged or dented and worst of all was the godzilla sized cockroach i had to kill when i opened the package will not be using you again</v>
      </c>
      <c r="H1953" s="4" t="str">
        <f t="shared" si="1"/>
        <v>package wasnt taped very securely many of cans were dinged or dented worst of all was godzilla sized cockroach i had kill when i opened package will not be using you again</v>
      </c>
      <c r="I1953" s="6">
        <f t="shared" si="2"/>
        <v>32</v>
      </c>
      <c r="J1953" s="6">
        <f>IFERROR(__xludf.DUMMYFUNCTION("IF(H1953="""","""",
SUM(
ARRAYFORMULA(
IF(
REGEXMATCH(
"" ""&amp;H1953&amp;"" "",
"" ""&amp;Sentiment_Words!A$2:A3730&amp;"" ""
),
1,
0
)
)
)
)"),0.0)</f>
        <v>0</v>
      </c>
      <c r="K1953" s="4">
        <f>IFERROR(__xludf.DUMMYFUNCTION("IF(H1953="""","""",
SUM(
ARRAYFORMULA(
IF(
REGEXMATCH(
"" ""&amp;H1953&amp;"" "",
"" ""&amp;Sentiment_Words!B$2:B3730&amp;"" ""
),
1,
0
)
)
)
)"),0.0)</f>
        <v>0</v>
      </c>
      <c r="L1953" s="7" t="str">
        <f t="shared" si="3"/>
        <v>Other</v>
      </c>
      <c r="M1953" s="7" t="str">
        <f t="shared" si="4"/>
        <v>Neutral</v>
      </c>
      <c r="N1953" s="7" t="str">
        <f>IFERROR(__xludf.DUMMYFUNCTION("LOWER(
TRIM(
REGEXREPLACE(B1953,""[^a-zA-Z\s]"","""")
)
)
"),"lisa thompson")</f>
        <v>lisa thompson</v>
      </c>
      <c r="O1953" s="7">
        <f t="shared" si="5"/>
        <v>1</v>
      </c>
      <c r="P1953" s="8" t="str">
        <f t="shared" si="6"/>
        <v>No</v>
      </c>
    </row>
    <row r="1954">
      <c r="A1954" s="4" t="s">
        <v>16</v>
      </c>
      <c r="B1954" s="4" t="s">
        <v>5511</v>
      </c>
      <c r="C1954" s="5">
        <v>44753.0</v>
      </c>
      <c r="D1954" s="10">
        <v>44753.0</v>
      </c>
      <c r="E1954" s="4" t="s">
        <v>5512</v>
      </c>
      <c r="F1954" s="4" t="s">
        <v>5513</v>
      </c>
      <c r="G1954" s="6" t="str">
        <f>IFERROR(__xludf.DUMMYFUNCTION("REGEXREPLACE(LOWER(F1954),""[^a-z\s]"","""")"),"my order arrived on the scheduled date and was complete")</f>
        <v>my order arrived on the scheduled date and was complete</v>
      </c>
      <c r="H1954" s="4" t="str">
        <f t="shared" si="1"/>
        <v>my order arrived on scheduled date was complete</v>
      </c>
      <c r="I1954" s="6">
        <f t="shared" si="2"/>
        <v>8</v>
      </c>
      <c r="J1954" s="6">
        <f>IFERROR(__xludf.DUMMYFUNCTION("IF(H1954="""","""",
SUM(
ARRAYFORMULA(
IF(
REGEXMATCH(
"" ""&amp;H1954&amp;"" "",
"" ""&amp;Sentiment_Words!A$2:A3730&amp;"" ""
),
1,
0
)
)
)
)"),0.0)</f>
        <v>0</v>
      </c>
      <c r="K1954" s="4">
        <f>IFERROR(__xludf.DUMMYFUNCTION("IF(H1954="""","""",
SUM(
ARRAYFORMULA(
IF(
REGEXMATCH(
"" ""&amp;H1954&amp;"" "",
"" ""&amp;Sentiment_Words!B$2:B3730&amp;"" ""
),
1,
0
)
)
)
)"),0.0)</f>
        <v>0</v>
      </c>
      <c r="L1954" s="7" t="str">
        <f t="shared" si="3"/>
        <v>Other</v>
      </c>
      <c r="M1954" s="7" t="str">
        <f t="shared" si="4"/>
        <v>Neutral</v>
      </c>
      <c r="N1954" s="7" t="str">
        <f>IFERROR(__xludf.DUMMYFUNCTION("LOWER(
TRIM(
REGEXREPLACE(B1954,""[^a-zA-Z\s]"","""")
)
)
"),"anne rainey")</f>
        <v>anne rainey</v>
      </c>
      <c r="O1954" s="7">
        <f t="shared" si="5"/>
        <v>1</v>
      </c>
      <c r="P1954" s="8" t="str">
        <f t="shared" si="6"/>
        <v>No</v>
      </c>
    </row>
    <row r="1955">
      <c r="A1955" s="4" t="s">
        <v>16</v>
      </c>
      <c r="B1955" s="4" t="s">
        <v>5514</v>
      </c>
      <c r="C1955" s="5">
        <v>44753.0</v>
      </c>
      <c r="D1955" s="10">
        <v>44753.0</v>
      </c>
      <c r="E1955" s="4" t="s">
        <v>5515</v>
      </c>
      <c r="F1955" s="4" t="s">
        <v>5516</v>
      </c>
      <c r="G1955" s="6" t="str">
        <f>IFERROR(__xludf.DUMMYFUNCTION("REGEXREPLACE(LOWER(F1955),""[^a-z\s]"","""")"),"ive shopped at petflow for years ive always been impressed with the quality of goods the low prices and the fast shipping will do business again")</f>
        <v>ive shopped at petflow for years ive always been impressed with the quality of goods the low prices and the fast shipping will do business again</v>
      </c>
      <c r="H1955" s="4" t="str">
        <f t="shared" si="1"/>
        <v>ive shopped at petflow years ive always been impressed with quality of goods low prices fast shipping will do business again</v>
      </c>
      <c r="I1955" s="6">
        <f t="shared" si="2"/>
        <v>21</v>
      </c>
      <c r="J1955" s="6">
        <f>IFERROR(__xludf.DUMMYFUNCTION("IF(H1955="""","""",
SUM(
ARRAYFORMULA(
IF(
REGEXMATCH(
"" ""&amp;H1955&amp;"" "",
"" ""&amp;Sentiment_Words!A$2:A3730&amp;"" ""
),
1,
0
)
)
)
)"),2.0)</f>
        <v>2</v>
      </c>
      <c r="K1955" s="4">
        <f>IFERROR(__xludf.DUMMYFUNCTION("IF(H1955="""","""",
SUM(
ARRAYFORMULA(
IF(
REGEXMATCH(
"" ""&amp;H1955&amp;"" "",
"" ""&amp;Sentiment_Words!B$2:B3730&amp;"" ""
),
1,
0
)
)
)
)"),0.0)</f>
        <v>0</v>
      </c>
      <c r="L1955" s="7" t="str">
        <f t="shared" si="3"/>
        <v>Service Recovery</v>
      </c>
      <c r="M1955" s="7" t="str">
        <f t="shared" si="4"/>
        <v>Positive</v>
      </c>
      <c r="N1955" s="7" t="str">
        <f>IFERROR(__xludf.DUMMYFUNCTION("LOWER(
TRIM(
REGEXREPLACE(B1955,""[^a-zA-Z\s]"","""")
)
)
"),"c thomas")</f>
        <v>c thomas</v>
      </c>
      <c r="O1955" s="7">
        <f t="shared" si="5"/>
        <v>1</v>
      </c>
      <c r="P1955" s="8" t="str">
        <f t="shared" si="6"/>
        <v>No</v>
      </c>
    </row>
    <row r="1956">
      <c r="A1956" s="4" t="s">
        <v>16</v>
      </c>
      <c r="B1956" s="4" t="s">
        <v>5517</v>
      </c>
      <c r="C1956" s="5">
        <v>44753.0</v>
      </c>
      <c r="D1956" s="10">
        <v>44753.0</v>
      </c>
      <c r="E1956" s="4" t="s">
        <v>5518</v>
      </c>
      <c r="F1956" s="4" t="s">
        <v>331</v>
      </c>
      <c r="G1956" s="6" t="str">
        <f>IFERROR(__xludf.DUMMYFUNCTION("REGEXREPLACE(LOWER(F1956),""[^a-z\s]"","""")"),"none")</f>
        <v>none</v>
      </c>
      <c r="H1956" s="4" t="str">
        <f t="shared" si="1"/>
        <v>none</v>
      </c>
      <c r="I1956" s="6">
        <f t="shared" si="2"/>
        <v>1</v>
      </c>
      <c r="J1956" s="6">
        <f>IFERROR(__xludf.DUMMYFUNCTION("IF(H1956="""","""",
SUM(
ARRAYFORMULA(
IF(
REGEXMATCH(
"" ""&amp;H1956&amp;"" "",
"" ""&amp;Sentiment_Words!A$2:A3730&amp;"" ""
),
1,
0
)
)
)
)"),0.0)</f>
        <v>0</v>
      </c>
      <c r="K1956" s="4">
        <f>IFERROR(__xludf.DUMMYFUNCTION("IF(H1956="""","""",
SUM(
ARRAYFORMULA(
IF(
REGEXMATCH(
"" ""&amp;H1956&amp;"" "",
"" ""&amp;Sentiment_Words!B$2:B3730&amp;"" ""
),
1,
0
)
)
)
)"),0.0)</f>
        <v>0</v>
      </c>
      <c r="L1956" s="7" t="str">
        <f t="shared" si="3"/>
        <v>Other</v>
      </c>
      <c r="M1956" s="7" t="str">
        <f t="shared" si="4"/>
        <v>Neutral</v>
      </c>
      <c r="N1956" s="7" t="str">
        <f>IFERROR(__xludf.DUMMYFUNCTION("LOWER(
TRIM(
REGEXREPLACE(B1956,""[^a-zA-Z\s]"","""")
)
)
"),"norma murphy")</f>
        <v>norma murphy</v>
      </c>
      <c r="O1956" s="7">
        <f t="shared" si="5"/>
        <v>1</v>
      </c>
      <c r="P1956" s="8" t="str">
        <f t="shared" si="6"/>
        <v>No</v>
      </c>
    </row>
    <row r="1957">
      <c r="A1957" s="4" t="s">
        <v>16</v>
      </c>
      <c r="B1957" s="4" t="s">
        <v>2088</v>
      </c>
      <c r="C1957" s="5">
        <v>44753.0</v>
      </c>
      <c r="D1957" s="10">
        <v>44753.0</v>
      </c>
      <c r="E1957" s="4" t="s">
        <v>5519</v>
      </c>
      <c r="F1957" s="4" t="s">
        <v>331</v>
      </c>
      <c r="G1957" s="6" t="str">
        <f>IFERROR(__xludf.DUMMYFUNCTION("REGEXREPLACE(LOWER(F1957),""[^a-z\s]"","""")"),"none")</f>
        <v>none</v>
      </c>
      <c r="H1957" s="4" t="str">
        <f t="shared" si="1"/>
        <v>none</v>
      </c>
      <c r="I1957" s="6">
        <f t="shared" si="2"/>
        <v>1</v>
      </c>
      <c r="J1957" s="6">
        <f>IFERROR(__xludf.DUMMYFUNCTION("IF(H1957="""","""",
SUM(
ARRAYFORMULA(
IF(
REGEXMATCH(
"" ""&amp;H1957&amp;"" "",
"" ""&amp;Sentiment_Words!A$2:A3730&amp;"" ""
),
1,
0
)
)
)
)"),0.0)</f>
        <v>0</v>
      </c>
      <c r="K1957" s="4">
        <f>IFERROR(__xludf.DUMMYFUNCTION("IF(H1957="""","""",
SUM(
ARRAYFORMULA(
IF(
REGEXMATCH(
"" ""&amp;H1957&amp;"" "",
"" ""&amp;Sentiment_Words!B$2:B3730&amp;"" ""
),
1,
0
)
)
)
)"),0.0)</f>
        <v>0</v>
      </c>
      <c r="L1957" s="7" t="str">
        <f t="shared" si="3"/>
        <v>Other</v>
      </c>
      <c r="M1957" s="7" t="str">
        <f t="shared" si="4"/>
        <v>Neutral</v>
      </c>
      <c r="N1957" s="7" t="str">
        <f>IFERROR(__xludf.DUMMYFUNCTION("LOWER(
TRIM(
REGEXREPLACE(B1957,""[^a-zA-Z\s]"","""")
)
)
"),"stephen")</f>
        <v>stephen</v>
      </c>
      <c r="O1957" s="7">
        <f t="shared" si="5"/>
        <v>4</v>
      </c>
      <c r="P1957" s="8" t="str">
        <f t="shared" si="6"/>
        <v>Yes</v>
      </c>
    </row>
    <row r="1958">
      <c r="A1958" s="4" t="s">
        <v>16</v>
      </c>
      <c r="B1958" s="4" t="s">
        <v>5520</v>
      </c>
      <c r="C1958" s="5">
        <v>44752.0</v>
      </c>
      <c r="D1958" s="10">
        <v>44753.0</v>
      </c>
      <c r="E1958" s="4" t="s">
        <v>5521</v>
      </c>
      <c r="F1958" s="4" t="s">
        <v>5522</v>
      </c>
      <c r="G1958" s="6" t="str">
        <f>IFERROR(__xludf.DUMMYFUNCTION("REGEXREPLACE(LOWER(F1958),""[^a-z\s]"","""")"),"it was very disappointing to have my order canceled after the item i purchased was out of stock when i ordered the item it was shown as being in stock a more accurate representation of this would be appreciated considering this is online retail")</f>
        <v>it was very disappointing to have my order canceled after the item i purchased was out of stock when i ordered the item it was shown as being in stock a more accurate representation of this would be appreciated considering this is online retail</v>
      </c>
      <c r="H1958" s="4" t="str">
        <f t="shared" si="1"/>
        <v>it was very disappointing have my order canceled after item i purchased was out of stock when i ordered item it was shown as being in stock a more accurate representation of this would be appreciated considering this online retail</v>
      </c>
      <c r="I1958" s="6">
        <f t="shared" si="2"/>
        <v>40</v>
      </c>
      <c r="J1958" s="6">
        <f>IFERROR(__xludf.DUMMYFUNCTION("IF(H1958="""","""",
SUM(
ARRAYFORMULA(
IF(
REGEXMATCH(
"" ""&amp;H1958&amp;"" "",
"" ""&amp;Sentiment_Words!A$2:A3730&amp;"" ""
),
1,
0
)
)
)
)"),0.0)</f>
        <v>0</v>
      </c>
      <c r="K1958" s="4">
        <f>IFERROR(__xludf.DUMMYFUNCTION("IF(H1958="""","""",
SUM(
ARRAYFORMULA(
IF(
REGEXMATCH(
"" ""&amp;H1958&amp;"" "",
"" ""&amp;Sentiment_Words!B$2:B3730&amp;"" ""
),
1,
0
)
)
)
)"),1.0)</f>
        <v>1</v>
      </c>
      <c r="L1958" s="7" t="str">
        <f t="shared" si="3"/>
        <v>Availability</v>
      </c>
      <c r="M1958" s="7" t="str">
        <f t="shared" si="4"/>
        <v>Negative</v>
      </c>
      <c r="N1958" s="7" t="str">
        <f>IFERROR(__xludf.DUMMYFUNCTION("LOWER(
TRIM(
REGEXREPLACE(B1958,""[^a-zA-Z\s]"","""")
)
)
"),"jason diehl")</f>
        <v>jason diehl</v>
      </c>
      <c r="O1958" s="7">
        <f t="shared" si="5"/>
        <v>1</v>
      </c>
      <c r="P1958" s="8" t="str">
        <f t="shared" si="6"/>
        <v>No</v>
      </c>
    </row>
    <row r="1959">
      <c r="A1959" s="4" t="s">
        <v>16</v>
      </c>
      <c r="B1959" s="4" t="s">
        <v>5045</v>
      </c>
      <c r="C1959" s="5">
        <v>44752.0</v>
      </c>
      <c r="D1959" s="10">
        <v>44752.0</v>
      </c>
      <c r="E1959" s="4" t="s">
        <v>5523</v>
      </c>
      <c r="F1959" s="4" t="s">
        <v>5524</v>
      </c>
      <c r="G1959" s="6" t="str">
        <f>IFERROR(__xludf.DUMMYFUNCTION("REGEXREPLACE(LOWER(F1959),""[^a-z\s]"","""")"),"shopping was easy website easy to navigate prices were good")</f>
        <v>shopping was easy website easy to navigate prices were good</v>
      </c>
      <c r="H1959" s="4" t="str">
        <f t="shared" si="1"/>
        <v>shopping was easy website easy navigate prices were good</v>
      </c>
      <c r="I1959" s="6">
        <f t="shared" si="2"/>
        <v>9</v>
      </c>
      <c r="J1959" s="6">
        <f>IFERROR(__xludf.DUMMYFUNCTION("IF(H1959="""","""",
SUM(
ARRAYFORMULA(
IF(
REGEXMATCH(
"" ""&amp;H1959&amp;"" "",
"" ""&amp;Sentiment_Words!A$2:A3730&amp;"" ""
),
1,
0
)
)
)
)"),2.0)</f>
        <v>2</v>
      </c>
      <c r="K1959" s="4">
        <f>IFERROR(__xludf.DUMMYFUNCTION("IF(H1959="""","""",
SUM(
ARRAYFORMULA(
IF(
REGEXMATCH(
"" ""&amp;H1959&amp;"" "",
"" ""&amp;Sentiment_Words!B$2:B3730&amp;"" ""
),
1,
0
)
)
)
)"),0.0)</f>
        <v>0</v>
      </c>
      <c r="L1959" s="7" t="str">
        <f t="shared" si="3"/>
        <v>Account &amp; Website</v>
      </c>
      <c r="M1959" s="7" t="str">
        <f t="shared" si="4"/>
        <v>Positive</v>
      </c>
      <c r="N1959" s="7" t="str">
        <f>IFERROR(__xludf.DUMMYFUNCTION("LOWER(
TRIM(
REGEXREPLACE(B1959,""[^a-zA-Z\s]"","""")
)
)
"),"francesca")</f>
        <v>francesca</v>
      </c>
      <c r="O1959" s="7">
        <f t="shared" si="5"/>
        <v>2</v>
      </c>
      <c r="P1959" s="8" t="str">
        <f t="shared" si="6"/>
        <v>Yes</v>
      </c>
    </row>
    <row r="1960">
      <c r="A1960" s="4" t="s">
        <v>16</v>
      </c>
      <c r="B1960" s="4" t="s">
        <v>2771</v>
      </c>
      <c r="C1960" s="5">
        <v>44752.0</v>
      </c>
      <c r="D1960" s="10">
        <v>44752.0</v>
      </c>
      <c r="E1960" s="4" t="s">
        <v>5525</v>
      </c>
      <c r="F1960" s="4" t="s">
        <v>5526</v>
      </c>
      <c r="G1960" s="6" t="str">
        <f>IFERROR(__xludf.DUMMYFUNCTION("REGEXREPLACE(LOWER(F1960),""[^a-z\s]"","""")"),"i received my shipment of  bags of dry dog food and found the box they were shipped in crawling with ants one of the bags had a small tear in it which caused the ants i called customer service at petflow and they immediately sent me a new bag to replace t"&amp;"he damaged one  i did not have to send them a picture or send the damaged bag back this is the only time in several years that i have received a damaged baggreat customer service")</f>
        <v>i received my shipment of  bags of dry dog food and found the box they were shipped in crawling with ants one of the bags had a small tear in it which caused the ants i called customer service at petflow and they immediately sent me a new bag to replace the damaged one  i did not have to send them a picture or send the damaged bag back this is the only time in several years that i have received a damaged baggreat customer service</v>
      </c>
      <c r="H1960" s="4" t="str">
        <f t="shared" si="1"/>
        <v>i received my shipment of bags of dry dog food found box they were shipped in crawling with ants one of bags had a small tear in it which caused ants i called customer service at petflow they immediately sent me a new bag replace damaged one i did not have send them a picture or send damaged bag back this only time in several years that i have received a damaged baggreat customer service</v>
      </c>
      <c r="I1960" s="6">
        <f t="shared" si="2"/>
        <v>75</v>
      </c>
      <c r="J1960" s="6">
        <f>IFERROR(__xludf.DUMMYFUNCTION("IF(H1960="""","""",
SUM(
ARRAYFORMULA(
IF(
REGEXMATCH(
"" ""&amp;H1960&amp;"" "",
"" ""&amp;Sentiment_Words!A$2:A3730&amp;"" ""
),
1,
0
)
)
)
)"),2.0)</f>
        <v>2</v>
      </c>
      <c r="K1960" s="4">
        <f>IFERROR(__xludf.DUMMYFUNCTION("IF(H1960="""","""",
SUM(
ARRAYFORMULA(
IF(
REGEXMATCH(
"" ""&amp;H1960&amp;"" "",
"" ""&amp;Sentiment_Words!B$2:B3730&amp;"" ""
),
1,
0
)
)
)
)"),1.0)</f>
        <v>1</v>
      </c>
      <c r="L1960" s="7" t="str">
        <f t="shared" si="3"/>
        <v>Customer Support</v>
      </c>
      <c r="M1960" s="7" t="str">
        <f t="shared" si="4"/>
        <v>Positive</v>
      </c>
      <c r="N1960" s="7" t="str">
        <f>IFERROR(__xludf.DUMMYFUNCTION("LOWER(
TRIM(
REGEXREPLACE(B1960,""[^a-zA-Z\s]"","""")
)
)
"),"brenda")</f>
        <v>brenda</v>
      </c>
      <c r="O1960" s="7">
        <f t="shared" si="5"/>
        <v>7</v>
      </c>
      <c r="P1960" s="8" t="str">
        <f t="shared" si="6"/>
        <v>Yes</v>
      </c>
    </row>
    <row r="1961">
      <c r="A1961" s="4" t="s">
        <v>16</v>
      </c>
      <c r="B1961" s="4" t="s">
        <v>5527</v>
      </c>
      <c r="C1961" s="5">
        <v>44752.0</v>
      </c>
      <c r="D1961" s="10">
        <v>44752.0</v>
      </c>
      <c r="E1961" s="4" t="s">
        <v>5528</v>
      </c>
      <c r="F1961" s="4" t="s">
        <v>5529</v>
      </c>
      <c r="G1961" s="6" t="str">
        <f>IFERROR(__xludf.DUMMYFUNCTION("REGEXREPLACE(LOWER(F1961),""[^a-z\s]"","""")"),"never received what i ordered even though i was charged for it")</f>
        <v>never received what i ordered even though i was charged for it</v>
      </c>
      <c r="H1961" s="4" t="str">
        <f t="shared" si="1"/>
        <v>never received what i ordered even though i was charged it</v>
      </c>
      <c r="I1961" s="6">
        <f t="shared" si="2"/>
        <v>11</v>
      </c>
      <c r="J1961" s="6">
        <f>IFERROR(__xludf.DUMMYFUNCTION("IF(H1961="""","""",
SUM(
ARRAYFORMULA(
IF(
REGEXMATCH(
"" ""&amp;H1961&amp;"" "",
"" ""&amp;Sentiment_Words!A$2:A3730&amp;"" ""
),
1,
0
)
)
)
)"),0.0)</f>
        <v>0</v>
      </c>
      <c r="K1961" s="4">
        <f>IFERROR(__xludf.DUMMYFUNCTION("IF(H1961="""","""",
SUM(
ARRAYFORMULA(
IF(
REGEXMATCH(
"" ""&amp;H1961&amp;"" "",
"" ""&amp;Sentiment_Words!B$2:B3730&amp;"" ""
),
1,
0
)
)
)
)"),0.0)</f>
        <v>0</v>
      </c>
      <c r="L1961" s="7" t="str">
        <f t="shared" si="3"/>
        <v>Other</v>
      </c>
      <c r="M1961" s="7" t="str">
        <f t="shared" si="4"/>
        <v>Neutral</v>
      </c>
      <c r="N1961" s="7" t="str">
        <f>IFERROR(__xludf.DUMMYFUNCTION("LOWER(
TRIM(
REGEXREPLACE(B1961,""[^a-zA-Z\s]"","""")
)
)
"),"barbara chiapetta")</f>
        <v>barbara chiapetta</v>
      </c>
      <c r="O1961" s="7">
        <f t="shared" si="5"/>
        <v>1</v>
      </c>
      <c r="P1961" s="8" t="str">
        <f t="shared" si="6"/>
        <v>No</v>
      </c>
    </row>
    <row r="1962">
      <c r="A1962" s="4" t="s">
        <v>16</v>
      </c>
      <c r="B1962" s="4" t="s">
        <v>5530</v>
      </c>
      <c r="C1962" s="5">
        <v>44752.0</v>
      </c>
      <c r="D1962" s="10">
        <v>44752.0</v>
      </c>
      <c r="E1962" s="4" t="s">
        <v>5531</v>
      </c>
      <c r="F1962" s="4" t="s">
        <v>5532</v>
      </c>
      <c r="G1962" s="6" t="str">
        <f>IFERROR(__xludf.DUMMYFUNCTION("REGEXREPLACE(LOWER(F1962),""[^a-z\s]"","""")"),"i am very happy with the services i receive from pet flo
i do on occasion have difficulty with using the web site it will keep saying my password is in correct")</f>
        <v>i am very happy with the services i receive from pet flo
i do on occasion have difficulty with using the web site it will keep saying my password is in correct</v>
      </c>
      <c r="H1962" s="4" t="str">
        <f t="shared" si="1"/>
        <v>i am very happy with services i receive from pet flo
i do on occasion have difficulty with using web site it will keep saying my password in correct</v>
      </c>
      <c r="I1962" s="6">
        <f t="shared" si="2"/>
        <v>28</v>
      </c>
      <c r="J1962" s="6">
        <f>IFERROR(__xludf.DUMMYFUNCTION("IF(H1962="""","""",
SUM(
ARRAYFORMULA(
IF(
REGEXMATCH(
"" ""&amp;H1962&amp;"" "",
"" ""&amp;Sentiment_Words!A$2:A3730&amp;"" ""
),
1,
0
)
)
)
)"),1.0)</f>
        <v>1</v>
      </c>
      <c r="K1962" s="4">
        <f>IFERROR(__xludf.DUMMYFUNCTION("IF(H1962="""","""",
SUM(
ARRAYFORMULA(
IF(
REGEXMATCH(
"" ""&amp;H1962&amp;"" "",
"" ""&amp;Sentiment_Words!B$2:B3730&amp;"" ""
),
1,
0
)
)
)
)"),0.0)</f>
        <v>0</v>
      </c>
      <c r="L1962" s="7" t="str">
        <f t="shared" si="3"/>
        <v>Customer Support</v>
      </c>
      <c r="M1962" s="7" t="str">
        <f t="shared" si="4"/>
        <v>Positive</v>
      </c>
      <c r="N1962" s="7" t="str">
        <f>IFERROR(__xludf.DUMMYFUNCTION("LOWER(
TRIM(
REGEXREPLACE(B1962,""[^a-zA-Z\s]"","""")
)
)
"),"jl")</f>
        <v>jl</v>
      </c>
      <c r="O1962" s="7">
        <f t="shared" si="5"/>
        <v>1</v>
      </c>
      <c r="P1962" s="8" t="str">
        <f t="shared" si="6"/>
        <v>No</v>
      </c>
    </row>
    <row r="1963">
      <c r="A1963" s="4" t="s">
        <v>16</v>
      </c>
      <c r="B1963" s="4" t="s">
        <v>5384</v>
      </c>
      <c r="C1963" s="5">
        <v>44752.0</v>
      </c>
      <c r="D1963" s="10">
        <v>44752.0</v>
      </c>
      <c r="E1963" s="4" t="s">
        <v>5533</v>
      </c>
      <c r="F1963" s="4" t="s">
        <v>5534</v>
      </c>
      <c r="G1963" s="6" t="str">
        <f>IFERROR(__xludf.DUMMYFUNCTION("REGEXREPLACE(LOWER(F1963),""[^a-z\s]"","""")"),"i ordered puppy food and was given tracking in less than  days shipment was fast and efficient")</f>
        <v>i ordered puppy food and was given tracking in less than  days shipment was fast and efficient</v>
      </c>
      <c r="H1963" s="4" t="str">
        <f t="shared" si="1"/>
        <v>i ordered puppy food was given tracking in less than days shipment was fast efficient</v>
      </c>
      <c r="I1963" s="6">
        <f t="shared" si="2"/>
        <v>15</v>
      </c>
      <c r="J1963" s="6">
        <f>IFERROR(__xludf.DUMMYFUNCTION("IF(H1963="""","""",
SUM(
ARRAYFORMULA(
IF(
REGEXMATCH(
"" ""&amp;H1963&amp;"" "",
"" ""&amp;Sentiment_Words!A$2:A3730&amp;"" ""
),
1,
0
)
)
)
)"),2.0)</f>
        <v>2</v>
      </c>
      <c r="K1963" s="4">
        <f>IFERROR(__xludf.DUMMYFUNCTION("IF(H1963="""","""",
SUM(
ARRAYFORMULA(
IF(
REGEXMATCH(
"" ""&amp;H1963&amp;"" "",
"" ""&amp;Sentiment_Words!B$2:B3730&amp;"" ""
),
1,
0
)
)
)
)"),0.0)</f>
        <v>0</v>
      </c>
      <c r="L1963" s="7" t="str">
        <f t="shared" si="3"/>
        <v>Other</v>
      </c>
      <c r="M1963" s="7" t="str">
        <f t="shared" si="4"/>
        <v>Positive</v>
      </c>
      <c r="N1963" s="7" t="str">
        <f>IFERROR(__xludf.DUMMYFUNCTION("LOWER(
TRIM(
REGEXREPLACE(B1963,""[^a-zA-Z\s]"","""")
)
)
"),"cheryl")</f>
        <v>cheryl</v>
      </c>
      <c r="O1963" s="7">
        <f t="shared" si="5"/>
        <v>5</v>
      </c>
      <c r="P1963" s="8" t="str">
        <f t="shared" si="6"/>
        <v>Yes</v>
      </c>
    </row>
    <row r="1964">
      <c r="A1964" s="4" t="s">
        <v>16</v>
      </c>
      <c r="B1964" s="4" t="s">
        <v>2285</v>
      </c>
      <c r="C1964" s="5">
        <v>44752.0</v>
      </c>
      <c r="D1964" s="10">
        <v>44752.0</v>
      </c>
      <c r="E1964" s="4" t="s">
        <v>5535</v>
      </c>
      <c r="F1964" s="4" t="s">
        <v>5536</v>
      </c>
      <c r="G1964" s="6" t="str">
        <f>IFERROR(__xludf.DUMMYFUNCTION("REGEXREPLACE(LOWER(F1964),""[^a-z\s]"","""")"),"had what i needed fast shipping")</f>
        <v>had what i needed fast shipping</v>
      </c>
      <c r="H1964" s="4" t="str">
        <f t="shared" si="1"/>
        <v>had what i needed fast shipping</v>
      </c>
      <c r="I1964" s="6">
        <f t="shared" si="2"/>
        <v>6</v>
      </c>
      <c r="J1964" s="6">
        <f>IFERROR(__xludf.DUMMYFUNCTION("IF(H1964="""","""",
SUM(
ARRAYFORMULA(
IF(
REGEXMATCH(
"" ""&amp;H1964&amp;"" "",
"" ""&amp;Sentiment_Words!A$2:A3730&amp;"" ""
),
1,
0
)
)
)
)"),1.0)</f>
        <v>1</v>
      </c>
      <c r="K1964" s="4">
        <f>IFERROR(__xludf.DUMMYFUNCTION("IF(H1964="""","""",
SUM(
ARRAYFORMULA(
IF(
REGEXMATCH(
"" ""&amp;H1964&amp;"" "",
"" ""&amp;Sentiment_Words!B$2:B3730&amp;"" ""
),
1,
0
)
)
)
)"),0.0)</f>
        <v>0</v>
      </c>
      <c r="L1964" s="7" t="str">
        <f t="shared" si="3"/>
        <v>Other</v>
      </c>
      <c r="M1964" s="7" t="str">
        <f t="shared" si="4"/>
        <v>Positive</v>
      </c>
      <c r="N1964" s="7" t="str">
        <f>IFERROR(__xludf.DUMMYFUNCTION("LOWER(
TRIM(
REGEXREPLACE(B1964,""[^a-zA-Z\s]"","""")
)
)
"),"linda")</f>
        <v>linda</v>
      </c>
      <c r="O1964" s="7">
        <f t="shared" si="5"/>
        <v>10</v>
      </c>
      <c r="P1964" s="8" t="str">
        <f t="shared" si="6"/>
        <v>Yes</v>
      </c>
    </row>
    <row r="1965">
      <c r="A1965" s="4" t="s">
        <v>16</v>
      </c>
      <c r="B1965" s="4" t="s">
        <v>5537</v>
      </c>
      <c r="C1965" s="5">
        <v>44752.0</v>
      </c>
      <c r="D1965" s="10">
        <v>44752.0</v>
      </c>
      <c r="E1965" s="4" t="s">
        <v>5538</v>
      </c>
      <c r="F1965" s="4" t="s">
        <v>5539</v>
      </c>
      <c r="G1965" s="6" t="str">
        <f>IFERROR(__xludf.DUMMYFUNCTION("REGEXREPLACE(LOWER(F1965),""[^a-z\s]"","""")"),"i was impressed by how fast i got that items i ordered and that they were available for auto ship now my three babies will never have to be without their chews ")</f>
        <v>i was impressed by how fast i got that items i ordered and that they were available for auto ship now my three babies will never have to be without their chews </v>
      </c>
      <c r="H1965" s="4" t="str">
        <f t="shared" si="1"/>
        <v>i was impressed by how fast i got that items i ordered that they were available auto ship now my three babies will never have be without their chews</v>
      </c>
      <c r="I1965" s="6">
        <f t="shared" si="2"/>
        <v>29</v>
      </c>
      <c r="J1965" s="6">
        <f>IFERROR(__xludf.DUMMYFUNCTION("IF(H1965="""","""",
SUM(
ARRAYFORMULA(
IF(
REGEXMATCH(
"" ""&amp;H1965&amp;"" "",
"" ""&amp;Sentiment_Words!A$2:A3730&amp;"" ""
),
1,
0
)
)
)
)"),4.0)</f>
        <v>4</v>
      </c>
      <c r="K1965" s="4">
        <f>IFERROR(__xludf.DUMMYFUNCTION("IF(H1965="""","""",
SUM(
ARRAYFORMULA(
IF(
REGEXMATCH(
"" ""&amp;H1965&amp;"" "",
"" ""&amp;Sentiment_Words!B$2:B3730&amp;"" ""
),
1,
0
)
)
)
)"),0.0)</f>
        <v>0</v>
      </c>
      <c r="L1965" s="7" t="str">
        <f t="shared" si="3"/>
        <v>Service Recovery</v>
      </c>
      <c r="M1965" s="7" t="str">
        <f t="shared" si="4"/>
        <v>Positive</v>
      </c>
      <c r="N1965" s="7" t="str">
        <f>IFERROR(__xludf.DUMMYFUNCTION("LOWER(
TRIM(
REGEXREPLACE(B1965,""[^a-zA-Z\s]"","""")
)
)
"),"cr simmons")</f>
        <v>cr simmons</v>
      </c>
      <c r="O1965" s="7">
        <f t="shared" si="5"/>
        <v>1</v>
      </c>
      <c r="P1965" s="8" t="str">
        <f t="shared" si="6"/>
        <v>No</v>
      </c>
    </row>
    <row r="1966">
      <c r="A1966" s="4" t="s">
        <v>16</v>
      </c>
      <c r="B1966" s="4" t="s">
        <v>5540</v>
      </c>
      <c r="C1966" s="5">
        <v>44752.0</v>
      </c>
      <c r="D1966" s="10">
        <v>44752.0</v>
      </c>
      <c r="E1966" s="4" t="s">
        <v>5541</v>
      </c>
      <c r="F1966" s="4" t="s">
        <v>5542</v>
      </c>
      <c r="G1966" s="6" t="str">
        <f>IFERROR(__xludf.DUMMYFUNCTION("REGEXREPLACE(LOWER(F1966),""[^a-z\s]"","""")"),"i have a late shipment of cat litter twice now i know shipping and supplies are messed up in our country so i understand what i dont understand is why you system doesnt alert you that the product is not in stock so you can let me know before my delivery s"&amp;"hould be here instead of on the day it should ship i have been a loyal customer for several years now")</f>
        <v>i have a late shipment of cat litter twice now i know shipping and supplies are messed up in our country so i understand what i dont understand is why you system doesnt alert you that the product is not in stock so you can let me know before my delivery should be here instead of on the day it should ship i have been a loyal customer for several years now</v>
      </c>
      <c r="H1966" s="4" t="str">
        <f t="shared" si="1"/>
        <v>i have a late shipment of cat litter twice now i know shipping supplies are messed up in our country so i understand what i dont understand why you system doesnt alert you that product not in stock so you can let me know before my delivery should be here instead of on day it should ship i have been a loyal customer several years now</v>
      </c>
      <c r="I1966" s="6">
        <f t="shared" si="2"/>
        <v>66</v>
      </c>
      <c r="J1966" s="6">
        <f>IFERROR(__xludf.DUMMYFUNCTION("IF(H1966="""","""",
SUM(
ARRAYFORMULA(
IF(
REGEXMATCH(
"" ""&amp;H1966&amp;"" "",
"" ""&amp;Sentiment_Words!A$2:A3730&amp;"" ""
),
1,
0
)
)
)
)"),0.0)</f>
        <v>0</v>
      </c>
      <c r="K1966" s="4">
        <f>IFERROR(__xludf.DUMMYFUNCTION("IF(H1966="""","""",
SUM(
ARRAYFORMULA(
IF(
REGEXMATCH(
"" ""&amp;H1966&amp;"" "",
"" ""&amp;Sentiment_Words!B$2:B3730&amp;"" ""
),
1,
0
)
)
)
)"),0.0)</f>
        <v>0</v>
      </c>
      <c r="L1966" s="7" t="str">
        <f t="shared" si="3"/>
        <v>Fulfillment &amp; Shipping</v>
      </c>
      <c r="M1966" s="7" t="str">
        <f t="shared" si="4"/>
        <v>Neutral</v>
      </c>
      <c r="N1966" s="7" t="str">
        <f>IFERROR(__xludf.DUMMYFUNCTION("LOWER(
TRIM(
REGEXREPLACE(B1966,""[^a-zA-Z\s]"","""")
)
)
"),"pam schiller")</f>
        <v>pam schiller</v>
      </c>
      <c r="O1966" s="7">
        <f t="shared" si="5"/>
        <v>1</v>
      </c>
      <c r="P1966" s="8" t="str">
        <f t="shared" si="6"/>
        <v>No</v>
      </c>
    </row>
    <row r="1967">
      <c r="A1967" s="4" t="s">
        <v>16</v>
      </c>
      <c r="B1967" s="4" t="s">
        <v>5543</v>
      </c>
      <c r="C1967" s="5">
        <v>44752.0</v>
      </c>
      <c r="D1967" s="10">
        <v>44752.0</v>
      </c>
      <c r="E1967" s="4" t="s">
        <v>5544</v>
      </c>
      <c r="F1967" s="4" t="s">
        <v>5545</v>
      </c>
      <c r="G1967" s="6" t="str">
        <f>IFERROR(__xludf.DUMMYFUNCTION("REGEXREPLACE(LOWER(F1967),""[^a-z\s]"","""")"),"great price and good product my cat and i are happy thank you")</f>
        <v>great price and good product my cat and i are happy thank you</v>
      </c>
      <c r="H1967" s="4" t="str">
        <f t="shared" si="1"/>
        <v>great price good product my cat i are happy thank you</v>
      </c>
      <c r="I1967" s="6">
        <f t="shared" si="2"/>
        <v>11</v>
      </c>
      <c r="J1967" s="6">
        <f>IFERROR(__xludf.DUMMYFUNCTION("IF(H1967="""","""",
SUM(
ARRAYFORMULA(
IF(
REGEXMATCH(
"" ""&amp;H1967&amp;"" "",
"" ""&amp;Sentiment_Words!A$2:A3730&amp;"" ""
),
1,
0
)
)
)
)"),3.0)</f>
        <v>3</v>
      </c>
      <c r="K1967" s="4">
        <f>IFERROR(__xludf.DUMMYFUNCTION("IF(H1967="""","""",
SUM(
ARRAYFORMULA(
IF(
REGEXMATCH(
"" ""&amp;H1967&amp;"" "",
"" ""&amp;Sentiment_Words!B$2:B3730&amp;"" ""
),
1,
0
)
)
)
)"),0.0)</f>
        <v>0</v>
      </c>
      <c r="L1967" s="7" t="str">
        <f t="shared" si="3"/>
        <v>Other</v>
      </c>
      <c r="M1967" s="7" t="str">
        <f t="shared" si="4"/>
        <v>Positive</v>
      </c>
      <c r="N1967" s="7" t="str">
        <f>IFERROR(__xludf.DUMMYFUNCTION("LOWER(
TRIM(
REGEXREPLACE(B1967,""[^a-zA-Z\s]"","""")
)
)
"),"eileen")</f>
        <v>eileen</v>
      </c>
      <c r="O1967" s="7">
        <f t="shared" si="5"/>
        <v>1</v>
      </c>
      <c r="P1967" s="8" t="str">
        <f t="shared" si="6"/>
        <v>No</v>
      </c>
    </row>
    <row r="1968">
      <c r="A1968" s="4" t="s">
        <v>16</v>
      </c>
      <c r="B1968" s="4" t="s">
        <v>5546</v>
      </c>
      <c r="C1968" s="5">
        <v>44752.0</v>
      </c>
      <c r="D1968" s="10">
        <v>44752.0</v>
      </c>
      <c r="E1968" s="4" t="s">
        <v>5547</v>
      </c>
      <c r="F1968" s="4" t="s">
        <v>5548</v>
      </c>
      <c r="G1968" s="6" t="str">
        <f>IFERROR(__xludf.DUMMYFUNCTION("REGEXREPLACE(LOWER(F1968),""[^a-z\s]"","""")"),"i order on a regular basis i receive my order within a couple of days of placing it never disappointed")</f>
        <v>i order on a regular basis i receive my order within a couple of days of placing it never disappointed</v>
      </c>
      <c r="H1968" s="4" t="str">
        <f t="shared" si="1"/>
        <v>i order on a regular basis i receive my order within a couple of days of placing it never disappointed</v>
      </c>
      <c r="I1968" s="6">
        <f t="shared" si="2"/>
        <v>20</v>
      </c>
      <c r="J1968" s="6">
        <f>IFERROR(__xludf.DUMMYFUNCTION("IF(H1968="""","""",
SUM(
ARRAYFORMULA(
IF(
REGEXMATCH(
"" ""&amp;H1968&amp;"" "",
"" ""&amp;Sentiment_Words!A$2:A3730&amp;"" ""
),
1,
0
)
)
)
)"),0.0)</f>
        <v>0</v>
      </c>
      <c r="K1968" s="4">
        <f>IFERROR(__xludf.DUMMYFUNCTION("IF(H1968="""","""",
SUM(
ARRAYFORMULA(
IF(
REGEXMATCH(
"" ""&amp;H1968&amp;"" "",
"" ""&amp;Sentiment_Words!B$2:B3730&amp;"" ""
),
1,
0
)
)
)
)"),0.0)</f>
        <v>0</v>
      </c>
      <c r="L1968" s="7" t="str">
        <f t="shared" si="3"/>
        <v>Trust &amp; Experience</v>
      </c>
      <c r="M1968" s="7" t="str">
        <f t="shared" si="4"/>
        <v>Neutral</v>
      </c>
      <c r="N1968" s="7" t="str">
        <f>IFERROR(__xludf.DUMMYFUNCTION("LOWER(
TRIM(
REGEXREPLACE(B1968,""[^a-zA-Z\s]"","""")
)
)
"),"cathy alire")</f>
        <v>cathy alire</v>
      </c>
      <c r="O1968" s="7">
        <f t="shared" si="5"/>
        <v>1</v>
      </c>
      <c r="P1968" s="8" t="str">
        <f t="shared" si="6"/>
        <v>No</v>
      </c>
    </row>
    <row r="1969">
      <c r="A1969" s="4" t="s">
        <v>16</v>
      </c>
      <c r="B1969" s="4" t="s">
        <v>5549</v>
      </c>
      <c r="C1969" s="5">
        <v>44752.0</v>
      </c>
      <c r="D1969" s="10">
        <v>44752.0</v>
      </c>
      <c r="E1969" s="4" t="s">
        <v>5550</v>
      </c>
      <c r="F1969" s="4" t="s">
        <v>5551</v>
      </c>
      <c r="G1969" s="6" t="str">
        <f>IFERROR(__xludf.DUMMYFUNCTION("REGEXREPLACE(LOWER(F1969),""[^a-z\s]"","""")"),"petflow had the prescription dog food that two of my vets could not get shipping was quick and the price competitive")</f>
        <v>petflow had the prescription dog food that two of my vets could not get shipping was quick and the price competitive</v>
      </c>
      <c r="H1969" s="4" t="str">
        <f t="shared" si="1"/>
        <v>petflow had prescription dog food that two of my vets could not get shipping was quick price competitive</v>
      </c>
      <c r="I1969" s="6">
        <f t="shared" si="2"/>
        <v>18</v>
      </c>
      <c r="J1969" s="6">
        <f>IFERROR(__xludf.DUMMYFUNCTION("IF(H1969="""","""",
SUM(
ARRAYFORMULA(
IF(
REGEXMATCH(
"" ""&amp;H1969&amp;"" "",
"" ""&amp;Sentiment_Words!A$2:A3730&amp;"" ""
),
1,
0
)
)
)
)"),0.0)</f>
        <v>0</v>
      </c>
      <c r="K1969" s="4">
        <f>IFERROR(__xludf.DUMMYFUNCTION("IF(H1969="""","""",
SUM(
ARRAYFORMULA(
IF(
REGEXMATCH(
"" ""&amp;H1969&amp;"" "",
"" ""&amp;Sentiment_Words!B$2:B3730&amp;"" ""
),
1,
0
)
)
)
)"),0.0)</f>
        <v>0</v>
      </c>
      <c r="L1969" s="7" t="str">
        <f t="shared" si="3"/>
        <v>Other</v>
      </c>
      <c r="M1969" s="7" t="str">
        <f t="shared" si="4"/>
        <v>Neutral</v>
      </c>
      <c r="N1969" s="7" t="str">
        <f>IFERROR(__xludf.DUMMYFUNCTION("LOWER(
TRIM(
REGEXREPLACE(B1969,""[^a-zA-Z\s]"","""")
)
)
"),"glenn singer")</f>
        <v>glenn singer</v>
      </c>
      <c r="O1969" s="7">
        <f t="shared" si="5"/>
        <v>1</v>
      </c>
      <c r="P1969" s="8" t="str">
        <f t="shared" si="6"/>
        <v>No</v>
      </c>
    </row>
    <row r="1970">
      <c r="A1970" s="4" t="s">
        <v>16</v>
      </c>
      <c r="B1970" s="4" t="s">
        <v>5552</v>
      </c>
      <c r="C1970" s="5">
        <v>44752.0</v>
      </c>
      <c r="D1970" s="10">
        <v>44752.0</v>
      </c>
      <c r="E1970" s="4" t="s">
        <v>5553</v>
      </c>
      <c r="F1970" s="4" t="s">
        <v>5554</v>
      </c>
      <c r="G1970" s="6" t="str">
        <f>IFERROR(__xludf.DUMMYFUNCTION("REGEXREPLACE(LOWER(F1970),""[^a-z\s]"","""")"),"i was looking for the cheapest price on our puppy food i came across petflow and was excited you carried both brands of food for our gigi girl and new pup miles and they both can be delivered right to our front door i immediately enrolled in your autoship"&amp;"  i also love that you are a small company ")</f>
        <v>i was looking for the cheapest price on our puppy food i came across petflow and was excited you carried both brands of food for our gigi girl and new pup miles and they both can be delivered right to our front door i immediately enrolled in your autoship  i also love that you are a small company </v>
      </c>
      <c r="H1970" s="4" t="str">
        <f t="shared" si="1"/>
        <v>i was looking cheapest price on our puppy food i came across petflow was excited you carried both brands of food our gigi girl new pup miles they both can be delivered right our front door i immediately enrolled in your autoship i also love that you are a small company</v>
      </c>
      <c r="I1970" s="6">
        <f t="shared" si="2"/>
        <v>51</v>
      </c>
      <c r="J1970" s="6">
        <f>IFERROR(__xludf.DUMMYFUNCTION("IF(H1970="""","""",
SUM(
ARRAYFORMULA(
IF(
REGEXMATCH(
"" ""&amp;H1970&amp;"" "",
"" ""&amp;Sentiment_Words!A$2:A3730&amp;"" ""
),
1,
0
)
)
)
)"),3.0)</f>
        <v>3</v>
      </c>
      <c r="K1970" s="4">
        <f>IFERROR(__xludf.DUMMYFUNCTION("IF(H1970="""","""",
SUM(
ARRAYFORMULA(
IF(
REGEXMATCH(
"" ""&amp;H1970&amp;"" "",
"" ""&amp;Sentiment_Words!B$2:B3730&amp;"" ""
),
1,
0
)
)
)
)"),0.0)</f>
        <v>0</v>
      </c>
      <c r="L1970" s="7" t="str">
        <f t="shared" si="3"/>
        <v>Other</v>
      </c>
      <c r="M1970" s="7" t="str">
        <f t="shared" si="4"/>
        <v>Positive</v>
      </c>
      <c r="N1970" s="7" t="str">
        <f>IFERROR(__xludf.DUMMYFUNCTION("LOWER(
TRIM(
REGEXREPLACE(B1970,""[^a-zA-Z\s]"","""")
)
)
"),"linda schuhmacher")</f>
        <v>linda schuhmacher</v>
      </c>
      <c r="O1970" s="7">
        <f t="shared" si="5"/>
        <v>1</v>
      </c>
      <c r="P1970" s="8" t="str">
        <f t="shared" si="6"/>
        <v>No</v>
      </c>
    </row>
    <row r="1971">
      <c r="A1971" s="4" t="s">
        <v>16</v>
      </c>
      <c r="B1971" s="4" t="s">
        <v>5555</v>
      </c>
      <c r="C1971" s="5">
        <v>44752.0</v>
      </c>
      <c r="D1971" s="10">
        <v>44752.0</v>
      </c>
      <c r="E1971" s="4" t="s">
        <v>5556</v>
      </c>
      <c r="F1971" s="4" t="s">
        <v>5557</v>
      </c>
      <c r="G1971" s="6" t="str">
        <f>IFERROR(__xludf.DUMMYFUNCTION("REGEXREPLACE(LOWER(F1971),""[^a-z\s]"","""")"),"prices are great and shipping is fast and on time my only criticism is the packing for shipping cans are arriving dented and boxes are often partially opened from not being taped properly overall very happy and will still keep shopping ")</f>
        <v>prices are great and shipping is fast and on time my only criticism is the packing for shipping cans are arriving dented and boxes are often partially opened from not being taped properly overall very happy and will still keep shopping </v>
      </c>
      <c r="H1971" s="4" t="str">
        <f t="shared" si="1"/>
        <v>prices are great shipping fast on time my only criticism packing shipping cans are arriving dented boxes are often partially opened from not being taped properly overall very happy will still keep shopping</v>
      </c>
      <c r="I1971" s="6">
        <f t="shared" si="2"/>
        <v>33</v>
      </c>
      <c r="J1971" s="6">
        <f>IFERROR(__xludf.DUMMYFUNCTION("IF(H1971="""","""",
SUM(
ARRAYFORMULA(
IF(
REGEXMATCH(
"" ""&amp;H1971&amp;"" "",
"" ""&amp;Sentiment_Words!A$2:A3730&amp;"" ""
),
1,
0
)
)
)
)"),4.0)</f>
        <v>4</v>
      </c>
      <c r="K1971" s="4">
        <f>IFERROR(__xludf.DUMMYFUNCTION("IF(H1971="""","""",
SUM(
ARRAYFORMULA(
IF(
REGEXMATCH(
"" ""&amp;H1971&amp;"" "",
"" ""&amp;Sentiment_Words!B$2:B3730&amp;"" ""
),
1,
0
)
)
)
)"),0.0)</f>
        <v>0</v>
      </c>
      <c r="L1971" s="7" t="str">
        <f t="shared" si="3"/>
        <v>Other</v>
      </c>
      <c r="M1971" s="7" t="str">
        <f t="shared" si="4"/>
        <v>Positive</v>
      </c>
      <c r="N1971" s="7" t="str">
        <f>IFERROR(__xludf.DUMMYFUNCTION("LOWER(
TRIM(
REGEXREPLACE(B1971,""[^a-zA-Z\s]"","""")
)
)
"),"carolynf")</f>
        <v>carolynf</v>
      </c>
      <c r="O1971" s="7">
        <f t="shared" si="5"/>
        <v>1</v>
      </c>
      <c r="P1971" s="8" t="str">
        <f t="shared" si="6"/>
        <v>No</v>
      </c>
    </row>
    <row r="1972">
      <c r="A1972" s="4" t="s">
        <v>16</v>
      </c>
      <c r="B1972" s="4" t="s">
        <v>5558</v>
      </c>
      <c r="C1972" s="5">
        <v>44752.0</v>
      </c>
      <c r="D1972" s="10">
        <v>44752.0</v>
      </c>
      <c r="E1972" s="4" t="s">
        <v>5559</v>
      </c>
      <c r="F1972" s="4" t="s">
        <v>5560</v>
      </c>
      <c r="G1972" s="6" t="str">
        <f>IFERROR(__xludf.DUMMYFUNCTION("REGEXREPLACE(LOWER(F1972),""[^a-z\s]"","""")"),"received food promptly well packaged and in good condition")</f>
        <v>received food promptly well packaged and in good condition</v>
      </c>
      <c r="H1972" s="4" t="str">
        <f t="shared" si="1"/>
        <v>received food promptly well packaged in good condition</v>
      </c>
      <c r="I1972" s="6">
        <f t="shared" si="2"/>
        <v>8</v>
      </c>
      <c r="J1972" s="6">
        <f>IFERROR(__xludf.DUMMYFUNCTION("IF(H1972="""","""",
SUM(
ARRAYFORMULA(
IF(
REGEXMATCH(
"" ""&amp;H1972&amp;"" "",
"" ""&amp;Sentiment_Words!A$2:A3730&amp;"" ""
),
1,
0
)
)
)
)"),1.0)</f>
        <v>1</v>
      </c>
      <c r="K1972" s="4">
        <f>IFERROR(__xludf.DUMMYFUNCTION("IF(H1972="""","""",
SUM(
ARRAYFORMULA(
IF(
REGEXMATCH(
"" ""&amp;H1972&amp;"" "",
"" ""&amp;Sentiment_Words!B$2:B3730&amp;"" ""
),
1,
0
)
)
)
)"),0.0)</f>
        <v>0</v>
      </c>
      <c r="L1972" s="7" t="str">
        <f t="shared" si="3"/>
        <v>Other</v>
      </c>
      <c r="M1972" s="7" t="str">
        <f t="shared" si="4"/>
        <v>Positive</v>
      </c>
      <c r="N1972" s="7" t="str">
        <f>IFERROR(__xludf.DUMMYFUNCTION("LOWER(
TRIM(
REGEXREPLACE(B1972,""[^a-zA-Z\s]"","""")
)
)
"),"ana")</f>
        <v>ana</v>
      </c>
      <c r="O1972" s="7">
        <f t="shared" si="5"/>
        <v>1</v>
      </c>
      <c r="P1972" s="8" t="str">
        <f t="shared" si="6"/>
        <v>No</v>
      </c>
    </row>
    <row r="1973">
      <c r="A1973" s="4" t="s">
        <v>16</v>
      </c>
      <c r="B1973" s="4" t="s">
        <v>5561</v>
      </c>
      <c r="C1973" s="5">
        <v>44752.0</v>
      </c>
      <c r="D1973" s="10">
        <v>44752.0</v>
      </c>
      <c r="E1973" s="4" t="s">
        <v>5562</v>
      </c>
      <c r="F1973" s="4" t="s">
        <v>5563</v>
      </c>
      <c r="G1973" s="6" t="str">
        <f>IFERROR(__xludf.DUMMYFUNCTION("REGEXREPLACE(LOWER(F1973),""[^a-z\s]"","""")"),"petflow has the cat food that i prefer many other vendors do not carry it")</f>
        <v>petflow has the cat food that i prefer many other vendors do not carry it</v>
      </c>
      <c r="H1973" s="4" t="str">
        <f t="shared" si="1"/>
        <v>petflow has cat food that i prefer many other vendors do not carry it</v>
      </c>
      <c r="I1973" s="6">
        <f t="shared" si="2"/>
        <v>14</v>
      </c>
      <c r="J1973" s="6">
        <f>IFERROR(__xludf.DUMMYFUNCTION("IF(H1973="""","""",
SUM(
ARRAYFORMULA(
IF(
REGEXMATCH(
"" ""&amp;H1973&amp;"" "",
"" ""&amp;Sentiment_Words!A$2:A3730&amp;"" ""
),
1,
0
)
)
)
)"),1.0)</f>
        <v>1</v>
      </c>
      <c r="K1973" s="4">
        <f>IFERROR(__xludf.DUMMYFUNCTION("IF(H1973="""","""",
SUM(
ARRAYFORMULA(
IF(
REGEXMATCH(
"" ""&amp;H1973&amp;"" "",
"" ""&amp;Sentiment_Words!B$2:B3730&amp;"" ""
),
1,
0
)
)
)
)"),0.0)</f>
        <v>0</v>
      </c>
      <c r="L1973" s="7" t="str">
        <f t="shared" si="3"/>
        <v>Other</v>
      </c>
      <c r="M1973" s="7" t="str">
        <f t="shared" si="4"/>
        <v>Positive</v>
      </c>
      <c r="N1973" s="7" t="str">
        <f>IFERROR(__xludf.DUMMYFUNCTION("LOWER(
TRIM(
REGEXREPLACE(B1973,""[^a-zA-Z\s]"","""")
)
)
"),"shirley alexander")</f>
        <v>shirley alexander</v>
      </c>
      <c r="O1973" s="7">
        <f t="shared" si="5"/>
        <v>1</v>
      </c>
      <c r="P1973" s="8" t="str">
        <f t="shared" si="6"/>
        <v>No</v>
      </c>
    </row>
    <row r="1974">
      <c r="A1974" s="4" t="s">
        <v>16</v>
      </c>
      <c r="B1974" s="4" t="s">
        <v>5564</v>
      </c>
      <c r="C1974" s="5">
        <v>44752.0</v>
      </c>
      <c r="D1974" s="10">
        <v>44752.0</v>
      </c>
      <c r="E1974" s="4" t="s">
        <v>626</v>
      </c>
      <c r="F1974" s="4" t="s">
        <v>5565</v>
      </c>
      <c r="G1974" s="6" t="str">
        <f>IFERROR(__xludf.DUMMYFUNCTION("REGEXREPLACE(LOWER(F1974),""[^a-z\s]"","""")"),"i found what i needed at cheaper prices and the customer service was superior petflow has a new customer and i highly recommend")</f>
        <v>i found what i needed at cheaper prices and the customer service was superior petflow has a new customer and i highly recommend</v>
      </c>
      <c r="H1974" s="4" t="str">
        <f t="shared" si="1"/>
        <v>i found what i needed at cheaper prices customer service was superior petflow has a new customer i highly recommend</v>
      </c>
      <c r="I1974" s="6">
        <f t="shared" si="2"/>
        <v>20</v>
      </c>
      <c r="J1974" s="6">
        <f>IFERROR(__xludf.DUMMYFUNCTION("IF(H1974="""","""",
SUM(
ARRAYFORMULA(
IF(
REGEXMATCH(
"" ""&amp;H1974&amp;"" "",
"" ""&amp;Sentiment_Words!A$2:A3730&amp;"" ""
),
1,
0
)
)
)
)"),2.0)</f>
        <v>2</v>
      </c>
      <c r="K1974" s="4">
        <f>IFERROR(__xludf.DUMMYFUNCTION("IF(H1974="""","""",
SUM(
ARRAYFORMULA(
IF(
REGEXMATCH(
"" ""&amp;H1974&amp;"" "",
"" ""&amp;Sentiment_Words!B$2:B3730&amp;"" ""
),
1,
0
)
)
)
)"),1.0)</f>
        <v>1</v>
      </c>
      <c r="L1974" s="7" t="str">
        <f t="shared" si="3"/>
        <v>Customer Support</v>
      </c>
      <c r="M1974" s="7" t="str">
        <f t="shared" si="4"/>
        <v>Positive</v>
      </c>
      <c r="N1974" s="7" t="str">
        <f>IFERROR(__xludf.DUMMYFUNCTION("LOWER(
TRIM(
REGEXREPLACE(B1974,""[^a-zA-Z\s]"","""")
)
)
"),"cheryl corbean")</f>
        <v>cheryl corbean</v>
      </c>
      <c r="O1974" s="7">
        <f t="shared" si="5"/>
        <v>1</v>
      </c>
      <c r="P1974" s="8" t="str">
        <f t="shared" si="6"/>
        <v>No</v>
      </c>
    </row>
    <row r="1975">
      <c r="A1975" s="4" t="s">
        <v>16</v>
      </c>
      <c r="B1975" s="4" t="s">
        <v>5566</v>
      </c>
      <c r="C1975" s="5">
        <v>44752.0</v>
      </c>
      <c r="D1975" s="10">
        <v>44752.0</v>
      </c>
      <c r="E1975" s="4" t="s">
        <v>5567</v>
      </c>
      <c r="F1975" s="4" t="s">
        <v>5568</v>
      </c>
      <c r="G1975" s="6" t="str">
        <f>IFERROR(__xludf.DUMMYFUNCTION("REGEXREPLACE(LOWER(F1975),""[^a-z\s]"","""")"),"petflow is always on point with my order never had a bad experience with them")</f>
        <v>petflow is always on point with my order never had a bad experience with them</v>
      </c>
      <c r="H1975" s="4" t="str">
        <f t="shared" si="1"/>
        <v>petflow always on point with my order never had a bad experience with them</v>
      </c>
      <c r="I1975" s="6">
        <f t="shared" si="2"/>
        <v>14</v>
      </c>
      <c r="J1975" s="6">
        <f>IFERROR(__xludf.DUMMYFUNCTION("IF(H1975="""","""",
SUM(
ARRAYFORMULA(
IF(
REGEXMATCH(
"" ""&amp;H1975&amp;"" "",
"" ""&amp;Sentiment_Words!A$2:A3730&amp;"" ""
),
1,
0
)
)
)
)"),0.0)</f>
        <v>0</v>
      </c>
      <c r="K1975" s="4">
        <f>IFERROR(__xludf.DUMMYFUNCTION("IF(H1975="""","""",
SUM(
ARRAYFORMULA(
IF(
REGEXMATCH(
"" ""&amp;H1975&amp;"" "",
"" ""&amp;Sentiment_Words!B$2:B3730&amp;"" ""
),
1,
0
)
)
)
)"),0.0)</f>
        <v>0</v>
      </c>
      <c r="L1975" s="7" t="str">
        <f t="shared" si="3"/>
        <v>Other</v>
      </c>
      <c r="M1975" s="7" t="str">
        <f t="shared" si="4"/>
        <v>Neutral</v>
      </c>
      <c r="N1975" s="7" t="str">
        <f>IFERROR(__xludf.DUMMYFUNCTION("LOWER(
TRIM(
REGEXREPLACE(B1975,""[^a-zA-Z\s]"","""")
)
)
"),"patrick ryan")</f>
        <v>patrick ryan</v>
      </c>
      <c r="O1975" s="7">
        <f t="shared" si="5"/>
        <v>1</v>
      </c>
      <c r="P1975" s="8" t="str">
        <f t="shared" si="6"/>
        <v>No</v>
      </c>
    </row>
    <row r="1976">
      <c r="A1976" s="4" t="s">
        <v>16</v>
      </c>
      <c r="B1976" s="4" t="s">
        <v>5569</v>
      </c>
      <c r="C1976" s="5">
        <v>44752.0</v>
      </c>
      <c r="D1976" s="10">
        <v>44752.0</v>
      </c>
      <c r="E1976" s="4" t="s">
        <v>5570</v>
      </c>
      <c r="F1976" s="4" t="s">
        <v>5571</v>
      </c>
      <c r="G1976" s="6" t="str">
        <f>IFERROR(__xludf.DUMMYFUNCTION("REGEXREPLACE(LOWER(F1976),""[^a-z\s]"","""")"),"i had the perfect petflow experience it took  days to get to me because of delays in middletown which was not there fault will be buying more dog food from them")</f>
        <v>i had the perfect petflow experience it took  days to get to me because of delays in middletown which was not there fault will be buying more dog food from them</v>
      </c>
      <c r="H1976" s="4" t="str">
        <f t="shared" si="1"/>
        <v>i had perfect petflow experience it took days get me because of delays in middletown which was not there fault will be buying more dog food from them</v>
      </c>
      <c r="I1976" s="6">
        <f t="shared" si="2"/>
        <v>28</v>
      </c>
      <c r="J1976" s="6">
        <f>IFERROR(__xludf.DUMMYFUNCTION("IF(H1976="""","""",
SUM(
ARRAYFORMULA(
IF(
REGEXMATCH(
"" ""&amp;H1976&amp;"" "",
"" ""&amp;Sentiment_Words!A$2:A3730&amp;"" ""
),
1,
0
)
)
)
)"),0.0)</f>
        <v>0</v>
      </c>
      <c r="K1976" s="4">
        <f>IFERROR(__xludf.DUMMYFUNCTION("IF(H1976="""","""",
SUM(
ARRAYFORMULA(
IF(
REGEXMATCH(
"" ""&amp;H1976&amp;"" "",
"" ""&amp;Sentiment_Words!B$2:B3730&amp;"" ""
),
1,
0
)
)
)
)"),0.0)</f>
        <v>0</v>
      </c>
      <c r="L1976" s="7" t="str">
        <f t="shared" si="3"/>
        <v>Fulfillment &amp; Shipping</v>
      </c>
      <c r="M1976" s="7" t="str">
        <f t="shared" si="4"/>
        <v>Neutral</v>
      </c>
      <c r="N1976" s="7" t="str">
        <f>IFERROR(__xludf.DUMMYFUNCTION("LOWER(
TRIM(
REGEXREPLACE(B1976,""[^a-zA-Z\s]"","""")
)
)
"),"sara ann stocker")</f>
        <v>sara ann stocker</v>
      </c>
      <c r="O1976" s="7">
        <f t="shared" si="5"/>
        <v>1</v>
      </c>
      <c r="P1976" s="8" t="str">
        <f t="shared" si="6"/>
        <v>No</v>
      </c>
    </row>
    <row r="1977">
      <c r="A1977" s="4" t="s">
        <v>16</v>
      </c>
      <c r="B1977" s="4" t="s">
        <v>5572</v>
      </c>
      <c r="C1977" s="9">
        <v>44751.0</v>
      </c>
      <c r="D1977" s="10">
        <v>44752.0</v>
      </c>
      <c r="E1977" s="4" t="s">
        <v>5573</v>
      </c>
      <c r="F1977" s="4" t="s">
        <v>5574</v>
      </c>
      <c r="G1977" s="6" t="str">
        <f>IFERROR(__xludf.DUMMYFUNCTION("REGEXREPLACE(LOWER(F1977),""[^a-z\s]"","""")"),"i received my order but shorrt  little clay boxes and some of them with the box open already")</f>
        <v>i received my order but shorrt  little clay boxes and some of them with the box open already</v>
      </c>
      <c r="H1977" s="4" t="str">
        <f t="shared" si="1"/>
        <v>i received my order but shorrt little clay boxes some of them with box open already</v>
      </c>
      <c r="I1977" s="6">
        <f t="shared" si="2"/>
        <v>16</v>
      </c>
      <c r="J1977" s="6">
        <f>IFERROR(__xludf.DUMMYFUNCTION("IF(H1977="""","""",
SUM(
ARRAYFORMULA(
IF(
REGEXMATCH(
"" ""&amp;H1977&amp;"" "",
"" ""&amp;Sentiment_Words!A$2:A3730&amp;"" ""
),
1,
0
)
)
)
)"),0.0)</f>
        <v>0</v>
      </c>
      <c r="K1977" s="4">
        <f>IFERROR(__xludf.DUMMYFUNCTION("IF(H1977="""","""",
SUM(
ARRAYFORMULA(
IF(
REGEXMATCH(
"" ""&amp;H1977&amp;"" "",
"" ""&amp;Sentiment_Words!B$2:B3730&amp;"" ""
),
1,
0
)
)
)
)"),0.0)</f>
        <v>0</v>
      </c>
      <c r="L1977" s="7" t="str">
        <f t="shared" si="3"/>
        <v>Other</v>
      </c>
      <c r="M1977" s="7" t="str">
        <f t="shared" si="4"/>
        <v>Neutral</v>
      </c>
      <c r="N1977" s="7" t="str">
        <f>IFERROR(__xludf.DUMMYFUNCTION("LOWER(
TRIM(
REGEXREPLACE(B1977,""[^a-zA-Z\s]"","""")
)
)
"),"lan zhao")</f>
        <v>lan zhao</v>
      </c>
      <c r="O1977" s="7">
        <f t="shared" si="5"/>
        <v>1</v>
      </c>
      <c r="P1977" s="8" t="str">
        <f t="shared" si="6"/>
        <v>No</v>
      </c>
    </row>
    <row r="1978">
      <c r="A1978" s="4" t="s">
        <v>16</v>
      </c>
      <c r="B1978" s="4" t="s">
        <v>5575</v>
      </c>
      <c r="C1978" s="9">
        <v>44751.0</v>
      </c>
      <c r="D1978" s="10">
        <v>44751.0</v>
      </c>
      <c r="E1978" s="4" t="s">
        <v>5576</v>
      </c>
      <c r="F1978" s="4" t="s">
        <v>5577</v>
      </c>
      <c r="G1978" s="6" t="str">
        <f>IFERROR(__xludf.DUMMYFUNCTION("REGEXREPLACE(LOWER(F1978),""[^a-z\s]"","""")"),"love the selection and convenience of the auto ship recently added prescription food for one of our dogs and that was just as easy as everything else highly recommend")</f>
        <v>love the selection and convenience of the auto ship recently added prescription food for one of our dogs and that was just as easy as everything else highly recommend</v>
      </c>
      <c r="H1978" s="4" t="str">
        <f t="shared" si="1"/>
        <v>love selection convenience of auto ship recently added prescription food one of our dogs that was just as easy as everything else highly recommend</v>
      </c>
      <c r="I1978" s="6">
        <f t="shared" si="2"/>
        <v>24</v>
      </c>
      <c r="J1978" s="6">
        <f>IFERROR(__xludf.DUMMYFUNCTION("IF(H1978="""","""",
SUM(
ARRAYFORMULA(
IF(
REGEXMATCH(
"" ""&amp;H1978&amp;"" "",
"" ""&amp;Sentiment_Words!A$2:A3730&amp;"" ""
),
1,
0
)
)
)
)"),3.0)</f>
        <v>3</v>
      </c>
      <c r="K1978" s="4">
        <f>IFERROR(__xludf.DUMMYFUNCTION("IF(H1978="""","""",
SUM(
ARRAYFORMULA(
IF(
REGEXMATCH(
"" ""&amp;H1978&amp;"" "",
"" ""&amp;Sentiment_Words!B$2:B3730&amp;"" ""
),
1,
0
)
)
)
)"),0.0)</f>
        <v>0</v>
      </c>
      <c r="L1978" s="7" t="str">
        <f t="shared" si="3"/>
        <v>Other</v>
      </c>
      <c r="M1978" s="7" t="str">
        <f t="shared" si="4"/>
        <v>Positive</v>
      </c>
      <c r="N1978" s="7" t="str">
        <f>IFERROR(__xludf.DUMMYFUNCTION("LOWER(
TRIM(
REGEXREPLACE(B1978,""[^a-zA-Z\s]"","""")
)
)
"),"lisa wottrich")</f>
        <v>lisa wottrich</v>
      </c>
      <c r="O1978" s="7">
        <f t="shared" si="5"/>
        <v>1</v>
      </c>
      <c r="P1978" s="8" t="str">
        <f t="shared" si="6"/>
        <v>No</v>
      </c>
    </row>
    <row r="1979">
      <c r="A1979" s="4" t="s">
        <v>16</v>
      </c>
      <c r="B1979" s="4" t="s">
        <v>5578</v>
      </c>
      <c r="C1979" s="9">
        <v>44751.0</v>
      </c>
      <c r="D1979" s="10">
        <v>44751.0</v>
      </c>
      <c r="E1979" s="4" t="s">
        <v>5579</v>
      </c>
      <c r="F1979" s="4" t="s">
        <v>5580</v>
      </c>
      <c r="G1979" s="6" t="str">
        <f>IFERROR(__xludf.DUMMYFUNCTION("REGEXREPLACE(LOWER(F1979),""[^a-z\s]"","""")"),"unable to ship a pet food product after leaving me on hold for a week what else can i say ")</f>
        <v>unable to ship a pet food product after leaving me on hold for a week what else can i say </v>
      </c>
      <c r="H1979" s="4" t="str">
        <f t="shared" si="1"/>
        <v>unable ship a pet food product after leaving me on hold a week what else can i say</v>
      </c>
      <c r="I1979" s="6">
        <f t="shared" si="2"/>
        <v>18</v>
      </c>
      <c r="J1979" s="6">
        <f>IFERROR(__xludf.DUMMYFUNCTION("IF(H1979="""","""",
SUM(
ARRAYFORMULA(
IF(
REGEXMATCH(
"" ""&amp;H1979&amp;"" "",
"" ""&amp;Sentiment_Words!A$2:A3730&amp;"" ""
),
1,
0
)
)
)
)"),0.0)</f>
        <v>0</v>
      </c>
      <c r="K1979" s="4">
        <f>IFERROR(__xludf.DUMMYFUNCTION("IF(H1979="""","""",
SUM(
ARRAYFORMULA(
IF(
REGEXMATCH(
"" ""&amp;H1979&amp;"" "",
"" ""&amp;Sentiment_Words!B$2:B3730&amp;"" ""
),
1,
0
)
)
)
)"),0.0)</f>
        <v>0</v>
      </c>
      <c r="L1979" s="7" t="str">
        <f t="shared" si="3"/>
        <v>Other</v>
      </c>
      <c r="M1979" s="7" t="str">
        <f t="shared" si="4"/>
        <v>Neutral</v>
      </c>
      <c r="N1979" s="7" t="str">
        <f>IFERROR(__xludf.DUMMYFUNCTION("LOWER(
TRIM(
REGEXREPLACE(B1979,""[^a-zA-Z\s]"","""")
)
)
"),"john")</f>
        <v>john</v>
      </c>
      <c r="O1979" s="7">
        <f t="shared" si="5"/>
        <v>7</v>
      </c>
      <c r="P1979" s="8" t="str">
        <f t="shared" si="6"/>
        <v>Yes</v>
      </c>
    </row>
    <row r="1980">
      <c r="A1980" s="4" t="s">
        <v>16</v>
      </c>
      <c r="B1980" s="4" t="s">
        <v>5581</v>
      </c>
      <c r="C1980" s="9">
        <v>44751.0</v>
      </c>
      <c r="D1980" s="10">
        <v>44751.0</v>
      </c>
      <c r="E1980" s="4" t="s">
        <v>5582</v>
      </c>
      <c r="F1980" s="4" t="s">
        <v>5583</v>
      </c>
      <c r="G1980" s="6" t="str">
        <f>IFERROR(__xludf.DUMMYFUNCTION("REGEXREPLACE(LOWER(F1980),""[^a-z\s]"","""")"),"petflow consistently meets and exceeds my expectations phone operators are extremely pleasant and helpful and get things done recently there was a sales tax exemption for pet food and the staff gave me a credit for the state tax that was going to be appli"&amp;"ed to the order keep up the good work")</f>
        <v>petflow consistently meets and exceeds my expectations phone operators are extremely pleasant and helpful and get things done recently there was a sales tax exemption for pet food and the staff gave me a credit for the state tax that was going to be applied to the order keep up the good work</v>
      </c>
      <c r="H1980" s="4" t="str">
        <f t="shared" si="1"/>
        <v>petflow consistently meets exceeds my expectations phone operators are extremely pleasant helpful get things done recently there was a sales tax exemption pet food staff gave me a credit state tax that was going be applied order keep up good work</v>
      </c>
      <c r="I1980" s="6">
        <f t="shared" si="2"/>
        <v>41</v>
      </c>
      <c r="J1980" s="6">
        <f>IFERROR(__xludf.DUMMYFUNCTION("IF(H1980="""","""",
SUM(
ARRAYFORMULA(
IF(
REGEXMATCH(
"" ""&amp;H1980&amp;"" "",
"" ""&amp;Sentiment_Words!A$2:A3730&amp;"" ""
),
1,
0
)
)
)
)"),2.0)</f>
        <v>2</v>
      </c>
      <c r="K1980" s="4">
        <f>IFERROR(__xludf.DUMMYFUNCTION("IF(H1980="""","""",
SUM(
ARRAYFORMULA(
IF(
REGEXMATCH(
"" ""&amp;H1980&amp;"" "",
"" ""&amp;Sentiment_Words!B$2:B3730&amp;"" ""
),
1,
0
)
)
)
)"),0.0)</f>
        <v>0</v>
      </c>
      <c r="L1980" s="7" t="str">
        <f t="shared" si="3"/>
        <v>Other</v>
      </c>
      <c r="M1980" s="7" t="str">
        <f t="shared" si="4"/>
        <v>Positive</v>
      </c>
      <c r="N1980" s="7" t="str">
        <f>IFERROR(__xludf.DUMMYFUNCTION("LOWER(
TRIM(
REGEXREPLACE(B1980,""[^a-zA-Z\s]"","""")
)
)
"),"loren")</f>
        <v>loren</v>
      </c>
      <c r="O1980" s="7">
        <f t="shared" si="5"/>
        <v>1</v>
      </c>
      <c r="P1980" s="8" t="str">
        <f t="shared" si="6"/>
        <v>No</v>
      </c>
    </row>
    <row r="1981">
      <c r="A1981" s="4" t="s">
        <v>16</v>
      </c>
      <c r="B1981" s="4" t="s">
        <v>5584</v>
      </c>
      <c r="C1981" s="9">
        <v>44750.0</v>
      </c>
      <c r="D1981" s="10">
        <v>44750.0</v>
      </c>
      <c r="E1981" s="4" t="s">
        <v>5585</v>
      </c>
      <c r="F1981" s="4" t="s">
        <v>5586</v>
      </c>
      <c r="G1981" s="6" t="str">
        <f>IFERROR(__xludf.DUMMYFUNCTION("REGEXREPLACE(LOWER(F1981),""[^a-z\s]"","""")"),"i was very pleased buying from petflow honestly i wasnt familiar with them and they were the only ones with inventory of the dog food i was looking for the order process was clean and efficient they contacted my vet was prescription food notices were well"&amp;" timed delivery as expected cant ask for more thanks")</f>
        <v>i was very pleased buying from petflow honestly i wasnt familiar with them and they were the only ones with inventory of the dog food i was looking for the order process was clean and efficient they contacted my vet was prescription food notices were well timed delivery as expected cant ask for more thanks</v>
      </c>
      <c r="H1981" s="4" t="str">
        <f t="shared" si="1"/>
        <v>i was very pleased buying from petflow honestly i wasnt familiar with them they were only ones with inventory of dog food i was looking order process was clean efficient they contacted my vet was prescription food notices were well timed delivery as expected cant ask more thanks</v>
      </c>
      <c r="I1981" s="6">
        <f t="shared" si="2"/>
        <v>48</v>
      </c>
      <c r="J1981" s="6">
        <f>IFERROR(__xludf.DUMMYFUNCTION("IF(H1981="""","""",
SUM(
ARRAYFORMULA(
IF(
REGEXMATCH(
"" ""&amp;H1981&amp;"" "",
"" ""&amp;Sentiment_Words!A$2:A3730&amp;"" ""
),
1,
0
)
)
)
)"),2.0)</f>
        <v>2</v>
      </c>
      <c r="K1981" s="4">
        <f>IFERROR(__xludf.DUMMYFUNCTION("IF(H1981="""","""",
SUM(
ARRAYFORMULA(
IF(
REGEXMATCH(
"" ""&amp;H1981&amp;"" "",
"" ""&amp;Sentiment_Words!B$2:B3730&amp;"" ""
),
1,
0
)
)
)
)"),0.0)</f>
        <v>0</v>
      </c>
      <c r="L1981" s="7" t="str">
        <f t="shared" si="3"/>
        <v>Other</v>
      </c>
      <c r="M1981" s="7" t="str">
        <f t="shared" si="4"/>
        <v>Positive</v>
      </c>
      <c r="N1981" s="7" t="str">
        <f>IFERROR(__xludf.DUMMYFUNCTION("LOWER(
TRIM(
REGEXREPLACE(B1981,""[^a-zA-Z\s]"","""")
)
)
"),"dolores liberti")</f>
        <v>dolores liberti</v>
      </c>
      <c r="O1981" s="7">
        <f t="shared" si="5"/>
        <v>1</v>
      </c>
      <c r="P1981" s="8" t="str">
        <f t="shared" si="6"/>
        <v>No</v>
      </c>
    </row>
    <row r="1982">
      <c r="A1982" s="4" t="s">
        <v>16</v>
      </c>
      <c r="B1982" s="4" t="s">
        <v>5587</v>
      </c>
      <c r="C1982" s="9">
        <v>44750.0</v>
      </c>
      <c r="D1982" s="10">
        <v>44750.0</v>
      </c>
      <c r="E1982" s="4" t="s">
        <v>5588</v>
      </c>
      <c r="F1982" s="4" t="s">
        <v>5589</v>
      </c>
      <c r="G1982" s="6" t="str">
        <f>IFERROR(__xludf.DUMMYFUNCTION("REGEXREPLACE(LOWER(F1982),""[^a-z\s]"","""")"),"reputable company good prices and selection")</f>
        <v>reputable company good prices and selection</v>
      </c>
      <c r="H1982" s="4" t="str">
        <f t="shared" si="1"/>
        <v>reputable company good prices selection</v>
      </c>
      <c r="I1982" s="6">
        <f t="shared" si="2"/>
        <v>5</v>
      </c>
      <c r="J1982" s="6">
        <f>IFERROR(__xludf.DUMMYFUNCTION("IF(H1982="""","""",
SUM(
ARRAYFORMULA(
IF(
REGEXMATCH(
"" ""&amp;H1982&amp;"" "",
"" ""&amp;Sentiment_Words!A$2:A3730&amp;"" ""
),
1,
0
)
)
)
)"),1.0)</f>
        <v>1</v>
      </c>
      <c r="K1982" s="4">
        <f>IFERROR(__xludf.DUMMYFUNCTION("IF(H1982="""","""",
SUM(
ARRAYFORMULA(
IF(
REGEXMATCH(
"" ""&amp;H1982&amp;"" "",
"" ""&amp;Sentiment_Words!B$2:B3730&amp;"" ""
),
1,
0
)
)
)
)"),0.0)</f>
        <v>0</v>
      </c>
      <c r="L1982" s="7" t="str">
        <f t="shared" si="3"/>
        <v>Other</v>
      </c>
      <c r="M1982" s="7" t="str">
        <f t="shared" si="4"/>
        <v>Positive</v>
      </c>
      <c r="N1982" s="7" t="str">
        <f>IFERROR(__xludf.DUMMYFUNCTION("LOWER(
TRIM(
REGEXREPLACE(B1982,""[^a-zA-Z\s]"","""")
)
)
"),"daniel culbert")</f>
        <v>daniel culbert</v>
      </c>
      <c r="O1982" s="7">
        <f t="shared" si="5"/>
        <v>1</v>
      </c>
      <c r="P1982" s="8" t="str">
        <f t="shared" si="6"/>
        <v>No</v>
      </c>
    </row>
    <row r="1983">
      <c r="A1983" s="4" t="s">
        <v>16</v>
      </c>
      <c r="B1983" s="4" t="s">
        <v>5590</v>
      </c>
      <c r="C1983" s="9">
        <v>44750.0</v>
      </c>
      <c r="D1983" s="10">
        <v>44750.0</v>
      </c>
      <c r="E1983" s="4" t="s">
        <v>5591</v>
      </c>
      <c r="F1983" s="4" t="s">
        <v>5592</v>
      </c>
      <c r="G1983" s="6" t="str">
        <f>IFERROR(__xludf.DUMMYFUNCTION("REGEXREPLACE(LOWER(F1983),""[^a-z\s]"","""")"),"i have consistently had double filled orders delayed orders without notification shipped orders without advance notification orders that started autoshipping that werent supposed tothe past  months has been a disaster this convenient service has become an"&amp;"ything but")</f>
        <v>i have consistently had double filled orders delayed orders without notification shipped orders without advance notification orders that started autoshipping that werent supposed tothe past  months has been a disaster this convenient service has become anything but</v>
      </c>
      <c r="H1983" s="4" t="str">
        <f t="shared" si="1"/>
        <v>i have consistently had double filled orders delayed orders without notification shipped orders without advance notification orders that started autoshipping that werent supposed tothe past months has been a disaster this convenient service has become anything but</v>
      </c>
      <c r="I1983" s="6">
        <f t="shared" si="2"/>
        <v>37</v>
      </c>
      <c r="J1983" s="6">
        <f>IFERROR(__xludf.DUMMYFUNCTION("IF(H1983="""","""",
SUM(
ARRAYFORMULA(
IF(
REGEXMATCH(
"" ""&amp;H1983&amp;"" "",
"" ""&amp;Sentiment_Words!A$2:A3730&amp;"" ""
),
1,
0
)
)
)
)"),1.0)</f>
        <v>1</v>
      </c>
      <c r="K1983" s="4">
        <f>IFERROR(__xludf.DUMMYFUNCTION("IF(H1983="""","""",
SUM(
ARRAYFORMULA(
IF(
REGEXMATCH(
"" ""&amp;H1983&amp;"" "",
"" ""&amp;Sentiment_Words!B$2:B3730&amp;"" ""
),
1,
0
)
)
)
)"),1.0)</f>
        <v>1</v>
      </c>
      <c r="L1983" s="7" t="str">
        <f t="shared" si="3"/>
        <v>Customer Support</v>
      </c>
      <c r="M1983" s="7" t="str">
        <f t="shared" si="4"/>
        <v>Neutral</v>
      </c>
      <c r="N1983" s="7" t="str">
        <f>IFERROR(__xludf.DUMMYFUNCTION("LOWER(
TRIM(
REGEXREPLACE(B1983,""[^a-zA-Z\s]"","""")
)
)
"),"carol staten clark")</f>
        <v>carol staten clark</v>
      </c>
      <c r="O1983" s="7">
        <f t="shared" si="5"/>
        <v>1</v>
      </c>
      <c r="P1983" s="8" t="str">
        <f t="shared" si="6"/>
        <v>No</v>
      </c>
    </row>
    <row r="1984">
      <c r="A1984" s="4" t="s">
        <v>16</v>
      </c>
      <c r="B1984" s="4" t="s">
        <v>5593</v>
      </c>
      <c r="C1984" s="9">
        <v>44750.0</v>
      </c>
      <c r="D1984" s="10">
        <v>44750.0</v>
      </c>
      <c r="E1984" s="4" t="s">
        <v>5594</v>
      </c>
      <c r="F1984" s="4" t="s">
        <v>5595</v>
      </c>
      <c r="G1984" s="6" t="str">
        <f>IFERROR(__xludf.DUMMYFUNCTION("REGEXREPLACE(LOWER(F1984),""[^a-z\s]"","""")"),"fast an easy the prices were great")</f>
        <v>fast an easy the prices were great</v>
      </c>
      <c r="H1984" s="4" t="str">
        <f t="shared" si="1"/>
        <v>fast an easy prices were great</v>
      </c>
      <c r="I1984" s="6">
        <f t="shared" si="2"/>
        <v>6</v>
      </c>
      <c r="J1984" s="6">
        <f>IFERROR(__xludf.DUMMYFUNCTION("IF(H1984="""","""",
SUM(
ARRAYFORMULA(
IF(
REGEXMATCH(
"" ""&amp;H1984&amp;"" "",
"" ""&amp;Sentiment_Words!A$2:A3730&amp;"" ""
),
1,
0
)
)
)
)"),3.0)</f>
        <v>3</v>
      </c>
      <c r="K1984" s="4">
        <f>IFERROR(__xludf.DUMMYFUNCTION("IF(H1984="""","""",
SUM(
ARRAYFORMULA(
IF(
REGEXMATCH(
"" ""&amp;H1984&amp;"" "",
"" ""&amp;Sentiment_Words!B$2:B3730&amp;"" ""
),
1,
0
)
)
)
)"),0.0)</f>
        <v>0</v>
      </c>
      <c r="L1984" s="7" t="str">
        <f t="shared" si="3"/>
        <v>Other</v>
      </c>
      <c r="M1984" s="7" t="str">
        <f t="shared" si="4"/>
        <v>Positive</v>
      </c>
      <c r="N1984" s="7" t="str">
        <f>IFERROR(__xludf.DUMMYFUNCTION("LOWER(
TRIM(
REGEXREPLACE(B1984,""[^a-zA-Z\s]"","""")
)
)
"),"lynn cathey")</f>
        <v>lynn cathey</v>
      </c>
      <c r="O1984" s="7">
        <f t="shared" si="5"/>
        <v>1</v>
      </c>
      <c r="P1984" s="8" t="str">
        <f t="shared" si="6"/>
        <v>No</v>
      </c>
    </row>
    <row r="1985">
      <c r="A1985" s="4" t="s">
        <v>16</v>
      </c>
      <c r="B1985" s="4" t="s">
        <v>5596</v>
      </c>
      <c r="C1985" s="9">
        <v>44750.0</v>
      </c>
      <c r="D1985" s="10">
        <v>44750.0</v>
      </c>
      <c r="E1985" s="4" t="s">
        <v>5597</v>
      </c>
      <c r="F1985" s="4" t="s">
        <v>5598</v>
      </c>
      <c r="G1985" s="6" t="str">
        <f>IFERROR(__xludf.DUMMYFUNCTION("REGEXREPLACE(LOWER(F1985),""[^a-z\s]"","""")"),"i was looking for avoderm canned dog food as my previous supplied has been out for a very long time you have the food and the price is good i ordered it and got it in a few days  no problem with delivery my two dogs are very happy to be back on the food t"&amp;"hey ate for years and i will be ordering as long as you carry it")</f>
        <v>i was looking for avoderm canned dog food as my previous supplied has been out for a very long time you have the food and the price is good i ordered it and got it in a few days  no problem with delivery my two dogs are very happy to be back on the food they ate for years and i will be ordering as long as you carry it</v>
      </c>
      <c r="H1985" s="4" t="str">
        <f t="shared" si="1"/>
        <v>i was looking avoderm canned dog food as my previous supplied has been out a very long time you have food price good i ordered it got it in a few days no problem with delivery my two dogs are very happy be back on food they ate years i will be ordering as long as you carry it</v>
      </c>
      <c r="I1985" s="6">
        <f t="shared" si="2"/>
        <v>59</v>
      </c>
      <c r="J1985" s="6">
        <f>IFERROR(__xludf.DUMMYFUNCTION("IF(H1985="""","""",
SUM(
ARRAYFORMULA(
IF(
REGEXMATCH(
"" ""&amp;H1985&amp;"" "",
"" ""&amp;Sentiment_Words!A$2:A3730&amp;"" ""
),
1,
0
)
)
)
)"),2.0)</f>
        <v>2</v>
      </c>
      <c r="K1985" s="4">
        <f>IFERROR(__xludf.DUMMYFUNCTION("IF(H1985="""","""",
SUM(
ARRAYFORMULA(
IF(
REGEXMATCH(
"" ""&amp;H1985&amp;"" "",
"" ""&amp;Sentiment_Words!B$2:B3730&amp;"" ""
),
1,
0
)
)
)
)"),1.0)</f>
        <v>1</v>
      </c>
      <c r="L1985" s="7" t="str">
        <f t="shared" si="3"/>
        <v>Other</v>
      </c>
      <c r="M1985" s="7" t="str">
        <f t="shared" si="4"/>
        <v>Positive</v>
      </c>
      <c r="N1985" s="7" t="str">
        <f>IFERROR(__xludf.DUMMYFUNCTION("LOWER(
TRIM(
REGEXREPLACE(B1985,""[^a-zA-Z\s]"","""")
)
)
"),"dane")</f>
        <v>dane</v>
      </c>
      <c r="O1985" s="7">
        <f t="shared" si="5"/>
        <v>1</v>
      </c>
      <c r="P1985" s="8" t="str">
        <f t="shared" si="6"/>
        <v>No</v>
      </c>
    </row>
    <row r="1986">
      <c r="A1986" s="4" t="s">
        <v>16</v>
      </c>
      <c r="B1986" s="4" t="s">
        <v>2595</v>
      </c>
      <c r="C1986" s="9">
        <v>44750.0</v>
      </c>
      <c r="D1986" s="10">
        <v>44750.0</v>
      </c>
      <c r="E1986" s="4" t="s">
        <v>5599</v>
      </c>
      <c r="F1986" s="4" t="s">
        <v>5600</v>
      </c>
      <c r="G1986" s="6" t="str">
        <f>IFERROR(__xludf.DUMMYFUNCTION("REGEXREPLACE(LOWER(F1986),""[^a-z\s]"","""")"),"product was perfect shipping was super fast and customer service was polite helpful and efficient if i need other pet products this will be the first place i check thank you petflow")</f>
        <v>product was perfect shipping was super fast and customer service was polite helpful and efficient if i need other pet products this will be the first place i check thank you petflow</v>
      </c>
      <c r="H1986" s="4" t="str">
        <f t="shared" si="1"/>
        <v>product was perfect shipping was super fast customer service was polite helpful efficient if i need other pet products this will be first place i check thank you petflow</v>
      </c>
      <c r="I1986" s="6">
        <f t="shared" si="2"/>
        <v>29</v>
      </c>
      <c r="J1986" s="6">
        <f>IFERROR(__xludf.DUMMYFUNCTION("IF(H1986="""","""",
SUM(
ARRAYFORMULA(
IF(
REGEXMATCH(
"" ""&amp;H1986&amp;"" "",
"" ""&amp;Sentiment_Words!A$2:A3730&amp;"" ""
),
1,
0
)
)
)
)"),3.0)</f>
        <v>3</v>
      </c>
      <c r="K1986" s="4">
        <f>IFERROR(__xludf.DUMMYFUNCTION("IF(H1986="""","""",
SUM(
ARRAYFORMULA(
IF(
REGEXMATCH(
"" ""&amp;H1986&amp;"" "",
"" ""&amp;Sentiment_Words!B$2:B3730&amp;"" ""
),
1,
0
)
)
)
)"),1.0)</f>
        <v>1</v>
      </c>
      <c r="L1986" s="7" t="str">
        <f t="shared" si="3"/>
        <v>Customer Support</v>
      </c>
      <c r="M1986" s="7" t="str">
        <f t="shared" si="4"/>
        <v>Positive</v>
      </c>
      <c r="N1986" s="7" t="str">
        <f>IFERROR(__xludf.DUMMYFUNCTION("LOWER(
TRIM(
REGEXREPLACE(B1986,""[^a-zA-Z\s]"","""")
)
)
"),"susan")</f>
        <v>susan</v>
      </c>
      <c r="O1986" s="7">
        <f t="shared" si="5"/>
        <v>5</v>
      </c>
      <c r="P1986" s="8" t="str">
        <f t="shared" si="6"/>
        <v>Yes</v>
      </c>
    </row>
    <row r="1987">
      <c r="A1987" s="4" t="s">
        <v>16</v>
      </c>
      <c r="B1987" s="4" t="s">
        <v>5601</v>
      </c>
      <c r="C1987" s="9">
        <v>44750.0</v>
      </c>
      <c r="D1987" s="10">
        <v>44750.0</v>
      </c>
      <c r="E1987" s="4" t="s">
        <v>5602</v>
      </c>
      <c r="F1987" s="4" t="s">
        <v>5603</v>
      </c>
      <c r="G1987" s="6" t="str">
        <f>IFERROR(__xludf.DUMMYFUNCTION("REGEXREPLACE(LOWER(F1987),""[^a-z\s]"","""")"),"fast easy going price")</f>
        <v>fast easy going price</v>
      </c>
      <c r="H1987" s="4" t="str">
        <f t="shared" si="1"/>
        <v>fast easy going price</v>
      </c>
      <c r="I1987" s="6">
        <f t="shared" si="2"/>
        <v>4</v>
      </c>
      <c r="J1987" s="6">
        <f>IFERROR(__xludf.DUMMYFUNCTION("IF(H1987="""","""",
SUM(
ARRAYFORMULA(
IF(
REGEXMATCH(
"" ""&amp;H1987&amp;"" "",
"" ""&amp;Sentiment_Words!A$2:A3730&amp;"" ""
),
1,
0
)
)
)
)"),2.0)</f>
        <v>2</v>
      </c>
      <c r="K1987" s="4">
        <f>IFERROR(__xludf.DUMMYFUNCTION("IF(H1987="""","""",
SUM(
ARRAYFORMULA(
IF(
REGEXMATCH(
"" ""&amp;H1987&amp;"" "",
"" ""&amp;Sentiment_Words!B$2:B3730&amp;"" ""
),
1,
0
)
)
)
)"),0.0)</f>
        <v>0</v>
      </c>
      <c r="L1987" s="7" t="str">
        <f t="shared" si="3"/>
        <v>Other</v>
      </c>
      <c r="M1987" s="7" t="str">
        <f t="shared" si="4"/>
        <v>Positive</v>
      </c>
      <c r="N1987" s="7" t="str">
        <f>IFERROR(__xludf.DUMMYFUNCTION("LOWER(
TRIM(
REGEXREPLACE(B1987,""[^a-zA-Z\s]"","""")
)
)
"),"carola")</f>
        <v>carola</v>
      </c>
      <c r="O1987" s="7">
        <f t="shared" si="5"/>
        <v>1</v>
      </c>
      <c r="P1987" s="8" t="str">
        <f t="shared" si="6"/>
        <v>No</v>
      </c>
    </row>
    <row r="1988">
      <c r="A1988" s="4" t="s">
        <v>16</v>
      </c>
      <c r="B1988" s="4" t="s">
        <v>5604</v>
      </c>
      <c r="C1988" s="9">
        <v>44749.0</v>
      </c>
      <c r="D1988" s="10">
        <v>44749.0</v>
      </c>
      <c r="E1988" s="4" t="s">
        <v>5605</v>
      </c>
      <c r="F1988" s="4" t="s">
        <v>5606</v>
      </c>
      <c r="G1988" s="6" t="str">
        <f>IFERROR(__xludf.DUMMYFUNCTION("REGEXREPLACE(LOWER(F1988),""[^a-z\s]"","""")"),"as always my order arrived as scheduled with updates enroute and was well packaged consistently good service")</f>
        <v>as always my order arrived as scheduled with updates enroute and was well packaged consistently good service</v>
      </c>
      <c r="H1988" s="4" t="str">
        <f t="shared" si="1"/>
        <v>as always my order arrived as scheduled with updates enroute was well packaged consistently good service</v>
      </c>
      <c r="I1988" s="6">
        <f t="shared" si="2"/>
        <v>16</v>
      </c>
      <c r="J1988" s="6">
        <f>IFERROR(__xludf.DUMMYFUNCTION("IF(H1988="""","""",
SUM(
ARRAYFORMULA(
IF(
REGEXMATCH(
"" ""&amp;H1988&amp;"" "",
"" ""&amp;Sentiment_Words!A$2:A3730&amp;"" ""
),
1,
0
)
)
)
)"),1.0)</f>
        <v>1</v>
      </c>
      <c r="K1988" s="4">
        <f>IFERROR(__xludf.DUMMYFUNCTION("IF(H1988="""","""",
SUM(
ARRAYFORMULA(
IF(
REGEXMATCH(
"" ""&amp;H1988&amp;"" "",
"" ""&amp;Sentiment_Words!B$2:B3730&amp;"" ""
),
1,
0
)
)
)
)"),0.0)</f>
        <v>0</v>
      </c>
      <c r="L1988" s="7" t="str">
        <f t="shared" si="3"/>
        <v>Customer Support</v>
      </c>
      <c r="M1988" s="7" t="str">
        <f t="shared" si="4"/>
        <v>Positive</v>
      </c>
      <c r="N1988" s="7" t="str">
        <f>IFERROR(__xludf.DUMMYFUNCTION("LOWER(
TRIM(
REGEXREPLACE(B1988,""[^a-zA-Z\s]"","""")
)
)
"),"dusty")</f>
        <v>dusty</v>
      </c>
      <c r="O1988" s="7">
        <f t="shared" si="5"/>
        <v>1</v>
      </c>
      <c r="P1988" s="8" t="str">
        <f t="shared" si="6"/>
        <v>No</v>
      </c>
    </row>
    <row r="1989">
      <c r="A1989" s="4" t="s">
        <v>16</v>
      </c>
      <c r="B1989" s="4" t="s">
        <v>5607</v>
      </c>
      <c r="C1989" s="9">
        <v>44749.0</v>
      </c>
      <c r="D1989" s="10">
        <v>44749.0</v>
      </c>
      <c r="E1989" s="4" t="s">
        <v>4440</v>
      </c>
      <c r="F1989" s="4" t="s">
        <v>5608</v>
      </c>
      <c r="G1989" s="6" t="str">
        <f>IFERROR(__xludf.DUMMYFUNCTION("REGEXREPLACE(LOWER(F1989),""[^a-z\s]"","""")"),"i had a question about mixing different proteins using the stella  chewy freeze dried food and got a response much faster than i had anticipated i was able to complete my purchase without having to wait until the next day the food arrived quickly and my r"&amp;"osie loves it will definitely purchase from petflow again")</f>
        <v>i had a question about mixing different proteins using the stella  chewy freeze dried food and got a response much faster than i had anticipated i was able to complete my purchase without having to wait until the next day the food arrived quickly and my rosie loves it will definitely purchase from petflow again</v>
      </c>
      <c r="H1989" s="4" t="str">
        <f t="shared" si="1"/>
        <v>i had a question about mixing different proteins using stella chewy freeze dried food got a response much faster than i had anticipated i was able complete my purchase without having wait until next day food arrived quickly my rosie loves it will definitely purchase from petflow again</v>
      </c>
      <c r="I1989" s="6">
        <f t="shared" si="2"/>
        <v>48</v>
      </c>
      <c r="J1989" s="6">
        <f>IFERROR(__xludf.DUMMYFUNCTION("IF(H1989="""","""",
SUM(
ARRAYFORMULA(
IF(
REGEXMATCH(
"" ""&amp;H1989&amp;"" "",
"" ""&amp;Sentiment_Words!A$2:A3730&amp;"" ""
),
1,
0
)
)
)
)"),1.0)</f>
        <v>1</v>
      </c>
      <c r="K1989" s="4">
        <f>IFERROR(__xludf.DUMMYFUNCTION("IF(H1989="""","""",
SUM(
ARRAYFORMULA(
IF(
REGEXMATCH(
"" ""&amp;H1989&amp;"" "",
"" ""&amp;Sentiment_Words!B$2:B3730&amp;"" ""
),
1,
0
)
)
)
)"),0.0)</f>
        <v>0</v>
      </c>
      <c r="L1989" s="7" t="str">
        <f t="shared" si="3"/>
        <v>Other</v>
      </c>
      <c r="M1989" s="7" t="str">
        <f t="shared" si="4"/>
        <v>Positive</v>
      </c>
      <c r="N1989" s="7" t="str">
        <f>IFERROR(__xludf.DUMMYFUNCTION("LOWER(
TRIM(
REGEXREPLACE(B1989,""[^a-zA-Z\s]"","""")
)
)
"),"lee harvie")</f>
        <v>lee harvie</v>
      </c>
      <c r="O1989" s="7">
        <f t="shared" si="5"/>
        <v>1</v>
      </c>
      <c r="P1989" s="8" t="str">
        <f t="shared" si="6"/>
        <v>No</v>
      </c>
    </row>
    <row r="1990">
      <c r="A1990" s="4" t="s">
        <v>16</v>
      </c>
      <c r="B1990" s="4" t="s">
        <v>5609</v>
      </c>
      <c r="C1990" s="9">
        <v>44749.0</v>
      </c>
      <c r="D1990" s="10">
        <v>44749.0</v>
      </c>
      <c r="E1990" s="4" t="s">
        <v>5610</v>
      </c>
      <c r="F1990" s="4" t="s">
        <v>5611</v>
      </c>
      <c r="G1990" s="6" t="str">
        <f>IFERROR(__xludf.DUMMYFUNCTION("REGEXREPLACE(LOWER(F1990),""[^a-z\s]"","""")"),"great product selection and order expediently processed and shipped")</f>
        <v>great product selection and order expediently processed and shipped</v>
      </c>
      <c r="H1990" s="4" t="str">
        <f t="shared" si="1"/>
        <v>great product selection order expediently processed shipped</v>
      </c>
      <c r="I1990" s="6">
        <f t="shared" si="2"/>
        <v>7</v>
      </c>
      <c r="J1990" s="6">
        <f>IFERROR(__xludf.DUMMYFUNCTION("IF(H1990="""","""",
SUM(
ARRAYFORMULA(
IF(
REGEXMATCH(
"" ""&amp;H1990&amp;"" "",
"" ""&amp;Sentiment_Words!A$2:A3730&amp;"" ""
),
1,
0
)
)
)
)"),1.0)</f>
        <v>1</v>
      </c>
      <c r="K1990" s="4">
        <f>IFERROR(__xludf.DUMMYFUNCTION("IF(H1990="""","""",
SUM(
ARRAYFORMULA(
IF(
REGEXMATCH(
"" ""&amp;H1990&amp;"" "",
"" ""&amp;Sentiment_Words!B$2:B3730&amp;"" ""
),
1,
0
)
)
)
)"),0.0)</f>
        <v>0</v>
      </c>
      <c r="L1990" s="7" t="str">
        <f t="shared" si="3"/>
        <v>Other</v>
      </c>
      <c r="M1990" s="7" t="str">
        <f t="shared" si="4"/>
        <v>Positive</v>
      </c>
      <c r="N1990" s="7" t="str">
        <f>IFERROR(__xludf.DUMMYFUNCTION("LOWER(
TRIM(
REGEXREPLACE(B1990,""[^a-zA-Z\s]"","""")
)
)
"),"quokka")</f>
        <v>quokka</v>
      </c>
      <c r="O1990" s="7">
        <f t="shared" si="5"/>
        <v>1</v>
      </c>
      <c r="P1990" s="8" t="str">
        <f t="shared" si="6"/>
        <v>No</v>
      </c>
    </row>
    <row r="1991">
      <c r="A1991" s="4" t="s">
        <v>16</v>
      </c>
      <c r="B1991" s="4" t="s">
        <v>5612</v>
      </c>
      <c r="C1991" s="9">
        <v>44748.0</v>
      </c>
      <c r="D1991" s="10">
        <v>44748.0</v>
      </c>
      <c r="E1991" s="4" t="s">
        <v>5613</v>
      </c>
      <c r="F1991" s="4" t="s">
        <v>5614</v>
      </c>
      <c r="G1991" s="6" t="str">
        <f>IFERROR(__xludf.DUMMYFUNCTION("REGEXREPLACE(LOWER(F1991),""[^a-z\s]"","""")"),"i am not sure about your products coz this was my very first order  i was waiting for my order longtime and when i logged in and checked status showed cancelled
when u send order confirmation email why you cant send the cancellation email")</f>
        <v>i am not sure about your products coz this was my very first order  i was waiting for my order longtime and when i logged in and checked status showed cancelled
when u send order confirmation email why you cant send the cancellation email</v>
      </c>
      <c r="H1991" s="4" t="str">
        <f t="shared" si="1"/>
        <v>i am not sure about your products coz this was my very first order i was waiting my order longtime when i logged in checked status showed cancelled
when u send order confirmation email why you cant send cancellation email</v>
      </c>
      <c r="I1991" s="6">
        <f t="shared" si="2"/>
        <v>39</v>
      </c>
      <c r="J1991" s="6">
        <f>IFERROR(__xludf.DUMMYFUNCTION("IF(H1991="""","""",
SUM(
ARRAYFORMULA(
IF(
REGEXMATCH(
"" ""&amp;H1991&amp;"" "",
"" ""&amp;Sentiment_Words!A$2:A3730&amp;"" ""
),
1,
0
)
)
)
)"),0.0)</f>
        <v>0</v>
      </c>
      <c r="K1991" s="4">
        <f>IFERROR(__xludf.DUMMYFUNCTION("IF(H1991="""","""",
SUM(
ARRAYFORMULA(
IF(
REGEXMATCH(
"" ""&amp;H1991&amp;"" "",
"" ""&amp;Sentiment_Words!B$2:B3730&amp;"" ""
),
1,
0
)
)
)
)"),0.0)</f>
        <v>0</v>
      </c>
      <c r="L1991" s="7" t="str">
        <f t="shared" si="3"/>
        <v>Other</v>
      </c>
      <c r="M1991" s="7" t="str">
        <f t="shared" si="4"/>
        <v>Neutral</v>
      </c>
      <c r="N1991" s="7" t="str">
        <f>IFERROR(__xludf.DUMMYFUNCTION("LOWER(
TRIM(
REGEXREPLACE(B1991,""[^a-zA-Z\s]"","""")
)
)
"),"paula g")</f>
        <v>paula g</v>
      </c>
      <c r="O1991" s="7">
        <f t="shared" si="5"/>
        <v>1</v>
      </c>
      <c r="P1991" s="8" t="str">
        <f t="shared" si="6"/>
        <v>No</v>
      </c>
    </row>
    <row r="1992">
      <c r="A1992" s="4" t="s">
        <v>16</v>
      </c>
      <c r="B1992" s="4" t="s">
        <v>5615</v>
      </c>
      <c r="C1992" s="9">
        <v>44748.0</v>
      </c>
      <c r="D1992" s="10">
        <v>44748.0</v>
      </c>
      <c r="E1992" s="4" t="s">
        <v>5616</v>
      </c>
      <c r="F1992" s="4" t="s">
        <v>5617</v>
      </c>
      <c r="G1992" s="6" t="str">
        <f>IFERROR(__xludf.DUMMYFUNCTION("REGEXREPLACE(LOWER(F1992),""[^a-z\s]"","""")"),"petflow is a great company and is one of the few who sell nutrisource dog food that was recommended by our breeder for our pure bred shih tzu at a reasonable price  she has been on this food since she was weaned and is  year old now and very healthy she j"&amp;"ust loves it
thanks petflow")</f>
        <v>petflow is a great company and is one of the few who sell nutrisource dog food that was recommended by our breeder for our pure bred shih tzu at a reasonable price  she has been on this food since she was weaned and is  year old now and very healthy she just loves it
thanks petflow</v>
      </c>
      <c r="H1992" s="4" t="str">
        <f t="shared" si="1"/>
        <v>petflow a great company one of few who sell nutrisource dog food that was recommended by our breeder our pure bred shih tzu at a reasonable price she has been on this food since she was weaned year old now very healthy she just loves it
thanks petflow</v>
      </c>
      <c r="I1992" s="6">
        <f t="shared" si="2"/>
        <v>47</v>
      </c>
      <c r="J1992" s="6">
        <f>IFERROR(__xludf.DUMMYFUNCTION("IF(H1992="""","""",
SUM(
ARRAYFORMULA(
IF(
REGEXMATCH(
"" ""&amp;H1992&amp;"" "",
"" ""&amp;Sentiment_Words!A$2:A3730&amp;"" ""
),
1,
0
)
)
)
)"),1.0)</f>
        <v>1</v>
      </c>
      <c r="K1992" s="4">
        <f>IFERROR(__xludf.DUMMYFUNCTION("IF(H1992="""","""",
SUM(
ARRAYFORMULA(
IF(
REGEXMATCH(
"" ""&amp;H1992&amp;"" "",
"" ""&amp;Sentiment_Words!B$2:B3730&amp;"" ""
),
1,
0
)
)
)
)"),0.0)</f>
        <v>0</v>
      </c>
      <c r="L1992" s="7" t="str">
        <f t="shared" si="3"/>
        <v>Other</v>
      </c>
      <c r="M1992" s="7" t="str">
        <f t="shared" si="4"/>
        <v>Positive</v>
      </c>
      <c r="N1992" s="7" t="str">
        <f>IFERROR(__xludf.DUMMYFUNCTION("LOWER(
TRIM(
REGEXREPLACE(B1992,""[^a-zA-Z\s]"","""")
)
)
"),"michael neyhart")</f>
        <v>michael neyhart</v>
      </c>
      <c r="O1992" s="7">
        <f t="shared" si="5"/>
        <v>1</v>
      </c>
      <c r="P1992" s="8" t="str">
        <f t="shared" si="6"/>
        <v>No</v>
      </c>
    </row>
    <row r="1993">
      <c r="A1993" s="4" t="s">
        <v>16</v>
      </c>
      <c r="B1993" s="4" t="s">
        <v>5618</v>
      </c>
      <c r="C1993" s="9">
        <v>44748.0</v>
      </c>
      <c r="D1993" s="10">
        <v>44748.0</v>
      </c>
      <c r="E1993" s="4" t="s">
        <v>5619</v>
      </c>
      <c r="F1993" s="4" t="s">
        <v>5620</v>
      </c>
      <c r="G1993" s="6" t="str">
        <f>IFERROR(__xludf.DUMMYFUNCTION("REGEXREPLACE(LOWER(F1993),""[^a-z\s]"","""")"),"trustworthy company i recommend them")</f>
        <v>trustworthy company i recommend them</v>
      </c>
      <c r="H1993" s="4" t="str">
        <f t="shared" si="1"/>
        <v>trustworthy company i recommend them</v>
      </c>
      <c r="I1993" s="6">
        <f t="shared" si="2"/>
        <v>5</v>
      </c>
      <c r="J1993" s="6">
        <f>IFERROR(__xludf.DUMMYFUNCTION("IF(H1993="""","""",
SUM(
ARRAYFORMULA(
IF(
REGEXMATCH(
"" ""&amp;H1993&amp;"" "",
"" ""&amp;Sentiment_Words!A$2:A3730&amp;"" ""
),
1,
0
)
)
)
)"),0.0)</f>
        <v>0</v>
      </c>
      <c r="K1993" s="4">
        <f>IFERROR(__xludf.DUMMYFUNCTION("IF(H1993="""","""",
SUM(
ARRAYFORMULA(
IF(
REGEXMATCH(
"" ""&amp;H1993&amp;"" "",
"" ""&amp;Sentiment_Words!B$2:B3730&amp;"" ""
),
1,
0
)
)
)
)"),0.0)</f>
        <v>0</v>
      </c>
      <c r="L1993" s="7" t="str">
        <f t="shared" si="3"/>
        <v>Trust &amp; Experience</v>
      </c>
      <c r="M1993" s="7" t="str">
        <f t="shared" si="4"/>
        <v>Neutral</v>
      </c>
      <c r="N1993" s="7" t="str">
        <f>IFERROR(__xludf.DUMMYFUNCTION("LOWER(
TRIM(
REGEXREPLACE(B1993,""[^a-zA-Z\s]"","""")
)
)
"),"sk source")</f>
        <v>sk source</v>
      </c>
      <c r="O1993" s="7">
        <f t="shared" si="5"/>
        <v>1</v>
      </c>
      <c r="P1993" s="8" t="str">
        <f t="shared" si="6"/>
        <v>No</v>
      </c>
    </row>
    <row r="1994">
      <c r="A1994" s="4" t="s">
        <v>16</v>
      </c>
      <c r="B1994" s="4" t="s">
        <v>5621</v>
      </c>
      <c r="C1994" s="9">
        <v>44748.0</v>
      </c>
      <c r="D1994" s="10">
        <v>44748.0</v>
      </c>
      <c r="E1994" s="4" t="s">
        <v>5622</v>
      </c>
      <c r="F1994" s="4" t="s">
        <v>5623</v>
      </c>
      <c r="G1994" s="6" t="str">
        <f>IFERROR(__xludf.DUMMYFUNCTION("REGEXREPLACE(LOWER(F1994),""[^a-z\s]"","""")"),"i am a loyal petflow customer for  years i am so happy to use their website i regularly order food and toys for my dog i place an order online and immediately receive confirmation then amazingly i get the order within  days petflow carries anything you ne"&amp;"ed for your pet a wonderful company to do business with")</f>
        <v>i am a loyal petflow customer for  years i am so happy to use their website i regularly order food and toys for my dog i place an order online and immediately receive confirmation then amazingly i get the order within  days petflow carries anything you need for your pet a wonderful company to do business with</v>
      </c>
      <c r="H1994" s="4" t="str">
        <f t="shared" si="1"/>
        <v>i am a loyal petflow customer years i am so happy use their website i regularly order food toys my dog i place an order online immediately receive confirmation then amazingly i get order within days petflow carries anything you need your pet a wonderful company do business with</v>
      </c>
      <c r="I1994" s="6">
        <f t="shared" si="2"/>
        <v>49</v>
      </c>
      <c r="J1994" s="6">
        <f>IFERROR(__xludf.DUMMYFUNCTION("IF(H1994="""","""",
SUM(
ARRAYFORMULA(
IF(
REGEXMATCH(
"" ""&amp;H1994&amp;"" "",
"" ""&amp;Sentiment_Words!A$2:A3730&amp;"" ""
),
1,
0
)
)
)
)"),3.0)</f>
        <v>3</v>
      </c>
      <c r="K1994" s="4">
        <f>IFERROR(__xludf.DUMMYFUNCTION("IF(H1994="""","""",
SUM(
ARRAYFORMULA(
IF(
REGEXMATCH(
"" ""&amp;H1994&amp;"" "",
"" ""&amp;Sentiment_Words!B$2:B3730&amp;"" ""
),
1,
0
)
)
)
)"),0.0)</f>
        <v>0</v>
      </c>
      <c r="L1994" s="7" t="str">
        <f t="shared" si="3"/>
        <v>Account &amp; Website</v>
      </c>
      <c r="M1994" s="7" t="str">
        <f t="shared" si="4"/>
        <v>Positive</v>
      </c>
      <c r="N1994" s="7" t="str">
        <f>IFERROR(__xludf.DUMMYFUNCTION("LOWER(
TRIM(
REGEXREPLACE(B1994,""[^a-zA-Z\s]"","""")
)
)
"),"molly")</f>
        <v>molly</v>
      </c>
      <c r="O1994" s="7">
        <f t="shared" si="5"/>
        <v>1</v>
      </c>
      <c r="P1994" s="8" t="str">
        <f t="shared" si="6"/>
        <v>No</v>
      </c>
    </row>
    <row r="1995">
      <c r="A1995" s="4" t="s">
        <v>16</v>
      </c>
      <c r="B1995" s="4" t="s">
        <v>5624</v>
      </c>
      <c r="C1995" s="9">
        <v>44748.0</v>
      </c>
      <c r="D1995" s="10">
        <v>44748.0</v>
      </c>
      <c r="E1995" s="4" t="s">
        <v>5338</v>
      </c>
      <c r="F1995" s="4" t="s">
        <v>331</v>
      </c>
      <c r="G1995" s="6" t="str">
        <f>IFERROR(__xludf.DUMMYFUNCTION("REGEXREPLACE(LOWER(F1995),""[^a-z\s]"","""")"),"none")</f>
        <v>none</v>
      </c>
      <c r="H1995" s="4" t="str">
        <f t="shared" si="1"/>
        <v>none</v>
      </c>
      <c r="I1995" s="6">
        <f t="shared" si="2"/>
        <v>1</v>
      </c>
      <c r="J1995" s="6">
        <f>IFERROR(__xludf.DUMMYFUNCTION("IF(H1995="""","""",
SUM(
ARRAYFORMULA(
IF(
REGEXMATCH(
"" ""&amp;H1995&amp;"" "",
"" ""&amp;Sentiment_Words!A$2:A3730&amp;"" ""
),
1,
0
)
)
)
)"),0.0)</f>
        <v>0</v>
      </c>
      <c r="K1995" s="4">
        <f>IFERROR(__xludf.DUMMYFUNCTION("IF(H1995="""","""",
SUM(
ARRAYFORMULA(
IF(
REGEXMATCH(
"" ""&amp;H1995&amp;"" "",
"" ""&amp;Sentiment_Words!B$2:B3730&amp;"" ""
),
1,
0
)
)
)
)"),0.0)</f>
        <v>0</v>
      </c>
      <c r="L1995" s="7" t="str">
        <f t="shared" si="3"/>
        <v>Other</v>
      </c>
      <c r="M1995" s="7" t="str">
        <f t="shared" si="4"/>
        <v>Neutral</v>
      </c>
      <c r="N1995" s="7" t="str">
        <f>IFERROR(__xludf.DUMMYFUNCTION("LOWER(
TRIM(
REGEXREPLACE(B1995,""[^a-zA-Z\s]"","""")
)
)
"),"joe buffa")</f>
        <v>joe buffa</v>
      </c>
      <c r="O1995" s="7">
        <f t="shared" si="5"/>
        <v>1</v>
      </c>
      <c r="P1995" s="8" t="str">
        <f t="shared" si="6"/>
        <v>No</v>
      </c>
    </row>
    <row r="1996">
      <c r="A1996" s="4" t="s">
        <v>16</v>
      </c>
      <c r="B1996" s="4" t="s">
        <v>5625</v>
      </c>
      <c r="C1996" s="9">
        <v>44747.0</v>
      </c>
      <c r="D1996" s="10">
        <v>44748.0</v>
      </c>
      <c r="E1996" s="4" t="s">
        <v>5626</v>
      </c>
      <c r="F1996" s="4" t="s">
        <v>331</v>
      </c>
      <c r="G1996" s="6" t="str">
        <f>IFERROR(__xludf.DUMMYFUNCTION("REGEXREPLACE(LOWER(F1996),""[^a-z\s]"","""")"),"none")</f>
        <v>none</v>
      </c>
      <c r="H1996" s="4" t="str">
        <f t="shared" si="1"/>
        <v>none</v>
      </c>
      <c r="I1996" s="6">
        <f t="shared" si="2"/>
        <v>1</v>
      </c>
      <c r="J1996" s="6">
        <f>IFERROR(__xludf.DUMMYFUNCTION("IF(H1996="""","""",
SUM(
ARRAYFORMULA(
IF(
REGEXMATCH(
"" ""&amp;H1996&amp;"" "",
"" ""&amp;Sentiment_Words!A$2:A3730&amp;"" ""
),
1,
0
)
)
)
)"),0.0)</f>
        <v>0</v>
      </c>
      <c r="K1996" s="4">
        <f>IFERROR(__xludf.DUMMYFUNCTION("IF(H1996="""","""",
SUM(
ARRAYFORMULA(
IF(
REGEXMATCH(
"" ""&amp;H1996&amp;"" "",
"" ""&amp;Sentiment_Words!B$2:B3730&amp;"" ""
),
1,
0
)
)
)
)"),0.0)</f>
        <v>0</v>
      </c>
      <c r="L1996" s="7" t="str">
        <f t="shared" si="3"/>
        <v>Other</v>
      </c>
      <c r="M1996" s="7" t="str">
        <f t="shared" si="4"/>
        <v>Neutral</v>
      </c>
      <c r="N1996" s="7" t="str">
        <f>IFERROR(__xludf.DUMMYFUNCTION("LOWER(
TRIM(
REGEXREPLACE(B1996,""[^a-zA-Z\s]"","""")
)
)
"),"an")</f>
        <v>an</v>
      </c>
      <c r="O1996" s="7">
        <f t="shared" si="5"/>
        <v>1</v>
      </c>
      <c r="P1996" s="8" t="str">
        <f t="shared" si="6"/>
        <v>No</v>
      </c>
    </row>
    <row r="1997">
      <c r="A1997" s="4" t="s">
        <v>16</v>
      </c>
      <c r="B1997" s="4" t="s">
        <v>5627</v>
      </c>
      <c r="C1997" s="9">
        <v>44747.0</v>
      </c>
      <c r="D1997" s="10">
        <v>44747.0</v>
      </c>
      <c r="E1997" s="4" t="s">
        <v>5628</v>
      </c>
      <c r="F1997" s="4" t="s">
        <v>331</v>
      </c>
      <c r="G1997" s="6" t="str">
        <f>IFERROR(__xludf.DUMMYFUNCTION("REGEXREPLACE(LOWER(F1997),""[^a-z\s]"","""")"),"none")</f>
        <v>none</v>
      </c>
      <c r="H1997" s="4" t="str">
        <f t="shared" si="1"/>
        <v>none</v>
      </c>
      <c r="I1997" s="6">
        <f t="shared" si="2"/>
        <v>1</v>
      </c>
      <c r="J1997" s="6">
        <f>IFERROR(__xludf.DUMMYFUNCTION("IF(H1997="""","""",
SUM(
ARRAYFORMULA(
IF(
REGEXMATCH(
"" ""&amp;H1997&amp;"" "",
"" ""&amp;Sentiment_Words!A$2:A3730&amp;"" ""
),
1,
0
)
)
)
)"),0.0)</f>
        <v>0</v>
      </c>
      <c r="K1997" s="4">
        <f>IFERROR(__xludf.DUMMYFUNCTION("IF(H1997="""","""",
SUM(
ARRAYFORMULA(
IF(
REGEXMATCH(
"" ""&amp;H1997&amp;"" "",
"" ""&amp;Sentiment_Words!B$2:B3730&amp;"" ""
),
1,
0
)
)
)
)"),0.0)</f>
        <v>0</v>
      </c>
      <c r="L1997" s="7" t="str">
        <f t="shared" si="3"/>
        <v>Other</v>
      </c>
      <c r="M1997" s="7" t="str">
        <f t="shared" si="4"/>
        <v>Neutral</v>
      </c>
      <c r="N1997" s="7" t="str">
        <f>IFERROR(__xludf.DUMMYFUNCTION("LOWER(
TRIM(
REGEXREPLACE(B1997,""[^a-zA-Z\s]"","""")
)
)
"),"lisa ingram")</f>
        <v>lisa ingram</v>
      </c>
      <c r="O1997" s="7">
        <f t="shared" si="5"/>
        <v>1</v>
      </c>
      <c r="P1997" s="8" t="str">
        <f t="shared" si="6"/>
        <v>No</v>
      </c>
    </row>
    <row r="1998">
      <c r="A1998" s="4" t="s">
        <v>16</v>
      </c>
      <c r="B1998" s="4" t="s">
        <v>5629</v>
      </c>
      <c r="C1998" s="9">
        <v>44747.0</v>
      </c>
      <c r="D1998" s="10">
        <v>44747.0</v>
      </c>
      <c r="E1998" s="4" t="s">
        <v>5630</v>
      </c>
      <c r="F1998" s="4" t="s">
        <v>5631</v>
      </c>
      <c r="G1998" s="6" t="str">
        <f>IFERROR(__xludf.DUMMYFUNCTION("REGEXREPLACE(LOWER(F1998),""[^a-z\s]"","""")"),"sent quickly great experiences so farthank you
judith")</f>
        <v>sent quickly great experiences so farthank you
judith</v>
      </c>
      <c r="H1998" s="4" t="str">
        <f t="shared" si="1"/>
        <v>sent quickly great experiences so farthank you
judith</v>
      </c>
      <c r="I1998" s="6">
        <f t="shared" si="2"/>
        <v>7</v>
      </c>
      <c r="J1998" s="6">
        <f>IFERROR(__xludf.DUMMYFUNCTION("IF(H1998="""","""",
SUM(
ARRAYFORMULA(
IF(
REGEXMATCH(
"" ""&amp;H1998&amp;"" "",
"" ""&amp;Sentiment_Words!A$2:A3730&amp;"" ""
),
1,
0
)
)
)
)"),1.0)</f>
        <v>1</v>
      </c>
      <c r="K1998" s="4">
        <f>IFERROR(__xludf.DUMMYFUNCTION("IF(H1998="""","""",
SUM(
ARRAYFORMULA(
IF(
REGEXMATCH(
"" ""&amp;H1998&amp;"" "",
"" ""&amp;Sentiment_Words!B$2:B3730&amp;"" ""
),
1,
0
)
)
)
)"),0.0)</f>
        <v>0</v>
      </c>
      <c r="L1998" s="7" t="str">
        <f t="shared" si="3"/>
        <v>Other</v>
      </c>
      <c r="M1998" s="7" t="str">
        <f t="shared" si="4"/>
        <v>Positive</v>
      </c>
      <c r="N1998" s="7" t="str">
        <f>IFERROR(__xludf.DUMMYFUNCTION("LOWER(
TRIM(
REGEXREPLACE(B1998,""[^a-zA-Z\s]"","""")
)
)
"),"judith harris")</f>
        <v>judith harris</v>
      </c>
      <c r="O1998" s="7">
        <f t="shared" si="5"/>
        <v>1</v>
      </c>
      <c r="P1998" s="8" t="str">
        <f t="shared" si="6"/>
        <v>No</v>
      </c>
    </row>
    <row r="1999">
      <c r="A1999" s="4" t="s">
        <v>16</v>
      </c>
      <c r="B1999" s="4" t="s">
        <v>5632</v>
      </c>
      <c r="C1999" s="9">
        <v>44746.0</v>
      </c>
      <c r="D1999" s="10">
        <v>44746.0</v>
      </c>
      <c r="E1999" s="4" t="s">
        <v>5633</v>
      </c>
      <c r="F1999" s="4" t="s">
        <v>5634</v>
      </c>
      <c r="G1999" s="6" t="str">
        <f>IFERROR(__xludf.DUMMYFUNCTION("REGEXREPLACE(LOWER(F1999),""[^a-z\s]"","""")"),"recommend this vendor the items i wanted were in stock i had a coupon yeah and the checkout was two clicks since i was already registered and my information was stored i received the ahipping information within hours and the  cases of dog food arrived pac"&amp;"kaged welland with no dents in the cans expiration dates are well in the future there are a lot of online pet stores but i buy from petflow a lot because the prices are good and they communicate well about the status of the orders")</f>
        <v>recommend this vendor the items i wanted were in stock i had a coupon yeah and the checkout was two clicks since i was already registered and my information was stored i received the ahipping information within hours and the  cases of dog food arrived packaged welland with no dents in the cans expiration dates are well in the future there are a lot of online pet stores but i buy from petflow a lot because the prices are good and they communicate well about the status of the orders</v>
      </c>
      <c r="H1999" s="4" t="str">
        <f t="shared" si="1"/>
        <v>recommend this vendor items i wanted were in stock i had a coupon yeah checkout was two clicks since i was already registered my information was stored i received ahipping information within hours cases of dog food arrived packaged welland with no dents in cans expiration dates are well in future there are a lot of online pet stores but i buy from petflow a lot because prices are good they communicate well about status of orders</v>
      </c>
      <c r="I1999" s="6">
        <f t="shared" si="2"/>
        <v>77</v>
      </c>
      <c r="J1999" s="6">
        <f>IFERROR(__xludf.DUMMYFUNCTION("IF(H1999="""","""",
SUM(
ARRAYFORMULA(
IF(
REGEXMATCH(
"" ""&amp;H1999&amp;"" "",
"" ""&amp;Sentiment_Words!A$2:A3730&amp;"" ""
),
1,
0
)
)
)
)"),1.0)</f>
        <v>1</v>
      </c>
      <c r="K1999" s="4">
        <f>IFERROR(__xludf.DUMMYFUNCTION("IF(H1999="""","""",
SUM(
ARRAYFORMULA(
IF(
REGEXMATCH(
"" ""&amp;H1999&amp;"" "",
"" ""&amp;Sentiment_Words!B$2:B3730&amp;"" ""
),
1,
0
)
)
)
)"),0.0)</f>
        <v>0</v>
      </c>
      <c r="L1999" s="7" t="str">
        <f t="shared" si="3"/>
        <v>Other</v>
      </c>
      <c r="M1999" s="7" t="str">
        <f t="shared" si="4"/>
        <v>Positive</v>
      </c>
      <c r="N1999" s="7" t="str">
        <f>IFERROR(__xludf.DUMMYFUNCTION("LOWER(
TRIM(
REGEXREPLACE(B1999,""[^a-zA-Z\s]"","""")
)
)
"),"chris")</f>
        <v>chris</v>
      </c>
      <c r="O1999" s="7">
        <f t="shared" si="5"/>
        <v>5</v>
      </c>
      <c r="P1999" s="8" t="str">
        <f t="shared" si="6"/>
        <v>Yes</v>
      </c>
    </row>
    <row r="2000">
      <c r="A2000" s="4" t="s">
        <v>16</v>
      </c>
      <c r="B2000" s="4" t="s">
        <v>5635</v>
      </c>
      <c r="C2000" s="9">
        <v>44746.0</v>
      </c>
      <c r="D2000" s="10">
        <v>44746.0</v>
      </c>
      <c r="E2000" s="4" t="s">
        <v>5636</v>
      </c>
      <c r="F2000" s="4" t="s">
        <v>5637</v>
      </c>
      <c r="G2000" s="6" t="str">
        <f>IFERROR(__xludf.DUMMYFUNCTION("REGEXREPLACE(LOWER(F2000),""[^a-z\s]"","""")"),"had the cat food i needed just before i was about to run out and received quickly")</f>
        <v>had the cat food i needed just before i was about to run out and received quickly</v>
      </c>
      <c r="H2000" s="4" t="str">
        <f t="shared" si="1"/>
        <v>had cat food i needed just before i was about run out received quickly</v>
      </c>
      <c r="I2000" s="6">
        <f t="shared" si="2"/>
        <v>14</v>
      </c>
      <c r="J2000" s="6">
        <f>IFERROR(__xludf.DUMMYFUNCTION("IF(H2000="""","""",
SUM(
ARRAYFORMULA(
IF(
REGEXMATCH(
"" ""&amp;H2000&amp;"" "",
"" ""&amp;Sentiment_Words!A$2:A3730&amp;"" ""
),
1,
0
)
)
)
)"),0.0)</f>
        <v>0</v>
      </c>
      <c r="K2000" s="4">
        <f>IFERROR(__xludf.DUMMYFUNCTION("IF(H2000="""","""",
SUM(
ARRAYFORMULA(
IF(
REGEXMATCH(
"" ""&amp;H2000&amp;"" "",
"" ""&amp;Sentiment_Words!B$2:B3730&amp;"" ""
),
1,
0
)
)
)
)"),0.0)</f>
        <v>0</v>
      </c>
      <c r="L2000" s="7" t="str">
        <f t="shared" si="3"/>
        <v>Other</v>
      </c>
      <c r="M2000" s="7" t="str">
        <f t="shared" si="4"/>
        <v>Neutral</v>
      </c>
      <c r="N2000" s="7" t="str">
        <f>IFERROR(__xludf.DUMMYFUNCTION("LOWER(
TRIM(
REGEXREPLACE(B2000,""[^a-zA-Z\s]"","""")
)
)
"),"vicky brown")</f>
        <v>vicky brown</v>
      </c>
      <c r="O2000" s="7">
        <f t="shared" si="5"/>
        <v>1</v>
      </c>
      <c r="P2000" s="8" t="str">
        <f t="shared" si="6"/>
        <v>No</v>
      </c>
    </row>
    <row r="2001">
      <c r="A2001" s="4" t="s">
        <v>16</v>
      </c>
      <c r="B2001" s="4" t="s">
        <v>5638</v>
      </c>
      <c r="C2001" s="9">
        <v>44746.0</v>
      </c>
      <c r="D2001" s="10">
        <v>44746.0</v>
      </c>
      <c r="E2001" s="4" t="s">
        <v>5639</v>
      </c>
      <c r="F2001" s="4" t="s">
        <v>5640</v>
      </c>
      <c r="G2001" s="6" t="str">
        <f>IFERROR(__xludf.DUMMYFUNCTION("REGEXREPLACE(LOWER(F2001),""[^a-z\s]"","""")"),"always helpful courteous on time delivery")</f>
        <v>always helpful courteous on time delivery</v>
      </c>
      <c r="H2001" s="4" t="str">
        <f t="shared" si="1"/>
        <v>always helpful courteous on time delivery</v>
      </c>
      <c r="I2001" s="6">
        <f t="shared" si="2"/>
        <v>6</v>
      </c>
      <c r="J2001" s="6">
        <f>IFERROR(__xludf.DUMMYFUNCTION("IF(H2001="""","""",
SUM(
ARRAYFORMULA(
IF(
REGEXMATCH(
"" ""&amp;H2001&amp;"" "",
"" ""&amp;Sentiment_Words!A$2:A3730&amp;"" ""
),
1,
0
)
)
)
)"),3.0)</f>
        <v>3</v>
      </c>
      <c r="K2001" s="4">
        <f>IFERROR(__xludf.DUMMYFUNCTION("IF(H2001="""","""",
SUM(
ARRAYFORMULA(
IF(
REGEXMATCH(
"" ""&amp;H2001&amp;"" "",
"" ""&amp;Sentiment_Words!B$2:B3730&amp;"" ""
),
1,
0
)
)
)
)"),0.0)</f>
        <v>0</v>
      </c>
      <c r="L2001" s="7" t="str">
        <f t="shared" si="3"/>
        <v>Other</v>
      </c>
      <c r="M2001" s="7" t="str">
        <f t="shared" si="4"/>
        <v>Positive</v>
      </c>
      <c r="N2001" s="7" t="str">
        <f>IFERROR(__xludf.DUMMYFUNCTION("LOWER(
TRIM(
REGEXREPLACE(B2001,""[^a-zA-Z\s]"","""")
)
)
"),"customerjeannie")</f>
        <v>customerjeannie</v>
      </c>
      <c r="O2001" s="7">
        <f t="shared" si="5"/>
        <v>1</v>
      </c>
      <c r="P2001" s="8" t="str">
        <f t="shared" si="6"/>
        <v>No</v>
      </c>
    </row>
    <row r="2002">
      <c r="A2002" s="4" t="s">
        <v>16</v>
      </c>
      <c r="B2002" s="4" t="s">
        <v>5641</v>
      </c>
      <c r="C2002" s="9">
        <v>44746.0</v>
      </c>
      <c r="D2002" s="10">
        <v>44746.0</v>
      </c>
      <c r="E2002" s="4" t="s">
        <v>5642</v>
      </c>
      <c r="F2002" s="4" t="s">
        <v>5643</v>
      </c>
      <c r="G2002" s="6" t="str">
        <f>IFERROR(__xludf.DUMMYFUNCTION("REGEXREPLACE(LOWER(F2002),""[^a-z\s]"","""")"),"delivery was fast in spite of coming all the way across the country  i cannot find the bowls i received in this order with food anywhere else i only see bigger sizes elsewhere since my girls are small i prefer the smaller bowls by ourpets the bowls are st"&amp;"urdy nonskid and a good size for littles the food is also loved by  of my  personal dogs th is on a kidney food")</f>
        <v>delivery was fast in spite of coming all the way across the country  i cannot find the bowls i received in this order with food anywhere else i only see bigger sizes elsewhere since my girls are small i prefer the smaller bowls by ourpets the bowls are sturdy nonskid and a good size for littles the food is also loved by  of my  personal dogs th is on a kidney food</v>
      </c>
      <c r="H2002" s="4" t="str">
        <f t="shared" si="1"/>
        <v>delivery was fast in spite of coming all way across country i cannot find bowls i received in this order with food anywhere else i only see bigger sizes elsewhere since my girls are small i prefer smaller bowls by ourpets bowls are sturdy nonskid a good size littles food also loved by of my personal dogs th on a kidney food</v>
      </c>
      <c r="I2002" s="6">
        <f t="shared" si="2"/>
        <v>62</v>
      </c>
      <c r="J2002" s="6">
        <f>IFERROR(__xludf.DUMMYFUNCTION("IF(H2002="""","""",
SUM(
ARRAYFORMULA(
IF(
REGEXMATCH(
"" ""&amp;H2002&amp;"" "",
"" ""&amp;Sentiment_Words!A$2:A3730&amp;"" ""
),
1,
0
)
)
)
)"),3.0)</f>
        <v>3</v>
      </c>
      <c r="K2002" s="4">
        <f>IFERROR(__xludf.DUMMYFUNCTION("IF(H2002="""","""",
SUM(
ARRAYFORMULA(
IF(
REGEXMATCH(
"" ""&amp;H2002&amp;"" "",
"" ""&amp;Sentiment_Words!B$2:B3730&amp;"" ""
),
1,
0
)
)
)
)"),0.0)</f>
        <v>0</v>
      </c>
      <c r="L2002" s="7" t="str">
        <f t="shared" si="3"/>
        <v>Other</v>
      </c>
      <c r="M2002" s="7" t="str">
        <f t="shared" si="4"/>
        <v>Positive</v>
      </c>
      <c r="N2002" s="7" t="str">
        <f>IFERROR(__xludf.DUMMYFUNCTION("LOWER(
TRIM(
REGEXREPLACE(B2002,""[^a-zA-Z\s]"","""")
)
)
"),"alyssa jolley")</f>
        <v>alyssa jolley</v>
      </c>
      <c r="O2002" s="7">
        <f t="shared" si="5"/>
        <v>1</v>
      </c>
      <c r="P2002" s="8" t="str">
        <f t="shared" si="6"/>
        <v>No</v>
      </c>
    </row>
    <row r="2003">
      <c r="A2003" s="4" t="s">
        <v>16</v>
      </c>
      <c r="B2003" s="4" t="s">
        <v>5644</v>
      </c>
      <c r="C2003" s="9">
        <v>44745.0</v>
      </c>
      <c r="D2003" s="10">
        <v>44746.0</v>
      </c>
      <c r="E2003" s="4" t="s">
        <v>5645</v>
      </c>
      <c r="F2003" s="4" t="s">
        <v>5646</v>
      </c>
      <c r="G2003" s="6" t="str">
        <f>IFERROR(__xludf.DUMMYFUNCTION("REGEXREPLACE(LOWER(F2003),""[^a-z\s]"","""")"),"have plenty of choices the shipping speeds are all time high and prices are reasonable for the items that are being sold at the website would buy again for my beloved pet")</f>
        <v>have plenty of choices the shipping speeds are all time high and prices are reasonable for the items that are being sold at the website would buy again for my beloved pet</v>
      </c>
      <c r="H2003" s="4" t="str">
        <f t="shared" si="1"/>
        <v>have plenty of choices shipping speeds are all time high prices are reasonable items that are being sold at website would buy again my beloved pet</v>
      </c>
      <c r="I2003" s="6">
        <f t="shared" si="2"/>
        <v>26</v>
      </c>
      <c r="J2003" s="6">
        <f>IFERROR(__xludf.DUMMYFUNCTION("IF(H2003="""","""",
SUM(
ARRAYFORMULA(
IF(
REGEXMATCH(
"" ""&amp;H2003&amp;"" "",
"" ""&amp;Sentiment_Words!A$2:A3730&amp;"" ""
),
1,
0
)
)
)
)"),0.0)</f>
        <v>0</v>
      </c>
      <c r="K2003" s="4">
        <f>IFERROR(__xludf.DUMMYFUNCTION("IF(H2003="""","""",
SUM(
ARRAYFORMULA(
IF(
REGEXMATCH(
"" ""&amp;H2003&amp;"" "",
"" ""&amp;Sentiment_Words!B$2:B3730&amp;"" ""
),
1,
0
)
)
)
)"),0.0)</f>
        <v>0</v>
      </c>
      <c r="L2003" s="7" t="str">
        <f t="shared" si="3"/>
        <v>Account &amp; Website</v>
      </c>
      <c r="M2003" s="7" t="str">
        <f t="shared" si="4"/>
        <v>Neutral</v>
      </c>
      <c r="N2003" s="7" t="str">
        <f>IFERROR(__xludf.DUMMYFUNCTION("LOWER(
TRIM(
REGEXREPLACE(B2003,""[^a-zA-Z\s]"","""")
)
)
"),"lidia antoni ljubic")</f>
        <v>lidia antoni ljubic</v>
      </c>
      <c r="O2003" s="7">
        <f t="shared" si="5"/>
        <v>1</v>
      </c>
      <c r="P2003" s="8" t="str">
        <f t="shared" si="6"/>
        <v>No</v>
      </c>
    </row>
    <row r="2004">
      <c r="A2004" s="4" t="s">
        <v>16</v>
      </c>
      <c r="B2004" s="4" t="s">
        <v>5647</v>
      </c>
      <c r="C2004" s="9">
        <v>44745.0</v>
      </c>
      <c r="D2004" s="10">
        <v>44745.0</v>
      </c>
      <c r="E2004" s="4" t="s">
        <v>5648</v>
      </c>
      <c r="F2004" s="4" t="s">
        <v>5649</v>
      </c>
      <c r="G2004" s="6" t="str">
        <f>IFERROR(__xludf.DUMMYFUNCTION("REGEXREPLACE(LOWER(F2004),""[^a-z\s]"","""")"),"excellent customer service solving an issue with my order")</f>
        <v>excellent customer service solving an issue with my order</v>
      </c>
      <c r="H2004" s="4" t="str">
        <f t="shared" si="1"/>
        <v>excellent customer service solving an issue with my order</v>
      </c>
      <c r="I2004" s="6">
        <f t="shared" si="2"/>
        <v>9</v>
      </c>
      <c r="J2004" s="6">
        <f>IFERROR(__xludf.DUMMYFUNCTION("IF(H2004="""","""",
SUM(
ARRAYFORMULA(
IF(
REGEXMATCH(
"" ""&amp;H2004&amp;"" "",
"" ""&amp;Sentiment_Words!A$2:A3730&amp;"" ""
),
1,
0
)
)
)
)"),0.0)</f>
        <v>0</v>
      </c>
      <c r="K2004" s="4">
        <f>IFERROR(__xludf.DUMMYFUNCTION("IF(H2004="""","""",
SUM(
ARRAYFORMULA(
IF(
REGEXMATCH(
"" ""&amp;H2004&amp;"" "",
"" ""&amp;Sentiment_Words!B$2:B3730&amp;"" ""
),
1,
0
)
)
)
)"),2.0)</f>
        <v>2</v>
      </c>
      <c r="L2004" s="7" t="str">
        <f t="shared" si="3"/>
        <v>Customer Support</v>
      </c>
      <c r="M2004" s="7" t="str">
        <f t="shared" si="4"/>
        <v>Negative</v>
      </c>
      <c r="N2004" s="7" t="str">
        <f>IFERROR(__xludf.DUMMYFUNCTION("LOWER(
TRIM(
REGEXREPLACE(B2004,""[^a-zA-Z\s]"","""")
)
)
"),"jk")</f>
        <v>jk</v>
      </c>
      <c r="O2004" s="7">
        <f t="shared" si="5"/>
        <v>2</v>
      </c>
      <c r="P2004" s="8" t="str">
        <f t="shared" si="6"/>
        <v>Yes</v>
      </c>
    </row>
    <row r="2005">
      <c r="A2005" s="4" t="s">
        <v>16</v>
      </c>
      <c r="B2005" s="4" t="s">
        <v>5650</v>
      </c>
      <c r="C2005" s="9">
        <v>44745.0</v>
      </c>
      <c r="D2005" s="10">
        <v>44745.0</v>
      </c>
      <c r="E2005" s="4" t="s">
        <v>4764</v>
      </c>
      <c r="F2005" s="4" t="s">
        <v>5651</v>
      </c>
      <c r="G2005" s="6" t="str">
        <f>IFERROR(__xludf.DUMMYFUNCTION("REGEXREPLACE(LOWER(F2005),""[^a-z\s]"","""")"),"everything was great it was definitely time for new dry dog food i only wish i could buy a smaller size everything else is perfect")</f>
        <v>everything was great it was definitely time for new dry dog food i only wish i could buy a smaller size everything else is perfect</v>
      </c>
      <c r="H2005" s="4" t="str">
        <f t="shared" si="1"/>
        <v>everything was great it was definitely time new dry dog food i only wish i could buy a smaller size everything else perfect</v>
      </c>
      <c r="I2005" s="6">
        <f t="shared" si="2"/>
        <v>23</v>
      </c>
      <c r="J2005" s="6">
        <f>IFERROR(__xludf.DUMMYFUNCTION("IF(H2005="""","""",
SUM(
ARRAYFORMULA(
IF(
REGEXMATCH(
"" ""&amp;H2005&amp;"" "",
"" ""&amp;Sentiment_Words!A$2:A3730&amp;"" ""
),
1,
0
)
)
)
)"),1.0)</f>
        <v>1</v>
      </c>
      <c r="K2005" s="4">
        <f>IFERROR(__xludf.DUMMYFUNCTION("IF(H2005="""","""",
SUM(
ARRAYFORMULA(
IF(
REGEXMATCH(
"" ""&amp;H2005&amp;"" "",
"" ""&amp;Sentiment_Words!B$2:B3730&amp;"" ""
),
1,
0
)
)
)
)"),0.0)</f>
        <v>0</v>
      </c>
      <c r="L2005" s="7" t="str">
        <f t="shared" si="3"/>
        <v>Other</v>
      </c>
      <c r="M2005" s="7" t="str">
        <f t="shared" si="4"/>
        <v>Positive</v>
      </c>
      <c r="N2005" s="7" t="str">
        <f>IFERROR(__xludf.DUMMYFUNCTION("LOWER(
TRIM(
REGEXREPLACE(B2005,""[^a-zA-Z\s]"","""")
)
)
"),"chelsey hutchings")</f>
        <v>chelsey hutchings</v>
      </c>
      <c r="O2005" s="7">
        <f t="shared" si="5"/>
        <v>1</v>
      </c>
      <c r="P2005" s="8" t="str">
        <f t="shared" si="6"/>
        <v>No</v>
      </c>
    </row>
    <row r="2006">
      <c r="A2006" s="4" t="s">
        <v>16</v>
      </c>
      <c r="B2006" s="4" t="s">
        <v>5652</v>
      </c>
      <c r="C2006" s="9">
        <v>44745.0</v>
      </c>
      <c r="D2006" s="10">
        <v>44745.0</v>
      </c>
      <c r="E2006" s="4" t="s">
        <v>5653</v>
      </c>
      <c r="F2006" s="4" t="s">
        <v>5654</v>
      </c>
      <c r="G2006" s="6" t="str">
        <f>IFERROR(__xludf.DUMMYFUNCTION("REGEXREPLACE(LOWER(F2006),""[^a-z\s]"","""")"),"satisfied with nutrisource dry dog food but pricey")</f>
        <v>satisfied with nutrisource dry dog food but pricey</v>
      </c>
      <c r="H2006" s="4" t="str">
        <f t="shared" si="1"/>
        <v>satisfied with nutrisource dry dog food but pricey</v>
      </c>
      <c r="I2006" s="6">
        <f t="shared" si="2"/>
        <v>8</v>
      </c>
      <c r="J2006" s="6">
        <f>IFERROR(__xludf.DUMMYFUNCTION("IF(H2006="""","""",
SUM(
ARRAYFORMULA(
IF(
REGEXMATCH(
"" ""&amp;H2006&amp;"" "",
"" ""&amp;Sentiment_Words!A$2:A3730&amp;"" ""
),
1,
0
)
)
)
)"),1.0)</f>
        <v>1</v>
      </c>
      <c r="K2006" s="4">
        <f>IFERROR(__xludf.DUMMYFUNCTION("IF(H2006="""","""",
SUM(
ARRAYFORMULA(
IF(
REGEXMATCH(
"" ""&amp;H2006&amp;"" "",
"" ""&amp;Sentiment_Words!B$2:B3730&amp;"" ""
),
1,
0
)
)
)
)"),0.0)</f>
        <v>0</v>
      </c>
      <c r="L2006" s="7" t="str">
        <f t="shared" si="3"/>
        <v>Other</v>
      </c>
      <c r="M2006" s="7" t="str">
        <f t="shared" si="4"/>
        <v>Positive</v>
      </c>
      <c r="N2006" s="7" t="str">
        <f>IFERROR(__xludf.DUMMYFUNCTION("LOWER(
TRIM(
REGEXREPLACE(B2006,""[^a-zA-Z\s]"","""")
)
)
"),"r meyer")</f>
        <v>r meyer</v>
      </c>
      <c r="O2006" s="7">
        <f t="shared" si="5"/>
        <v>1</v>
      </c>
      <c r="P2006" s="8" t="str">
        <f t="shared" si="6"/>
        <v>No</v>
      </c>
    </row>
    <row r="2007">
      <c r="A2007" s="4" t="s">
        <v>16</v>
      </c>
      <c r="B2007" s="4" t="s">
        <v>5655</v>
      </c>
      <c r="C2007" s="9">
        <v>44745.0</v>
      </c>
      <c r="D2007" s="10">
        <v>44745.0</v>
      </c>
      <c r="E2007" s="4" t="s">
        <v>5656</v>
      </c>
      <c r="F2007" s="4" t="s">
        <v>5657</v>
      </c>
      <c r="G2007" s="6" t="str">
        <f>IFERROR(__xludf.DUMMYFUNCTION("REGEXREPLACE(LOWER(F2007),""[^a-z\s]"","""")"),"good service i like how they keep you informed about your order ")</f>
        <v>good service i like how they keep you informed about your order </v>
      </c>
      <c r="H2007" s="4" t="str">
        <f t="shared" si="1"/>
        <v>good service i like how they keep you informed about your order</v>
      </c>
      <c r="I2007" s="6">
        <f t="shared" si="2"/>
        <v>12</v>
      </c>
      <c r="J2007" s="6">
        <f>IFERROR(__xludf.DUMMYFUNCTION("IF(H2007="""","""",
SUM(
ARRAYFORMULA(
IF(
REGEXMATCH(
"" ""&amp;H2007&amp;"" "",
"" ""&amp;Sentiment_Words!A$2:A3730&amp;"" ""
),
1,
0
)
)
)
)"),1.0)</f>
        <v>1</v>
      </c>
      <c r="K2007" s="4">
        <f>IFERROR(__xludf.DUMMYFUNCTION("IF(H2007="""","""",
SUM(
ARRAYFORMULA(
IF(
REGEXMATCH(
"" ""&amp;H2007&amp;"" "",
"" ""&amp;Sentiment_Words!B$2:B3730&amp;"" ""
),
1,
0
)
)
)
)"),0.0)</f>
        <v>0</v>
      </c>
      <c r="L2007" s="7" t="str">
        <f t="shared" si="3"/>
        <v>Customer Support</v>
      </c>
      <c r="M2007" s="7" t="str">
        <f t="shared" si="4"/>
        <v>Positive</v>
      </c>
      <c r="N2007" s="7" t="str">
        <f>IFERROR(__xludf.DUMMYFUNCTION("LOWER(
TRIM(
REGEXREPLACE(B2007,""[^a-zA-Z\s]"","""")
)
)
"),"maribel padilla")</f>
        <v>maribel padilla</v>
      </c>
      <c r="O2007" s="7">
        <f t="shared" si="5"/>
        <v>1</v>
      </c>
      <c r="P2007" s="8" t="str">
        <f t="shared" si="6"/>
        <v>No</v>
      </c>
    </row>
    <row r="2008">
      <c r="A2008" s="4" t="s">
        <v>16</v>
      </c>
      <c r="B2008" s="4" t="s">
        <v>5658</v>
      </c>
      <c r="C2008" s="9">
        <v>44745.0</v>
      </c>
      <c r="D2008" s="10">
        <v>44745.0</v>
      </c>
      <c r="E2008" s="4" t="s">
        <v>5659</v>
      </c>
      <c r="F2008" s="4" t="s">
        <v>5660</v>
      </c>
      <c r="G2008" s="6" t="str">
        <f>IFERROR(__xludf.DUMMYFUNCTION("REGEXREPLACE(LOWER(F2008),""[^a-z\s]"","""")"),"petflow sells the dog food and treats we prefer at a competitive price and the free shipping is so fast we live in a rural area where many items arent available and we really appreciate being able to shop with them")</f>
        <v>petflow sells the dog food and treats we prefer at a competitive price and the free shipping is so fast we live in a rural area where many items arent available and we really appreciate being able to shop with them</v>
      </c>
      <c r="H2008" s="4" t="str">
        <f t="shared" si="1"/>
        <v>petflow sells dog food treats we prefer at a competitive price free shipping so fast we live in a rural area where many items arent available we really appreciate being able shop with them</v>
      </c>
      <c r="I2008" s="6">
        <f t="shared" si="2"/>
        <v>34</v>
      </c>
      <c r="J2008" s="6">
        <f>IFERROR(__xludf.DUMMYFUNCTION("IF(H2008="""","""",
SUM(
ARRAYFORMULA(
IF(
REGEXMATCH(
"" ""&amp;H2008&amp;"" "",
"" ""&amp;Sentiment_Words!A$2:A3730&amp;"" ""
),
1,
0
)
)
)
)"),4.0)</f>
        <v>4</v>
      </c>
      <c r="K2008" s="4">
        <f>IFERROR(__xludf.DUMMYFUNCTION("IF(H2008="""","""",
SUM(
ARRAYFORMULA(
IF(
REGEXMATCH(
"" ""&amp;H2008&amp;"" "",
"" ""&amp;Sentiment_Words!B$2:B3730&amp;"" ""
),
1,
0
)
)
)
)"),0.0)</f>
        <v>0</v>
      </c>
      <c r="L2008" s="7" t="str">
        <f t="shared" si="3"/>
        <v>Other</v>
      </c>
      <c r="M2008" s="7" t="str">
        <f t="shared" si="4"/>
        <v>Positive</v>
      </c>
      <c r="N2008" s="7" t="str">
        <f>IFERROR(__xludf.DUMMYFUNCTION("LOWER(
TRIM(
REGEXREPLACE(B2008,""[^a-zA-Z\s]"","""")
)
)
"),"susan gibson")</f>
        <v>susan gibson</v>
      </c>
      <c r="O2008" s="7">
        <f t="shared" si="5"/>
        <v>1</v>
      </c>
      <c r="P2008" s="8" t="str">
        <f t="shared" si="6"/>
        <v>No</v>
      </c>
    </row>
    <row r="2009">
      <c r="A2009" s="4" t="s">
        <v>16</v>
      </c>
      <c r="B2009" s="4" t="s">
        <v>5661</v>
      </c>
      <c r="C2009" s="9">
        <v>44745.0</v>
      </c>
      <c r="D2009" s="10">
        <v>44745.0</v>
      </c>
      <c r="E2009" s="4" t="s">
        <v>5662</v>
      </c>
      <c r="F2009" s="4" t="s">
        <v>5663</v>
      </c>
      <c r="G2009" s="6" t="str">
        <f>IFERROR(__xludf.DUMMYFUNCTION("REGEXREPLACE(LOWER(F2009),""[^a-z\s]"","""")"),"fast shipping great products")</f>
        <v>fast shipping great products</v>
      </c>
      <c r="H2009" s="4" t="str">
        <f t="shared" si="1"/>
        <v>fast shipping great products</v>
      </c>
      <c r="I2009" s="6">
        <f t="shared" si="2"/>
        <v>4</v>
      </c>
      <c r="J2009" s="6">
        <f>IFERROR(__xludf.DUMMYFUNCTION("IF(H2009="""","""",
SUM(
ARRAYFORMULA(
IF(
REGEXMATCH(
"" ""&amp;H2009&amp;"" "",
"" ""&amp;Sentiment_Words!A$2:A3730&amp;"" ""
),
1,
0
)
)
)
)"),2.0)</f>
        <v>2</v>
      </c>
      <c r="K2009" s="4">
        <f>IFERROR(__xludf.DUMMYFUNCTION("IF(H2009="""","""",
SUM(
ARRAYFORMULA(
IF(
REGEXMATCH(
"" ""&amp;H2009&amp;"" "",
"" ""&amp;Sentiment_Words!B$2:B3730&amp;"" ""
),
1,
0
)
)
)
)"),0.0)</f>
        <v>0</v>
      </c>
      <c r="L2009" s="7" t="str">
        <f t="shared" si="3"/>
        <v>Other</v>
      </c>
      <c r="M2009" s="7" t="str">
        <f t="shared" si="4"/>
        <v>Positive</v>
      </c>
      <c r="N2009" s="7" t="str">
        <f>IFERROR(__xludf.DUMMYFUNCTION("LOWER(
TRIM(
REGEXREPLACE(B2009,""[^a-zA-Z\s]"","""")
)
)
"),"aqualiz")</f>
        <v>aqualiz</v>
      </c>
      <c r="O2009" s="7">
        <f t="shared" si="5"/>
        <v>1</v>
      </c>
      <c r="P2009" s="8" t="str">
        <f t="shared" si="6"/>
        <v>No</v>
      </c>
    </row>
    <row r="2010">
      <c r="A2010" s="4" t="s">
        <v>16</v>
      </c>
      <c r="B2010" s="4" t="s">
        <v>5664</v>
      </c>
      <c r="C2010" s="9">
        <v>44745.0</v>
      </c>
      <c r="D2010" s="10">
        <v>44745.0</v>
      </c>
      <c r="E2010" s="4" t="s">
        <v>5665</v>
      </c>
      <c r="F2010" s="4" t="s">
        <v>5666</v>
      </c>
      <c r="G2010" s="6" t="str">
        <f>IFERROR(__xludf.DUMMYFUNCTION("REGEXREPLACE(LOWER(F2010),""[^a-z\s]"","""")"),"fast efficient quality product that arrives when expected for a reasonable price")</f>
        <v>fast efficient quality product that arrives when expected for a reasonable price</v>
      </c>
      <c r="H2010" s="4" t="str">
        <f t="shared" si="1"/>
        <v>fast efficient quality product that arrives when expected a reasonable price</v>
      </c>
      <c r="I2010" s="6">
        <f t="shared" si="2"/>
        <v>11</v>
      </c>
      <c r="J2010" s="6">
        <f>IFERROR(__xludf.DUMMYFUNCTION("IF(H2010="""","""",
SUM(
ARRAYFORMULA(
IF(
REGEXMATCH(
"" ""&amp;H2010&amp;"" "",
"" ""&amp;Sentiment_Words!A$2:A3730&amp;"" ""
),
1,
0
)
)
)
)"),2.0)</f>
        <v>2</v>
      </c>
      <c r="K2010" s="4">
        <f>IFERROR(__xludf.DUMMYFUNCTION("IF(H2010="""","""",
SUM(
ARRAYFORMULA(
IF(
REGEXMATCH(
"" ""&amp;H2010&amp;"" "",
"" ""&amp;Sentiment_Words!B$2:B3730&amp;"" ""
),
1,
0
)
)
)
)"),0.0)</f>
        <v>0</v>
      </c>
      <c r="L2010" s="7" t="str">
        <f t="shared" si="3"/>
        <v>Other</v>
      </c>
      <c r="M2010" s="7" t="str">
        <f t="shared" si="4"/>
        <v>Positive</v>
      </c>
      <c r="N2010" s="7" t="str">
        <f>IFERROR(__xludf.DUMMYFUNCTION("LOWER(
TRIM(
REGEXREPLACE(B2010,""[^a-zA-Z\s]"","""")
)
)
"),"sam b")</f>
        <v>sam b</v>
      </c>
      <c r="O2010" s="7">
        <f t="shared" si="5"/>
        <v>1</v>
      </c>
      <c r="P2010" s="8" t="str">
        <f t="shared" si="6"/>
        <v>No</v>
      </c>
    </row>
    <row r="2011">
      <c r="A2011" s="4" t="s">
        <v>16</v>
      </c>
      <c r="B2011" s="4" t="s">
        <v>5667</v>
      </c>
      <c r="C2011" s="9">
        <v>44744.0</v>
      </c>
      <c r="D2011" s="10">
        <v>44744.0</v>
      </c>
      <c r="E2011" s="4" t="s">
        <v>4440</v>
      </c>
      <c r="F2011" s="4" t="s">
        <v>5668</v>
      </c>
      <c r="G2011" s="6" t="str">
        <f>IFERROR(__xludf.DUMMYFUNCTION("REGEXREPLACE(LOWER(F2011),""[^a-z\s]"","""")"),"i love that i can call and they have my account pulled up and bam ordered excellent customer service")</f>
        <v>i love that i can call and they have my account pulled up and bam ordered excellent customer service</v>
      </c>
      <c r="H2011" s="4" t="str">
        <f t="shared" si="1"/>
        <v>i love that i can call they have my account pulled up bam ordered excellent customer service</v>
      </c>
      <c r="I2011" s="6">
        <f t="shared" si="2"/>
        <v>17</v>
      </c>
      <c r="J2011" s="6">
        <f>IFERROR(__xludf.DUMMYFUNCTION("IF(H2011="""","""",
SUM(
ARRAYFORMULA(
IF(
REGEXMATCH(
"" ""&amp;H2011&amp;"" "",
"" ""&amp;Sentiment_Words!A$2:A3730&amp;"" ""
),
1,
0
)
)
)
)"),1.0)</f>
        <v>1</v>
      </c>
      <c r="K2011" s="4">
        <f>IFERROR(__xludf.DUMMYFUNCTION("IF(H2011="""","""",
SUM(
ARRAYFORMULA(
IF(
REGEXMATCH(
"" ""&amp;H2011&amp;"" "",
"" ""&amp;Sentiment_Words!B$2:B3730&amp;"" ""
),
1,
0
)
)
)
)"),1.0)</f>
        <v>1</v>
      </c>
      <c r="L2011" s="7" t="str">
        <f t="shared" si="3"/>
        <v>Customer Support</v>
      </c>
      <c r="M2011" s="7" t="str">
        <f t="shared" si="4"/>
        <v>Neutral</v>
      </c>
      <c r="N2011" s="7" t="str">
        <f>IFERROR(__xludf.DUMMYFUNCTION("LOWER(
TRIM(
REGEXREPLACE(B2011,""[^a-zA-Z\s]"","""")
)
)
"),"barbara moose")</f>
        <v>barbara moose</v>
      </c>
      <c r="O2011" s="7">
        <f t="shared" si="5"/>
        <v>1</v>
      </c>
      <c r="P2011" s="8" t="str">
        <f t="shared" si="6"/>
        <v>No</v>
      </c>
    </row>
    <row r="2012">
      <c r="A2012" s="4" t="s">
        <v>16</v>
      </c>
      <c r="B2012" s="4" t="s">
        <v>5669</v>
      </c>
      <c r="C2012" s="9">
        <v>44744.0</v>
      </c>
      <c r="D2012" s="10">
        <v>44744.0</v>
      </c>
      <c r="E2012" s="4" t="s">
        <v>5670</v>
      </c>
      <c r="F2012" s="4" t="s">
        <v>5671</v>
      </c>
      <c r="G2012" s="6" t="str">
        <f>IFERROR(__xludf.DUMMYFUNCTION("REGEXREPLACE(LOWER(F2012),""[^a-z\s]"","""")"),"quick shipment kept me informed good price and will buy from them again")</f>
        <v>quick shipment kept me informed good price and will buy from them again</v>
      </c>
      <c r="H2012" s="4" t="str">
        <f t="shared" si="1"/>
        <v>quick shipment kept me informed good price will buy from them again</v>
      </c>
      <c r="I2012" s="6">
        <f t="shared" si="2"/>
        <v>12</v>
      </c>
      <c r="J2012" s="6">
        <f>IFERROR(__xludf.DUMMYFUNCTION("IF(H2012="""","""",
SUM(
ARRAYFORMULA(
IF(
REGEXMATCH(
"" ""&amp;H2012&amp;"" "",
"" ""&amp;Sentiment_Words!A$2:A3730&amp;"" ""
),
1,
0
)
)
)
)"),1.0)</f>
        <v>1</v>
      </c>
      <c r="K2012" s="4">
        <f>IFERROR(__xludf.DUMMYFUNCTION("IF(H2012="""","""",
SUM(
ARRAYFORMULA(
IF(
REGEXMATCH(
"" ""&amp;H2012&amp;"" "",
"" ""&amp;Sentiment_Words!B$2:B3730&amp;"" ""
),
1,
0
)
)
)
)"),0.0)</f>
        <v>0</v>
      </c>
      <c r="L2012" s="7" t="str">
        <f t="shared" si="3"/>
        <v>Other</v>
      </c>
      <c r="M2012" s="7" t="str">
        <f t="shared" si="4"/>
        <v>Positive</v>
      </c>
      <c r="N2012" s="7" t="str">
        <f>IFERROR(__xludf.DUMMYFUNCTION("LOWER(
TRIM(
REGEXREPLACE(B2012,""[^a-zA-Z\s]"","""")
)
)
"),"deborah stumm")</f>
        <v>deborah stumm</v>
      </c>
      <c r="O2012" s="7">
        <f t="shared" si="5"/>
        <v>1</v>
      </c>
      <c r="P2012" s="8" t="str">
        <f t="shared" si="6"/>
        <v>No</v>
      </c>
    </row>
    <row r="2013">
      <c r="A2013" s="4" t="s">
        <v>16</v>
      </c>
      <c r="B2013" s="4" t="s">
        <v>5672</v>
      </c>
      <c r="C2013" s="9">
        <v>44744.0</v>
      </c>
      <c r="D2013" s="10">
        <v>44744.0</v>
      </c>
      <c r="E2013" s="4" t="s">
        <v>5673</v>
      </c>
      <c r="F2013" s="4" t="s">
        <v>5674</v>
      </c>
      <c r="G2013" s="6" t="str">
        <f>IFERROR(__xludf.DUMMYFUNCTION("REGEXREPLACE(LOWER(F2013),""[^a-z\s]"","""")"),"i ordered kong squeak ballsm my dog loves them and also loses them so now we have some extras the price was much better than on amazon")</f>
        <v>i ordered kong squeak ballsm my dog loves them and also loses them so now we have some extras the price was much better than on amazon</v>
      </c>
      <c r="H2013" s="4" t="str">
        <f t="shared" si="1"/>
        <v>i ordered kong squeak ballsm my dog loves them also loses them so now we have some extras price was much better than on amazon</v>
      </c>
      <c r="I2013" s="6">
        <f t="shared" si="2"/>
        <v>25</v>
      </c>
      <c r="J2013" s="6">
        <f>IFERROR(__xludf.DUMMYFUNCTION("IF(H2013="""","""",
SUM(
ARRAYFORMULA(
IF(
REGEXMATCH(
"" ""&amp;H2013&amp;"" "",
"" ""&amp;Sentiment_Words!A$2:A3730&amp;"" ""
),
1,
0
)
)
)
)"),0.0)</f>
        <v>0</v>
      </c>
      <c r="K2013" s="4">
        <f>IFERROR(__xludf.DUMMYFUNCTION("IF(H2013="""","""",
SUM(
ARRAYFORMULA(
IF(
REGEXMATCH(
"" ""&amp;H2013&amp;"" "",
"" ""&amp;Sentiment_Words!B$2:B3730&amp;"" ""
),
1,
0
)
)
)
)"),0.0)</f>
        <v>0</v>
      </c>
      <c r="L2013" s="7" t="str">
        <f t="shared" si="3"/>
        <v>Other</v>
      </c>
      <c r="M2013" s="7" t="str">
        <f t="shared" si="4"/>
        <v>Neutral</v>
      </c>
      <c r="N2013" s="7" t="str">
        <f>IFERROR(__xludf.DUMMYFUNCTION("LOWER(
TRIM(
REGEXREPLACE(B2013,""[^a-zA-Z\s]"","""")
)
)
"),"lilly")</f>
        <v>lilly</v>
      </c>
      <c r="O2013" s="7">
        <f t="shared" si="5"/>
        <v>1</v>
      </c>
      <c r="P2013" s="8" t="str">
        <f t="shared" si="6"/>
        <v>No</v>
      </c>
    </row>
    <row r="2014">
      <c r="A2014" s="4" t="s">
        <v>16</v>
      </c>
      <c r="B2014" s="4" t="s">
        <v>5675</v>
      </c>
      <c r="C2014" s="9">
        <v>44744.0</v>
      </c>
      <c r="D2014" s="10">
        <v>44744.0</v>
      </c>
      <c r="E2014" s="4" t="s">
        <v>5676</v>
      </c>
      <c r="F2014" s="4" t="s">
        <v>5677</v>
      </c>
      <c r="G2014" s="6" t="str">
        <f>IFERROR(__xludf.DUMMYFUNCTION("REGEXREPLACE(LOWER(F2014),""[^a-z\s]"","""")"),"first time using petflow i received the order nicely packed and delivered on time priced at a good value")</f>
        <v>first time using petflow i received the order nicely packed and delivered on time priced at a good value</v>
      </c>
      <c r="H2014" s="4" t="str">
        <f t="shared" si="1"/>
        <v>first time using petflow i received order nicely packed delivered on time priced at a good value</v>
      </c>
      <c r="I2014" s="6">
        <f t="shared" si="2"/>
        <v>17</v>
      </c>
      <c r="J2014" s="6">
        <f>IFERROR(__xludf.DUMMYFUNCTION("IF(H2014="""","""",
SUM(
ARRAYFORMULA(
IF(
REGEXMATCH(
"" ""&amp;H2014&amp;"" "",
"" ""&amp;Sentiment_Words!A$2:A3730&amp;"" ""
),
1,
0
)
)
)
)"),4.0)</f>
        <v>4</v>
      </c>
      <c r="K2014" s="4">
        <f>IFERROR(__xludf.DUMMYFUNCTION("IF(H2014="""","""",
SUM(
ARRAYFORMULA(
IF(
REGEXMATCH(
"" ""&amp;H2014&amp;"" "",
"" ""&amp;Sentiment_Words!B$2:B3730&amp;"" ""
),
1,
0
)
)
)
)"),0.0)</f>
        <v>0</v>
      </c>
      <c r="L2014" s="7" t="str">
        <f t="shared" si="3"/>
        <v>Value &amp; Convenience</v>
      </c>
      <c r="M2014" s="7" t="str">
        <f t="shared" si="4"/>
        <v>Positive</v>
      </c>
      <c r="N2014" s="7" t="str">
        <f>IFERROR(__xludf.DUMMYFUNCTION("LOWER(
TRIM(
REGEXREPLACE(B2014,""[^a-zA-Z\s]"","""")
)
)
"),"sharon")</f>
        <v>sharon</v>
      </c>
      <c r="O2014" s="7">
        <f t="shared" si="5"/>
        <v>5</v>
      </c>
      <c r="P2014" s="8" t="str">
        <f t="shared" si="6"/>
        <v>Yes</v>
      </c>
    </row>
    <row r="2015">
      <c r="A2015" s="4" t="s">
        <v>16</v>
      </c>
      <c r="B2015" s="4" t="s">
        <v>5678</v>
      </c>
      <c r="C2015" s="9">
        <v>44744.0</v>
      </c>
      <c r="D2015" s="10">
        <v>44744.0</v>
      </c>
      <c r="E2015" s="4" t="s">
        <v>623</v>
      </c>
      <c r="F2015" s="4" t="s">
        <v>331</v>
      </c>
      <c r="G2015" s="6" t="str">
        <f>IFERROR(__xludf.DUMMYFUNCTION("REGEXREPLACE(LOWER(F2015),""[^a-z\s]"","""")"),"none")</f>
        <v>none</v>
      </c>
      <c r="H2015" s="4" t="str">
        <f t="shared" si="1"/>
        <v>none</v>
      </c>
      <c r="I2015" s="6">
        <f t="shared" si="2"/>
        <v>1</v>
      </c>
      <c r="J2015" s="6">
        <f>IFERROR(__xludf.DUMMYFUNCTION("IF(H2015="""","""",
SUM(
ARRAYFORMULA(
IF(
REGEXMATCH(
"" ""&amp;H2015&amp;"" "",
"" ""&amp;Sentiment_Words!A$2:A3730&amp;"" ""
),
1,
0
)
)
)
)"),0.0)</f>
        <v>0</v>
      </c>
      <c r="K2015" s="4">
        <f>IFERROR(__xludf.DUMMYFUNCTION("IF(H2015="""","""",
SUM(
ARRAYFORMULA(
IF(
REGEXMATCH(
"" ""&amp;H2015&amp;"" "",
"" ""&amp;Sentiment_Words!B$2:B3730&amp;"" ""
),
1,
0
)
)
)
)"),0.0)</f>
        <v>0</v>
      </c>
      <c r="L2015" s="7" t="str">
        <f t="shared" si="3"/>
        <v>Other</v>
      </c>
      <c r="M2015" s="7" t="str">
        <f t="shared" si="4"/>
        <v>Neutral</v>
      </c>
      <c r="N2015" s="7" t="str">
        <f>IFERROR(__xludf.DUMMYFUNCTION("LOWER(
TRIM(
REGEXREPLACE(B2015,""[^a-zA-Z\s]"","""")
)
)
"),"tg")</f>
        <v>tg</v>
      </c>
      <c r="O2015" s="7">
        <f t="shared" si="5"/>
        <v>1</v>
      </c>
      <c r="P2015" s="8" t="str">
        <f t="shared" si="6"/>
        <v>No</v>
      </c>
    </row>
    <row r="2016">
      <c r="A2016" s="4" t="s">
        <v>16</v>
      </c>
      <c r="B2016" s="4" t="s">
        <v>5679</v>
      </c>
      <c r="C2016" s="9">
        <v>44744.0</v>
      </c>
      <c r="D2016" s="10">
        <v>44744.0</v>
      </c>
      <c r="E2016" s="4" t="s">
        <v>5680</v>
      </c>
      <c r="F2016" s="4" t="s">
        <v>331</v>
      </c>
      <c r="G2016" s="6" t="str">
        <f>IFERROR(__xludf.DUMMYFUNCTION("REGEXREPLACE(LOWER(F2016),""[^a-z\s]"","""")"),"none")</f>
        <v>none</v>
      </c>
      <c r="H2016" s="4" t="str">
        <f t="shared" si="1"/>
        <v>none</v>
      </c>
      <c r="I2016" s="6">
        <f t="shared" si="2"/>
        <v>1</v>
      </c>
      <c r="J2016" s="6">
        <f>IFERROR(__xludf.DUMMYFUNCTION("IF(H2016="""","""",
SUM(
ARRAYFORMULA(
IF(
REGEXMATCH(
"" ""&amp;H2016&amp;"" "",
"" ""&amp;Sentiment_Words!A$2:A3730&amp;"" ""
),
1,
0
)
)
)
)"),0.0)</f>
        <v>0</v>
      </c>
      <c r="K2016" s="4">
        <f>IFERROR(__xludf.DUMMYFUNCTION("IF(H2016="""","""",
SUM(
ARRAYFORMULA(
IF(
REGEXMATCH(
"" ""&amp;H2016&amp;"" "",
"" ""&amp;Sentiment_Words!B$2:B3730&amp;"" ""
),
1,
0
)
)
)
)"),0.0)</f>
        <v>0</v>
      </c>
      <c r="L2016" s="7" t="str">
        <f t="shared" si="3"/>
        <v>Other</v>
      </c>
      <c r="M2016" s="7" t="str">
        <f t="shared" si="4"/>
        <v>Neutral</v>
      </c>
      <c r="N2016" s="7" t="str">
        <f>IFERROR(__xludf.DUMMYFUNCTION("LOWER(
TRIM(
REGEXREPLACE(B2016,""[^a-zA-Z\s]"","""")
)
)
"),"morgan bailey")</f>
        <v>morgan bailey</v>
      </c>
      <c r="O2016" s="7">
        <f t="shared" si="5"/>
        <v>1</v>
      </c>
      <c r="P2016" s="8" t="str">
        <f t="shared" si="6"/>
        <v>No</v>
      </c>
    </row>
    <row r="2017">
      <c r="A2017" s="4" t="s">
        <v>16</v>
      </c>
      <c r="B2017" s="4" t="s">
        <v>5681</v>
      </c>
      <c r="C2017" s="9">
        <v>44744.0</v>
      </c>
      <c r="D2017" s="10">
        <v>44744.0</v>
      </c>
      <c r="E2017" s="4" t="s">
        <v>623</v>
      </c>
      <c r="F2017" s="4" t="s">
        <v>331</v>
      </c>
      <c r="G2017" s="6" t="str">
        <f>IFERROR(__xludf.DUMMYFUNCTION("REGEXREPLACE(LOWER(F2017),""[^a-z\s]"","""")"),"none")</f>
        <v>none</v>
      </c>
      <c r="H2017" s="4" t="str">
        <f t="shared" si="1"/>
        <v>none</v>
      </c>
      <c r="I2017" s="6">
        <f t="shared" si="2"/>
        <v>1</v>
      </c>
      <c r="J2017" s="6">
        <f>IFERROR(__xludf.DUMMYFUNCTION("IF(H2017="""","""",
SUM(
ARRAYFORMULA(
IF(
REGEXMATCH(
"" ""&amp;H2017&amp;"" "",
"" ""&amp;Sentiment_Words!A$2:A3730&amp;"" ""
),
1,
0
)
)
)
)"),0.0)</f>
        <v>0</v>
      </c>
      <c r="K2017" s="4">
        <f>IFERROR(__xludf.DUMMYFUNCTION("IF(H2017="""","""",
SUM(
ARRAYFORMULA(
IF(
REGEXMATCH(
"" ""&amp;H2017&amp;"" "",
"" ""&amp;Sentiment_Words!B$2:B3730&amp;"" ""
),
1,
0
)
)
)
)"),0.0)</f>
        <v>0</v>
      </c>
      <c r="L2017" s="7" t="str">
        <f t="shared" si="3"/>
        <v>Other</v>
      </c>
      <c r="M2017" s="7" t="str">
        <f t="shared" si="4"/>
        <v>Neutral</v>
      </c>
      <c r="N2017" s="7" t="str">
        <f>IFERROR(__xludf.DUMMYFUNCTION("LOWER(
TRIM(
REGEXREPLACE(B2017,""[^a-zA-Z\s]"","""")
)
)
"),"diane wendte")</f>
        <v>diane wendte</v>
      </c>
      <c r="O2017" s="7">
        <f t="shared" si="5"/>
        <v>1</v>
      </c>
      <c r="P2017" s="8" t="str">
        <f t="shared" si="6"/>
        <v>No</v>
      </c>
    </row>
    <row r="2018">
      <c r="A2018" s="4" t="s">
        <v>16</v>
      </c>
      <c r="B2018" s="4" t="s">
        <v>5682</v>
      </c>
      <c r="C2018" s="9">
        <v>44743.0</v>
      </c>
      <c r="D2018" s="10">
        <v>44743.0</v>
      </c>
      <c r="E2018" s="4" t="s">
        <v>5683</v>
      </c>
      <c r="F2018" s="4" t="s">
        <v>5684</v>
      </c>
      <c r="G2018" s="6" t="str">
        <f>IFERROR(__xludf.DUMMYFUNCTION("REGEXREPLACE(LOWER(F2018),""[^a-z\s]"","""")"),"i just changed vets so if i am still able to buy my special cat food i will return to ordering it from petflow as they are outstanding")</f>
        <v>i just changed vets so if i am still able to buy my special cat food i will return to ordering it from petflow as they are outstanding</v>
      </c>
      <c r="H2018" s="4" t="str">
        <f t="shared" si="1"/>
        <v>i just changed vets so if i am still able buy my special cat food i will return ordering it from petflow as they are outstanding</v>
      </c>
      <c r="I2018" s="6">
        <f t="shared" si="2"/>
        <v>26</v>
      </c>
      <c r="J2018" s="6">
        <f>IFERROR(__xludf.DUMMYFUNCTION("IF(H2018="""","""",
SUM(
ARRAYFORMULA(
IF(
REGEXMATCH(
"" ""&amp;H2018&amp;"" "",
"" ""&amp;Sentiment_Words!A$2:A3730&amp;"" ""
),
1,
0
)
)
)
)"),1.0)</f>
        <v>1</v>
      </c>
      <c r="K2018" s="4">
        <f>IFERROR(__xludf.DUMMYFUNCTION("IF(H2018="""","""",
SUM(
ARRAYFORMULA(
IF(
REGEXMATCH(
"" ""&amp;H2018&amp;"" "",
"" ""&amp;Sentiment_Words!B$2:B3730&amp;"" ""
),
1,
0
)
)
)
)"),0.0)</f>
        <v>0</v>
      </c>
      <c r="L2018" s="7" t="str">
        <f t="shared" si="3"/>
        <v>Other</v>
      </c>
      <c r="M2018" s="7" t="str">
        <f t="shared" si="4"/>
        <v>Positive</v>
      </c>
      <c r="N2018" s="7" t="str">
        <f>IFERROR(__xludf.DUMMYFUNCTION("LOWER(
TRIM(
REGEXREPLACE(B2018,""[^a-zA-Z\s]"","""")
)
)
"),"phyllis snook")</f>
        <v>phyllis snook</v>
      </c>
      <c r="O2018" s="7">
        <f t="shared" si="5"/>
        <v>1</v>
      </c>
      <c r="P2018" s="8" t="str">
        <f t="shared" si="6"/>
        <v>No</v>
      </c>
    </row>
    <row r="2019">
      <c r="A2019" s="4" t="s">
        <v>16</v>
      </c>
      <c r="B2019" s="4" t="s">
        <v>5685</v>
      </c>
      <c r="C2019" s="9">
        <v>44743.0</v>
      </c>
      <c r="D2019" s="10">
        <v>44743.0</v>
      </c>
      <c r="E2019" s="4" t="s">
        <v>5686</v>
      </c>
      <c r="F2019" s="4" t="s">
        <v>5687</v>
      </c>
      <c r="G2019" s="6" t="str">
        <f>IFERROR(__xludf.DUMMYFUNCTION("REGEXREPLACE(LOWER(F2019),""[^a-z\s]"","""")"),"very easy to order i needed prescription treats  they contacted  got approval from my vet  had my order in just a few days they were also cheaper than other pet mail order companies")</f>
        <v>very easy to order i needed prescription treats  they contacted  got approval from my vet  had my order in just a few days they were also cheaper than other pet mail order companies</v>
      </c>
      <c r="H2019" s="4" t="str">
        <f t="shared" si="1"/>
        <v>very easy order i needed prescription treats they contacted got approval from my vet had my order in just a few days they were also cheaper than other pet mail order companies</v>
      </c>
      <c r="I2019" s="6">
        <f t="shared" si="2"/>
        <v>32</v>
      </c>
      <c r="J2019" s="6">
        <f>IFERROR(__xludf.DUMMYFUNCTION("IF(H2019="""","""",
SUM(
ARRAYFORMULA(
IF(
REGEXMATCH(
"" ""&amp;H2019&amp;"" "",
"" ""&amp;Sentiment_Words!A$2:A3730&amp;"" ""
),
1,
0
)
)
)
)"),2.0)</f>
        <v>2</v>
      </c>
      <c r="K2019" s="4">
        <f>IFERROR(__xludf.DUMMYFUNCTION("IF(H2019="""","""",
SUM(
ARRAYFORMULA(
IF(
REGEXMATCH(
"" ""&amp;H2019&amp;"" "",
"" ""&amp;Sentiment_Words!B$2:B3730&amp;"" ""
),
1,
0
)
)
)
)"),0.0)</f>
        <v>0</v>
      </c>
      <c r="L2019" s="7" t="str">
        <f t="shared" si="3"/>
        <v>Value &amp; Convenience</v>
      </c>
      <c r="M2019" s="7" t="str">
        <f t="shared" si="4"/>
        <v>Positive</v>
      </c>
      <c r="N2019" s="7" t="str">
        <f>IFERROR(__xludf.DUMMYFUNCTION("LOWER(
TRIM(
REGEXREPLACE(B2019,""[^a-zA-Z\s]"","""")
)
)
"),"marilynn estes")</f>
        <v>marilynn estes</v>
      </c>
      <c r="O2019" s="7">
        <f t="shared" si="5"/>
        <v>1</v>
      </c>
      <c r="P2019" s="8" t="str">
        <f t="shared" si="6"/>
        <v>No</v>
      </c>
    </row>
    <row r="2020">
      <c r="A2020" s="4" t="s">
        <v>16</v>
      </c>
      <c r="B2020" s="4" t="s">
        <v>5688</v>
      </c>
      <c r="C2020" s="9">
        <v>44743.0</v>
      </c>
      <c r="D2020" s="10">
        <v>44743.0</v>
      </c>
      <c r="E2020" s="4" t="s">
        <v>5689</v>
      </c>
      <c r="F2020" s="4" t="s">
        <v>5690</v>
      </c>
      <c r="G2020" s="6" t="str">
        <f>IFERROR(__xludf.DUMMYFUNCTION("REGEXREPLACE(LOWER(F2020),""[^a-z\s]"","""")"),"user friendly website good prices and fast shipping")</f>
        <v>user friendly website good prices and fast shipping</v>
      </c>
      <c r="H2020" s="4" t="str">
        <f t="shared" si="1"/>
        <v>user friendly website good prices fast shipping</v>
      </c>
      <c r="I2020" s="6">
        <f t="shared" si="2"/>
        <v>7</v>
      </c>
      <c r="J2020" s="6">
        <f>IFERROR(__xludf.DUMMYFUNCTION("IF(H2020="""","""",
SUM(
ARRAYFORMULA(
IF(
REGEXMATCH(
"" ""&amp;H2020&amp;"" "",
"" ""&amp;Sentiment_Words!A$2:A3730&amp;"" ""
),
1,
0
)
)
)
)"),2.0)</f>
        <v>2</v>
      </c>
      <c r="K2020" s="4">
        <f>IFERROR(__xludf.DUMMYFUNCTION("IF(H2020="""","""",
SUM(
ARRAYFORMULA(
IF(
REGEXMATCH(
"" ""&amp;H2020&amp;"" "",
"" ""&amp;Sentiment_Words!B$2:B3730&amp;"" ""
),
1,
0
)
)
)
)"),0.0)</f>
        <v>0</v>
      </c>
      <c r="L2020" s="7" t="str">
        <f t="shared" si="3"/>
        <v>Account &amp; Website</v>
      </c>
      <c r="M2020" s="7" t="str">
        <f t="shared" si="4"/>
        <v>Positive</v>
      </c>
      <c r="N2020" s="7" t="str">
        <f>IFERROR(__xludf.DUMMYFUNCTION("LOWER(
TRIM(
REGEXREPLACE(B2020,""[^a-zA-Z\s]"","""")
)
)
"),"shirley newmont")</f>
        <v>shirley newmont</v>
      </c>
      <c r="O2020" s="7">
        <f t="shared" si="5"/>
        <v>1</v>
      </c>
      <c r="P2020" s="8" t="str">
        <f t="shared" si="6"/>
        <v>No</v>
      </c>
    </row>
    <row r="2021">
      <c r="A2021" s="4" t="s">
        <v>16</v>
      </c>
      <c r="B2021" s="4" t="s">
        <v>5691</v>
      </c>
      <c r="C2021" s="5">
        <v>44742.0</v>
      </c>
      <c r="D2021" s="10">
        <v>44743.0</v>
      </c>
      <c r="E2021" s="4" t="s">
        <v>5692</v>
      </c>
      <c r="F2021" s="4" t="s">
        <v>5693</v>
      </c>
      <c r="G2021" s="6" t="str">
        <f>IFERROR(__xludf.DUMMYFUNCTION("REGEXREPLACE(LOWER(F2021),""[^a-z\s]"","""")"),"easy website to navigatequick response and deliveryvery satisfied")</f>
        <v>easy website to navigatequick response and deliveryvery satisfied</v>
      </c>
      <c r="H2021" s="4" t="str">
        <f t="shared" si="1"/>
        <v>easy website navigatequick response deliveryvery satisfied</v>
      </c>
      <c r="I2021" s="6">
        <f t="shared" si="2"/>
        <v>6</v>
      </c>
      <c r="J2021" s="6">
        <f>IFERROR(__xludf.DUMMYFUNCTION("IF(H2021="""","""",
SUM(
ARRAYFORMULA(
IF(
REGEXMATCH(
"" ""&amp;H2021&amp;"" "",
"" ""&amp;Sentiment_Words!A$2:A3730&amp;"" ""
),
1,
0
)
)
)
)"),2.0)</f>
        <v>2</v>
      </c>
      <c r="K2021" s="4">
        <f>IFERROR(__xludf.DUMMYFUNCTION("IF(H2021="""","""",
SUM(
ARRAYFORMULA(
IF(
REGEXMATCH(
"" ""&amp;H2021&amp;"" "",
"" ""&amp;Sentiment_Words!B$2:B3730&amp;"" ""
),
1,
0
)
)
)
)"),0.0)</f>
        <v>0</v>
      </c>
      <c r="L2021" s="7" t="str">
        <f t="shared" si="3"/>
        <v>Account &amp; Website</v>
      </c>
      <c r="M2021" s="7" t="str">
        <f t="shared" si="4"/>
        <v>Positive</v>
      </c>
      <c r="N2021" s="7" t="str">
        <f>IFERROR(__xludf.DUMMYFUNCTION("LOWER(
TRIM(
REGEXREPLACE(B2021,""[^a-zA-Z\s]"","""")
)
)
"),"mary ann salomone")</f>
        <v>mary ann salomone</v>
      </c>
      <c r="O2021" s="7">
        <f t="shared" si="5"/>
        <v>1</v>
      </c>
      <c r="P2021" s="8" t="str">
        <f t="shared" si="6"/>
        <v>No</v>
      </c>
    </row>
    <row r="2022">
      <c r="A2022" s="4" t="s">
        <v>16</v>
      </c>
      <c r="B2022" s="4" t="s">
        <v>5694</v>
      </c>
      <c r="C2022" s="5">
        <v>44742.0</v>
      </c>
      <c r="D2022" s="10">
        <v>44743.0</v>
      </c>
      <c r="E2022" s="4" t="s">
        <v>5695</v>
      </c>
      <c r="F2022" s="4" t="s">
        <v>5696</v>
      </c>
      <c r="G2022" s="6" t="str">
        <f>IFERROR(__xludf.DUMMYFUNCTION("REGEXREPLACE(LOWER(F2022),""[^a-z\s]"","""")"),"my kitty was diagnosed with kidney disease
petflow helped me get set up on recurring food for his new diet i did have to reach out and communicate with them regarding the rx and i was impressed with the timely response and care they took to help me
thank "&amp;"you")</f>
        <v>my kitty was diagnosed with kidney disease
petflow helped me get set up on recurring food for his new diet i did have to reach out and communicate with them regarding the rx and i was impressed with the timely response and care they took to help me
thank you</v>
      </c>
      <c r="H2022" s="4" t="str">
        <f t="shared" si="1"/>
        <v>my kitty was diagnosed with kidney disease
petflow helped me get set up on recurring food his new diet i did have reach out communicate with them regarding rx i was impressed with timely response care they took help me
thank you</v>
      </c>
      <c r="I2022" s="6">
        <f t="shared" si="2"/>
        <v>40</v>
      </c>
      <c r="J2022" s="6">
        <f>IFERROR(__xludf.DUMMYFUNCTION("IF(H2022="""","""",
SUM(
ARRAYFORMULA(
IF(
REGEXMATCH(
"" ""&amp;H2022&amp;"" "",
"" ""&amp;Sentiment_Words!A$2:A3730&amp;"" ""
),
1,
0
)
)
)
)"),1.0)</f>
        <v>1</v>
      </c>
      <c r="K2022" s="4">
        <f>IFERROR(__xludf.DUMMYFUNCTION("IF(H2022="""","""",
SUM(
ARRAYFORMULA(
IF(
REGEXMATCH(
"" ""&amp;H2022&amp;"" "",
"" ""&amp;Sentiment_Words!B$2:B3730&amp;"" ""
),
1,
0
)
)
)
)"),0.0)</f>
        <v>0</v>
      </c>
      <c r="L2022" s="7" t="str">
        <f t="shared" si="3"/>
        <v>Service Recovery</v>
      </c>
      <c r="M2022" s="7" t="str">
        <f t="shared" si="4"/>
        <v>Positive</v>
      </c>
      <c r="N2022" s="7" t="str">
        <f>IFERROR(__xludf.DUMMYFUNCTION("LOWER(
TRIM(
REGEXREPLACE(B2022,""[^a-zA-Z\s]"","""")
)
)
"),"timothy eischens")</f>
        <v>timothy eischens</v>
      </c>
      <c r="O2022" s="7">
        <f t="shared" si="5"/>
        <v>1</v>
      </c>
      <c r="P2022" s="8" t="str">
        <f t="shared" si="6"/>
        <v>No</v>
      </c>
    </row>
    <row r="2023">
      <c r="A2023" s="4" t="s">
        <v>16</v>
      </c>
      <c r="B2023" s="4" t="s">
        <v>5697</v>
      </c>
      <c r="C2023" s="5">
        <v>44742.0</v>
      </c>
      <c r="D2023" s="10">
        <v>44743.0</v>
      </c>
      <c r="E2023" s="4" t="s">
        <v>5698</v>
      </c>
      <c r="F2023" s="4" t="s">
        <v>5699</v>
      </c>
      <c r="G2023" s="6" t="str">
        <f>IFERROR(__xludf.DUMMYFUNCTION("REGEXREPLACE(LOWER(F2023),""[^a-z\s]"","""")"),"they had what i was looking for and the delivery was very fast")</f>
        <v>they had what i was looking for and the delivery was very fast</v>
      </c>
      <c r="H2023" s="4" t="str">
        <f t="shared" si="1"/>
        <v>they had what i was looking delivery was very fast</v>
      </c>
      <c r="I2023" s="6">
        <f t="shared" si="2"/>
        <v>10</v>
      </c>
      <c r="J2023" s="6">
        <f>IFERROR(__xludf.DUMMYFUNCTION("IF(H2023="""","""",
SUM(
ARRAYFORMULA(
IF(
REGEXMATCH(
"" ""&amp;H2023&amp;"" "",
"" ""&amp;Sentiment_Words!A$2:A3730&amp;"" ""
),
1,
0
)
)
)
)"),1.0)</f>
        <v>1</v>
      </c>
      <c r="K2023" s="4">
        <f>IFERROR(__xludf.DUMMYFUNCTION("IF(H2023="""","""",
SUM(
ARRAYFORMULA(
IF(
REGEXMATCH(
"" ""&amp;H2023&amp;"" "",
"" ""&amp;Sentiment_Words!B$2:B3730&amp;"" ""
),
1,
0
)
)
)
)"),0.0)</f>
        <v>0</v>
      </c>
      <c r="L2023" s="7" t="str">
        <f t="shared" si="3"/>
        <v>Other</v>
      </c>
      <c r="M2023" s="7" t="str">
        <f t="shared" si="4"/>
        <v>Positive</v>
      </c>
      <c r="N2023" s="7" t="str">
        <f>IFERROR(__xludf.DUMMYFUNCTION("LOWER(
TRIM(
REGEXREPLACE(B2023,""[^a-zA-Z\s]"","""")
)
)
"),"joan l")</f>
        <v>joan l</v>
      </c>
      <c r="O2023" s="7">
        <f t="shared" si="5"/>
        <v>1</v>
      </c>
      <c r="P2023" s="8" t="str">
        <f t="shared" si="6"/>
        <v>No</v>
      </c>
    </row>
    <row r="2024">
      <c r="A2024" s="4" t="s">
        <v>16</v>
      </c>
      <c r="B2024" s="4" t="s">
        <v>5700</v>
      </c>
      <c r="C2024" s="5">
        <v>44742.0</v>
      </c>
      <c r="D2024" s="10">
        <v>44742.0</v>
      </c>
      <c r="E2024" s="4" t="s">
        <v>5701</v>
      </c>
      <c r="F2024" s="4" t="s">
        <v>5702</v>
      </c>
      <c r="G2024" s="6" t="str">
        <f>IFERROR(__xludf.DUMMYFUNCTION("REGEXREPLACE(LOWER(F2024),""[^a-z\s]"","""")"),"nutrisource small  medium breed puppy chicken  rice dry dog food lb i just got  cairn terriers the breeder said this was the best puppy food pet flow made it so easy to place my order and the price was good i also picked up some nice dog toy")</f>
        <v>nutrisource small  medium breed puppy chicken  rice dry dog food lb i just got  cairn terriers the breeder said this was the best puppy food pet flow made it so easy to place my order and the price was good i also picked up some nice dog toy</v>
      </c>
      <c r="H2024" s="4" t="str">
        <f t="shared" si="1"/>
        <v>nutrisource small medium breed puppy chicken rice dry dog food lb i just got cairn terriers breeder said this was best puppy food pet flow made it so easy place my order price was good i also picked up some nice dog toy</v>
      </c>
      <c r="I2024" s="6">
        <f t="shared" si="2"/>
        <v>43</v>
      </c>
      <c r="J2024" s="6">
        <f>IFERROR(__xludf.DUMMYFUNCTION("IF(H2024="""","""",
SUM(
ARRAYFORMULA(
IF(
REGEXMATCH(
"" ""&amp;H2024&amp;"" "",
"" ""&amp;Sentiment_Words!A$2:A3730&amp;"" ""
),
1,
0
)
)
)
)"),2.0)</f>
        <v>2</v>
      </c>
      <c r="K2024" s="4">
        <f>IFERROR(__xludf.DUMMYFUNCTION("IF(H2024="""","""",
SUM(
ARRAYFORMULA(
IF(
REGEXMATCH(
"" ""&amp;H2024&amp;"" "",
"" ""&amp;Sentiment_Words!B$2:B3730&amp;"" ""
),
1,
0
)
)
)
)"),0.0)</f>
        <v>0</v>
      </c>
      <c r="L2024" s="7" t="str">
        <f t="shared" si="3"/>
        <v>Other</v>
      </c>
      <c r="M2024" s="7" t="str">
        <f t="shared" si="4"/>
        <v>Positive</v>
      </c>
      <c r="N2024" s="7" t="str">
        <f>IFERROR(__xludf.DUMMYFUNCTION("LOWER(
TRIM(
REGEXREPLACE(B2024,""[^a-zA-Z\s]"","""")
)
)
"),"mel givison")</f>
        <v>mel givison</v>
      </c>
      <c r="O2024" s="7">
        <f t="shared" si="5"/>
        <v>1</v>
      </c>
      <c r="P2024" s="8" t="str">
        <f t="shared" si="6"/>
        <v>No</v>
      </c>
    </row>
    <row r="2025">
      <c r="A2025" s="4" t="s">
        <v>16</v>
      </c>
      <c r="B2025" s="4" t="s">
        <v>5703</v>
      </c>
      <c r="C2025" s="5">
        <v>44742.0</v>
      </c>
      <c r="D2025" s="10">
        <v>44742.0</v>
      </c>
      <c r="E2025" s="4" t="s">
        <v>5704</v>
      </c>
      <c r="F2025" s="4" t="s">
        <v>5705</v>
      </c>
      <c r="G2025" s="6" t="str">
        <f>IFERROR(__xludf.DUMMYFUNCTION("REGEXREPLACE(LOWER(F2025),""[^a-z\s]"","""")"),"the product was available the price was fair but the ordering process kept trying to lock me in to repeating delivery it took me an unreasonable amount of time to navigate the form")</f>
        <v>the product was available the price was fair but the ordering process kept trying to lock me in to repeating delivery it took me an unreasonable amount of time to navigate the form</v>
      </c>
      <c r="H2025" s="4" t="str">
        <f t="shared" si="1"/>
        <v>product was available price was fair but ordering process kept trying lock me in repeating delivery it took me an unreasonable amount of time navigate form</v>
      </c>
      <c r="I2025" s="6">
        <f t="shared" si="2"/>
        <v>26</v>
      </c>
      <c r="J2025" s="6">
        <f>IFERROR(__xludf.DUMMYFUNCTION("IF(H2025="""","""",
SUM(
ARRAYFORMULA(
IF(
REGEXMATCH(
"" ""&amp;H2025&amp;"" "",
"" ""&amp;Sentiment_Words!A$2:A3730&amp;"" ""
),
1,
0
)
)
)
)"),1.0)</f>
        <v>1</v>
      </c>
      <c r="K2025" s="4">
        <f>IFERROR(__xludf.DUMMYFUNCTION("IF(H2025="""","""",
SUM(
ARRAYFORMULA(
IF(
REGEXMATCH(
"" ""&amp;H2025&amp;"" "",
"" ""&amp;Sentiment_Words!B$2:B3730&amp;"" ""
),
1,
0
)
)
)
)"),0.0)</f>
        <v>0</v>
      </c>
      <c r="L2025" s="7" t="str">
        <f t="shared" si="3"/>
        <v>Other</v>
      </c>
      <c r="M2025" s="7" t="str">
        <f t="shared" si="4"/>
        <v>Positive</v>
      </c>
      <c r="N2025" s="7" t="str">
        <f>IFERROR(__xludf.DUMMYFUNCTION("LOWER(
TRIM(
REGEXREPLACE(B2025,""[^a-zA-Z\s]"","""")
)
)
"),"joanne larsen")</f>
        <v>joanne larsen</v>
      </c>
      <c r="O2025" s="7">
        <f t="shared" si="5"/>
        <v>1</v>
      </c>
      <c r="P2025" s="8" t="str">
        <f t="shared" si="6"/>
        <v>No</v>
      </c>
    </row>
    <row r="2026">
      <c r="A2026" s="4" t="s">
        <v>16</v>
      </c>
      <c r="B2026" s="4" t="s">
        <v>5706</v>
      </c>
      <c r="C2026" s="5">
        <v>44742.0</v>
      </c>
      <c r="D2026" s="10">
        <v>44742.0</v>
      </c>
      <c r="E2026" s="4" t="s">
        <v>5707</v>
      </c>
      <c r="F2026" s="4" t="s">
        <v>5708</v>
      </c>
      <c r="G2026" s="6" t="str">
        <f>IFERROR(__xludf.DUMMYFUNCTION("REGEXREPLACE(LOWER(F2026),""[^a-z\s]"","""")"),"i like that its compact and doesnt take up much room the food doesnt flow as well as id like but all gravity feeders work about the same the water spout could be lower theres quite a bit of water left the container must be tilted to use all the water simp"&amp;"le fix would be to raise one side a little filling the water is a breeze fill from the drinking cup laying it flat on the sink edge makes it super easy my dogs took to it quickly i placed it on a square furniture mover that has carpet and four wheels just"&amp;" the right height and it rolls its heavy when full if the dogs move it i know its low on water andor food overall im happy with it its worth it for the footprint alone")</f>
        <v>i like that its compact and doesnt take up much room the food doesnt flow as well as id like but all gravity feeders work about the same the water spout could be lower theres quite a bit of water left the container must be tilted to use all the water simple fix would be to raise one side a little filling the water is a breeze fill from the drinking cup laying it flat on the sink edge makes it super easy my dogs took to it quickly i placed it on a square furniture mover that has carpet and four wheels just the right height and it rolls its heavy when full if the dogs move it i know its low on water andor food overall im happy with it its worth it for the footprint alone</v>
      </c>
      <c r="H2026" s="4" t="str">
        <f t="shared" si="1"/>
        <v>i like that its compact doesnt take up much room food doesnt flow as well as id like but all gravity feeders work about same water spout could be lower theres quite a bit of water left container must be tilted use all water simple fix would be raise one side a little filling water a breeze fill from drinking cup laying it flat on sink edge makes it super easy my dogs took it quickly i placed it on a square furniture mover that has carpet four wheels just right height it rolls its heavy when full if dogs move it i know its low on water andor food overall im happy with it its worth it footprint alone</v>
      </c>
      <c r="I2026" s="6">
        <f t="shared" si="2"/>
        <v>120</v>
      </c>
      <c r="J2026" s="6">
        <f>IFERROR(__xludf.DUMMYFUNCTION("IF(H2026="""","""",
SUM(
ARRAYFORMULA(
IF(
REGEXMATCH(
"" ""&amp;H2026&amp;"" "",
"" ""&amp;Sentiment_Words!A$2:A3730&amp;"" ""
),
1,
0
)
)
)
)"),3.0)</f>
        <v>3</v>
      </c>
      <c r="K2026" s="4">
        <f>IFERROR(__xludf.DUMMYFUNCTION("IF(H2026="""","""",
SUM(
ARRAYFORMULA(
IF(
REGEXMATCH(
"" ""&amp;H2026&amp;"" "",
"" ""&amp;Sentiment_Words!B$2:B3730&amp;"" ""
),
1,
0
)
)
)
)"),0.0)</f>
        <v>0</v>
      </c>
      <c r="L2026" s="7" t="str">
        <f t="shared" si="3"/>
        <v>Other</v>
      </c>
      <c r="M2026" s="7" t="str">
        <f t="shared" si="4"/>
        <v>Positive</v>
      </c>
      <c r="N2026" s="7" t="str">
        <f>IFERROR(__xludf.DUMMYFUNCTION("LOWER(
TRIM(
REGEXREPLACE(B2026,""[^a-zA-Z\s]"","""")
)
)
"),"connie boree")</f>
        <v>connie boree</v>
      </c>
      <c r="O2026" s="7">
        <f t="shared" si="5"/>
        <v>1</v>
      </c>
      <c r="P2026" s="8" t="str">
        <f t="shared" si="6"/>
        <v>No</v>
      </c>
    </row>
    <row r="2027">
      <c r="A2027" s="4" t="s">
        <v>16</v>
      </c>
      <c r="B2027" s="4" t="s">
        <v>5709</v>
      </c>
      <c r="C2027" s="5">
        <v>44741.0</v>
      </c>
      <c r="D2027" s="10">
        <v>44741.0</v>
      </c>
      <c r="E2027" s="4" t="s">
        <v>5710</v>
      </c>
      <c r="F2027" s="4" t="s">
        <v>5711</v>
      </c>
      <c r="G2027" s="6" t="str">
        <f>IFERROR(__xludf.DUMMYFUNCTION("REGEXREPLACE(LOWER(F2027),""[^a-z\s]"","""")"),"great selection and prices prefer to shop here")</f>
        <v>great selection and prices prefer to shop here</v>
      </c>
      <c r="H2027" s="4" t="str">
        <f t="shared" si="1"/>
        <v>great selection prices prefer shop here</v>
      </c>
      <c r="I2027" s="6">
        <f t="shared" si="2"/>
        <v>6</v>
      </c>
      <c r="J2027" s="6">
        <f>IFERROR(__xludf.DUMMYFUNCTION("IF(H2027="""","""",
SUM(
ARRAYFORMULA(
IF(
REGEXMATCH(
"" ""&amp;H2027&amp;"" "",
"" ""&amp;Sentiment_Words!A$2:A3730&amp;"" ""
),
1,
0
)
)
)
)"),2.0)</f>
        <v>2</v>
      </c>
      <c r="K2027" s="4">
        <f>IFERROR(__xludf.DUMMYFUNCTION("IF(H2027="""","""",
SUM(
ARRAYFORMULA(
IF(
REGEXMATCH(
"" ""&amp;H2027&amp;"" "",
"" ""&amp;Sentiment_Words!B$2:B3730&amp;"" ""
),
1,
0
)
)
)
)"),0.0)</f>
        <v>0</v>
      </c>
      <c r="L2027" s="7" t="str">
        <f t="shared" si="3"/>
        <v>Other</v>
      </c>
      <c r="M2027" s="7" t="str">
        <f t="shared" si="4"/>
        <v>Positive</v>
      </c>
      <c r="N2027" s="7" t="str">
        <f>IFERROR(__xludf.DUMMYFUNCTION("LOWER(
TRIM(
REGEXREPLACE(B2027,""[^a-zA-Z\s]"","""")
)
)
"),"frenchie mom")</f>
        <v>frenchie mom</v>
      </c>
      <c r="O2027" s="7">
        <f t="shared" si="5"/>
        <v>1</v>
      </c>
      <c r="P2027" s="8" t="str">
        <f t="shared" si="6"/>
        <v>No</v>
      </c>
    </row>
    <row r="2028">
      <c r="A2028" s="4" t="s">
        <v>16</v>
      </c>
      <c r="B2028" s="4" t="s">
        <v>5712</v>
      </c>
      <c r="C2028" s="5">
        <v>44741.0</v>
      </c>
      <c r="D2028" s="10">
        <v>44741.0</v>
      </c>
      <c r="E2028" s="4" t="s">
        <v>5713</v>
      </c>
      <c r="F2028" s="4" t="s">
        <v>5714</v>
      </c>
      <c r="G2028" s="6" t="str">
        <f>IFERROR(__xludf.DUMMYFUNCTION("REGEXREPLACE(LOWER(F2028),""[^a-z\s]"","""")"),"in this instance petflow was the only place i could acquire the exact item that i wanted and it arrived in a timely fashion in fact if they are still carrying it i will order more")</f>
        <v>in this instance petflow was the only place i could acquire the exact item that i wanted and it arrived in a timely fashion in fact if they are still carrying it i will order more</v>
      </c>
      <c r="H2028" s="4" t="str">
        <f t="shared" si="1"/>
        <v>in this instance petflow was only place i could acquire exact item that i wanted it arrived in a timely fashion in fact if they are still carrying it i will order more</v>
      </c>
      <c r="I2028" s="6">
        <f t="shared" si="2"/>
        <v>33</v>
      </c>
      <c r="J2028" s="6">
        <f>IFERROR(__xludf.DUMMYFUNCTION("IF(H2028="""","""",
SUM(
ARRAYFORMULA(
IF(
REGEXMATCH(
"" ""&amp;H2028&amp;"" "",
"" ""&amp;Sentiment_Words!A$2:A3730&amp;"" ""
),
1,
0
)
)
)
)"),0.0)</f>
        <v>0</v>
      </c>
      <c r="K2028" s="4">
        <f>IFERROR(__xludf.DUMMYFUNCTION("IF(H2028="""","""",
SUM(
ARRAYFORMULA(
IF(
REGEXMATCH(
"" ""&amp;H2028&amp;"" "",
"" ""&amp;Sentiment_Words!B$2:B3730&amp;"" ""
),
1,
0
)
)
)
)"),0.0)</f>
        <v>0</v>
      </c>
      <c r="L2028" s="7" t="str">
        <f t="shared" si="3"/>
        <v>Other</v>
      </c>
      <c r="M2028" s="7" t="str">
        <f t="shared" si="4"/>
        <v>Neutral</v>
      </c>
      <c r="N2028" s="7" t="str">
        <f>IFERROR(__xludf.DUMMYFUNCTION("LOWER(
TRIM(
REGEXREPLACE(B2028,""[^a-zA-Z\s]"","""")
)
)
"),"jeffrey dreisin")</f>
        <v>jeffrey dreisin</v>
      </c>
      <c r="O2028" s="7">
        <f t="shared" si="5"/>
        <v>1</v>
      </c>
      <c r="P2028" s="8" t="str">
        <f t="shared" si="6"/>
        <v>No</v>
      </c>
    </row>
    <row r="2029">
      <c r="A2029" s="4" t="s">
        <v>16</v>
      </c>
      <c r="B2029" s="4" t="s">
        <v>5715</v>
      </c>
      <c r="C2029" s="5">
        <v>44741.0</v>
      </c>
      <c r="D2029" s="10">
        <v>44741.0</v>
      </c>
      <c r="E2029" s="4" t="s">
        <v>5716</v>
      </c>
      <c r="F2029" s="4" t="s">
        <v>5717</v>
      </c>
      <c r="G2029" s="6" t="str">
        <f>IFERROR(__xludf.DUMMYFUNCTION("REGEXREPLACE(LOWER(F2029),""[^a-z\s]"","""")"),"i have been purchasing cat food from you all for over  years  since i got my cat i have not had any problems but my last order was shipped and it was dog food  your mistake i asked for you all to do a rush and you rushed alright you came and picked up the"&amp;" dog food mean while my cat is starving i still have not received the food i opened the box on sunday june  and you had the dog food picked up june  where is my cat food i guess its at a where i will be ordering next time your loyal but not wanted custome"&amp;"r me")</f>
        <v>i have been purchasing cat food from you all for over  years  since i got my cat i have not had any problems but my last order was shipped and it was dog food  your mistake i asked for you all to do a rush and you rushed alright you came and picked up the dog food mean while my cat is starving i still have not received the food i opened the box on sunday june  and you had the dog food picked up june  where is my cat food i guess its at a where i will be ordering next time your loyal but not wanted customer me</v>
      </c>
      <c r="H2029" s="4" t="str">
        <f t="shared" si="1"/>
        <v>i have been purchasing cat food from you all over years since i got my cat i have not had any problems but my last order was shipped it was dog food your mistake i asked you all do a rush you rushed alright you came picked up dog food mean while my cat starving i still have not received food i opened box on sunday june you had dog food picked up june where my cat food i guess its at a where i will be ordering next time your loyal but not wanted customer me</v>
      </c>
      <c r="I2029" s="6">
        <f t="shared" si="2"/>
        <v>97</v>
      </c>
      <c r="J2029" s="6">
        <f>IFERROR(__xludf.DUMMYFUNCTION("IF(H2029="""","""",
SUM(
ARRAYFORMULA(
IF(
REGEXMATCH(
"" ""&amp;H2029&amp;"" "",
"" ""&amp;Sentiment_Words!A$2:A3730&amp;"" ""
),
1,
0
)
)
)
)"),0.0)</f>
        <v>0</v>
      </c>
      <c r="K2029" s="4">
        <f>IFERROR(__xludf.DUMMYFUNCTION("IF(H2029="""","""",
SUM(
ARRAYFORMULA(
IF(
REGEXMATCH(
"" ""&amp;H2029&amp;"" "",
"" ""&amp;Sentiment_Words!B$2:B3730&amp;"" ""
),
1,
0
)
)
)
)"),0.0)</f>
        <v>0</v>
      </c>
      <c r="L2029" s="7" t="str">
        <f t="shared" si="3"/>
        <v>Other</v>
      </c>
      <c r="M2029" s="7" t="str">
        <f t="shared" si="4"/>
        <v>Neutral</v>
      </c>
      <c r="N2029" s="7" t="str">
        <f>IFERROR(__xludf.DUMMYFUNCTION("LOWER(
TRIM(
REGEXREPLACE(B2029,""[^a-zA-Z\s]"","""")
)
)
"),"laketa")</f>
        <v>laketa</v>
      </c>
      <c r="O2029" s="7">
        <f t="shared" si="5"/>
        <v>1</v>
      </c>
      <c r="P2029" s="8" t="str">
        <f t="shared" si="6"/>
        <v>No</v>
      </c>
    </row>
    <row r="2030">
      <c r="A2030" s="4" t="s">
        <v>16</v>
      </c>
      <c r="B2030" s="4" t="s">
        <v>5718</v>
      </c>
      <c r="C2030" s="5">
        <v>44740.0</v>
      </c>
      <c r="D2030" s="10">
        <v>44740.0</v>
      </c>
      <c r="E2030" s="4" t="s">
        <v>5719</v>
      </c>
      <c r="F2030" s="4" t="s">
        <v>5720</v>
      </c>
      <c r="G2030" s="6" t="str">
        <f>IFERROR(__xludf.DUMMYFUNCTION("REGEXREPLACE(LOWER(F2030),""[^a-z\s]"","""")"),"has the products i need quick shipping at no charge over a certain amount packing well down")</f>
        <v>has the products i need quick shipping at no charge over a certain amount packing well down</v>
      </c>
      <c r="H2030" s="4" t="str">
        <f t="shared" si="1"/>
        <v>has products i need quick shipping at no charge over a certain amount packing well down</v>
      </c>
      <c r="I2030" s="6">
        <f t="shared" si="2"/>
        <v>16</v>
      </c>
      <c r="J2030" s="6">
        <f>IFERROR(__xludf.DUMMYFUNCTION("IF(H2030="""","""",
SUM(
ARRAYFORMULA(
IF(
REGEXMATCH(
"" ""&amp;H2030&amp;"" "",
"" ""&amp;Sentiment_Words!A$2:A3730&amp;"" ""
),
1,
0
)
)
)
)"),0.0)</f>
        <v>0</v>
      </c>
      <c r="K2030" s="4">
        <f>IFERROR(__xludf.DUMMYFUNCTION("IF(H2030="""","""",
SUM(
ARRAYFORMULA(
IF(
REGEXMATCH(
"" ""&amp;H2030&amp;"" "",
"" ""&amp;Sentiment_Words!B$2:B3730&amp;"" ""
),
1,
0
)
)
)
)"),0.0)</f>
        <v>0</v>
      </c>
      <c r="L2030" s="7" t="str">
        <f t="shared" si="3"/>
        <v>Other</v>
      </c>
      <c r="M2030" s="7" t="str">
        <f t="shared" si="4"/>
        <v>Neutral</v>
      </c>
      <c r="N2030" s="7" t="str">
        <f>IFERROR(__xludf.DUMMYFUNCTION("LOWER(
TRIM(
REGEXREPLACE(B2030,""[^a-zA-Z\s]"","""")
)
)
"),"john hofker")</f>
        <v>john hofker</v>
      </c>
      <c r="O2030" s="7">
        <f t="shared" si="5"/>
        <v>1</v>
      </c>
      <c r="P2030" s="8" t="str">
        <f t="shared" si="6"/>
        <v>No</v>
      </c>
    </row>
    <row r="2031">
      <c r="A2031" s="4" t="s">
        <v>16</v>
      </c>
      <c r="B2031" s="4" t="s">
        <v>5721</v>
      </c>
      <c r="C2031" s="5">
        <v>44740.0</v>
      </c>
      <c r="D2031" s="10">
        <v>44740.0</v>
      </c>
      <c r="E2031" s="4" t="s">
        <v>5722</v>
      </c>
      <c r="F2031" s="4" t="s">
        <v>5723</v>
      </c>
      <c r="G2031" s="6" t="str">
        <f>IFERROR(__xludf.DUMMYFUNCTION("REGEXREPLACE(LOWER(F2031),""[^a-z\s]"","""")"),"great communications came in short time")</f>
        <v>great communications came in short time</v>
      </c>
      <c r="H2031" s="4" t="str">
        <f t="shared" si="1"/>
        <v>great communications came in short time</v>
      </c>
      <c r="I2031" s="6">
        <f t="shared" si="2"/>
        <v>6</v>
      </c>
      <c r="J2031" s="6">
        <f>IFERROR(__xludf.DUMMYFUNCTION("IF(H2031="""","""",
SUM(
ARRAYFORMULA(
IF(
REGEXMATCH(
"" ""&amp;H2031&amp;"" "",
"" ""&amp;Sentiment_Words!A$2:A3730&amp;"" ""
),
1,
0
)
)
)
)"),1.0)</f>
        <v>1</v>
      </c>
      <c r="K2031" s="4">
        <f>IFERROR(__xludf.DUMMYFUNCTION("IF(H2031="""","""",
SUM(
ARRAYFORMULA(
IF(
REGEXMATCH(
"" ""&amp;H2031&amp;"" "",
"" ""&amp;Sentiment_Words!B$2:B3730&amp;"" ""
),
1,
0
)
)
)
)"),0.0)</f>
        <v>0</v>
      </c>
      <c r="L2031" s="7" t="str">
        <f t="shared" si="3"/>
        <v>Other</v>
      </c>
      <c r="M2031" s="7" t="str">
        <f t="shared" si="4"/>
        <v>Positive</v>
      </c>
      <c r="N2031" s="7" t="str">
        <f>IFERROR(__xludf.DUMMYFUNCTION("LOWER(
TRIM(
REGEXREPLACE(B2031,""[^a-zA-Z\s]"","""")
)
)
"),"montana hayes")</f>
        <v>montana hayes</v>
      </c>
      <c r="O2031" s="7">
        <f t="shared" si="5"/>
        <v>1</v>
      </c>
      <c r="P2031" s="8" t="str">
        <f t="shared" si="6"/>
        <v>No</v>
      </c>
    </row>
    <row r="2032">
      <c r="A2032" s="4" t="s">
        <v>16</v>
      </c>
      <c r="B2032" s="4" t="s">
        <v>5724</v>
      </c>
      <c r="C2032" s="5">
        <v>44740.0</v>
      </c>
      <c r="D2032" s="10">
        <v>44740.0</v>
      </c>
      <c r="E2032" s="4" t="s">
        <v>5725</v>
      </c>
      <c r="F2032" s="4" t="s">
        <v>5726</v>
      </c>
      <c r="G2032" s="6" t="str">
        <f>IFERROR(__xludf.DUMMYFUNCTION("REGEXREPLACE(LOWER(F2032),""[^a-z\s]"","""")"),"the company did not ship my pet food canceled the order and failed to notify me the only reason i noticed is because a week had went by and no dog food when i contacted them they advised they needed more information i asked why they didnt request that and"&amp;" notify me the answer i received was not sure i will not ever use this company again")</f>
        <v>the company did not ship my pet food canceled the order and failed to notify me the only reason i noticed is because a week had went by and no dog food when i contacted them they advised they needed more information i asked why they didnt request that and notify me the answer i received was not sure i will not ever use this company again</v>
      </c>
      <c r="H2032" s="4" t="str">
        <f t="shared" si="1"/>
        <v>company did not ship my pet food canceled order failed notify me only reason i noticed because a week had went by no dog food when i contacted them they advised they needed more information i asked why they didnt request that notify me answer i received was not sure i will not ever use this company again</v>
      </c>
      <c r="I2032" s="6">
        <f t="shared" si="2"/>
        <v>58</v>
      </c>
      <c r="J2032" s="6">
        <f>IFERROR(__xludf.DUMMYFUNCTION("IF(H2032="""","""",
SUM(
ARRAYFORMULA(
IF(
REGEXMATCH(
"" ""&amp;H2032&amp;"" "",
"" ""&amp;Sentiment_Words!A$2:A3730&amp;"" ""
),
1,
0
)
)
)
)"),0.0)</f>
        <v>0</v>
      </c>
      <c r="K2032" s="4">
        <f>IFERROR(__xludf.DUMMYFUNCTION("IF(H2032="""","""",
SUM(
ARRAYFORMULA(
IF(
REGEXMATCH(
"" ""&amp;H2032&amp;"" "",
"" ""&amp;Sentiment_Words!B$2:B3730&amp;"" ""
),
1,
0
)
)
)
)"),0.0)</f>
        <v>0</v>
      </c>
      <c r="L2032" s="7" t="str">
        <f t="shared" si="3"/>
        <v>Other</v>
      </c>
      <c r="M2032" s="7" t="str">
        <f t="shared" si="4"/>
        <v>Neutral</v>
      </c>
      <c r="N2032" s="7" t="str">
        <f>IFERROR(__xludf.DUMMYFUNCTION("LOWER(
TRIM(
REGEXREPLACE(B2032,""[^a-zA-Z\s]"","""")
)
)
"),"zahra tappouni")</f>
        <v>zahra tappouni</v>
      </c>
      <c r="O2032" s="7">
        <f t="shared" si="5"/>
        <v>1</v>
      </c>
      <c r="P2032" s="8" t="str">
        <f t="shared" si="6"/>
        <v>No</v>
      </c>
    </row>
    <row r="2033">
      <c r="A2033" s="4" t="s">
        <v>16</v>
      </c>
      <c r="B2033" s="4" t="s">
        <v>5727</v>
      </c>
      <c r="C2033" s="5">
        <v>44740.0</v>
      </c>
      <c r="D2033" s="10">
        <v>44740.0</v>
      </c>
      <c r="E2033" s="4" t="s">
        <v>5728</v>
      </c>
      <c r="F2033" s="4" t="s">
        <v>5729</v>
      </c>
      <c r="G2033" s="6" t="str">
        <f>IFERROR(__xludf.DUMMYFUNCTION("REGEXREPLACE(LOWER(F2033),""[^a-z\s]"","""")"),"i have recently had a bad experience with chewy however i have found you i have  dog and  cats and so far you have their food i will look for other things as they come up so far everything is great")</f>
        <v>i have recently had a bad experience with chewy however i have found you i have  dog and  cats and so far you have their food i will look for other things as they come up so far everything is great</v>
      </c>
      <c r="H2033" s="4" t="str">
        <f t="shared" si="1"/>
        <v>i have recently had a bad experience with chewy however i have found you i have dog cats so far you have their food i will look other things as they come up so far everything great</v>
      </c>
      <c r="I2033" s="6">
        <f t="shared" si="2"/>
        <v>37</v>
      </c>
      <c r="J2033" s="6">
        <f>IFERROR(__xludf.DUMMYFUNCTION("IF(H2033="""","""",
SUM(
ARRAYFORMULA(
IF(
REGEXMATCH(
"" ""&amp;H2033&amp;"" "",
"" ""&amp;Sentiment_Words!A$2:A3730&amp;"" ""
),
1,
0
)
)
)
)"),2.0)</f>
        <v>2</v>
      </c>
      <c r="K2033" s="4">
        <f>IFERROR(__xludf.DUMMYFUNCTION("IF(H2033="""","""",
SUM(
ARRAYFORMULA(
IF(
REGEXMATCH(
"" ""&amp;H2033&amp;"" "",
"" ""&amp;Sentiment_Words!B$2:B3730&amp;"" ""
),
1,
0
)
)
)
)"),0.0)</f>
        <v>0</v>
      </c>
      <c r="L2033" s="7" t="str">
        <f t="shared" si="3"/>
        <v>Other</v>
      </c>
      <c r="M2033" s="7" t="str">
        <f t="shared" si="4"/>
        <v>Positive</v>
      </c>
      <c r="N2033" s="7" t="str">
        <f>IFERROR(__xludf.DUMMYFUNCTION("LOWER(
TRIM(
REGEXREPLACE(B2033,""[^a-zA-Z\s]"","""")
)
)
"),"sara")</f>
        <v>sara</v>
      </c>
      <c r="O2033" s="7">
        <f t="shared" si="5"/>
        <v>3</v>
      </c>
      <c r="P2033" s="8" t="str">
        <f t="shared" si="6"/>
        <v>Yes</v>
      </c>
    </row>
    <row r="2034">
      <c r="A2034" s="4" t="s">
        <v>16</v>
      </c>
      <c r="B2034" s="4" t="s">
        <v>5730</v>
      </c>
      <c r="C2034" s="5">
        <v>44740.0</v>
      </c>
      <c r="D2034" s="10">
        <v>44740.0</v>
      </c>
      <c r="E2034" s="4" t="s">
        <v>5731</v>
      </c>
      <c r="F2034" s="4" t="s">
        <v>5732</v>
      </c>
      <c r="G2034" s="6" t="str">
        <f>IFERROR(__xludf.DUMMYFUNCTION("REGEXREPLACE(LOWER(F2034),""[^a-z\s]"","""")"),"easy online ordering and super fast delivery")</f>
        <v>easy online ordering and super fast delivery</v>
      </c>
      <c r="H2034" s="4" t="str">
        <f t="shared" si="1"/>
        <v>easy online ordering super fast delivery</v>
      </c>
      <c r="I2034" s="6">
        <f t="shared" si="2"/>
        <v>6</v>
      </c>
      <c r="J2034" s="6">
        <f>IFERROR(__xludf.DUMMYFUNCTION("IF(H2034="""","""",
SUM(
ARRAYFORMULA(
IF(
REGEXMATCH(
"" ""&amp;H2034&amp;"" "",
"" ""&amp;Sentiment_Words!A$2:A3730&amp;"" ""
),
1,
0
)
)
)
)"),3.0)</f>
        <v>3</v>
      </c>
      <c r="K2034" s="4">
        <f>IFERROR(__xludf.DUMMYFUNCTION("IF(H2034="""","""",
SUM(
ARRAYFORMULA(
IF(
REGEXMATCH(
"" ""&amp;H2034&amp;"" "",
"" ""&amp;Sentiment_Words!B$2:B3730&amp;"" ""
),
1,
0
)
)
)
)"),0.0)</f>
        <v>0</v>
      </c>
      <c r="L2034" s="7" t="str">
        <f t="shared" si="3"/>
        <v>Other</v>
      </c>
      <c r="M2034" s="7" t="str">
        <f t="shared" si="4"/>
        <v>Positive</v>
      </c>
      <c r="N2034" s="7" t="str">
        <f>IFERROR(__xludf.DUMMYFUNCTION("LOWER(
TRIM(
REGEXREPLACE(B2034,""[^a-zA-Z\s]"","""")
)
)
"),"heidi ripkecurcio")</f>
        <v>heidi ripkecurcio</v>
      </c>
      <c r="O2034" s="7">
        <f t="shared" si="5"/>
        <v>1</v>
      </c>
      <c r="P2034" s="8" t="str">
        <f t="shared" si="6"/>
        <v>No</v>
      </c>
    </row>
    <row r="2035">
      <c r="A2035" s="4" t="s">
        <v>16</v>
      </c>
      <c r="B2035" s="4" t="s">
        <v>739</v>
      </c>
      <c r="C2035" s="5">
        <v>44739.0</v>
      </c>
      <c r="D2035" s="10">
        <v>44739.0</v>
      </c>
      <c r="E2035" s="4" t="s">
        <v>5733</v>
      </c>
      <c r="F2035" s="4" t="s">
        <v>5734</v>
      </c>
      <c r="G2035" s="6" t="str">
        <f>IFERROR(__xludf.DUMMYFUNCTION("REGEXREPLACE(LOWER(F2035),""[^a-z\s]"","""")"),"very efficient and convenient to have your unappreciative cats food and litter appear at your front door  highly recommend ")</f>
        <v>very efficient and convenient to have your unappreciative cats food and litter appear at your front door  highly recommend </v>
      </c>
      <c r="H2035" s="4" t="str">
        <f t="shared" si="1"/>
        <v>very efficient convenient have your unappreciative cats food litter appear at your front door highly recommend</v>
      </c>
      <c r="I2035" s="6">
        <f t="shared" si="2"/>
        <v>16</v>
      </c>
      <c r="J2035" s="6">
        <f>IFERROR(__xludf.DUMMYFUNCTION("IF(H2035="""","""",
SUM(
ARRAYFORMULA(
IF(
REGEXMATCH(
"" ""&amp;H2035&amp;"" "",
"" ""&amp;Sentiment_Words!A$2:A3730&amp;"" ""
),
1,
0
)
)
)
)"),2.0)</f>
        <v>2</v>
      </c>
      <c r="K2035" s="4">
        <f>IFERROR(__xludf.DUMMYFUNCTION("IF(H2035="""","""",
SUM(
ARRAYFORMULA(
IF(
REGEXMATCH(
"" ""&amp;H2035&amp;"" "",
"" ""&amp;Sentiment_Words!B$2:B3730&amp;"" ""
),
1,
0
)
)
)
)"),0.0)</f>
        <v>0</v>
      </c>
      <c r="L2035" s="7" t="str">
        <f t="shared" si="3"/>
        <v>Value &amp; Convenience</v>
      </c>
      <c r="M2035" s="7" t="str">
        <f t="shared" si="4"/>
        <v>Positive</v>
      </c>
      <c r="N2035" s="7" t="str">
        <f>IFERROR(__xludf.DUMMYFUNCTION("LOWER(
TRIM(
REGEXREPLACE(B2035,""[^a-zA-Z\s]"","""")
)
)
"),"customer")</f>
        <v>customer</v>
      </c>
      <c r="O2035" s="7">
        <f t="shared" si="5"/>
        <v>54</v>
      </c>
      <c r="P2035" s="8" t="str">
        <f t="shared" si="6"/>
        <v>Yes</v>
      </c>
    </row>
    <row r="2036">
      <c r="A2036" s="4" t="s">
        <v>16</v>
      </c>
      <c r="B2036" s="4" t="s">
        <v>4659</v>
      </c>
      <c r="C2036" s="5">
        <v>44739.0</v>
      </c>
      <c r="D2036" s="10">
        <v>44739.0</v>
      </c>
      <c r="E2036" s="4" t="s">
        <v>5735</v>
      </c>
      <c r="F2036" s="4" t="s">
        <v>5736</v>
      </c>
      <c r="G2036" s="6" t="str">
        <f>IFERROR(__xludf.DUMMYFUNCTION("REGEXREPLACE(LOWER(F2036),""[^a-z\s]"","""")"),"it has been  days since my order was confirmed and it has not shipped when i contacted petflow i was told that first time rx orders can sometimes take a while to be approved but this feels ridiculous")</f>
        <v>it has been  days since my order was confirmed and it has not shipped when i contacted petflow i was told that first time rx orders can sometimes take a while to be approved but this feels ridiculous</v>
      </c>
      <c r="H2036" s="4" t="str">
        <f t="shared" si="1"/>
        <v>it has been days since my order was confirmed it has not shipped when i contacted petflow i was told that first time rx orders can sometimes take a while be approved but this feels ridiculous</v>
      </c>
      <c r="I2036" s="6">
        <f t="shared" si="2"/>
        <v>36</v>
      </c>
      <c r="J2036" s="6">
        <f>IFERROR(__xludf.DUMMYFUNCTION("IF(H2036="""","""",
SUM(
ARRAYFORMULA(
IF(
REGEXMATCH(
"" ""&amp;H2036&amp;"" "",
"" ""&amp;Sentiment_Words!A$2:A3730&amp;"" ""
),
1,
0
)
)
)
)"),0.0)</f>
        <v>0</v>
      </c>
      <c r="K2036" s="4">
        <f>IFERROR(__xludf.DUMMYFUNCTION("IF(H2036="""","""",
SUM(
ARRAYFORMULA(
IF(
REGEXMATCH(
"" ""&amp;H2036&amp;"" "",
"" ""&amp;Sentiment_Words!B$2:B3730&amp;"" ""
),
1,
0
)
)
)
)"),0.0)</f>
        <v>0</v>
      </c>
      <c r="L2036" s="7" t="str">
        <f t="shared" si="3"/>
        <v>Other</v>
      </c>
      <c r="M2036" s="7" t="str">
        <f t="shared" si="4"/>
        <v>Neutral</v>
      </c>
      <c r="N2036" s="7" t="str">
        <f>IFERROR(__xludf.DUMMYFUNCTION("LOWER(
TRIM(
REGEXREPLACE(B2036,""[^a-zA-Z\s]"","""")
)
)
"),"carol")</f>
        <v>carol</v>
      </c>
      <c r="O2036" s="7">
        <f t="shared" si="5"/>
        <v>8</v>
      </c>
      <c r="P2036" s="8" t="str">
        <f t="shared" si="6"/>
        <v>Yes</v>
      </c>
    </row>
    <row r="2037">
      <c r="A2037" s="4" t="s">
        <v>16</v>
      </c>
      <c r="B2037" s="4" t="s">
        <v>5737</v>
      </c>
      <c r="C2037" s="5">
        <v>44739.0</v>
      </c>
      <c r="D2037" s="10">
        <v>44739.0</v>
      </c>
      <c r="E2037" s="4" t="s">
        <v>5738</v>
      </c>
      <c r="F2037" s="4" t="s">
        <v>331</v>
      </c>
      <c r="G2037" s="6" t="str">
        <f>IFERROR(__xludf.DUMMYFUNCTION("REGEXREPLACE(LOWER(F2037),""[^a-z\s]"","""")"),"none")</f>
        <v>none</v>
      </c>
      <c r="H2037" s="4" t="str">
        <f t="shared" si="1"/>
        <v>none</v>
      </c>
      <c r="I2037" s="6">
        <f t="shared" si="2"/>
        <v>1</v>
      </c>
      <c r="J2037" s="6">
        <f>IFERROR(__xludf.DUMMYFUNCTION("IF(H2037="""","""",
SUM(
ARRAYFORMULA(
IF(
REGEXMATCH(
"" ""&amp;H2037&amp;"" "",
"" ""&amp;Sentiment_Words!A$2:A3730&amp;"" ""
),
1,
0
)
)
)
)"),0.0)</f>
        <v>0</v>
      </c>
      <c r="K2037" s="4">
        <f>IFERROR(__xludf.DUMMYFUNCTION("IF(H2037="""","""",
SUM(
ARRAYFORMULA(
IF(
REGEXMATCH(
"" ""&amp;H2037&amp;"" "",
"" ""&amp;Sentiment_Words!B$2:B3730&amp;"" ""
),
1,
0
)
)
)
)"),0.0)</f>
        <v>0</v>
      </c>
      <c r="L2037" s="7" t="str">
        <f t="shared" si="3"/>
        <v>Other</v>
      </c>
      <c r="M2037" s="7" t="str">
        <f t="shared" si="4"/>
        <v>Neutral</v>
      </c>
      <c r="N2037" s="7" t="str">
        <f>IFERROR(__xludf.DUMMYFUNCTION("LOWER(
TRIM(
REGEXREPLACE(B2037,""[^a-zA-Z\s]"","""")
)
)
"),"sad cat")</f>
        <v>sad cat</v>
      </c>
      <c r="O2037" s="7">
        <f t="shared" si="5"/>
        <v>1</v>
      </c>
      <c r="P2037" s="8" t="str">
        <f t="shared" si="6"/>
        <v>No</v>
      </c>
    </row>
    <row r="2038">
      <c r="A2038" s="4" t="s">
        <v>16</v>
      </c>
      <c r="B2038" s="4" t="s">
        <v>5739</v>
      </c>
      <c r="C2038" s="5">
        <v>44739.0</v>
      </c>
      <c r="D2038" s="10">
        <v>44739.0</v>
      </c>
      <c r="E2038" s="4" t="s">
        <v>5740</v>
      </c>
      <c r="F2038" s="4" t="s">
        <v>5741</v>
      </c>
      <c r="G2038" s="6" t="str">
        <f>IFERROR(__xludf.DUMMYFUNCTION("REGEXREPLACE(LOWER(F2038),""[^a-z\s]"","""")"),"i love petflows auto delivery system its easy to use and i can change the schedule with a couple clicks packages always arrive secure and on time")</f>
        <v>i love petflows auto delivery system its easy to use and i can change the schedule with a couple clicks packages always arrive secure and on time</v>
      </c>
      <c r="H2038" s="4" t="str">
        <f t="shared" si="1"/>
        <v>i love petflows auto delivery system its easy use i can change schedule with a couple clicks packages always arrive secure on time</v>
      </c>
      <c r="I2038" s="6">
        <f t="shared" si="2"/>
        <v>23</v>
      </c>
      <c r="J2038" s="6">
        <f>IFERROR(__xludf.DUMMYFUNCTION("IF(H2038="""","""",
SUM(
ARRAYFORMULA(
IF(
REGEXMATCH(
"" ""&amp;H2038&amp;"" "",
"" ""&amp;Sentiment_Words!A$2:A3730&amp;"" ""
),
1,
0
)
)
)
)"),3.0)</f>
        <v>3</v>
      </c>
      <c r="K2038" s="4">
        <f>IFERROR(__xludf.DUMMYFUNCTION("IF(H2038="""","""",
SUM(
ARRAYFORMULA(
IF(
REGEXMATCH(
"" ""&amp;H2038&amp;"" "",
"" ""&amp;Sentiment_Words!B$2:B3730&amp;"" ""
),
1,
0
)
)
)
)"),0.0)</f>
        <v>0</v>
      </c>
      <c r="L2038" s="7" t="str">
        <f t="shared" si="3"/>
        <v>Other</v>
      </c>
      <c r="M2038" s="7" t="str">
        <f t="shared" si="4"/>
        <v>Positive</v>
      </c>
      <c r="N2038" s="7" t="str">
        <f>IFERROR(__xludf.DUMMYFUNCTION("LOWER(
TRIM(
REGEXREPLACE(B2038,""[^a-zA-Z\s]"","""")
)
)
"),"denise a hobson")</f>
        <v>denise a hobson</v>
      </c>
      <c r="O2038" s="7">
        <f t="shared" si="5"/>
        <v>1</v>
      </c>
      <c r="P2038" s="8" t="str">
        <f t="shared" si="6"/>
        <v>No</v>
      </c>
    </row>
    <row r="2039">
      <c r="A2039" s="4" t="s">
        <v>16</v>
      </c>
      <c r="B2039" s="4" t="s">
        <v>5742</v>
      </c>
      <c r="C2039" s="5">
        <v>44739.0</v>
      </c>
      <c r="D2039" s="10">
        <v>44739.0</v>
      </c>
      <c r="E2039" s="4" t="s">
        <v>5743</v>
      </c>
      <c r="F2039" s="4" t="s">
        <v>5744</v>
      </c>
      <c r="G2039" s="6" t="str">
        <f>IFERROR(__xludf.DUMMYFUNCTION("REGEXREPLACE(LOWER(F2039),""[^a-z\s]"","""")"),"love pet flow great customer service quick shipping highly recommended
have foods others dont")</f>
        <v>love pet flow great customer service quick shipping highly recommended
have foods others dont</v>
      </c>
      <c r="H2039" s="4" t="str">
        <f t="shared" si="1"/>
        <v>love pet flow great customer service quick shipping highly recommended
have foods others dont</v>
      </c>
      <c r="I2039" s="6">
        <f t="shared" si="2"/>
        <v>13</v>
      </c>
      <c r="J2039" s="6">
        <f>IFERROR(__xludf.DUMMYFUNCTION("IF(H2039="""","""",
SUM(
ARRAYFORMULA(
IF(
REGEXMATCH(
"" ""&amp;H2039&amp;"" "",
"" ""&amp;Sentiment_Words!A$2:A3730&amp;"" ""
),
1,
0
)
)
)
)"),3.0)</f>
        <v>3</v>
      </c>
      <c r="K2039" s="4">
        <f>IFERROR(__xludf.DUMMYFUNCTION("IF(H2039="""","""",
SUM(
ARRAYFORMULA(
IF(
REGEXMATCH(
"" ""&amp;H2039&amp;"" "",
"" ""&amp;Sentiment_Words!B$2:B3730&amp;"" ""
),
1,
0
)
)
)
)"),1.0)</f>
        <v>1</v>
      </c>
      <c r="L2039" s="7" t="str">
        <f t="shared" si="3"/>
        <v>Customer Support</v>
      </c>
      <c r="M2039" s="7" t="str">
        <f t="shared" si="4"/>
        <v>Positive</v>
      </c>
      <c r="N2039" s="7" t="str">
        <f>IFERROR(__xludf.DUMMYFUNCTION("LOWER(
TRIM(
REGEXREPLACE(B2039,""[^a-zA-Z\s]"","""")
)
)
"),"jenny ladd")</f>
        <v>jenny ladd</v>
      </c>
      <c r="O2039" s="7">
        <f t="shared" si="5"/>
        <v>1</v>
      </c>
      <c r="P2039" s="8" t="str">
        <f t="shared" si="6"/>
        <v>No</v>
      </c>
    </row>
    <row r="2040">
      <c r="A2040" s="4" t="s">
        <v>16</v>
      </c>
      <c r="B2040" s="4" t="s">
        <v>5745</v>
      </c>
      <c r="C2040" s="5">
        <v>44739.0</v>
      </c>
      <c r="D2040" s="10">
        <v>44739.0</v>
      </c>
      <c r="E2040" s="4" t="s">
        <v>5746</v>
      </c>
      <c r="F2040" s="4" t="s">
        <v>5747</v>
      </c>
      <c r="G2040" s="6" t="str">
        <f>IFERROR(__xludf.DUMMYFUNCTION("REGEXREPLACE(LOWER(F2040),""[^a-z\s]"","""")"),"i was glad to find what i needed on your site but i was concerned about shipment via federal express in my opinion they are unreliable my shipment was delayed but thankfully arrived before i became worried")</f>
        <v>i was glad to find what i needed on your site but i was concerned about shipment via federal express in my opinion they are unreliable my shipment was delayed but thankfully arrived before i became worried</v>
      </c>
      <c r="H2040" s="4" t="str">
        <f t="shared" si="1"/>
        <v>i was glad find what i needed on your site but i was concerned about shipment via federal express in my opinion they are unreliable my shipment was delayed but thankfully arrived before i became worried</v>
      </c>
      <c r="I2040" s="6">
        <f t="shared" si="2"/>
        <v>36</v>
      </c>
      <c r="J2040" s="6">
        <f>IFERROR(__xludf.DUMMYFUNCTION("IF(H2040="""","""",
SUM(
ARRAYFORMULA(
IF(
REGEXMATCH(
"" ""&amp;H2040&amp;"" "",
"" ""&amp;Sentiment_Words!A$2:A3730&amp;"" ""
),
1,
0
)
)
)
)"),1.0)</f>
        <v>1</v>
      </c>
      <c r="K2040" s="4">
        <f>IFERROR(__xludf.DUMMYFUNCTION("IF(H2040="""","""",
SUM(
ARRAYFORMULA(
IF(
REGEXMATCH(
"" ""&amp;H2040&amp;"" "",
"" ""&amp;Sentiment_Words!B$2:B3730&amp;"" ""
),
1,
0
)
)
)
)"),1.0)</f>
        <v>1</v>
      </c>
      <c r="L2040" s="7" t="str">
        <f t="shared" si="3"/>
        <v>Fulfillment &amp; Shipping</v>
      </c>
      <c r="M2040" s="7" t="str">
        <f t="shared" si="4"/>
        <v>Neutral</v>
      </c>
      <c r="N2040" s="7" t="str">
        <f>IFERROR(__xludf.DUMMYFUNCTION("LOWER(
TRIM(
REGEXREPLACE(B2040,""[^a-zA-Z\s]"","""")
)
)
"),"lisa timm")</f>
        <v>lisa timm</v>
      </c>
      <c r="O2040" s="7">
        <f t="shared" si="5"/>
        <v>1</v>
      </c>
      <c r="P2040" s="8" t="str">
        <f t="shared" si="6"/>
        <v>No</v>
      </c>
    </row>
    <row r="2041">
      <c r="A2041" s="4" t="s">
        <v>16</v>
      </c>
      <c r="B2041" s="4" t="s">
        <v>5748</v>
      </c>
      <c r="C2041" s="5">
        <v>44739.0</v>
      </c>
      <c r="D2041" s="10">
        <v>44739.0</v>
      </c>
      <c r="E2041" s="4" t="s">
        <v>5749</v>
      </c>
      <c r="F2041" s="4" t="s">
        <v>5750</v>
      </c>
      <c r="G2041" s="6" t="str">
        <f>IFERROR(__xludf.DUMMYFUNCTION("REGEXREPLACE(LOWER(F2041),""[^a-z\s]"","""")"),"perfect transaction perfect delivery perfect communication your my store")</f>
        <v>perfect transaction perfect delivery perfect communication your my store</v>
      </c>
      <c r="H2041" s="4" t="str">
        <f t="shared" si="1"/>
        <v>perfect transaction perfect delivery perfect communication your my store</v>
      </c>
      <c r="I2041" s="6">
        <f t="shared" si="2"/>
        <v>9</v>
      </c>
      <c r="J2041" s="6">
        <f>IFERROR(__xludf.DUMMYFUNCTION("IF(H2041="""","""",
SUM(
ARRAYFORMULA(
IF(
REGEXMATCH(
"" ""&amp;H2041&amp;"" "",
"" ""&amp;Sentiment_Words!A$2:A3730&amp;"" ""
),
1,
0
)
)
)
)"),0.0)</f>
        <v>0</v>
      </c>
      <c r="K2041" s="4">
        <f>IFERROR(__xludf.DUMMYFUNCTION("IF(H2041="""","""",
SUM(
ARRAYFORMULA(
IF(
REGEXMATCH(
"" ""&amp;H2041&amp;"" "",
"" ""&amp;Sentiment_Words!B$2:B3730&amp;"" ""
),
1,
0
)
)
)
)"),0.0)</f>
        <v>0</v>
      </c>
      <c r="L2041" s="7" t="str">
        <f t="shared" si="3"/>
        <v>Other</v>
      </c>
      <c r="M2041" s="7" t="str">
        <f t="shared" si="4"/>
        <v>Neutral</v>
      </c>
      <c r="N2041" s="7" t="str">
        <f>IFERROR(__xludf.DUMMYFUNCTION("LOWER(
TRIM(
REGEXREPLACE(B2041,""[^a-zA-Z\s]"","""")
)
)
"),"annie marie")</f>
        <v>annie marie</v>
      </c>
      <c r="O2041" s="7">
        <f t="shared" si="5"/>
        <v>1</v>
      </c>
      <c r="P2041" s="8" t="str">
        <f t="shared" si="6"/>
        <v>No</v>
      </c>
    </row>
    <row r="2042">
      <c r="A2042" s="4" t="s">
        <v>16</v>
      </c>
      <c r="B2042" s="4" t="s">
        <v>5751</v>
      </c>
      <c r="C2042" s="5">
        <v>44739.0</v>
      </c>
      <c r="D2042" s="10">
        <v>44739.0</v>
      </c>
      <c r="E2042" s="4" t="s">
        <v>5752</v>
      </c>
      <c r="F2042" s="4" t="s">
        <v>5753</v>
      </c>
      <c r="G2042" s="6" t="str">
        <f>IFERROR(__xludf.DUMMYFUNCTION("REGEXREPLACE(LOWER(F2042),""[^a-z\s]"","""")"),"i ordered veterinary dog treats so gave petflow all necessary vetinary info after no emails from them for quite a few days i emailed to see when order would be shipped out they said soon after a couple of days i called back to check to make sure that they"&amp;" had item in stock and that was not the delay the woman i spoke to on the phone said they were definitely in stock should be mailed soon called directly again in  days as no update that person told me that they were not in stock told them to cancel my ord"&amp;"er and send me an email confirmation saying they canceled never received an email confirmation saying that it was in fact canceled disappointing")</f>
        <v>i ordered veterinary dog treats so gave petflow all necessary vetinary info after no emails from them for quite a few days i emailed to see when order would be shipped out they said soon after a couple of days i called back to check to make sure that they had item in stock and that was not the delay the woman i spoke to on the phone said they were definitely in stock should be mailed soon called directly again in  days as no update that person told me that they were not in stock told them to cancel my order and send me an email confirmation saying they canceled never received an email confirmation saying that it was in fact canceled disappointing</v>
      </c>
      <c r="H2042" s="4" t="str">
        <f t="shared" si="1"/>
        <v>i ordered veterinary dog treats so gave petflow all necessary vetinary info after no emails from them quite a few days i emailed see when order would be shipped out they said soon after a couple of days i called back check make sure that they had item in stock that was not delay woman i spoke on phone said they were definitely in stock should be mailed soon called directly again in days as no update that person told me that they were not in stock told them cancel my order send me an email confirmation saying they canceled never received an email confirmation saying that it was in fact canceled disappointing</v>
      </c>
      <c r="I2042" s="6">
        <f t="shared" si="2"/>
        <v>113</v>
      </c>
      <c r="J2042" s="6">
        <f>IFERROR(__xludf.DUMMYFUNCTION("IF(H2042="""","""",
SUM(
ARRAYFORMULA(
IF(
REGEXMATCH(
"" ""&amp;H2042&amp;"" "",
"" ""&amp;Sentiment_Words!A$2:A3730&amp;"" ""
),
1,
0
)
)
)
)"),0.0)</f>
        <v>0</v>
      </c>
      <c r="K2042" s="4">
        <f>IFERROR(__xludf.DUMMYFUNCTION("IF(H2042="""","""",
SUM(
ARRAYFORMULA(
IF(
REGEXMATCH(
"" ""&amp;H2042&amp;"" "",
"" ""&amp;Sentiment_Words!B$2:B3730&amp;"" ""
),
1,
0
)
)
)
)"),1.0)</f>
        <v>1</v>
      </c>
      <c r="L2042" s="7" t="str">
        <f t="shared" si="3"/>
        <v>Fulfillment &amp; Shipping</v>
      </c>
      <c r="M2042" s="7" t="str">
        <f t="shared" si="4"/>
        <v>Negative</v>
      </c>
      <c r="N2042" s="7" t="str">
        <f>IFERROR(__xludf.DUMMYFUNCTION("LOWER(
TRIM(
REGEXREPLACE(B2042,""[^a-zA-Z\s]"","""")
)
)
"),"customerdebra")</f>
        <v>customerdebra</v>
      </c>
      <c r="O2042" s="7">
        <f t="shared" si="5"/>
        <v>1</v>
      </c>
      <c r="P2042" s="8" t="str">
        <f t="shared" si="6"/>
        <v>No</v>
      </c>
    </row>
    <row r="2043">
      <c r="A2043" s="4" t="s">
        <v>16</v>
      </c>
      <c r="B2043" s="4" t="s">
        <v>5754</v>
      </c>
      <c r="C2043" s="5">
        <v>44739.0</v>
      </c>
      <c r="D2043" s="10">
        <v>44739.0</v>
      </c>
      <c r="E2043" s="4" t="s">
        <v>5755</v>
      </c>
      <c r="F2043" s="4" t="s">
        <v>5756</v>
      </c>
      <c r="G2043" s="6" t="str">
        <f>IFERROR(__xludf.DUMMYFUNCTION("REGEXREPLACE(LOWER(F2043),""[^a-z\s]"","""")"),"we have ordered through petflow a few times now and are very happy with our experiences we will continue to order our dog food and other pet items through them")</f>
        <v>we have ordered through petflow a few times now and are very happy with our experiences we will continue to order our dog food and other pet items through them</v>
      </c>
      <c r="H2043" s="4" t="str">
        <f t="shared" si="1"/>
        <v>we have ordered through petflow a few times now are very happy with our experiences we will continue order our dog food other pet items through them</v>
      </c>
      <c r="I2043" s="6">
        <f t="shared" si="2"/>
        <v>27</v>
      </c>
      <c r="J2043" s="6">
        <f>IFERROR(__xludf.DUMMYFUNCTION("IF(H2043="""","""",
SUM(
ARRAYFORMULA(
IF(
REGEXMATCH(
"" ""&amp;H2043&amp;"" "",
"" ""&amp;Sentiment_Words!A$2:A3730&amp;"" ""
),
1,
0
)
)
)
)"),1.0)</f>
        <v>1</v>
      </c>
      <c r="K2043" s="4">
        <f>IFERROR(__xludf.DUMMYFUNCTION("IF(H2043="""","""",
SUM(
ARRAYFORMULA(
IF(
REGEXMATCH(
"" ""&amp;H2043&amp;"" "",
"" ""&amp;Sentiment_Words!B$2:B3730&amp;"" ""
),
1,
0
)
)
)
)"),0.0)</f>
        <v>0</v>
      </c>
      <c r="L2043" s="7" t="str">
        <f t="shared" si="3"/>
        <v>Other</v>
      </c>
      <c r="M2043" s="7" t="str">
        <f t="shared" si="4"/>
        <v>Positive</v>
      </c>
      <c r="N2043" s="7" t="str">
        <f>IFERROR(__xludf.DUMMYFUNCTION("LOWER(
TRIM(
REGEXREPLACE(B2043,""[^a-zA-Z\s]"","""")
)
)
"),"rollie bennett")</f>
        <v>rollie bennett</v>
      </c>
      <c r="O2043" s="7">
        <f t="shared" si="5"/>
        <v>1</v>
      </c>
      <c r="P2043" s="8" t="str">
        <f t="shared" si="6"/>
        <v>No</v>
      </c>
    </row>
    <row r="2044">
      <c r="A2044" s="4" t="s">
        <v>16</v>
      </c>
      <c r="B2044" s="4" t="s">
        <v>5757</v>
      </c>
      <c r="C2044" s="5">
        <v>44739.0</v>
      </c>
      <c r="D2044" s="10">
        <v>44739.0</v>
      </c>
      <c r="E2044" s="4" t="s">
        <v>5758</v>
      </c>
      <c r="F2044" s="4" t="s">
        <v>5759</v>
      </c>
      <c r="G2044" s="6" t="str">
        <f>IFERROR(__xludf.DUMMYFUNCTION("REGEXREPLACE(LOWER(F2044),""[^a-z\s]"","""")"),"always used chewy but not anymore u guys r really on top of ur game thank you anna sutocky")</f>
        <v>always used chewy but not anymore u guys r really on top of ur game thank you anna sutocky</v>
      </c>
      <c r="H2044" s="4" t="str">
        <f t="shared" si="1"/>
        <v>always used chewy but not anymore u guys r really on top of ur game thank you anna sutocky</v>
      </c>
      <c r="I2044" s="6">
        <f t="shared" si="2"/>
        <v>19</v>
      </c>
      <c r="J2044" s="6">
        <f>IFERROR(__xludf.DUMMYFUNCTION("IF(H2044="""","""",
SUM(
ARRAYFORMULA(
IF(
REGEXMATCH(
"" ""&amp;H2044&amp;"" "",
"" ""&amp;Sentiment_Words!A$2:A3730&amp;"" ""
),
1,
0
)
)
)
)"),0.0)</f>
        <v>0</v>
      </c>
      <c r="K2044" s="4">
        <f>IFERROR(__xludf.DUMMYFUNCTION("IF(H2044="""","""",
SUM(
ARRAYFORMULA(
IF(
REGEXMATCH(
"" ""&amp;H2044&amp;"" "",
"" ""&amp;Sentiment_Words!B$2:B3730&amp;"" ""
),
1,
0
)
)
)
)"),0.0)</f>
        <v>0</v>
      </c>
      <c r="L2044" s="7" t="str">
        <f t="shared" si="3"/>
        <v>Other</v>
      </c>
      <c r="M2044" s="7" t="str">
        <f t="shared" si="4"/>
        <v>Neutral</v>
      </c>
      <c r="N2044" s="7" t="str">
        <f>IFERROR(__xludf.DUMMYFUNCTION("LOWER(
TRIM(
REGEXREPLACE(B2044,""[^a-zA-Z\s]"","""")
)
)
"),"devon lewis")</f>
        <v>devon lewis</v>
      </c>
      <c r="O2044" s="7">
        <f t="shared" si="5"/>
        <v>1</v>
      </c>
      <c r="P2044" s="8" t="str">
        <f t="shared" si="6"/>
        <v>No</v>
      </c>
    </row>
    <row r="2045">
      <c r="A2045" s="4" t="s">
        <v>16</v>
      </c>
      <c r="B2045" s="4" t="s">
        <v>5760</v>
      </c>
      <c r="C2045" s="5">
        <v>44739.0</v>
      </c>
      <c r="D2045" s="10">
        <v>44739.0</v>
      </c>
      <c r="E2045" s="4" t="s">
        <v>5761</v>
      </c>
      <c r="F2045" s="4" t="s">
        <v>5762</v>
      </c>
      <c r="G2045" s="6" t="str">
        <f>IFERROR(__xludf.DUMMYFUNCTION("REGEXREPLACE(LOWER(F2045),""[^a-z\s]"","""")"),"very fast and easy shipment of dog food  five stars
their use of fedex is a problem  one star
fedex drivers repeatedly damage my property repeatedly notified fedex other deliveries like ups or amazon have not had a problem")</f>
        <v>very fast and easy shipment of dog food  five stars
their use of fedex is a problem  one star
fedex drivers repeatedly damage my property repeatedly notified fedex other deliveries like ups or amazon have not had a problem</v>
      </c>
      <c r="H2045" s="4" t="str">
        <f t="shared" si="1"/>
        <v>very fast easy shipment of dog food five stars
their use of fedex a problem one star
fedex drivers repeatedly damage my property repeatedly notified fedex other deliveries like ups or amazon have not had a problem</v>
      </c>
      <c r="I2045" s="6">
        <f t="shared" si="2"/>
        <v>35</v>
      </c>
      <c r="J2045" s="6">
        <f>IFERROR(__xludf.DUMMYFUNCTION("IF(H2045="""","""",
SUM(
ARRAYFORMULA(
IF(
REGEXMATCH(
"" ""&amp;H2045&amp;"" "",
"" ""&amp;Sentiment_Words!A$2:A3730&amp;"" ""
),
1,
0
)
)
)
)"),2.0)</f>
        <v>2</v>
      </c>
      <c r="K2045" s="4">
        <f>IFERROR(__xludf.DUMMYFUNCTION("IF(H2045="""","""",
SUM(
ARRAYFORMULA(
IF(
REGEXMATCH(
"" ""&amp;H2045&amp;"" "",
"" ""&amp;Sentiment_Words!B$2:B3730&amp;"" ""
),
1,
0
)
)
)
)"),1.0)</f>
        <v>1</v>
      </c>
      <c r="L2045" s="7" t="str">
        <f t="shared" si="3"/>
        <v>Other</v>
      </c>
      <c r="M2045" s="7" t="str">
        <f t="shared" si="4"/>
        <v>Positive</v>
      </c>
      <c r="N2045" s="7" t="str">
        <f>IFERROR(__xludf.DUMMYFUNCTION("LOWER(
TRIM(
REGEXREPLACE(B2045,""[^a-zA-Z\s]"","""")
)
)
"),"anna sutocky")</f>
        <v>anna sutocky</v>
      </c>
      <c r="O2045" s="7">
        <f t="shared" si="5"/>
        <v>1</v>
      </c>
      <c r="P2045" s="8" t="str">
        <f t="shared" si="6"/>
        <v>No</v>
      </c>
    </row>
    <row r="2046">
      <c r="A2046" s="4" t="s">
        <v>16</v>
      </c>
      <c r="B2046" s="4" t="s">
        <v>5763</v>
      </c>
      <c r="C2046" s="5">
        <v>44739.0</v>
      </c>
      <c r="D2046" s="10">
        <v>44739.0</v>
      </c>
      <c r="E2046" s="4" t="s">
        <v>5764</v>
      </c>
      <c r="F2046" s="4" t="s">
        <v>5765</v>
      </c>
      <c r="G2046" s="6" t="str">
        <f>IFERROR(__xludf.DUMMYFUNCTION("REGEXREPLACE(LOWER(F2046),""[^a-z\s]"","""")"),"petflow was easy and fast to respond and deliver i was using chewy but it took forever to get approval for the dog food needed and i had trouble with them on every order so petflow was a relief how easily it went thank you for that and i would recommend p"&amp;"etflow to everyone with pet")</f>
        <v>petflow was easy and fast to respond and deliver i was using chewy but it took forever to get approval for the dog food needed and i had trouble with them on every order so petflow was a relief how easily it went thank you for that and i would recommend petflow to everyone with pet</v>
      </c>
      <c r="H2046" s="4" t="str">
        <f t="shared" si="1"/>
        <v>petflow was easy fast respond deliver i was using chewy but it took forever get approval dog food needed i had trouble with them on every order so petflow was a relief how easily it went thank you that i would recommend petflow everyone with pet</v>
      </c>
      <c r="I2046" s="6">
        <f t="shared" si="2"/>
        <v>46</v>
      </c>
      <c r="J2046" s="6">
        <f>IFERROR(__xludf.DUMMYFUNCTION("IF(H2046="""","""",
SUM(
ARRAYFORMULA(
IF(
REGEXMATCH(
"" ""&amp;H2046&amp;"" "",
"" ""&amp;Sentiment_Words!A$2:A3730&amp;"" ""
),
1,
0
)
)
)
)"),2.0)</f>
        <v>2</v>
      </c>
      <c r="K2046" s="4">
        <f>IFERROR(__xludf.DUMMYFUNCTION("IF(H2046="""","""",
SUM(
ARRAYFORMULA(
IF(
REGEXMATCH(
"" ""&amp;H2046&amp;"" "",
"" ""&amp;Sentiment_Words!B$2:B3730&amp;"" ""
),
1,
0
)
)
)
)"),0.0)</f>
        <v>0</v>
      </c>
      <c r="L2046" s="7" t="str">
        <f t="shared" si="3"/>
        <v>Other</v>
      </c>
      <c r="M2046" s="7" t="str">
        <f t="shared" si="4"/>
        <v>Positive</v>
      </c>
      <c r="N2046" s="7" t="str">
        <f>IFERROR(__xludf.DUMMYFUNCTION("LOWER(
TRIM(
REGEXREPLACE(B2046,""[^a-zA-Z\s]"","""")
)
)
"),"walter l zych")</f>
        <v>walter l zych</v>
      </c>
      <c r="O2046" s="7">
        <f t="shared" si="5"/>
        <v>1</v>
      </c>
      <c r="P2046" s="8" t="str">
        <f t="shared" si="6"/>
        <v>No</v>
      </c>
    </row>
    <row r="2047">
      <c r="A2047" s="4" t="s">
        <v>16</v>
      </c>
      <c r="B2047" s="4" t="s">
        <v>5766</v>
      </c>
      <c r="C2047" s="5">
        <v>44738.0</v>
      </c>
      <c r="D2047" s="10">
        <v>44738.0</v>
      </c>
      <c r="E2047" s="4" t="s">
        <v>5767</v>
      </c>
      <c r="F2047" s="4" t="s">
        <v>5768</v>
      </c>
      <c r="G2047" s="6" t="str">
        <f>IFERROR(__xludf.DUMMYFUNCTION("REGEXREPLACE(LOWER(F2047),""[^a-z\s]"","""")"),"my order was correct and received very timely i have no complaints")</f>
        <v>my order was correct and received very timely i have no complaints</v>
      </c>
      <c r="H2047" s="4" t="str">
        <f t="shared" si="1"/>
        <v>my order was correct received very timely i have no complaints</v>
      </c>
      <c r="I2047" s="6">
        <f t="shared" si="2"/>
        <v>11</v>
      </c>
      <c r="J2047" s="6">
        <f>IFERROR(__xludf.DUMMYFUNCTION("IF(H2047="""","""",
SUM(
ARRAYFORMULA(
IF(
REGEXMATCH(
"" ""&amp;H2047&amp;"" "",
"" ""&amp;Sentiment_Words!A$2:A3730&amp;"" ""
),
1,
0
)
)
)
)"),0.0)</f>
        <v>0</v>
      </c>
      <c r="K2047" s="4">
        <f>IFERROR(__xludf.DUMMYFUNCTION("IF(H2047="""","""",
SUM(
ARRAYFORMULA(
IF(
REGEXMATCH(
"" ""&amp;H2047&amp;"" "",
"" ""&amp;Sentiment_Words!B$2:B3730&amp;"" ""
),
1,
0
)
)
)
)"),0.0)</f>
        <v>0</v>
      </c>
      <c r="L2047" s="7" t="str">
        <f t="shared" si="3"/>
        <v>Other</v>
      </c>
      <c r="M2047" s="7" t="str">
        <f t="shared" si="4"/>
        <v>Neutral</v>
      </c>
      <c r="N2047" s="7" t="str">
        <f>IFERROR(__xludf.DUMMYFUNCTION("LOWER(
TRIM(
REGEXREPLACE(B2047,""[^a-zA-Z\s]"","""")
)
)
"),"richard in sc")</f>
        <v>richard in sc</v>
      </c>
      <c r="O2047" s="7">
        <f t="shared" si="5"/>
        <v>1</v>
      </c>
      <c r="P2047" s="8" t="str">
        <f t="shared" si="6"/>
        <v>No</v>
      </c>
    </row>
    <row r="2048">
      <c r="A2048" s="4" t="s">
        <v>16</v>
      </c>
      <c r="B2048" s="4" t="s">
        <v>5769</v>
      </c>
      <c r="C2048" s="5">
        <v>44738.0</v>
      </c>
      <c r="D2048" s="10">
        <v>44738.0</v>
      </c>
      <c r="E2048" s="4" t="s">
        <v>5770</v>
      </c>
      <c r="F2048" s="4" t="s">
        <v>5771</v>
      </c>
      <c r="G2048" s="6" t="str">
        <f>IFERROR(__xludf.DUMMYFUNCTION("REGEXREPLACE(LOWER(F2048),""[^a-z\s]"","""")"),"perfect my dogs thank you and extremely fast will absolutely shop here again")</f>
        <v>perfect my dogs thank you and extremely fast will absolutely shop here again</v>
      </c>
      <c r="H2048" s="4" t="str">
        <f t="shared" si="1"/>
        <v>perfect my dogs thank you extremely fast will absolutely shop here again</v>
      </c>
      <c r="I2048" s="6">
        <f t="shared" si="2"/>
        <v>12</v>
      </c>
      <c r="J2048" s="6">
        <f>IFERROR(__xludf.DUMMYFUNCTION("IF(H2048="""","""",
SUM(
ARRAYFORMULA(
IF(
REGEXMATCH(
"" ""&amp;H2048&amp;"" "",
"" ""&amp;Sentiment_Words!A$2:A3730&amp;"" ""
),
1,
0
)
)
)
)"),1.0)</f>
        <v>1</v>
      </c>
      <c r="K2048" s="4">
        <f>IFERROR(__xludf.DUMMYFUNCTION("IF(H2048="""","""",
SUM(
ARRAYFORMULA(
IF(
REGEXMATCH(
"" ""&amp;H2048&amp;"" "",
"" ""&amp;Sentiment_Words!B$2:B3730&amp;"" ""
),
1,
0
)
)
)
)"),0.0)</f>
        <v>0</v>
      </c>
      <c r="L2048" s="7" t="str">
        <f t="shared" si="3"/>
        <v>Other</v>
      </c>
      <c r="M2048" s="7" t="str">
        <f t="shared" si="4"/>
        <v>Positive</v>
      </c>
      <c r="N2048" s="7" t="str">
        <f>IFERROR(__xludf.DUMMYFUNCTION("LOWER(
TRIM(
REGEXREPLACE(B2048,""[^a-zA-Z\s]"","""")
)
)
"),"randy shelby")</f>
        <v>randy shelby</v>
      </c>
      <c r="O2048" s="7">
        <f t="shared" si="5"/>
        <v>1</v>
      </c>
      <c r="P2048" s="8" t="str">
        <f t="shared" si="6"/>
        <v>No</v>
      </c>
    </row>
    <row r="2049">
      <c r="A2049" s="4" t="s">
        <v>16</v>
      </c>
      <c r="B2049" s="4" t="s">
        <v>5772</v>
      </c>
      <c r="C2049" s="5">
        <v>44738.0</v>
      </c>
      <c r="D2049" s="10">
        <v>44738.0</v>
      </c>
      <c r="E2049" s="4" t="s">
        <v>5773</v>
      </c>
      <c r="F2049" s="4" t="s">
        <v>5774</v>
      </c>
      <c r="G2049" s="6" t="str">
        <f>IFERROR(__xludf.DUMMYFUNCTION("REGEXREPLACE(LOWER(F2049),""[^a-z\s]"","""")"),"first fedex lost the package left on a neighbors doorstep might not be such a big deal in the city but in the country thats a game changer neighbor finally brought the package up to the house a couple of days later
second product was short dated this is "&amp;"midjune of   product has bbd of july 
as someone who oversees the date rotations in my place of employment this is really low standards
i gave two stars because customer service didnt harass me when i cancelled my autoship but i wont use this company ag"&amp;"ain")</f>
        <v>first fedex lost the package left on a neighbors doorstep might not be such a big deal in the city but in the country thats a game changer neighbor finally brought the package up to the house a couple of days later
second product was short dated this is midjune of   product has bbd of july 
as someone who oversees the date rotations in my place of employment this is really low standards
i gave two stars because customer service didnt harass me when i cancelled my autoship but i wont use this company again</v>
      </c>
      <c r="H2049" s="4" t="str">
        <f t="shared" si="1"/>
        <v>first fedex lost package left on a neighbors doorstep might not be such a big deal in city but in country thats a game changer neighbor finally brought package up house a couple of days later
second product was short dated this midjune of product has bbd of july 
as someone who oversees date rotations in my place of employment this really low standards
i gave two stars because customer service didnt harass me when i cancelled my autoship but i wont use this company again</v>
      </c>
      <c r="I2049" s="6">
        <f t="shared" si="2"/>
        <v>84</v>
      </c>
      <c r="J2049" s="6">
        <f>IFERROR(__xludf.DUMMYFUNCTION("IF(H2049="""","""",
SUM(
ARRAYFORMULA(
IF(
REGEXMATCH(
"" ""&amp;H2049&amp;"" "",
"" ""&amp;Sentiment_Words!A$2:A3730&amp;"" ""
),
1,
0
)
)
)
)"),0.0)</f>
        <v>0</v>
      </c>
      <c r="K2049" s="4">
        <f>IFERROR(__xludf.DUMMYFUNCTION("IF(H2049="""","""",
SUM(
ARRAYFORMULA(
IF(
REGEXMATCH(
"" ""&amp;H2049&amp;"" "",
"" ""&amp;Sentiment_Words!B$2:B3730&amp;"" ""
),
1,
0
)
)
)
)"),2.0)</f>
        <v>2</v>
      </c>
      <c r="L2049" s="7" t="str">
        <f t="shared" si="3"/>
        <v>Customer Support</v>
      </c>
      <c r="M2049" s="7" t="str">
        <f t="shared" si="4"/>
        <v>Negative</v>
      </c>
      <c r="N2049" s="7" t="str">
        <f>IFERROR(__xludf.DUMMYFUNCTION("LOWER(
TRIM(
REGEXREPLACE(B2049,""[^a-zA-Z\s]"","""")
)
)
"),"diane")</f>
        <v>diane</v>
      </c>
      <c r="O2049" s="7">
        <f t="shared" si="5"/>
        <v>7</v>
      </c>
      <c r="P2049" s="8" t="str">
        <f t="shared" si="6"/>
        <v>Yes</v>
      </c>
    </row>
    <row r="2050">
      <c r="A2050" s="4" t="s">
        <v>16</v>
      </c>
      <c r="B2050" s="4" t="s">
        <v>5775</v>
      </c>
      <c r="C2050" s="5">
        <v>44738.0</v>
      </c>
      <c r="D2050" s="10">
        <v>44738.0</v>
      </c>
      <c r="E2050" s="4" t="s">
        <v>5776</v>
      </c>
      <c r="F2050" s="4" t="s">
        <v>5777</v>
      </c>
      <c r="G2050" s="6" t="str">
        <f>IFERROR(__xludf.DUMMYFUNCTION("REGEXREPLACE(LOWER(F2050),""[^a-z\s]"","""")"),"this company was there for me when i couldnt find my cats prescription food anywhere thankful to have found it quick script review quick shipping")</f>
        <v>this company was there for me when i couldnt find my cats prescription food anywhere thankful to have found it quick script review quick shipping</v>
      </c>
      <c r="H2050" s="4" t="str">
        <f t="shared" si="1"/>
        <v>this company was there me when i couldnt find my cats prescription food anywhere thankful have found it quick script review quick shipping</v>
      </c>
      <c r="I2050" s="6">
        <f t="shared" si="2"/>
        <v>23</v>
      </c>
      <c r="J2050" s="6">
        <f>IFERROR(__xludf.DUMMYFUNCTION("IF(H2050="""","""",
SUM(
ARRAYFORMULA(
IF(
REGEXMATCH(
"" ""&amp;H2050&amp;"" "",
"" ""&amp;Sentiment_Words!A$2:A3730&amp;"" ""
),
1,
0
)
)
)
)"),1.0)</f>
        <v>1</v>
      </c>
      <c r="K2050" s="4">
        <f>IFERROR(__xludf.DUMMYFUNCTION("IF(H2050="""","""",
SUM(
ARRAYFORMULA(
IF(
REGEXMATCH(
"" ""&amp;H2050&amp;"" "",
"" ""&amp;Sentiment_Words!B$2:B3730&amp;"" ""
),
1,
0
)
)
)
)"),0.0)</f>
        <v>0</v>
      </c>
      <c r="L2050" s="7" t="str">
        <f t="shared" si="3"/>
        <v>Other</v>
      </c>
      <c r="M2050" s="7" t="str">
        <f t="shared" si="4"/>
        <v>Positive</v>
      </c>
      <c r="N2050" s="7" t="str">
        <f>IFERROR(__xludf.DUMMYFUNCTION("LOWER(
TRIM(
REGEXREPLACE(B2050,""[^a-zA-Z\s]"","""")
)
)
"),"catherine burns")</f>
        <v>catherine burns</v>
      </c>
      <c r="O2050" s="7">
        <f t="shared" si="5"/>
        <v>1</v>
      </c>
      <c r="P2050" s="8" t="str">
        <f t="shared" si="6"/>
        <v>No</v>
      </c>
    </row>
    <row r="2051">
      <c r="A2051" s="4" t="s">
        <v>16</v>
      </c>
      <c r="B2051" s="4" t="s">
        <v>5778</v>
      </c>
      <c r="C2051" s="5">
        <v>44738.0</v>
      </c>
      <c r="D2051" s="10">
        <v>44738.0</v>
      </c>
      <c r="E2051" s="4" t="s">
        <v>5779</v>
      </c>
      <c r="F2051" s="4" t="s">
        <v>5780</v>
      </c>
      <c r="G2051" s="6" t="str">
        <f>IFERROR(__xludf.DUMMYFUNCTION("REGEXREPLACE(LOWER(F2051),""[^a-z\s]"","""")"),"i ordered science diet wd wet cat food from them because their website said they had it in stock about a week later i got an email saying they were cancelling my order because they didnt have any in and didnt know when they would be getting it they didnt "&amp;"charge me for it since they werent able to ship it just very disappointed that they would have it listed as in stock when they didnt have any")</f>
        <v>i ordered science diet wd wet cat food from them because their website said they had it in stock about a week later i got an email saying they were cancelling my order because they didnt have any in and didnt know when they would be getting it they didnt charge me for it since they werent able to ship it just very disappointed that they would have it listed as in stock when they didnt have any</v>
      </c>
      <c r="H2051" s="4" t="str">
        <f t="shared" si="1"/>
        <v>i ordered science diet wd wet cat food from them because their website said they had it in stock about a week later i got an email saying they were cancelling my order because they didnt have any in didnt know when they would be getting it they didnt charge me it since they werent able ship it just very disappointed that they would have it listed as in stock when they didnt have any</v>
      </c>
      <c r="I2051" s="6">
        <f t="shared" si="2"/>
        <v>75</v>
      </c>
      <c r="J2051" s="6">
        <f>IFERROR(__xludf.DUMMYFUNCTION("IF(H2051="""","""",
SUM(
ARRAYFORMULA(
IF(
REGEXMATCH(
"" ""&amp;H2051&amp;"" "",
"" ""&amp;Sentiment_Words!A$2:A3730&amp;"" ""
),
1,
0
)
)
)
)"),1.0)</f>
        <v>1</v>
      </c>
      <c r="K2051" s="4">
        <f>IFERROR(__xludf.DUMMYFUNCTION("IF(H2051="""","""",
SUM(
ARRAYFORMULA(
IF(
REGEXMATCH(
"" ""&amp;H2051&amp;"" "",
"" ""&amp;Sentiment_Words!B$2:B3730&amp;"" ""
),
1,
0
)
)
)
)"),0.0)</f>
        <v>0</v>
      </c>
      <c r="L2051" s="7" t="str">
        <f t="shared" si="3"/>
        <v>Fulfillment &amp; Shipping</v>
      </c>
      <c r="M2051" s="7" t="str">
        <f t="shared" si="4"/>
        <v>Positive</v>
      </c>
      <c r="N2051" s="7" t="str">
        <f>IFERROR(__xludf.DUMMYFUNCTION("LOWER(
TRIM(
REGEXREPLACE(B2051,""[^a-zA-Z\s]"","""")
)
)
"),"taira naiomy")</f>
        <v>taira naiomy</v>
      </c>
      <c r="O2051" s="7">
        <f t="shared" si="5"/>
        <v>1</v>
      </c>
      <c r="P2051" s="8" t="str">
        <f t="shared" si="6"/>
        <v>No</v>
      </c>
    </row>
    <row r="2052">
      <c r="A2052" s="4" t="s">
        <v>16</v>
      </c>
      <c r="B2052" s="4" t="s">
        <v>5781</v>
      </c>
      <c r="C2052" s="5">
        <v>44737.0</v>
      </c>
      <c r="D2052" s="10">
        <v>44737.0</v>
      </c>
      <c r="E2052" s="4" t="s">
        <v>5782</v>
      </c>
      <c r="F2052" s="4" t="s">
        <v>5783</v>
      </c>
      <c r="G2052" s="6" t="str">
        <f>IFERROR(__xludf.DUMMYFUNCTION("REGEXREPLACE(LOWER(F2052),""[^a-z\s]"","""")"),"reliable good products timely delivery")</f>
        <v>reliable good products timely delivery</v>
      </c>
      <c r="H2052" s="4" t="str">
        <f t="shared" si="1"/>
        <v>reliable good products timely delivery</v>
      </c>
      <c r="I2052" s="6">
        <f t="shared" si="2"/>
        <v>5</v>
      </c>
      <c r="J2052" s="6">
        <f>IFERROR(__xludf.DUMMYFUNCTION("IF(H2052="""","""",
SUM(
ARRAYFORMULA(
IF(
REGEXMATCH(
"" ""&amp;H2052&amp;"" "",
"" ""&amp;Sentiment_Words!A$2:A3730&amp;"" ""
),
1,
0
)
)
)
)"),2.0)</f>
        <v>2</v>
      </c>
      <c r="K2052" s="4">
        <f>IFERROR(__xludf.DUMMYFUNCTION("IF(H2052="""","""",
SUM(
ARRAYFORMULA(
IF(
REGEXMATCH(
"" ""&amp;H2052&amp;"" "",
"" ""&amp;Sentiment_Words!B$2:B3730&amp;"" ""
),
1,
0
)
)
)
)"),0.0)</f>
        <v>0</v>
      </c>
      <c r="L2052" s="7" t="str">
        <f t="shared" si="3"/>
        <v>Other</v>
      </c>
      <c r="M2052" s="7" t="str">
        <f t="shared" si="4"/>
        <v>Positive</v>
      </c>
      <c r="N2052" s="7" t="str">
        <f>IFERROR(__xludf.DUMMYFUNCTION("LOWER(
TRIM(
REGEXREPLACE(B2052,""[^a-zA-Z\s]"","""")
)
)
"),"dani")</f>
        <v>dani</v>
      </c>
      <c r="O2052" s="7">
        <f t="shared" si="5"/>
        <v>1</v>
      </c>
      <c r="P2052" s="8" t="str">
        <f t="shared" si="6"/>
        <v>No</v>
      </c>
    </row>
    <row r="2053">
      <c r="A2053" s="4" t="s">
        <v>16</v>
      </c>
      <c r="B2053" s="4" t="s">
        <v>5784</v>
      </c>
      <c r="C2053" s="5">
        <v>44737.0</v>
      </c>
      <c r="D2053" s="10">
        <v>44737.0</v>
      </c>
      <c r="E2053" s="4" t="s">
        <v>5785</v>
      </c>
      <c r="F2053" s="4" t="s">
        <v>5786</v>
      </c>
      <c r="G2053" s="6" t="str">
        <f>IFERROR(__xludf.DUMMYFUNCTION("REGEXREPLACE(LOWER(F2053),""[^a-z\s]"","""")"),"love it
good products convenient quality communication and on time delivery")</f>
        <v>love it
good products convenient quality communication and on time delivery</v>
      </c>
      <c r="H2053" s="4" t="str">
        <f t="shared" si="1"/>
        <v>love it
good products convenient quality communication on time delivery</v>
      </c>
      <c r="I2053" s="6">
        <f t="shared" si="2"/>
        <v>9</v>
      </c>
      <c r="J2053" s="6">
        <f>IFERROR(__xludf.DUMMYFUNCTION("IF(H2053="""","""",
SUM(
ARRAYFORMULA(
IF(
REGEXMATCH(
"" ""&amp;H2053&amp;"" "",
"" ""&amp;Sentiment_Words!A$2:A3730&amp;"" ""
),
1,
0
)
)
)
)"),3.0)</f>
        <v>3</v>
      </c>
      <c r="K2053" s="4">
        <f>IFERROR(__xludf.DUMMYFUNCTION("IF(H2053="""","""",
SUM(
ARRAYFORMULA(
IF(
REGEXMATCH(
"" ""&amp;H2053&amp;"" "",
"" ""&amp;Sentiment_Words!B$2:B3730&amp;"" ""
),
1,
0
)
)
)
)"),0.0)</f>
        <v>0</v>
      </c>
      <c r="L2053" s="7" t="str">
        <f t="shared" si="3"/>
        <v>Value &amp; Convenience</v>
      </c>
      <c r="M2053" s="7" t="str">
        <f t="shared" si="4"/>
        <v>Positive</v>
      </c>
      <c r="N2053" s="7" t="str">
        <f>IFERROR(__xludf.DUMMYFUNCTION("LOWER(
TRIM(
REGEXREPLACE(B2053,""[^a-zA-Z\s]"","""")
)
)
"),"sarah")</f>
        <v>sarah</v>
      </c>
      <c r="O2053" s="7">
        <f t="shared" si="5"/>
        <v>4</v>
      </c>
      <c r="P2053" s="8" t="str">
        <f t="shared" si="6"/>
        <v>Yes</v>
      </c>
    </row>
    <row r="2054">
      <c r="A2054" s="4" t="s">
        <v>16</v>
      </c>
      <c r="B2054" s="4" t="s">
        <v>4602</v>
      </c>
      <c r="C2054" s="5">
        <v>44736.0</v>
      </c>
      <c r="D2054" s="10">
        <v>44736.0</v>
      </c>
      <c r="E2054" s="4" t="s">
        <v>4772</v>
      </c>
      <c r="F2054" s="4" t="s">
        <v>5787</v>
      </c>
      <c r="G2054" s="6" t="str">
        <f>IFERROR(__xludf.DUMMYFUNCTION("REGEXREPLACE(LOWER(F2054),""[^a-z\s]"","""")"),"ive been having a hard time finding this cat food and when i did find it usually the bags were sold out this made it easy and convenient for me to order this online and got it in a couple of days before we ran out")</f>
        <v>ive been having a hard time finding this cat food and when i did find it usually the bags were sold out this made it easy and convenient for me to order this online and got it in a couple of days before we ran out</v>
      </c>
      <c r="H2054" s="4" t="str">
        <f t="shared" si="1"/>
        <v>ive been having a hard time finding this cat food when i did find it usually bags were sold out this made it easy convenient me order this online got it in a couple of days before we ran out</v>
      </c>
      <c r="I2054" s="6">
        <f t="shared" si="2"/>
        <v>40</v>
      </c>
      <c r="J2054" s="6">
        <f>IFERROR(__xludf.DUMMYFUNCTION("IF(H2054="""","""",
SUM(
ARRAYFORMULA(
IF(
REGEXMATCH(
"" ""&amp;H2054&amp;"" "",
"" ""&amp;Sentiment_Words!A$2:A3730&amp;"" ""
),
1,
0
)
)
)
)"),2.0)</f>
        <v>2</v>
      </c>
      <c r="K2054" s="4">
        <f>IFERROR(__xludf.DUMMYFUNCTION("IF(H2054="""","""",
SUM(
ARRAYFORMULA(
IF(
REGEXMATCH(
"" ""&amp;H2054&amp;"" "",
"" ""&amp;Sentiment_Words!B$2:B3730&amp;"" ""
),
1,
0
)
)
)
)"),0.0)</f>
        <v>0</v>
      </c>
      <c r="L2054" s="7" t="str">
        <f t="shared" si="3"/>
        <v>Value &amp; Convenience</v>
      </c>
      <c r="M2054" s="7" t="str">
        <f t="shared" si="4"/>
        <v>Positive</v>
      </c>
      <c r="N2054" s="7" t="str">
        <f>IFERROR(__xludf.DUMMYFUNCTION("LOWER(
TRIM(
REGEXREPLACE(B2054,""[^a-zA-Z\s]"","""")
)
)
"),"annette")</f>
        <v>annette</v>
      </c>
      <c r="O2054" s="7">
        <f t="shared" si="5"/>
        <v>2</v>
      </c>
      <c r="P2054" s="8" t="str">
        <f t="shared" si="6"/>
        <v>Yes</v>
      </c>
    </row>
    <row r="2055">
      <c r="A2055" s="4" t="s">
        <v>16</v>
      </c>
      <c r="B2055" s="4" t="s">
        <v>5788</v>
      </c>
      <c r="C2055" s="5">
        <v>44736.0</v>
      </c>
      <c r="D2055" s="10">
        <v>44736.0</v>
      </c>
      <c r="E2055" s="4" t="s">
        <v>1774</v>
      </c>
      <c r="F2055" s="4" t="s">
        <v>331</v>
      </c>
      <c r="G2055" s="6" t="str">
        <f>IFERROR(__xludf.DUMMYFUNCTION("REGEXREPLACE(LOWER(F2055),""[^a-z\s]"","""")"),"none")</f>
        <v>none</v>
      </c>
      <c r="H2055" s="4" t="str">
        <f t="shared" si="1"/>
        <v>none</v>
      </c>
      <c r="I2055" s="6">
        <f t="shared" si="2"/>
        <v>1</v>
      </c>
      <c r="J2055" s="6">
        <f>IFERROR(__xludf.DUMMYFUNCTION("IF(H2055="""","""",
SUM(
ARRAYFORMULA(
IF(
REGEXMATCH(
"" ""&amp;H2055&amp;"" "",
"" ""&amp;Sentiment_Words!A$2:A3730&amp;"" ""
),
1,
0
)
)
)
)"),0.0)</f>
        <v>0</v>
      </c>
      <c r="K2055" s="4">
        <f>IFERROR(__xludf.DUMMYFUNCTION("IF(H2055="""","""",
SUM(
ARRAYFORMULA(
IF(
REGEXMATCH(
"" ""&amp;H2055&amp;"" "",
"" ""&amp;Sentiment_Words!B$2:B3730&amp;"" ""
),
1,
0
)
)
)
)"),0.0)</f>
        <v>0</v>
      </c>
      <c r="L2055" s="7" t="str">
        <f t="shared" si="3"/>
        <v>Other</v>
      </c>
      <c r="M2055" s="7" t="str">
        <f t="shared" si="4"/>
        <v>Neutral</v>
      </c>
      <c r="N2055" s="7" t="str">
        <f>IFERROR(__xludf.DUMMYFUNCTION("LOWER(
TRIM(
REGEXREPLACE(B2055,""[^a-zA-Z\s]"","""")
)
)
"),"helen hegarty")</f>
        <v>helen hegarty</v>
      </c>
      <c r="O2055" s="7">
        <f t="shared" si="5"/>
        <v>1</v>
      </c>
      <c r="P2055" s="8" t="str">
        <f t="shared" si="6"/>
        <v>No</v>
      </c>
    </row>
    <row r="2056">
      <c r="A2056" s="4" t="s">
        <v>16</v>
      </c>
      <c r="B2056" s="4" t="s">
        <v>5789</v>
      </c>
      <c r="C2056" s="5">
        <v>44736.0</v>
      </c>
      <c r="D2056" s="10">
        <v>44736.0</v>
      </c>
      <c r="E2056" s="4" t="s">
        <v>5790</v>
      </c>
      <c r="F2056" s="4" t="s">
        <v>331</v>
      </c>
      <c r="G2056" s="6" t="str">
        <f>IFERROR(__xludf.DUMMYFUNCTION("REGEXREPLACE(LOWER(F2056),""[^a-z\s]"","""")"),"none")</f>
        <v>none</v>
      </c>
      <c r="H2056" s="4" t="str">
        <f t="shared" si="1"/>
        <v>none</v>
      </c>
      <c r="I2056" s="6">
        <f t="shared" si="2"/>
        <v>1</v>
      </c>
      <c r="J2056" s="6">
        <f>IFERROR(__xludf.DUMMYFUNCTION("IF(H2056="""","""",
SUM(
ARRAYFORMULA(
IF(
REGEXMATCH(
"" ""&amp;H2056&amp;"" "",
"" ""&amp;Sentiment_Words!A$2:A3730&amp;"" ""
),
1,
0
)
)
)
)"),0.0)</f>
        <v>0</v>
      </c>
      <c r="K2056" s="4">
        <f>IFERROR(__xludf.DUMMYFUNCTION("IF(H2056="""","""",
SUM(
ARRAYFORMULA(
IF(
REGEXMATCH(
"" ""&amp;H2056&amp;"" "",
"" ""&amp;Sentiment_Words!B$2:B3730&amp;"" ""
),
1,
0
)
)
)
)"),0.0)</f>
        <v>0</v>
      </c>
      <c r="L2056" s="7" t="str">
        <f t="shared" si="3"/>
        <v>Other</v>
      </c>
      <c r="M2056" s="7" t="str">
        <f t="shared" si="4"/>
        <v>Neutral</v>
      </c>
      <c r="N2056" s="7" t="str">
        <f>IFERROR(__xludf.DUMMYFUNCTION("LOWER(
TRIM(
REGEXREPLACE(B2056,""[^a-zA-Z\s]"","""")
)
)
"),"rita krause")</f>
        <v>rita krause</v>
      </c>
      <c r="O2056" s="7">
        <f t="shared" si="5"/>
        <v>1</v>
      </c>
      <c r="P2056" s="8" t="str">
        <f t="shared" si="6"/>
        <v>No</v>
      </c>
    </row>
    <row r="2057">
      <c r="A2057" s="4" t="s">
        <v>16</v>
      </c>
      <c r="B2057" s="4" t="s">
        <v>5791</v>
      </c>
      <c r="C2057" s="5">
        <v>44736.0</v>
      </c>
      <c r="D2057" s="10">
        <v>44736.0</v>
      </c>
      <c r="E2057" s="4" t="s">
        <v>5792</v>
      </c>
      <c r="F2057" s="4" t="s">
        <v>331</v>
      </c>
      <c r="G2057" s="6" t="str">
        <f>IFERROR(__xludf.DUMMYFUNCTION("REGEXREPLACE(LOWER(F2057),""[^a-z\s]"","""")"),"none")</f>
        <v>none</v>
      </c>
      <c r="H2057" s="4" t="str">
        <f t="shared" si="1"/>
        <v>none</v>
      </c>
      <c r="I2057" s="6">
        <f t="shared" si="2"/>
        <v>1</v>
      </c>
      <c r="J2057" s="6">
        <f>IFERROR(__xludf.DUMMYFUNCTION("IF(H2057="""","""",
SUM(
ARRAYFORMULA(
IF(
REGEXMATCH(
"" ""&amp;H2057&amp;"" "",
"" ""&amp;Sentiment_Words!A$2:A3730&amp;"" ""
),
1,
0
)
)
)
)"),0.0)</f>
        <v>0</v>
      </c>
      <c r="K2057" s="4">
        <f>IFERROR(__xludf.DUMMYFUNCTION("IF(H2057="""","""",
SUM(
ARRAYFORMULA(
IF(
REGEXMATCH(
"" ""&amp;H2057&amp;"" "",
"" ""&amp;Sentiment_Words!B$2:B3730&amp;"" ""
),
1,
0
)
)
)
)"),0.0)</f>
        <v>0</v>
      </c>
      <c r="L2057" s="7" t="str">
        <f t="shared" si="3"/>
        <v>Other</v>
      </c>
      <c r="M2057" s="7" t="str">
        <f t="shared" si="4"/>
        <v>Neutral</v>
      </c>
      <c r="N2057" s="7" t="str">
        <f>IFERROR(__xludf.DUMMYFUNCTION("LOWER(
TRIM(
REGEXREPLACE(B2057,""[^a-zA-Z\s]"","""")
)
)
"),"renee gutierrezkinz")</f>
        <v>renee gutierrezkinz</v>
      </c>
      <c r="O2057" s="7">
        <f t="shared" si="5"/>
        <v>1</v>
      </c>
      <c r="P2057" s="8" t="str">
        <f t="shared" si="6"/>
        <v>No</v>
      </c>
    </row>
    <row r="2058">
      <c r="A2058" s="4" t="s">
        <v>16</v>
      </c>
      <c r="B2058" s="4" t="s">
        <v>5793</v>
      </c>
      <c r="C2058" s="5">
        <v>44736.0</v>
      </c>
      <c r="D2058" s="10">
        <v>44736.0</v>
      </c>
      <c r="E2058" s="4" t="s">
        <v>5794</v>
      </c>
      <c r="F2058" s="4" t="s">
        <v>5795</v>
      </c>
      <c r="G2058" s="6" t="str">
        <f>IFERROR(__xludf.DUMMYFUNCTION("REGEXREPLACE(LOWER(F2058),""[^a-z\s]"","""")"),"easy site to navigate product was originally out of stock but i was notified once the product was available delivered as scheduled my cat loves the product it is a prescription food for diabetic cats hopefully i will see an improvement in his condition")</f>
        <v>easy site to navigate product was originally out of stock but i was notified once the product was available delivered as scheduled my cat loves the product it is a prescription food for diabetic cats hopefully i will see an improvement in his condition</v>
      </c>
      <c r="H2058" s="4" t="str">
        <f t="shared" si="1"/>
        <v>easy site navigate product was originally out of stock but i was notified once product was available delivered as scheduled my cat loves product it a prescription food diabetic cats hopefully i will see an improvement in his condition</v>
      </c>
      <c r="I2058" s="6">
        <f t="shared" si="2"/>
        <v>39</v>
      </c>
      <c r="J2058" s="6">
        <f>IFERROR(__xludf.DUMMYFUNCTION("IF(H2058="""","""",
SUM(
ARRAYFORMULA(
IF(
REGEXMATCH(
"" ""&amp;H2058&amp;"" "",
"" ""&amp;Sentiment_Words!A$2:A3730&amp;"" ""
),
1,
0
)
)
)
)"),3.0)</f>
        <v>3</v>
      </c>
      <c r="K2058" s="4">
        <f>IFERROR(__xludf.DUMMYFUNCTION("IF(H2058="""","""",
SUM(
ARRAYFORMULA(
IF(
REGEXMATCH(
"" ""&amp;H2058&amp;"" "",
"" ""&amp;Sentiment_Words!B$2:B3730&amp;"" ""
),
1,
0
)
)
)
)"),1.0)</f>
        <v>1</v>
      </c>
      <c r="L2058" s="7" t="str">
        <f t="shared" si="3"/>
        <v>Availability</v>
      </c>
      <c r="M2058" s="7" t="str">
        <f t="shared" si="4"/>
        <v>Positive</v>
      </c>
      <c r="N2058" s="7" t="str">
        <f>IFERROR(__xludf.DUMMYFUNCTION("LOWER(
TRIM(
REGEXREPLACE(B2058,""[^a-zA-Z\s]"","""")
)
)
"),"mrs wicked dragonfly")</f>
        <v>mrs wicked dragonfly</v>
      </c>
      <c r="O2058" s="7">
        <f t="shared" si="5"/>
        <v>1</v>
      </c>
      <c r="P2058" s="8" t="str">
        <f t="shared" si="6"/>
        <v>No</v>
      </c>
    </row>
    <row r="2059">
      <c r="A2059" s="4" t="s">
        <v>16</v>
      </c>
      <c r="B2059" s="4" t="s">
        <v>5796</v>
      </c>
      <c r="C2059" s="5">
        <v>44736.0</v>
      </c>
      <c r="D2059" s="10">
        <v>44736.0</v>
      </c>
      <c r="E2059" s="4" t="s">
        <v>5797</v>
      </c>
      <c r="F2059" s="4" t="s">
        <v>5798</v>
      </c>
      <c r="G2059" s="6" t="str">
        <f>IFERROR(__xludf.DUMMYFUNCTION("REGEXREPLACE(LOWER(F2059),""[^a-z\s]"","""")"),"the product dog food is excellent my dogs love it looking forward to do more beisness with soon")</f>
        <v>the product dog food is excellent my dogs love it looking forward to do more beisness with soon</v>
      </c>
      <c r="H2059" s="4" t="str">
        <f t="shared" si="1"/>
        <v>product dog food excellent my dogs love it looking forward do more beisness with soon</v>
      </c>
      <c r="I2059" s="6">
        <f t="shared" si="2"/>
        <v>15</v>
      </c>
      <c r="J2059" s="6">
        <f>IFERROR(__xludf.DUMMYFUNCTION("IF(H2059="""","""",
SUM(
ARRAYFORMULA(
IF(
REGEXMATCH(
"" ""&amp;H2059&amp;"" "",
"" ""&amp;Sentiment_Words!A$2:A3730&amp;"" ""
),
1,
0
)
)
)
)"),1.0)</f>
        <v>1</v>
      </c>
      <c r="K2059" s="4">
        <f>IFERROR(__xludf.DUMMYFUNCTION("IF(H2059="""","""",
SUM(
ARRAYFORMULA(
IF(
REGEXMATCH(
"" ""&amp;H2059&amp;"" "",
"" ""&amp;Sentiment_Words!B$2:B3730&amp;"" ""
),
1,
0
)
)
)
)"),0.0)</f>
        <v>0</v>
      </c>
      <c r="L2059" s="7" t="str">
        <f t="shared" si="3"/>
        <v>Other</v>
      </c>
      <c r="M2059" s="7" t="str">
        <f t="shared" si="4"/>
        <v>Positive</v>
      </c>
      <c r="N2059" s="7" t="str">
        <f>IFERROR(__xludf.DUMMYFUNCTION("LOWER(
TRIM(
REGEXREPLACE(B2059,""[^a-zA-Z\s]"","""")
)
)
"),"roger martinez")</f>
        <v>roger martinez</v>
      </c>
      <c r="O2059" s="7">
        <f t="shared" si="5"/>
        <v>1</v>
      </c>
      <c r="P2059" s="8" t="str">
        <f t="shared" si="6"/>
        <v>No</v>
      </c>
    </row>
    <row r="2060">
      <c r="A2060" s="4" t="s">
        <v>16</v>
      </c>
      <c r="B2060" s="4" t="s">
        <v>5799</v>
      </c>
      <c r="C2060" s="5">
        <v>44736.0</v>
      </c>
      <c r="D2060" s="10">
        <v>44736.0</v>
      </c>
      <c r="E2060" s="4" t="s">
        <v>5800</v>
      </c>
      <c r="F2060" s="4" t="s">
        <v>5801</v>
      </c>
      <c r="G2060" s="6" t="str">
        <f>IFERROR(__xludf.DUMMYFUNCTION("REGEXREPLACE(LOWER(F2060),""[^a-z\s]"","""")"),"i was impressed by the selection price and delivery time of petflow getting ready to place my second order")</f>
        <v>i was impressed by the selection price and delivery time of petflow getting ready to place my second order</v>
      </c>
      <c r="H2060" s="4" t="str">
        <f t="shared" si="1"/>
        <v>i was impressed by selection price delivery time of petflow getting ready place my second order</v>
      </c>
      <c r="I2060" s="6">
        <f t="shared" si="2"/>
        <v>16</v>
      </c>
      <c r="J2060" s="6">
        <f>IFERROR(__xludf.DUMMYFUNCTION("IF(H2060="""","""",
SUM(
ARRAYFORMULA(
IF(
REGEXMATCH(
"" ""&amp;H2060&amp;"" "",
"" ""&amp;Sentiment_Words!A$2:A3730&amp;"" ""
),
1,
0
)
)
)
)"),1.0)</f>
        <v>1</v>
      </c>
      <c r="K2060" s="4">
        <f>IFERROR(__xludf.DUMMYFUNCTION("IF(H2060="""","""",
SUM(
ARRAYFORMULA(
IF(
REGEXMATCH(
"" ""&amp;H2060&amp;"" "",
"" ""&amp;Sentiment_Words!B$2:B3730&amp;"" ""
),
1,
0
)
)
)
)"),0.0)</f>
        <v>0</v>
      </c>
      <c r="L2060" s="7" t="str">
        <f t="shared" si="3"/>
        <v>Service Recovery</v>
      </c>
      <c r="M2060" s="7" t="str">
        <f t="shared" si="4"/>
        <v>Positive</v>
      </c>
      <c r="N2060" s="7" t="str">
        <f>IFERROR(__xludf.DUMMYFUNCTION("LOWER(
TRIM(
REGEXREPLACE(B2060,""[^a-zA-Z\s]"","""")
)
)
"),"kyle l")</f>
        <v>kyle l</v>
      </c>
      <c r="O2060" s="7">
        <f t="shared" si="5"/>
        <v>1</v>
      </c>
      <c r="P2060" s="8" t="str">
        <f t="shared" si="6"/>
        <v>No</v>
      </c>
    </row>
    <row r="2061">
      <c r="A2061" s="4" t="s">
        <v>16</v>
      </c>
      <c r="B2061" s="4" t="s">
        <v>5802</v>
      </c>
      <c r="C2061" s="5">
        <v>44735.0</v>
      </c>
      <c r="D2061" s="10">
        <v>44735.0</v>
      </c>
      <c r="E2061" s="4" t="s">
        <v>5803</v>
      </c>
      <c r="F2061" s="4" t="s">
        <v>5804</v>
      </c>
      <c r="G2061" s="6" t="str">
        <f>IFERROR(__xludf.DUMMYFUNCTION("REGEXREPLACE(LOWER(F2061),""[^a-z\s]"","""")"),"order was correct and arrived quickly")</f>
        <v>order was correct and arrived quickly</v>
      </c>
      <c r="H2061" s="4" t="str">
        <f t="shared" si="1"/>
        <v>order was correct arrived quickly</v>
      </c>
      <c r="I2061" s="6">
        <f t="shared" si="2"/>
        <v>5</v>
      </c>
      <c r="J2061" s="6">
        <f>IFERROR(__xludf.DUMMYFUNCTION("IF(H2061="""","""",
SUM(
ARRAYFORMULA(
IF(
REGEXMATCH(
"" ""&amp;H2061&amp;"" "",
"" ""&amp;Sentiment_Words!A$2:A3730&amp;"" ""
),
1,
0
)
)
)
)"),0.0)</f>
        <v>0</v>
      </c>
      <c r="K2061" s="4">
        <f>IFERROR(__xludf.DUMMYFUNCTION("IF(H2061="""","""",
SUM(
ARRAYFORMULA(
IF(
REGEXMATCH(
"" ""&amp;H2061&amp;"" "",
"" ""&amp;Sentiment_Words!B$2:B3730&amp;"" ""
),
1,
0
)
)
)
)"),0.0)</f>
        <v>0</v>
      </c>
      <c r="L2061" s="7" t="str">
        <f t="shared" si="3"/>
        <v>Other</v>
      </c>
      <c r="M2061" s="7" t="str">
        <f t="shared" si="4"/>
        <v>Neutral</v>
      </c>
      <c r="N2061" s="7" t="str">
        <f>IFERROR(__xludf.DUMMYFUNCTION("LOWER(
TRIM(
REGEXREPLACE(B2061,""[^a-zA-Z\s]"","""")
)
)
"),"gwen")</f>
        <v>gwen</v>
      </c>
      <c r="O2061" s="7">
        <f t="shared" si="5"/>
        <v>1</v>
      </c>
      <c r="P2061" s="8" t="str">
        <f t="shared" si="6"/>
        <v>No</v>
      </c>
    </row>
    <row r="2062">
      <c r="A2062" s="4" t="s">
        <v>16</v>
      </c>
      <c r="B2062" s="4" t="s">
        <v>2834</v>
      </c>
      <c r="C2062" s="5">
        <v>44735.0</v>
      </c>
      <c r="D2062" s="10">
        <v>44735.0</v>
      </c>
      <c r="E2062" s="4" t="s">
        <v>5805</v>
      </c>
      <c r="F2062" s="4" t="s">
        <v>5806</v>
      </c>
      <c r="G2062" s="6" t="str">
        <f>IFERROR(__xludf.DUMMYFUNCTION("REGEXREPLACE(LOWER(F2062),""[^a-z\s]"","""")"),"petflow was a company that i had not heard of prior i was in need of hills cat food which was not available anywhere locally or online except at petflow i even ordered more than originally planned for they got the okay from my vet and had the order shippe"&amp;"d to my home within a week how terrific")</f>
        <v>petflow was a company that i had not heard of prior i was in need of hills cat food which was not available anywhere locally or online except at petflow i even ordered more than originally planned for they got the okay from my vet and had the order shipped to my home within a week how terrific</v>
      </c>
      <c r="H2062" s="4" t="str">
        <f t="shared" si="1"/>
        <v>petflow was a company that i had not heard of prior i was in need of hills cat food which was not available anywhere locally or online except at petflow i even ordered more than originally planned they got okay from my vet had order shipped my home within a week how terrific</v>
      </c>
      <c r="I2062" s="6">
        <f t="shared" si="2"/>
        <v>53</v>
      </c>
      <c r="J2062" s="6">
        <f>IFERROR(__xludf.DUMMYFUNCTION("IF(H2062="""","""",
SUM(
ARRAYFORMULA(
IF(
REGEXMATCH(
"" ""&amp;H2062&amp;"" "",
"" ""&amp;Sentiment_Words!A$2:A3730&amp;"" ""
),
1,
0
)
)
)
)"),1.0)</f>
        <v>1</v>
      </c>
      <c r="K2062" s="4">
        <f>IFERROR(__xludf.DUMMYFUNCTION("IF(H2062="""","""",
SUM(
ARRAYFORMULA(
IF(
REGEXMATCH(
"" ""&amp;H2062&amp;"" "",
"" ""&amp;Sentiment_Words!B$2:B3730&amp;"" ""
),
1,
0
)
)
)
)"),0.0)</f>
        <v>0</v>
      </c>
      <c r="L2062" s="7" t="str">
        <f t="shared" si="3"/>
        <v>Other</v>
      </c>
      <c r="M2062" s="7" t="str">
        <f t="shared" si="4"/>
        <v>Positive</v>
      </c>
      <c r="N2062" s="7" t="str">
        <f>IFERROR(__xludf.DUMMYFUNCTION("LOWER(
TRIM(
REGEXREPLACE(B2062,""[^a-zA-Z\s]"","""")
)
)
"),"christine")</f>
        <v>christine</v>
      </c>
      <c r="O2062" s="7">
        <f t="shared" si="5"/>
        <v>4</v>
      </c>
      <c r="P2062" s="8" t="str">
        <f t="shared" si="6"/>
        <v>Yes</v>
      </c>
    </row>
    <row r="2063">
      <c r="A2063" s="4" t="s">
        <v>16</v>
      </c>
      <c r="B2063" s="4" t="s">
        <v>5807</v>
      </c>
      <c r="C2063" s="5">
        <v>44735.0</v>
      </c>
      <c r="D2063" s="10">
        <v>44735.0</v>
      </c>
      <c r="E2063" s="4" t="s">
        <v>3622</v>
      </c>
      <c r="F2063" s="4" t="s">
        <v>5808</v>
      </c>
      <c r="G2063" s="6" t="str">
        <f>IFERROR(__xludf.DUMMYFUNCTION("REGEXREPLACE(LOWER(F2063),""[^a-z\s]"","""")"),"great delivery  promotions for cheaper food")</f>
        <v>great delivery  promotions for cheaper food</v>
      </c>
      <c r="H2063" s="4" t="str">
        <f t="shared" si="1"/>
        <v>great delivery promotions cheaper food</v>
      </c>
      <c r="I2063" s="6">
        <f t="shared" si="2"/>
        <v>5</v>
      </c>
      <c r="J2063" s="6">
        <f>IFERROR(__xludf.DUMMYFUNCTION("IF(H2063="""","""",
SUM(
ARRAYFORMULA(
IF(
REGEXMATCH(
"" ""&amp;H2063&amp;"" "",
"" ""&amp;Sentiment_Words!A$2:A3730&amp;"" ""
),
1,
0
)
)
)
)"),2.0)</f>
        <v>2</v>
      </c>
      <c r="K2063" s="4">
        <f>IFERROR(__xludf.DUMMYFUNCTION("IF(H2063="""","""",
SUM(
ARRAYFORMULA(
IF(
REGEXMATCH(
"" ""&amp;H2063&amp;"" "",
"" ""&amp;Sentiment_Words!B$2:B3730&amp;"" ""
),
1,
0
)
)
)
)"),0.0)</f>
        <v>0</v>
      </c>
      <c r="L2063" s="7" t="str">
        <f t="shared" si="3"/>
        <v>Value &amp; Convenience</v>
      </c>
      <c r="M2063" s="7" t="str">
        <f t="shared" si="4"/>
        <v>Positive</v>
      </c>
      <c r="N2063" s="7" t="str">
        <f>IFERROR(__xludf.DUMMYFUNCTION("LOWER(
TRIM(
REGEXREPLACE(B2063,""[^a-zA-Z\s]"","""")
)
)
"),"lauren s")</f>
        <v>lauren s</v>
      </c>
      <c r="O2063" s="7">
        <f t="shared" si="5"/>
        <v>1</v>
      </c>
      <c r="P2063" s="8" t="str">
        <f t="shared" si="6"/>
        <v>No</v>
      </c>
    </row>
    <row r="2064">
      <c r="A2064" s="4" t="s">
        <v>16</v>
      </c>
      <c r="B2064" s="4" t="s">
        <v>5809</v>
      </c>
      <c r="C2064" s="5">
        <v>44735.0</v>
      </c>
      <c r="D2064" s="10">
        <v>44735.0</v>
      </c>
      <c r="E2064" s="4" t="s">
        <v>5810</v>
      </c>
      <c r="F2064" s="4" t="s">
        <v>5811</v>
      </c>
      <c r="G2064" s="6" t="str">
        <f>IFERROR(__xludf.DUMMYFUNCTION("REGEXREPLACE(LOWER(F2064),""[^a-z\s]"","""")"),"great prices and fast friendly service i will continue making this my goto for pet supplies")</f>
        <v>great prices and fast friendly service i will continue making this my goto for pet supplies</v>
      </c>
      <c r="H2064" s="4" t="str">
        <f t="shared" si="1"/>
        <v>great prices fast friendly service i will continue making this my goto pet supplies</v>
      </c>
      <c r="I2064" s="6">
        <f t="shared" si="2"/>
        <v>14</v>
      </c>
      <c r="J2064" s="6">
        <f>IFERROR(__xludf.DUMMYFUNCTION("IF(H2064="""","""",
SUM(
ARRAYFORMULA(
IF(
REGEXMATCH(
"" ""&amp;H2064&amp;"" "",
"" ""&amp;Sentiment_Words!A$2:A3730&amp;"" ""
),
1,
0
)
)
)
)"),2.0)</f>
        <v>2</v>
      </c>
      <c r="K2064" s="4">
        <f>IFERROR(__xludf.DUMMYFUNCTION("IF(H2064="""","""",
SUM(
ARRAYFORMULA(
IF(
REGEXMATCH(
"" ""&amp;H2064&amp;"" "",
"" ""&amp;Sentiment_Words!B$2:B3730&amp;"" ""
),
1,
0
)
)
)
)"),0.0)</f>
        <v>0</v>
      </c>
      <c r="L2064" s="7" t="str">
        <f t="shared" si="3"/>
        <v>Customer Support</v>
      </c>
      <c r="M2064" s="7" t="str">
        <f t="shared" si="4"/>
        <v>Positive</v>
      </c>
      <c r="N2064" s="7" t="str">
        <f>IFERROR(__xludf.DUMMYFUNCTION("LOWER(
TRIM(
REGEXREPLACE(B2064,""[^a-zA-Z\s]"","""")
)
)
"),"mary dalton")</f>
        <v>mary dalton</v>
      </c>
      <c r="O2064" s="7">
        <f t="shared" si="5"/>
        <v>1</v>
      </c>
      <c r="P2064" s="8" t="str">
        <f t="shared" si="6"/>
        <v>No</v>
      </c>
    </row>
    <row r="2065">
      <c r="A2065" s="4" t="s">
        <v>16</v>
      </c>
      <c r="B2065" s="4" t="s">
        <v>5812</v>
      </c>
      <c r="C2065" s="5">
        <v>44735.0</v>
      </c>
      <c r="D2065" s="10">
        <v>44735.0</v>
      </c>
      <c r="E2065" s="4" t="s">
        <v>5813</v>
      </c>
      <c r="F2065" s="4" t="s">
        <v>5814</v>
      </c>
      <c r="G2065" s="6" t="str">
        <f>IFERROR(__xludf.DUMMYFUNCTION("REGEXREPLACE(LOWER(F2065),""[^a-z\s]"","""")"),"tired ordering a product that said in stock twice now and both times i get an email a few days later saying my order was cancelled because it cant be fulfilled if it was in stock why cant it be fulfilled")</f>
        <v>tired ordering a product that said in stock twice now and both times i get an email a few days later saying my order was cancelled because it cant be fulfilled if it was in stock why cant it be fulfilled</v>
      </c>
      <c r="H2065" s="4" t="str">
        <f t="shared" si="1"/>
        <v>tired ordering a product that said in stock twice now both times i get an email a few days later saying my order was cancelled because it cant be fulfilled if it was in stock why cant it be fulfilled</v>
      </c>
      <c r="I2065" s="6">
        <f t="shared" si="2"/>
        <v>40</v>
      </c>
      <c r="J2065" s="6">
        <f>IFERROR(__xludf.DUMMYFUNCTION("IF(H2065="""","""",
SUM(
ARRAYFORMULA(
IF(
REGEXMATCH(
"" ""&amp;H2065&amp;"" "",
"" ""&amp;Sentiment_Words!A$2:A3730&amp;"" ""
),
1,
0
)
)
)
)"),0.0)</f>
        <v>0</v>
      </c>
      <c r="K2065" s="4">
        <f>IFERROR(__xludf.DUMMYFUNCTION("IF(H2065="""","""",
SUM(
ARRAYFORMULA(
IF(
REGEXMATCH(
"" ""&amp;H2065&amp;"" "",
"" ""&amp;Sentiment_Words!B$2:B3730&amp;"" ""
),
1,
0
)
)
)
)"),1.0)</f>
        <v>1</v>
      </c>
      <c r="L2065" s="7" t="str">
        <f t="shared" si="3"/>
        <v>Fulfillment &amp; Shipping</v>
      </c>
      <c r="M2065" s="7" t="str">
        <f t="shared" si="4"/>
        <v>Negative</v>
      </c>
      <c r="N2065" s="7" t="str">
        <f>IFERROR(__xludf.DUMMYFUNCTION("LOWER(
TRIM(
REGEXREPLACE(B2065,""[^a-zA-Z\s]"","""")
)
)
"),"jeff")</f>
        <v>jeff</v>
      </c>
      <c r="O2065" s="7">
        <f t="shared" si="5"/>
        <v>5</v>
      </c>
      <c r="P2065" s="8" t="str">
        <f t="shared" si="6"/>
        <v>Yes</v>
      </c>
    </row>
    <row r="2066">
      <c r="A2066" s="4" t="s">
        <v>16</v>
      </c>
      <c r="B2066" s="4" t="s">
        <v>5815</v>
      </c>
      <c r="C2066" s="5">
        <v>44735.0</v>
      </c>
      <c r="D2066" s="10">
        <v>44735.0</v>
      </c>
      <c r="E2066" s="4" t="s">
        <v>5816</v>
      </c>
      <c r="F2066" s="4" t="s">
        <v>5817</v>
      </c>
      <c r="G2066" s="6" t="str">
        <f>IFERROR(__xludf.DUMMYFUNCTION("REGEXREPLACE(LOWER(F2066),""[^a-z\s]"","""")"),"this product is excellent i believe for my dogs and they love it this is however the second time i have had a bag ripped open when it arrived and food in the box and not the bag dont know if this is a problem at the packing end or the delivery end wish it"&amp;" wouldnt happen again")</f>
        <v>this product is excellent i believe for my dogs and they love it this is however the second time i have had a bag ripped open when it arrived and food in the box and not the bag dont know if this is a problem at the packing end or the delivery end wish it wouldnt happen again</v>
      </c>
      <c r="H2066" s="4" t="str">
        <f t="shared" si="1"/>
        <v>this product excellent i believe my dogs they love it this however second time i have had a bag ripped open when it arrived food in box not bag dont know if this a problem at packing end or delivery end wish it wouldnt happen again</v>
      </c>
      <c r="I2066" s="6">
        <f t="shared" si="2"/>
        <v>46</v>
      </c>
      <c r="J2066" s="6">
        <f>IFERROR(__xludf.DUMMYFUNCTION("IF(H2066="""","""",
SUM(
ARRAYFORMULA(
IF(
REGEXMATCH(
"" ""&amp;H2066&amp;"" "",
"" ""&amp;Sentiment_Words!A$2:A3730&amp;"" ""
),
1,
0
)
)
)
)"),1.0)</f>
        <v>1</v>
      </c>
      <c r="K2066" s="4">
        <f>IFERROR(__xludf.DUMMYFUNCTION("IF(H2066="""","""",
SUM(
ARRAYFORMULA(
IF(
REGEXMATCH(
"" ""&amp;H2066&amp;"" "",
"" ""&amp;Sentiment_Words!B$2:B3730&amp;"" ""
),
1,
0
)
)
)
)"),2.0)</f>
        <v>2</v>
      </c>
      <c r="L2066" s="7" t="str">
        <f t="shared" si="3"/>
        <v>Other</v>
      </c>
      <c r="M2066" s="7" t="str">
        <f t="shared" si="4"/>
        <v>Negative</v>
      </c>
      <c r="N2066" s="7" t="str">
        <f>IFERROR(__xludf.DUMMYFUNCTION("LOWER(
TRIM(
REGEXREPLACE(B2066,""[^a-zA-Z\s]"","""")
)
)
"),"deborah perry")</f>
        <v>deborah perry</v>
      </c>
      <c r="O2066" s="7">
        <f t="shared" si="5"/>
        <v>1</v>
      </c>
      <c r="P2066" s="8" t="str">
        <f t="shared" si="6"/>
        <v>No</v>
      </c>
    </row>
    <row r="2067">
      <c r="A2067" s="4" t="s">
        <v>16</v>
      </c>
      <c r="B2067" s="4" t="s">
        <v>5818</v>
      </c>
      <c r="C2067" s="5">
        <v>44734.0</v>
      </c>
      <c r="D2067" s="10">
        <v>44734.0</v>
      </c>
      <c r="E2067" s="4" t="s">
        <v>5819</v>
      </c>
      <c r="F2067" s="4" t="s">
        <v>5820</v>
      </c>
      <c r="G2067" s="6" t="str">
        <f>IFERROR(__xludf.DUMMYFUNCTION("REGEXREPLACE(LOWER(F2067),""[^a-z\s]"","""")"),"easy site to use with great prices and a large variety of options")</f>
        <v>easy site to use with great prices and a large variety of options</v>
      </c>
      <c r="H2067" s="4" t="str">
        <f t="shared" si="1"/>
        <v>easy site use with great prices a large variety of options</v>
      </c>
      <c r="I2067" s="6">
        <f t="shared" si="2"/>
        <v>11</v>
      </c>
      <c r="J2067" s="6">
        <f>IFERROR(__xludf.DUMMYFUNCTION("IF(H2067="""","""",
SUM(
ARRAYFORMULA(
IF(
REGEXMATCH(
"" ""&amp;H2067&amp;"" "",
"" ""&amp;Sentiment_Words!A$2:A3730&amp;"" ""
),
1,
0
)
)
)
)"),2.0)</f>
        <v>2</v>
      </c>
      <c r="K2067" s="4">
        <f>IFERROR(__xludf.DUMMYFUNCTION("IF(H2067="""","""",
SUM(
ARRAYFORMULA(
IF(
REGEXMATCH(
"" ""&amp;H2067&amp;"" "",
"" ""&amp;Sentiment_Words!B$2:B3730&amp;"" ""
),
1,
0
)
)
)
)"),0.0)</f>
        <v>0</v>
      </c>
      <c r="L2067" s="7" t="str">
        <f t="shared" si="3"/>
        <v>Other</v>
      </c>
      <c r="M2067" s="7" t="str">
        <f t="shared" si="4"/>
        <v>Positive</v>
      </c>
      <c r="N2067" s="7" t="str">
        <f>IFERROR(__xludf.DUMMYFUNCTION("LOWER(
TRIM(
REGEXREPLACE(B2067,""[^a-zA-Z\s]"","""")
)
)
"),"jay s")</f>
        <v>jay s</v>
      </c>
      <c r="O2067" s="7">
        <f t="shared" si="5"/>
        <v>1</v>
      </c>
      <c r="P2067" s="8" t="str">
        <f t="shared" si="6"/>
        <v>No</v>
      </c>
    </row>
    <row r="2068">
      <c r="A2068" s="4" t="s">
        <v>16</v>
      </c>
      <c r="B2068" s="4" t="s">
        <v>5821</v>
      </c>
      <c r="C2068" s="5">
        <v>44734.0</v>
      </c>
      <c r="D2068" s="10">
        <v>44734.0</v>
      </c>
      <c r="E2068" s="4" t="s">
        <v>5822</v>
      </c>
      <c r="F2068" s="4" t="s">
        <v>5823</v>
      </c>
      <c r="G2068" s="6" t="str">
        <f>IFERROR(__xludf.DUMMYFUNCTION("REGEXREPLACE(LOWER(F2068),""[^a-z\s]"","""")"),"never received my order  fedex lost it no refund or anything at all fedex express that they left it at the front door but how my gate was closed and my cameras capture nothing at all and no one was home i also called fedex several more times with no luck "&amp;"they say they open an investigation with no result at all
called a petflow representative and let them know and he was very rude and hung up on me had to call again and then another representative gave me a credit of  dollars when my order was  i asked fo"&amp;"r documentary evidence of delivery and they can not provide it next time am using amazon which always provides document evidence photo of delivery")</f>
        <v>never received my order  fedex lost it no refund or anything at all fedex express that they left it at the front door but how my gate was closed and my cameras capture nothing at all and no one was home i also called fedex several more times with no luck they say they open an investigation with no result at all
called a petflow representative and let them know and he was very rude and hung up on me had to call again and then another representative gave me a credit of  dollars when my order was  i asked for documentary evidence of delivery and they can not provide it next time am using amazon which always provides document evidence photo of delivery</v>
      </c>
      <c r="H2068" s="4" t="str">
        <f t="shared" si="1"/>
        <v>never received my order fedex lost it no refund or anything at all fedex express that they left it at front door but how my gate was closed my cameras capture nothing at all no one was home i also called fedex several more times with no luck they say they open an investigation with no result at all
called a petflow representative let them know he was very rude hung up on me had call again then another representative gave me a credit of dollars when my order was i asked documentary evidence of delivery they can not provide it next time am using amazon which always provides document evidence photo of delivery</v>
      </c>
      <c r="I2068" s="6">
        <f t="shared" si="2"/>
        <v>113</v>
      </c>
      <c r="J2068" s="6">
        <f>IFERROR(__xludf.DUMMYFUNCTION("IF(H2068="""","""",
SUM(
ARRAYFORMULA(
IF(
REGEXMATCH(
"" ""&amp;H2068&amp;"" "",
"" ""&amp;Sentiment_Words!A$2:A3730&amp;"" ""
),
1,
0
)
)
)
)"),0.0)</f>
        <v>0</v>
      </c>
      <c r="K2068" s="4">
        <f>IFERROR(__xludf.DUMMYFUNCTION("IF(H2068="""","""",
SUM(
ARRAYFORMULA(
IF(
REGEXMATCH(
"" ""&amp;H2068&amp;"" "",
"" ""&amp;Sentiment_Words!B$2:B3730&amp;"" ""
),
1,
0
)
)
)
)"),1.0)</f>
        <v>1</v>
      </c>
      <c r="L2068" s="7" t="str">
        <f t="shared" si="3"/>
        <v>Other</v>
      </c>
      <c r="M2068" s="7" t="str">
        <f t="shared" si="4"/>
        <v>Negative</v>
      </c>
      <c r="N2068" s="7" t="str">
        <f>IFERROR(__xludf.DUMMYFUNCTION("LOWER(
TRIM(
REGEXREPLACE(B2068,""[^a-zA-Z\s]"","""")
)
)
"),"alejandro")</f>
        <v>alejandro</v>
      </c>
      <c r="O2068" s="7">
        <f t="shared" si="5"/>
        <v>1</v>
      </c>
      <c r="P2068" s="8" t="str">
        <f t="shared" si="6"/>
        <v>No</v>
      </c>
    </row>
    <row r="2069">
      <c r="A2069" s="4" t="s">
        <v>16</v>
      </c>
      <c r="B2069" s="4" t="s">
        <v>5824</v>
      </c>
      <c r="C2069" s="5">
        <v>44733.0</v>
      </c>
      <c r="D2069" s="10">
        <v>44734.0</v>
      </c>
      <c r="E2069" s="4" t="s">
        <v>5825</v>
      </c>
      <c r="F2069" s="4" t="s">
        <v>5826</v>
      </c>
      <c r="G2069" s="6" t="str">
        <f>IFERROR(__xludf.DUMMYFUNCTION("REGEXREPLACE(LOWER(F2069),""[^a-z\s]"","""")"),"i ordered cat food from petflow it showed in stock and i waited for it to ship for about a week i called customer service and the lady indicated that my order was processed needed vet prescription approval and that i should receive a tracking email that d"&amp;"ay or the following did not receive the email so i called again spoke to someone else and they said the order was canceled when i asked why he said that i should have gotten an email explaining it to me i repeated what the lady had told me yesterday and a"&amp;"ll he could say was im not sure why but you need to check your email the email indicated the order was canceled because the item was not in stock from manufacturer my feedback is this first dont say that an item is in stock when it clearly isnt the site h"&amp;"as tons of items that show in stock vs not second it seems like the customer service people both whom i talked to have no idea whats going on if one said everything is good and is shipping and the other couldnt tell me the order statuswhy it was canceled "&amp;"so i needed to reference my email poor customer experience")</f>
        <v>i ordered cat food from petflow it showed in stock and i waited for it to ship for about a week i called customer service and the lady indicated that my order was processed needed vet prescription approval and that i should receive a tracking email that day or the following did not receive the email so i called again spoke to someone else and they said the order was canceled when i asked why he said that i should have gotten an email explaining it to me i repeated what the lady had told me yesterday and all he could say was im not sure why but you need to check your email the email indicated the order was canceled because the item was not in stock from manufacturer my feedback is this first dont say that an item is in stock when it clearly isnt the site has tons of items that show in stock vs not second it seems like the customer service people both whom i talked to have no idea whats going on if one said everything is good and is shipping and the other couldnt tell me the order statuswhy it was canceled so i needed to reference my email poor customer experience</v>
      </c>
      <c r="H2069" s="4" t="str">
        <f t="shared" si="1"/>
        <v>i ordered cat food from petflow it showed in stock i waited it ship about a week i called customer service lady indicated that my order was processed needed vet prescription approval that i should receive a tracking email that day or following did not receive email so i called again spoke someone else they said order was canceled when i asked why he said that i should have gotten an email explaining it me i repeated what lady had told me yesterday all he could say was im not sure why but you need check your email email indicated order was canceled because item was not in stock from manufacturer my feedback this first dont say that an item in stock when it clearly isnt site has tons of items that show in stock vs not second it seems like customer service people both whom i talked have no idea whats going on if one said everything good shipping other couldnt tell me order statuswhy it was canceled so i needed reference my email poor customer experience</v>
      </c>
      <c r="I2069" s="6">
        <f t="shared" si="2"/>
        <v>178</v>
      </c>
      <c r="J2069" s="6">
        <f>IFERROR(__xludf.DUMMYFUNCTION("IF(H2069="""","""",
SUM(
ARRAYFORMULA(
IF(
REGEXMATCH(
"" ""&amp;H2069&amp;"" "",
"" ""&amp;Sentiment_Words!A$2:A3730&amp;"" ""
),
1,
0
)
)
)
)"),1.0)</f>
        <v>1</v>
      </c>
      <c r="K2069" s="4">
        <f>IFERROR(__xludf.DUMMYFUNCTION("IF(H2069="""","""",
SUM(
ARRAYFORMULA(
IF(
REGEXMATCH(
"" ""&amp;H2069&amp;"" "",
"" ""&amp;Sentiment_Words!B$2:B3730&amp;"" ""
),
1,
0
)
)
)
)"),1.0)</f>
        <v>1</v>
      </c>
      <c r="L2069" s="7" t="str">
        <f t="shared" si="3"/>
        <v>Customer Support</v>
      </c>
      <c r="M2069" s="7" t="str">
        <f t="shared" si="4"/>
        <v>Neutral</v>
      </c>
      <c r="N2069" s="7" t="str">
        <f>IFERROR(__xludf.DUMMYFUNCTION("LOWER(
TRIM(
REGEXREPLACE(B2069,""[^a-zA-Z\s]"","""")
)
)
"),"michael")</f>
        <v>michael</v>
      </c>
      <c r="O2069" s="7">
        <f t="shared" si="5"/>
        <v>8</v>
      </c>
      <c r="P2069" s="8" t="str">
        <f t="shared" si="6"/>
        <v>Yes</v>
      </c>
    </row>
    <row r="2070">
      <c r="A2070" s="4" t="s">
        <v>16</v>
      </c>
      <c r="B2070" s="4" t="s">
        <v>5827</v>
      </c>
      <c r="C2070" s="5">
        <v>44733.0</v>
      </c>
      <c r="D2070" s="10">
        <v>44734.0</v>
      </c>
      <c r="E2070" s="4" t="s">
        <v>5828</v>
      </c>
      <c r="F2070" s="4" t="s">
        <v>5829</v>
      </c>
      <c r="G2070" s="6" t="str">
        <f>IFERROR(__xludf.DUMMYFUNCTION("REGEXREPLACE(LOWER(F2070),""[^a-z\s]"","""")"),"great way to buy my dogs food products and needs no hassles and comes straight to my door")</f>
        <v>great way to buy my dogs food products and needs no hassles and comes straight to my door</v>
      </c>
      <c r="H2070" s="4" t="str">
        <f t="shared" si="1"/>
        <v>great way buy my dogs food products needs no hassles comes straight my door</v>
      </c>
      <c r="I2070" s="6">
        <f t="shared" si="2"/>
        <v>14</v>
      </c>
      <c r="J2070" s="6">
        <f>IFERROR(__xludf.DUMMYFUNCTION("IF(H2070="""","""",
SUM(
ARRAYFORMULA(
IF(
REGEXMATCH(
"" ""&amp;H2070&amp;"" "",
"" ""&amp;Sentiment_Words!A$2:A3730&amp;"" ""
),
1,
0
)
)
)
)"),1.0)</f>
        <v>1</v>
      </c>
      <c r="K2070" s="4">
        <f>IFERROR(__xludf.DUMMYFUNCTION("IF(H2070="""","""",
SUM(
ARRAYFORMULA(
IF(
REGEXMATCH(
"" ""&amp;H2070&amp;"" "",
"" ""&amp;Sentiment_Words!B$2:B3730&amp;"" ""
),
1,
0
)
)
)
)"),0.0)</f>
        <v>0</v>
      </c>
      <c r="L2070" s="7" t="str">
        <f t="shared" si="3"/>
        <v>Other</v>
      </c>
      <c r="M2070" s="7" t="str">
        <f t="shared" si="4"/>
        <v>Positive</v>
      </c>
      <c r="N2070" s="7" t="str">
        <f>IFERROR(__xludf.DUMMYFUNCTION("LOWER(
TRIM(
REGEXREPLACE(B2070,""[^a-zA-Z\s]"","""")
)
)
"),"desiree racqer")</f>
        <v>desiree racqer</v>
      </c>
      <c r="O2070" s="7">
        <f t="shared" si="5"/>
        <v>1</v>
      </c>
      <c r="P2070" s="8" t="str">
        <f t="shared" si="6"/>
        <v>No</v>
      </c>
    </row>
    <row r="2071">
      <c r="A2071" s="4" t="s">
        <v>16</v>
      </c>
      <c r="B2071" s="4" t="s">
        <v>5830</v>
      </c>
      <c r="C2071" s="5">
        <v>44733.0</v>
      </c>
      <c r="D2071" s="10">
        <v>44733.0</v>
      </c>
      <c r="E2071" s="4" t="s">
        <v>5831</v>
      </c>
      <c r="F2071" s="4" t="s">
        <v>5832</v>
      </c>
      <c r="G2071" s="6" t="str">
        <f>IFERROR(__xludf.DUMMYFUNCTION("REGEXREPLACE(LOWER(F2071),""[^a-z\s]"","""")"),"incredible rude and out of touch representatives they didnt have my item in stock and then made me replace a second order for what they did have in stock the next day i get notified that my order was for resale and flagged as fraud even though i placed it"&amp;" through them and explained that i was a bulldog breeder with  dogs and i feed this niche food for a variety of reasons
i call again and they tell me they dont support breeders or any businesses and wouldnt transfer me anywhere
imagine selling dog food "&amp;"but refuse to sell to the largest consumers of dog food")</f>
        <v>incredible rude and out of touch representatives they didnt have my item in stock and then made me replace a second order for what they did have in stock the next day i get notified that my order was for resale and flagged as fraud even though i placed it through them and explained that i was a bulldog breeder with  dogs and i feed this niche food for a variety of reasons
i call again and they tell me they dont support breeders or any businesses and wouldnt transfer me anywhere
imagine selling dog food but refuse to sell to the largest consumers of dog food</v>
      </c>
      <c r="H2071" s="4" t="str">
        <f t="shared" si="1"/>
        <v>incredible rude out of touch representatives they didnt have my item in stock then made me replace a second order what they did have in stock next day i get notified that my order was resale flagged as fraud even though i placed it through them explained that i was a bulldog breeder with dogs i feed this niche food a variety of reasons
i call again they tell me they dont support breeders or any businesses wouldnt transfer me anywhere
imagine selling dog food but refuse sell largest consumers of dog food</v>
      </c>
      <c r="I2071" s="6">
        <f t="shared" si="2"/>
        <v>91</v>
      </c>
      <c r="J2071" s="6">
        <f>IFERROR(__xludf.DUMMYFUNCTION("IF(H2071="""","""",
SUM(
ARRAYFORMULA(
IF(
REGEXMATCH(
"" ""&amp;H2071&amp;"" "",
"" ""&amp;Sentiment_Words!A$2:A3730&amp;"" ""
),
1,
0
)
)
)
)"),0.0)</f>
        <v>0</v>
      </c>
      <c r="K2071" s="4">
        <f>IFERROR(__xludf.DUMMYFUNCTION("IF(H2071="""","""",
SUM(
ARRAYFORMULA(
IF(
REGEXMATCH(
"" ""&amp;H2071&amp;"" "",
"" ""&amp;Sentiment_Words!B$2:B3730&amp;"" ""
),
1,
0
)
)
)
)"),0.0)</f>
        <v>0</v>
      </c>
      <c r="L2071" s="7" t="str">
        <f t="shared" si="3"/>
        <v>Customer Support</v>
      </c>
      <c r="M2071" s="7" t="str">
        <f t="shared" si="4"/>
        <v>Neutral</v>
      </c>
      <c r="N2071" s="7" t="str">
        <f>IFERROR(__xludf.DUMMYFUNCTION("LOWER(
TRIM(
REGEXREPLACE(B2071,""[^a-zA-Z\s]"","""")
)
)
"),"marcus twotime")</f>
        <v>marcus twotime</v>
      </c>
      <c r="O2071" s="7">
        <f t="shared" si="5"/>
        <v>1</v>
      </c>
      <c r="P2071" s="8" t="str">
        <f t="shared" si="6"/>
        <v>No</v>
      </c>
    </row>
    <row r="2072">
      <c r="A2072" s="4" t="s">
        <v>16</v>
      </c>
      <c r="B2072" s="4" t="s">
        <v>5833</v>
      </c>
      <c r="C2072" s="5">
        <v>44733.0</v>
      </c>
      <c r="D2072" s="10">
        <v>44733.0</v>
      </c>
      <c r="E2072" s="4" t="s">
        <v>667</v>
      </c>
      <c r="F2072" s="4" t="s">
        <v>5834</v>
      </c>
      <c r="G2072" s="6" t="str">
        <f>IFERROR(__xludf.DUMMYFUNCTION("REGEXREPLACE(LOWER(F2072),""[^a-z\s]"","""")"),"i disappointed in the way my packages where sent to me for example when you sent my case of dog food it was put in box that could have fit cases instead of  the rest was filed with packing papers to make it weigh more to charge more")</f>
        <v>i disappointed in the way my packages where sent to me for example when you sent my case of dog food it was put in box that could have fit cases instead of  the rest was filed with packing papers to make it weigh more to charge more</v>
      </c>
      <c r="H2072" s="4" t="str">
        <f t="shared" si="1"/>
        <v>i disappointed in way my packages where sent me example when you sent my case of dog food it was put in box that could have fit cases instead of rest was filed with packing papers make it weigh more charge more</v>
      </c>
      <c r="I2072" s="6">
        <f t="shared" si="2"/>
        <v>42</v>
      </c>
      <c r="J2072" s="6">
        <f>IFERROR(__xludf.DUMMYFUNCTION("IF(H2072="""","""",
SUM(
ARRAYFORMULA(
IF(
REGEXMATCH(
"" ""&amp;H2072&amp;"" "",
"" ""&amp;Sentiment_Words!A$2:A3730&amp;"" ""
),
1,
0
)
)
)
)"),0.0)</f>
        <v>0</v>
      </c>
      <c r="K2072" s="4">
        <f>IFERROR(__xludf.DUMMYFUNCTION("IF(H2072="""","""",
SUM(
ARRAYFORMULA(
IF(
REGEXMATCH(
"" ""&amp;H2072&amp;"" "",
"" ""&amp;Sentiment_Words!B$2:B3730&amp;"" ""
),
1,
0
)
)
)
)"),0.0)</f>
        <v>0</v>
      </c>
      <c r="L2072" s="7" t="str">
        <f t="shared" si="3"/>
        <v>Trust &amp; Experience</v>
      </c>
      <c r="M2072" s="7" t="str">
        <f t="shared" si="4"/>
        <v>Neutral</v>
      </c>
      <c r="N2072" s="7" t="str">
        <f>IFERROR(__xludf.DUMMYFUNCTION("LOWER(
TRIM(
REGEXREPLACE(B2072,""[^a-zA-Z\s]"","""")
)
)
"),"sandra mayes")</f>
        <v>sandra mayes</v>
      </c>
      <c r="O2072" s="7">
        <f t="shared" si="5"/>
        <v>1</v>
      </c>
      <c r="P2072" s="8" t="str">
        <f t="shared" si="6"/>
        <v>No</v>
      </c>
    </row>
    <row r="2073">
      <c r="A2073" s="4" t="s">
        <v>16</v>
      </c>
      <c r="B2073" s="4" t="s">
        <v>5835</v>
      </c>
      <c r="C2073" s="5">
        <v>44733.0</v>
      </c>
      <c r="D2073" s="10">
        <v>44733.0</v>
      </c>
      <c r="E2073" s="4" t="s">
        <v>5836</v>
      </c>
      <c r="F2073" s="4" t="s">
        <v>5837</v>
      </c>
      <c r="G2073" s="6" t="str">
        <f>IFERROR(__xludf.DUMMYFUNCTION("REGEXREPLACE(LOWER(F2073),""[^a-z\s]"","""")"),"reasonably effective but annoyingly disorganized looking for alternatives")</f>
        <v>reasonably effective but annoyingly disorganized looking for alternatives</v>
      </c>
      <c r="H2073" s="4" t="str">
        <f t="shared" si="1"/>
        <v>reasonably effective but annoyingly disorganized looking alternatives</v>
      </c>
      <c r="I2073" s="6">
        <f t="shared" si="2"/>
        <v>7</v>
      </c>
      <c r="J2073" s="6">
        <f>IFERROR(__xludf.DUMMYFUNCTION("IF(H2073="""","""",
SUM(
ARRAYFORMULA(
IF(
REGEXMATCH(
"" ""&amp;H2073&amp;"" "",
"" ""&amp;Sentiment_Words!A$2:A3730&amp;"" ""
),
1,
0
)
)
)
)"),0.0)</f>
        <v>0</v>
      </c>
      <c r="K2073" s="4">
        <f>IFERROR(__xludf.DUMMYFUNCTION("IF(H2073="""","""",
SUM(
ARRAYFORMULA(
IF(
REGEXMATCH(
"" ""&amp;H2073&amp;"" "",
"" ""&amp;Sentiment_Words!B$2:B3730&amp;"" ""
),
1,
0
)
)
)
)"),0.0)</f>
        <v>0</v>
      </c>
      <c r="L2073" s="7" t="str">
        <f t="shared" si="3"/>
        <v>Other</v>
      </c>
      <c r="M2073" s="7" t="str">
        <f t="shared" si="4"/>
        <v>Neutral</v>
      </c>
      <c r="N2073" s="7" t="str">
        <f>IFERROR(__xludf.DUMMYFUNCTION("LOWER(
TRIM(
REGEXREPLACE(B2073,""[^a-zA-Z\s]"","""")
)
)
"),"cindy flatt")</f>
        <v>cindy flatt</v>
      </c>
      <c r="O2073" s="7">
        <f t="shared" si="5"/>
        <v>1</v>
      </c>
      <c r="P2073" s="8" t="str">
        <f t="shared" si="6"/>
        <v>No</v>
      </c>
    </row>
    <row r="2074">
      <c r="A2074" s="4" t="s">
        <v>16</v>
      </c>
      <c r="B2074" s="4" t="s">
        <v>5838</v>
      </c>
      <c r="C2074" s="5">
        <v>44733.0</v>
      </c>
      <c r="D2074" s="10">
        <v>44733.0</v>
      </c>
      <c r="E2074" s="4" t="s">
        <v>5839</v>
      </c>
      <c r="F2074" s="4" t="s">
        <v>5840</v>
      </c>
      <c r="G2074" s="6" t="str">
        <f>IFERROR(__xludf.DUMMYFUNCTION("REGEXREPLACE(LOWER(F2074),""[^a-z\s]"","""")"),"got my online order very quickly and was pleased with how easy it was will definitely use again")</f>
        <v>got my online order very quickly and was pleased with how easy it was will definitely use again</v>
      </c>
      <c r="H2074" s="4" t="str">
        <f t="shared" si="1"/>
        <v>got my online order very quickly was pleased with how easy it was will definitely use again</v>
      </c>
      <c r="I2074" s="6">
        <f t="shared" si="2"/>
        <v>17</v>
      </c>
      <c r="J2074" s="6">
        <f>IFERROR(__xludf.DUMMYFUNCTION("IF(H2074="""","""",
SUM(
ARRAYFORMULA(
IF(
REGEXMATCH(
"" ""&amp;H2074&amp;"" "",
"" ""&amp;Sentiment_Words!A$2:A3730&amp;"" ""
),
1,
0
)
)
)
)"),1.0)</f>
        <v>1</v>
      </c>
      <c r="K2074" s="4">
        <f>IFERROR(__xludf.DUMMYFUNCTION("IF(H2074="""","""",
SUM(
ARRAYFORMULA(
IF(
REGEXMATCH(
"" ""&amp;H2074&amp;"" "",
"" ""&amp;Sentiment_Words!B$2:B3730&amp;"" ""
),
1,
0
)
)
)
)"),0.0)</f>
        <v>0</v>
      </c>
      <c r="L2074" s="7" t="str">
        <f t="shared" si="3"/>
        <v>Other</v>
      </c>
      <c r="M2074" s="7" t="str">
        <f t="shared" si="4"/>
        <v>Positive</v>
      </c>
      <c r="N2074" s="7" t="str">
        <f>IFERROR(__xludf.DUMMYFUNCTION("LOWER(
TRIM(
REGEXREPLACE(B2074,""[^a-zA-Z\s]"","""")
)
)
"),"brian aderer")</f>
        <v>brian aderer</v>
      </c>
      <c r="O2074" s="7">
        <f t="shared" si="5"/>
        <v>1</v>
      </c>
      <c r="P2074" s="8" t="str">
        <f t="shared" si="6"/>
        <v>No</v>
      </c>
    </row>
    <row r="2075">
      <c r="A2075" s="4" t="s">
        <v>16</v>
      </c>
      <c r="B2075" s="4" t="s">
        <v>5841</v>
      </c>
      <c r="C2075" s="5">
        <v>44732.0</v>
      </c>
      <c r="D2075" s="10">
        <v>44732.0</v>
      </c>
      <c r="E2075" s="4" t="s">
        <v>5842</v>
      </c>
      <c r="F2075" s="4" t="s">
        <v>5843</v>
      </c>
      <c r="G2075" s="6" t="str">
        <f>IFERROR(__xludf.DUMMYFUNCTION("REGEXREPLACE(LOWER(F2075),""[^a-z\s]"","""")"),"after hunting high and low through my usual pet food sources i was able to find the two items that had been back ordered everywhere else delivery was fast and saved me the risk of switching brands with my dogs")</f>
        <v>after hunting high and low through my usual pet food sources i was able to find the two items that had been back ordered everywhere else delivery was fast and saved me the risk of switching brands with my dogs</v>
      </c>
      <c r="H2075" s="4" t="str">
        <f t="shared" si="1"/>
        <v>after hunting high low through my usual pet food sources i was able find two items that had been back ordered everywhere else delivery was fast saved me risk of switching brands with my dogs</v>
      </c>
      <c r="I2075" s="6">
        <f t="shared" si="2"/>
        <v>35</v>
      </c>
      <c r="J2075" s="6">
        <f>IFERROR(__xludf.DUMMYFUNCTION("IF(H2075="""","""",
SUM(
ARRAYFORMULA(
IF(
REGEXMATCH(
"" ""&amp;H2075&amp;"" "",
"" ""&amp;Sentiment_Words!A$2:A3730&amp;"" ""
),
1,
0
)
)
)
)"),2.0)</f>
        <v>2</v>
      </c>
      <c r="K2075" s="4">
        <f>IFERROR(__xludf.DUMMYFUNCTION("IF(H2075="""","""",
SUM(
ARRAYFORMULA(
IF(
REGEXMATCH(
"" ""&amp;H2075&amp;"" "",
"" ""&amp;Sentiment_Words!B$2:B3730&amp;"" ""
),
1,
0
)
)
)
)"),0.0)</f>
        <v>0</v>
      </c>
      <c r="L2075" s="7" t="str">
        <f t="shared" si="3"/>
        <v>Other</v>
      </c>
      <c r="M2075" s="7" t="str">
        <f t="shared" si="4"/>
        <v>Positive</v>
      </c>
      <c r="N2075" s="7" t="str">
        <f>IFERROR(__xludf.DUMMYFUNCTION("LOWER(
TRIM(
REGEXREPLACE(B2075,""[^a-zA-Z\s]"","""")
)
)
"),"jan berti")</f>
        <v>jan berti</v>
      </c>
      <c r="O2075" s="7">
        <f t="shared" si="5"/>
        <v>1</v>
      </c>
      <c r="P2075" s="8" t="str">
        <f t="shared" si="6"/>
        <v>No</v>
      </c>
    </row>
    <row r="2076">
      <c r="A2076" s="4" t="s">
        <v>16</v>
      </c>
      <c r="B2076" s="4" t="s">
        <v>5844</v>
      </c>
      <c r="C2076" s="5">
        <v>44732.0</v>
      </c>
      <c r="D2076" s="10">
        <v>44732.0</v>
      </c>
      <c r="E2076" s="4" t="s">
        <v>5845</v>
      </c>
      <c r="F2076" s="4" t="s">
        <v>331</v>
      </c>
      <c r="G2076" s="6" t="str">
        <f>IFERROR(__xludf.DUMMYFUNCTION("REGEXREPLACE(LOWER(F2076),""[^a-z\s]"","""")"),"none")</f>
        <v>none</v>
      </c>
      <c r="H2076" s="4" t="str">
        <f t="shared" si="1"/>
        <v>none</v>
      </c>
      <c r="I2076" s="6">
        <f t="shared" si="2"/>
        <v>1</v>
      </c>
      <c r="J2076" s="6">
        <f>IFERROR(__xludf.DUMMYFUNCTION("IF(H2076="""","""",
SUM(
ARRAYFORMULA(
IF(
REGEXMATCH(
"" ""&amp;H2076&amp;"" "",
"" ""&amp;Sentiment_Words!A$2:A3730&amp;"" ""
),
1,
0
)
)
)
)"),0.0)</f>
        <v>0</v>
      </c>
      <c r="K2076" s="4">
        <f>IFERROR(__xludf.DUMMYFUNCTION("IF(H2076="""","""",
SUM(
ARRAYFORMULA(
IF(
REGEXMATCH(
"" ""&amp;H2076&amp;"" "",
"" ""&amp;Sentiment_Words!B$2:B3730&amp;"" ""
),
1,
0
)
)
)
)"),0.0)</f>
        <v>0</v>
      </c>
      <c r="L2076" s="7" t="str">
        <f t="shared" si="3"/>
        <v>Other</v>
      </c>
      <c r="M2076" s="7" t="str">
        <f t="shared" si="4"/>
        <v>Neutral</v>
      </c>
      <c r="N2076" s="7" t="str">
        <f>IFERROR(__xludf.DUMMYFUNCTION("LOWER(
TRIM(
REGEXREPLACE(B2076,""[^a-zA-Z\s]"","""")
)
)
"),"lisa meyers")</f>
        <v>lisa meyers</v>
      </c>
      <c r="O2076" s="7">
        <f t="shared" si="5"/>
        <v>1</v>
      </c>
      <c r="P2076" s="8" t="str">
        <f t="shared" si="6"/>
        <v>No</v>
      </c>
    </row>
    <row r="2077">
      <c r="A2077" s="4" t="s">
        <v>16</v>
      </c>
      <c r="B2077" s="4" t="s">
        <v>5846</v>
      </c>
      <c r="C2077" s="5">
        <v>44732.0</v>
      </c>
      <c r="D2077" s="10">
        <v>44732.0</v>
      </c>
      <c r="E2077" s="4" t="s">
        <v>5847</v>
      </c>
      <c r="F2077" s="4" t="s">
        <v>331</v>
      </c>
      <c r="G2077" s="6" t="str">
        <f>IFERROR(__xludf.DUMMYFUNCTION("REGEXREPLACE(LOWER(F2077),""[^a-z\s]"","""")"),"none")</f>
        <v>none</v>
      </c>
      <c r="H2077" s="4" t="str">
        <f t="shared" si="1"/>
        <v>none</v>
      </c>
      <c r="I2077" s="6">
        <f t="shared" si="2"/>
        <v>1</v>
      </c>
      <c r="J2077" s="6">
        <f>IFERROR(__xludf.DUMMYFUNCTION("IF(H2077="""","""",
SUM(
ARRAYFORMULA(
IF(
REGEXMATCH(
"" ""&amp;H2077&amp;"" "",
"" ""&amp;Sentiment_Words!A$2:A3730&amp;"" ""
),
1,
0
)
)
)
)"),0.0)</f>
        <v>0</v>
      </c>
      <c r="K2077" s="4">
        <f>IFERROR(__xludf.DUMMYFUNCTION("IF(H2077="""","""",
SUM(
ARRAYFORMULA(
IF(
REGEXMATCH(
"" ""&amp;H2077&amp;"" "",
"" ""&amp;Sentiment_Words!B$2:B3730&amp;"" ""
),
1,
0
)
)
)
)"),0.0)</f>
        <v>0</v>
      </c>
      <c r="L2077" s="7" t="str">
        <f t="shared" si="3"/>
        <v>Other</v>
      </c>
      <c r="M2077" s="7" t="str">
        <f t="shared" si="4"/>
        <v>Neutral</v>
      </c>
      <c r="N2077" s="7" t="str">
        <f>IFERROR(__xludf.DUMMYFUNCTION("LOWER(
TRIM(
REGEXREPLACE(B2077,""[^a-zA-Z\s]"","""")
)
)
"),"rafe h schindler")</f>
        <v>rafe h schindler</v>
      </c>
      <c r="O2077" s="7">
        <f t="shared" si="5"/>
        <v>1</v>
      </c>
      <c r="P2077" s="8" t="str">
        <f t="shared" si="6"/>
        <v>No</v>
      </c>
    </row>
    <row r="2078">
      <c r="A2078" s="4" t="s">
        <v>16</v>
      </c>
      <c r="B2078" s="4" t="s">
        <v>5848</v>
      </c>
      <c r="C2078" s="5">
        <v>44732.0</v>
      </c>
      <c r="D2078" s="10">
        <v>44732.0</v>
      </c>
      <c r="E2078" s="4" t="s">
        <v>5849</v>
      </c>
      <c r="F2078" s="4" t="s">
        <v>5850</v>
      </c>
      <c r="G2078" s="6" t="str">
        <f>IFERROR(__xludf.DUMMYFUNCTION("REGEXREPLACE(LOWER(F2078),""[^a-z\s]"","""")"),"we needed a shipping kennel large a bed for the kennel a toy a small bed and dog food all that got shipped was the dog food toy and small bed after visiting the pet smart store they had all we needed in stock although a higher price")</f>
        <v>we needed a shipping kennel large a bed for the kennel a toy a small bed and dog food all that got shipped was the dog food toy and small bed after visiting the pet smart store they had all we needed in stock although a higher price</v>
      </c>
      <c r="H2078" s="4" t="str">
        <f t="shared" si="1"/>
        <v>we needed a shipping kennel large a bed kennel a toy a small bed dog food all that got shipped was dog food toy small bed after visiting pet smart store they had all we needed in stock although a higher price</v>
      </c>
      <c r="I2078" s="6">
        <f t="shared" si="2"/>
        <v>42</v>
      </c>
      <c r="J2078" s="6">
        <f>IFERROR(__xludf.DUMMYFUNCTION("IF(H2078="""","""",
SUM(
ARRAYFORMULA(
IF(
REGEXMATCH(
"" ""&amp;H2078&amp;"" "",
"" ""&amp;Sentiment_Words!A$2:A3730&amp;"" ""
),
1,
0
)
)
)
)"),0.0)</f>
        <v>0</v>
      </c>
      <c r="K2078" s="4">
        <f>IFERROR(__xludf.DUMMYFUNCTION("IF(H2078="""","""",
SUM(
ARRAYFORMULA(
IF(
REGEXMATCH(
"" ""&amp;H2078&amp;"" "",
"" ""&amp;Sentiment_Words!B$2:B3730&amp;"" ""
),
1,
0
)
)
)
)"),0.0)</f>
        <v>0</v>
      </c>
      <c r="L2078" s="7" t="str">
        <f t="shared" si="3"/>
        <v>Other</v>
      </c>
      <c r="M2078" s="7" t="str">
        <f t="shared" si="4"/>
        <v>Neutral</v>
      </c>
      <c r="N2078" s="7" t="str">
        <f>IFERROR(__xludf.DUMMYFUNCTION("LOWER(
TRIM(
REGEXREPLACE(B2078,""[^a-zA-Z\s]"","""")
)
)
"),"randy holloway")</f>
        <v>randy holloway</v>
      </c>
      <c r="O2078" s="7">
        <f t="shared" si="5"/>
        <v>1</v>
      </c>
      <c r="P2078" s="8" t="str">
        <f t="shared" si="6"/>
        <v>No</v>
      </c>
    </row>
    <row r="2079">
      <c r="A2079" s="4" t="s">
        <v>16</v>
      </c>
      <c r="B2079" s="4" t="s">
        <v>5851</v>
      </c>
      <c r="C2079" s="5">
        <v>44732.0</v>
      </c>
      <c r="D2079" s="10">
        <v>44732.0</v>
      </c>
      <c r="E2079" s="4" t="s">
        <v>5852</v>
      </c>
      <c r="F2079" s="4" t="s">
        <v>5853</v>
      </c>
      <c r="G2079" s="6" t="str">
        <f>IFERROR(__xludf.DUMMYFUNCTION("REGEXREPLACE(LOWER(F2079),""[^a-z\s]"","""")"),"my first order and i was mailed wrong product when second order can it will be out of date in  months i like to know i have a newer product")</f>
        <v>my first order and i was mailed wrong product when second order can it will be out of date in  months i like to know i have a newer product</v>
      </c>
      <c r="H2079" s="4" t="str">
        <f t="shared" si="1"/>
        <v>my first order i was mailed wrong product when second order can it will be out of date in months i like know i have a newer product</v>
      </c>
      <c r="I2079" s="6">
        <f t="shared" si="2"/>
        <v>28</v>
      </c>
      <c r="J2079" s="6">
        <f>IFERROR(__xludf.DUMMYFUNCTION("IF(H2079="""","""",
SUM(
ARRAYFORMULA(
IF(
REGEXMATCH(
"" ""&amp;H2079&amp;"" "",
"" ""&amp;Sentiment_Words!A$2:A3730&amp;"" ""
),
1,
0
)
)
)
)"),0.0)</f>
        <v>0</v>
      </c>
      <c r="K2079" s="4">
        <f>IFERROR(__xludf.DUMMYFUNCTION("IF(H2079="""","""",
SUM(
ARRAYFORMULA(
IF(
REGEXMATCH(
"" ""&amp;H2079&amp;"" "",
"" ""&amp;Sentiment_Words!B$2:B3730&amp;"" ""
),
1,
0
)
)
)
)"),1.0)</f>
        <v>1</v>
      </c>
      <c r="L2079" s="7" t="str">
        <f t="shared" si="3"/>
        <v>Fulfillment &amp; Shipping</v>
      </c>
      <c r="M2079" s="7" t="str">
        <f t="shared" si="4"/>
        <v>Negative</v>
      </c>
      <c r="N2079" s="7" t="str">
        <f>IFERROR(__xludf.DUMMYFUNCTION("LOWER(
TRIM(
REGEXREPLACE(B2079,""[^a-zA-Z\s]"","""")
)
)
"),"lanette wilke")</f>
        <v>lanette wilke</v>
      </c>
      <c r="O2079" s="7">
        <f t="shared" si="5"/>
        <v>1</v>
      </c>
      <c r="P2079" s="8" t="str">
        <f t="shared" si="6"/>
        <v>No</v>
      </c>
    </row>
    <row r="2080">
      <c r="A2080" s="4" t="s">
        <v>16</v>
      </c>
      <c r="B2080" s="4" t="s">
        <v>5854</v>
      </c>
      <c r="C2080" s="5">
        <v>44732.0</v>
      </c>
      <c r="D2080" s="10">
        <v>44732.0</v>
      </c>
      <c r="E2080" s="4" t="s">
        <v>5855</v>
      </c>
      <c r="F2080" s="4" t="s">
        <v>5856</v>
      </c>
      <c r="G2080" s="6" t="str">
        <f>IFERROR(__xludf.DUMMYFUNCTION("REGEXREPLACE(LOWER(F2080),""[^a-z\s]"","""")"),"quick easy and better priced than most of the competition definitely an underknown source for pet supplies")</f>
        <v>quick easy and better priced than most of the competition definitely an underknown source for pet supplies</v>
      </c>
      <c r="H2080" s="4" t="str">
        <f t="shared" si="1"/>
        <v>quick easy better priced than most of competition definitely an underknown source pet supplies</v>
      </c>
      <c r="I2080" s="6">
        <f t="shared" si="2"/>
        <v>14</v>
      </c>
      <c r="J2080" s="6">
        <f>IFERROR(__xludf.DUMMYFUNCTION("IF(H2080="""","""",
SUM(
ARRAYFORMULA(
IF(
REGEXMATCH(
"" ""&amp;H2080&amp;"" "",
"" ""&amp;Sentiment_Words!A$2:A3730&amp;"" ""
),
1,
0
)
)
)
)"),1.0)</f>
        <v>1</v>
      </c>
      <c r="K2080" s="4">
        <f>IFERROR(__xludf.DUMMYFUNCTION("IF(H2080="""","""",
SUM(
ARRAYFORMULA(
IF(
REGEXMATCH(
"" ""&amp;H2080&amp;"" "",
"" ""&amp;Sentiment_Words!B$2:B3730&amp;"" ""
),
1,
0
)
)
)
)"),0.0)</f>
        <v>0</v>
      </c>
      <c r="L2080" s="7" t="str">
        <f t="shared" si="3"/>
        <v>Other</v>
      </c>
      <c r="M2080" s="7" t="str">
        <f t="shared" si="4"/>
        <v>Positive</v>
      </c>
      <c r="N2080" s="7" t="str">
        <f>IFERROR(__xludf.DUMMYFUNCTION("LOWER(
TRIM(
REGEXREPLACE(B2080,""[^a-zA-Z\s]"","""")
)
)
"),"chris")</f>
        <v>chris</v>
      </c>
      <c r="O2080" s="7">
        <f t="shared" si="5"/>
        <v>5</v>
      </c>
      <c r="P2080" s="8" t="str">
        <f t="shared" si="6"/>
        <v>Yes</v>
      </c>
    </row>
    <row r="2081">
      <c r="A2081" s="4" t="s">
        <v>16</v>
      </c>
      <c r="B2081" s="4" t="s">
        <v>5857</v>
      </c>
      <c r="C2081" s="5">
        <v>44732.0</v>
      </c>
      <c r="D2081" s="10">
        <v>44732.0</v>
      </c>
      <c r="E2081" s="4" t="s">
        <v>5858</v>
      </c>
      <c r="F2081" s="4" t="s">
        <v>5859</v>
      </c>
      <c r="G2081" s="6" t="str">
        <f>IFERROR(__xludf.DUMMYFUNCTION("REGEXREPLACE(LOWER(F2081),""[^a-z\s]"","""")"),"good time on delivery just mad about the way the box showed up was thrown over my fence and box was damaged and retaped because it was so damaged think about who you ship you packages by the delivery to my house was a fedx driver who did even look to see "&amp;"if this was the spot to deliver to and just dropped it over my fence this to me is just unacceptable keep an eye on who delivers you packages")</f>
        <v>good time on delivery just mad about the way the box showed up was thrown over my fence and box was damaged and retaped because it was so damaged think about who you ship you packages by the delivery to my house was a fedx driver who did even look to see if this was the spot to deliver to and just dropped it over my fence this to me is just unacceptable keep an eye on who delivers you packages</v>
      </c>
      <c r="H2081" s="4" t="str">
        <f t="shared" si="1"/>
        <v>good time on delivery just mad about way box showed up was thrown over my fence box was damaged retaped because it was so damaged think about who you ship you packages by delivery my house was a fedx driver who did even look see if this was spot deliver just dropped it over my fence this me just unacceptable keep an eye on who delivers you packages</v>
      </c>
      <c r="I2081" s="6">
        <f t="shared" si="2"/>
        <v>68</v>
      </c>
      <c r="J2081" s="6">
        <f>IFERROR(__xludf.DUMMYFUNCTION("IF(H2081="""","""",
SUM(
ARRAYFORMULA(
IF(
REGEXMATCH(
"" ""&amp;H2081&amp;"" "",
"" ""&amp;Sentiment_Words!A$2:A3730&amp;"" ""
),
1,
0
)
)
)
)"),1.0)</f>
        <v>1</v>
      </c>
      <c r="K2081" s="4">
        <f>IFERROR(__xludf.DUMMYFUNCTION("IF(H2081="""","""",
SUM(
ARRAYFORMULA(
IF(
REGEXMATCH(
"" ""&amp;H2081&amp;"" "",
"" ""&amp;Sentiment_Words!B$2:B3730&amp;"" ""
),
1,
0
)
)
)
)"),0.0)</f>
        <v>0</v>
      </c>
      <c r="L2081" s="7" t="str">
        <f t="shared" si="3"/>
        <v>Other</v>
      </c>
      <c r="M2081" s="7" t="str">
        <f t="shared" si="4"/>
        <v>Positive</v>
      </c>
      <c r="N2081" s="7" t="str">
        <f>IFERROR(__xludf.DUMMYFUNCTION("LOWER(
TRIM(
REGEXREPLACE(B2081,""[^a-zA-Z\s]"","""")
)
)
"),"joseph steele")</f>
        <v>joseph steele</v>
      </c>
      <c r="O2081" s="7">
        <f t="shared" si="5"/>
        <v>1</v>
      </c>
      <c r="P2081" s="8" t="str">
        <f t="shared" si="6"/>
        <v>No</v>
      </c>
    </row>
    <row r="2082">
      <c r="A2082" s="4" t="s">
        <v>16</v>
      </c>
      <c r="B2082" s="4" t="s">
        <v>5860</v>
      </c>
      <c r="C2082" s="5">
        <v>44732.0</v>
      </c>
      <c r="D2082" s="10">
        <v>44732.0</v>
      </c>
      <c r="E2082" s="4" t="s">
        <v>5861</v>
      </c>
      <c r="F2082" s="4" t="s">
        <v>5862</v>
      </c>
      <c r="G2082" s="6" t="str">
        <f>IFERROR(__xludf.DUMMYFUNCTION("REGEXREPLACE(LOWER(F2082),""[^a-z\s]"","""")"),"great choices these days it is so necessary to have a reliable resource especially for our pet family")</f>
        <v>great choices these days it is so necessary to have a reliable resource especially for our pet family</v>
      </c>
      <c r="H2082" s="4" t="str">
        <f t="shared" si="1"/>
        <v>great choices these days it so necessary have a reliable resource especially our pet family</v>
      </c>
      <c r="I2082" s="6">
        <f t="shared" si="2"/>
        <v>15</v>
      </c>
      <c r="J2082" s="6">
        <f>IFERROR(__xludf.DUMMYFUNCTION("IF(H2082="""","""",
SUM(
ARRAYFORMULA(
IF(
REGEXMATCH(
"" ""&amp;H2082&amp;"" "",
"" ""&amp;Sentiment_Words!A$2:A3730&amp;"" ""
),
1,
0
)
)
)
)"),2.0)</f>
        <v>2</v>
      </c>
      <c r="K2082" s="4">
        <f>IFERROR(__xludf.DUMMYFUNCTION("IF(H2082="""","""",
SUM(
ARRAYFORMULA(
IF(
REGEXMATCH(
"" ""&amp;H2082&amp;"" "",
"" ""&amp;Sentiment_Words!B$2:B3730&amp;"" ""
),
1,
0
)
)
)
)"),0.0)</f>
        <v>0</v>
      </c>
      <c r="L2082" s="7" t="str">
        <f t="shared" si="3"/>
        <v>Other</v>
      </c>
      <c r="M2082" s="7" t="str">
        <f t="shared" si="4"/>
        <v>Positive</v>
      </c>
      <c r="N2082" s="7" t="str">
        <f>IFERROR(__xludf.DUMMYFUNCTION("LOWER(
TRIM(
REGEXREPLACE(B2082,""[^a-zA-Z\s]"","""")
)
)
"),"wes tanaka")</f>
        <v>wes tanaka</v>
      </c>
      <c r="O2082" s="7">
        <f t="shared" si="5"/>
        <v>1</v>
      </c>
      <c r="P2082" s="8" t="str">
        <f t="shared" si="6"/>
        <v>No</v>
      </c>
    </row>
    <row r="2083">
      <c r="A2083" s="4" t="s">
        <v>16</v>
      </c>
      <c r="B2083" s="4" t="s">
        <v>4986</v>
      </c>
      <c r="C2083" s="5">
        <v>44732.0</v>
      </c>
      <c r="D2083" s="10">
        <v>44732.0</v>
      </c>
      <c r="E2083" s="4" t="s">
        <v>5863</v>
      </c>
      <c r="F2083" s="4" t="s">
        <v>5864</v>
      </c>
      <c r="G2083" s="6" t="str">
        <f>IFERROR(__xludf.DUMMYFUNCTION("REGEXREPLACE(LOWER(F2083),""[^a-z\s]"","""")"),"
excellent everything a company")</f>
        <v>
excellent everything a company</v>
      </c>
      <c r="H2083" s="4" t="str">
        <f t="shared" si="1"/>
        <v>excellent everything a company</v>
      </c>
      <c r="I2083" s="6">
        <f t="shared" si="2"/>
        <v>4</v>
      </c>
      <c r="J2083" s="6">
        <f>IFERROR(__xludf.DUMMYFUNCTION("IF(H2083="""","""",
SUM(
ARRAYFORMULA(
IF(
REGEXMATCH(
"" ""&amp;H2083&amp;"" "",
"" ""&amp;Sentiment_Words!A$2:A3730&amp;"" ""
),
1,
0
)
)
)
)"),0.0)</f>
        <v>0</v>
      </c>
      <c r="K2083" s="4">
        <f>IFERROR(__xludf.DUMMYFUNCTION("IF(H2083="""","""",
SUM(
ARRAYFORMULA(
IF(
REGEXMATCH(
"" ""&amp;H2083&amp;"" "",
"" ""&amp;Sentiment_Words!B$2:B3730&amp;"" ""
),
1,
0
)
)
)
)"),0.0)</f>
        <v>0</v>
      </c>
      <c r="L2083" s="7" t="str">
        <f t="shared" si="3"/>
        <v>Other</v>
      </c>
      <c r="M2083" s="7" t="str">
        <f t="shared" si="4"/>
        <v>Neutral</v>
      </c>
      <c r="N2083" s="7" t="str">
        <f>IFERROR(__xludf.DUMMYFUNCTION("LOWER(
TRIM(
REGEXREPLACE(B2083,""[^a-zA-Z\s]"","""")
)
)
"),"deb")</f>
        <v>deb</v>
      </c>
      <c r="O2083" s="7">
        <f t="shared" si="5"/>
        <v>4</v>
      </c>
      <c r="P2083" s="8" t="str">
        <f t="shared" si="6"/>
        <v>Yes</v>
      </c>
    </row>
    <row r="2084">
      <c r="A2084" s="4" t="s">
        <v>16</v>
      </c>
      <c r="B2084" s="4" t="s">
        <v>5865</v>
      </c>
      <c r="C2084" s="5">
        <v>44732.0</v>
      </c>
      <c r="D2084" s="10">
        <v>44732.0</v>
      </c>
      <c r="E2084" s="11">
        <v>44731.0</v>
      </c>
      <c r="F2084" s="4" t="s">
        <v>5866</v>
      </c>
      <c r="G2084" s="6" t="str">
        <f>IFERROR(__xludf.DUMMYFUNCTION("REGEXREPLACE(LOWER(F2084),""[^a-z\s]"","""")"),"i am so happy you carry fromm echo loves it and she gobbles it down i also love that you deliver to my home
thanks again
joni")</f>
        <v>i am so happy you carry fromm echo loves it and she gobbles it down i also love that you deliver to my home
thanks again
joni</v>
      </c>
      <c r="H2084" s="4" t="str">
        <f t="shared" si="1"/>
        <v>i am so happy you carry fromm echo loves it she gobbles it down i also love that you deliver my home
thanks again
joni</v>
      </c>
      <c r="I2084" s="6">
        <f t="shared" si="2"/>
        <v>23</v>
      </c>
      <c r="J2084" s="6">
        <f>IFERROR(__xludf.DUMMYFUNCTION("IF(H2084="""","""",
SUM(
ARRAYFORMULA(
IF(
REGEXMATCH(
"" ""&amp;H2084&amp;"" "",
"" ""&amp;Sentiment_Words!A$2:A3730&amp;"" ""
),
1,
0
)
)
)
)"),2.0)</f>
        <v>2</v>
      </c>
      <c r="K2084" s="4">
        <f>IFERROR(__xludf.DUMMYFUNCTION("IF(H2084="""","""",
SUM(
ARRAYFORMULA(
IF(
REGEXMATCH(
"" ""&amp;H2084&amp;"" "",
"" ""&amp;Sentiment_Words!B$2:B3730&amp;"" ""
),
1,
0
)
)
)
)"),0.0)</f>
        <v>0</v>
      </c>
      <c r="L2084" s="7" t="str">
        <f t="shared" si="3"/>
        <v>Other</v>
      </c>
      <c r="M2084" s="7" t="str">
        <f t="shared" si="4"/>
        <v>Positive</v>
      </c>
      <c r="N2084" s="7" t="str">
        <f>IFERROR(__xludf.DUMMYFUNCTION("LOWER(
TRIM(
REGEXREPLACE(B2084,""[^a-zA-Z\s]"","""")
)
)
"),"rick v")</f>
        <v>rick v</v>
      </c>
      <c r="O2084" s="7">
        <f t="shared" si="5"/>
        <v>1</v>
      </c>
      <c r="P2084" s="8" t="str">
        <f t="shared" si="6"/>
        <v>No</v>
      </c>
    </row>
    <row r="2085">
      <c r="A2085" s="4" t="s">
        <v>16</v>
      </c>
      <c r="B2085" s="4" t="s">
        <v>5867</v>
      </c>
      <c r="C2085" s="5">
        <v>44731.0</v>
      </c>
      <c r="D2085" s="10">
        <v>44731.0</v>
      </c>
      <c r="E2085" s="4" t="s">
        <v>5868</v>
      </c>
      <c r="F2085" s="4" t="s">
        <v>5869</v>
      </c>
      <c r="G2085" s="6" t="str">
        <f>IFERROR(__xludf.DUMMYFUNCTION("REGEXREPLACE(LOWER(F2085),""[^a-z\s]"","""")"),"please dont say you have something in stock if you really do not i was misled then was not even informed that there was a delay until i reached out myself terrible customer service")</f>
        <v>please dont say you have something in stock if you really do not i was misled then was not even informed that there was a delay until i reached out myself terrible customer service</v>
      </c>
      <c r="H2085" s="4" t="str">
        <f t="shared" si="1"/>
        <v>please dont say you have something in stock if you really do not i was misled then was not even informed that there was a delay until i reached out myself terrible customer service</v>
      </c>
      <c r="I2085" s="6">
        <f t="shared" si="2"/>
        <v>34</v>
      </c>
      <c r="J2085" s="6">
        <f>IFERROR(__xludf.DUMMYFUNCTION("IF(H2085="""","""",
SUM(
ARRAYFORMULA(
IF(
REGEXMATCH(
"" ""&amp;H2085&amp;"" "",
"" ""&amp;Sentiment_Words!A$2:A3730&amp;"" ""
),
1,
0
)
)
)
)"),0.0)</f>
        <v>0</v>
      </c>
      <c r="K2085" s="4">
        <f>IFERROR(__xludf.DUMMYFUNCTION("IF(H2085="""","""",
SUM(
ARRAYFORMULA(
IF(
REGEXMATCH(
"" ""&amp;H2085&amp;"" "",
"" ""&amp;Sentiment_Words!B$2:B3730&amp;"" ""
),
1,
0
)
)
)
)"),3.0)</f>
        <v>3</v>
      </c>
      <c r="L2085" s="7" t="str">
        <f t="shared" si="3"/>
        <v>Customer Support</v>
      </c>
      <c r="M2085" s="7" t="str">
        <f t="shared" si="4"/>
        <v>Negative</v>
      </c>
      <c r="N2085" s="7" t="str">
        <f>IFERROR(__xludf.DUMMYFUNCTION("LOWER(
TRIM(
REGEXREPLACE(B2085,""[^a-zA-Z\s]"","""")
)
)
"),"joan mcdaniel")</f>
        <v>joan mcdaniel</v>
      </c>
      <c r="O2085" s="7">
        <f t="shared" si="5"/>
        <v>1</v>
      </c>
      <c r="P2085" s="8" t="str">
        <f t="shared" si="6"/>
        <v>No</v>
      </c>
    </row>
    <row r="2086">
      <c r="A2086" s="4" t="s">
        <v>16</v>
      </c>
      <c r="B2086" s="4" t="s">
        <v>5870</v>
      </c>
      <c r="C2086" s="5">
        <v>44731.0</v>
      </c>
      <c r="D2086" s="10">
        <v>44731.0</v>
      </c>
      <c r="E2086" s="4" t="s">
        <v>5871</v>
      </c>
      <c r="F2086" s="4" t="s">
        <v>5872</v>
      </c>
      <c r="G2086" s="6" t="str">
        <f>IFERROR(__xludf.DUMMYFUNCTION("REGEXREPLACE(LOWER(F2086),""[^a-z\s]"","""")"),"my order was shipped immediately and reasonably got what i ordered and the pooch is thrilled")</f>
        <v>my order was shipped immediately and reasonably got what i ordered and the pooch is thrilled</v>
      </c>
      <c r="H2086" s="4" t="str">
        <f t="shared" si="1"/>
        <v>my order was shipped immediately reasonably got what i ordered pooch thrilled</v>
      </c>
      <c r="I2086" s="6">
        <f t="shared" si="2"/>
        <v>12</v>
      </c>
      <c r="J2086" s="6">
        <f>IFERROR(__xludf.DUMMYFUNCTION("IF(H2086="""","""",
SUM(
ARRAYFORMULA(
IF(
REGEXMATCH(
"" ""&amp;H2086&amp;"" "",
"" ""&amp;Sentiment_Words!A$2:A3730&amp;"" ""
),
1,
0
)
)
)
)"),1.0)</f>
        <v>1</v>
      </c>
      <c r="K2086" s="4">
        <f>IFERROR(__xludf.DUMMYFUNCTION("IF(H2086="""","""",
SUM(
ARRAYFORMULA(
IF(
REGEXMATCH(
"" ""&amp;H2086&amp;"" "",
"" ""&amp;Sentiment_Words!B$2:B3730&amp;"" ""
),
1,
0
)
)
)
)"),0.0)</f>
        <v>0</v>
      </c>
      <c r="L2086" s="7" t="str">
        <f t="shared" si="3"/>
        <v>Other</v>
      </c>
      <c r="M2086" s="7" t="str">
        <f t="shared" si="4"/>
        <v>Positive</v>
      </c>
      <c r="N2086" s="7" t="str">
        <f>IFERROR(__xludf.DUMMYFUNCTION("LOWER(
TRIM(
REGEXREPLACE(B2086,""[^a-zA-Z\s]"","""")
)
)
"),"megan")</f>
        <v>megan</v>
      </c>
      <c r="O2086" s="7">
        <f t="shared" si="5"/>
        <v>2</v>
      </c>
      <c r="P2086" s="8" t="str">
        <f t="shared" si="6"/>
        <v>Yes</v>
      </c>
    </row>
    <row r="2087">
      <c r="A2087" s="4" t="s">
        <v>16</v>
      </c>
      <c r="B2087" s="4" t="s">
        <v>5873</v>
      </c>
      <c r="C2087" s="5">
        <v>44731.0</v>
      </c>
      <c r="D2087" s="10">
        <v>44731.0</v>
      </c>
      <c r="E2087" s="4" t="s">
        <v>5874</v>
      </c>
      <c r="F2087" s="4" t="s">
        <v>5875</v>
      </c>
      <c r="G2087" s="6" t="str">
        <f>IFERROR(__xludf.DUMMYFUNCTION("REGEXREPLACE(LOWER(F2087),""[^a-z\s]"","""")"),"everywhere was out of my pets food ordering from your site was easy and i received my shipment a few days later thanks")</f>
        <v>everywhere was out of my pets food ordering from your site was easy and i received my shipment a few days later thanks</v>
      </c>
      <c r="H2087" s="4" t="str">
        <f t="shared" si="1"/>
        <v>everywhere was out of my pets food ordering from your site was easy i received my shipment a few days later thanks</v>
      </c>
      <c r="I2087" s="6">
        <f t="shared" si="2"/>
        <v>22</v>
      </c>
      <c r="J2087" s="6">
        <f>IFERROR(__xludf.DUMMYFUNCTION("IF(H2087="""","""",
SUM(
ARRAYFORMULA(
IF(
REGEXMATCH(
"" ""&amp;H2087&amp;"" "",
"" ""&amp;Sentiment_Words!A$2:A3730&amp;"" ""
),
1,
0
)
)
)
)"),1.0)</f>
        <v>1</v>
      </c>
      <c r="K2087" s="4">
        <f>IFERROR(__xludf.DUMMYFUNCTION("IF(H2087="""","""",
SUM(
ARRAYFORMULA(
IF(
REGEXMATCH(
"" ""&amp;H2087&amp;"" "",
"" ""&amp;Sentiment_Words!B$2:B3730&amp;"" ""
),
1,
0
)
)
)
)"),0.0)</f>
        <v>0</v>
      </c>
      <c r="L2087" s="7" t="str">
        <f t="shared" si="3"/>
        <v>Fulfillment &amp; Shipping</v>
      </c>
      <c r="M2087" s="7" t="str">
        <f t="shared" si="4"/>
        <v>Positive</v>
      </c>
      <c r="N2087" s="7" t="str">
        <f>IFERROR(__xludf.DUMMYFUNCTION("LOWER(
TRIM(
REGEXREPLACE(B2087,""[^a-zA-Z\s]"","""")
)
)
"),"peter")</f>
        <v>peter</v>
      </c>
      <c r="O2087" s="7">
        <f t="shared" si="5"/>
        <v>2</v>
      </c>
      <c r="P2087" s="8" t="str">
        <f t="shared" si="6"/>
        <v>Yes</v>
      </c>
    </row>
    <row r="2088">
      <c r="A2088" s="4" t="s">
        <v>16</v>
      </c>
      <c r="B2088" s="4" t="s">
        <v>5876</v>
      </c>
      <c r="C2088" s="5">
        <v>44731.0</v>
      </c>
      <c r="D2088" s="10">
        <v>44731.0</v>
      </c>
      <c r="E2088" s="4" t="s">
        <v>5877</v>
      </c>
      <c r="F2088" s="4" t="s">
        <v>5878</v>
      </c>
      <c r="G2088" s="6" t="str">
        <f>IFERROR(__xludf.DUMMYFUNCTION("REGEXREPLACE(LOWER(F2088),""[^a-z\s]"","""")"),"amazing prices quick shipping")</f>
        <v>amazing prices quick shipping</v>
      </c>
      <c r="H2088" s="4" t="str">
        <f t="shared" si="1"/>
        <v>amazing prices quick shipping</v>
      </c>
      <c r="I2088" s="6">
        <f t="shared" si="2"/>
        <v>4</v>
      </c>
      <c r="J2088" s="6">
        <f>IFERROR(__xludf.DUMMYFUNCTION("IF(H2088="""","""",
SUM(
ARRAYFORMULA(
IF(
REGEXMATCH(
"" ""&amp;H2088&amp;"" "",
"" ""&amp;Sentiment_Words!A$2:A3730&amp;"" ""
),
1,
0
)
)
)
)"),0.0)</f>
        <v>0</v>
      </c>
      <c r="K2088" s="4">
        <f>IFERROR(__xludf.DUMMYFUNCTION("IF(H2088="""","""",
SUM(
ARRAYFORMULA(
IF(
REGEXMATCH(
"" ""&amp;H2088&amp;"" "",
"" ""&amp;Sentiment_Words!B$2:B3730&amp;"" ""
),
1,
0
)
)
)
)"),0.0)</f>
        <v>0</v>
      </c>
      <c r="L2088" s="7" t="str">
        <f t="shared" si="3"/>
        <v>Other</v>
      </c>
      <c r="M2088" s="7" t="str">
        <f t="shared" si="4"/>
        <v>Neutral</v>
      </c>
      <c r="N2088" s="7" t="str">
        <f>IFERROR(__xludf.DUMMYFUNCTION("LOWER(
TRIM(
REGEXREPLACE(B2088,""[^a-zA-Z\s]"","""")
)
)
"),"jane pimentel")</f>
        <v>jane pimentel</v>
      </c>
      <c r="O2088" s="7">
        <f t="shared" si="5"/>
        <v>1</v>
      </c>
      <c r="P2088" s="8" t="str">
        <f t="shared" si="6"/>
        <v>No</v>
      </c>
    </row>
    <row r="2089">
      <c r="A2089" s="4" t="s">
        <v>16</v>
      </c>
      <c r="B2089" s="4" t="s">
        <v>5879</v>
      </c>
      <c r="C2089" s="5">
        <v>44731.0</v>
      </c>
      <c r="D2089" s="10">
        <v>44731.0</v>
      </c>
      <c r="E2089" s="4" t="s">
        <v>4686</v>
      </c>
      <c r="F2089" s="4" t="s">
        <v>5880</v>
      </c>
      <c r="G2089" s="6" t="str">
        <f>IFERROR(__xludf.DUMMYFUNCTION("REGEXREPLACE(LOWER(F2089),""[^a-z\s]"","""")"),"just got a new puppy that has to have toy breed puppy proplan its been almost impossible to find it but happily petflow has it  it shipped fast love auto ship so we dont run out price is also good")</f>
        <v>just got a new puppy that has to have toy breed puppy proplan its been almost impossible to find it but happily petflow has it  it shipped fast love auto ship so we dont run out price is also good</v>
      </c>
      <c r="H2089" s="4" t="str">
        <f t="shared" si="1"/>
        <v>just got a new puppy that has have toy breed puppy proplan its been almost impossible find it but happily petflow has it it shipped fast love auto ship so we dont run out price also good</v>
      </c>
      <c r="I2089" s="6">
        <f t="shared" si="2"/>
        <v>37</v>
      </c>
      <c r="J2089" s="6">
        <f>IFERROR(__xludf.DUMMYFUNCTION("IF(H2089="""","""",
SUM(
ARRAYFORMULA(
IF(
REGEXMATCH(
"" ""&amp;H2089&amp;"" "",
"" ""&amp;Sentiment_Words!A$2:A3730&amp;"" ""
),
1,
0
)
)
)
)"),4.0)</f>
        <v>4</v>
      </c>
      <c r="K2089" s="4">
        <f>IFERROR(__xludf.DUMMYFUNCTION("IF(H2089="""","""",
SUM(
ARRAYFORMULA(
IF(
REGEXMATCH(
"" ""&amp;H2089&amp;"" "",
"" ""&amp;Sentiment_Words!B$2:B3730&amp;"" ""
),
1,
0
)
)
)
)"),0.0)</f>
        <v>0</v>
      </c>
      <c r="L2089" s="7" t="str">
        <f t="shared" si="3"/>
        <v>Other</v>
      </c>
      <c r="M2089" s="7" t="str">
        <f t="shared" si="4"/>
        <v>Positive</v>
      </c>
      <c r="N2089" s="7" t="str">
        <f>IFERROR(__xludf.DUMMYFUNCTION("LOWER(
TRIM(
REGEXREPLACE(B2089,""[^a-zA-Z\s]"","""")
)
)
"),"shea")</f>
        <v>shea</v>
      </c>
      <c r="O2089" s="7">
        <f t="shared" si="5"/>
        <v>1</v>
      </c>
      <c r="P2089" s="8" t="str">
        <f t="shared" si="6"/>
        <v>No</v>
      </c>
    </row>
    <row r="2090">
      <c r="A2090" s="4" t="s">
        <v>16</v>
      </c>
      <c r="B2090" s="4" t="s">
        <v>5881</v>
      </c>
      <c r="C2090" s="5">
        <v>44731.0</v>
      </c>
      <c r="D2090" s="10">
        <v>44731.0</v>
      </c>
      <c r="E2090" s="4" t="s">
        <v>5882</v>
      </c>
      <c r="F2090" s="4" t="s">
        <v>5883</v>
      </c>
      <c r="G2090" s="6" t="str">
        <f>IFERROR(__xludf.DUMMYFUNCTION("REGEXREPLACE(LOWER(F2090),""[^a-z\s]"","""")"),"we were notified that our dogs prescription food was out of stock with our usual retailer so i did an internet search and petflow was the only retailer that popped up as having the item in stock i waited for shipping confirmation and never received it so "&amp;"i contacted petflow who told me it wasnt coming from their warehouse but directly from the manufacturer and thats when i got suspicious something wasnt right i contacted the manufacturer of the food who confirmed there was no inventory i contacted petflow"&amp;" to cancel the order since i knew there was no way it was going to be fulfilled and they said they could not
when i finally got the shipping confirmation i realized there had been a bait and switch and it was a different variety of the food one wed tried"&amp;" and hadnt agreed w our dogs i ended up with two bags of very expensive prescription dog food that i cant feed our dogs petflow will not allow a return since it was prescription not sure if the switch was on petflow or the internet browser but pretty sure"&amp;" its the former")</f>
        <v>we were notified that our dogs prescription food was out of stock with our usual retailer so i did an internet search and petflow was the only retailer that popped up as having the item in stock i waited for shipping confirmation and never received it so i contacted petflow who told me it wasnt coming from their warehouse but directly from the manufacturer and thats when i got suspicious something wasnt right i contacted the manufacturer of the food who confirmed there was no inventory i contacted petflow to cancel the order since i knew there was no way it was going to be fulfilled and they said they could not
when i finally got the shipping confirmation i realized there had been a bait and switch and it was a different variety of the food one wed tried and hadnt agreed w our dogs i ended up with two bags of very expensive prescription dog food that i cant feed our dogs petflow will not allow a return since it was prescription not sure if the switch was on petflow or the internet browser but pretty sure its the former</v>
      </c>
      <c r="H2090" s="4" t="str">
        <f t="shared" si="1"/>
        <v>we were notified that our dogs prescription food was out of stock with our usual retailer so i did an internet search petflow was only retailer that popped up as having item in stock i waited shipping confirmation never received it so i contacted petflow who told me it wasnt coming from their warehouse but directly from manufacturer thats when i got suspicious something wasnt right i contacted manufacturer of food who confirmed there was no inventory i contacted petflow cancel order since i knew there was no way it was going be fulfilled they said they could not
when i finally got shipping confirmation i realized there had been a bait switch it was a different variety of food one wed tried hadnt agreed w our dogs i ended up with two bags of very expensive prescription dog food that i cant feed our dogs petflow will not allow a return since it was prescription not sure if switch was on petflow or internet browser but pretty sure its former</v>
      </c>
      <c r="I2090" s="6">
        <f t="shared" si="2"/>
        <v>170</v>
      </c>
      <c r="J2090" s="6">
        <f>IFERROR(__xludf.DUMMYFUNCTION("IF(H2090="""","""",
SUM(
ARRAYFORMULA(
IF(
REGEXMATCH(
"" ""&amp;H2090&amp;"" "",
"" ""&amp;Sentiment_Words!A$2:A3730&amp;"" ""
),
1,
0
)
)
)
)"),0.0)</f>
        <v>0</v>
      </c>
      <c r="K2090" s="4">
        <f>IFERROR(__xludf.DUMMYFUNCTION("IF(H2090="""","""",
SUM(
ARRAYFORMULA(
IF(
REGEXMATCH(
"" ""&amp;H2090&amp;"" "",
"" ""&amp;Sentiment_Words!B$2:B3730&amp;"" ""
),
1,
0
)
)
)
)"),1.0)</f>
        <v>1</v>
      </c>
      <c r="L2090" s="7" t="str">
        <f t="shared" si="3"/>
        <v>Availability</v>
      </c>
      <c r="M2090" s="7" t="str">
        <f t="shared" si="4"/>
        <v>Negative</v>
      </c>
      <c r="N2090" s="7" t="str">
        <f>IFERROR(__xludf.DUMMYFUNCTION("LOWER(
TRIM(
REGEXREPLACE(B2090,""[^a-zA-Z\s]"","""")
)
)
"),"brant standridge")</f>
        <v>brant standridge</v>
      </c>
      <c r="O2090" s="7">
        <f t="shared" si="5"/>
        <v>1</v>
      </c>
      <c r="P2090" s="8" t="str">
        <f t="shared" si="6"/>
        <v>No</v>
      </c>
    </row>
    <row r="2091">
      <c r="A2091" s="4" t="s">
        <v>16</v>
      </c>
      <c r="B2091" s="4" t="s">
        <v>5884</v>
      </c>
      <c r="C2091" s="5">
        <v>44730.0</v>
      </c>
      <c r="D2091" s="10">
        <v>44730.0</v>
      </c>
      <c r="E2091" s="4" t="s">
        <v>5885</v>
      </c>
      <c r="F2091" s="4" t="s">
        <v>5886</v>
      </c>
      <c r="G2091" s="6" t="str">
        <f>IFERROR(__xludf.DUMMYFUNCTION("REGEXREPLACE(LOWER(F2091),""[^a-z\s]"","""")"),"i appreciate finding products at an affordable price at petflow i usually find those products at a better price than other sites shipping was fast and flawless")</f>
        <v>i appreciate finding products at an affordable price at petflow i usually find those products at a better price than other sites shipping was fast and flawless</v>
      </c>
      <c r="H2091" s="4" t="str">
        <f t="shared" si="1"/>
        <v>i appreciate finding products at an affordable price at petflow i usually find those products at a better price than other sites shipping was fast flawless</v>
      </c>
      <c r="I2091" s="6">
        <f t="shared" si="2"/>
        <v>26</v>
      </c>
      <c r="J2091" s="6">
        <f>IFERROR(__xludf.DUMMYFUNCTION("IF(H2091="""","""",
SUM(
ARRAYFORMULA(
IF(
REGEXMATCH(
"" ""&amp;H2091&amp;"" "",
"" ""&amp;Sentiment_Words!A$2:A3730&amp;"" ""
),
1,
0
)
)
)
)"),2.0)</f>
        <v>2</v>
      </c>
      <c r="K2091" s="4">
        <f>IFERROR(__xludf.DUMMYFUNCTION("IF(H2091="""","""",
SUM(
ARRAYFORMULA(
IF(
REGEXMATCH(
"" ""&amp;H2091&amp;"" "",
"" ""&amp;Sentiment_Words!B$2:B3730&amp;"" ""
),
1,
0
)
)
)
)"),0.0)</f>
        <v>0</v>
      </c>
      <c r="L2091" s="7" t="str">
        <f t="shared" si="3"/>
        <v>Other</v>
      </c>
      <c r="M2091" s="7" t="str">
        <f t="shared" si="4"/>
        <v>Positive</v>
      </c>
      <c r="N2091" s="7" t="str">
        <f>IFERROR(__xludf.DUMMYFUNCTION("LOWER(
TRIM(
REGEXREPLACE(B2091,""[^a-zA-Z\s]"","""")
)
)
"),"s dalton")</f>
        <v>s dalton</v>
      </c>
      <c r="O2091" s="7">
        <f t="shared" si="5"/>
        <v>1</v>
      </c>
      <c r="P2091" s="8" t="str">
        <f t="shared" si="6"/>
        <v>No</v>
      </c>
    </row>
    <row r="2092">
      <c r="A2092" s="4" t="s">
        <v>16</v>
      </c>
      <c r="B2092" s="4" t="s">
        <v>5887</v>
      </c>
      <c r="C2092" s="5">
        <v>44730.0</v>
      </c>
      <c r="D2092" s="10">
        <v>44730.0</v>
      </c>
      <c r="E2092" s="4" t="s">
        <v>5888</v>
      </c>
      <c r="F2092" s="4" t="s">
        <v>5889</v>
      </c>
      <c r="G2092" s="6" t="str">
        <f>IFERROR(__xludf.DUMMYFUNCTION("REGEXREPLACE(LOWER(F2092),""[^a-z\s]"","""")"),"i have have ordered the freeze dried beef treats for a whilethe last two orders have been at least  to  crumbs this is very disappointing and an expensive bag of unusable if this is not corrected i will have to find another source usually i am very please"&amp;"d with petflow and recommend them to other pet owners so i hate to give a bad review")</f>
        <v>i have have ordered the freeze dried beef treats for a whilethe last two orders have been at least  to  crumbs this is very disappointing and an expensive bag of unusable if this is not corrected i will have to find another source usually i am very pleased with petflow and recommend them to other pet owners so i hate to give a bad review</v>
      </c>
      <c r="H2092" s="4" t="str">
        <f t="shared" si="1"/>
        <v>i have have ordered freeze dried beef treats a whilethe last two orders have been at least crumbs this very disappointing an expensive bag of unusable if this not corrected i will have find another source usually i am very pleased with petflow recommend them other pet owners so i hate give a bad review</v>
      </c>
      <c r="I2092" s="6">
        <f t="shared" si="2"/>
        <v>55</v>
      </c>
      <c r="J2092" s="6">
        <f>IFERROR(__xludf.DUMMYFUNCTION("IF(H2092="""","""",
SUM(
ARRAYFORMULA(
IF(
REGEXMATCH(
"" ""&amp;H2092&amp;"" "",
"" ""&amp;Sentiment_Words!A$2:A3730&amp;"" ""
),
1,
0
)
)
)
)"),0.0)</f>
        <v>0</v>
      </c>
      <c r="K2092" s="4">
        <f>IFERROR(__xludf.DUMMYFUNCTION("IF(H2092="""","""",
SUM(
ARRAYFORMULA(
IF(
REGEXMATCH(
"" ""&amp;H2092&amp;"" "",
"" ""&amp;Sentiment_Words!B$2:B3730&amp;"" ""
),
1,
0
)
)
)
)"),0.0)</f>
        <v>0</v>
      </c>
      <c r="L2092" s="7" t="str">
        <f t="shared" si="3"/>
        <v>Other</v>
      </c>
      <c r="M2092" s="7" t="str">
        <f t="shared" si="4"/>
        <v>Neutral</v>
      </c>
      <c r="N2092" s="7" t="str">
        <f>IFERROR(__xludf.DUMMYFUNCTION("LOWER(
TRIM(
REGEXREPLACE(B2092,""[^a-zA-Z\s]"","""")
)
)
"),"julie l")</f>
        <v>julie l</v>
      </c>
      <c r="O2092" s="7">
        <f t="shared" si="5"/>
        <v>2</v>
      </c>
      <c r="P2092" s="8" t="str">
        <f t="shared" si="6"/>
        <v>Yes</v>
      </c>
    </row>
    <row r="2093">
      <c r="A2093" s="4" t="s">
        <v>16</v>
      </c>
      <c r="B2093" s="4" t="s">
        <v>5890</v>
      </c>
      <c r="C2093" s="5">
        <v>44730.0</v>
      </c>
      <c r="D2093" s="10">
        <v>44730.0</v>
      </c>
      <c r="E2093" s="4" t="s">
        <v>5891</v>
      </c>
      <c r="F2093" s="4" t="s">
        <v>5892</v>
      </c>
      <c r="G2093" s="6" t="str">
        <f>IFERROR(__xludf.DUMMYFUNCTION("REGEXREPLACE(LOWER(F2093),""[^a-z\s]"","""")"),"great products and very good customer service")</f>
        <v>great products and very good customer service</v>
      </c>
      <c r="H2093" s="4" t="str">
        <f t="shared" si="1"/>
        <v>great products very good customer service</v>
      </c>
      <c r="I2093" s="6">
        <f t="shared" si="2"/>
        <v>6</v>
      </c>
      <c r="J2093" s="6">
        <f>IFERROR(__xludf.DUMMYFUNCTION("IF(H2093="""","""",
SUM(
ARRAYFORMULA(
IF(
REGEXMATCH(
"" ""&amp;H2093&amp;"" "",
"" ""&amp;Sentiment_Words!A$2:A3730&amp;"" ""
),
1,
0
)
)
)
)"),2.0)</f>
        <v>2</v>
      </c>
      <c r="K2093" s="4">
        <f>IFERROR(__xludf.DUMMYFUNCTION("IF(H2093="""","""",
SUM(
ARRAYFORMULA(
IF(
REGEXMATCH(
"" ""&amp;H2093&amp;"" "",
"" ""&amp;Sentiment_Words!B$2:B3730&amp;"" ""
),
1,
0
)
)
)
)"),1.0)</f>
        <v>1</v>
      </c>
      <c r="L2093" s="7" t="str">
        <f t="shared" si="3"/>
        <v>Customer Support</v>
      </c>
      <c r="M2093" s="7" t="str">
        <f t="shared" si="4"/>
        <v>Positive</v>
      </c>
      <c r="N2093" s="7" t="str">
        <f>IFERROR(__xludf.DUMMYFUNCTION("LOWER(
TRIM(
REGEXREPLACE(B2093,""[^a-zA-Z\s]"","""")
)
)
"),"peggy r")</f>
        <v>peggy r</v>
      </c>
      <c r="O2093" s="7">
        <f t="shared" si="5"/>
        <v>1</v>
      </c>
      <c r="P2093" s="8" t="str">
        <f t="shared" si="6"/>
        <v>No</v>
      </c>
    </row>
    <row r="2094">
      <c r="A2094" s="4" t="s">
        <v>16</v>
      </c>
      <c r="B2094" s="4" t="s">
        <v>5893</v>
      </c>
      <c r="C2094" s="5">
        <v>44730.0</v>
      </c>
      <c r="D2094" s="10">
        <v>44730.0</v>
      </c>
      <c r="E2094" s="4" t="s">
        <v>5894</v>
      </c>
      <c r="F2094" s="4" t="s">
        <v>5895</v>
      </c>
      <c r="G2094" s="6" t="str">
        <f>IFERROR(__xludf.DUMMYFUNCTION("REGEXREPLACE(LOWER(F2094),""[^a-z\s]"","""")"),"fast shipping all items accounted for and in perfect condition")</f>
        <v>fast shipping all items accounted for and in perfect condition</v>
      </c>
      <c r="H2094" s="4" t="str">
        <f t="shared" si="1"/>
        <v>fast shipping all items accounted in perfect condition</v>
      </c>
      <c r="I2094" s="6">
        <f t="shared" si="2"/>
        <v>8</v>
      </c>
      <c r="J2094" s="6">
        <f>IFERROR(__xludf.DUMMYFUNCTION("IF(H2094="""","""",
SUM(
ARRAYFORMULA(
IF(
REGEXMATCH(
"" ""&amp;H2094&amp;"" "",
"" ""&amp;Sentiment_Words!A$2:A3730&amp;"" ""
),
1,
0
)
)
)
)"),1.0)</f>
        <v>1</v>
      </c>
      <c r="K2094" s="4">
        <f>IFERROR(__xludf.DUMMYFUNCTION("IF(H2094="""","""",
SUM(
ARRAYFORMULA(
IF(
REGEXMATCH(
"" ""&amp;H2094&amp;"" "",
"" ""&amp;Sentiment_Words!B$2:B3730&amp;"" ""
),
1,
0
)
)
)
)"),0.0)</f>
        <v>0</v>
      </c>
      <c r="L2094" s="7" t="str">
        <f t="shared" si="3"/>
        <v>Account &amp; Website</v>
      </c>
      <c r="M2094" s="7" t="str">
        <f t="shared" si="4"/>
        <v>Positive</v>
      </c>
      <c r="N2094" s="7" t="str">
        <f>IFERROR(__xludf.DUMMYFUNCTION("LOWER(
TRIM(
REGEXREPLACE(B2094,""[^a-zA-Z\s]"","""")
)
)
"),"code")</f>
        <v>code</v>
      </c>
      <c r="O2094" s="7">
        <f t="shared" si="5"/>
        <v>2</v>
      </c>
      <c r="P2094" s="8" t="str">
        <f t="shared" si="6"/>
        <v>Yes</v>
      </c>
    </row>
    <row r="2095">
      <c r="A2095" s="4" t="s">
        <v>16</v>
      </c>
      <c r="B2095" s="4" t="s">
        <v>2244</v>
      </c>
      <c r="C2095" s="5">
        <v>44730.0</v>
      </c>
      <c r="D2095" s="10">
        <v>44730.0</v>
      </c>
      <c r="E2095" s="4" t="s">
        <v>5896</v>
      </c>
      <c r="F2095" s="4" t="s">
        <v>5897</v>
      </c>
      <c r="G2095" s="6" t="str">
        <f>IFERROR(__xludf.DUMMYFUNCTION("REGEXREPLACE(LOWER(F2095),""[^a-z\s]"","""")"),"petflow has the best prices great communication with me regarding the status of my order  shipping is quick")</f>
        <v>petflow has the best prices great communication with me regarding the status of my order  shipping is quick</v>
      </c>
      <c r="H2095" s="4" t="str">
        <f t="shared" si="1"/>
        <v>petflow has best prices great communication with me regarding status of my order shipping quick</v>
      </c>
      <c r="I2095" s="6">
        <f t="shared" si="2"/>
        <v>15</v>
      </c>
      <c r="J2095" s="6">
        <f>IFERROR(__xludf.DUMMYFUNCTION("IF(H2095="""","""",
SUM(
ARRAYFORMULA(
IF(
REGEXMATCH(
"" ""&amp;H2095&amp;"" "",
"" ""&amp;Sentiment_Words!A$2:A3730&amp;"" ""
),
1,
0
)
)
)
)"),1.0)</f>
        <v>1</v>
      </c>
      <c r="K2095" s="4">
        <f>IFERROR(__xludf.DUMMYFUNCTION("IF(H2095="""","""",
SUM(
ARRAYFORMULA(
IF(
REGEXMATCH(
"" ""&amp;H2095&amp;"" "",
"" ""&amp;Sentiment_Words!B$2:B3730&amp;"" ""
),
1,
0
)
)
)
)"),0.0)</f>
        <v>0</v>
      </c>
      <c r="L2095" s="7" t="str">
        <f t="shared" si="3"/>
        <v>Other</v>
      </c>
      <c r="M2095" s="7" t="str">
        <f t="shared" si="4"/>
        <v>Positive</v>
      </c>
      <c r="N2095" s="7" t="str">
        <f>IFERROR(__xludf.DUMMYFUNCTION("LOWER(
TRIM(
REGEXREPLACE(B2095,""[^a-zA-Z\s]"","""")
)
)
"),"michael")</f>
        <v>michael</v>
      </c>
      <c r="O2095" s="7">
        <f t="shared" si="5"/>
        <v>8</v>
      </c>
      <c r="P2095" s="8" t="str">
        <f t="shared" si="6"/>
        <v>Yes</v>
      </c>
    </row>
    <row r="2096">
      <c r="A2096" s="4" t="s">
        <v>16</v>
      </c>
      <c r="B2096" s="4" t="s">
        <v>5898</v>
      </c>
      <c r="C2096" s="5">
        <v>44730.0</v>
      </c>
      <c r="D2096" s="10">
        <v>44730.0</v>
      </c>
      <c r="E2096" s="4" t="s">
        <v>423</v>
      </c>
      <c r="F2096" s="4" t="s">
        <v>331</v>
      </c>
      <c r="G2096" s="6" t="str">
        <f>IFERROR(__xludf.DUMMYFUNCTION("REGEXREPLACE(LOWER(F2096),""[^a-z\s]"","""")"),"none")</f>
        <v>none</v>
      </c>
      <c r="H2096" s="4" t="str">
        <f t="shared" si="1"/>
        <v>none</v>
      </c>
      <c r="I2096" s="6">
        <f t="shared" si="2"/>
        <v>1</v>
      </c>
      <c r="J2096" s="6">
        <f>IFERROR(__xludf.DUMMYFUNCTION("IF(H2096="""","""",
SUM(
ARRAYFORMULA(
IF(
REGEXMATCH(
"" ""&amp;H2096&amp;"" "",
"" ""&amp;Sentiment_Words!A$2:A3730&amp;"" ""
),
1,
0
)
)
)
)"),0.0)</f>
        <v>0</v>
      </c>
      <c r="K2096" s="4">
        <f>IFERROR(__xludf.DUMMYFUNCTION("IF(H2096="""","""",
SUM(
ARRAYFORMULA(
IF(
REGEXMATCH(
"" ""&amp;H2096&amp;"" "",
"" ""&amp;Sentiment_Words!B$2:B3730&amp;"" ""
),
1,
0
)
)
)
)"),0.0)</f>
        <v>0</v>
      </c>
      <c r="L2096" s="7" t="str">
        <f t="shared" si="3"/>
        <v>Other</v>
      </c>
      <c r="M2096" s="7" t="str">
        <f t="shared" si="4"/>
        <v>Neutral</v>
      </c>
      <c r="N2096" s="7" t="str">
        <f>IFERROR(__xludf.DUMMYFUNCTION("LOWER(
TRIM(
REGEXREPLACE(B2096,""[^a-zA-Z\s]"","""")
)
)
"),"theresa mossberg")</f>
        <v>theresa mossberg</v>
      </c>
      <c r="O2096" s="7">
        <f t="shared" si="5"/>
        <v>1</v>
      </c>
      <c r="P2096" s="8" t="str">
        <f t="shared" si="6"/>
        <v>No</v>
      </c>
    </row>
    <row r="2097">
      <c r="A2097" s="4" t="s">
        <v>16</v>
      </c>
      <c r="B2097" s="4" t="s">
        <v>5899</v>
      </c>
      <c r="C2097" s="5">
        <v>44730.0</v>
      </c>
      <c r="D2097" s="10">
        <v>44730.0</v>
      </c>
      <c r="E2097" s="4" t="s">
        <v>5900</v>
      </c>
      <c r="F2097" s="4" t="s">
        <v>331</v>
      </c>
      <c r="G2097" s="6" t="str">
        <f>IFERROR(__xludf.DUMMYFUNCTION("REGEXREPLACE(LOWER(F2097),""[^a-z\s]"","""")"),"none")</f>
        <v>none</v>
      </c>
      <c r="H2097" s="4" t="str">
        <f t="shared" si="1"/>
        <v>none</v>
      </c>
      <c r="I2097" s="6">
        <f t="shared" si="2"/>
        <v>1</v>
      </c>
      <c r="J2097" s="6">
        <f>IFERROR(__xludf.DUMMYFUNCTION("IF(H2097="""","""",
SUM(
ARRAYFORMULA(
IF(
REGEXMATCH(
"" ""&amp;H2097&amp;"" "",
"" ""&amp;Sentiment_Words!A$2:A3730&amp;"" ""
),
1,
0
)
)
)
)"),0.0)</f>
        <v>0</v>
      </c>
      <c r="K2097" s="4">
        <f>IFERROR(__xludf.DUMMYFUNCTION("IF(H2097="""","""",
SUM(
ARRAYFORMULA(
IF(
REGEXMATCH(
"" ""&amp;H2097&amp;"" "",
"" ""&amp;Sentiment_Words!B$2:B3730&amp;"" ""
),
1,
0
)
)
)
)"),0.0)</f>
        <v>0</v>
      </c>
      <c r="L2097" s="7" t="str">
        <f t="shared" si="3"/>
        <v>Other</v>
      </c>
      <c r="M2097" s="7" t="str">
        <f t="shared" si="4"/>
        <v>Neutral</v>
      </c>
      <c r="N2097" s="7" t="str">
        <f>IFERROR(__xludf.DUMMYFUNCTION("LOWER(
TRIM(
REGEXREPLACE(B2097,""[^a-zA-Z\s]"","""")
)
)
"),"lynne wilson")</f>
        <v>lynne wilson</v>
      </c>
      <c r="O2097" s="7">
        <f t="shared" si="5"/>
        <v>1</v>
      </c>
      <c r="P2097" s="8" t="str">
        <f t="shared" si="6"/>
        <v>No</v>
      </c>
    </row>
    <row r="2098">
      <c r="A2098" s="4" t="s">
        <v>16</v>
      </c>
      <c r="B2098" s="4" t="s">
        <v>5901</v>
      </c>
      <c r="C2098" s="5">
        <v>44729.0</v>
      </c>
      <c r="D2098" s="10">
        <v>44730.0</v>
      </c>
      <c r="E2098" s="4" t="s">
        <v>5902</v>
      </c>
      <c r="F2098" s="4" t="s">
        <v>5903</v>
      </c>
      <c r="G2098" s="6" t="str">
        <f>IFERROR(__xludf.DUMMYFUNCTION("REGEXREPLACE(LOWER(F2098),""[^a-z\s]"","""")"),"my st package was received missing items after just one phone call everything was handled professionally and a few days later i received my missing items would order again")</f>
        <v>my st package was received missing items after just one phone call everything was handled professionally and a few days later i received my missing items would order again</v>
      </c>
      <c r="H2098" s="4" t="str">
        <f t="shared" si="1"/>
        <v>my st package was received missing items after just one phone call everything was handled professionally a few days later i received my missing items would order again</v>
      </c>
      <c r="I2098" s="6">
        <f t="shared" si="2"/>
        <v>28</v>
      </c>
      <c r="J2098" s="6">
        <f>IFERROR(__xludf.DUMMYFUNCTION("IF(H2098="""","""",
SUM(
ARRAYFORMULA(
IF(
REGEXMATCH(
"" ""&amp;H2098&amp;"" "",
"" ""&amp;Sentiment_Words!A$2:A3730&amp;"" ""
),
1,
0
)
)
)
)"),0.0)</f>
        <v>0</v>
      </c>
      <c r="K2098" s="4">
        <f>IFERROR(__xludf.DUMMYFUNCTION("IF(H2098="""","""",
SUM(
ARRAYFORMULA(
IF(
REGEXMATCH(
"" ""&amp;H2098&amp;"" "",
"" ""&amp;Sentiment_Words!B$2:B3730&amp;"" ""
),
1,
0
)
)
)
)"),1.0)</f>
        <v>1</v>
      </c>
      <c r="L2098" s="7" t="str">
        <f t="shared" si="3"/>
        <v>Fulfillment &amp; Shipping</v>
      </c>
      <c r="M2098" s="7" t="str">
        <f t="shared" si="4"/>
        <v>Negative</v>
      </c>
      <c r="N2098" s="7" t="str">
        <f>IFERROR(__xludf.DUMMYFUNCTION("LOWER(
TRIM(
REGEXREPLACE(B2098,""[^a-zA-Z\s]"","""")
)
)
"),"lynn surdow")</f>
        <v>lynn surdow</v>
      </c>
      <c r="O2098" s="7">
        <f t="shared" si="5"/>
        <v>1</v>
      </c>
      <c r="P2098" s="8" t="str">
        <f t="shared" si="6"/>
        <v>No</v>
      </c>
    </row>
    <row r="2099">
      <c r="A2099" s="4" t="s">
        <v>16</v>
      </c>
      <c r="B2099" s="4" t="s">
        <v>5904</v>
      </c>
      <c r="C2099" s="5">
        <v>44729.0</v>
      </c>
      <c r="D2099" s="10">
        <v>44729.0</v>
      </c>
      <c r="E2099" s="4" t="s">
        <v>5905</v>
      </c>
      <c r="F2099" s="4" t="s">
        <v>5906</v>
      </c>
      <c r="G2099" s="6" t="str">
        <f>IFERROR(__xludf.DUMMYFUNCTION("REGEXREPLACE(LOWER(F2099),""[^a-z\s]"","""")"),"petflow came through for me when i couldnt find my cats food anywhere else im extremely grateful")</f>
        <v>petflow came through for me when i couldnt find my cats food anywhere else im extremely grateful</v>
      </c>
      <c r="H2099" s="4" t="str">
        <f t="shared" si="1"/>
        <v>petflow came through me when i couldnt find my cats food anywhere else im extremely grateful</v>
      </c>
      <c r="I2099" s="6">
        <f t="shared" si="2"/>
        <v>16</v>
      </c>
      <c r="J2099" s="6">
        <f>IFERROR(__xludf.DUMMYFUNCTION("IF(H2099="""","""",
SUM(
ARRAYFORMULA(
IF(
REGEXMATCH(
"" ""&amp;H2099&amp;"" "",
"" ""&amp;Sentiment_Words!A$2:A3730&amp;"" ""
),
1,
0
)
)
)
)"),0.0)</f>
        <v>0</v>
      </c>
      <c r="K2099" s="4">
        <f>IFERROR(__xludf.DUMMYFUNCTION("IF(H2099="""","""",
SUM(
ARRAYFORMULA(
IF(
REGEXMATCH(
"" ""&amp;H2099&amp;"" "",
"" ""&amp;Sentiment_Words!B$2:B3730&amp;"" ""
),
1,
0
)
)
)
)"),0.0)</f>
        <v>0</v>
      </c>
      <c r="L2099" s="7" t="str">
        <f t="shared" si="3"/>
        <v>Other</v>
      </c>
      <c r="M2099" s="7" t="str">
        <f t="shared" si="4"/>
        <v>Neutral</v>
      </c>
      <c r="N2099" s="7" t="str">
        <f>IFERROR(__xludf.DUMMYFUNCTION("LOWER(
TRIM(
REGEXREPLACE(B2099,""[^a-zA-Z\s]"","""")
)
)
"),"elke")</f>
        <v>elke</v>
      </c>
      <c r="O2099" s="7">
        <f t="shared" si="5"/>
        <v>1</v>
      </c>
      <c r="P2099" s="8" t="str">
        <f t="shared" si="6"/>
        <v>No</v>
      </c>
    </row>
    <row r="2100">
      <c r="A2100" s="4" t="s">
        <v>16</v>
      </c>
      <c r="B2100" s="4" t="s">
        <v>5907</v>
      </c>
      <c r="C2100" s="5">
        <v>44729.0</v>
      </c>
      <c r="D2100" s="10">
        <v>44729.0</v>
      </c>
      <c r="E2100" s="4" t="s">
        <v>5908</v>
      </c>
      <c r="F2100" s="4" t="s">
        <v>5909</v>
      </c>
      <c r="G2100" s="6" t="str">
        <f>IFERROR(__xludf.DUMMYFUNCTION("REGEXREPLACE(LOWER(F2100),""[^a-z\s]"","""")"),"twice now i have ordered preacription food from petflow that was listed as in stock and twice my orders jave been cancelled because the food was not in fact in stock both times i spoke with customer support that was clearly copy pasting replies off of a p"&amp;"df since they assured me the food was in stock up until they cancelled my order the only reason i was even on here was because the food was out of stock at chewy as well just dont bother chewyhas everuthing you need")</f>
        <v>twice now i have ordered preacription food from petflow that was listed as in stock and twice my orders jave been cancelled because the food was not in fact in stock both times i spoke with customer support that was clearly copy pasting replies off of a pdf since they assured me the food was in stock up until they cancelled my order the only reason i was even on here was because the food was out of stock at chewy as well just dont bother chewyhas everuthing you need</v>
      </c>
      <c r="H2100" s="4" t="str">
        <f t="shared" si="1"/>
        <v>twice now i have ordered preacription food from petflow that was listed as in stock twice my orders jave been cancelled because food was not in fact in stock both times i spoke with customer support that was clearly copy pasting replies off of a pdf since they assured me food was in stock up until they cancelled my order only reason i was even on here was because food was out of stock at chewy as well just dont bother chewyhas everuthing you need</v>
      </c>
      <c r="I2100" s="6">
        <f t="shared" si="2"/>
        <v>85</v>
      </c>
      <c r="J2100" s="6">
        <f>IFERROR(__xludf.DUMMYFUNCTION("IF(H2100="""","""",
SUM(
ARRAYFORMULA(
IF(
REGEXMATCH(
"" ""&amp;H2100&amp;"" "",
"" ""&amp;Sentiment_Words!A$2:A3730&amp;"" ""
),
1,
0
)
)
)
)"),0.0)</f>
        <v>0</v>
      </c>
      <c r="K2100" s="4">
        <f>IFERROR(__xludf.DUMMYFUNCTION("IF(H2100="""","""",
SUM(
ARRAYFORMULA(
IF(
REGEXMATCH(
"" ""&amp;H2100&amp;"" "",
"" ""&amp;Sentiment_Words!B$2:B3730&amp;"" ""
),
1,
0
)
)
)
)"),2.0)</f>
        <v>2</v>
      </c>
      <c r="L2100" s="7" t="str">
        <f t="shared" si="3"/>
        <v>Customer Support</v>
      </c>
      <c r="M2100" s="7" t="str">
        <f t="shared" si="4"/>
        <v>Negative</v>
      </c>
      <c r="N2100" s="7" t="str">
        <f>IFERROR(__xludf.DUMMYFUNCTION("LOWER(
TRIM(
REGEXREPLACE(B2100,""[^a-zA-Z\s]"","""")
)
)
"),"lucys mom")</f>
        <v>lucys mom</v>
      </c>
      <c r="O2100" s="7">
        <f t="shared" si="5"/>
        <v>1</v>
      </c>
      <c r="P2100" s="8" t="str">
        <f t="shared" si="6"/>
        <v>No</v>
      </c>
    </row>
    <row r="2101">
      <c r="A2101" s="4" t="s">
        <v>16</v>
      </c>
      <c r="B2101" s="4" t="s">
        <v>5910</v>
      </c>
      <c r="C2101" s="5">
        <v>44729.0</v>
      </c>
      <c r="D2101" s="10">
        <v>44729.0</v>
      </c>
      <c r="E2101" s="4" t="s">
        <v>5911</v>
      </c>
      <c r="F2101" s="4" t="s">
        <v>5912</v>
      </c>
      <c r="G2101" s="6" t="str">
        <f>IFERROR(__xludf.DUMMYFUNCTION("REGEXREPLACE(LOWER(F2101),""[^a-z\s]"","""")"),"excellent service")</f>
        <v>excellent service</v>
      </c>
      <c r="H2101" s="4" t="str">
        <f t="shared" si="1"/>
        <v>excellent service</v>
      </c>
      <c r="I2101" s="6">
        <f t="shared" si="2"/>
        <v>2</v>
      </c>
      <c r="J2101" s="6">
        <f>IFERROR(__xludf.DUMMYFUNCTION("IF(H2101="""","""",
SUM(
ARRAYFORMULA(
IF(
REGEXMATCH(
"" ""&amp;H2101&amp;"" "",
"" ""&amp;Sentiment_Words!A$2:A3730&amp;"" ""
),
1,
0
)
)
)
)"),0.0)</f>
        <v>0</v>
      </c>
      <c r="K2101" s="4">
        <f>IFERROR(__xludf.DUMMYFUNCTION("IF(H2101="""","""",
SUM(
ARRAYFORMULA(
IF(
REGEXMATCH(
"" ""&amp;H2101&amp;"" "",
"" ""&amp;Sentiment_Words!B$2:B3730&amp;"" ""
),
1,
0
)
)
)
)"),0.0)</f>
        <v>0</v>
      </c>
      <c r="L2101" s="7" t="str">
        <f t="shared" si="3"/>
        <v>Customer Support</v>
      </c>
      <c r="M2101" s="7" t="str">
        <f t="shared" si="4"/>
        <v>Neutral</v>
      </c>
      <c r="N2101" s="7" t="str">
        <f>IFERROR(__xludf.DUMMYFUNCTION("LOWER(
TRIM(
REGEXREPLACE(B2101,""[^a-zA-Z\s]"","""")
)
)
"),"tammie dazey")</f>
        <v>tammie dazey</v>
      </c>
      <c r="O2101" s="7">
        <f t="shared" si="5"/>
        <v>1</v>
      </c>
      <c r="P2101" s="8" t="str">
        <f t="shared" si="6"/>
        <v>No</v>
      </c>
    </row>
    <row r="2102">
      <c r="A2102" s="4" t="s">
        <v>16</v>
      </c>
      <c r="B2102" s="4" t="s">
        <v>5913</v>
      </c>
      <c r="C2102" s="5">
        <v>44729.0</v>
      </c>
      <c r="D2102" s="10">
        <v>44729.0</v>
      </c>
      <c r="E2102" s="4" t="s">
        <v>5914</v>
      </c>
      <c r="F2102" s="4" t="s">
        <v>5915</v>
      </c>
      <c r="G2102" s="6" t="str">
        <f>IFERROR(__xludf.DUMMYFUNCTION("REGEXREPLACE(LOWER(F2102),""[^a-z\s]"","""")"),"generally ive been very pleased but the last shipment  cases of canned hog food had two damaged and open cans in it not a great response when i raised the issue since i hadnt discovered it until i got to the th of  cans otherwise no complaints")</f>
        <v>generally ive been very pleased but the last shipment  cases of canned hog food had two damaged and open cans in it not a great response when i raised the issue since i hadnt discovered it until i got to the th of  cans otherwise no complaints</v>
      </c>
      <c r="H2102" s="4" t="str">
        <f t="shared" si="1"/>
        <v>generally ive been very pleased but last shipment cases of canned hog food had two damaged open cans in it not a great response when i raised issue since i hadnt discovered it until i got th of cans otherwise no complaints</v>
      </c>
      <c r="I2102" s="6">
        <f t="shared" si="2"/>
        <v>42</v>
      </c>
      <c r="J2102" s="6">
        <f>IFERROR(__xludf.DUMMYFUNCTION("IF(H2102="""","""",
SUM(
ARRAYFORMULA(
IF(
REGEXMATCH(
"" ""&amp;H2102&amp;"" "",
"" ""&amp;Sentiment_Words!A$2:A3730&amp;"" ""
),
1,
0
)
)
)
)"),1.0)</f>
        <v>1</v>
      </c>
      <c r="K2102" s="4">
        <f>IFERROR(__xludf.DUMMYFUNCTION("IF(H2102="""","""",
SUM(
ARRAYFORMULA(
IF(
REGEXMATCH(
"" ""&amp;H2102&amp;"" "",
"" ""&amp;Sentiment_Words!B$2:B3730&amp;"" ""
),
1,
0
)
)
)
)"),1.0)</f>
        <v>1</v>
      </c>
      <c r="L2102" s="7" t="str">
        <f t="shared" si="3"/>
        <v>Other</v>
      </c>
      <c r="M2102" s="7" t="str">
        <f t="shared" si="4"/>
        <v>Neutral</v>
      </c>
      <c r="N2102" s="7" t="str">
        <f>IFERROR(__xludf.DUMMYFUNCTION("LOWER(
TRIM(
REGEXREPLACE(B2102,""[^a-zA-Z\s]"","""")
)
)
"),"ben")</f>
        <v>ben</v>
      </c>
      <c r="O2102" s="7">
        <f t="shared" si="5"/>
        <v>1</v>
      </c>
      <c r="P2102" s="8" t="str">
        <f t="shared" si="6"/>
        <v>No</v>
      </c>
    </row>
    <row r="2103">
      <c r="A2103" s="4" t="s">
        <v>16</v>
      </c>
      <c r="B2103" s="4" t="s">
        <v>5916</v>
      </c>
      <c r="C2103" s="5">
        <v>44728.0</v>
      </c>
      <c r="D2103" s="10">
        <v>44728.0</v>
      </c>
      <c r="E2103" s="4" t="s">
        <v>190</v>
      </c>
      <c r="F2103" s="4" t="s">
        <v>5917</v>
      </c>
      <c r="G2103" s="6" t="str">
        <f>IFERROR(__xludf.DUMMYFUNCTION("REGEXREPLACE(LOWER(F2103),""[^a-z\s]"","""")"),"my cats food was listed as in stock on the site but my order was cancelled a week later because it was never actually in stock")</f>
        <v>my cats food was listed as in stock on the site but my order was cancelled a week later because it was never actually in stock</v>
      </c>
      <c r="H2103" s="4" t="str">
        <f t="shared" si="1"/>
        <v>my cats food was listed as in stock on site but my order was cancelled a week later because it was never actually in stock</v>
      </c>
      <c r="I2103" s="6">
        <f t="shared" si="2"/>
        <v>25</v>
      </c>
      <c r="J2103" s="6">
        <f>IFERROR(__xludf.DUMMYFUNCTION("IF(H2103="""","""",
SUM(
ARRAYFORMULA(
IF(
REGEXMATCH(
"" ""&amp;H2103&amp;"" "",
"" ""&amp;Sentiment_Words!A$2:A3730&amp;"" ""
),
1,
0
)
)
)
)"),0.0)</f>
        <v>0</v>
      </c>
      <c r="K2103" s="4">
        <f>IFERROR(__xludf.DUMMYFUNCTION("IF(H2103="""","""",
SUM(
ARRAYFORMULA(
IF(
REGEXMATCH(
"" ""&amp;H2103&amp;"" "",
"" ""&amp;Sentiment_Words!B$2:B3730&amp;"" ""
),
1,
0
)
)
)
)"),1.0)</f>
        <v>1</v>
      </c>
      <c r="L2103" s="7" t="str">
        <f t="shared" si="3"/>
        <v>Fulfillment &amp; Shipping</v>
      </c>
      <c r="M2103" s="7" t="str">
        <f t="shared" si="4"/>
        <v>Negative</v>
      </c>
      <c r="N2103" s="7" t="str">
        <f>IFERROR(__xludf.DUMMYFUNCTION("LOWER(
TRIM(
REGEXREPLACE(B2103,""[^a-zA-Z\s]"","""")
)
)
"),"duwayne wenger")</f>
        <v>duwayne wenger</v>
      </c>
      <c r="O2103" s="7">
        <f t="shared" si="5"/>
        <v>1</v>
      </c>
      <c r="P2103" s="8" t="str">
        <f t="shared" si="6"/>
        <v>No</v>
      </c>
    </row>
    <row r="2104">
      <c r="A2104" s="4" t="s">
        <v>16</v>
      </c>
      <c r="B2104" s="4" t="s">
        <v>5918</v>
      </c>
      <c r="C2104" s="5">
        <v>44728.0</v>
      </c>
      <c r="D2104" s="10">
        <v>44728.0</v>
      </c>
      <c r="E2104" s="4" t="s">
        <v>5919</v>
      </c>
      <c r="F2104" s="4" t="s">
        <v>5920</v>
      </c>
      <c r="G2104" s="6" t="str">
        <f>IFERROR(__xludf.DUMMYFUNCTION("REGEXREPLACE(LOWER(F2104),""[^a-z\s]"","""")"),"delivery was delayed and this was not acceptable i will utilize another company that can deliver in  dayd")</f>
        <v>delivery was delayed and this was not acceptable i will utilize another company that can deliver in  dayd</v>
      </c>
      <c r="H2104" s="4" t="str">
        <f t="shared" si="1"/>
        <v>delivery was delayed this was not acceptable i will utilize another company that can deliver in dayd</v>
      </c>
      <c r="I2104" s="6">
        <f t="shared" si="2"/>
        <v>17</v>
      </c>
      <c r="J2104" s="6">
        <f>IFERROR(__xludf.DUMMYFUNCTION("IF(H2104="""","""",
SUM(
ARRAYFORMULA(
IF(
REGEXMATCH(
"" ""&amp;H2104&amp;"" "",
"" ""&amp;Sentiment_Words!A$2:A3730&amp;"" ""
),
1,
0
)
)
)
)"),0.0)</f>
        <v>0</v>
      </c>
      <c r="K2104" s="4">
        <f>IFERROR(__xludf.DUMMYFUNCTION("IF(H2104="""","""",
SUM(
ARRAYFORMULA(
IF(
REGEXMATCH(
"" ""&amp;H2104&amp;"" "",
"" ""&amp;Sentiment_Words!B$2:B3730&amp;"" ""
),
1,
0
)
)
)
)"),1.0)</f>
        <v>1</v>
      </c>
      <c r="L2104" s="7" t="str">
        <f t="shared" si="3"/>
        <v>Fulfillment &amp; Shipping</v>
      </c>
      <c r="M2104" s="7" t="str">
        <f t="shared" si="4"/>
        <v>Negative</v>
      </c>
      <c r="N2104" s="7" t="str">
        <f>IFERROR(__xludf.DUMMYFUNCTION("LOWER(
TRIM(
REGEXREPLACE(B2104,""[^a-zA-Z\s]"","""")
)
)
"),"kenneth i hamilton")</f>
        <v>kenneth i hamilton</v>
      </c>
      <c r="O2104" s="7">
        <f t="shared" si="5"/>
        <v>1</v>
      </c>
      <c r="P2104" s="8" t="str">
        <f t="shared" si="6"/>
        <v>No</v>
      </c>
    </row>
    <row r="2105">
      <c r="A2105" s="4" t="s">
        <v>16</v>
      </c>
      <c r="B2105" s="4" t="s">
        <v>5316</v>
      </c>
      <c r="C2105" s="5">
        <v>44728.0</v>
      </c>
      <c r="D2105" s="10">
        <v>44728.0</v>
      </c>
      <c r="E2105" s="4" t="s">
        <v>5921</v>
      </c>
      <c r="F2105" s="4" t="s">
        <v>5922</v>
      </c>
      <c r="G2105" s="6" t="str">
        <f>IFERROR(__xludf.DUMMYFUNCTION("REGEXREPLACE(LOWER(F2105),""[^a-z\s]"","""")"),"as ordered fast shipping i was so happy to be able to get my canned cat food order when chewy and amazon failed me petflow has gained a loyal customer")</f>
        <v>as ordered fast shipping i was so happy to be able to get my canned cat food order when chewy and amazon failed me petflow has gained a loyal customer</v>
      </c>
      <c r="H2105" s="4" t="str">
        <f t="shared" si="1"/>
        <v>as ordered fast shipping i was so happy be able get my canned cat food order when chewy amazon failed me petflow has gained a loyal customer</v>
      </c>
      <c r="I2105" s="6">
        <f t="shared" si="2"/>
        <v>27</v>
      </c>
      <c r="J2105" s="6">
        <f>IFERROR(__xludf.DUMMYFUNCTION("IF(H2105="""","""",
SUM(
ARRAYFORMULA(
IF(
REGEXMATCH(
"" ""&amp;H2105&amp;"" "",
"" ""&amp;Sentiment_Words!A$2:A3730&amp;"" ""
),
1,
0
)
)
)
)"),3.0)</f>
        <v>3</v>
      </c>
      <c r="K2105" s="4">
        <f>IFERROR(__xludf.DUMMYFUNCTION("IF(H2105="""","""",
SUM(
ARRAYFORMULA(
IF(
REGEXMATCH(
"" ""&amp;H2105&amp;"" "",
"" ""&amp;Sentiment_Words!B$2:B3730&amp;"" ""
),
1,
0
)
)
)
)"),0.0)</f>
        <v>0</v>
      </c>
      <c r="L2105" s="7" t="str">
        <f t="shared" si="3"/>
        <v>Other</v>
      </c>
      <c r="M2105" s="7" t="str">
        <f t="shared" si="4"/>
        <v>Positive</v>
      </c>
      <c r="N2105" s="7" t="str">
        <f>IFERROR(__xludf.DUMMYFUNCTION("LOWER(
TRIM(
REGEXREPLACE(B2105,""[^a-zA-Z\s]"","""")
)
)
"),"joan")</f>
        <v>joan</v>
      </c>
      <c r="O2105" s="7">
        <f t="shared" si="5"/>
        <v>7</v>
      </c>
      <c r="P2105" s="8" t="str">
        <f t="shared" si="6"/>
        <v>Yes</v>
      </c>
    </row>
    <row r="2106">
      <c r="A2106" s="4" t="s">
        <v>16</v>
      </c>
      <c r="B2106" s="4" t="s">
        <v>5923</v>
      </c>
      <c r="C2106" s="5">
        <v>44728.0</v>
      </c>
      <c r="D2106" s="10">
        <v>44728.0</v>
      </c>
      <c r="E2106" s="4" t="s">
        <v>5924</v>
      </c>
      <c r="F2106" s="4" t="s">
        <v>5925</v>
      </c>
      <c r="G2106" s="6" t="str">
        <f>IFERROR(__xludf.DUMMYFUNCTION("REGEXREPLACE(LOWER(F2106),""[^a-z\s]"","""")"),"outstanding price for what i ordered i shopped around amazon walmart and numerous websites none even came close to your price package showed up on time excellent experience my cats thank you")</f>
        <v>outstanding price for what i ordered i shopped around amazon walmart and numerous websites none even came close to your price package showed up on time excellent experience my cats thank you</v>
      </c>
      <c r="H2106" s="4" t="str">
        <f t="shared" si="1"/>
        <v>outstanding price what i ordered i shopped around amazon walmart numerous websites none even came close your price package showed up on time excellent experience my cats thank you</v>
      </c>
      <c r="I2106" s="6">
        <f t="shared" si="2"/>
        <v>29</v>
      </c>
      <c r="J2106" s="6">
        <f>IFERROR(__xludf.DUMMYFUNCTION("IF(H2106="""","""",
SUM(
ARRAYFORMULA(
IF(
REGEXMATCH(
"" ""&amp;H2106&amp;"" "",
"" ""&amp;Sentiment_Words!A$2:A3730&amp;"" ""
),
1,
0
)
)
)
)"),1.0)</f>
        <v>1</v>
      </c>
      <c r="K2106" s="4">
        <f>IFERROR(__xludf.DUMMYFUNCTION("IF(H2106="""","""",
SUM(
ARRAYFORMULA(
IF(
REGEXMATCH(
"" ""&amp;H2106&amp;"" "",
"" ""&amp;Sentiment_Words!B$2:B3730&amp;"" ""
),
1,
0
)
)
)
)"),0.0)</f>
        <v>0</v>
      </c>
      <c r="L2106" s="7" t="str">
        <f t="shared" si="3"/>
        <v>Account &amp; Website</v>
      </c>
      <c r="M2106" s="7" t="str">
        <f t="shared" si="4"/>
        <v>Positive</v>
      </c>
      <c r="N2106" s="7" t="str">
        <f>IFERROR(__xludf.DUMMYFUNCTION("LOWER(
TRIM(
REGEXREPLACE(B2106,""[^a-zA-Z\s]"","""")
)
)
"),"kevin charles")</f>
        <v>kevin charles</v>
      </c>
      <c r="O2106" s="7">
        <f t="shared" si="5"/>
        <v>1</v>
      </c>
      <c r="P2106" s="8" t="str">
        <f t="shared" si="6"/>
        <v>No</v>
      </c>
    </row>
    <row r="2107">
      <c r="A2107" s="4" t="s">
        <v>16</v>
      </c>
      <c r="B2107" s="4" t="s">
        <v>5926</v>
      </c>
      <c r="C2107" s="5">
        <v>44728.0</v>
      </c>
      <c r="D2107" s="10">
        <v>44728.0</v>
      </c>
      <c r="E2107" s="4" t="s">
        <v>5927</v>
      </c>
      <c r="F2107" s="4" t="s">
        <v>5928</v>
      </c>
      <c r="G2107" s="6" t="str">
        <f>IFERROR(__xludf.DUMMYFUNCTION("REGEXREPLACE(LOWER(F2107),""[^a-z\s]"","""")"),"fast shipping and excellent price
thank you")</f>
        <v>fast shipping and excellent price
thank you</v>
      </c>
      <c r="H2107" s="4" t="str">
        <f t="shared" si="1"/>
        <v>fast shipping excellent price
thank you</v>
      </c>
      <c r="I2107" s="6">
        <f t="shared" si="2"/>
        <v>5</v>
      </c>
      <c r="J2107" s="6">
        <f>IFERROR(__xludf.DUMMYFUNCTION("IF(H2107="""","""",
SUM(
ARRAYFORMULA(
IF(
REGEXMATCH(
"" ""&amp;H2107&amp;"" "",
"" ""&amp;Sentiment_Words!A$2:A3730&amp;"" ""
),
1,
0
)
)
)
)"),1.0)</f>
        <v>1</v>
      </c>
      <c r="K2107" s="4">
        <f>IFERROR(__xludf.DUMMYFUNCTION("IF(H2107="""","""",
SUM(
ARRAYFORMULA(
IF(
REGEXMATCH(
"" ""&amp;H2107&amp;"" "",
"" ""&amp;Sentiment_Words!B$2:B3730&amp;"" ""
),
1,
0
)
)
)
)"),0.0)</f>
        <v>0</v>
      </c>
      <c r="L2107" s="7" t="str">
        <f t="shared" si="3"/>
        <v>Other</v>
      </c>
      <c r="M2107" s="7" t="str">
        <f t="shared" si="4"/>
        <v>Positive</v>
      </c>
      <c r="N2107" s="7" t="str">
        <f>IFERROR(__xludf.DUMMYFUNCTION("LOWER(
TRIM(
REGEXREPLACE(B2107,""[^a-zA-Z\s]"","""")
)
)
"),"amanda hatfield")</f>
        <v>amanda hatfield</v>
      </c>
      <c r="O2107" s="7">
        <f t="shared" si="5"/>
        <v>1</v>
      </c>
      <c r="P2107" s="8" t="str">
        <f t="shared" si="6"/>
        <v>No</v>
      </c>
    </row>
    <row r="2108">
      <c r="A2108" s="4" t="s">
        <v>16</v>
      </c>
      <c r="B2108" s="4" t="s">
        <v>5929</v>
      </c>
      <c r="C2108" s="5">
        <v>44728.0</v>
      </c>
      <c r="D2108" s="10">
        <v>44728.0</v>
      </c>
      <c r="E2108" s="4" t="s">
        <v>5930</v>
      </c>
      <c r="F2108" s="4" t="s">
        <v>5931</v>
      </c>
      <c r="G2108" s="6" t="str">
        <f>IFERROR(__xludf.DUMMYFUNCTION("REGEXREPLACE(LOWER(F2108),""[^a-z\s]"","""")"),"i normally dont write reviews but i hope employees are retrained after seeing this i hadnt ever been on your website or heard of the company but my  year old fell in love with a puppy from a girl i know in utah after adopting the puppy we asked what food "&amp;"she was already on so we didnt feed her something different and upset her tummy she was only  lbs at  weeks she was the runt after searching all my local stores in florida i couldnt find the brand so when i googled it your website popped up before orderin"&amp;"g my husband called the customer service number because we didnt know if the food would get here in time and if not we would order from another website that had cheaper pricing and free faster shipping the representative assured us that the florida wareho"&amp;"use had it in stock so it would actually come earlier than needed i ordered a bag of the food and a chew toy  days later i received an email that the toy was not coming out of stock after  days passed i called the number and i was told it was coming from "&amp;"new jersey and hadnt even shipped from that warehouse yet so i was in a panic because i didnt want to make this puppy sick and give her new food the girl i spoke with didnt even apologize for the misinformation or offer to speed up the shipping or anythin"&amp;"g luckily i was able to pay the breeder money to overnight me some food from her bag up in utah if i didnt need to keep her on this food until we see the vet friday to ask if i can switch her i would have sent this back i will not be ordering from your si"&amp;"te again very disappointed with the lack of customer service")</f>
        <v>i normally dont write reviews but i hope employees are retrained after seeing this i hadnt ever been on your website or heard of the company but my  year old fell in love with a puppy from a girl i know in utah after adopting the puppy we asked what food she was already on so we didnt feed her something different and upset her tummy she was only  lbs at  weeks she was the runt after searching all my local stores in florida i couldnt find the brand so when i googled it your website popped up before ordering my husband called the customer service number because we didnt know if the food would get here in time and if not we would order from another website that had cheaper pricing and free faster shipping the representative assured us that the florida warehouse had it in stock so it would actually come earlier than needed i ordered a bag of the food and a chew toy  days later i received an email that the toy was not coming out of stock after  days passed i called the number and i was told it was coming from new jersey and hadnt even shipped from that warehouse yet so i was in a panic because i didnt want to make this puppy sick and give her new food the girl i spoke with didnt even apologize for the misinformation or offer to speed up the shipping or anything luckily i was able to pay the breeder money to overnight me some food from her bag up in utah if i didnt need to keep her on this food until we see the vet friday to ask if i can switch her i would have sent this back i will not be ordering from your site again very disappointed with the lack of customer service</v>
      </c>
      <c r="H2108" s="4" t="str">
        <f t="shared" si="1"/>
        <v>i normally dont write reviews but i hope employees are retrained after seeing this i hadnt ever been on your website or heard of company but my year old fell in love with a puppy from a girl i know in utah after adopting puppy we asked what food she was already on so we didnt feed her something different upset her tummy she was only lbs at weeks she was runt after searching all my local stores in florida i couldnt find brand so when i googled it your website popped up before ordering my husband called customer service number because we didnt know if food would get here in time if not we would order from another website that had cheaper pricing free faster shipping representative assured us that florida warehouse had it in stock so it would actually come earlier than needed i ordered a bag of food a chew toy days later i received an email that toy was not coming out of stock after days passed i called number i was told it was coming from new jersey hadnt even shipped from that warehouse yet so i was in a panic because i didnt want make this puppy sick give her new food girl i spoke with didnt even apologize misinformation or offer speed up shipping or anything luckily i was able pay breeder money overnight me some food from her bag up in utah if i didnt need keep her on this food until we see vet friday ask if i can switch her i would have sent this back i will not be ordering from your site again very disappointed with lack of customer service</v>
      </c>
      <c r="I2108" s="6">
        <f t="shared" si="2"/>
        <v>282</v>
      </c>
      <c r="J2108" s="6">
        <f>IFERROR(__xludf.DUMMYFUNCTION("IF(H2108="""","""",
SUM(
ARRAYFORMULA(
IF(
REGEXMATCH(
"" ""&amp;H2108&amp;"" "",
"" ""&amp;Sentiment_Words!A$2:A3730&amp;"" ""
),
1,
0
)
)
)
)"),3.0)</f>
        <v>3</v>
      </c>
      <c r="K2108" s="4">
        <f>IFERROR(__xludf.DUMMYFUNCTION("IF(H2108="""","""",
SUM(
ARRAYFORMULA(
IF(
REGEXMATCH(
"" ""&amp;H2108&amp;"" "",
"" ""&amp;Sentiment_Words!B$2:B3730&amp;"" ""
),
1,
0
)
)
)
)"),2.0)</f>
        <v>2</v>
      </c>
      <c r="L2108" s="7" t="str">
        <f t="shared" si="3"/>
        <v>Customer Support</v>
      </c>
      <c r="M2108" s="7" t="str">
        <f t="shared" si="4"/>
        <v>Positive</v>
      </c>
      <c r="N2108" s="7" t="str">
        <f>IFERROR(__xludf.DUMMYFUNCTION("LOWER(
TRIM(
REGEXREPLACE(B2108,""[^a-zA-Z\s]"","""")
)
)
"),"karen riley")</f>
        <v>karen riley</v>
      </c>
      <c r="O2108" s="7">
        <f t="shared" si="5"/>
        <v>1</v>
      </c>
      <c r="P2108" s="8" t="str">
        <f t="shared" si="6"/>
        <v>No</v>
      </c>
    </row>
    <row r="2109">
      <c r="A2109" s="4" t="s">
        <v>16</v>
      </c>
      <c r="B2109" s="4" t="s">
        <v>739</v>
      </c>
      <c r="C2109" s="5">
        <v>44728.0</v>
      </c>
      <c r="D2109" s="10">
        <v>44728.0</v>
      </c>
      <c r="E2109" s="4" t="s">
        <v>5932</v>
      </c>
      <c r="F2109" s="4" t="s">
        <v>5933</v>
      </c>
      <c r="G2109" s="6" t="str">
        <f>IFERROR(__xludf.DUMMYFUNCTION("REGEXREPLACE(LOWER(F2109),""[^a-z\s]"","""")"),"the dog food we need is hard to find petflow always has it at a very good price it usually arrives in a day or two great service")</f>
        <v>the dog food we need is hard to find petflow always has it at a very good price it usually arrives in a day or two great service</v>
      </c>
      <c r="H2109" s="4" t="str">
        <f t="shared" si="1"/>
        <v>dog food we need hard find petflow always has it at a very good price it usually arrives in a day or two great service</v>
      </c>
      <c r="I2109" s="6">
        <f t="shared" si="2"/>
        <v>25</v>
      </c>
      <c r="J2109" s="6">
        <f>IFERROR(__xludf.DUMMYFUNCTION("IF(H2109="""","""",
SUM(
ARRAYFORMULA(
IF(
REGEXMATCH(
"" ""&amp;H2109&amp;"" "",
"" ""&amp;Sentiment_Words!A$2:A3730&amp;"" ""
),
1,
0
)
)
)
)"),2.0)</f>
        <v>2</v>
      </c>
      <c r="K2109" s="4">
        <f>IFERROR(__xludf.DUMMYFUNCTION("IF(H2109="""","""",
SUM(
ARRAYFORMULA(
IF(
REGEXMATCH(
"" ""&amp;H2109&amp;"" "",
"" ""&amp;Sentiment_Words!B$2:B3730&amp;"" ""
),
1,
0
)
)
)
)"),0.0)</f>
        <v>0</v>
      </c>
      <c r="L2109" s="7" t="str">
        <f t="shared" si="3"/>
        <v>Customer Support</v>
      </c>
      <c r="M2109" s="7" t="str">
        <f t="shared" si="4"/>
        <v>Positive</v>
      </c>
      <c r="N2109" s="7" t="str">
        <f>IFERROR(__xludf.DUMMYFUNCTION("LOWER(
TRIM(
REGEXREPLACE(B2109,""[^a-zA-Z\s]"","""")
)
)
"),"customer")</f>
        <v>customer</v>
      </c>
      <c r="O2109" s="7">
        <f t="shared" si="5"/>
        <v>54</v>
      </c>
      <c r="P2109" s="8" t="str">
        <f t="shared" si="6"/>
        <v>Yes</v>
      </c>
    </row>
    <row r="2110">
      <c r="A2110" s="4" t="s">
        <v>16</v>
      </c>
      <c r="B2110" s="4" t="s">
        <v>5934</v>
      </c>
      <c r="C2110" s="5">
        <v>44727.0</v>
      </c>
      <c r="D2110" s="10">
        <v>44728.0</v>
      </c>
      <c r="E2110" s="4" t="s">
        <v>5935</v>
      </c>
      <c r="F2110" s="4" t="s">
        <v>5936</v>
      </c>
      <c r="G2110" s="6" t="str">
        <f>IFERROR(__xludf.DUMMYFUNCTION("REGEXREPLACE(LOWER(F2110),""[^a-z\s]"","""")"),"im a little disappointed with petflow i ordered dog food on june rd maiming because you said it was in stock then a few days later i get an email saying that your local location was out of stock and you had to get it from another location and it was now g"&amp;"oing to be delayed an additional  days it is now june th and i still dont have the dog food its supposed to be delivered today but well see")</f>
        <v>im a little disappointed with petflow i ordered dog food on june rd maiming because you said it was in stock then a few days later i get an email saying that your local location was out of stock and you had to get it from another location and it was now going to be delayed an additional  days it is now june th and i still dont have the dog food its supposed to be delivered today but well see</v>
      </c>
      <c r="H2110" s="4" t="str">
        <f t="shared" si="1"/>
        <v>im a little disappointed with petflow i ordered dog food on june rd maiming because you said it was in stock then a few days later i get an email saying that your local location was out of stock you had get it from another location it was now going be delayed an additional days it now june th i still dont have dog food its supposed be delivered today but well see</v>
      </c>
      <c r="I2110" s="6">
        <f t="shared" si="2"/>
        <v>73</v>
      </c>
      <c r="J2110" s="6">
        <f>IFERROR(__xludf.DUMMYFUNCTION("IF(H2110="""","""",
SUM(
ARRAYFORMULA(
IF(
REGEXMATCH(
"" ""&amp;H2110&amp;"" "",
"" ""&amp;Sentiment_Words!A$2:A3730&amp;"" ""
),
1,
0
)
)
)
)"),1.0)</f>
        <v>1</v>
      </c>
      <c r="K2110" s="4">
        <f>IFERROR(__xludf.DUMMYFUNCTION("IF(H2110="""","""",
SUM(
ARRAYFORMULA(
IF(
REGEXMATCH(
"" ""&amp;H2110&amp;"" "",
"" ""&amp;Sentiment_Words!B$2:B3730&amp;"" ""
),
1,
0
)
)
)
)"),2.0)</f>
        <v>2</v>
      </c>
      <c r="L2110" s="7" t="str">
        <f t="shared" si="3"/>
        <v>Fulfillment &amp; Shipping</v>
      </c>
      <c r="M2110" s="7" t="str">
        <f t="shared" si="4"/>
        <v>Negative</v>
      </c>
      <c r="N2110" s="7" t="str">
        <f>IFERROR(__xludf.DUMMYFUNCTION("LOWER(
TRIM(
REGEXREPLACE(B2110,""[^a-zA-Z\s]"","""")
)
)
"),"patrick")</f>
        <v>patrick</v>
      </c>
      <c r="O2110" s="7">
        <f t="shared" si="5"/>
        <v>3</v>
      </c>
      <c r="P2110" s="8" t="str">
        <f t="shared" si="6"/>
        <v>Yes</v>
      </c>
    </row>
    <row r="2111">
      <c r="A2111" s="4" t="s">
        <v>16</v>
      </c>
      <c r="B2111" s="4" t="s">
        <v>5937</v>
      </c>
      <c r="C2111" s="5">
        <v>44727.0</v>
      </c>
      <c r="D2111" s="10">
        <v>44727.0</v>
      </c>
      <c r="E2111" s="4" t="s">
        <v>5938</v>
      </c>
      <c r="F2111" s="4" t="s">
        <v>5939</v>
      </c>
      <c r="G2111" s="6" t="str">
        <f>IFERROR(__xludf.DUMMYFUNCTION("REGEXREPLACE(LOWER(F2111),""[^a-z\s]"","""")"),"fast easy to order prescription products fast shipping fantastic customer service  knowledgeable sympathetic responds quickly range of items to purchase is awesome petflow outdoes all other online pet companies on so many levels they were my saving grace "&amp;"during covid")</f>
        <v>fast easy to order prescription products fast shipping fantastic customer service  knowledgeable sympathetic responds quickly range of items to purchase is awesome petflow outdoes all other online pet companies on so many levels they were my saving grace during covid</v>
      </c>
      <c r="H2111" s="4" t="str">
        <f t="shared" si="1"/>
        <v>fast easy order prescription products fast shipping fantastic customer service knowledgeable sympathetic responds quickly range of items purchase awesome petflow outdoes all other online pet companies on so many levels they were my saving grace during covid</v>
      </c>
      <c r="I2111" s="6">
        <f t="shared" si="2"/>
        <v>37</v>
      </c>
      <c r="J2111" s="6">
        <f>IFERROR(__xludf.DUMMYFUNCTION("IF(H2111="""","""",
SUM(
ARRAYFORMULA(
IF(
REGEXMATCH(
"" ""&amp;H2111&amp;"" "",
"" ""&amp;Sentiment_Words!A$2:A3730&amp;"" ""
),
1,
0
)
)
)
)"),2.0)</f>
        <v>2</v>
      </c>
      <c r="K2111" s="4">
        <f>IFERROR(__xludf.DUMMYFUNCTION("IF(H2111="""","""",
SUM(
ARRAYFORMULA(
IF(
REGEXMATCH(
"" ""&amp;H2111&amp;"" "",
"" ""&amp;Sentiment_Words!B$2:B3730&amp;"" ""
),
1,
0
)
)
)
)"),1.0)</f>
        <v>1</v>
      </c>
      <c r="L2111" s="7" t="str">
        <f t="shared" si="3"/>
        <v>Customer Support</v>
      </c>
      <c r="M2111" s="7" t="str">
        <f t="shared" si="4"/>
        <v>Positive</v>
      </c>
      <c r="N2111" s="7" t="str">
        <f>IFERROR(__xludf.DUMMYFUNCTION("LOWER(
TRIM(
REGEXREPLACE(B2111,""[^a-zA-Z\s]"","""")
)
)
"),"siskin")</f>
        <v>siskin</v>
      </c>
      <c r="O2111" s="7">
        <f t="shared" si="5"/>
        <v>1</v>
      </c>
      <c r="P2111" s="8" t="str">
        <f t="shared" si="6"/>
        <v>No</v>
      </c>
    </row>
    <row r="2112">
      <c r="A2112" s="4" t="s">
        <v>16</v>
      </c>
      <c r="B2112" s="4" t="s">
        <v>5940</v>
      </c>
      <c r="C2112" s="5">
        <v>44727.0</v>
      </c>
      <c r="D2112" s="10">
        <v>44727.0</v>
      </c>
      <c r="E2112" s="4" t="s">
        <v>5941</v>
      </c>
      <c r="F2112" s="4" t="s">
        <v>5942</v>
      </c>
      <c r="G2112" s="6" t="str">
        <f>IFERROR(__xludf.DUMMYFUNCTION("REGEXREPLACE(LOWER(F2112),""[^a-z\s]"","""")"),"my order was processed very slowly and then canceled i was initially told that the only thing holding up my order of hill prescription diet for my cat was vet approval which i had submitted with my order close to a week elapsed and then i was told that th"&amp;"e supplier could not provide my product the delay may have been longer had i not contacted customer service supply information should have been provided more expeditiously")</f>
        <v>my order was processed very slowly and then canceled i was initially told that the only thing holding up my order of hill prescription diet for my cat was vet approval which i had submitted with my order close to a week elapsed and then i was told that the supplier could not provide my product the delay may have been longer had i not contacted customer service supply information should have been provided more expeditiously</v>
      </c>
      <c r="H2112" s="4" t="str">
        <f t="shared" si="1"/>
        <v>my order was processed very slowly then canceled i was initially told that only thing holding up my order of hill prescription diet my cat was vet approval which i had submitted with my order close a week elapsed then i was told that supplier could not provide my product delay may have been longer had i not contacted customer service supply information should have been provided more expeditiously</v>
      </c>
      <c r="I2112" s="6">
        <f t="shared" si="2"/>
        <v>69</v>
      </c>
      <c r="J2112" s="6">
        <f>IFERROR(__xludf.DUMMYFUNCTION("IF(H2112="""","""",
SUM(
ARRAYFORMULA(
IF(
REGEXMATCH(
"" ""&amp;H2112&amp;"" "",
"" ""&amp;Sentiment_Words!A$2:A3730&amp;"" ""
),
1,
0
)
)
)
)"),0.0)</f>
        <v>0</v>
      </c>
      <c r="K2112" s="4">
        <f>IFERROR(__xludf.DUMMYFUNCTION("IF(H2112="""","""",
SUM(
ARRAYFORMULA(
IF(
REGEXMATCH(
"" ""&amp;H2112&amp;"" "",
"" ""&amp;Sentiment_Words!B$2:B3730&amp;"" ""
),
1,
0
)
)
)
)"),2.0)</f>
        <v>2</v>
      </c>
      <c r="L2112" s="7" t="str">
        <f t="shared" si="3"/>
        <v>Customer Support</v>
      </c>
      <c r="M2112" s="7" t="str">
        <f t="shared" si="4"/>
        <v>Negative</v>
      </c>
      <c r="N2112" s="7" t="str">
        <f>IFERROR(__xludf.DUMMYFUNCTION("LOWER(
TRIM(
REGEXREPLACE(B2112,""[^a-zA-Z\s]"","""")
)
)
"),"florida pet owner")</f>
        <v>florida pet owner</v>
      </c>
      <c r="O2112" s="7">
        <f t="shared" si="5"/>
        <v>1</v>
      </c>
      <c r="P2112" s="8" t="str">
        <f t="shared" si="6"/>
        <v>No</v>
      </c>
    </row>
    <row r="2113">
      <c r="A2113" s="4" t="s">
        <v>16</v>
      </c>
      <c r="B2113" s="4" t="s">
        <v>5943</v>
      </c>
      <c r="C2113" s="5">
        <v>44727.0</v>
      </c>
      <c r="D2113" s="10">
        <v>44727.0</v>
      </c>
      <c r="E2113" s="4" t="s">
        <v>5944</v>
      </c>
      <c r="F2113" s="4" t="s">
        <v>331</v>
      </c>
      <c r="G2113" s="6" t="str">
        <f>IFERROR(__xludf.DUMMYFUNCTION("REGEXREPLACE(LOWER(F2113),""[^a-z\s]"","""")"),"none")</f>
        <v>none</v>
      </c>
      <c r="H2113" s="4" t="str">
        <f t="shared" si="1"/>
        <v>none</v>
      </c>
      <c r="I2113" s="6">
        <f t="shared" si="2"/>
        <v>1</v>
      </c>
      <c r="J2113" s="6">
        <f>IFERROR(__xludf.DUMMYFUNCTION("IF(H2113="""","""",
SUM(
ARRAYFORMULA(
IF(
REGEXMATCH(
"" ""&amp;H2113&amp;"" "",
"" ""&amp;Sentiment_Words!A$2:A3730&amp;"" ""
),
1,
0
)
)
)
)"),0.0)</f>
        <v>0</v>
      </c>
      <c r="K2113" s="4">
        <f>IFERROR(__xludf.DUMMYFUNCTION("IF(H2113="""","""",
SUM(
ARRAYFORMULA(
IF(
REGEXMATCH(
"" ""&amp;H2113&amp;"" "",
"" ""&amp;Sentiment_Words!B$2:B3730&amp;"" ""
),
1,
0
)
)
)
)"),0.0)</f>
        <v>0</v>
      </c>
      <c r="L2113" s="7" t="str">
        <f t="shared" si="3"/>
        <v>Other</v>
      </c>
      <c r="M2113" s="7" t="str">
        <f t="shared" si="4"/>
        <v>Neutral</v>
      </c>
      <c r="N2113" s="7" t="str">
        <f>IFERROR(__xludf.DUMMYFUNCTION("LOWER(
TRIM(
REGEXREPLACE(B2113,""[^a-zA-Z\s]"","""")
)
)
"),"frank giuliano")</f>
        <v>frank giuliano</v>
      </c>
      <c r="O2113" s="7">
        <f t="shared" si="5"/>
        <v>1</v>
      </c>
      <c r="P2113" s="8" t="str">
        <f t="shared" si="6"/>
        <v>No</v>
      </c>
    </row>
    <row r="2114">
      <c r="A2114" s="4" t="s">
        <v>16</v>
      </c>
      <c r="B2114" s="4" t="s">
        <v>5945</v>
      </c>
      <c r="C2114" s="5">
        <v>44727.0</v>
      </c>
      <c r="D2114" s="10">
        <v>44727.0</v>
      </c>
      <c r="E2114" s="4" t="s">
        <v>5946</v>
      </c>
      <c r="F2114" s="4" t="s">
        <v>331</v>
      </c>
      <c r="G2114" s="6" t="str">
        <f>IFERROR(__xludf.DUMMYFUNCTION("REGEXREPLACE(LOWER(F2114),""[^a-z\s]"","""")"),"none")</f>
        <v>none</v>
      </c>
      <c r="H2114" s="4" t="str">
        <f t="shared" si="1"/>
        <v>none</v>
      </c>
      <c r="I2114" s="6">
        <f t="shared" si="2"/>
        <v>1</v>
      </c>
      <c r="J2114" s="6">
        <f>IFERROR(__xludf.DUMMYFUNCTION("IF(H2114="""","""",
SUM(
ARRAYFORMULA(
IF(
REGEXMATCH(
"" ""&amp;H2114&amp;"" "",
"" ""&amp;Sentiment_Words!A$2:A3730&amp;"" ""
),
1,
0
)
)
)
)"),0.0)</f>
        <v>0</v>
      </c>
      <c r="K2114" s="4">
        <f>IFERROR(__xludf.DUMMYFUNCTION("IF(H2114="""","""",
SUM(
ARRAYFORMULA(
IF(
REGEXMATCH(
"" ""&amp;H2114&amp;"" "",
"" ""&amp;Sentiment_Words!B$2:B3730&amp;"" ""
),
1,
0
)
)
)
)"),0.0)</f>
        <v>0</v>
      </c>
      <c r="L2114" s="7" t="str">
        <f t="shared" si="3"/>
        <v>Other</v>
      </c>
      <c r="M2114" s="7" t="str">
        <f t="shared" si="4"/>
        <v>Neutral</v>
      </c>
      <c r="N2114" s="7" t="str">
        <f>IFERROR(__xludf.DUMMYFUNCTION("LOWER(
TRIM(
REGEXREPLACE(B2114,""[^a-zA-Z\s]"","""")
)
)
"),"ken")</f>
        <v>ken</v>
      </c>
      <c r="O2114" s="7">
        <f t="shared" si="5"/>
        <v>3</v>
      </c>
      <c r="P2114" s="8" t="str">
        <f t="shared" si="6"/>
        <v>Yes</v>
      </c>
    </row>
    <row r="2115">
      <c r="A2115" s="4" t="s">
        <v>16</v>
      </c>
      <c r="B2115" s="4" t="s">
        <v>5947</v>
      </c>
      <c r="C2115" s="5">
        <v>44727.0</v>
      </c>
      <c r="D2115" s="10">
        <v>44727.0</v>
      </c>
      <c r="E2115" s="4" t="s">
        <v>3533</v>
      </c>
      <c r="F2115" s="4" t="s">
        <v>331</v>
      </c>
      <c r="G2115" s="6" t="str">
        <f>IFERROR(__xludf.DUMMYFUNCTION("REGEXREPLACE(LOWER(F2115),""[^a-z\s]"","""")"),"none")</f>
        <v>none</v>
      </c>
      <c r="H2115" s="4" t="str">
        <f t="shared" si="1"/>
        <v>none</v>
      </c>
      <c r="I2115" s="6">
        <f t="shared" si="2"/>
        <v>1</v>
      </c>
      <c r="J2115" s="6">
        <f>IFERROR(__xludf.DUMMYFUNCTION("IF(H2115="""","""",
SUM(
ARRAYFORMULA(
IF(
REGEXMATCH(
"" ""&amp;H2115&amp;"" "",
"" ""&amp;Sentiment_Words!A$2:A3730&amp;"" ""
),
1,
0
)
)
)
)"),0.0)</f>
        <v>0</v>
      </c>
      <c r="K2115" s="4">
        <f>IFERROR(__xludf.DUMMYFUNCTION("IF(H2115="""","""",
SUM(
ARRAYFORMULA(
IF(
REGEXMATCH(
"" ""&amp;H2115&amp;"" "",
"" ""&amp;Sentiment_Words!B$2:B3730&amp;"" ""
),
1,
0
)
)
)
)"),0.0)</f>
        <v>0</v>
      </c>
      <c r="L2115" s="7" t="str">
        <f t="shared" si="3"/>
        <v>Other</v>
      </c>
      <c r="M2115" s="7" t="str">
        <f t="shared" si="4"/>
        <v>Neutral</v>
      </c>
      <c r="N2115" s="7" t="str">
        <f>IFERROR(__xludf.DUMMYFUNCTION("LOWER(
TRIM(
REGEXREPLACE(B2115,""[^a-zA-Z\s]"","""")
)
)
"),"gloria navarro")</f>
        <v>gloria navarro</v>
      </c>
      <c r="O2115" s="7">
        <f t="shared" si="5"/>
        <v>1</v>
      </c>
      <c r="P2115" s="8" t="str">
        <f t="shared" si="6"/>
        <v>No</v>
      </c>
    </row>
    <row r="2116">
      <c r="A2116" s="4" t="s">
        <v>16</v>
      </c>
      <c r="B2116" s="4" t="s">
        <v>5948</v>
      </c>
      <c r="C2116" s="5">
        <v>44727.0</v>
      </c>
      <c r="D2116" s="10">
        <v>44727.0</v>
      </c>
      <c r="E2116" s="4" t="s">
        <v>5949</v>
      </c>
      <c r="F2116" s="4" t="s">
        <v>331</v>
      </c>
      <c r="G2116" s="6" t="str">
        <f>IFERROR(__xludf.DUMMYFUNCTION("REGEXREPLACE(LOWER(F2116),""[^a-z\s]"","""")"),"none")</f>
        <v>none</v>
      </c>
      <c r="H2116" s="4" t="str">
        <f t="shared" si="1"/>
        <v>none</v>
      </c>
      <c r="I2116" s="6">
        <f t="shared" si="2"/>
        <v>1</v>
      </c>
      <c r="J2116" s="6">
        <f>IFERROR(__xludf.DUMMYFUNCTION("IF(H2116="""","""",
SUM(
ARRAYFORMULA(
IF(
REGEXMATCH(
"" ""&amp;H2116&amp;"" "",
"" ""&amp;Sentiment_Words!A$2:A3730&amp;"" ""
),
1,
0
)
)
)
)"),0.0)</f>
        <v>0</v>
      </c>
      <c r="K2116" s="4">
        <f>IFERROR(__xludf.DUMMYFUNCTION("IF(H2116="""","""",
SUM(
ARRAYFORMULA(
IF(
REGEXMATCH(
"" ""&amp;H2116&amp;"" "",
"" ""&amp;Sentiment_Words!B$2:B3730&amp;"" ""
),
1,
0
)
)
)
)"),0.0)</f>
        <v>0</v>
      </c>
      <c r="L2116" s="7" t="str">
        <f t="shared" si="3"/>
        <v>Other</v>
      </c>
      <c r="M2116" s="7" t="str">
        <f t="shared" si="4"/>
        <v>Neutral</v>
      </c>
      <c r="N2116" s="7" t="str">
        <f>IFERROR(__xludf.DUMMYFUNCTION("LOWER(
TRIM(
REGEXREPLACE(B2116,""[^a-zA-Z\s]"","""")
)
)
"),"hr")</f>
        <v>hr</v>
      </c>
      <c r="O2116" s="7">
        <f t="shared" si="5"/>
        <v>1</v>
      </c>
      <c r="P2116" s="8" t="str">
        <f t="shared" si="6"/>
        <v>No</v>
      </c>
    </row>
    <row r="2117">
      <c r="A2117" s="4" t="s">
        <v>16</v>
      </c>
      <c r="B2117" s="4" t="s">
        <v>5950</v>
      </c>
      <c r="C2117" s="5">
        <v>44727.0</v>
      </c>
      <c r="D2117" s="10">
        <v>44727.0</v>
      </c>
      <c r="E2117" s="4" t="s">
        <v>5951</v>
      </c>
      <c r="F2117" s="4" t="s">
        <v>331</v>
      </c>
      <c r="G2117" s="6" t="str">
        <f>IFERROR(__xludf.DUMMYFUNCTION("REGEXREPLACE(LOWER(F2117),""[^a-z\s]"","""")"),"none")</f>
        <v>none</v>
      </c>
      <c r="H2117" s="4" t="str">
        <f t="shared" si="1"/>
        <v>none</v>
      </c>
      <c r="I2117" s="6">
        <f t="shared" si="2"/>
        <v>1</v>
      </c>
      <c r="J2117" s="6">
        <f>IFERROR(__xludf.DUMMYFUNCTION("IF(H2117="""","""",
SUM(
ARRAYFORMULA(
IF(
REGEXMATCH(
"" ""&amp;H2117&amp;"" "",
"" ""&amp;Sentiment_Words!A$2:A3730&amp;"" ""
),
1,
0
)
)
)
)"),0.0)</f>
        <v>0</v>
      </c>
      <c r="K2117" s="4">
        <f>IFERROR(__xludf.DUMMYFUNCTION("IF(H2117="""","""",
SUM(
ARRAYFORMULA(
IF(
REGEXMATCH(
"" ""&amp;H2117&amp;"" "",
"" ""&amp;Sentiment_Words!B$2:B3730&amp;"" ""
),
1,
0
)
)
)
)"),0.0)</f>
        <v>0</v>
      </c>
      <c r="L2117" s="7" t="str">
        <f t="shared" si="3"/>
        <v>Other</v>
      </c>
      <c r="M2117" s="7" t="str">
        <f t="shared" si="4"/>
        <v>Neutral</v>
      </c>
      <c r="N2117" s="7" t="str">
        <f>IFERROR(__xludf.DUMMYFUNCTION("LOWER(
TRIM(
REGEXREPLACE(B2117,""[^a-zA-Z\s]"","""")
)
)
"),"frank marmolejo")</f>
        <v>frank marmolejo</v>
      </c>
      <c r="O2117" s="7">
        <f t="shared" si="5"/>
        <v>1</v>
      </c>
      <c r="P2117" s="8" t="str">
        <f t="shared" si="6"/>
        <v>No</v>
      </c>
    </row>
    <row r="2118">
      <c r="A2118" s="4" t="s">
        <v>16</v>
      </c>
      <c r="B2118" s="4" t="s">
        <v>5952</v>
      </c>
      <c r="C2118" s="5">
        <v>44727.0</v>
      </c>
      <c r="D2118" s="10">
        <v>44727.0</v>
      </c>
      <c r="E2118" s="4" t="s">
        <v>5101</v>
      </c>
      <c r="F2118" s="4" t="s">
        <v>5953</v>
      </c>
      <c r="G2118" s="6" t="str">
        <f>IFERROR(__xludf.DUMMYFUNCTION("REGEXREPLACE(LOWER(F2118),""[^a-z\s]"","""")"),"very reliable when i place an order with petflow i know ill be getting what i ordered on time")</f>
        <v>very reliable when i place an order with petflow i know ill be getting what i ordered on time</v>
      </c>
      <c r="H2118" s="4" t="str">
        <f t="shared" si="1"/>
        <v>very reliable when i place an order with petflow i know ill be getting what i ordered on time</v>
      </c>
      <c r="I2118" s="6">
        <f t="shared" si="2"/>
        <v>19</v>
      </c>
      <c r="J2118" s="6">
        <f>IFERROR(__xludf.DUMMYFUNCTION("IF(H2118="""","""",
SUM(
ARRAYFORMULA(
IF(
REGEXMATCH(
"" ""&amp;H2118&amp;"" "",
"" ""&amp;Sentiment_Words!A$2:A3730&amp;"" ""
),
1,
0
)
)
)
)"),2.0)</f>
        <v>2</v>
      </c>
      <c r="K2118" s="4">
        <f>IFERROR(__xludf.DUMMYFUNCTION("IF(H2118="""","""",
SUM(
ARRAYFORMULA(
IF(
REGEXMATCH(
"" ""&amp;H2118&amp;"" "",
"" ""&amp;Sentiment_Words!B$2:B3730&amp;"" ""
),
1,
0
)
)
)
)"),0.0)</f>
        <v>0</v>
      </c>
      <c r="L2118" s="7" t="str">
        <f t="shared" si="3"/>
        <v>Other</v>
      </c>
      <c r="M2118" s="7" t="str">
        <f t="shared" si="4"/>
        <v>Positive</v>
      </c>
      <c r="N2118" s="7" t="str">
        <f>IFERROR(__xludf.DUMMYFUNCTION("LOWER(
TRIM(
REGEXREPLACE(B2118,""[^a-zA-Z\s]"","""")
)
)
"),"mmaynard")</f>
        <v>mmaynard</v>
      </c>
      <c r="O2118" s="7">
        <f t="shared" si="5"/>
        <v>1</v>
      </c>
      <c r="P2118" s="8" t="str">
        <f t="shared" si="6"/>
        <v>No</v>
      </c>
    </row>
    <row r="2119">
      <c r="A2119" s="4" t="s">
        <v>16</v>
      </c>
      <c r="B2119" s="4" t="s">
        <v>5954</v>
      </c>
      <c r="C2119" s="5">
        <v>44726.0</v>
      </c>
      <c r="D2119" s="10">
        <v>44727.0</v>
      </c>
      <c r="E2119" s="4" t="s">
        <v>190</v>
      </c>
      <c r="F2119" s="4" t="s">
        <v>5955</v>
      </c>
      <c r="G2119" s="6" t="str">
        <f>IFERROR(__xludf.DUMMYFUNCTION("REGEXREPLACE(LOWER(F2119),""[^a-z\s]"","""")"),"great customer service had the prescription food my dog needed all the others were out of stock glad i found this site")</f>
        <v>great customer service had the prescription food my dog needed all the others were out of stock glad i found this site</v>
      </c>
      <c r="H2119" s="4" t="str">
        <f t="shared" si="1"/>
        <v>great customer service had prescription food my dog needed all others were out of stock glad i found this site</v>
      </c>
      <c r="I2119" s="6">
        <f t="shared" si="2"/>
        <v>20</v>
      </c>
      <c r="J2119" s="6">
        <f>IFERROR(__xludf.DUMMYFUNCTION("IF(H2119="""","""",
SUM(
ARRAYFORMULA(
IF(
REGEXMATCH(
"" ""&amp;H2119&amp;"" "",
"" ""&amp;Sentiment_Words!A$2:A3730&amp;"" ""
),
1,
0
)
)
)
)"),3.0)</f>
        <v>3</v>
      </c>
      <c r="K2119" s="4">
        <f>IFERROR(__xludf.DUMMYFUNCTION("IF(H2119="""","""",
SUM(
ARRAYFORMULA(
IF(
REGEXMATCH(
"" ""&amp;H2119&amp;"" "",
"" ""&amp;Sentiment_Words!B$2:B3730&amp;"" ""
),
1,
0
)
)
)
)"),2.0)</f>
        <v>2</v>
      </c>
      <c r="L2119" s="7" t="str">
        <f t="shared" si="3"/>
        <v>Customer Support</v>
      </c>
      <c r="M2119" s="7" t="str">
        <f t="shared" si="4"/>
        <v>Positive</v>
      </c>
      <c r="N2119" s="7" t="str">
        <f>IFERROR(__xludf.DUMMYFUNCTION("LOWER(
TRIM(
REGEXREPLACE(B2119,""[^a-zA-Z\s]"","""")
)
)
"),"nancy")</f>
        <v>nancy</v>
      </c>
      <c r="O2119" s="7">
        <f t="shared" si="5"/>
        <v>7</v>
      </c>
      <c r="P2119" s="8" t="str">
        <f t="shared" si="6"/>
        <v>Yes</v>
      </c>
    </row>
    <row r="2120">
      <c r="A2120" s="4" t="s">
        <v>16</v>
      </c>
      <c r="B2120" s="4" t="s">
        <v>416</v>
      </c>
      <c r="C2120" s="5">
        <v>44726.0</v>
      </c>
      <c r="D2120" s="10">
        <v>44727.0</v>
      </c>
      <c r="E2120" s="4" t="s">
        <v>5956</v>
      </c>
      <c r="F2120" s="4" t="s">
        <v>5957</v>
      </c>
      <c r="G2120" s="6" t="str">
        <f>IFERROR(__xludf.DUMMYFUNCTION("REGEXREPLACE(LOWER(F2120),""[^a-z\s]"","""")"),"naturvet yellow to green lawn spray  containerscontents were defective
product was diluted to colored water my guess is they froze and thawed somewhere before shipping")</f>
        <v>naturvet yellow to green lawn spray  containerscontents were defective
product was diluted to colored water my guess is they froze and thawed somewhere before shipping</v>
      </c>
      <c r="H2120" s="4" t="str">
        <f t="shared" si="1"/>
        <v>naturvet yellow green lawn spray containerscontents were defective
product was diluted colored water my guess they froze thawed somewhere before shipping</v>
      </c>
      <c r="I2120" s="6">
        <f t="shared" si="2"/>
        <v>20</v>
      </c>
      <c r="J2120" s="6">
        <f>IFERROR(__xludf.DUMMYFUNCTION("IF(H2120="""","""",
SUM(
ARRAYFORMULA(
IF(
REGEXMATCH(
"" ""&amp;H2120&amp;"" "",
"" ""&amp;Sentiment_Words!A$2:A3730&amp;"" ""
),
1,
0
)
)
)
)"),0.0)</f>
        <v>0</v>
      </c>
      <c r="K2120" s="4">
        <f>IFERROR(__xludf.DUMMYFUNCTION("IF(H2120="""","""",
SUM(
ARRAYFORMULA(
IF(
REGEXMATCH(
"" ""&amp;H2120&amp;"" "",
"" ""&amp;Sentiment_Words!B$2:B3730&amp;"" ""
),
1,
0
)
)
)
)"),0.0)</f>
        <v>0</v>
      </c>
      <c r="L2120" s="7" t="str">
        <f t="shared" si="3"/>
        <v>Other</v>
      </c>
      <c r="M2120" s="7" t="str">
        <f t="shared" si="4"/>
        <v>Neutral</v>
      </c>
      <c r="N2120" s="7" t="str">
        <f>IFERROR(__xludf.DUMMYFUNCTION("LOWER(
TRIM(
REGEXREPLACE(B2120,""[^a-zA-Z\s]"","""")
)
)
"),"mm")</f>
        <v>mm</v>
      </c>
      <c r="O2120" s="7">
        <f t="shared" si="5"/>
        <v>3</v>
      </c>
      <c r="P2120" s="8" t="str">
        <f t="shared" si="6"/>
        <v>Yes</v>
      </c>
    </row>
    <row r="2121">
      <c r="A2121" s="4" t="s">
        <v>16</v>
      </c>
      <c r="B2121" s="4" t="s">
        <v>5958</v>
      </c>
      <c r="C2121" s="5">
        <v>44726.0</v>
      </c>
      <c r="D2121" s="10">
        <v>44726.0</v>
      </c>
      <c r="E2121" s="4" t="s">
        <v>5959</v>
      </c>
      <c r="F2121" s="4" t="s">
        <v>5960</v>
      </c>
      <c r="G2121" s="6" t="str">
        <f>IFERROR(__xludf.DUMMYFUNCTION("REGEXREPLACE(LOWER(F2121),""[^a-z\s]"","""")"),"petflow ran out of dog food in my area so found it in las vegas i got the last  bags")</f>
        <v>petflow ran out of dog food in my area so found it in las vegas i got the last  bags</v>
      </c>
      <c r="H2121" s="4" t="str">
        <f t="shared" si="1"/>
        <v>petflow ran out of dog food in my area so found it in las vegas i got last bags</v>
      </c>
      <c r="I2121" s="6">
        <f t="shared" si="2"/>
        <v>19</v>
      </c>
      <c r="J2121" s="6">
        <f>IFERROR(__xludf.DUMMYFUNCTION("IF(H2121="""","""",
SUM(
ARRAYFORMULA(
IF(
REGEXMATCH(
"" ""&amp;H2121&amp;"" "",
"" ""&amp;Sentiment_Words!A$2:A3730&amp;"" ""
),
1,
0
)
)
)
)"),1.0)</f>
        <v>1</v>
      </c>
      <c r="K2121" s="4">
        <f>IFERROR(__xludf.DUMMYFUNCTION("IF(H2121="""","""",
SUM(
ARRAYFORMULA(
IF(
REGEXMATCH(
"" ""&amp;H2121&amp;"" "",
"" ""&amp;Sentiment_Words!B$2:B3730&amp;"" ""
),
1,
0
)
)
)
)"),0.0)</f>
        <v>0</v>
      </c>
      <c r="L2121" s="7" t="str">
        <f t="shared" si="3"/>
        <v>Other</v>
      </c>
      <c r="M2121" s="7" t="str">
        <f t="shared" si="4"/>
        <v>Positive</v>
      </c>
      <c r="N2121" s="7" t="str">
        <f>IFERROR(__xludf.DUMMYFUNCTION("LOWER(
TRIM(
REGEXREPLACE(B2121,""[^a-zA-Z\s]"","""")
)
)
"),"david croyle")</f>
        <v>david croyle</v>
      </c>
      <c r="O2121" s="7">
        <f t="shared" si="5"/>
        <v>1</v>
      </c>
      <c r="P2121" s="8" t="str">
        <f t="shared" si="6"/>
        <v>No</v>
      </c>
    </row>
    <row r="2122">
      <c r="A2122" s="4" t="s">
        <v>16</v>
      </c>
      <c r="B2122" s="4" t="s">
        <v>5961</v>
      </c>
      <c r="C2122" s="5">
        <v>44726.0</v>
      </c>
      <c r="D2122" s="10">
        <v>44726.0</v>
      </c>
      <c r="E2122" s="4" t="s">
        <v>5962</v>
      </c>
      <c r="F2122" s="4" t="s">
        <v>5963</v>
      </c>
      <c r="G2122" s="6" t="str">
        <f>IFERROR(__xludf.DUMMYFUNCTION("REGEXREPLACE(LOWER(F2122),""[^a-z\s]"","""")"),"i got the food the quickest out of any company including amazon and their customer service gets back to you right away with any questions fabulous job")</f>
        <v>i got the food the quickest out of any company including amazon and their customer service gets back to you right away with any questions fabulous job</v>
      </c>
      <c r="H2122" s="4" t="str">
        <f t="shared" si="1"/>
        <v>i got food quickest out of any company including amazon their customer service gets back you right away with any questions fabulous job</v>
      </c>
      <c r="I2122" s="6">
        <f t="shared" si="2"/>
        <v>23</v>
      </c>
      <c r="J2122" s="6">
        <f>IFERROR(__xludf.DUMMYFUNCTION("IF(H2122="""","""",
SUM(
ARRAYFORMULA(
IF(
REGEXMATCH(
"" ""&amp;H2122&amp;"" "",
"" ""&amp;Sentiment_Words!A$2:A3730&amp;"" ""
),
1,
0
)
)
)
)"),0.0)</f>
        <v>0</v>
      </c>
      <c r="K2122" s="4">
        <f>IFERROR(__xludf.DUMMYFUNCTION("IF(H2122="""","""",
SUM(
ARRAYFORMULA(
IF(
REGEXMATCH(
"" ""&amp;H2122&amp;"" "",
"" ""&amp;Sentiment_Words!B$2:B3730&amp;"" ""
),
1,
0
)
)
)
)"),1.0)</f>
        <v>1</v>
      </c>
      <c r="L2122" s="7" t="str">
        <f t="shared" si="3"/>
        <v>Customer Support</v>
      </c>
      <c r="M2122" s="7" t="str">
        <f t="shared" si="4"/>
        <v>Negative</v>
      </c>
      <c r="N2122" s="7" t="str">
        <f>IFERROR(__xludf.DUMMYFUNCTION("LOWER(
TRIM(
REGEXREPLACE(B2122,""[^a-zA-Z\s]"","""")
)
)
"),"deborah caudill")</f>
        <v>deborah caudill</v>
      </c>
      <c r="O2122" s="7">
        <f t="shared" si="5"/>
        <v>1</v>
      </c>
      <c r="P2122" s="8" t="str">
        <f t="shared" si="6"/>
        <v>No</v>
      </c>
    </row>
    <row r="2123">
      <c r="A2123" s="4" t="s">
        <v>16</v>
      </c>
      <c r="B2123" s="4" t="s">
        <v>56</v>
      </c>
      <c r="C2123" s="5">
        <v>44726.0</v>
      </c>
      <c r="D2123" s="10">
        <v>44726.0</v>
      </c>
      <c r="E2123" s="4" t="s">
        <v>5964</v>
      </c>
      <c r="F2123" s="4" t="s">
        <v>5965</v>
      </c>
      <c r="G2123" s="6" t="str">
        <f>IFERROR(__xludf.DUMMYFUNCTION("REGEXREPLACE(LOWER(F2123),""[^a-z\s]"","""")"),"food bags are always intact delivery always on time customer service is excellent")</f>
        <v>food bags are always intact delivery always on time customer service is excellent</v>
      </c>
      <c r="H2123" s="4" t="str">
        <f t="shared" si="1"/>
        <v>food bags are always intact delivery always on time customer service excellent</v>
      </c>
      <c r="I2123" s="6">
        <f t="shared" si="2"/>
        <v>12</v>
      </c>
      <c r="J2123" s="6">
        <f>IFERROR(__xludf.DUMMYFUNCTION("IF(H2123="""","""",
SUM(
ARRAYFORMULA(
IF(
REGEXMATCH(
"" ""&amp;H2123&amp;"" "",
"" ""&amp;Sentiment_Words!A$2:A3730&amp;"" ""
),
1,
0
)
)
)
)"),1.0)</f>
        <v>1</v>
      </c>
      <c r="K2123" s="4">
        <f>IFERROR(__xludf.DUMMYFUNCTION("IF(H2123="""","""",
SUM(
ARRAYFORMULA(
IF(
REGEXMATCH(
"" ""&amp;H2123&amp;"" "",
"" ""&amp;Sentiment_Words!B$2:B3730&amp;"" ""
),
1,
0
)
)
)
)"),1.0)</f>
        <v>1</v>
      </c>
      <c r="L2123" s="7" t="str">
        <f t="shared" si="3"/>
        <v>Customer Support</v>
      </c>
      <c r="M2123" s="7" t="str">
        <f t="shared" si="4"/>
        <v>Neutral</v>
      </c>
      <c r="N2123" s="7" t="str">
        <f>IFERROR(__xludf.DUMMYFUNCTION("LOWER(
TRIM(
REGEXREPLACE(B2123,""[^a-zA-Z\s]"","""")
)
)
"),"customer")</f>
        <v>customer</v>
      </c>
      <c r="O2123" s="7">
        <f t="shared" si="5"/>
        <v>54</v>
      </c>
      <c r="P2123" s="8" t="str">
        <f t="shared" si="6"/>
        <v>Yes</v>
      </c>
    </row>
    <row r="2124">
      <c r="A2124" s="4" t="s">
        <v>16</v>
      </c>
      <c r="B2124" s="4" t="s">
        <v>5966</v>
      </c>
      <c r="C2124" s="5">
        <v>44726.0</v>
      </c>
      <c r="D2124" s="10">
        <v>44726.0</v>
      </c>
      <c r="E2124" s="4" t="s">
        <v>5967</v>
      </c>
      <c r="F2124" s="4" t="s">
        <v>5968</v>
      </c>
      <c r="G2124" s="6" t="str">
        <f>IFERROR(__xludf.DUMMYFUNCTION("REGEXREPLACE(LOWER(F2124),""[^a-z\s]"","""")"),"great customer service great prices and fast shipping ")</f>
        <v>great customer service great prices and fast shipping </v>
      </c>
      <c r="H2124" s="4" t="str">
        <f t="shared" si="1"/>
        <v>great customer service great prices fast shipping</v>
      </c>
      <c r="I2124" s="6">
        <f t="shared" si="2"/>
        <v>7</v>
      </c>
      <c r="J2124" s="6">
        <f>IFERROR(__xludf.DUMMYFUNCTION("IF(H2124="""","""",
SUM(
ARRAYFORMULA(
IF(
REGEXMATCH(
"" ""&amp;H2124&amp;"" "",
"" ""&amp;Sentiment_Words!A$2:A3730&amp;"" ""
),
1,
0
)
)
)
)"),3.0)</f>
        <v>3</v>
      </c>
      <c r="K2124" s="4">
        <f>IFERROR(__xludf.DUMMYFUNCTION("IF(H2124="""","""",
SUM(
ARRAYFORMULA(
IF(
REGEXMATCH(
"" ""&amp;H2124&amp;"" "",
"" ""&amp;Sentiment_Words!B$2:B3730&amp;"" ""
),
1,
0
)
)
)
)"),1.0)</f>
        <v>1</v>
      </c>
      <c r="L2124" s="7" t="str">
        <f t="shared" si="3"/>
        <v>Customer Support</v>
      </c>
      <c r="M2124" s="7" t="str">
        <f t="shared" si="4"/>
        <v>Positive</v>
      </c>
      <c r="N2124" s="7" t="str">
        <f>IFERROR(__xludf.DUMMYFUNCTION("LOWER(
TRIM(
REGEXREPLACE(B2124,""[^a-zA-Z\s]"","""")
)
)
"),"eric greene")</f>
        <v>eric greene</v>
      </c>
      <c r="O2124" s="7">
        <f t="shared" si="5"/>
        <v>1</v>
      </c>
      <c r="P2124" s="8" t="str">
        <f t="shared" si="6"/>
        <v>No</v>
      </c>
    </row>
    <row r="2125">
      <c r="A2125" s="4" t="s">
        <v>16</v>
      </c>
      <c r="B2125" s="4" t="s">
        <v>5969</v>
      </c>
      <c r="C2125" s="5">
        <v>44726.0</v>
      </c>
      <c r="D2125" s="10">
        <v>44726.0</v>
      </c>
      <c r="E2125" s="4" t="s">
        <v>5970</v>
      </c>
      <c r="F2125" s="4" t="s">
        <v>5971</v>
      </c>
      <c r="G2125" s="6" t="str">
        <f>IFERROR(__xludf.DUMMYFUNCTION("REGEXREPLACE(LOWER(F2125),""[^a-z\s]"","""")"),"i always order my dog fromm food and treats from you shipping is excellent")</f>
        <v>i always order my dog fromm food and treats from you shipping is excellent</v>
      </c>
      <c r="H2125" s="4" t="str">
        <f t="shared" si="1"/>
        <v>i always order my dog fromm food treats from you shipping excellent</v>
      </c>
      <c r="I2125" s="6">
        <f t="shared" si="2"/>
        <v>12</v>
      </c>
      <c r="J2125" s="6">
        <f>IFERROR(__xludf.DUMMYFUNCTION("IF(H2125="""","""",
SUM(
ARRAYFORMULA(
IF(
REGEXMATCH(
"" ""&amp;H2125&amp;"" "",
"" ""&amp;Sentiment_Words!A$2:A3730&amp;"" ""
),
1,
0
)
)
)
)"),0.0)</f>
        <v>0</v>
      </c>
      <c r="K2125" s="4">
        <f>IFERROR(__xludf.DUMMYFUNCTION("IF(H2125="""","""",
SUM(
ARRAYFORMULA(
IF(
REGEXMATCH(
"" ""&amp;H2125&amp;"" "",
"" ""&amp;Sentiment_Words!B$2:B3730&amp;"" ""
),
1,
0
)
)
)
)"),0.0)</f>
        <v>0</v>
      </c>
      <c r="L2125" s="7" t="str">
        <f t="shared" si="3"/>
        <v>Other</v>
      </c>
      <c r="M2125" s="7" t="str">
        <f t="shared" si="4"/>
        <v>Neutral</v>
      </c>
      <c r="N2125" s="7" t="str">
        <f>IFERROR(__xludf.DUMMYFUNCTION("LOWER(
TRIM(
REGEXREPLACE(B2125,""[^a-zA-Z\s]"","""")
)
)
"),"sherry bishop")</f>
        <v>sherry bishop</v>
      </c>
      <c r="O2125" s="7">
        <f t="shared" si="5"/>
        <v>1</v>
      </c>
      <c r="P2125" s="8" t="str">
        <f t="shared" si="6"/>
        <v>No</v>
      </c>
    </row>
    <row r="2126">
      <c r="A2126" s="4" t="s">
        <v>16</v>
      </c>
      <c r="B2126" s="4" t="s">
        <v>739</v>
      </c>
      <c r="C2126" s="5">
        <v>44726.0</v>
      </c>
      <c r="D2126" s="10">
        <v>44726.0</v>
      </c>
      <c r="E2126" s="4" t="s">
        <v>5972</v>
      </c>
      <c r="F2126" s="4" t="s">
        <v>5973</v>
      </c>
      <c r="G2126" s="6" t="str">
        <f>IFERROR(__xludf.DUMMYFUNCTION("REGEXREPLACE(LOWER(F2126),""[^a-z\s]"","""")"),"great price smooth transaction and quick shipping whats not to love")</f>
        <v>great price smooth transaction and quick shipping whats not to love</v>
      </c>
      <c r="H2126" s="4" t="str">
        <f t="shared" si="1"/>
        <v>great price smooth transaction quick shipping whats not love</v>
      </c>
      <c r="I2126" s="6">
        <f t="shared" si="2"/>
        <v>9</v>
      </c>
      <c r="J2126" s="6">
        <f>IFERROR(__xludf.DUMMYFUNCTION("IF(H2126="""","""",
SUM(
ARRAYFORMULA(
IF(
REGEXMATCH(
"" ""&amp;H2126&amp;"" "",
"" ""&amp;Sentiment_Words!A$2:A3730&amp;"" ""
),
1,
0
)
)
)
)"),2.0)</f>
        <v>2</v>
      </c>
      <c r="K2126" s="4">
        <f>IFERROR(__xludf.DUMMYFUNCTION("IF(H2126="""","""",
SUM(
ARRAYFORMULA(
IF(
REGEXMATCH(
"" ""&amp;H2126&amp;"" "",
"" ""&amp;Sentiment_Words!B$2:B3730&amp;"" ""
),
1,
0
)
)
)
)"),0.0)</f>
        <v>0</v>
      </c>
      <c r="L2126" s="7" t="str">
        <f t="shared" si="3"/>
        <v>Other</v>
      </c>
      <c r="M2126" s="7" t="str">
        <f t="shared" si="4"/>
        <v>Positive</v>
      </c>
      <c r="N2126" s="7" t="str">
        <f>IFERROR(__xludf.DUMMYFUNCTION("LOWER(
TRIM(
REGEXREPLACE(B2126,""[^a-zA-Z\s]"","""")
)
)
"),"customer")</f>
        <v>customer</v>
      </c>
      <c r="O2126" s="7">
        <f t="shared" si="5"/>
        <v>54</v>
      </c>
      <c r="P2126" s="8" t="str">
        <f t="shared" si="6"/>
        <v>Yes</v>
      </c>
    </row>
    <row r="2127">
      <c r="A2127" s="4" t="s">
        <v>16</v>
      </c>
      <c r="B2127" s="4" t="s">
        <v>5974</v>
      </c>
      <c r="C2127" s="5">
        <v>44726.0</v>
      </c>
      <c r="D2127" s="10">
        <v>44726.0</v>
      </c>
      <c r="E2127" s="4" t="s">
        <v>5975</v>
      </c>
      <c r="F2127" s="4" t="s">
        <v>5976</v>
      </c>
      <c r="G2127" s="6" t="str">
        <f>IFERROR(__xludf.DUMMYFUNCTION("REGEXREPLACE(LOWER(F2127),""[^a-z\s]"","""")"),"waited over  weeks for food to arrive for my new puppy to refill his stock we received from the breeder petflow had a great price and great reviews but when i inquired where my order was i was just told that it didnt ship due to fraud protection and they "&amp;"refused to discuss further yes i am serious people i asked how i could re place my order if i needed to use another payment method etcand they couldnt discuss it with me what a joke take it from me and just take your business elsewhere if you want reliabl"&amp;"e service")</f>
        <v>waited over  weeks for food to arrive for my new puppy to refill his stock we received from the breeder petflow had a great price and great reviews but when i inquired where my order was i was just told that it didnt ship due to fraud protection and they refused to discuss further yes i am serious people i asked how i could re place my order if i needed to use another payment method etcand they couldnt discuss it with me what a joke take it from me and just take your business elsewhere if you want reliable service</v>
      </c>
      <c r="H2127" s="4" t="str">
        <f t="shared" si="1"/>
        <v>waited over weeks food arrive my new puppy refill his stock we received from breeder petflow had a great price great reviews but when i inquired where my order was i was just told that it didnt ship due fraud protection they refused discuss further yes i am serious people i asked how i could re place my order if i needed use another payment method etcand they couldnt discuss it with me what a joke take it from me just take your business elsewhere if you want reliable service</v>
      </c>
      <c r="I2127" s="6">
        <f t="shared" si="2"/>
        <v>90</v>
      </c>
      <c r="J2127" s="6">
        <f>IFERROR(__xludf.DUMMYFUNCTION("IF(H2127="""","""",
SUM(
ARRAYFORMULA(
IF(
REGEXMATCH(
"" ""&amp;H2127&amp;"" "",
"" ""&amp;Sentiment_Words!A$2:A3730&amp;"" ""
),
1,
0
)
)
)
)"),2.0)</f>
        <v>2</v>
      </c>
      <c r="K2127" s="4">
        <f>IFERROR(__xludf.DUMMYFUNCTION("IF(H2127="""","""",
SUM(
ARRAYFORMULA(
IF(
REGEXMATCH(
"" ""&amp;H2127&amp;"" "",
"" ""&amp;Sentiment_Words!B$2:B3730&amp;"" ""
),
1,
0
)
)
)
)"),0.0)</f>
        <v>0</v>
      </c>
      <c r="L2127" s="7" t="str">
        <f t="shared" si="3"/>
        <v>Customer Support</v>
      </c>
      <c r="M2127" s="7" t="str">
        <f t="shared" si="4"/>
        <v>Positive</v>
      </c>
      <c r="N2127" s="7" t="str">
        <f>IFERROR(__xludf.DUMMYFUNCTION("LOWER(
TRIM(
REGEXREPLACE(B2127,""[^a-zA-Z\s]"","""")
)
)
"),"paul rocha")</f>
        <v>paul rocha</v>
      </c>
      <c r="O2127" s="7">
        <f t="shared" si="5"/>
        <v>1</v>
      </c>
      <c r="P2127" s="8" t="str">
        <f t="shared" si="6"/>
        <v>No</v>
      </c>
    </row>
    <row r="2128">
      <c r="A2128" s="4" t="s">
        <v>16</v>
      </c>
      <c r="B2128" s="4" t="s">
        <v>5384</v>
      </c>
      <c r="C2128" s="5">
        <v>44726.0</v>
      </c>
      <c r="D2128" s="10">
        <v>44726.0</v>
      </c>
      <c r="E2128" s="4" t="s">
        <v>5977</v>
      </c>
      <c r="F2128" s="4" t="s">
        <v>5978</v>
      </c>
      <c r="G2128" s="6" t="str">
        <f>IFERROR(__xludf.DUMMYFUNCTION("REGEXREPLACE(LOWER(F2128),""[^a-z\s]"","""")"),"ive used petflow for my boys food since the very beginning since i adopted him and they always deliver it on time each month they have an excellent selection of pet food available on their website and not to mention they give away  food to  dog in need fo"&amp;"r each food purchase we make which is amazing i honestly have nothing to say but good things about petflow and will continue to use them in the future")</f>
        <v>ive used petflow for my boys food since the very beginning since i adopted him and they always deliver it on time each month they have an excellent selection of pet food available on their website and not to mention they give away  food to  dog in need for each food purchase we make which is amazing i honestly have nothing to say but good things about petflow and will continue to use them in the future</v>
      </c>
      <c r="H2128" s="4" t="str">
        <f t="shared" si="1"/>
        <v>ive used petflow my boys food since very beginning since i adopted him they always deliver it on time each month they have an excellent selection of pet food available on their website not mention they give away food dog in need each food purchase we make which amazing i honestly have nothing say but good things about petflow will continue use them in future</v>
      </c>
      <c r="I2128" s="6">
        <f t="shared" si="2"/>
        <v>65</v>
      </c>
      <c r="J2128" s="6">
        <f>IFERROR(__xludf.DUMMYFUNCTION("IF(H2128="""","""",
SUM(
ARRAYFORMULA(
IF(
REGEXMATCH(
"" ""&amp;H2128&amp;"" "",
"" ""&amp;Sentiment_Words!A$2:A3730&amp;"" ""
),
1,
0
)
)
)
)"),3.0)</f>
        <v>3</v>
      </c>
      <c r="K2128" s="4">
        <f>IFERROR(__xludf.DUMMYFUNCTION("IF(H2128="""","""",
SUM(
ARRAYFORMULA(
IF(
REGEXMATCH(
"" ""&amp;H2128&amp;"" "",
"" ""&amp;Sentiment_Words!B$2:B3730&amp;"" ""
),
1,
0
)
)
)
)"),0.0)</f>
        <v>0</v>
      </c>
      <c r="L2128" s="7" t="str">
        <f t="shared" si="3"/>
        <v>Account &amp; Website</v>
      </c>
      <c r="M2128" s="7" t="str">
        <f t="shared" si="4"/>
        <v>Positive</v>
      </c>
      <c r="N2128" s="7" t="str">
        <f>IFERROR(__xludf.DUMMYFUNCTION("LOWER(
TRIM(
REGEXREPLACE(B2128,""[^a-zA-Z\s]"","""")
)
)
"),"cheryl")</f>
        <v>cheryl</v>
      </c>
      <c r="O2128" s="7">
        <f t="shared" si="5"/>
        <v>5</v>
      </c>
      <c r="P2128" s="8" t="str">
        <f t="shared" si="6"/>
        <v>Yes</v>
      </c>
    </row>
    <row r="2129">
      <c r="A2129" s="4" t="s">
        <v>16</v>
      </c>
      <c r="B2129" s="4" t="s">
        <v>5979</v>
      </c>
      <c r="C2129" s="5">
        <v>44726.0</v>
      </c>
      <c r="D2129" s="10">
        <v>44726.0</v>
      </c>
      <c r="E2129" s="4" t="s">
        <v>5980</v>
      </c>
      <c r="F2129" s="4" t="s">
        <v>5981</v>
      </c>
      <c r="G2129" s="6" t="str">
        <f>IFERROR(__xludf.DUMMYFUNCTION("REGEXREPLACE(LOWER(F2129),""[^a-z\s]"","""")"),"inventory shortage put order in and next day they dont have my babies brand so its not their fault purina discontinued the small bites
now we are playing find the food they care for sorry couldnt give  stars")</f>
        <v>inventory shortage put order in and next day they dont have my babies brand so its not their fault purina discontinued the small bites
now we are playing find the food they care for sorry couldnt give  stars</v>
      </c>
      <c r="H2129" s="4" t="str">
        <f t="shared" si="1"/>
        <v>inventory shortage put order in next day they dont have my babies brand so its not their fault purina discontinued small bites
now we are playing find food they care sorry couldnt give stars</v>
      </c>
      <c r="I2129" s="6">
        <f t="shared" si="2"/>
        <v>33</v>
      </c>
      <c r="J2129" s="6">
        <f>IFERROR(__xludf.DUMMYFUNCTION("IF(H2129="""","""",
SUM(
ARRAYFORMULA(
IF(
REGEXMATCH(
"" ""&amp;H2129&amp;"" "",
"" ""&amp;Sentiment_Words!A$2:A3730&amp;"" ""
),
1,
0
)
)
)
)"),0.0)</f>
        <v>0</v>
      </c>
      <c r="K2129" s="4">
        <f>IFERROR(__xludf.DUMMYFUNCTION("IF(H2129="""","""",
SUM(
ARRAYFORMULA(
IF(
REGEXMATCH(
"" ""&amp;H2129&amp;"" "",
"" ""&amp;Sentiment_Words!B$2:B3730&amp;"" ""
),
1,
0
)
)
)
)"),0.0)</f>
        <v>0</v>
      </c>
      <c r="L2129" s="7" t="str">
        <f t="shared" si="3"/>
        <v>Other</v>
      </c>
      <c r="M2129" s="7" t="str">
        <f t="shared" si="4"/>
        <v>Neutral</v>
      </c>
      <c r="N2129" s="7" t="str">
        <f>IFERROR(__xludf.DUMMYFUNCTION("LOWER(
TRIM(
REGEXREPLACE(B2129,""[^a-zA-Z\s]"","""")
)
)
"),"pat in rochester ny")</f>
        <v>pat in rochester ny</v>
      </c>
      <c r="O2129" s="7">
        <f t="shared" si="5"/>
        <v>1</v>
      </c>
      <c r="P2129" s="8" t="str">
        <f t="shared" si="6"/>
        <v>No</v>
      </c>
    </row>
    <row r="2130">
      <c r="A2130" s="4" t="s">
        <v>16</v>
      </c>
      <c r="B2130" s="4" t="s">
        <v>5982</v>
      </c>
      <c r="C2130" s="5">
        <v>44726.0</v>
      </c>
      <c r="D2130" s="10">
        <v>44726.0</v>
      </c>
      <c r="E2130" s="4" t="s">
        <v>5983</v>
      </c>
      <c r="F2130" s="4" t="s">
        <v>5984</v>
      </c>
      <c r="G2130" s="6" t="str">
        <f>IFERROR(__xludf.DUMMYFUNCTION("REGEXREPLACE(LOWER(F2130),""[^a-z\s]"","""")"),"i have been very happy with petflow i am disabled and it is so nice to just have my dogs food show up at my door so far the items i need have been in stock which is pretty incredible in these times")</f>
        <v>i have been very happy with petflow i am disabled and it is so nice to just have my dogs food show up at my door so far the items i need have been in stock which is pretty incredible in these times</v>
      </c>
      <c r="H2130" s="4" t="str">
        <f t="shared" si="1"/>
        <v>i have been very happy with petflow i am disabled it so nice just have my dogs food show up at my door so far items i need have been in stock which pretty incredible in these times</v>
      </c>
      <c r="I2130" s="6">
        <f t="shared" si="2"/>
        <v>38</v>
      </c>
      <c r="J2130" s="6">
        <f>IFERROR(__xludf.DUMMYFUNCTION("IF(H2130="""","""",
SUM(
ARRAYFORMULA(
IF(
REGEXMATCH(
"" ""&amp;H2130&amp;"" "",
"" ""&amp;Sentiment_Words!A$2:A3730&amp;"" ""
),
1,
0
)
)
)
)"),1.0)</f>
        <v>1</v>
      </c>
      <c r="K2130" s="4">
        <f>IFERROR(__xludf.DUMMYFUNCTION("IF(H2130="""","""",
SUM(
ARRAYFORMULA(
IF(
REGEXMATCH(
"" ""&amp;H2130&amp;"" "",
"" ""&amp;Sentiment_Words!B$2:B3730&amp;"" ""
),
1,
0
)
)
)
)"),0.0)</f>
        <v>0</v>
      </c>
      <c r="L2130" s="7" t="str">
        <f t="shared" si="3"/>
        <v>Other</v>
      </c>
      <c r="M2130" s="7" t="str">
        <f t="shared" si="4"/>
        <v>Positive</v>
      </c>
      <c r="N2130" s="7" t="str">
        <f>IFERROR(__xludf.DUMMYFUNCTION("LOWER(
TRIM(
REGEXREPLACE(B2130,""[^a-zA-Z\s]"","""")
)
)
"),"sarah gabbard")</f>
        <v>sarah gabbard</v>
      </c>
      <c r="O2130" s="7">
        <f t="shared" si="5"/>
        <v>1</v>
      </c>
      <c r="P2130" s="8" t="str">
        <f t="shared" si="6"/>
        <v>No</v>
      </c>
    </row>
    <row r="2131">
      <c r="A2131" s="4" t="s">
        <v>16</v>
      </c>
      <c r="B2131" s="4" t="s">
        <v>5985</v>
      </c>
      <c r="C2131" s="5">
        <v>44725.0</v>
      </c>
      <c r="D2131" s="10">
        <v>44726.0</v>
      </c>
      <c r="E2131" s="4" t="s">
        <v>5986</v>
      </c>
      <c r="F2131" s="4" t="s">
        <v>5987</v>
      </c>
      <c r="G2131" s="6" t="str">
        <f>IFERROR(__xludf.DUMMYFUNCTION("REGEXREPLACE(LOWER(F2131),""[^a-z\s]"","""")"),"i started an auto ship program with this company because cat food was running scarce in the grocery store unfortunately even this company cant keep it in stock either")</f>
        <v>i started an auto ship program with this company because cat food was running scarce in the grocery store unfortunately even this company cant keep it in stock either</v>
      </c>
      <c r="H2131" s="4" t="str">
        <f t="shared" si="1"/>
        <v>i started an auto ship program with this company because cat food was running scarce in grocery store unfortunately even this company cant keep it in stock either</v>
      </c>
      <c r="I2131" s="6">
        <f t="shared" si="2"/>
        <v>28</v>
      </c>
      <c r="J2131" s="6">
        <f>IFERROR(__xludf.DUMMYFUNCTION("IF(H2131="""","""",
SUM(
ARRAYFORMULA(
IF(
REGEXMATCH(
"" ""&amp;H2131&amp;"" "",
"" ""&amp;Sentiment_Words!A$2:A3730&amp;"" ""
),
1,
0
)
)
)
)"),1.0)</f>
        <v>1</v>
      </c>
      <c r="K2131" s="4">
        <f>IFERROR(__xludf.DUMMYFUNCTION("IF(H2131="""","""",
SUM(
ARRAYFORMULA(
IF(
REGEXMATCH(
"" ""&amp;H2131&amp;"" "",
"" ""&amp;Sentiment_Words!B$2:B3730&amp;"" ""
),
1,
0
)
)
)
)"),0.0)</f>
        <v>0</v>
      </c>
      <c r="L2131" s="7" t="str">
        <f t="shared" si="3"/>
        <v>Other</v>
      </c>
      <c r="M2131" s="7" t="str">
        <f t="shared" si="4"/>
        <v>Positive</v>
      </c>
      <c r="N2131" s="7" t="str">
        <f>IFERROR(__xludf.DUMMYFUNCTION("LOWER(
TRIM(
REGEXREPLACE(B2131,""[^a-zA-Z\s]"","""")
)
)
"),"eirene a")</f>
        <v>eirene a</v>
      </c>
      <c r="O2131" s="7">
        <f t="shared" si="5"/>
        <v>1</v>
      </c>
      <c r="P2131" s="8" t="str">
        <f t="shared" si="6"/>
        <v>No</v>
      </c>
    </row>
    <row r="2132">
      <c r="A2132" s="4" t="s">
        <v>16</v>
      </c>
      <c r="B2132" s="4" t="s">
        <v>5988</v>
      </c>
      <c r="C2132" s="5">
        <v>44725.0</v>
      </c>
      <c r="D2132" s="10">
        <v>44726.0</v>
      </c>
      <c r="E2132" s="4" t="s">
        <v>5989</v>
      </c>
      <c r="F2132" s="4" t="s">
        <v>5990</v>
      </c>
      <c r="G2132" s="6" t="str">
        <f>IFERROR(__xludf.DUMMYFUNCTION("REGEXREPLACE(LOWER(F2132),""[^a-z\s]"","""")"),"the pups love the new food we found on petflow it was easy to order and arrived in no time being that its large breed formula i just wish it came in bigger chunks so they didnt inhale it at dinner time")</f>
        <v>the pups love the new food we found on petflow it was easy to order and arrived in no time being that its large breed formula i just wish it came in bigger chunks so they didnt inhale it at dinner time</v>
      </c>
      <c r="H2132" s="4" t="str">
        <f t="shared" si="1"/>
        <v>pups love new food we found on petflow it was easy order arrived in no time being that its large breed formula i just wish it came in bigger chunks so they didnt inhale it at dinner time</v>
      </c>
      <c r="I2132" s="6">
        <f t="shared" si="2"/>
        <v>38</v>
      </c>
      <c r="J2132" s="6">
        <f>IFERROR(__xludf.DUMMYFUNCTION("IF(H2132="""","""",
SUM(
ARRAYFORMULA(
IF(
REGEXMATCH(
"" ""&amp;H2132&amp;"" "",
"" ""&amp;Sentiment_Words!A$2:A3730&amp;"" ""
),
1,
0
)
)
)
)"),3.0)</f>
        <v>3</v>
      </c>
      <c r="K2132" s="4">
        <f>IFERROR(__xludf.DUMMYFUNCTION("IF(H2132="""","""",
SUM(
ARRAYFORMULA(
IF(
REGEXMATCH(
"" ""&amp;H2132&amp;"" "",
"" ""&amp;Sentiment_Words!B$2:B3730&amp;"" ""
),
1,
0
)
)
)
)"),0.0)</f>
        <v>0</v>
      </c>
      <c r="L2132" s="7" t="str">
        <f t="shared" si="3"/>
        <v>Other</v>
      </c>
      <c r="M2132" s="7" t="str">
        <f t="shared" si="4"/>
        <v>Positive</v>
      </c>
      <c r="N2132" s="7" t="str">
        <f>IFERROR(__xludf.DUMMYFUNCTION("LOWER(
TRIM(
REGEXREPLACE(B2132,""[^a-zA-Z\s]"","""")
)
)
"),"terry clark")</f>
        <v>terry clark</v>
      </c>
      <c r="O2132" s="7">
        <f t="shared" si="5"/>
        <v>1</v>
      </c>
      <c r="P2132" s="8" t="str">
        <f t="shared" si="6"/>
        <v>No</v>
      </c>
    </row>
    <row r="2133">
      <c r="A2133" s="4" t="s">
        <v>16</v>
      </c>
      <c r="B2133" s="4" t="s">
        <v>5991</v>
      </c>
      <c r="C2133" s="5">
        <v>44725.0</v>
      </c>
      <c r="D2133" s="10">
        <v>44726.0</v>
      </c>
      <c r="E2133" s="4" t="s">
        <v>5992</v>
      </c>
      <c r="F2133" s="4" t="s">
        <v>5993</v>
      </c>
      <c r="G2133" s="6" t="str">
        <f>IFERROR(__xludf.DUMMYFUNCTION("REGEXREPLACE(LOWER(F2133),""[^a-z\s]"","""")"),"great service good customer service the only hiccup i can see is shipping  sticks folded over in a  box")</f>
        <v>great service good customer service the only hiccup i can see is shipping  sticks folded over in a  box</v>
      </c>
      <c r="H2133" s="4" t="str">
        <f t="shared" si="1"/>
        <v>great service good customer service only hiccup i can see shipping sticks folded over in a box</v>
      </c>
      <c r="I2133" s="6">
        <f t="shared" si="2"/>
        <v>17</v>
      </c>
      <c r="J2133" s="6">
        <f>IFERROR(__xludf.DUMMYFUNCTION("IF(H2133="""","""",
SUM(
ARRAYFORMULA(
IF(
REGEXMATCH(
"" ""&amp;H2133&amp;"" "",
"" ""&amp;Sentiment_Words!A$2:A3730&amp;"" ""
),
1,
0
)
)
)
)"),2.0)</f>
        <v>2</v>
      </c>
      <c r="K2133" s="4">
        <f>IFERROR(__xludf.DUMMYFUNCTION("IF(H2133="""","""",
SUM(
ARRAYFORMULA(
IF(
REGEXMATCH(
"" ""&amp;H2133&amp;"" "",
"" ""&amp;Sentiment_Words!B$2:B3730&amp;"" ""
),
1,
0
)
)
)
)"),1.0)</f>
        <v>1</v>
      </c>
      <c r="L2133" s="7" t="str">
        <f t="shared" si="3"/>
        <v>Customer Support</v>
      </c>
      <c r="M2133" s="7" t="str">
        <f t="shared" si="4"/>
        <v>Positive</v>
      </c>
      <c r="N2133" s="7" t="str">
        <f>IFERROR(__xludf.DUMMYFUNCTION("LOWER(
TRIM(
REGEXREPLACE(B2133,""[^a-zA-Z\s]"","""")
)
)
"),"cindy l stanbery")</f>
        <v>cindy l stanbery</v>
      </c>
      <c r="O2133" s="7">
        <f t="shared" si="5"/>
        <v>1</v>
      </c>
      <c r="P2133" s="8" t="str">
        <f t="shared" si="6"/>
        <v>No</v>
      </c>
    </row>
    <row r="2134">
      <c r="A2134" s="4" t="s">
        <v>16</v>
      </c>
      <c r="B2134" s="4" t="s">
        <v>5994</v>
      </c>
      <c r="C2134" s="5">
        <v>44725.0</v>
      </c>
      <c r="D2134" s="10">
        <v>44726.0</v>
      </c>
      <c r="E2134" s="4" t="s">
        <v>3355</v>
      </c>
      <c r="F2134" s="4" t="s">
        <v>331</v>
      </c>
      <c r="G2134" s="6" t="str">
        <f>IFERROR(__xludf.DUMMYFUNCTION("REGEXREPLACE(LOWER(F2134),""[^a-z\s]"","""")"),"none")</f>
        <v>none</v>
      </c>
      <c r="H2134" s="4" t="str">
        <f t="shared" si="1"/>
        <v>none</v>
      </c>
      <c r="I2134" s="6">
        <f t="shared" si="2"/>
        <v>1</v>
      </c>
      <c r="J2134" s="6">
        <f>IFERROR(__xludf.DUMMYFUNCTION("IF(H2134="""","""",
SUM(
ARRAYFORMULA(
IF(
REGEXMATCH(
"" ""&amp;H2134&amp;"" "",
"" ""&amp;Sentiment_Words!A$2:A3730&amp;"" ""
),
1,
0
)
)
)
)"),0.0)</f>
        <v>0</v>
      </c>
      <c r="K2134" s="4">
        <f>IFERROR(__xludf.DUMMYFUNCTION("IF(H2134="""","""",
SUM(
ARRAYFORMULA(
IF(
REGEXMATCH(
"" ""&amp;H2134&amp;"" "",
"" ""&amp;Sentiment_Words!B$2:B3730&amp;"" ""
),
1,
0
)
)
)
)"),0.0)</f>
        <v>0</v>
      </c>
      <c r="L2134" s="7" t="str">
        <f t="shared" si="3"/>
        <v>Other</v>
      </c>
      <c r="M2134" s="7" t="str">
        <f t="shared" si="4"/>
        <v>Neutral</v>
      </c>
      <c r="N2134" s="7" t="str">
        <f>IFERROR(__xludf.DUMMYFUNCTION("LOWER(
TRIM(
REGEXREPLACE(B2134,""[^a-zA-Z\s]"","""")
)
)
"),"robert clark")</f>
        <v>robert clark</v>
      </c>
      <c r="O2134" s="7">
        <f t="shared" si="5"/>
        <v>1</v>
      </c>
      <c r="P2134" s="8" t="str">
        <f t="shared" si="6"/>
        <v>No</v>
      </c>
    </row>
    <row r="2135">
      <c r="A2135" s="4" t="s">
        <v>16</v>
      </c>
      <c r="B2135" s="4" t="s">
        <v>455</v>
      </c>
      <c r="C2135" s="5">
        <v>44725.0</v>
      </c>
      <c r="D2135" s="10">
        <v>44726.0</v>
      </c>
      <c r="E2135" s="4" t="s">
        <v>5995</v>
      </c>
      <c r="F2135" s="4" t="s">
        <v>331</v>
      </c>
      <c r="G2135" s="6" t="str">
        <f>IFERROR(__xludf.DUMMYFUNCTION("REGEXREPLACE(LOWER(F2135),""[^a-z\s]"","""")"),"none")</f>
        <v>none</v>
      </c>
      <c r="H2135" s="4" t="str">
        <f t="shared" si="1"/>
        <v>none</v>
      </c>
      <c r="I2135" s="6">
        <f t="shared" si="2"/>
        <v>1</v>
      </c>
      <c r="J2135" s="6">
        <f>IFERROR(__xludf.DUMMYFUNCTION("IF(H2135="""","""",
SUM(
ARRAYFORMULA(
IF(
REGEXMATCH(
"" ""&amp;H2135&amp;"" "",
"" ""&amp;Sentiment_Words!A$2:A3730&amp;"" ""
),
1,
0
)
)
)
)"),0.0)</f>
        <v>0</v>
      </c>
      <c r="K2135" s="4">
        <f>IFERROR(__xludf.DUMMYFUNCTION("IF(H2135="""","""",
SUM(
ARRAYFORMULA(
IF(
REGEXMATCH(
"" ""&amp;H2135&amp;"" "",
"" ""&amp;Sentiment_Words!B$2:B3730&amp;"" ""
),
1,
0
)
)
)
)"),0.0)</f>
        <v>0</v>
      </c>
      <c r="L2135" s="7" t="str">
        <f t="shared" si="3"/>
        <v>Other</v>
      </c>
      <c r="M2135" s="7" t="str">
        <f t="shared" si="4"/>
        <v>Neutral</v>
      </c>
      <c r="N2135" s="7" t="str">
        <f>IFERROR(__xludf.DUMMYFUNCTION("LOWER(
TRIM(
REGEXREPLACE(B2135,""[^a-zA-Z\s]"","""")
)
)
"),"anonymous")</f>
        <v>anonymous</v>
      </c>
      <c r="O2135" s="7">
        <f t="shared" si="5"/>
        <v>9</v>
      </c>
      <c r="P2135" s="8" t="str">
        <f t="shared" si="6"/>
        <v>Yes</v>
      </c>
    </row>
    <row r="2136">
      <c r="A2136" s="4" t="s">
        <v>16</v>
      </c>
      <c r="B2136" s="4" t="s">
        <v>5996</v>
      </c>
      <c r="C2136" s="5">
        <v>44725.0</v>
      </c>
      <c r="D2136" s="10">
        <v>44725.0</v>
      </c>
      <c r="E2136" s="4" t="s">
        <v>5997</v>
      </c>
      <c r="F2136" s="4" t="s">
        <v>331</v>
      </c>
      <c r="G2136" s="6" t="str">
        <f>IFERROR(__xludf.DUMMYFUNCTION("REGEXREPLACE(LOWER(F2136),""[^a-z\s]"","""")"),"none")</f>
        <v>none</v>
      </c>
      <c r="H2136" s="4" t="str">
        <f t="shared" si="1"/>
        <v>none</v>
      </c>
      <c r="I2136" s="6">
        <f t="shared" si="2"/>
        <v>1</v>
      </c>
      <c r="J2136" s="6">
        <f>IFERROR(__xludf.DUMMYFUNCTION("IF(H2136="""","""",
SUM(
ARRAYFORMULA(
IF(
REGEXMATCH(
"" ""&amp;H2136&amp;"" "",
"" ""&amp;Sentiment_Words!A$2:A3730&amp;"" ""
),
1,
0
)
)
)
)"),0.0)</f>
        <v>0</v>
      </c>
      <c r="K2136" s="4">
        <f>IFERROR(__xludf.DUMMYFUNCTION("IF(H2136="""","""",
SUM(
ARRAYFORMULA(
IF(
REGEXMATCH(
"" ""&amp;H2136&amp;"" "",
"" ""&amp;Sentiment_Words!B$2:B3730&amp;"" ""
),
1,
0
)
)
)
)"),0.0)</f>
        <v>0</v>
      </c>
      <c r="L2136" s="7" t="str">
        <f t="shared" si="3"/>
        <v>Other</v>
      </c>
      <c r="M2136" s="7" t="str">
        <f t="shared" si="4"/>
        <v>Neutral</v>
      </c>
      <c r="N2136" s="7" t="str">
        <f>IFERROR(__xludf.DUMMYFUNCTION("LOWER(
TRIM(
REGEXREPLACE(B2136,""[^a-zA-Z\s]"","""")
)
)
"),"dj")</f>
        <v>dj</v>
      </c>
      <c r="O2136" s="7">
        <f t="shared" si="5"/>
        <v>1</v>
      </c>
      <c r="P2136" s="8" t="str">
        <f t="shared" si="6"/>
        <v>No</v>
      </c>
    </row>
    <row r="2137">
      <c r="A2137" s="4" t="s">
        <v>16</v>
      </c>
      <c r="B2137" s="4" t="s">
        <v>5998</v>
      </c>
      <c r="C2137" s="5">
        <v>44725.0</v>
      </c>
      <c r="D2137" s="10">
        <v>44725.0</v>
      </c>
      <c r="E2137" s="4" t="s">
        <v>623</v>
      </c>
      <c r="F2137" s="4" t="s">
        <v>331</v>
      </c>
      <c r="G2137" s="6" t="str">
        <f>IFERROR(__xludf.DUMMYFUNCTION("REGEXREPLACE(LOWER(F2137),""[^a-z\s]"","""")"),"none")</f>
        <v>none</v>
      </c>
      <c r="H2137" s="4" t="str">
        <f t="shared" si="1"/>
        <v>none</v>
      </c>
      <c r="I2137" s="6">
        <f t="shared" si="2"/>
        <v>1</v>
      </c>
      <c r="J2137" s="6">
        <f>IFERROR(__xludf.DUMMYFUNCTION("IF(H2137="""","""",
SUM(
ARRAYFORMULA(
IF(
REGEXMATCH(
"" ""&amp;H2137&amp;"" "",
"" ""&amp;Sentiment_Words!A$2:A3730&amp;"" ""
),
1,
0
)
)
)
)"),0.0)</f>
        <v>0</v>
      </c>
      <c r="K2137" s="4">
        <f>IFERROR(__xludf.DUMMYFUNCTION("IF(H2137="""","""",
SUM(
ARRAYFORMULA(
IF(
REGEXMATCH(
"" ""&amp;H2137&amp;"" "",
"" ""&amp;Sentiment_Words!B$2:B3730&amp;"" ""
),
1,
0
)
)
)
)"),0.0)</f>
        <v>0</v>
      </c>
      <c r="L2137" s="7" t="str">
        <f t="shared" si="3"/>
        <v>Other</v>
      </c>
      <c r="M2137" s="7" t="str">
        <f t="shared" si="4"/>
        <v>Neutral</v>
      </c>
      <c r="N2137" s="7" t="str">
        <f>IFERROR(__xludf.DUMMYFUNCTION("LOWER(
TRIM(
REGEXREPLACE(B2137,""[^a-zA-Z\s]"","""")
)
)
"),"shawn")</f>
        <v>shawn</v>
      </c>
      <c r="O2137" s="7">
        <f t="shared" si="5"/>
        <v>1</v>
      </c>
      <c r="P2137" s="8" t="str">
        <f t="shared" si="6"/>
        <v>No</v>
      </c>
    </row>
    <row r="2138">
      <c r="A2138" s="4" t="s">
        <v>16</v>
      </c>
      <c r="B2138" s="4" t="s">
        <v>5999</v>
      </c>
      <c r="C2138" s="5">
        <v>44725.0</v>
      </c>
      <c r="D2138" s="10">
        <v>44725.0</v>
      </c>
      <c r="E2138" s="4" t="s">
        <v>6000</v>
      </c>
      <c r="F2138" s="4" t="s">
        <v>6001</v>
      </c>
      <c r="G2138" s="6" t="str">
        <f>IFERROR(__xludf.DUMMYFUNCTION("REGEXREPLACE(LOWER(F2138),""[^a-z\s]"","""")"),"they had everything in stock and was delivered in a timely manner")</f>
        <v>they had everything in stock and was delivered in a timely manner</v>
      </c>
      <c r="H2138" s="4" t="str">
        <f t="shared" si="1"/>
        <v>they had everything in stock was delivered in a timely manner</v>
      </c>
      <c r="I2138" s="6">
        <f t="shared" si="2"/>
        <v>11</v>
      </c>
      <c r="J2138" s="6">
        <f>IFERROR(__xludf.DUMMYFUNCTION("IF(H2138="""","""",
SUM(
ARRAYFORMULA(
IF(
REGEXMATCH(
"" ""&amp;H2138&amp;"" "",
"" ""&amp;Sentiment_Words!A$2:A3730&amp;"" ""
),
1,
0
)
)
)
)"),1.0)</f>
        <v>1</v>
      </c>
      <c r="K2138" s="4">
        <f>IFERROR(__xludf.DUMMYFUNCTION("IF(H2138="""","""",
SUM(
ARRAYFORMULA(
IF(
REGEXMATCH(
"" ""&amp;H2138&amp;"" "",
"" ""&amp;Sentiment_Words!B$2:B3730&amp;"" ""
),
1,
0
)
)
)
)"),0.0)</f>
        <v>0</v>
      </c>
      <c r="L2138" s="7" t="str">
        <f t="shared" si="3"/>
        <v>Other</v>
      </c>
      <c r="M2138" s="7" t="str">
        <f t="shared" si="4"/>
        <v>Positive</v>
      </c>
      <c r="N2138" s="7" t="str">
        <f>IFERROR(__xludf.DUMMYFUNCTION("LOWER(
TRIM(
REGEXREPLACE(B2138,""[^a-zA-Z\s]"","""")
)
)
"),"noel truty")</f>
        <v>noel truty</v>
      </c>
      <c r="O2138" s="7">
        <f t="shared" si="5"/>
        <v>1</v>
      </c>
      <c r="P2138" s="8" t="str">
        <f t="shared" si="6"/>
        <v>No</v>
      </c>
    </row>
    <row r="2139">
      <c r="A2139" s="4" t="s">
        <v>16</v>
      </c>
      <c r="B2139" s="4" t="s">
        <v>6002</v>
      </c>
      <c r="C2139" s="5">
        <v>44725.0</v>
      </c>
      <c r="D2139" s="10">
        <v>44725.0</v>
      </c>
      <c r="E2139" s="4" t="s">
        <v>6003</v>
      </c>
      <c r="F2139" s="4" t="s">
        <v>6004</v>
      </c>
      <c r="G2139" s="6" t="str">
        <f>IFERROR(__xludf.DUMMYFUNCTION("REGEXREPLACE(LOWER(F2139),""[^a-z\s]"","""")"),"great place to buy our pet supplies fast service pet flow is the best")</f>
        <v>great place to buy our pet supplies fast service pet flow is the best</v>
      </c>
      <c r="H2139" s="4" t="str">
        <f t="shared" si="1"/>
        <v>great place buy our pet supplies fast service pet flow best</v>
      </c>
      <c r="I2139" s="6">
        <f t="shared" si="2"/>
        <v>11</v>
      </c>
      <c r="J2139" s="6">
        <f>IFERROR(__xludf.DUMMYFUNCTION("IF(H2139="""","""",
SUM(
ARRAYFORMULA(
IF(
REGEXMATCH(
"" ""&amp;H2139&amp;"" "",
"" ""&amp;Sentiment_Words!A$2:A3730&amp;"" ""
),
1,
0
)
)
)
)"),2.0)</f>
        <v>2</v>
      </c>
      <c r="K2139" s="4">
        <f>IFERROR(__xludf.DUMMYFUNCTION("IF(H2139="""","""",
SUM(
ARRAYFORMULA(
IF(
REGEXMATCH(
"" ""&amp;H2139&amp;"" "",
"" ""&amp;Sentiment_Words!B$2:B3730&amp;"" ""
),
1,
0
)
)
)
)"),0.0)</f>
        <v>0</v>
      </c>
      <c r="L2139" s="7" t="str">
        <f t="shared" si="3"/>
        <v>Customer Support</v>
      </c>
      <c r="M2139" s="7" t="str">
        <f t="shared" si="4"/>
        <v>Positive</v>
      </c>
      <c r="N2139" s="7" t="str">
        <f>IFERROR(__xludf.DUMMYFUNCTION("LOWER(
TRIM(
REGEXREPLACE(B2139,""[^a-zA-Z\s]"","""")
)
)
"),"bill loh")</f>
        <v>bill loh</v>
      </c>
      <c r="O2139" s="7">
        <f t="shared" si="5"/>
        <v>1</v>
      </c>
      <c r="P2139" s="8" t="str">
        <f t="shared" si="6"/>
        <v>No</v>
      </c>
    </row>
    <row r="2140">
      <c r="A2140" s="4" t="s">
        <v>16</v>
      </c>
      <c r="B2140" s="4" t="s">
        <v>6005</v>
      </c>
      <c r="C2140" s="5">
        <v>44725.0</v>
      </c>
      <c r="D2140" s="10">
        <v>44725.0</v>
      </c>
      <c r="E2140" s="4" t="s">
        <v>6006</v>
      </c>
      <c r="F2140" s="4" t="s">
        <v>6007</v>
      </c>
      <c r="G2140" s="6" t="str">
        <f>IFERROR(__xludf.DUMMYFUNCTION("REGEXREPLACE(LOWER(F2140),""[^a-z\s]"","""")"),"always great to do business with ease of ordering and easy to return")</f>
        <v>always great to do business with ease of ordering and easy to return</v>
      </c>
      <c r="H2140" s="4" t="str">
        <f t="shared" si="1"/>
        <v>always great do business with ease of ordering easy return</v>
      </c>
      <c r="I2140" s="6">
        <f t="shared" si="2"/>
        <v>10</v>
      </c>
      <c r="J2140" s="6">
        <f>IFERROR(__xludf.DUMMYFUNCTION("IF(H2140="""","""",
SUM(
ARRAYFORMULA(
IF(
REGEXMATCH(
"" ""&amp;H2140&amp;"" "",
"" ""&amp;Sentiment_Words!A$2:A3730&amp;"" ""
),
1,
0
)
)
)
)"),2.0)</f>
        <v>2</v>
      </c>
      <c r="K2140" s="4">
        <f>IFERROR(__xludf.DUMMYFUNCTION("IF(H2140="""","""",
SUM(
ARRAYFORMULA(
IF(
REGEXMATCH(
"" ""&amp;H2140&amp;"" "",
"" ""&amp;Sentiment_Words!B$2:B3730&amp;"" ""
),
1,
0
)
)
)
)"),0.0)</f>
        <v>0</v>
      </c>
      <c r="L2140" s="7" t="str">
        <f t="shared" si="3"/>
        <v>Other</v>
      </c>
      <c r="M2140" s="7" t="str">
        <f t="shared" si="4"/>
        <v>Positive</v>
      </c>
      <c r="N2140" s="7" t="str">
        <f>IFERROR(__xludf.DUMMYFUNCTION("LOWER(
TRIM(
REGEXREPLACE(B2140,""[^a-zA-Z\s]"","""")
)
)
"),"pdo")</f>
        <v>pdo</v>
      </c>
      <c r="O2140" s="7">
        <f t="shared" si="5"/>
        <v>1</v>
      </c>
      <c r="P2140" s="8" t="str">
        <f t="shared" si="6"/>
        <v>No</v>
      </c>
    </row>
    <row r="2141">
      <c r="A2141" s="4" t="s">
        <v>16</v>
      </c>
      <c r="B2141" s="4" t="s">
        <v>6008</v>
      </c>
      <c r="C2141" s="5">
        <v>44725.0</v>
      </c>
      <c r="D2141" s="10">
        <v>44725.0</v>
      </c>
      <c r="E2141" s="4" t="s">
        <v>6009</v>
      </c>
      <c r="F2141" s="4" t="s">
        <v>6010</v>
      </c>
      <c r="G2141" s="6" t="str">
        <f>IFERROR(__xludf.DUMMYFUNCTION("REGEXREPLACE(LOWER(F2141),""[^a-z\s]"","""")"),"i waited over a week for your pharma dept to reach out to my vet to get scrip for order i finally had to make the call myself with your rep on the line and i got right through your pharma folk really dropped the ball
all the while my cat was waiting for "&amp;"her special food")</f>
        <v>i waited over a week for your pharma dept to reach out to my vet to get scrip for order i finally had to make the call myself with your rep on the line and i got right through your pharma folk really dropped the ball
all the while my cat was waiting for her special food</v>
      </c>
      <c r="H2141" s="4" t="str">
        <f t="shared" si="1"/>
        <v>i waited over a week your pharma dept reach out my vet get scrip order i finally had make call myself with your rep on line i got right through your pharma folk really dropped ball
all while my cat was waiting her special food</v>
      </c>
      <c r="I2141" s="6">
        <f t="shared" si="2"/>
        <v>44</v>
      </c>
      <c r="J2141" s="6">
        <f>IFERROR(__xludf.DUMMYFUNCTION("IF(H2141="""","""",
SUM(
ARRAYFORMULA(
IF(
REGEXMATCH(
"" ""&amp;H2141&amp;"" "",
"" ""&amp;Sentiment_Words!A$2:A3730&amp;"" ""
),
1,
0
)
)
)
)"),0.0)</f>
        <v>0</v>
      </c>
      <c r="K2141" s="4">
        <f>IFERROR(__xludf.DUMMYFUNCTION("IF(H2141="""","""",
SUM(
ARRAYFORMULA(
IF(
REGEXMATCH(
"" ""&amp;H2141&amp;"" "",
"" ""&amp;Sentiment_Words!B$2:B3730&amp;"" ""
),
1,
0
)
)
)
)"),0.0)</f>
        <v>0</v>
      </c>
      <c r="L2141" s="7" t="str">
        <f t="shared" si="3"/>
        <v>Other</v>
      </c>
      <c r="M2141" s="7" t="str">
        <f t="shared" si="4"/>
        <v>Neutral</v>
      </c>
      <c r="N2141" s="7" t="str">
        <f>IFERROR(__xludf.DUMMYFUNCTION("LOWER(
TRIM(
REGEXREPLACE(B2141,""[^a-zA-Z\s]"","""")
)
)
"),"jo")</f>
        <v>jo</v>
      </c>
      <c r="O2141" s="7">
        <f t="shared" si="5"/>
        <v>1</v>
      </c>
      <c r="P2141" s="8" t="str">
        <f t="shared" si="6"/>
        <v>No</v>
      </c>
    </row>
    <row r="2142">
      <c r="A2142" s="4" t="s">
        <v>16</v>
      </c>
      <c r="B2142" s="4" t="s">
        <v>6011</v>
      </c>
      <c r="C2142" s="5">
        <v>44724.0</v>
      </c>
      <c r="D2142" s="10">
        <v>44725.0</v>
      </c>
      <c r="E2142" s="4" t="s">
        <v>6012</v>
      </c>
      <c r="F2142" s="4" t="s">
        <v>6013</v>
      </c>
      <c r="G2142" s="6" t="str">
        <f>IFERROR(__xludf.DUMMYFUNCTION("REGEXREPLACE(LOWER(F2142),""[^a-z\s]"","""")"),"i was really pleased that u had the food my cat loves he is diabetic and could not find his food anywhere he refused to eat anything else got so thin i found his food through ur company and now he is gaining weight very happy kitty")</f>
        <v>i was really pleased that u had the food my cat loves he is diabetic and could not find his food anywhere he refused to eat anything else got so thin i found his food through ur company and now he is gaining weight very happy kitty</v>
      </c>
      <c r="H2142" s="4" t="str">
        <f t="shared" si="1"/>
        <v>i was really pleased that u had food my cat loves he diabetic could not find his food anywhere he refused eat anything else got so thin i found his food through ur company now he gaining weight very happy kitty</v>
      </c>
      <c r="I2142" s="6">
        <f t="shared" si="2"/>
        <v>41</v>
      </c>
      <c r="J2142" s="6">
        <f>IFERROR(__xludf.DUMMYFUNCTION("IF(H2142="""","""",
SUM(
ARRAYFORMULA(
IF(
REGEXMATCH(
"" ""&amp;H2142&amp;"" "",
"" ""&amp;Sentiment_Words!A$2:A3730&amp;"" ""
),
1,
0
)
)
)
)"),2.0)</f>
        <v>2</v>
      </c>
      <c r="K2142" s="4">
        <f>IFERROR(__xludf.DUMMYFUNCTION("IF(H2142="""","""",
SUM(
ARRAYFORMULA(
IF(
REGEXMATCH(
"" ""&amp;H2142&amp;"" "",
"" ""&amp;Sentiment_Words!B$2:B3730&amp;"" ""
),
1,
0
)
)
)
)"),0.0)</f>
        <v>0</v>
      </c>
      <c r="L2142" s="7" t="str">
        <f t="shared" si="3"/>
        <v>Other</v>
      </c>
      <c r="M2142" s="7" t="str">
        <f t="shared" si="4"/>
        <v>Positive</v>
      </c>
      <c r="N2142" s="7" t="str">
        <f>IFERROR(__xludf.DUMMYFUNCTION("LOWER(
TRIM(
REGEXREPLACE(B2142,""[^a-zA-Z\s]"","""")
)
)
"),"candice boggs")</f>
        <v>candice boggs</v>
      </c>
      <c r="O2142" s="7">
        <f t="shared" si="5"/>
        <v>1</v>
      </c>
      <c r="P2142" s="8" t="str">
        <f t="shared" si="6"/>
        <v>No</v>
      </c>
    </row>
    <row r="2143">
      <c r="A2143" s="4" t="s">
        <v>16</v>
      </c>
      <c r="B2143" s="4" t="s">
        <v>6014</v>
      </c>
      <c r="C2143" s="5">
        <v>44724.0</v>
      </c>
      <c r="D2143" s="10">
        <v>44725.0</v>
      </c>
      <c r="E2143" s="4" t="s">
        <v>6015</v>
      </c>
      <c r="F2143" s="4" t="s">
        <v>6016</v>
      </c>
      <c r="G2143" s="6" t="str">
        <f>IFERROR(__xludf.DUMMYFUNCTION("REGEXREPLACE(LOWER(F2143),""[^a-z\s]"","""")"),"i was in need of food for my cat with diabetes my vet was backordered and even chewy was out of stock but im so glad i happened upon this company and they had the food i needed available i appreciate it so much they were easy and pleasant to work with tha"&amp;"nks petflow")</f>
        <v>i was in need of food for my cat with diabetes my vet was backordered and even chewy was out of stock but im so glad i happened upon this company and they had the food i needed available i appreciate it so much they were easy and pleasant to work with thanks petflow</v>
      </c>
      <c r="H2143" s="4" t="str">
        <f t="shared" si="1"/>
        <v>i was in need of food my cat with diabetes my vet was backordered even chewy was out of stock but im so glad i happened upon this company they had food i needed available i appreciate it so much they were easy pleasant work with thanks petflow</v>
      </c>
      <c r="I2143" s="6">
        <f t="shared" si="2"/>
        <v>48</v>
      </c>
      <c r="J2143" s="6">
        <f>IFERROR(__xludf.DUMMYFUNCTION("IF(H2143="""","""",
SUM(
ARRAYFORMULA(
IF(
REGEXMATCH(
"" ""&amp;H2143&amp;"" "",
"" ""&amp;Sentiment_Words!A$2:A3730&amp;"" ""
),
1,
0
)
)
)
)"),2.0)</f>
        <v>2</v>
      </c>
      <c r="K2143" s="4">
        <f>IFERROR(__xludf.DUMMYFUNCTION("IF(H2143="""","""",
SUM(
ARRAYFORMULA(
IF(
REGEXMATCH(
"" ""&amp;H2143&amp;"" "",
"" ""&amp;Sentiment_Words!B$2:B3730&amp;"" ""
),
1,
0
)
)
)
)"),1.0)</f>
        <v>1</v>
      </c>
      <c r="L2143" s="7" t="str">
        <f t="shared" si="3"/>
        <v>Availability</v>
      </c>
      <c r="M2143" s="7" t="str">
        <f t="shared" si="4"/>
        <v>Positive</v>
      </c>
      <c r="N2143" s="7" t="str">
        <f>IFERROR(__xludf.DUMMYFUNCTION("LOWER(
TRIM(
REGEXREPLACE(B2143,""[^a-zA-Z\s]"","""")
)
)
"),"stewart smith")</f>
        <v>stewart smith</v>
      </c>
      <c r="O2143" s="7">
        <f t="shared" si="5"/>
        <v>1</v>
      </c>
      <c r="P2143" s="8" t="str">
        <f t="shared" si="6"/>
        <v>No</v>
      </c>
    </row>
    <row r="2144">
      <c r="A2144" s="4" t="s">
        <v>16</v>
      </c>
      <c r="B2144" s="4" t="s">
        <v>6017</v>
      </c>
      <c r="C2144" s="5">
        <v>44724.0</v>
      </c>
      <c r="D2144" s="10">
        <v>44725.0</v>
      </c>
      <c r="E2144" s="4" t="s">
        <v>6018</v>
      </c>
      <c r="F2144" s="4" t="s">
        <v>6019</v>
      </c>
      <c r="G2144" s="6" t="str">
        <f>IFERROR(__xludf.DUMMYFUNCTION("REGEXREPLACE(LOWER(F2144),""[^a-z\s]"","""")"),"worst experience with pet flow i place order and my shipping and billing address is not same you will add my account to fraud activity and dont proceed order such a unprofessional supports team cant buy in future its last time")</f>
        <v>worst experience with pet flow i place order and my shipping and billing address is not same you will add my account to fraud activity and dont proceed order such a unprofessional supports team cant buy in future its last time</v>
      </c>
      <c r="H2144" s="4" t="str">
        <f t="shared" si="1"/>
        <v>worst experience with pet flow i place order my shipping billing address not same you will add my account fraud activity dont proceed order such a unprofessional supports team cant buy in future its last time</v>
      </c>
      <c r="I2144" s="6">
        <f t="shared" si="2"/>
        <v>36</v>
      </c>
      <c r="J2144" s="6">
        <f>IFERROR(__xludf.DUMMYFUNCTION("IF(H2144="""","""",
SUM(
ARRAYFORMULA(
IF(
REGEXMATCH(
"" ""&amp;H2144&amp;"" "",
"" ""&amp;Sentiment_Words!A$2:A3730&amp;"" ""
),
1,
0
)
)
)
)"),0.0)</f>
        <v>0</v>
      </c>
      <c r="K2144" s="4">
        <f>IFERROR(__xludf.DUMMYFUNCTION("IF(H2144="""","""",
SUM(
ARRAYFORMULA(
IF(
REGEXMATCH(
"" ""&amp;H2144&amp;"" "",
"" ""&amp;Sentiment_Words!B$2:B3730&amp;"" ""
),
1,
0
)
)
)
)"),0.0)</f>
        <v>0</v>
      </c>
      <c r="L2144" s="7" t="str">
        <f t="shared" si="3"/>
        <v>Customer Support</v>
      </c>
      <c r="M2144" s="7" t="str">
        <f t="shared" si="4"/>
        <v>Neutral</v>
      </c>
      <c r="N2144" s="7" t="str">
        <f>IFERROR(__xludf.DUMMYFUNCTION("LOWER(
TRIM(
REGEXREPLACE(B2144,""[^a-zA-Z\s]"","""")
)
)
"),"jodi")</f>
        <v>jodi</v>
      </c>
      <c r="O2144" s="7">
        <f t="shared" si="5"/>
        <v>1</v>
      </c>
      <c r="P2144" s="8" t="str">
        <f t="shared" si="6"/>
        <v>No</v>
      </c>
    </row>
    <row r="2145">
      <c r="A2145" s="4" t="s">
        <v>16</v>
      </c>
      <c r="B2145" s="4" t="s">
        <v>6020</v>
      </c>
      <c r="C2145" s="5">
        <v>44724.0</v>
      </c>
      <c r="D2145" s="10">
        <v>44724.0</v>
      </c>
      <c r="E2145" s="4" t="s">
        <v>6021</v>
      </c>
      <c r="F2145" s="4" t="s">
        <v>6022</v>
      </c>
      <c r="G2145" s="6" t="str">
        <f>IFERROR(__xludf.DUMMYFUNCTION("REGEXREPLACE(LOWER(F2145),""[^a-z\s]"","""")"),"i never received my purchase you were out of stock of my cats prescription diet even though your website said it was in stock you should keep your website up to date with what is in stock and what is out of stock because i would have never wasted my time "&amp;"ordering it if i realized you did not have it in stock it was the first time i ever ordered anything through pet flow and it will be the last time i ever do ")</f>
        <v>i never received my purchase you were out of stock of my cats prescription diet even though your website said it was in stock you should keep your website up to date with what is in stock and what is out of stock because i would have never wasted my time ordering it if i realized you did not have it in stock it was the first time i ever ordered anything through pet flow and it will be the last time i ever do </v>
      </c>
      <c r="H2145" s="4" t="str">
        <f t="shared" si="1"/>
        <v>i never received my purchase you were out of stock of my cats prescription diet even though your website said it was in stock you should keep your website up date with what in stock what out of stock because i would have never wasted my time ordering it if i realized you did not have it in stock it was first time i ever ordered anything through pet flow it will be last time i ever do</v>
      </c>
      <c r="I2145" s="6">
        <f t="shared" si="2"/>
        <v>78</v>
      </c>
      <c r="J2145" s="6">
        <f>IFERROR(__xludf.DUMMYFUNCTION("IF(H2145="""","""",
SUM(
ARRAYFORMULA(
IF(
REGEXMATCH(
"" ""&amp;H2145&amp;"" "",
"" ""&amp;Sentiment_Words!A$2:A3730&amp;"" ""
),
1,
0
)
)
)
)"),0.0)</f>
        <v>0</v>
      </c>
      <c r="K2145" s="4">
        <f>IFERROR(__xludf.DUMMYFUNCTION("IF(H2145="""","""",
SUM(
ARRAYFORMULA(
IF(
REGEXMATCH(
"" ""&amp;H2145&amp;"" "",
"" ""&amp;Sentiment_Words!B$2:B3730&amp;"" ""
),
1,
0
)
)
)
)"),1.0)</f>
        <v>1</v>
      </c>
      <c r="L2145" s="7" t="str">
        <f t="shared" si="3"/>
        <v>Availability</v>
      </c>
      <c r="M2145" s="7" t="str">
        <f t="shared" si="4"/>
        <v>Negative</v>
      </c>
      <c r="N2145" s="7" t="str">
        <f>IFERROR(__xludf.DUMMYFUNCTION("LOWER(
TRIM(
REGEXREPLACE(B2145,""[^a-zA-Z\s]"","""")
)
)
"),"mary anne bruesewitz")</f>
        <v>mary anne bruesewitz</v>
      </c>
      <c r="O2145" s="7">
        <f t="shared" si="5"/>
        <v>1</v>
      </c>
      <c r="P2145" s="8" t="str">
        <f t="shared" si="6"/>
        <v>No</v>
      </c>
    </row>
    <row r="2146">
      <c r="A2146" s="4" t="s">
        <v>16</v>
      </c>
      <c r="B2146" s="4" t="s">
        <v>6023</v>
      </c>
      <c r="C2146" s="5">
        <v>44724.0</v>
      </c>
      <c r="D2146" s="10">
        <v>44724.0</v>
      </c>
      <c r="E2146" s="4" t="s">
        <v>423</v>
      </c>
      <c r="F2146" s="4" t="s">
        <v>6024</v>
      </c>
      <c r="G2146" s="6" t="str">
        <f>IFERROR(__xludf.DUMMYFUNCTION("REGEXREPLACE(LOWER(F2146),""[^a-z\s]"","""")"),"fast shipping easy to order and understand web site best prices around
no hassles")</f>
        <v>fast shipping easy to order and understand web site best prices around
no hassles</v>
      </c>
      <c r="H2146" s="4" t="str">
        <f t="shared" si="1"/>
        <v>fast shipping easy order understand web site best prices around
no hassles</v>
      </c>
      <c r="I2146" s="6">
        <f t="shared" si="2"/>
        <v>11</v>
      </c>
      <c r="J2146" s="6">
        <f>IFERROR(__xludf.DUMMYFUNCTION("IF(H2146="""","""",
SUM(
ARRAYFORMULA(
IF(
REGEXMATCH(
"" ""&amp;H2146&amp;"" "",
"" ""&amp;Sentiment_Words!A$2:A3730&amp;"" ""
),
1,
0
)
)
)
)"),2.0)</f>
        <v>2</v>
      </c>
      <c r="K2146" s="4">
        <f>IFERROR(__xludf.DUMMYFUNCTION("IF(H2146="""","""",
SUM(
ARRAYFORMULA(
IF(
REGEXMATCH(
"" ""&amp;H2146&amp;"" "",
"" ""&amp;Sentiment_Words!B$2:B3730&amp;"" ""
),
1,
0
)
)
)
)"),0.0)</f>
        <v>0</v>
      </c>
      <c r="L2146" s="7" t="str">
        <f t="shared" si="3"/>
        <v>Other</v>
      </c>
      <c r="M2146" s="7" t="str">
        <f t="shared" si="4"/>
        <v>Positive</v>
      </c>
      <c r="N2146" s="7" t="str">
        <f>IFERROR(__xludf.DUMMYFUNCTION("LOWER(
TRIM(
REGEXREPLACE(B2146,""[^a-zA-Z\s]"","""")
)
)
"),"christina")</f>
        <v>christina</v>
      </c>
      <c r="O2146" s="7">
        <f t="shared" si="5"/>
        <v>1</v>
      </c>
      <c r="P2146" s="8" t="str">
        <f t="shared" si="6"/>
        <v>No</v>
      </c>
    </row>
    <row r="2147">
      <c r="A2147" s="4" t="s">
        <v>16</v>
      </c>
      <c r="B2147" s="4" t="s">
        <v>6025</v>
      </c>
      <c r="C2147" s="5">
        <v>44724.0</v>
      </c>
      <c r="D2147" s="10">
        <v>44724.0</v>
      </c>
      <c r="E2147" s="4" t="s">
        <v>6026</v>
      </c>
      <c r="F2147" s="4" t="s">
        <v>6027</v>
      </c>
      <c r="G2147" s="6" t="str">
        <f>IFERROR(__xludf.DUMMYFUNCTION("REGEXREPLACE(LOWER(F2147),""[^a-z\s]"","""")"),"ordered prescription dog food you said you had in stock but it very clearly was not in stock and almost two weeks later im still waiting for it not cool")</f>
        <v>ordered prescription dog food you said you had in stock but it very clearly was not in stock and almost two weeks later im still waiting for it not cool</v>
      </c>
      <c r="H2147" s="4" t="str">
        <f t="shared" si="1"/>
        <v>ordered prescription dog food you said you had in stock but it very clearly was not in stock almost two weeks later im still waiting it not cool</v>
      </c>
      <c r="I2147" s="6">
        <f t="shared" si="2"/>
        <v>28</v>
      </c>
      <c r="J2147" s="6">
        <f>IFERROR(__xludf.DUMMYFUNCTION("IF(H2147="""","""",
SUM(
ARRAYFORMULA(
IF(
REGEXMATCH(
"" ""&amp;H2147&amp;"" "",
"" ""&amp;Sentiment_Words!A$2:A3730&amp;"" ""
),
1,
0
)
)
)
)"),0.0)</f>
        <v>0</v>
      </c>
      <c r="K2147" s="4">
        <f>IFERROR(__xludf.DUMMYFUNCTION("IF(H2147="""","""",
SUM(
ARRAYFORMULA(
IF(
REGEXMATCH(
"" ""&amp;H2147&amp;"" "",
"" ""&amp;Sentiment_Words!B$2:B3730&amp;"" ""
),
1,
0
)
)
)
)"),0.0)</f>
        <v>0</v>
      </c>
      <c r="L2147" s="7" t="str">
        <f t="shared" si="3"/>
        <v>Fulfillment &amp; Shipping</v>
      </c>
      <c r="M2147" s="7" t="str">
        <f t="shared" si="4"/>
        <v>Neutral</v>
      </c>
      <c r="N2147" s="7" t="str">
        <f>IFERROR(__xludf.DUMMYFUNCTION("LOWER(
TRIM(
REGEXREPLACE(B2147,""[^a-zA-Z\s]"","""")
)
)
"),"richard lucas")</f>
        <v>richard lucas</v>
      </c>
      <c r="O2147" s="7">
        <f t="shared" si="5"/>
        <v>1</v>
      </c>
      <c r="P2147" s="8" t="str">
        <f t="shared" si="6"/>
        <v>No</v>
      </c>
    </row>
    <row r="2148">
      <c r="A2148" s="4" t="s">
        <v>16</v>
      </c>
      <c r="B2148" s="4" t="s">
        <v>6028</v>
      </c>
      <c r="C2148" s="5">
        <v>44724.0</v>
      </c>
      <c r="D2148" s="10">
        <v>44724.0</v>
      </c>
      <c r="E2148" s="4" t="s">
        <v>6029</v>
      </c>
      <c r="F2148" s="4" t="s">
        <v>6030</v>
      </c>
      <c r="G2148" s="6" t="str">
        <f>IFERROR(__xludf.DUMMYFUNCTION("REGEXREPLACE(LOWER(F2148),""[^a-z\s]"","""")"),"the shipping box isnt strong and they package my dry dog food with the cans and the cans cut the dry food bag and it spills")</f>
        <v>the shipping box isnt strong and they package my dry dog food with the cans and the cans cut the dry food bag and it spills</v>
      </c>
      <c r="H2148" s="4" t="str">
        <f t="shared" si="1"/>
        <v>shipping box isnt strong they package my dry dog food with cans cans cut dry food bag it spills</v>
      </c>
      <c r="I2148" s="6">
        <f t="shared" si="2"/>
        <v>19</v>
      </c>
      <c r="J2148" s="6">
        <f>IFERROR(__xludf.DUMMYFUNCTION("IF(H2148="""","""",
SUM(
ARRAYFORMULA(
IF(
REGEXMATCH(
"" ""&amp;H2148&amp;"" "",
"" ""&amp;Sentiment_Words!A$2:A3730&amp;"" ""
),
1,
0
)
)
)
)"),0.0)</f>
        <v>0</v>
      </c>
      <c r="K2148" s="4">
        <f>IFERROR(__xludf.DUMMYFUNCTION("IF(H2148="""","""",
SUM(
ARRAYFORMULA(
IF(
REGEXMATCH(
"" ""&amp;H2148&amp;"" "",
"" ""&amp;Sentiment_Words!B$2:B3730&amp;"" ""
),
1,
0
)
)
)
)"),0.0)</f>
        <v>0</v>
      </c>
      <c r="L2148" s="7" t="str">
        <f t="shared" si="3"/>
        <v>Other</v>
      </c>
      <c r="M2148" s="7" t="str">
        <f t="shared" si="4"/>
        <v>Neutral</v>
      </c>
      <c r="N2148" s="7" t="str">
        <f>IFERROR(__xludf.DUMMYFUNCTION("LOWER(
TRIM(
REGEXREPLACE(B2148,""[^a-zA-Z\s]"","""")
)
)
"),"melissa wilhelm")</f>
        <v>melissa wilhelm</v>
      </c>
      <c r="O2148" s="7">
        <f t="shared" si="5"/>
        <v>1</v>
      </c>
      <c r="P2148" s="8" t="str">
        <f t="shared" si="6"/>
        <v>No</v>
      </c>
    </row>
    <row r="2149">
      <c r="A2149" s="4" t="s">
        <v>16</v>
      </c>
      <c r="B2149" s="4" t="s">
        <v>6031</v>
      </c>
      <c r="C2149" s="5">
        <v>44724.0</v>
      </c>
      <c r="D2149" s="10">
        <v>44724.0</v>
      </c>
      <c r="E2149" s="4" t="s">
        <v>6032</v>
      </c>
      <c r="F2149" s="4" t="s">
        <v>6033</v>
      </c>
      <c r="G2149" s="6" t="str">
        <f>IFERROR(__xludf.DUMMYFUNCTION("REGEXREPLACE(LOWER(F2149),""[^a-z\s]"","""")"),"i placed an order for hills glucosupport for my diabetic cat it was the weekend and i was unable to get all of the vet information directly from the vet hospital itself to place the order so i googled it i placed the order and paid for the order the order"&amp;" was cancelled by your company as something in the information was incorrect the worst part was that im aware of no one contacted me about it and reversed the order i only found out by looking at my bank statement then calling your company and the rep on "&amp;"the phone confirmed it was reversed ill never ever shop with your company again this ordeal was beyond ridiculous")</f>
        <v>i placed an order for hills glucosupport for my diabetic cat it was the weekend and i was unable to get all of the vet information directly from the vet hospital itself to place the order so i googled it i placed the order and paid for the order the order was cancelled by your company as something in the information was incorrect the worst part was that im aware of no one contacted me about it and reversed the order i only found out by looking at my bank statement then calling your company and the rep on the phone confirmed it was reversed ill never ever shop with your company again this ordeal was beyond ridiculous</v>
      </c>
      <c r="H2149" s="4" t="str">
        <f t="shared" si="1"/>
        <v>i placed an order hills glucosupport my diabetic cat it was weekend i was unable get all of vet information directly from vet hospital itself place order so i googled it i placed order paid order order was cancelled by your company as something in information was incorrect worst part was that im aware of no one contacted me about it reversed order i only found out by looking at my bank statement then calling your company rep on phone confirmed it was reversed ill never ever shop with your company again this ordeal was beyond ridiculous</v>
      </c>
      <c r="I2149" s="6">
        <f t="shared" si="2"/>
        <v>97</v>
      </c>
      <c r="J2149" s="6">
        <f>IFERROR(__xludf.DUMMYFUNCTION("IF(H2149="""","""",
SUM(
ARRAYFORMULA(
IF(
REGEXMATCH(
"" ""&amp;H2149&amp;"" "",
"" ""&amp;Sentiment_Words!A$2:A3730&amp;"" ""
),
1,
0
)
)
)
)"),3.0)</f>
        <v>3</v>
      </c>
      <c r="K2149" s="4">
        <f>IFERROR(__xludf.DUMMYFUNCTION("IF(H2149="""","""",
SUM(
ARRAYFORMULA(
IF(
REGEXMATCH(
"" ""&amp;H2149&amp;"" "",
"" ""&amp;Sentiment_Words!B$2:B3730&amp;"" ""
),
1,
0
)
)
)
)"),2.0)</f>
        <v>2</v>
      </c>
      <c r="L2149" s="7" t="str">
        <f t="shared" si="3"/>
        <v>Customer Support</v>
      </c>
      <c r="M2149" s="7" t="str">
        <f t="shared" si="4"/>
        <v>Positive</v>
      </c>
      <c r="N2149" s="7" t="str">
        <f>IFERROR(__xludf.DUMMYFUNCTION("LOWER(
TRIM(
REGEXREPLACE(B2149,""[^a-zA-Z\s]"","""")
)
)
"),"patrick st john")</f>
        <v>patrick st john</v>
      </c>
      <c r="O2149" s="7">
        <f t="shared" si="5"/>
        <v>1</v>
      </c>
      <c r="P2149" s="8" t="str">
        <f t="shared" si="6"/>
        <v>No</v>
      </c>
    </row>
    <row r="2150">
      <c r="A2150" s="4" t="s">
        <v>16</v>
      </c>
      <c r="B2150" s="4" t="s">
        <v>6034</v>
      </c>
      <c r="C2150" s="5">
        <v>44724.0</v>
      </c>
      <c r="D2150" s="10">
        <v>44724.0</v>
      </c>
      <c r="E2150" s="4" t="s">
        <v>6035</v>
      </c>
      <c r="F2150" s="4" t="s">
        <v>6036</v>
      </c>
      <c r="G2150" s="6" t="str">
        <f>IFERROR(__xludf.DUMMYFUNCTION("REGEXREPLACE(LOWER(F2150),""[^a-z\s]"","""")"),"this is the second time the cat food that i need said it was available and the second time my order was cancelled because they didnt have it if you dont have it dont say that you do i could have looked for it someplace else instead")</f>
        <v>this is the second time the cat food that i need said it was available and the second time my order was cancelled because they didnt have it if you dont have it dont say that you do i could have looked for it someplace else instead</v>
      </c>
      <c r="H2150" s="4" t="str">
        <f t="shared" si="1"/>
        <v>this second time cat food that i need said it was available second time my order was cancelled because they didnt have it if you dont have it dont say that you do i could have looked it someplace else instead</v>
      </c>
      <c r="I2150" s="6">
        <f t="shared" si="2"/>
        <v>41</v>
      </c>
      <c r="J2150" s="6">
        <f>IFERROR(__xludf.DUMMYFUNCTION("IF(H2150="""","""",
SUM(
ARRAYFORMULA(
IF(
REGEXMATCH(
"" ""&amp;H2150&amp;"" "",
"" ""&amp;Sentiment_Words!A$2:A3730&amp;"" ""
),
1,
0
)
)
)
)"),1.0)</f>
        <v>1</v>
      </c>
      <c r="K2150" s="4">
        <f>IFERROR(__xludf.DUMMYFUNCTION("IF(H2150="""","""",
SUM(
ARRAYFORMULA(
IF(
REGEXMATCH(
"" ""&amp;H2150&amp;"" "",
"" ""&amp;Sentiment_Words!B$2:B3730&amp;"" ""
),
1,
0
)
)
)
)"),2.0)</f>
        <v>2</v>
      </c>
      <c r="L2150" s="7" t="str">
        <f t="shared" si="3"/>
        <v>Other</v>
      </c>
      <c r="M2150" s="7" t="str">
        <f t="shared" si="4"/>
        <v>Negative</v>
      </c>
      <c r="N2150" s="7" t="str">
        <f>IFERROR(__xludf.DUMMYFUNCTION("LOWER(
TRIM(
REGEXREPLACE(B2150,""[^a-zA-Z\s]"","""")
)
)
"),"martha")</f>
        <v>martha</v>
      </c>
      <c r="O2150" s="7">
        <f t="shared" si="5"/>
        <v>3</v>
      </c>
      <c r="P2150" s="8" t="str">
        <f t="shared" si="6"/>
        <v>Yes</v>
      </c>
    </row>
    <row r="2151">
      <c r="A2151" s="4" t="s">
        <v>16</v>
      </c>
      <c r="B2151" s="4" t="s">
        <v>6037</v>
      </c>
      <c r="C2151" s="5">
        <v>44724.0</v>
      </c>
      <c r="D2151" s="10">
        <v>44724.0</v>
      </c>
      <c r="E2151" s="4" t="s">
        <v>6038</v>
      </c>
      <c r="F2151" s="4" t="s">
        <v>6039</v>
      </c>
      <c r="G2151" s="6" t="str">
        <f>IFERROR(__xludf.DUMMYFUNCTION("REGEXREPLACE(LOWER(F2151),""[^a-z\s]"","""")"),"your phone reps have always been very helpful answered my questions and given me some good advice about purchases were sold")</f>
        <v>your phone reps have always been very helpful answered my questions and given me some good advice about purchases were sold</v>
      </c>
      <c r="H2151" s="4" t="str">
        <f t="shared" si="1"/>
        <v>your phone reps have always been very helpful answered my questions given me some good advice about purchases were sold</v>
      </c>
      <c r="I2151" s="6">
        <f t="shared" si="2"/>
        <v>20</v>
      </c>
      <c r="J2151" s="6">
        <f>IFERROR(__xludf.DUMMYFUNCTION("IF(H2151="""","""",
SUM(
ARRAYFORMULA(
IF(
REGEXMATCH(
"" ""&amp;H2151&amp;"" "",
"" ""&amp;Sentiment_Words!A$2:A3730&amp;"" ""
),
1,
0
)
)
)
)"),2.0)</f>
        <v>2</v>
      </c>
      <c r="K2151" s="4">
        <f>IFERROR(__xludf.DUMMYFUNCTION("IF(H2151="""","""",
SUM(
ARRAYFORMULA(
IF(
REGEXMATCH(
"" ""&amp;H2151&amp;"" "",
"" ""&amp;Sentiment_Words!B$2:B3730&amp;"" ""
),
1,
0
)
)
)
)"),0.0)</f>
        <v>0</v>
      </c>
      <c r="L2151" s="7" t="str">
        <f t="shared" si="3"/>
        <v>Other</v>
      </c>
      <c r="M2151" s="7" t="str">
        <f t="shared" si="4"/>
        <v>Positive</v>
      </c>
      <c r="N2151" s="7" t="str">
        <f>IFERROR(__xludf.DUMMYFUNCTION("LOWER(
TRIM(
REGEXREPLACE(B2151,""[^a-zA-Z\s]"","""")
)
)
"),"justanswer customer")</f>
        <v>justanswer customer</v>
      </c>
      <c r="O2151" s="7">
        <f t="shared" si="5"/>
        <v>1</v>
      </c>
      <c r="P2151" s="8" t="str">
        <f t="shared" si="6"/>
        <v>No</v>
      </c>
    </row>
    <row r="2152">
      <c r="A2152" s="4" t="s">
        <v>16</v>
      </c>
      <c r="B2152" s="4" t="s">
        <v>6040</v>
      </c>
      <c r="C2152" s="5">
        <v>44723.0</v>
      </c>
      <c r="D2152" s="10">
        <v>44723.0</v>
      </c>
      <c r="E2152" s="4" t="s">
        <v>190</v>
      </c>
      <c r="F2152" s="4" t="s">
        <v>6041</v>
      </c>
      <c r="G2152" s="6" t="str">
        <f>IFERROR(__xludf.DUMMYFUNCTION("REGEXREPLACE(LOWER(F2152),""[^a-z\s]"","""")"),"great customer service they answered my inquiries so fast and they were super friendly")</f>
        <v>great customer service they answered my inquiries so fast and they were super friendly</v>
      </c>
      <c r="H2152" s="4" t="str">
        <f t="shared" si="1"/>
        <v>great customer service they answered my inquiries so fast they were super friendly</v>
      </c>
      <c r="I2152" s="6">
        <f t="shared" si="2"/>
        <v>13</v>
      </c>
      <c r="J2152" s="6">
        <f>IFERROR(__xludf.DUMMYFUNCTION("IF(H2152="""","""",
SUM(
ARRAYFORMULA(
IF(
REGEXMATCH(
"" ""&amp;H2152&amp;"" "",
"" ""&amp;Sentiment_Words!A$2:A3730&amp;"" ""
),
1,
0
)
)
)
)"),3.0)</f>
        <v>3</v>
      </c>
      <c r="K2152" s="4">
        <f>IFERROR(__xludf.DUMMYFUNCTION("IF(H2152="""","""",
SUM(
ARRAYFORMULA(
IF(
REGEXMATCH(
"" ""&amp;H2152&amp;"" "",
"" ""&amp;Sentiment_Words!B$2:B3730&amp;"" ""
),
1,
0
)
)
)
)"),1.0)</f>
        <v>1</v>
      </c>
      <c r="L2152" s="7" t="str">
        <f t="shared" si="3"/>
        <v>Customer Support</v>
      </c>
      <c r="M2152" s="7" t="str">
        <f t="shared" si="4"/>
        <v>Positive</v>
      </c>
      <c r="N2152" s="7" t="str">
        <f>IFERROR(__xludf.DUMMYFUNCTION("LOWER(
TRIM(
REGEXREPLACE(B2152,""[^a-zA-Z\s]"","""")
)
)
"),"mary")</f>
        <v>mary</v>
      </c>
      <c r="O2152" s="7">
        <f t="shared" si="5"/>
        <v>8</v>
      </c>
      <c r="P2152" s="8" t="str">
        <f t="shared" si="6"/>
        <v>Yes</v>
      </c>
    </row>
    <row r="2153">
      <c r="A2153" s="4" t="s">
        <v>16</v>
      </c>
      <c r="B2153" s="4" t="s">
        <v>6042</v>
      </c>
      <c r="C2153" s="5">
        <v>44723.0</v>
      </c>
      <c r="D2153" s="10">
        <v>44723.0</v>
      </c>
      <c r="E2153" s="4" t="s">
        <v>6043</v>
      </c>
      <c r="F2153" s="4" t="s">
        <v>6044</v>
      </c>
      <c r="G2153" s="6" t="str">
        <f>IFERROR(__xludf.DUMMYFUNCTION("REGEXREPLACE(LOWER(F2153),""[^a-z\s]"","""")"),"petflow works hard to earn your business and trust had an initial snafu but now orders are working smoothly")</f>
        <v>petflow works hard to earn your business and trust had an initial snafu but now orders are working smoothly</v>
      </c>
      <c r="H2153" s="4" t="str">
        <f t="shared" si="1"/>
        <v>petflow works hard earn your business trust had an initial snafu but now orders are working smoothly</v>
      </c>
      <c r="I2153" s="6">
        <f t="shared" si="2"/>
        <v>17</v>
      </c>
      <c r="J2153" s="6">
        <f>IFERROR(__xludf.DUMMYFUNCTION("IF(H2153="""","""",
SUM(
ARRAYFORMULA(
IF(
REGEXMATCH(
"" ""&amp;H2153&amp;"" "",
"" ""&amp;Sentiment_Words!A$2:A3730&amp;"" ""
),
1,
0
)
)
)
)"),2.0)</f>
        <v>2</v>
      </c>
      <c r="K2153" s="4">
        <f>IFERROR(__xludf.DUMMYFUNCTION("IF(H2153="""","""",
SUM(
ARRAYFORMULA(
IF(
REGEXMATCH(
"" ""&amp;H2153&amp;"" "",
"" ""&amp;Sentiment_Words!B$2:B3730&amp;"" ""
),
1,
0
)
)
)
)"),0.0)</f>
        <v>0</v>
      </c>
      <c r="L2153" s="7" t="str">
        <f t="shared" si="3"/>
        <v>Trust &amp; Experience</v>
      </c>
      <c r="M2153" s="7" t="str">
        <f t="shared" si="4"/>
        <v>Positive</v>
      </c>
      <c r="N2153" s="7" t="str">
        <f>IFERROR(__xludf.DUMMYFUNCTION("LOWER(
TRIM(
REGEXREPLACE(B2153,""[^a-zA-Z\s]"","""")
)
)
"),"robert")</f>
        <v>robert</v>
      </c>
      <c r="O2153" s="7">
        <f t="shared" si="5"/>
        <v>5</v>
      </c>
      <c r="P2153" s="8" t="str">
        <f t="shared" si="6"/>
        <v>Yes</v>
      </c>
    </row>
    <row r="2154">
      <c r="A2154" s="4" t="s">
        <v>16</v>
      </c>
      <c r="B2154" s="4" t="s">
        <v>6045</v>
      </c>
      <c r="C2154" s="5">
        <v>44723.0</v>
      </c>
      <c r="D2154" s="10">
        <v>44723.0</v>
      </c>
      <c r="E2154" s="4" t="s">
        <v>6046</v>
      </c>
      <c r="F2154" s="4" t="s">
        <v>6047</v>
      </c>
      <c r="G2154" s="6" t="str">
        <f>IFERROR(__xludf.DUMMYFUNCTION("REGEXREPLACE(LOWER(F2154),""[^a-z\s]"","""")"),"i requested a  refund after being told by petflow that i needed to renew my vets prescription i wanted to just buy the prescription dog food from my vet petflow said they could give me a credit for  but not a refund this is a classic case of petflow winni"&amp;"ng the battle and losing the war i am being forced to use the credit but i will never  purchase from petflow after ive used up the credit coercion never wins over customers they should have just refunded me on the purchase and i probably would have remain"&amp;"ed a customer")</f>
        <v>i requested a  refund after being told by petflow that i needed to renew my vets prescription i wanted to just buy the prescription dog food from my vet petflow said they could give me a credit for  but not a refund this is a classic case of petflow winning the battle and losing the war i am being forced to use the credit but i will never  purchase from petflow after ive used up the credit coercion never wins over customers they should have just refunded me on the purchase and i probably would have remained a customer</v>
      </c>
      <c r="H2154" s="4" t="str">
        <f t="shared" si="1"/>
        <v>i requested a refund after being told by petflow that i needed renew my vets prescription i wanted just buy prescription dog food from my vet petflow said they could give me a credit but not a refund this a classic case of petflow winning battle losing war i am being forced use credit but i will never purchase from petflow after ive used up credit coercion never wins over customers they should have just refunded me on purchase i probably would have remained a customer</v>
      </c>
      <c r="I2154" s="6">
        <f t="shared" si="2"/>
        <v>86</v>
      </c>
      <c r="J2154" s="6">
        <f>IFERROR(__xludf.DUMMYFUNCTION("IF(H2154="""","""",
SUM(
ARRAYFORMULA(
IF(
REGEXMATCH(
"" ""&amp;H2154&amp;"" "",
"" ""&amp;Sentiment_Words!A$2:A3730&amp;"" ""
),
1,
0
)
)
)
)"),0.0)</f>
        <v>0</v>
      </c>
      <c r="K2154" s="4">
        <f>IFERROR(__xludf.DUMMYFUNCTION("IF(H2154="""","""",
SUM(
ARRAYFORMULA(
IF(
REGEXMATCH(
"" ""&amp;H2154&amp;"" "",
"" ""&amp;Sentiment_Words!B$2:B3730&amp;"" ""
),
1,
0
)
)
)
)"),1.0)</f>
        <v>1</v>
      </c>
      <c r="L2154" s="7" t="str">
        <f t="shared" si="3"/>
        <v>Other</v>
      </c>
      <c r="M2154" s="7" t="str">
        <f t="shared" si="4"/>
        <v>Negative</v>
      </c>
      <c r="N2154" s="7" t="str">
        <f>IFERROR(__xludf.DUMMYFUNCTION("LOWER(
TRIM(
REGEXREPLACE(B2154,""[^a-zA-Z\s]"","""")
)
)
"),"d w")</f>
        <v>d w</v>
      </c>
      <c r="O2154" s="7">
        <f t="shared" si="5"/>
        <v>1</v>
      </c>
      <c r="P2154" s="8" t="str">
        <f t="shared" si="6"/>
        <v>No</v>
      </c>
    </row>
    <row r="2155">
      <c r="A2155" s="4" t="s">
        <v>16</v>
      </c>
      <c r="B2155" s="4" t="s">
        <v>3266</v>
      </c>
      <c r="C2155" s="5">
        <v>44723.0</v>
      </c>
      <c r="D2155" s="10">
        <v>44723.0</v>
      </c>
      <c r="E2155" s="4" t="s">
        <v>6048</v>
      </c>
      <c r="F2155" s="4" t="s">
        <v>6049</v>
      </c>
      <c r="G2155" s="6" t="str">
        <f>IFERROR(__xludf.DUMMYFUNCTION("REGEXREPLACE(LOWER(F2155),""[^a-z\s]"","""")"),"i have ordered from petflow twice and both experiences were the same complete trash my cat eats prescription food and it is out of stock everywhere so i am ecstatic to find it on petflow i order and it took two days for my vet approval i get an email that"&amp;" now the food is sold out and my order is cancelled so i order again once its in stock and after a week my order still says shipping i call and am told my order is cancelled because they didnt receive their shipment i ask why it said it was in stock and i"&amp;"m told they go by what they think they are going to get what sense does that make")</f>
        <v>i have ordered from petflow twice and both experiences were the same complete trash my cat eats prescription food and it is out of stock everywhere so i am ecstatic to find it on petflow i order and it took two days for my vet approval i get an email that now the food is sold out and my order is cancelled so i order again once its in stock and after a week my order still says shipping i call and am told my order is cancelled because they didnt receive their shipment i ask why it said it was in stock and im told they go by what they think they are going to get what sense does that make</v>
      </c>
      <c r="H2155" s="4" t="str">
        <f t="shared" si="1"/>
        <v>i have ordered from petflow twice both experiences were same complete trash my cat eats prescription food it out of stock everywhere so i am ecstatic find it on petflow i order it took two days my vet approval i get an email that now food sold out my order cancelled so i order again once its in stock after a week my order still says shipping i call am told my order cancelled because they didnt receive their shipment i ask why it said it was in stock im told they go by what they think they are going get what sense does that make</v>
      </c>
      <c r="I2155" s="6">
        <f t="shared" si="2"/>
        <v>106</v>
      </c>
      <c r="J2155" s="6">
        <f>IFERROR(__xludf.DUMMYFUNCTION("IF(H2155="""","""",
SUM(
ARRAYFORMULA(
IF(
REGEXMATCH(
"" ""&amp;H2155&amp;"" "",
"" ""&amp;Sentiment_Words!A$2:A3730&amp;"" ""
),
1,
0
)
)
)
)"),0.0)</f>
        <v>0</v>
      </c>
      <c r="K2155" s="4">
        <f>IFERROR(__xludf.DUMMYFUNCTION("IF(H2155="""","""",
SUM(
ARRAYFORMULA(
IF(
REGEXMATCH(
"" ""&amp;H2155&amp;"" "",
"" ""&amp;Sentiment_Words!B$2:B3730&amp;"" ""
),
1,
0
)
)
)
)"),2.0)</f>
        <v>2</v>
      </c>
      <c r="L2155" s="7" t="str">
        <f t="shared" si="3"/>
        <v>Availability</v>
      </c>
      <c r="M2155" s="7" t="str">
        <f t="shared" si="4"/>
        <v>Negative</v>
      </c>
      <c r="N2155" s="7" t="str">
        <f>IFERROR(__xludf.DUMMYFUNCTION("LOWER(
TRIM(
REGEXREPLACE(B2155,""[^a-zA-Z\s]"","""")
)
)
"),"mes")</f>
        <v>mes</v>
      </c>
      <c r="O2155" s="7">
        <f t="shared" si="5"/>
        <v>2</v>
      </c>
      <c r="P2155" s="8" t="str">
        <f t="shared" si="6"/>
        <v>Yes</v>
      </c>
    </row>
    <row r="2156">
      <c r="A2156" s="4" t="s">
        <v>16</v>
      </c>
      <c r="B2156" s="4" t="s">
        <v>6050</v>
      </c>
      <c r="C2156" s="5">
        <v>44723.0</v>
      </c>
      <c r="D2156" s="10">
        <v>44723.0</v>
      </c>
      <c r="E2156" s="4" t="s">
        <v>6051</v>
      </c>
      <c r="F2156" s="4" t="s">
        <v>6052</v>
      </c>
      <c r="G2156" s="6" t="str">
        <f>IFERROR(__xludf.DUMMYFUNCTION("REGEXREPLACE(LOWER(F2156),""[^a-z\s]"","""")"),"petflow has great prices on fromm products and delivery is great")</f>
        <v>petflow has great prices on fromm products and delivery is great</v>
      </c>
      <c r="H2156" s="4" t="str">
        <f t="shared" si="1"/>
        <v>petflow has great prices on fromm products delivery great</v>
      </c>
      <c r="I2156" s="6">
        <f t="shared" si="2"/>
        <v>9</v>
      </c>
      <c r="J2156" s="6">
        <f>IFERROR(__xludf.DUMMYFUNCTION("IF(H2156="""","""",
SUM(
ARRAYFORMULA(
IF(
REGEXMATCH(
"" ""&amp;H2156&amp;"" "",
"" ""&amp;Sentiment_Words!A$2:A3730&amp;"" ""
),
1,
0
)
)
)
)"),1.0)</f>
        <v>1</v>
      </c>
      <c r="K2156" s="4">
        <f>IFERROR(__xludf.DUMMYFUNCTION("IF(H2156="""","""",
SUM(
ARRAYFORMULA(
IF(
REGEXMATCH(
"" ""&amp;H2156&amp;"" "",
"" ""&amp;Sentiment_Words!B$2:B3730&amp;"" ""
),
1,
0
)
)
)
)"),0.0)</f>
        <v>0</v>
      </c>
      <c r="L2156" s="7" t="str">
        <f t="shared" si="3"/>
        <v>Other</v>
      </c>
      <c r="M2156" s="7" t="str">
        <f t="shared" si="4"/>
        <v>Positive</v>
      </c>
      <c r="N2156" s="7" t="str">
        <f>IFERROR(__xludf.DUMMYFUNCTION("LOWER(
TRIM(
REGEXREPLACE(B2156,""[^a-zA-Z\s]"","""")
)
)
"),"michelle b")</f>
        <v>michelle b</v>
      </c>
      <c r="O2156" s="7">
        <f t="shared" si="5"/>
        <v>1</v>
      </c>
      <c r="P2156" s="8" t="str">
        <f t="shared" si="6"/>
        <v>No</v>
      </c>
    </row>
    <row r="2157">
      <c r="A2157" s="4" t="s">
        <v>16</v>
      </c>
      <c r="B2157" s="4" t="s">
        <v>6053</v>
      </c>
      <c r="C2157" s="5">
        <v>44723.0</v>
      </c>
      <c r="D2157" s="10">
        <v>44723.0</v>
      </c>
      <c r="E2157" s="4" t="s">
        <v>6054</v>
      </c>
      <c r="F2157" s="4" t="s">
        <v>6055</v>
      </c>
      <c r="G2157" s="6" t="str">
        <f>IFERROR(__xludf.DUMMYFUNCTION("REGEXREPLACE(LOWER(F2157),""[^a-z\s]"","""")"),"petflows order fulfillment needs to be improved it took  days for the food that i ordered to arrive and that was after i called to see where it was and got the order prioritized for shipping if you are truthful on your website whether the food is being sh"&amp;"ipped from the nj or nv warehouses then i can plan accordingly i will not again wait several days only to find out that the nv warehouse has not yet even processed my md order")</f>
        <v>petflows order fulfillment needs to be improved it took  days for the food that i ordered to arrive and that was after i called to see where it was and got the order prioritized for shipping if you are truthful on your website whether the food is being shipped from the nj or nv warehouses then i can plan accordingly i will not again wait several days only to find out that the nv warehouse has not yet even processed my md order</v>
      </c>
      <c r="H2157" s="4" t="str">
        <f t="shared" si="1"/>
        <v>petflows order fulfillment needs be improved it took days food that i ordered arrive that was after i called see where it was got order prioritized shipping if you are truthful on your website whether food being shipped from nj or nv warehouses then i can plan accordingly i will not again wait several days only find out that nv warehouse has not yet even processed my md order</v>
      </c>
      <c r="I2157" s="6">
        <f t="shared" si="2"/>
        <v>69</v>
      </c>
      <c r="J2157" s="6">
        <f>IFERROR(__xludf.DUMMYFUNCTION("IF(H2157="""","""",
SUM(
ARRAYFORMULA(
IF(
REGEXMATCH(
"" ""&amp;H2157&amp;"" "",
"" ""&amp;Sentiment_Words!A$2:A3730&amp;"" ""
),
1,
0
)
)
)
)"),0.0)</f>
        <v>0</v>
      </c>
      <c r="K2157" s="4">
        <f>IFERROR(__xludf.DUMMYFUNCTION("IF(H2157="""","""",
SUM(
ARRAYFORMULA(
IF(
REGEXMATCH(
"" ""&amp;H2157&amp;"" "",
"" ""&amp;Sentiment_Words!B$2:B3730&amp;"" ""
),
1,
0
)
)
)
)"),0.0)</f>
        <v>0</v>
      </c>
      <c r="L2157" s="7" t="str">
        <f t="shared" si="3"/>
        <v>Account &amp; Website</v>
      </c>
      <c r="M2157" s="7" t="str">
        <f t="shared" si="4"/>
        <v>Neutral</v>
      </c>
      <c r="N2157" s="7" t="str">
        <f>IFERROR(__xludf.DUMMYFUNCTION("LOWER(
TRIM(
REGEXREPLACE(B2157,""[^a-zA-Z\s]"","""")
)
)
"),"need food at least within a we")</f>
        <v>need food at least within a we</v>
      </c>
      <c r="O2157" s="7">
        <f t="shared" si="5"/>
        <v>1</v>
      </c>
      <c r="P2157" s="8" t="str">
        <f t="shared" si="6"/>
        <v>No</v>
      </c>
    </row>
    <row r="2158">
      <c r="A2158" s="4" t="s">
        <v>16</v>
      </c>
      <c r="B2158" s="4" t="s">
        <v>6056</v>
      </c>
      <c r="C2158" s="5">
        <v>44722.0</v>
      </c>
      <c r="D2158" s="10">
        <v>44723.0</v>
      </c>
      <c r="E2158" s="4" t="s">
        <v>6057</v>
      </c>
      <c r="F2158" s="4" t="s">
        <v>6058</v>
      </c>
      <c r="G2158" s="6" t="str">
        <f>IFERROR(__xludf.DUMMYFUNCTION("REGEXREPLACE(LOWER(F2158),""[^a-z\s]"","""")"),"your orders have all been fast and with no warning it took a week i will not be using you anymore as you are not dependable")</f>
        <v>your orders have all been fast and with no warning it took a week i will not be using you anymore as you are not dependable</v>
      </c>
      <c r="H2158" s="4" t="str">
        <f t="shared" si="1"/>
        <v>your orders have all been fast with no warning it took a week i will not be using you anymore as you are not dependable</v>
      </c>
      <c r="I2158" s="6">
        <f t="shared" si="2"/>
        <v>25</v>
      </c>
      <c r="J2158" s="6">
        <f>IFERROR(__xludf.DUMMYFUNCTION("IF(H2158="""","""",
SUM(
ARRAYFORMULA(
IF(
REGEXMATCH(
"" ""&amp;H2158&amp;"" "",
"" ""&amp;Sentiment_Words!A$2:A3730&amp;"" ""
),
1,
0
)
)
)
)"),1.0)</f>
        <v>1</v>
      </c>
      <c r="K2158" s="4">
        <f>IFERROR(__xludf.DUMMYFUNCTION("IF(H2158="""","""",
SUM(
ARRAYFORMULA(
IF(
REGEXMATCH(
"" ""&amp;H2158&amp;"" "",
"" ""&amp;Sentiment_Words!B$2:B3730&amp;"" ""
),
1,
0
)
)
)
)"),0.0)</f>
        <v>0</v>
      </c>
      <c r="L2158" s="7" t="str">
        <f t="shared" si="3"/>
        <v>Other</v>
      </c>
      <c r="M2158" s="7" t="str">
        <f t="shared" si="4"/>
        <v>Positive</v>
      </c>
      <c r="N2158" s="7" t="str">
        <f>IFERROR(__xludf.DUMMYFUNCTION("LOWER(
TRIM(
REGEXREPLACE(B2158,""[^a-zA-Z\s]"","""")
)
)
"),"bobbi mcrae")</f>
        <v>bobbi mcrae</v>
      </c>
      <c r="O2158" s="7">
        <f t="shared" si="5"/>
        <v>1</v>
      </c>
      <c r="P2158" s="8" t="str">
        <f t="shared" si="6"/>
        <v>No</v>
      </c>
    </row>
    <row r="2159">
      <c r="A2159" s="4" t="s">
        <v>16</v>
      </c>
      <c r="B2159" s="4" t="s">
        <v>6059</v>
      </c>
      <c r="C2159" s="5">
        <v>44722.0</v>
      </c>
      <c r="D2159" s="10">
        <v>44723.0</v>
      </c>
      <c r="E2159" s="4" t="s">
        <v>6060</v>
      </c>
      <c r="F2159" s="4" t="s">
        <v>6061</v>
      </c>
      <c r="G2159" s="6" t="str">
        <f>IFERROR(__xludf.DUMMYFUNCTION("REGEXREPLACE(LOWER(F2159),""[^a-z\s]"","""")"),"great price  fast shipping  great communication")</f>
        <v>great price  fast shipping  great communication</v>
      </c>
      <c r="H2159" s="4" t="str">
        <f t="shared" si="1"/>
        <v>great price fast shipping great communication</v>
      </c>
      <c r="I2159" s="6">
        <f t="shared" si="2"/>
        <v>6</v>
      </c>
      <c r="J2159" s="6">
        <f>IFERROR(__xludf.DUMMYFUNCTION("IF(H2159="""","""",
SUM(
ARRAYFORMULA(
IF(
REGEXMATCH(
"" ""&amp;H2159&amp;"" "",
"" ""&amp;Sentiment_Words!A$2:A3730&amp;"" ""
),
1,
0
)
)
)
)"),2.0)</f>
        <v>2</v>
      </c>
      <c r="K2159" s="4">
        <f>IFERROR(__xludf.DUMMYFUNCTION("IF(H2159="""","""",
SUM(
ARRAYFORMULA(
IF(
REGEXMATCH(
"" ""&amp;H2159&amp;"" "",
"" ""&amp;Sentiment_Words!B$2:B3730&amp;"" ""
),
1,
0
)
)
)
)"),0.0)</f>
        <v>0</v>
      </c>
      <c r="L2159" s="7" t="str">
        <f t="shared" si="3"/>
        <v>Other</v>
      </c>
      <c r="M2159" s="7" t="str">
        <f t="shared" si="4"/>
        <v>Positive</v>
      </c>
      <c r="N2159" s="7" t="str">
        <f>IFERROR(__xludf.DUMMYFUNCTION("LOWER(
TRIM(
REGEXREPLACE(B2159,""[^a-zA-Z\s]"","""")
)
)
"),"kk")</f>
        <v>kk</v>
      </c>
      <c r="O2159" s="7">
        <f t="shared" si="5"/>
        <v>1</v>
      </c>
      <c r="P2159" s="8" t="str">
        <f t="shared" si="6"/>
        <v>No</v>
      </c>
    </row>
    <row r="2160">
      <c r="A2160" s="4" t="s">
        <v>16</v>
      </c>
      <c r="B2160" s="4" t="s">
        <v>6062</v>
      </c>
      <c r="C2160" s="5">
        <v>44722.0</v>
      </c>
      <c r="D2160" s="10">
        <v>44722.0</v>
      </c>
      <c r="E2160" s="4" t="s">
        <v>6063</v>
      </c>
      <c r="F2160" s="4" t="s">
        <v>6064</v>
      </c>
      <c r="G2160" s="6" t="str">
        <f>IFERROR(__xludf.DUMMYFUNCTION("REGEXREPLACE(LOWER(F2160),""[^a-z\s]"","""")"),"better prices than elsewhere called customer service for some assistance and the woman was very helpful will use again")</f>
        <v>better prices than elsewhere called customer service for some assistance and the woman was very helpful will use again</v>
      </c>
      <c r="H2160" s="4" t="str">
        <f t="shared" si="1"/>
        <v>better prices than elsewhere called customer service some assistance woman was very helpful will use again</v>
      </c>
      <c r="I2160" s="6">
        <f t="shared" si="2"/>
        <v>16</v>
      </c>
      <c r="J2160" s="6">
        <f>IFERROR(__xludf.DUMMYFUNCTION("IF(H2160="""","""",
SUM(
ARRAYFORMULA(
IF(
REGEXMATCH(
"" ""&amp;H2160&amp;"" "",
"" ""&amp;Sentiment_Words!A$2:A3730&amp;"" ""
),
1,
0
)
)
)
)"),1.0)</f>
        <v>1</v>
      </c>
      <c r="K2160" s="4">
        <f>IFERROR(__xludf.DUMMYFUNCTION("IF(H2160="""","""",
SUM(
ARRAYFORMULA(
IF(
REGEXMATCH(
"" ""&amp;H2160&amp;"" "",
"" ""&amp;Sentiment_Words!B$2:B3730&amp;"" ""
),
1,
0
)
)
)
)"),1.0)</f>
        <v>1</v>
      </c>
      <c r="L2160" s="7" t="str">
        <f t="shared" si="3"/>
        <v>Customer Support</v>
      </c>
      <c r="M2160" s="7" t="str">
        <f t="shared" si="4"/>
        <v>Neutral</v>
      </c>
      <c r="N2160" s="7" t="str">
        <f>IFERROR(__xludf.DUMMYFUNCTION("LOWER(
TRIM(
REGEXREPLACE(B2160,""[^a-zA-Z\s]"","""")
)
)
"),"lsw")</f>
        <v>lsw</v>
      </c>
      <c r="O2160" s="7">
        <f t="shared" si="5"/>
        <v>1</v>
      </c>
      <c r="P2160" s="8" t="str">
        <f t="shared" si="6"/>
        <v>No</v>
      </c>
    </row>
    <row r="2161">
      <c r="A2161" s="4" t="s">
        <v>16</v>
      </c>
      <c r="B2161" s="4" t="s">
        <v>6065</v>
      </c>
      <c r="C2161" s="5">
        <v>44722.0</v>
      </c>
      <c r="D2161" s="10">
        <v>44722.0</v>
      </c>
      <c r="E2161" s="4" t="s">
        <v>6066</v>
      </c>
      <c r="F2161" s="4" t="s">
        <v>6067</v>
      </c>
      <c r="G2161" s="6" t="str">
        <f>IFERROR(__xludf.DUMMYFUNCTION("REGEXREPLACE(LOWER(F2161),""[^a-z\s]"","""")"),"wanted to try another pet food home delivery service for a change and decided to give petflow a go they were a great find and im glad i did prices were comparable and delivery was even faster packaged very well with no dented cans")</f>
        <v>wanted to try another pet food home delivery service for a change and decided to give petflow a go they were a great find and im glad i did prices were comparable and delivery was even faster packaged very well with no dented cans</v>
      </c>
      <c r="H2161" s="4" t="str">
        <f t="shared" si="1"/>
        <v>wanted try another pet food home delivery service a change decided give petflow a go they were a great find im glad i did prices were comparable delivery was even faster packaged very well with no dented cans</v>
      </c>
      <c r="I2161" s="6">
        <f t="shared" si="2"/>
        <v>38</v>
      </c>
      <c r="J2161" s="6">
        <f>IFERROR(__xludf.DUMMYFUNCTION("IF(H2161="""","""",
SUM(
ARRAYFORMULA(
IF(
REGEXMATCH(
"" ""&amp;H2161&amp;"" "",
"" ""&amp;Sentiment_Words!A$2:A3730&amp;"" ""
),
1,
0
)
)
)
)"),1.0)</f>
        <v>1</v>
      </c>
      <c r="K2161" s="4">
        <f>IFERROR(__xludf.DUMMYFUNCTION("IF(H2161="""","""",
SUM(
ARRAYFORMULA(
IF(
REGEXMATCH(
"" ""&amp;H2161&amp;"" "",
"" ""&amp;Sentiment_Words!B$2:B3730&amp;"" ""
),
1,
0
)
)
)
)"),0.0)</f>
        <v>0</v>
      </c>
      <c r="L2161" s="7" t="str">
        <f t="shared" si="3"/>
        <v>Customer Support</v>
      </c>
      <c r="M2161" s="7" t="str">
        <f t="shared" si="4"/>
        <v>Positive</v>
      </c>
      <c r="N2161" s="7" t="str">
        <f>IFERROR(__xludf.DUMMYFUNCTION("LOWER(
TRIM(
REGEXREPLACE(B2161,""[^a-zA-Z\s]"","""")
)
)
"),"stevendina lewis")</f>
        <v>stevendina lewis</v>
      </c>
      <c r="O2161" s="7">
        <f t="shared" si="5"/>
        <v>1</v>
      </c>
      <c r="P2161" s="8" t="str">
        <f t="shared" si="6"/>
        <v>No</v>
      </c>
    </row>
    <row r="2162">
      <c r="A2162" s="4" t="s">
        <v>16</v>
      </c>
      <c r="B2162" s="4" t="s">
        <v>6068</v>
      </c>
      <c r="C2162" s="5">
        <v>44722.0</v>
      </c>
      <c r="D2162" s="10">
        <v>44722.0</v>
      </c>
      <c r="E2162" s="4" t="s">
        <v>6069</v>
      </c>
      <c r="F2162" s="4" t="s">
        <v>6070</v>
      </c>
      <c r="G2162" s="6" t="str">
        <f>IFERROR(__xludf.DUMMYFUNCTION("REGEXREPLACE(LOWER(F2162),""[^a-z\s]"","""")"),"prices fair but shipping times have increased")</f>
        <v>prices fair but shipping times have increased</v>
      </c>
      <c r="H2162" s="4" t="str">
        <f t="shared" si="1"/>
        <v>prices fair but shipping times have increased</v>
      </c>
      <c r="I2162" s="6">
        <f t="shared" si="2"/>
        <v>7</v>
      </c>
      <c r="J2162" s="6">
        <f>IFERROR(__xludf.DUMMYFUNCTION("IF(H2162="""","""",
SUM(
ARRAYFORMULA(
IF(
REGEXMATCH(
"" ""&amp;H2162&amp;"" "",
"" ""&amp;Sentiment_Words!A$2:A3730&amp;"" ""
),
1,
0
)
)
)
)"),0.0)</f>
        <v>0</v>
      </c>
      <c r="K2162" s="4">
        <f>IFERROR(__xludf.DUMMYFUNCTION("IF(H2162="""","""",
SUM(
ARRAYFORMULA(
IF(
REGEXMATCH(
"" ""&amp;H2162&amp;"" "",
"" ""&amp;Sentiment_Words!B$2:B3730&amp;"" ""
),
1,
0
)
)
)
)"),0.0)</f>
        <v>0</v>
      </c>
      <c r="L2162" s="7" t="str">
        <f t="shared" si="3"/>
        <v>Other</v>
      </c>
      <c r="M2162" s="7" t="str">
        <f t="shared" si="4"/>
        <v>Neutral</v>
      </c>
      <c r="N2162" s="7" t="str">
        <f>IFERROR(__xludf.DUMMYFUNCTION("LOWER(
TRIM(
REGEXREPLACE(B2162,""[^a-zA-Z\s]"","""")
)
)
"),"donald ralph")</f>
        <v>donald ralph</v>
      </c>
      <c r="O2162" s="7">
        <f t="shared" si="5"/>
        <v>1</v>
      </c>
      <c r="P2162" s="8" t="str">
        <f t="shared" si="6"/>
        <v>No</v>
      </c>
    </row>
    <row r="2163">
      <c r="A2163" s="4" t="s">
        <v>16</v>
      </c>
      <c r="B2163" s="4" t="s">
        <v>5954</v>
      </c>
      <c r="C2163" s="5">
        <v>44722.0</v>
      </c>
      <c r="D2163" s="10">
        <v>44722.0</v>
      </c>
      <c r="E2163" s="4" t="s">
        <v>6071</v>
      </c>
      <c r="F2163" s="4" t="s">
        <v>6072</v>
      </c>
      <c r="G2163" s="6" t="str">
        <f>IFERROR(__xludf.DUMMYFUNCTION("REGEXREPLACE(LOWER(F2163),""[^a-z\s]"","""")"),"i love the variety of high quality products and brands that pet flow offers i also love how quickly they ship my order always arrives within a couple days")</f>
        <v>i love the variety of high quality products and brands that pet flow offers i also love how quickly they ship my order always arrives within a couple days</v>
      </c>
      <c r="H2163" s="4" t="str">
        <f t="shared" si="1"/>
        <v>i love variety of high quality products brands that pet flow offers i also love how quickly they ship my order always arrives within a couple days</v>
      </c>
      <c r="I2163" s="6">
        <f t="shared" si="2"/>
        <v>27</v>
      </c>
      <c r="J2163" s="6">
        <f>IFERROR(__xludf.DUMMYFUNCTION("IF(H2163="""","""",
SUM(
ARRAYFORMULA(
IF(
REGEXMATCH(
"" ""&amp;H2163&amp;"" "",
"" ""&amp;Sentiment_Words!A$2:A3730&amp;"" ""
),
1,
0
)
)
)
)"),1.0)</f>
        <v>1</v>
      </c>
      <c r="K2163" s="4">
        <f>IFERROR(__xludf.DUMMYFUNCTION("IF(H2163="""","""",
SUM(
ARRAYFORMULA(
IF(
REGEXMATCH(
"" ""&amp;H2163&amp;"" "",
"" ""&amp;Sentiment_Words!B$2:B3730&amp;"" ""
),
1,
0
)
)
)
)"),0.0)</f>
        <v>0</v>
      </c>
      <c r="L2163" s="7" t="str">
        <f t="shared" si="3"/>
        <v>Other</v>
      </c>
      <c r="M2163" s="7" t="str">
        <f t="shared" si="4"/>
        <v>Positive</v>
      </c>
      <c r="N2163" s="7" t="str">
        <f>IFERROR(__xludf.DUMMYFUNCTION("LOWER(
TRIM(
REGEXREPLACE(B2163,""[^a-zA-Z\s]"","""")
)
)
"),"nancy")</f>
        <v>nancy</v>
      </c>
      <c r="O2163" s="7">
        <f t="shared" si="5"/>
        <v>7</v>
      </c>
      <c r="P2163" s="8" t="str">
        <f t="shared" si="6"/>
        <v>Yes</v>
      </c>
    </row>
    <row r="2164">
      <c r="A2164" s="4" t="s">
        <v>16</v>
      </c>
      <c r="B2164" s="4" t="s">
        <v>693</v>
      </c>
      <c r="C2164" s="5">
        <v>44722.0</v>
      </c>
      <c r="D2164" s="10">
        <v>44722.0</v>
      </c>
      <c r="E2164" s="4" t="s">
        <v>6073</v>
      </c>
      <c r="F2164" s="4" t="s">
        <v>6074</v>
      </c>
      <c r="G2164" s="6" t="str">
        <f>IFERROR(__xludf.DUMMYFUNCTION("REGEXREPLACE(LOWER(F2164),""[^a-z\s]"","""")"),"dont even bother if you order anything they will message you a week later saying its out of stock then the very next day its back in stock again")</f>
        <v>dont even bother if you order anything they will message you a week later saying its out of stock then the very next day its back in stock again</v>
      </c>
      <c r="H2164" s="4" t="str">
        <f t="shared" si="1"/>
        <v>dont even bother if you order anything they will message you a week later saying its out of stock then very next day its back in stock again</v>
      </c>
      <c r="I2164" s="6">
        <f t="shared" si="2"/>
        <v>28</v>
      </c>
      <c r="J2164" s="6">
        <f>IFERROR(__xludf.DUMMYFUNCTION("IF(H2164="""","""",
SUM(
ARRAYFORMULA(
IF(
REGEXMATCH(
"" ""&amp;H2164&amp;"" "",
"" ""&amp;Sentiment_Words!A$2:A3730&amp;"" ""
),
1,
0
)
)
)
)"),0.0)</f>
        <v>0</v>
      </c>
      <c r="K2164" s="4">
        <f>IFERROR(__xludf.DUMMYFUNCTION("IF(H2164="""","""",
SUM(
ARRAYFORMULA(
IF(
REGEXMATCH(
"" ""&amp;H2164&amp;"" "",
"" ""&amp;Sentiment_Words!B$2:B3730&amp;"" ""
),
1,
0
)
)
)
)"),1.0)</f>
        <v>1</v>
      </c>
      <c r="L2164" s="7" t="str">
        <f t="shared" si="3"/>
        <v>Fulfillment &amp; Shipping</v>
      </c>
      <c r="M2164" s="7" t="str">
        <f t="shared" si="4"/>
        <v>Negative</v>
      </c>
      <c r="N2164" s="7" t="str">
        <f>IFERROR(__xludf.DUMMYFUNCTION("LOWER(
TRIM(
REGEXREPLACE(B2164,""[^a-zA-Z\s]"","""")
)
)
"),"nora")</f>
        <v>nora</v>
      </c>
      <c r="O2164" s="7">
        <f t="shared" si="5"/>
        <v>2</v>
      </c>
      <c r="P2164" s="8" t="str">
        <f t="shared" si="6"/>
        <v>Yes</v>
      </c>
    </row>
    <row r="2165">
      <c r="A2165" s="4" t="s">
        <v>16</v>
      </c>
      <c r="B2165" s="4" t="s">
        <v>6075</v>
      </c>
      <c r="C2165" s="5">
        <v>44722.0</v>
      </c>
      <c r="D2165" s="10">
        <v>44722.0</v>
      </c>
      <c r="E2165" s="4" t="s">
        <v>6076</v>
      </c>
      <c r="F2165" s="4" t="s">
        <v>6077</v>
      </c>
      <c r="G2165" s="6" t="str">
        <f>IFERROR(__xludf.DUMMYFUNCTION("REGEXREPLACE(LOWER(F2165),""[^a-z\s]"","""")"),"i was excited to see that a particular prescription wet food was back in stock on the website as it has been out of stock for over a month i placed the order online and then followed up  days later as i didnt hear any thing about shipping i was told that "&amp;"they just received the approval from my vet and shipping should happen within a day or two another  days i called again because i still hadnt received an update i called again and the gentleman i spoke with said that they hadnt received the approval from "&amp;"the vet yeti explained that they had so he then checked his notes and said oh we are waiting word from the distributor it should be another day or so i asked why would they advertise the item being back in stock when it wasnt he didnt have an answer and a"&amp;"ctually was a bit rude about my frustration he said they would get back to me its been almost a week and still no word this is so frustrating because its a prescription product and then to get attitude when i inquire about the about the lag time is just u"&amp;"nprofessional best to just stick to chewy i have never had and issue or attitude there")</f>
        <v>i was excited to see that a particular prescription wet food was back in stock on the website as it has been out of stock for over a month i placed the order online and then followed up  days later as i didnt hear any thing about shipping i was told that they just received the approval from my vet and shipping should happen within a day or two another  days i called again because i still hadnt received an update i called again and the gentleman i spoke with said that they hadnt received the approval from the vet yeti explained that they had so he then checked his notes and said oh we are waiting word from the distributor it should be another day or so i asked why would they advertise the item being back in stock when it wasnt he didnt have an answer and actually was a bit rude about my frustration he said they would get back to me its been almost a week and still no word this is so frustrating because its a prescription product and then to get attitude when i inquire about the about the lag time is just unprofessional best to just stick to chewy i have never had and issue or attitude there</v>
      </c>
      <c r="H2165" s="4" t="str">
        <f t="shared" si="1"/>
        <v>i was excited see that a particular prescription wet food was back in stock on website as it has been out of stock over a month i placed order online then followed up days later as i didnt hear any thing about shipping i was told that they just received approval from my vet shipping should happen within a day or two another days i called again because i still hadnt received an update i called again gentleman i spoke with said that they hadnt received approval from vet yeti explained that they had so he then checked his notes said oh we are waiting word from distributor it should be another day or so i asked why would they advertise item being back in stock when it wasnt he didnt have an answer actually was a bit rude about my frustration he said they would get back me its been almost a week still no word this so frustrating because its a prescription product then get attitude when i inquire about about lag time just unprofessional best just stick chewy i have never had issue or attitude there</v>
      </c>
      <c r="I2165" s="6">
        <f t="shared" si="2"/>
        <v>189</v>
      </c>
      <c r="J2165" s="6">
        <f>IFERROR(__xludf.DUMMYFUNCTION("IF(H2165="""","""",
SUM(
ARRAYFORMULA(
IF(
REGEXMATCH(
"" ""&amp;H2165&amp;"" "",
"" ""&amp;Sentiment_Words!A$2:A3730&amp;"" ""
),
1,
0
)
)
)
)"),1.0)</f>
        <v>1</v>
      </c>
      <c r="K2165" s="4">
        <f>IFERROR(__xludf.DUMMYFUNCTION("IF(H2165="""","""",
SUM(
ARRAYFORMULA(
IF(
REGEXMATCH(
"" ""&amp;H2165&amp;"" "",
"" ""&amp;Sentiment_Words!B$2:B3730&amp;"" ""
),
1,
0
)
)
)
)"),3.0)</f>
        <v>3</v>
      </c>
      <c r="L2165" s="7" t="str">
        <f t="shared" si="3"/>
        <v>Fulfillment &amp; Shipping</v>
      </c>
      <c r="M2165" s="7" t="str">
        <f t="shared" si="4"/>
        <v>Negative</v>
      </c>
      <c r="N2165" s="7" t="str">
        <f>IFERROR(__xludf.DUMMYFUNCTION("LOWER(
TRIM(
REGEXREPLACE(B2165,""[^a-zA-Z\s]"","""")
)
)
"),"ol")</f>
        <v>ol</v>
      </c>
      <c r="O2165" s="7">
        <f t="shared" si="5"/>
        <v>1</v>
      </c>
      <c r="P2165" s="8" t="str">
        <f t="shared" si="6"/>
        <v>No</v>
      </c>
    </row>
    <row r="2166">
      <c r="A2166" s="4" t="s">
        <v>16</v>
      </c>
      <c r="B2166" s="4" t="s">
        <v>6078</v>
      </c>
      <c r="C2166" s="9">
        <v>44721.0</v>
      </c>
      <c r="D2166" s="10">
        <v>44721.0</v>
      </c>
      <c r="E2166" s="4" t="s">
        <v>6079</v>
      </c>
      <c r="F2166" s="4" t="s">
        <v>6080</v>
      </c>
      <c r="G2166" s="6" t="str">
        <f>IFERROR(__xludf.DUMMYFUNCTION("REGEXREPLACE(LOWER(F2166),""[^a-z\s]"","""")"),"cancelled my orders
without telling me")</f>
        <v>cancelled my orders
without telling me</v>
      </c>
      <c r="H2166" s="4" t="str">
        <f t="shared" si="1"/>
        <v>cancelled my orders
without telling me</v>
      </c>
      <c r="I2166" s="6">
        <f t="shared" si="2"/>
        <v>5</v>
      </c>
      <c r="J2166" s="6">
        <f>IFERROR(__xludf.DUMMYFUNCTION("IF(H2166="""","""",
SUM(
ARRAYFORMULA(
IF(
REGEXMATCH(
"" ""&amp;H2166&amp;"" "",
"" ""&amp;Sentiment_Words!A$2:A3730&amp;"" ""
),
1,
0
)
)
)
)"),0.0)</f>
        <v>0</v>
      </c>
      <c r="K2166" s="4">
        <f>IFERROR(__xludf.DUMMYFUNCTION("IF(H2166="""","""",
SUM(
ARRAYFORMULA(
IF(
REGEXMATCH(
"" ""&amp;H2166&amp;"" "",
"" ""&amp;Sentiment_Words!B$2:B3730&amp;"" ""
),
1,
0
)
)
)
)"),1.0)</f>
        <v>1</v>
      </c>
      <c r="L2166" s="7" t="str">
        <f t="shared" si="3"/>
        <v>Other</v>
      </c>
      <c r="M2166" s="7" t="str">
        <f t="shared" si="4"/>
        <v>Negative</v>
      </c>
      <c r="N2166" s="7" t="str">
        <f>IFERROR(__xludf.DUMMYFUNCTION("LOWER(
TRIM(
REGEXREPLACE(B2166,""[^a-zA-Z\s]"","""")
)
)
"),"sharlene manore")</f>
        <v>sharlene manore</v>
      </c>
      <c r="O2166" s="7">
        <f t="shared" si="5"/>
        <v>1</v>
      </c>
      <c r="P2166" s="8" t="str">
        <f t="shared" si="6"/>
        <v>No</v>
      </c>
    </row>
    <row r="2167">
      <c r="A2167" s="4" t="s">
        <v>16</v>
      </c>
      <c r="B2167" s="4" t="s">
        <v>6081</v>
      </c>
      <c r="C2167" s="9">
        <v>44721.0</v>
      </c>
      <c r="D2167" s="10">
        <v>44721.0</v>
      </c>
      <c r="E2167" s="4" t="s">
        <v>6082</v>
      </c>
      <c r="F2167" s="4" t="s">
        <v>6083</v>
      </c>
      <c r="G2167" s="6" t="str">
        <f>IFERROR(__xludf.DUMMYFUNCTION("REGEXREPLACE(LOWER(F2167),""[^a-z\s]"","""")"),"very happy with the customer service only issue i had is how long it took to process my order and ship it would pay extra for faster processing and shipping")</f>
        <v>very happy with the customer service only issue i had is how long it took to process my order and ship it would pay extra for faster processing and shipping</v>
      </c>
      <c r="H2167" s="4" t="str">
        <f t="shared" si="1"/>
        <v>very happy with customer service only issue i had how long it took process my order ship it would pay extra faster processing shipping</v>
      </c>
      <c r="I2167" s="6">
        <f t="shared" si="2"/>
        <v>24</v>
      </c>
      <c r="J2167" s="6">
        <f>IFERROR(__xludf.DUMMYFUNCTION("IF(H2167="""","""",
SUM(
ARRAYFORMULA(
IF(
REGEXMATCH(
"" ""&amp;H2167&amp;"" "",
"" ""&amp;Sentiment_Words!A$2:A3730&amp;"" ""
),
1,
0
)
)
)
)"),1.0)</f>
        <v>1</v>
      </c>
      <c r="K2167" s="4">
        <f>IFERROR(__xludf.DUMMYFUNCTION("IF(H2167="""","""",
SUM(
ARRAYFORMULA(
IF(
REGEXMATCH(
"" ""&amp;H2167&amp;"" "",
"" ""&amp;Sentiment_Words!B$2:B3730&amp;"" ""
),
1,
0
)
)
)
)"),2.0)</f>
        <v>2</v>
      </c>
      <c r="L2167" s="7" t="str">
        <f t="shared" si="3"/>
        <v>Customer Support</v>
      </c>
      <c r="M2167" s="7" t="str">
        <f t="shared" si="4"/>
        <v>Negative</v>
      </c>
      <c r="N2167" s="7" t="str">
        <f>IFERROR(__xludf.DUMMYFUNCTION("LOWER(
TRIM(
REGEXREPLACE(B2167,""[^a-zA-Z\s]"","""")
)
)
"),"sngfever")</f>
        <v>sngfever</v>
      </c>
      <c r="O2167" s="7">
        <f t="shared" si="5"/>
        <v>1</v>
      </c>
      <c r="P2167" s="8" t="str">
        <f t="shared" si="6"/>
        <v>No</v>
      </c>
    </row>
    <row r="2168">
      <c r="A2168" s="4" t="s">
        <v>16</v>
      </c>
      <c r="B2168" s="4" t="s">
        <v>6084</v>
      </c>
      <c r="C2168" s="9">
        <v>44721.0</v>
      </c>
      <c r="D2168" s="10">
        <v>44721.0</v>
      </c>
      <c r="E2168" s="4" t="s">
        <v>6085</v>
      </c>
      <c r="F2168" s="4" t="s">
        <v>6086</v>
      </c>
      <c r="G2168" s="6" t="str">
        <f>IFERROR(__xludf.DUMMYFUNCTION("REGEXREPLACE(LOWER(F2168),""[^a-z\s]"","""")"),"fast  easy and correct ")</f>
        <v>fast  easy and correct </v>
      </c>
      <c r="H2168" s="4" t="str">
        <f t="shared" si="1"/>
        <v>fast easy correct</v>
      </c>
      <c r="I2168" s="6">
        <f t="shared" si="2"/>
        <v>3</v>
      </c>
      <c r="J2168" s="6">
        <f>IFERROR(__xludf.DUMMYFUNCTION("IF(H2168="""","""",
SUM(
ARRAYFORMULA(
IF(
REGEXMATCH(
"" ""&amp;H2168&amp;"" "",
"" ""&amp;Sentiment_Words!A$2:A3730&amp;"" ""
),
1,
0
)
)
)
)"),2.0)</f>
        <v>2</v>
      </c>
      <c r="K2168" s="4">
        <f>IFERROR(__xludf.DUMMYFUNCTION("IF(H2168="""","""",
SUM(
ARRAYFORMULA(
IF(
REGEXMATCH(
"" ""&amp;H2168&amp;"" "",
"" ""&amp;Sentiment_Words!B$2:B3730&amp;"" ""
),
1,
0
)
)
)
)"),0.0)</f>
        <v>0</v>
      </c>
      <c r="L2168" s="7" t="str">
        <f t="shared" si="3"/>
        <v>Other</v>
      </c>
      <c r="M2168" s="7" t="str">
        <f t="shared" si="4"/>
        <v>Positive</v>
      </c>
      <c r="N2168" s="7" t="str">
        <f>IFERROR(__xludf.DUMMYFUNCTION("LOWER(
TRIM(
REGEXREPLACE(B2168,""[^a-zA-Z\s]"","""")
)
)
"),"beepaloma")</f>
        <v>beepaloma</v>
      </c>
      <c r="O2168" s="7">
        <f t="shared" si="5"/>
        <v>1</v>
      </c>
      <c r="P2168" s="8" t="str">
        <f t="shared" si="6"/>
        <v>No</v>
      </c>
    </row>
    <row r="2169">
      <c r="A2169" s="4" t="s">
        <v>16</v>
      </c>
      <c r="B2169" s="4" t="s">
        <v>6087</v>
      </c>
      <c r="C2169" s="9">
        <v>44721.0</v>
      </c>
      <c r="D2169" s="10">
        <v>44721.0</v>
      </c>
      <c r="E2169" s="4" t="s">
        <v>4440</v>
      </c>
      <c r="F2169" s="4" t="s">
        <v>6088</v>
      </c>
      <c r="G2169" s="6" t="str">
        <f>IFERROR(__xludf.DUMMYFUNCTION("REGEXREPLACE(LOWER(F2169),""[^a-z\s]"","""")"),"its ok it was shipped on june st and an email tuesday said itd arrive today wed after arriving here in portland today at am fedex tracking said at pm that its being delayed a day until tomorrow thursday because of weather it doesnt affect me  i wouldnt ca"&amp;"re otherwise  except that the weather has been great the last few days it hit  today with mostly sunny blue skies")</f>
        <v>its ok it was shipped on june st and an email tuesday said itd arrive today wed after arriving here in portland today at am fedex tracking said at pm that its being delayed a day until tomorrow thursday because of weather it doesnt affect me  i wouldnt care otherwise  except that the weather has been great the last few days it hit  today with mostly sunny blue skies</v>
      </c>
      <c r="H2169" s="4" t="str">
        <f t="shared" si="1"/>
        <v>its ok it was shipped on june st an email tuesday said itd arrive today wed after arriving here in portland today at am fedex tracking said at pm that its being delayed a day until tomorrow thursday because of weather it doesnt affect me i wouldnt care otherwise except that weather has been great last few days it hit today with mostly sunny blue skies</v>
      </c>
      <c r="I2169" s="6">
        <f t="shared" si="2"/>
        <v>66</v>
      </c>
      <c r="J2169" s="6">
        <f>IFERROR(__xludf.DUMMYFUNCTION("IF(H2169="""","""",
SUM(
ARRAYFORMULA(
IF(
REGEXMATCH(
"" ""&amp;H2169&amp;"" "",
"" ""&amp;Sentiment_Words!A$2:A3730&amp;"" ""
),
1,
0
)
)
)
)"),1.0)</f>
        <v>1</v>
      </c>
      <c r="K2169" s="4">
        <f>IFERROR(__xludf.DUMMYFUNCTION("IF(H2169="""","""",
SUM(
ARRAYFORMULA(
IF(
REGEXMATCH(
"" ""&amp;H2169&amp;"" "",
"" ""&amp;Sentiment_Words!B$2:B3730&amp;"" ""
),
1,
0
)
)
)
)"),1.0)</f>
        <v>1</v>
      </c>
      <c r="L2169" s="7" t="str">
        <f t="shared" si="3"/>
        <v>Fulfillment &amp; Shipping</v>
      </c>
      <c r="M2169" s="7" t="str">
        <f t="shared" si="4"/>
        <v>Neutral</v>
      </c>
      <c r="N2169" s="7" t="str">
        <f>IFERROR(__xludf.DUMMYFUNCTION("LOWER(
TRIM(
REGEXREPLACE(B2169,""[^a-zA-Z\s]"","""")
)
)
"),"mike stone")</f>
        <v>mike stone</v>
      </c>
      <c r="O2169" s="7">
        <f t="shared" si="5"/>
        <v>1</v>
      </c>
      <c r="P2169" s="8" t="str">
        <f t="shared" si="6"/>
        <v>No</v>
      </c>
    </row>
    <row r="2170">
      <c r="A2170" s="4" t="s">
        <v>16</v>
      </c>
      <c r="B2170" s="4" t="s">
        <v>6089</v>
      </c>
      <c r="C2170" s="9">
        <v>44721.0</v>
      </c>
      <c r="D2170" s="10">
        <v>44721.0</v>
      </c>
      <c r="E2170" s="4" t="s">
        <v>6090</v>
      </c>
      <c r="F2170" s="4" t="s">
        <v>6091</v>
      </c>
      <c r="G2170" s="6" t="str">
        <f>IFERROR(__xludf.DUMMYFUNCTION("REGEXREPLACE(LOWER(F2170),""[^a-z\s]"","""")"),"i ordered prescription pet food for my cat it took them about five days to tell me the order was cancelled because they couldnt get the food they shouldnt have taken the order in the first place")</f>
        <v>i ordered prescription pet food for my cat it took them about five days to tell me the order was cancelled because they couldnt get the food they shouldnt have taken the order in the first place</v>
      </c>
      <c r="H2170" s="4" t="str">
        <f t="shared" si="1"/>
        <v>i ordered prescription pet food my cat it took them about five days tell me order was cancelled because they couldnt get food they shouldnt have taken order in first place</v>
      </c>
      <c r="I2170" s="6">
        <f t="shared" si="2"/>
        <v>31</v>
      </c>
      <c r="J2170" s="6">
        <f>IFERROR(__xludf.DUMMYFUNCTION("IF(H2170="""","""",
SUM(
ARRAYFORMULA(
IF(
REGEXMATCH(
"" ""&amp;H2170&amp;"" "",
"" ""&amp;Sentiment_Words!A$2:A3730&amp;"" ""
),
1,
0
)
)
)
)"),0.0)</f>
        <v>0</v>
      </c>
      <c r="K2170" s="4">
        <f>IFERROR(__xludf.DUMMYFUNCTION("IF(H2170="""","""",
SUM(
ARRAYFORMULA(
IF(
REGEXMATCH(
"" ""&amp;H2170&amp;"" "",
"" ""&amp;Sentiment_Words!B$2:B3730&amp;"" ""
),
1,
0
)
)
)
)"),1.0)</f>
        <v>1</v>
      </c>
      <c r="L2170" s="7" t="str">
        <f t="shared" si="3"/>
        <v>Other</v>
      </c>
      <c r="M2170" s="7" t="str">
        <f t="shared" si="4"/>
        <v>Negative</v>
      </c>
      <c r="N2170" s="7" t="str">
        <f>IFERROR(__xludf.DUMMYFUNCTION("LOWER(
TRIM(
REGEXREPLACE(B2170,""[^a-zA-Z\s]"","""")
)
)
"),"mike warder")</f>
        <v>mike warder</v>
      </c>
      <c r="O2170" s="7">
        <f t="shared" si="5"/>
        <v>1</v>
      </c>
      <c r="P2170" s="8" t="str">
        <f t="shared" si="6"/>
        <v>No</v>
      </c>
    </row>
    <row r="2171">
      <c r="A2171" s="4" t="s">
        <v>16</v>
      </c>
      <c r="B2171" s="4" t="s">
        <v>455</v>
      </c>
      <c r="C2171" s="9">
        <v>44721.0</v>
      </c>
      <c r="D2171" s="10">
        <v>44721.0</v>
      </c>
      <c r="E2171" s="4" t="s">
        <v>6092</v>
      </c>
      <c r="F2171" s="4" t="s">
        <v>6093</v>
      </c>
      <c r="G2171" s="6" t="str">
        <f>IFERROR(__xludf.DUMMYFUNCTION("REGEXREPLACE(LOWER(F2171),""[^a-z\s]"","""")"),"this is my third order they have products others dont and at a great price")</f>
        <v>this is my third order they have products others dont and at a great price</v>
      </c>
      <c r="H2171" s="4" t="str">
        <f t="shared" si="1"/>
        <v>this my third order they have products others dont at a great price</v>
      </c>
      <c r="I2171" s="6">
        <f t="shared" si="2"/>
        <v>13</v>
      </c>
      <c r="J2171" s="6">
        <f>IFERROR(__xludf.DUMMYFUNCTION("IF(H2171="""","""",
SUM(
ARRAYFORMULA(
IF(
REGEXMATCH(
"" ""&amp;H2171&amp;"" "",
"" ""&amp;Sentiment_Words!A$2:A3730&amp;"" ""
),
1,
0
)
)
)
)"),1.0)</f>
        <v>1</v>
      </c>
      <c r="K2171" s="4">
        <f>IFERROR(__xludf.DUMMYFUNCTION("IF(H2171="""","""",
SUM(
ARRAYFORMULA(
IF(
REGEXMATCH(
"" ""&amp;H2171&amp;"" "",
"" ""&amp;Sentiment_Words!B$2:B3730&amp;"" ""
),
1,
0
)
)
)
)"),0.0)</f>
        <v>0</v>
      </c>
      <c r="L2171" s="7" t="str">
        <f t="shared" si="3"/>
        <v>Other</v>
      </c>
      <c r="M2171" s="7" t="str">
        <f t="shared" si="4"/>
        <v>Positive</v>
      </c>
      <c r="N2171" s="7" t="str">
        <f>IFERROR(__xludf.DUMMYFUNCTION("LOWER(
TRIM(
REGEXREPLACE(B2171,""[^a-zA-Z\s]"","""")
)
)
"),"anonymous")</f>
        <v>anonymous</v>
      </c>
      <c r="O2171" s="7">
        <f t="shared" si="5"/>
        <v>9</v>
      </c>
      <c r="P2171" s="8" t="str">
        <f t="shared" si="6"/>
        <v>Yes</v>
      </c>
    </row>
    <row r="2172">
      <c r="A2172" s="4" t="s">
        <v>16</v>
      </c>
      <c r="B2172" s="4" t="s">
        <v>6094</v>
      </c>
      <c r="C2172" s="9">
        <v>44721.0</v>
      </c>
      <c r="D2172" s="10">
        <v>44721.0</v>
      </c>
      <c r="E2172" s="4" t="s">
        <v>6095</v>
      </c>
      <c r="F2172" s="4" t="s">
        <v>6096</v>
      </c>
      <c r="G2172" s="6" t="str">
        <f>IFERROR(__xludf.DUMMYFUNCTION("REGEXREPLACE(LOWER(F2172),""[^a-z\s]"","""")"),"always holds the inventory and deliver in a timely manner")</f>
        <v>always holds the inventory and deliver in a timely manner</v>
      </c>
      <c r="H2172" s="4" t="str">
        <f t="shared" si="1"/>
        <v>always holds inventory deliver in a timely manner</v>
      </c>
      <c r="I2172" s="6">
        <f t="shared" si="2"/>
        <v>8</v>
      </c>
      <c r="J2172" s="6">
        <f>IFERROR(__xludf.DUMMYFUNCTION("IF(H2172="""","""",
SUM(
ARRAYFORMULA(
IF(
REGEXMATCH(
"" ""&amp;H2172&amp;"" "",
"" ""&amp;Sentiment_Words!A$2:A3730&amp;"" ""
),
1,
0
)
)
)
)"),0.0)</f>
        <v>0</v>
      </c>
      <c r="K2172" s="4">
        <f>IFERROR(__xludf.DUMMYFUNCTION("IF(H2172="""","""",
SUM(
ARRAYFORMULA(
IF(
REGEXMATCH(
"" ""&amp;H2172&amp;"" "",
"" ""&amp;Sentiment_Words!B$2:B3730&amp;"" ""
),
1,
0
)
)
)
)"),0.0)</f>
        <v>0</v>
      </c>
      <c r="L2172" s="7" t="str">
        <f t="shared" si="3"/>
        <v>Other</v>
      </c>
      <c r="M2172" s="7" t="str">
        <f t="shared" si="4"/>
        <v>Neutral</v>
      </c>
      <c r="N2172" s="7" t="str">
        <f>IFERROR(__xludf.DUMMYFUNCTION("LOWER(
TRIM(
REGEXREPLACE(B2172,""[^a-zA-Z\s]"","""")
)
)
"),"richard scalzo")</f>
        <v>richard scalzo</v>
      </c>
      <c r="O2172" s="7">
        <f t="shared" si="5"/>
        <v>1</v>
      </c>
      <c r="P2172" s="8" t="str">
        <f t="shared" si="6"/>
        <v>No</v>
      </c>
    </row>
    <row r="2173">
      <c r="A2173" s="4" t="s">
        <v>16</v>
      </c>
      <c r="B2173" s="4" t="s">
        <v>6097</v>
      </c>
      <c r="C2173" s="9">
        <v>44721.0</v>
      </c>
      <c r="D2173" s="10">
        <v>44721.0</v>
      </c>
      <c r="E2173" s="4" t="s">
        <v>6098</v>
      </c>
      <c r="F2173" s="4" t="s">
        <v>6099</v>
      </c>
      <c r="G2173" s="6" t="str">
        <f>IFERROR(__xludf.DUMMYFUNCTION("REGEXREPLACE(LOWER(F2173),""[^a-z\s]"","""")"),"worst customer service i tried doing an order twice and they couldnt send it out i will never use this company or recommend it")</f>
        <v>worst customer service i tried doing an order twice and they couldnt send it out i will never use this company or recommend it</v>
      </c>
      <c r="H2173" s="4" t="str">
        <f t="shared" si="1"/>
        <v>worst customer service i tried doing an order twice they couldnt send it out i will never use this company or recommend it</v>
      </c>
      <c r="I2173" s="6">
        <f t="shared" si="2"/>
        <v>23</v>
      </c>
      <c r="J2173" s="6">
        <f>IFERROR(__xludf.DUMMYFUNCTION("IF(H2173="""","""",
SUM(
ARRAYFORMULA(
IF(
REGEXMATCH(
"" ""&amp;H2173&amp;"" "",
"" ""&amp;Sentiment_Words!A$2:A3730&amp;"" ""
),
1,
0
)
)
)
)"),0.0)</f>
        <v>0</v>
      </c>
      <c r="K2173" s="4">
        <f>IFERROR(__xludf.DUMMYFUNCTION("IF(H2173="""","""",
SUM(
ARRAYFORMULA(
IF(
REGEXMATCH(
"" ""&amp;H2173&amp;"" "",
"" ""&amp;Sentiment_Words!B$2:B3730&amp;"" ""
),
1,
0
)
)
)
)"),1.0)</f>
        <v>1</v>
      </c>
      <c r="L2173" s="7" t="str">
        <f t="shared" si="3"/>
        <v>Customer Support</v>
      </c>
      <c r="M2173" s="7" t="str">
        <f t="shared" si="4"/>
        <v>Negative</v>
      </c>
      <c r="N2173" s="7" t="str">
        <f>IFERROR(__xludf.DUMMYFUNCTION("LOWER(
TRIM(
REGEXREPLACE(B2173,""[^a-zA-Z\s]"","""")
)
)
"),"harumi johnson")</f>
        <v>harumi johnson</v>
      </c>
      <c r="O2173" s="7">
        <f t="shared" si="5"/>
        <v>1</v>
      </c>
      <c r="P2173" s="8" t="str">
        <f t="shared" si="6"/>
        <v>No</v>
      </c>
    </row>
    <row r="2174">
      <c r="A2174" s="4" t="s">
        <v>16</v>
      </c>
      <c r="B2174" s="4" t="s">
        <v>6100</v>
      </c>
      <c r="C2174" s="9">
        <v>44721.0</v>
      </c>
      <c r="D2174" s="10">
        <v>44721.0</v>
      </c>
      <c r="E2174" s="4" t="s">
        <v>6101</v>
      </c>
      <c r="F2174" s="4" t="s">
        <v>6102</v>
      </c>
      <c r="G2174" s="6" t="str">
        <f>IFERROR(__xludf.DUMMYFUNCTION("REGEXREPLACE(LOWER(F2174),""[^a-z\s]"","""")"),"wonderful service i recommend")</f>
        <v>wonderful service i recommend</v>
      </c>
      <c r="H2174" s="4" t="str">
        <f t="shared" si="1"/>
        <v>wonderful service i recommend</v>
      </c>
      <c r="I2174" s="6">
        <f t="shared" si="2"/>
        <v>4</v>
      </c>
      <c r="J2174" s="6">
        <f>IFERROR(__xludf.DUMMYFUNCTION("IF(H2174="""","""",
SUM(
ARRAYFORMULA(
IF(
REGEXMATCH(
"" ""&amp;H2174&amp;"" "",
"" ""&amp;Sentiment_Words!A$2:A3730&amp;"" ""
),
1,
0
)
)
)
)"),1.0)</f>
        <v>1</v>
      </c>
      <c r="K2174" s="4">
        <f>IFERROR(__xludf.DUMMYFUNCTION("IF(H2174="""","""",
SUM(
ARRAYFORMULA(
IF(
REGEXMATCH(
"" ""&amp;H2174&amp;"" "",
"" ""&amp;Sentiment_Words!B$2:B3730&amp;"" ""
),
1,
0
)
)
)
)"),0.0)</f>
        <v>0</v>
      </c>
      <c r="L2174" s="7" t="str">
        <f t="shared" si="3"/>
        <v>Customer Support</v>
      </c>
      <c r="M2174" s="7" t="str">
        <f t="shared" si="4"/>
        <v>Positive</v>
      </c>
      <c r="N2174" s="7" t="str">
        <f>IFERROR(__xludf.DUMMYFUNCTION("LOWER(
TRIM(
REGEXREPLACE(B2174,""[^a-zA-Z\s]"","""")
)
)
"),"ashley younger")</f>
        <v>ashley younger</v>
      </c>
      <c r="O2174" s="7">
        <f t="shared" si="5"/>
        <v>1</v>
      </c>
      <c r="P2174" s="8" t="str">
        <f t="shared" si="6"/>
        <v>No</v>
      </c>
    </row>
    <row r="2175">
      <c r="A2175" s="4" t="s">
        <v>16</v>
      </c>
      <c r="B2175" s="4" t="s">
        <v>6103</v>
      </c>
      <c r="C2175" s="9">
        <v>44720.0</v>
      </c>
      <c r="D2175" s="10">
        <v>44721.0</v>
      </c>
      <c r="E2175" s="4" t="s">
        <v>6103</v>
      </c>
      <c r="F2175" s="4" t="s">
        <v>6104</v>
      </c>
      <c r="G2175" s="6" t="str">
        <f>IFERROR(__xludf.DUMMYFUNCTION("REGEXREPLACE(LOWER(F2175),""[^a-z\s]"","""")"),"excellent service and the only delay we had was from our veterinarian sending them the prescription")</f>
        <v>excellent service and the only delay we had was from our veterinarian sending them the prescription</v>
      </c>
      <c r="H2175" s="4" t="str">
        <f t="shared" si="1"/>
        <v>excellent service only delay we had was from our veterinarian sending them prescription</v>
      </c>
      <c r="I2175" s="6">
        <f t="shared" si="2"/>
        <v>13</v>
      </c>
      <c r="J2175" s="6">
        <f>IFERROR(__xludf.DUMMYFUNCTION("IF(H2175="""","""",
SUM(
ARRAYFORMULA(
IF(
REGEXMATCH(
"" ""&amp;H2175&amp;"" "",
"" ""&amp;Sentiment_Words!A$2:A3730&amp;"" ""
),
1,
0
)
)
)
)"),0.0)</f>
        <v>0</v>
      </c>
      <c r="K2175" s="4">
        <f>IFERROR(__xludf.DUMMYFUNCTION("IF(H2175="""","""",
SUM(
ARRAYFORMULA(
IF(
REGEXMATCH(
"" ""&amp;H2175&amp;"" "",
"" ""&amp;Sentiment_Words!B$2:B3730&amp;"" ""
),
1,
0
)
)
)
)"),1.0)</f>
        <v>1</v>
      </c>
      <c r="L2175" s="7" t="str">
        <f t="shared" si="3"/>
        <v>Customer Support</v>
      </c>
      <c r="M2175" s="7" t="str">
        <f t="shared" si="4"/>
        <v>Negative</v>
      </c>
      <c r="N2175" s="7" t="str">
        <f>IFERROR(__xludf.DUMMYFUNCTION("LOWER(
TRIM(
REGEXREPLACE(B2175,""[^a-zA-Z\s]"","""")
)
)
"),"catlover")</f>
        <v>catlover</v>
      </c>
      <c r="O2175" s="7">
        <f t="shared" si="5"/>
        <v>2</v>
      </c>
      <c r="P2175" s="8" t="str">
        <f t="shared" si="6"/>
        <v>Yes</v>
      </c>
    </row>
    <row r="2176">
      <c r="A2176" s="4" t="s">
        <v>16</v>
      </c>
      <c r="B2176" s="4" t="s">
        <v>6105</v>
      </c>
      <c r="C2176" s="9">
        <v>44720.0</v>
      </c>
      <c r="D2176" s="10">
        <v>44721.0</v>
      </c>
      <c r="E2176" s="4" t="s">
        <v>6106</v>
      </c>
      <c r="F2176" s="4" t="s">
        <v>6107</v>
      </c>
      <c r="G2176" s="6" t="str">
        <f>IFERROR(__xludf.DUMMYFUNCTION("REGEXREPLACE(LOWER(F2176),""[^a-z\s]"","""")"),"i am so impressed with not only how easy ordering was but how quickly it was delivered i would never use anyone else thank you very much")</f>
        <v>i am so impressed with not only how easy ordering was but how quickly it was delivered i would never use anyone else thank you very much</v>
      </c>
      <c r="H2176" s="4" t="str">
        <f t="shared" si="1"/>
        <v>i am so impressed with not only how easy ordering was but how quickly it was delivered i would never use anyone else thank you very much</v>
      </c>
      <c r="I2176" s="6">
        <f t="shared" si="2"/>
        <v>27</v>
      </c>
      <c r="J2176" s="6">
        <f>IFERROR(__xludf.DUMMYFUNCTION("IF(H2176="""","""",
SUM(
ARRAYFORMULA(
IF(
REGEXMATCH(
"" ""&amp;H2176&amp;"" "",
"" ""&amp;Sentiment_Words!A$2:A3730&amp;"" ""
),
1,
0
)
)
)
)"),3.0)</f>
        <v>3</v>
      </c>
      <c r="K2176" s="4">
        <f>IFERROR(__xludf.DUMMYFUNCTION("IF(H2176="""","""",
SUM(
ARRAYFORMULA(
IF(
REGEXMATCH(
"" ""&amp;H2176&amp;"" "",
"" ""&amp;Sentiment_Words!B$2:B3730&amp;"" ""
),
1,
0
)
)
)
)"),0.0)</f>
        <v>0</v>
      </c>
      <c r="L2176" s="7" t="str">
        <f t="shared" si="3"/>
        <v>Service Recovery</v>
      </c>
      <c r="M2176" s="7" t="str">
        <f t="shared" si="4"/>
        <v>Positive</v>
      </c>
      <c r="N2176" s="7" t="str">
        <f>IFERROR(__xludf.DUMMYFUNCTION("LOWER(
TRIM(
REGEXREPLACE(B2176,""[^a-zA-Z\s]"","""")
)
)
"),"bruce corcoran")</f>
        <v>bruce corcoran</v>
      </c>
      <c r="O2176" s="7">
        <f t="shared" si="5"/>
        <v>1</v>
      </c>
      <c r="P2176" s="8" t="str">
        <f t="shared" si="6"/>
        <v>No</v>
      </c>
    </row>
    <row r="2177">
      <c r="A2177" s="4" t="s">
        <v>16</v>
      </c>
      <c r="B2177" s="4" t="s">
        <v>6108</v>
      </c>
      <c r="C2177" s="9">
        <v>44720.0</v>
      </c>
      <c r="D2177" s="10">
        <v>44721.0</v>
      </c>
      <c r="E2177" s="4" t="s">
        <v>6109</v>
      </c>
      <c r="F2177" s="4" t="s">
        <v>331</v>
      </c>
      <c r="G2177" s="6" t="str">
        <f>IFERROR(__xludf.DUMMYFUNCTION("REGEXREPLACE(LOWER(F2177),""[^a-z\s]"","""")"),"none")</f>
        <v>none</v>
      </c>
      <c r="H2177" s="4" t="str">
        <f t="shared" si="1"/>
        <v>none</v>
      </c>
      <c r="I2177" s="6">
        <f t="shared" si="2"/>
        <v>1</v>
      </c>
      <c r="J2177" s="6">
        <f>IFERROR(__xludf.DUMMYFUNCTION("IF(H2177="""","""",
SUM(
ARRAYFORMULA(
IF(
REGEXMATCH(
"" ""&amp;H2177&amp;"" "",
"" ""&amp;Sentiment_Words!A$2:A3730&amp;"" ""
),
1,
0
)
)
)
)"),0.0)</f>
        <v>0</v>
      </c>
      <c r="K2177" s="4">
        <f>IFERROR(__xludf.DUMMYFUNCTION("IF(H2177="""","""",
SUM(
ARRAYFORMULA(
IF(
REGEXMATCH(
"" ""&amp;H2177&amp;"" "",
"" ""&amp;Sentiment_Words!B$2:B3730&amp;"" ""
),
1,
0
)
)
)
)"),0.0)</f>
        <v>0</v>
      </c>
      <c r="L2177" s="7" t="str">
        <f t="shared" si="3"/>
        <v>Other</v>
      </c>
      <c r="M2177" s="7" t="str">
        <f t="shared" si="4"/>
        <v>Neutral</v>
      </c>
      <c r="N2177" s="7" t="str">
        <f>IFERROR(__xludf.DUMMYFUNCTION("LOWER(
TRIM(
REGEXREPLACE(B2177,""[^a-zA-Z\s]"","""")
)
)
"),"karen denike")</f>
        <v>karen denike</v>
      </c>
      <c r="O2177" s="7">
        <f t="shared" si="5"/>
        <v>1</v>
      </c>
      <c r="P2177" s="8" t="str">
        <f t="shared" si="6"/>
        <v>No</v>
      </c>
    </row>
    <row r="2178">
      <c r="A2178" s="4" t="s">
        <v>16</v>
      </c>
      <c r="B2178" s="4" t="s">
        <v>3975</v>
      </c>
      <c r="C2178" s="9">
        <v>44720.0</v>
      </c>
      <c r="D2178" s="10">
        <v>44720.0</v>
      </c>
      <c r="E2178" s="4" t="s">
        <v>6110</v>
      </c>
      <c r="F2178" s="4" t="s">
        <v>6111</v>
      </c>
      <c r="G2178" s="6" t="str">
        <f>IFERROR(__xludf.DUMMYFUNCTION("REGEXREPLACE(LOWER(F2178),""[^a-z\s]"","""")"),"i am new to petflow this was my first order website was easy to use and my item arrived promptly")</f>
        <v>i am new to petflow this was my first order website was easy to use and my item arrived promptly</v>
      </c>
      <c r="H2178" s="4" t="str">
        <f t="shared" si="1"/>
        <v>i am new petflow this was my first order website was easy use my item arrived promptly</v>
      </c>
      <c r="I2178" s="6">
        <f t="shared" si="2"/>
        <v>17</v>
      </c>
      <c r="J2178" s="6">
        <f>IFERROR(__xludf.DUMMYFUNCTION("IF(H2178="""","""",
SUM(
ARRAYFORMULA(
IF(
REGEXMATCH(
"" ""&amp;H2178&amp;"" "",
"" ""&amp;Sentiment_Words!A$2:A3730&amp;"" ""
),
1,
0
)
)
)
)"),1.0)</f>
        <v>1</v>
      </c>
      <c r="K2178" s="4">
        <f>IFERROR(__xludf.DUMMYFUNCTION("IF(H2178="""","""",
SUM(
ARRAYFORMULA(
IF(
REGEXMATCH(
"" ""&amp;H2178&amp;"" "",
"" ""&amp;Sentiment_Words!B$2:B3730&amp;"" ""
),
1,
0
)
)
)
)"),0.0)</f>
        <v>0</v>
      </c>
      <c r="L2178" s="7" t="str">
        <f t="shared" si="3"/>
        <v>Account &amp; Website</v>
      </c>
      <c r="M2178" s="7" t="str">
        <f t="shared" si="4"/>
        <v>Positive</v>
      </c>
      <c r="N2178" s="7" t="str">
        <f>IFERROR(__xludf.DUMMYFUNCTION("LOWER(
TRIM(
REGEXREPLACE(B2178,""[^a-zA-Z\s]"","""")
)
)
"),"brenda")</f>
        <v>brenda</v>
      </c>
      <c r="O2178" s="7">
        <f t="shared" si="5"/>
        <v>7</v>
      </c>
      <c r="P2178" s="8" t="str">
        <f t="shared" si="6"/>
        <v>Yes</v>
      </c>
    </row>
    <row r="2179">
      <c r="A2179" s="4" t="s">
        <v>16</v>
      </c>
      <c r="B2179" s="4" t="s">
        <v>6112</v>
      </c>
      <c r="C2179" s="9">
        <v>44720.0</v>
      </c>
      <c r="D2179" s="10">
        <v>44720.0</v>
      </c>
      <c r="E2179" s="4" t="s">
        <v>3355</v>
      </c>
      <c r="F2179" s="4" t="s">
        <v>6113</v>
      </c>
      <c r="G2179" s="6" t="str">
        <f>IFERROR(__xludf.DUMMYFUNCTION("REGEXREPLACE(LOWER(F2179),""[^a-z\s]"","""")"),"disappointed that an item was there to select as available only to find out it was not p")</f>
        <v>disappointed that an item was there to select as available only to find out it was not p</v>
      </c>
      <c r="H2179" s="4" t="str">
        <f t="shared" si="1"/>
        <v>disappointed that an item was there select as available only find out it was not p</v>
      </c>
      <c r="I2179" s="6">
        <f t="shared" si="2"/>
        <v>16</v>
      </c>
      <c r="J2179" s="6">
        <f>IFERROR(__xludf.DUMMYFUNCTION("IF(H2179="""","""",
SUM(
ARRAYFORMULA(
IF(
REGEXMATCH(
"" ""&amp;H2179&amp;"" "",
"" ""&amp;Sentiment_Words!A$2:A3730&amp;"" ""
),
1,
0
)
)
)
)"),1.0)</f>
        <v>1</v>
      </c>
      <c r="K2179" s="4">
        <f>IFERROR(__xludf.DUMMYFUNCTION("IF(H2179="""","""",
SUM(
ARRAYFORMULA(
IF(
REGEXMATCH(
"" ""&amp;H2179&amp;"" "",
"" ""&amp;Sentiment_Words!B$2:B3730&amp;"" ""
),
1,
0
)
)
)
)"),0.0)</f>
        <v>0</v>
      </c>
      <c r="L2179" s="7" t="str">
        <f t="shared" si="3"/>
        <v>Trust &amp; Experience</v>
      </c>
      <c r="M2179" s="7" t="str">
        <f t="shared" si="4"/>
        <v>Positive</v>
      </c>
      <c r="N2179" s="7" t="str">
        <f>IFERROR(__xludf.DUMMYFUNCTION("LOWER(
TRIM(
REGEXREPLACE(B2179,""[^a-zA-Z\s]"","""")
)
)
"),"adrienne bates")</f>
        <v>adrienne bates</v>
      </c>
      <c r="O2179" s="7">
        <f t="shared" si="5"/>
        <v>1</v>
      </c>
      <c r="P2179" s="8" t="str">
        <f t="shared" si="6"/>
        <v>No</v>
      </c>
    </row>
    <row r="2180">
      <c r="A2180" s="4" t="s">
        <v>16</v>
      </c>
      <c r="B2180" s="4" t="s">
        <v>6114</v>
      </c>
      <c r="C2180" s="9">
        <v>44720.0</v>
      </c>
      <c r="D2180" s="10">
        <v>44720.0</v>
      </c>
      <c r="E2180" s="4" t="s">
        <v>6115</v>
      </c>
      <c r="F2180" s="4" t="s">
        <v>6116</v>
      </c>
      <c r="G2180" s="6" t="str">
        <f>IFERROR(__xludf.DUMMYFUNCTION("REGEXREPLACE(LOWER(F2180),""[^a-z\s]"","""")"),"i like using petflow and other sites which are similar they are super convenient and reliable however the cost of shipping stops me from only using their service")</f>
        <v>i like using petflow and other sites which are similar they are super convenient and reliable however the cost of shipping stops me from only using their service</v>
      </c>
      <c r="H2180" s="4" t="str">
        <f t="shared" si="1"/>
        <v>i like using petflow other sites which are similar they are super convenient reliable however cost of shipping stops me from only using their service</v>
      </c>
      <c r="I2180" s="6">
        <f t="shared" si="2"/>
        <v>25</v>
      </c>
      <c r="J2180" s="6">
        <f>IFERROR(__xludf.DUMMYFUNCTION("IF(H2180="""","""",
SUM(
ARRAYFORMULA(
IF(
REGEXMATCH(
"" ""&amp;H2180&amp;"" "",
"" ""&amp;Sentiment_Words!A$2:A3730&amp;"" ""
),
1,
0
)
)
)
)"),2.0)</f>
        <v>2</v>
      </c>
      <c r="K2180" s="4">
        <f>IFERROR(__xludf.DUMMYFUNCTION("IF(H2180="""","""",
SUM(
ARRAYFORMULA(
IF(
REGEXMATCH(
"" ""&amp;H2180&amp;"" "",
"" ""&amp;Sentiment_Words!B$2:B3730&amp;"" ""
),
1,
0
)
)
)
)"),0.0)</f>
        <v>0</v>
      </c>
      <c r="L2180" s="7" t="str">
        <f t="shared" si="3"/>
        <v>Customer Support</v>
      </c>
      <c r="M2180" s="7" t="str">
        <f t="shared" si="4"/>
        <v>Positive</v>
      </c>
      <c r="N2180" s="7" t="str">
        <f>IFERROR(__xludf.DUMMYFUNCTION("LOWER(
TRIM(
REGEXREPLACE(B2180,""[^a-zA-Z\s]"","""")
)
)
"),"carla reed")</f>
        <v>carla reed</v>
      </c>
      <c r="O2180" s="7">
        <f t="shared" si="5"/>
        <v>1</v>
      </c>
      <c r="P2180" s="8" t="str">
        <f t="shared" si="6"/>
        <v>No</v>
      </c>
    </row>
    <row r="2181">
      <c r="A2181" s="4" t="s">
        <v>16</v>
      </c>
      <c r="B2181" s="4" t="s">
        <v>6117</v>
      </c>
      <c r="C2181" s="9">
        <v>44720.0</v>
      </c>
      <c r="D2181" s="10">
        <v>44720.0</v>
      </c>
      <c r="E2181" s="4" t="s">
        <v>6118</v>
      </c>
      <c r="F2181" s="4" t="s">
        <v>6119</v>
      </c>
      <c r="G2181" s="6" t="str">
        <f>IFERROR(__xludf.DUMMYFUNCTION("REGEXREPLACE(LOWER(F2181),""[^a-z\s]"","""")"),"your website said you had the prescription cat food i needed i bothered my vet for the prescription order your company said the order was being filled then im told that it is out of stock
how does this happen")</f>
        <v>your website said you had the prescription cat food i needed i bothered my vet for the prescription order your company said the order was being filled then im told that it is out of stock
how does this happen</v>
      </c>
      <c r="H2181" s="4" t="str">
        <f t="shared" si="1"/>
        <v>your website said you had prescription cat food i needed i bothered my vet prescription order your company said order was being filled then im told that it out of stock
how does this happen</v>
      </c>
      <c r="I2181" s="6">
        <f t="shared" si="2"/>
        <v>34</v>
      </c>
      <c r="J2181" s="6">
        <f>IFERROR(__xludf.DUMMYFUNCTION("IF(H2181="""","""",
SUM(
ARRAYFORMULA(
IF(
REGEXMATCH(
"" ""&amp;H2181&amp;"" "",
"" ""&amp;Sentiment_Words!A$2:A3730&amp;"" ""
),
1,
0
)
)
)
)"),0.0)</f>
        <v>0</v>
      </c>
      <c r="K2181" s="4">
        <f>IFERROR(__xludf.DUMMYFUNCTION("IF(H2181="""","""",
SUM(
ARRAYFORMULA(
IF(
REGEXMATCH(
"" ""&amp;H2181&amp;"" "",
"" ""&amp;Sentiment_Words!B$2:B3730&amp;"" ""
),
1,
0
)
)
)
)"),0.0)</f>
        <v>0</v>
      </c>
      <c r="L2181" s="7" t="str">
        <f t="shared" si="3"/>
        <v>Availability</v>
      </c>
      <c r="M2181" s="7" t="str">
        <f t="shared" si="4"/>
        <v>Neutral</v>
      </c>
      <c r="N2181" s="7" t="str">
        <f>IFERROR(__xludf.DUMMYFUNCTION("LOWER(
TRIM(
REGEXREPLACE(B2181,""[^a-zA-Z\s]"","""")
)
)
"),"charlene")</f>
        <v>charlene</v>
      </c>
      <c r="O2181" s="7">
        <f t="shared" si="5"/>
        <v>2</v>
      </c>
      <c r="P2181" s="8" t="str">
        <f t="shared" si="6"/>
        <v>Yes</v>
      </c>
    </row>
    <row r="2182">
      <c r="A2182" s="4" t="s">
        <v>16</v>
      </c>
      <c r="B2182" s="4" t="s">
        <v>6120</v>
      </c>
      <c r="C2182" s="9">
        <v>44720.0</v>
      </c>
      <c r="D2182" s="10">
        <v>44720.0</v>
      </c>
      <c r="E2182" s="4" t="s">
        <v>6121</v>
      </c>
      <c r="F2182" s="4" t="s">
        <v>6122</v>
      </c>
      <c r="G2182" s="6" t="str">
        <f>IFERROR(__xludf.DUMMYFUNCTION("REGEXREPLACE(LOWER(F2182),""[^a-z\s]"","""")"),"always the highest quality products  superior customer service a")</f>
        <v>always the highest quality products  superior customer service a</v>
      </c>
      <c r="H2182" s="4" t="str">
        <f t="shared" si="1"/>
        <v>always highest quality products superior customer service a</v>
      </c>
      <c r="I2182" s="6">
        <f t="shared" si="2"/>
        <v>8</v>
      </c>
      <c r="J2182" s="6">
        <f>IFERROR(__xludf.DUMMYFUNCTION("IF(H2182="""","""",
SUM(
ARRAYFORMULA(
IF(
REGEXMATCH(
"" ""&amp;H2182&amp;"" "",
"" ""&amp;Sentiment_Words!A$2:A3730&amp;"" ""
),
1,
0
)
)
)
)"),0.0)</f>
        <v>0</v>
      </c>
      <c r="K2182" s="4">
        <f>IFERROR(__xludf.DUMMYFUNCTION("IF(H2182="""","""",
SUM(
ARRAYFORMULA(
IF(
REGEXMATCH(
"" ""&amp;H2182&amp;"" "",
"" ""&amp;Sentiment_Words!B$2:B3730&amp;"" ""
),
1,
0
)
)
)
)"),1.0)</f>
        <v>1</v>
      </c>
      <c r="L2182" s="7" t="str">
        <f t="shared" si="3"/>
        <v>Customer Support</v>
      </c>
      <c r="M2182" s="7" t="str">
        <f t="shared" si="4"/>
        <v>Negative</v>
      </c>
      <c r="N2182" s="7" t="str">
        <f>IFERROR(__xludf.DUMMYFUNCTION("LOWER(
TRIM(
REGEXREPLACE(B2182,""[^a-zA-Z\s]"","""")
)
)
"),"m miller")</f>
        <v>m miller</v>
      </c>
      <c r="O2182" s="7">
        <f t="shared" si="5"/>
        <v>1</v>
      </c>
      <c r="P2182" s="8" t="str">
        <f t="shared" si="6"/>
        <v>No</v>
      </c>
    </row>
    <row r="2183">
      <c r="A2183" s="4" t="s">
        <v>16</v>
      </c>
      <c r="B2183" s="4" t="s">
        <v>6123</v>
      </c>
      <c r="C2183" s="9">
        <v>44719.0</v>
      </c>
      <c r="D2183" s="10">
        <v>44720.0</v>
      </c>
      <c r="E2183" s="4" t="s">
        <v>6124</v>
      </c>
      <c r="F2183" s="4" t="s">
        <v>6125</v>
      </c>
      <c r="G2183" s="6" t="str">
        <f>IFERROR(__xludf.DUMMYFUNCTION("REGEXREPLACE(LOWER(F2183),""[^a-z\s]"","""")"),"petflow had what i needed in special food for my cat i couldnt find it anywhere thank you so much the service was awesome")</f>
        <v>petflow had what i needed in special food for my cat i couldnt find it anywhere thank you so much the service was awesome</v>
      </c>
      <c r="H2183" s="4" t="str">
        <f t="shared" si="1"/>
        <v>petflow had what i needed in special food my cat i couldnt find it anywhere thank you so much service was awesome</v>
      </c>
      <c r="I2183" s="6">
        <f t="shared" si="2"/>
        <v>22</v>
      </c>
      <c r="J2183" s="6">
        <f>IFERROR(__xludf.DUMMYFUNCTION("IF(H2183="""","""",
SUM(
ARRAYFORMULA(
IF(
REGEXMATCH(
"" ""&amp;H2183&amp;"" "",
"" ""&amp;Sentiment_Words!A$2:A3730&amp;"" ""
),
1,
0
)
)
)
)"),0.0)</f>
        <v>0</v>
      </c>
      <c r="K2183" s="4">
        <f>IFERROR(__xludf.DUMMYFUNCTION("IF(H2183="""","""",
SUM(
ARRAYFORMULA(
IF(
REGEXMATCH(
"" ""&amp;H2183&amp;"" "",
"" ""&amp;Sentiment_Words!B$2:B3730&amp;"" ""
),
1,
0
)
)
)
)"),0.0)</f>
        <v>0</v>
      </c>
      <c r="L2183" s="7" t="str">
        <f t="shared" si="3"/>
        <v>Customer Support</v>
      </c>
      <c r="M2183" s="7" t="str">
        <f t="shared" si="4"/>
        <v>Neutral</v>
      </c>
      <c r="N2183" s="7" t="str">
        <f>IFERROR(__xludf.DUMMYFUNCTION("LOWER(
TRIM(
REGEXREPLACE(B2183,""[^a-zA-Z\s]"","""")
)
)
"),"dorothy zeigler")</f>
        <v>dorothy zeigler</v>
      </c>
      <c r="O2183" s="7">
        <f t="shared" si="5"/>
        <v>1</v>
      </c>
      <c r="P2183" s="8" t="str">
        <f t="shared" si="6"/>
        <v>No</v>
      </c>
    </row>
    <row r="2184">
      <c r="A2184" s="4" t="s">
        <v>16</v>
      </c>
      <c r="B2184" s="4" t="s">
        <v>1456</v>
      </c>
      <c r="C2184" s="9">
        <v>44719.0</v>
      </c>
      <c r="D2184" s="10">
        <v>44720.0</v>
      </c>
      <c r="E2184" s="4" t="s">
        <v>6126</v>
      </c>
      <c r="F2184" s="4" t="s">
        <v>6127</v>
      </c>
      <c r="G2184" s="6" t="str">
        <f>IFERROR(__xludf.DUMMYFUNCTION("REGEXREPLACE(LOWER(F2184),""[^a-z\s]"","""")"),"good service and a fair price thank you plan to order again")</f>
        <v>good service and a fair price thank you plan to order again</v>
      </c>
      <c r="H2184" s="4" t="str">
        <f t="shared" si="1"/>
        <v>good service a fair price thank you plan order again</v>
      </c>
      <c r="I2184" s="6">
        <f t="shared" si="2"/>
        <v>10</v>
      </c>
      <c r="J2184" s="6">
        <f>IFERROR(__xludf.DUMMYFUNCTION("IF(H2184="""","""",
SUM(
ARRAYFORMULA(
IF(
REGEXMATCH(
"" ""&amp;H2184&amp;"" "",
"" ""&amp;Sentiment_Words!A$2:A3730&amp;"" ""
),
1,
0
)
)
)
)"),1.0)</f>
        <v>1</v>
      </c>
      <c r="K2184" s="4">
        <f>IFERROR(__xludf.DUMMYFUNCTION("IF(H2184="""","""",
SUM(
ARRAYFORMULA(
IF(
REGEXMATCH(
"" ""&amp;H2184&amp;"" "",
"" ""&amp;Sentiment_Words!B$2:B3730&amp;"" ""
),
1,
0
)
)
)
)"),0.0)</f>
        <v>0</v>
      </c>
      <c r="L2184" s="7" t="str">
        <f t="shared" si="3"/>
        <v>Customer Support</v>
      </c>
      <c r="M2184" s="7" t="str">
        <f t="shared" si="4"/>
        <v>Positive</v>
      </c>
      <c r="N2184" s="7" t="str">
        <f>IFERROR(__xludf.DUMMYFUNCTION("LOWER(
TRIM(
REGEXREPLACE(B2184,""[^a-zA-Z\s]"","""")
)
)
"),"kathy")</f>
        <v>kathy</v>
      </c>
      <c r="O2184" s="7">
        <f t="shared" si="5"/>
        <v>5</v>
      </c>
      <c r="P2184" s="8" t="str">
        <f t="shared" si="6"/>
        <v>Yes</v>
      </c>
    </row>
    <row r="2185">
      <c r="A2185" s="4" t="s">
        <v>16</v>
      </c>
      <c r="B2185" s="4" t="s">
        <v>6128</v>
      </c>
      <c r="C2185" s="9">
        <v>44719.0</v>
      </c>
      <c r="D2185" s="10">
        <v>44720.0</v>
      </c>
      <c r="E2185" s="4" t="s">
        <v>6129</v>
      </c>
      <c r="F2185" s="4" t="s">
        <v>6130</v>
      </c>
      <c r="G2185" s="6" t="str">
        <f>IFERROR(__xludf.DUMMYFUNCTION("REGEXREPLACE(LOWER(F2185),""[^a-z\s]"","""")"),"wonderful experience petflow was the only place that had the prescription food i needed for my cat they expedited my order when i expressed my needs sadly my cat passed away saturday but he loved this particular brand of food so i am very grateful that he"&amp;" had a couple days of enjoying it at mealtime i would recommend petflow")</f>
        <v>wonderful experience petflow was the only place that had the prescription food i needed for my cat they expedited my order when i expressed my needs sadly my cat passed away saturday but he loved this particular brand of food so i am very grateful that he had a couple days of enjoying it at mealtime i would recommend petflow</v>
      </c>
      <c r="H2185" s="4" t="str">
        <f t="shared" si="1"/>
        <v>wonderful experience petflow was only place that had prescription food i needed my cat they expedited my order when i expressed my needs sadly my cat passed away saturday but he loved this particular brand of food so i am very grateful that he had a couple days of enjoying it at mealtime i would recommend petflow</v>
      </c>
      <c r="I2185" s="6">
        <f t="shared" si="2"/>
        <v>57</v>
      </c>
      <c r="J2185" s="6">
        <f>IFERROR(__xludf.DUMMYFUNCTION("IF(H2185="""","""",
SUM(
ARRAYFORMULA(
IF(
REGEXMATCH(
"" ""&amp;H2185&amp;"" "",
"" ""&amp;Sentiment_Words!A$2:A3730&amp;"" ""
),
1,
0
)
)
)
)"),1.0)</f>
        <v>1</v>
      </c>
      <c r="K2185" s="4">
        <f>IFERROR(__xludf.DUMMYFUNCTION("IF(H2185="""","""",
SUM(
ARRAYFORMULA(
IF(
REGEXMATCH(
"" ""&amp;H2185&amp;"" "",
"" ""&amp;Sentiment_Words!B$2:B3730&amp;"" ""
),
1,
0
)
)
)
)"),0.0)</f>
        <v>0</v>
      </c>
      <c r="L2185" s="7" t="str">
        <f t="shared" si="3"/>
        <v>Other</v>
      </c>
      <c r="M2185" s="7" t="str">
        <f t="shared" si="4"/>
        <v>Positive</v>
      </c>
      <c r="N2185" s="7" t="str">
        <f>IFERROR(__xludf.DUMMYFUNCTION("LOWER(
TRIM(
REGEXREPLACE(B2185,""[^a-zA-Z\s]"","""")
)
)
"),"debby oyler")</f>
        <v>debby oyler</v>
      </c>
      <c r="O2185" s="7">
        <f t="shared" si="5"/>
        <v>1</v>
      </c>
      <c r="P2185" s="8" t="str">
        <f t="shared" si="6"/>
        <v>No</v>
      </c>
    </row>
    <row r="2186">
      <c r="A2186" s="4" t="s">
        <v>16</v>
      </c>
      <c r="B2186" s="4" t="s">
        <v>5027</v>
      </c>
      <c r="C2186" s="9">
        <v>44719.0</v>
      </c>
      <c r="D2186" s="10">
        <v>44719.0</v>
      </c>
      <c r="E2186" s="4" t="s">
        <v>6131</v>
      </c>
      <c r="F2186" s="4" t="s">
        <v>6132</v>
      </c>
      <c r="G2186" s="6" t="str">
        <f>IFERROR(__xludf.DUMMYFUNCTION("REGEXREPLACE(LOWER(F2186),""[^a-z\s]"","""")"),"i have been ordering from petflow for some time now i always have a good experience with fast shipping and easy ordering i have a dog and two cats so i order often great company to do business with
rob")</f>
        <v>i have been ordering from petflow for some time now i always have a good experience with fast shipping and easy ordering i have a dog and two cats so i order often great company to do business with
rob</v>
      </c>
      <c r="H2186" s="4" t="str">
        <f t="shared" si="1"/>
        <v>i have been ordering from petflow some time now i always have a good experience with fast shipping easy ordering i have a dog two cats so i order often great company do business with
rob</v>
      </c>
      <c r="I2186" s="6">
        <f t="shared" si="2"/>
        <v>35</v>
      </c>
      <c r="J2186" s="6">
        <f>IFERROR(__xludf.DUMMYFUNCTION("IF(H2186="""","""",
SUM(
ARRAYFORMULA(
IF(
REGEXMATCH(
"" ""&amp;H2186&amp;"" "",
"" ""&amp;Sentiment_Words!A$2:A3730&amp;"" ""
),
1,
0
)
)
)
)"),4.0)</f>
        <v>4</v>
      </c>
      <c r="K2186" s="4">
        <f>IFERROR(__xludf.DUMMYFUNCTION("IF(H2186="""","""",
SUM(
ARRAYFORMULA(
IF(
REGEXMATCH(
"" ""&amp;H2186&amp;"" "",
"" ""&amp;Sentiment_Words!B$2:B3730&amp;"" ""
),
1,
0
)
)
)
)"),0.0)</f>
        <v>0</v>
      </c>
      <c r="L2186" s="7" t="str">
        <f t="shared" si="3"/>
        <v>Other</v>
      </c>
      <c r="M2186" s="7" t="str">
        <f t="shared" si="4"/>
        <v>Positive</v>
      </c>
      <c r="N2186" s="7" t="str">
        <f>IFERROR(__xludf.DUMMYFUNCTION("LOWER(
TRIM(
REGEXREPLACE(B2186,""[^a-zA-Z\s]"","""")
)
)
"),"valued customer")</f>
        <v>valued customer</v>
      </c>
      <c r="O2186" s="7">
        <f t="shared" si="5"/>
        <v>2</v>
      </c>
      <c r="P2186" s="8" t="str">
        <f t="shared" si="6"/>
        <v>Yes</v>
      </c>
    </row>
    <row r="2187">
      <c r="A2187" s="4" t="s">
        <v>16</v>
      </c>
      <c r="B2187" s="4" t="s">
        <v>1142</v>
      </c>
      <c r="C2187" s="9">
        <v>44719.0</v>
      </c>
      <c r="D2187" s="10">
        <v>44719.0</v>
      </c>
      <c r="E2187" s="4" t="s">
        <v>6133</v>
      </c>
      <c r="F2187" s="4" t="s">
        <v>6134</v>
      </c>
      <c r="G2187" s="6" t="str">
        <f>IFERROR(__xludf.DUMMYFUNCTION("REGEXREPLACE(LOWER(F2187),""[^a-z\s]"","""")"),"petflow is great they processed my kitties prescription quickly and shipped my order promptly")</f>
        <v>petflow is great they processed my kitties prescription quickly and shipped my order promptly</v>
      </c>
      <c r="H2187" s="4" t="str">
        <f t="shared" si="1"/>
        <v>petflow great they processed my kitties prescription quickly shipped my order promptly</v>
      </c>
      <c r="I2187" s="6">
        <f t="shared" si="2"/>
        <v>12</v>
      </c>
      <c r="J2187" s="6">
        <f>IFERROR(__xludf.DUMMYFUNCTION("IF(H2187="""","""",
SUM(
ARRAYFORMULA(
IF(
REGEXMATCH(
"" ""&amp;H2187&amp;"" "",
"" ""&amp;Sentiment_Words!A$2:A3730&amp;"" ""
),
1,
0
)
)
)
)"),1.0)</f>
        <v>1</v>
      </c>
      <c r="K2187" s="4">
        <f>IFERROR(__xludf.DUMMYFUNCTION("IF(H2187="""","""",
SUM(
ARRAYFORMULA(
IF(
REGEXMATCH(
"" ""&amp;H2187&amp;"" "",
"" ""&amp;Sentiment_Words!B$2:B3730&amp;"" ""
),
1,
0
)
)
)
)"),0.0)</f>
        <v>0</v>
      </c>
      <c r="L2187" s="7" t="str">
        <f t="shared" si="3"/>
        <v>Other</v>
      </c>
      <c r="M2187" s="7" t="str">
        <f t="shared" si="4"/>
        <v>Positive</v>
      </c>
      <c r="N2187" s="7" t="str">
        <f>IFERROR(__xludf.DUMMYFUNCTION("LOWER(
TRIM(
REGEXREPLACE(B2187,""[^a-zA-Z\s]"","""")
)
)
"),"karen")</f>
        <v>karen</v>
      </c>
      <c r="O2187" s="7">
        <f t="shared" si="5"/>
        <v>8</v>
      </c>
      <c r="P2187" s="8" t="str">
        <f t="shared" si="6"/>
        <v>Yes</v>
      </c>
    </row>
    <row r="2188">
      <c r="A2188" s="4" t="s">
        <v>16</v>
      </c>
      <c r="B2188" s="4" t="s">
        <v>6135</v>
      </c>
      <c r="C2188" s="9">
        <v>44719.0</v>
      </c>
      <c r="D2188" s="10">
        <v>44719.0</v>
      </c>
      <c r="E2188" s="4" t="s">
        <v>6136</v>
      </c>
      <c r="F2188" s="4" t="s">
        <v>6137</v>
      </c>
      <c r="G2188" s="6" t="str">
        <f>IFERROR(__xludf.DUMMYFUNCTION("REGEXREPLACE(LOWER(F2188),""[^a-z\s]"","""")"),"shipping is so slow compared to chewy i use chewy whenever possible for that reason")</f>
        <v>shipping is so slow compared to chewy i use chewy whenever possible for that reason</v>
      </c>
      <c r="H2188" s="4" t="str">
        <f t="shared" si="1"/>
        <v>shipping so slow compared chewy i use chewy whenever possible that reason</v>
      </c>
      <c r="I2188" s="6">
        <f t="shared" si="2"/>
        <v>12</v>
      </c>
      <c r="J2188" s="6">
        <f>IFERROR(__xludf.DUMMYFUNCTION("IF(H2188="""","""",
SUM(
ARRAYFORMULA(
IF(
REGEXMATCH(
"" ""&amp;H2188&amp;"" "",
"" ""&amp;Sentiment_Words!A$2:A3730&amp;"" ""
),
1,
0
)
)
)
)"),0.0)</f>
        <v>0</v>
      </c>
      <c r="K2188" s="4">
        <f>IFERROR(__xludf.DUMMYFUNCTION("IF(H2188="""","""",
SUM(
ARRAYFORMULA(
IF(
REGEXMATCH(
"" ""&amp;H2188&amp;"" "",
"" ""&amp;Sentiment_Words!B$2:B3730&amp;"" ""
),
1,
0
)
)
)
)"),0.0)</f>
        <v>0</v>
      </c>
      <c r="L2188" s="7" t="str">
        <f t="shared" si="3"/>
        <v>Other</v>
      </c>
      <c r="M2188" s="7" t="str">
        <f t="shared" si="4"/>
        <v>Neutral</v>
      </c>
      <c r="N2188" s="7" t="str">
        <f>IFERROR(__xludf.DUMMYFUNCTION("LOWER(
TRIM(
REGEXREPLACE(B2188,""[^a-zA-Z\s]"","""")
)
)
"),"lisa wiesenauer")</f>
        <v>lisa wiesenauer</v>
      </c>
      <c r="O2188" s="7">
        <f t="shared" si="5"/>
        <v>1</v>
      </c>
      <c r="P2188" s="8" t="str">
        <f t="shared" si="6"/>
        <v>No</v>
      </c>
    </row>
    <row r="2189">
      <c r="A2189" s="4" t="s">
        <v>16</v>
      </c>
      <c r="B2189" s="4" t="s">
        <v>6138</v>
      </c>
      <c r="C2189" s="9">
        <v>44719.0</v>
      </c>
      <c r="D2189" s="10">
        <v>44719.0</v>
      </c>
      <c r="E2189" s="4" t="s">
        <v>6139</v>
      </c>
      <c r="F2189" s="4" t="s">
        <v>6140</v>
      </c>
      <c r="G2189" s="6" t="str">
        <f>IFERROR(__xludf.DUMMYFUNCTION("REGEXREPLACE(LOWER(F2189),""[^a-z\s]"","""")"),"i have had nothing but positive experiences with petflow")</f>
        <v>i have had nothing but positive experiences with petflow</v>
      </c>
      <c r="H2189" s="4" t="str">
        <f t="shared" si="1"/>
        <v>i have had nothing but positive experiences with petflow</v>
      </c>
      <c r="I2189" s="6">
        <f t="shared" si="2"/>
        <v>9</v>
      </c>
      <c r="J2189" s="6">
        <f>IFERROR(__xludf.DUMMYFUNCTION("IF(H2189="""","""",
SUM(
ARRAYFORMULA(
IF(
REGEXMATCH(
"" ""&amp;H2189&amp;"" "",
"" ""&amp;Sentiment_Words!A$2:A3730&amp;"" ""
),
1,
0
)
)
)
)"),0.0)</f>
        <v>0</v>
      </c>
      <c r="K2189" s="4">
        <f>IFERROR(__xludf.DUMMYFUNCTION("IF(H2189="""","""",
SUM(
ARRAYFORMULA(
IF(
REGEXMATCH(
"" ""&amp;H2189&amp;"" "",
"" ""&amp;Sentiment_Words!B$2:B3730&amp;"" ""
),
1,
0
)
)
)
)"),0.0)</f>
        <v>0</v>
      </c>
      <c r="L2189" s="7" t="str">
        <f t="shared" si="3"/>
        <v>Other</v>
      </c>
      <c r="M2189" s="7" t="str">
        <f t="shared" si="4"/>
        <v>Neutral</v>
      </c>
      <c r="N2189" s="7" t="str">
        <f>IFERROR(__xludf.DUMMYFUNCTION("LOWER(
TRIM(
REGEXREPLACE(B2189,""[^a-zA-Z\s]"","""")
)
)
"),"jam")</f>
        <v>jam</v>
      </c>
      <c r="O2189" s="7">
        <f t="shared" si="5"/>
        <v>1</v>
      </c>
      <c r="P2189" s="8" t="str">
        <f t="shared" si="6"/>
        <v>No</v>
      </c>
    </row>
    <row r="2190">
      <c r="A2190" s="4" t="s">
        <v>16</v>
      </c>
      <c r="B2190" s="4" t="s">
        <v>6141</v>
      </c>
      <c r="C2190" s="9">
        <v>44719.0</v>
      </c>
      <c r="D2190" s="10">
        <v>44719.0</v>
      </c>
      <c r="E2190" s="4" t="s">
        <v>6142</v>
      </c>
      <c r="F2190" s="4" t="s">
        <v>6143</v>
      </c>
      <c r="G2190" s="6" t="str">
        <f>IFERROR(__xludf.DUMMYFUNCTION("REGEXREPLACE(LOWER(F2190),""[^a-z\s]"","""")"),"petflow was the only source for prescription food for my cat all local stores and vets all said they were out and it was on back order so petflow was a kitty saver")</f>
        <v>petflow was the only source for prescription food for my cat all local stores and vets all said they were out and it was on back order so petflow was a kitty saver</v>
      </c>
      <c r="H2190" s="4" t="str">
        <f t="shared" si="1"/>
        <v>petflow was only source prescription food my cat all local stores vets all said they were out it was on back order so petflow was a kitty saver</v>
      </c>
      <c r="I2190" s="6">
        <f t="shared" si="2"/>
        <v>28</v>
      </c>
      <c r="J2190" s="6">
        <f>IFERROR(__xludf.DUMMYFUNCTION("IF(H2190="""","""",
SUM(
ARRAYFORMULA(
IF(
REGEXMATCH(
"" ""&amp;H2190&amp;"" "",
"" ""&amp;Sentiment_Words!A$2:A3730&amp;"" ""
),
1,
0
)
)
)
)"),0.0)</f>
        <v>0</v>
      </c>
      <c r="K2190" s="4">
        <f>IFERROR(__xludf.DUMMYFUNCTION("IF(H2190="""","""",
SUM(
ARRAYFORMULA(
IF(
REGEXMATCH(
"" ""&amp;H2190&amp;"" "",
"" ""&amp;Sentiment_Words!B$2:B3730&amp;"" ""
),
1,
0
)
)
)
)"),0.0)</f>
        <v>0</v>
      </c>
      <c r="L2190" s="7" t="str">
        <f t="shared" si="3"/>
        <v>Other</v>
      </c>
      <c r="M2190" s="7" t="str">
        <f t="shared" si="4"/>
        <v>Neutral</v>
      </c>
      <c r="N2190" s="7" t="str">
        <f>IFERROR(__xludf.DUMMYFUNCTION("LOWER(
TRIM(
REGEXREPLACE(B2190,""[^a-zA-Z\s]"","""")
)
)
"),"albert franzone")</f>
        <v>albert franzone</v>
      </c>
      <c r="O2190" s="7">
        <f t="shared" si="5"/>
        <v>1</v>
      </c>
      <c r="P2190" s="8" t="str">
        <f t="shared" si="6"/>
        <v>No</v>
      </c>
    </row>
    <row r="2191">
      <c r="A2191" s="4" t="s">
        <v>16</v>
      </c>
      <c r="B2191" s="4" t="s">
        <v>3269</v>
      </c>
      <c r="C2191" s="9">
        <v>44719.0</v>
      </c>
      <c r="D2191" s="10">
        <v>44719.0</v>
      </c>
      <c r="E2191" s="4" t="s">
        <v>6144</v>
      </c>
      <c r="F2191" s="4" t="s">
        <v>6145</v>
      </c>
      <c r="G2191" s="6" t="str">
        <f>IFERROR(__xludf.DUMMYFUNCTION("REGEXREPLACE(LOWER(F2191),""[^a-z\s]"","""")"),"fedex took more than a week to deliver
usps is better even the fedex tracking is not accurate and very slow or sometimes not even up to date")</f>
        <v>fedex took more than a week to deliver
usps is better even the fedex tracking is not accurate and very slow or sometimes not even up to date</v>
      </c>
      <c r="H2191" s="4" t="str">
        <f t="shared" si="1"/>
        <v>fedex took more than a week deliver
usps better even fedex tracking not accurate very slow or sometimes not even up date</v>
      </c>
      <c r="I2191" s="6">
        <f t="shared" si="2"/>
        <v>21</v>
      </c>
      <c r="J2191" s="6">
        <f>IFERROR(__xludf.DUMMYFUNCTION("IF(H2191="""","""",
SUM(
ARRAYFORMULA(
IF(
REGEXMATCH(
"" ""&amp;H2191&amp;"" "",
"" ""&amp;Sentiment_Words!A$2:A3730&amp;"" ""
),
1,
0
)
)
)
)"),0.0)</f>
        <v>0</v>
      </c>
      <c r="K2191" s="4">
        <f>IFERROR(__xludf.DUMMYFUNCTION("IF(H2191="""","""",
SUM(
ARRAYFORMULA(
IF(
REGEXMATCH(
"" ""&amp;H2191&amp;"" "",
"" ""&amp;Sentiment_Words!B$2:B3730&amp;"" ""
),
1,
0
)
)
)
)"),0.0)</f>
        <v>0</v>
      </c>
      <c r="L2191" s="7" t="str">
        <f t="shared" si="3"/>
        <v>Other</v>
      </c>
      <c r="M2191" s="7" t="str">
        <f t="shared" si="4"/>
        <v>Neutral</v>
      </c>
      <c r="N2191" s="7" t="str">
        <f>IFERROR(__xludf.DUMMYFUNCTION("LOWER(
TRIM(
REGEXREPLACE(B2191,""[^a-zA-Z\s]"","""")
)
)
"),"shirley")</f>
        <v>shirley</v>
      </c>
      <c r="O2191" s="7">
        <f t="shared" si="5"/>
        <v>4</v>
      </c>
      <c r="P2191" s="8" t="str">
        <f t="shared" si="6"/>
        <v>Yes</v>
      </c>
    </row>
    <row r="2192">
      <c r="A2192" s="4" t="s">
        <v>16</v>
      </c>
      <c r="B2192" s="4" t="s">
        <v>6146</v>
      </c>
      <c r="C2192" s="9">
        <v>44718.0</v>
      </c>
      <c r="D2192" s="10">
        <v>44718.0</v>
      </c>
      <c r="E2192" s="4" t="s">
        <v>6147</v>
      </c>
      <c r="F2192" s="4" t="s">
        <v>6148</v>
      </c>
      <c r="G2192" s="6" t="str">
        <f>IFERROR(__xludf.DUMMYFUNCTION("REGEXREPLACE(LOWER(F2192),""[^a-z\s]"","""")"),"customer service was not friendly they charged and shipped me two bags of my dogs food when i only purchased one when i called back to dispute the charge they were not very helpful and kept insisting that i bring the super heavy bag to fedex for return")</f>
        <v>customer service was not friendly they charged and shipped me two bags of my dogs food when i only purchased one when i called back to dispute the charge they were not very helpful and kept insisting that i bring the super heavy bag to fedex for return</v>
      </c>
      <c r="H2192" s="4" t="str">
        <f t="shared" si="1"/>
        <v>customer service was not friendly they charged shipped me two bags of my dogs food when i only purchased one when i called back dispute charge they were not very helpful kept insisting that i bring super heavy bag fedex return</v>
      </c>
      <c r="I2192" s="6">
        <f t="shared" si="2"/>
        <v>41</v>
      </c>
      <c r="J2192" s="6">
        <f>IFERROR(__xludf.DUMMYFUNCTION("IF(H2192="""","""",
SUM(
ARRAYFORMULA(
IF(
REGEXMATCH(
"" ""&amp;H2192&amp;"" "",
"" ""&amp;Sentiment_Words!A$2:A3730&amp;"" ""
),
1,
0
)
)
)
)"),1.0)</f>
        <v>1</v>
      </c>
      <c r="K2192" s="4">
        <f>IFERROR(__xludf.DUMMYFUNCTION("IF(H2192="""","""",
SUM(
ARRAYFORMULA(
IF(
REGEXMATCH(
"" ""&amp;H2192&amp;"" "",
"" ""&amp;Sentiment_Words!B$2:B3730&amp;"" ""
),
1,
0
)
)
)
)"),1.0)</f>
        <v>1</v>
      </c>
      <c r="L2192" s="7" t="str">
        <f t="shared" si="3"/>
        <v>Customer Support</v>
      </c>
      <c r="M2192" s="7" t="str">
        <f t="shared" si="4"/>
        <v>Neutral</v>
      </c>
      <c r="N2192" s="7" t="str">
        <f>IFERROR(__xludf.DUMMYFUNCTION("LOWER(
TRIM(
REGEXREPLACE(B2192,""[^a-zA-Z\s]"","""")
)
)
"),"ronald verhagen")</f>
        <v>ronald verhagen</v>
      </c>
      <c r="O2192" s="7">
        <f t="shared" si="5"/>
        <v>1</v>
      </c>
      <c r="P2192" s="8" t="str">
        <f t="shared" si="6"/>
        <v>No</v>
      </c>
    </row>
    <row r="2193">
      <c r="A2193" s="4" t="s">
        <v>16</v>
      </c>
      <c r="B2193" s="4" t="s">
        <v>6149</v>
      </c>
      <c r="C2193" s="9">
        <v>44718.0</v>
      </c>
      <c r="D2193" s="10">
        <v>44718.0</v>
      </c>
      <c r="E2193" s="4" t="s">
        <v>6150</v>
      </c>
      <c r="F2193" s="4" t="s">
        <v>6151</v>
      </c>
      <c r="G2193" s="6" t="str">
        <f>IFERROR(__xludf.DUMMYFUNCTION("REGEXREPLACE(LOWER(F2193),""[^a-z\s]"","""")"),"when fed x lost my order i called customer service and the order was replaced without hesitation that is excellent service")</f>
        <v>when fed x lost my order i called customer service and the order was replaced without hesitation that is excellent service</v>
      </c>
      <c r="H2193" s="4" t="str">
        <f t="shared" si="1"/>
        <v>when fed x lost my order i called customer service order was replaced without hesitation that excellent service</v>
      </c>
      <c r="I2193" s="6">
        <f t="shared" si="2"/>
        <v>18</v>
      </c>
      <c r="J2193" s="6">
        <f>IFERROR(__xludf.DUMMYFUNCTION("IF(H2193="""","""",
SUM(
ARRAYFORMULA(
IF(
REGEXMATCH(
"" ""&amp;H2193&amp;"" "",
"" ""&amp;Sentiment_Words!A$2:A3730&amp;"" ""
),
1,
0
)
)
)
)"),0.0)</f>
        <v>0</v>
      </c>
      <c r="K2193" s="4">
        <f>IFERROR(__xludf.DUMMYFUNCTION("IF(H2193="""","""",
SUM(
ARRAYFORMULA(
IF(
REGEXMATCH(
"" ""&amp;H2193&amp;"" "",
"" ""&amp;Sentiment_Words!B$2:B3730&amp;"" ""
),
1,
0
)
)
)
)"),1.0)</f>
        <v>1</v>
      </c>
      <c r="L2193" s="7" t="str">
        <f t="shared" si="3"/>
        <v>Customer Support</v>
      </c>
      <c r="M2193" s="7" t="str">
        <f t="shared" si="4"/>
        <v>Negative</v>
      </c>
      <c r="N2193" s="7" t="str">
        <f>IFERROR(__xludf.DUMMYFUNCTION("LOWER(
TRIM(
REGEXREPLACE(B2193,""[^a-zA-Z\s]"","""")
)
)
"),"rk")</f>
        <v>rk</v>
      </c>
      <c r="O2193" s="7">
        <f t="shared" si="5"/>
        <v>2</v>
      </c>
      <c r="P2193" s="8" t="str">
        <f t="shared" si="6"/>
        <v>Yes</v>
      </c>
    </row>
    <row r="2194">
      <c r="A2194" s="4" t="s">
        <v>16</v>
      </c>
      <c r="B2194" s="4" t="s">
        <v>6152</v>
      </c>
      <c r="C2194" s="9">
        <v>44718.0</v>
      </c>
      <c r="D2194" s="10">
        <v>44718.0</v>
      </c>
      <c r="E2194" s="4" t="s">
        <v>6153</v>
      </c>
      <c r="F2194" s="4" t="s">
        <v>6154</v>
      </c>
      <c r="G2194" s="6" t="str">
        <f>IFERROR(__xludf.DUMMYFUNCTION("REGEXREPLACE(LOWER(F2194),""[^a-z\s]"","""")"),"slow shipping went to order another bag and couldnt find it")</f>
        <v>slow shipping went to order another bag and couldnt find it</v>
      </c>
      <c r="H2194" s="4" t="str">
        <f t="shared" si="1"/>
        <v>slow shipping went order another bag couldnt find it</v>
      </c>
      <c r="I2194" s="6">
        <f t="shared" si="2"/>
        <v>9</v>
      </c>
      <c r="J2194" s="6">
        <f>IFERROR(__xludf.DUMMYFUNCTION("IF(H2194="""","""",
SUM(
ARRAYFORMULA(
IF(
REGEXMATCH(
"" ""&amp;H2194&amp;"" "",
"" ""&amp;Sentiment_Words!A$2:A3730&amp;"" ""
),
1,
0
)
)
)
)"),0.0)</f>
        <v>0</v>
      </c>
      <c r="K2194" s="4">
        <f>IFERROR(__xludf.DUMMYFUNCTION("IF(H2194="""","""",
SUM(
ARRAYFORMULA(
IF(
REGEXMATCH(
"" ""&amp;H2194&amp;"" "",
"" ""&amp;Sentiment_Words!B$2:B3730&amp;"" ""
),
1,
0
)
)
)
)"),0.0)</f>
        <v>0</v>
      </c>
      <c r="L2194" s="7" t="str">
        <f t="shared" si="3"/>
        <v>Other</v>
      </c>
      <c r="M2194" s="7" t="str">
        <f t="shared" si="4"/>
        <v>Neutral</v>
      </c>
      <c r="N2194" s="7" t="str">
        <f>IFERROR(__xludf.DUMMYFUNCTION("LOWER(
TRIM(
REGEXREPLACE(B2194,""[^a-zA-Z\s]"","""")
)
)
"),"anthony")</f>
        <v>anthony</v>
      </c>
      <c r="O2194" s="7">
        <f t="shared" si="5"/>
        <v>1</v>
      </c>
      <c r="P2194" s="8" t="str">
        <f t="shared" si="6"/>
        <v>No</v>
      </c>
    </row>
    <row r="2195">
      <c r="A2195" s="4" t="s">
        <v>16</v>
      </c>
      <c r="B2195" s="4" t="s">
        <v>6155</v>
      </c>
      <c r="C2195" s="9">
        <v>44718.0</v>
      </c>
      <c r="D2195" s="10">
        <v>44718.0</v>
      </c>
      <c r="E2195" s="4" t="s">
        <v>3105</v>
      </c>
      <c r="F2195" s="4" t="s">
        <v>6156</v>
      </c>
      <c r="G2195" s="6" t="str">
        <f>IFERROR(__xludf.DUMMYFUNCTION("REGEXREPLACE(LOWER(F2195),""[^a-z\s]"","""")"),"petflow is a good company to buy cat food from i especially like having it she directly to my door i have to order a prescription type of food for my pet and cannot find it anywhere else petflow has exactly what i need")</f>
        <v>petflow is a good company to buy cat food from i especially like having it she directly to my door i have to order a prescription type of food for my pet and cannot find it anywhere else petflow has exactly what i need</v>
      </c>
      <c r="H2195" s="4" t="str">
        <f t="shared" si="1"/>
        <v>petflow a good company buy cat food from i especially like having it she directly my door i have order a prescription type of food my pet cannot find it anywhere else petflow has exactly what i need</v>
      </c>
      <c r="I2195" s="6">
        <f t="shared" si="2"/>
        <v>38</v>
      </c>
      <c r="J2195" s="6">
        <f>IFERROR(__xludf.DUMMYFUNCTION("IF(H2195="""","""",
SUM(
ARRAYFORMULA(
IF(
REGEXMATCH(
"" ""&amp;H2195&amp;"" "",
"" ""&amp;Sentiment_Words!A$2:A3730&amp;"" ""
),
1,
0
)
)
)
)"),1.0)</f>
        <v>1</v>
      </c>
      <c r="K2195" s="4">
        <f>IFERROR(__xludf.DUMMYFUNCTION("IF(H2195="""","""",
SUM(
ARRAYFORMULA(
IF(
REGEXMATCH(
"" ""&amp;H2195&amp;"" "",
"" ""&amp;Sentiment_Words!B$2:B3730&amp;"" ""
),
1,
0
)
)
)
)"),0.0)</f>
        <v>0</v>
      </c>
      <c r="L2195" s="7" t="str">
        <f t="shared" si="3"/>
        <v>Other</v>
      </c>
      <c r="M2195" s="7" t="str">
        <f t="shared" si="4"/>
        <v>Positive</v>
      </c>
      <c r="N2195" s="7" t="str">
        <f>IFERROR(__xludf.DUMMYFUNCTION("LOWER(
TRIM(
REGEXREPLACE(B2195,""[^a-zA-Z\s]"","""")
)
)
"),"brian ensign")</f>
        <v>brian ensign</v>
      </c>
      <c r="O2195" s="7">
        <f t="shared" si="5"/>
        <v>1</v>
      </c>
      <c r="P2195" s="8" t="str">
        <f t="shared" si="6"/>
        <v>No</v>
      </c>
    </row>
    <row r="2196">
      <c r="A2196" s="4" t="s">
        <v>16</v>
      </c>
      <c r="B2196" s="4" t="s">
        <v>6157</v>
      </c>
      <c r="C2196" s="9">
        <v>44717.0</v>
      </c>
      <c r="D2196" s="10">
        <v>44717.0</v>
      </c>
      <c r="E2196" s="4" t="s">
        <v>6158</v>
      </c>
      <c r="F2196" s="4" t="s">
        <v>6159</v>
      </c>
      <c r="G2196" s="6" t="str">
        <f>IFERROR(__xludf.DUMMYFUNCTION("REGEXREPLACE(LOWER(F2196),""[^a-z\s]"","""")"),"i was able to find what i needed that others didnt have turnaround was quick and order was correct")</f>
        <v>i was able to find what i needed that others didnt have turnaround was quick and order was correct</v>
      </c>
      <c r="H2196" s="4" t="str">
        <f t="shared" si="1"/>
        <v>i was able find what i needed that others didnt have turnaround was quick order was correct</v>
      </c>
      <c r="I2196" s="6">
        <f t="shared" si="2"/>
        <v>17</v>
      </c>
      <c r="J2196" s="6">
        <f>IFERROR(__xludf.DUMMYFUNCTION("IF(H2196="""","""",
SUM(
ARRAYFORMULA(
IF(
REGEXMATCH(
"" ""&amp;H2196&amp;"" "",
"" ""&amp;Sentiment_Words!A$2:A3730&amp;"" ""
),
1,
0
)
)
)
)"),1.0)</f>
        <v>1</v>
      </c>
      <c r="K2196" s="4">
        <f>IFERROR(__xludf.DUMMYFUNCTION("IF(H2196="""","""",
SUM(
ARRAYFORMULA(
IF(
REGEXMATCH(
"" ""&amp;H2196&amp;"" "",
"" ""&amp;Sentiment_Words!B$2:B3730&amp;"" ""
),
1,
0
)
)
)
)"),0.0)</f>
        <v>0</v>
      </c>
      <c r="L2196" s="7" t="str">
        <f t="shared" si="3"/>
        <v>Other</v>
      </c>
      <c r="M2196" s="7" t="str">
        <f t="shared" si="4"/>
        <v>Positive</v>
      </c>
      <c r="N2196" s="7" t="str">
        <f>IFERROR(__xludf.DUMMYFUNCTION("LOWER(
TRIM(
REGEXREPLACE(B2196,""[^a-zA-Z\s]"","""")
)
)
"),"sharon coker")</f>
        <v>sharon coker</v>
      </c>
      <c r="O2196" s="7">
        <f t="shared" si="5"/>
        <v>1</v>
      </c>
      <c r="P2196" s="8" t="str">
        <f t="shared" si="6"/>
        <v>No</v>
      </c>
    </row>
    <row r="2197">
      <c r="A2197" s="4" t="s">
        <v>16</v>
      </c>
      <c r="B2197" s="4" t="s">
        <v>5578</v>
      </c>
      <c r="C2197" s="9">
        <v>44717.0</v>
      </c>
      <c r="D2197" s="10">
        <v>44717.0</v>
      </c>
      <c r="E2197" s="4" t="s">
        <v>6160</v>
      </c>
      <c r="F2197" s="4" t="s">
        <v>331</v>
      </c>
      <c r="G2197" s="6" t="str">
        <f>IFERROR(__xludf.DUMMYFUNCTION("REGEXREPLACE(LOWER(F2197),""[^a-z\s]"","""")"),"none")</f>
        <v>none</v>
      </c>
      <c r="H2197" s="4" t="str">
        <f t="shared" si="1"/>
        <v>none</v>
      </c>
      <c r="I2197" s="6">
        <f t="shared" si="2"/>
        <v>1</v>
      </c>
      <c r="J2197" s="6">
        <f>IFERROR(__xludf.DUMMYFUNCTION("IF(H2197="""","""",
SUM(
ARRAYFORMULA(
IF(
REGEXMATCH(
"" ""&amp;H2197&amp;"" "",
"" ""&amp;Sentiment_Words!A$2:A3730&amp;"" ""
),
1,
0
)
)
)
)"),0.0)</f>
        <v>0</v>
      </c>
      <c r="K2197" s="4">
        <f>IFERROR(__xludf.DUMMYFUNCTION("IF(H2197="""","""",
SUM(
ARRAYFORMULA(
IF(
REGEXMATCH(
"" ""&amp;H2197&amp;"" "",
"" ""&amp;Sentiment_Words!B$2:B3730&amp;"" ""
),
1,
0
)
)
)
)"),0.0)</f>
        <v>0</v>
      </c>
      <c r="L2197" s="7" t="str">
        <f t="shared" si="3"/>
        <v>Other</v>
      </c>
      <c r="M2197" s="7" t="str">
        <f t="shared" si="4"/>
        <v>Neutral</v>
      </c>
      <c r="N2197" s="7" t="str">
        <f>IFERROR(__xludf.DUMMYFUNCTION("LOWER(
TRIM(
REGEXREPLACE(B2197,""[^a-zA-Z\s]"","""")
)
)
"),"john")</f>
        <v>john</v>
      </c>
      <c r="O2197" s="7">
        <f t="shared" si="5"/>
        <v>7</v>
      </c>
      <c r="P2197" s="8" t="str">
        <f t="shared" si="6"/>
        <v>Yes</v>
      </c>
    </row>
    <row r="2198">
      <c r="A2198" s="4" t="s">
        <v>16</v>
      </c>
      <c r="B2198" s="4" t="s">
        <v>6040</v>
      </c>
      <c r="C2198" s="9">
        <v>44716.0</v>
      </c>
      <c r="D2198" s="10">
        <v>44716.0</v>
      </c>
      <c r="E2198" s="4" t="s">
        <v>6161</v>
      </c>
      <c r="F2198" s="4" t="s">
        <v>6162</v>
      </c>
      <c r="G2198" s="6" t="str">
        <f>IFERROR(__xludf.DUMMYFUNCTION("REGEXREPLACE(LOWER(F2198),""[^a-z\s]"","""")"),"products in stock delivered in timely fashion positive experience")</f>
        <v>products in stock delivered in timely fashion positive experience</v>
      </c>
      <c r="H2198" s="4" t="str">
        <f t="shared" si="1"/>
        <v>products in stock delivered in timely fashion positive experience</v>
      </c>
      <c r="I2198" s="6">
        <f t="shared" si="2"/>
        <v>9</v>
      </c>
      <c r="J2198" s="6">
        <f>IFERROR(__xludf.DUMMYFUNCTION("IF(H2198="""","""",
SUM(
ARRAYFORMULA(
IF(
REGEXMATCH(
"" ""&amp;H2198&amp;"" "",
"" ""&amp;Sentiment_Words!A$2:A3730&amp;"" ""
),
1,
0
)
)
)
)"),1.0)</f>
        <v>1</v>
      </c>
      <c r="K2198" s="4">
        <f>IFERROR(__xludf.DUMMYFUNCTION("IF(H2198="""","""",
SUM(
ARRAYFORMULA(
IF(
REGEXMATCH(
"" ""&amp;H2198&amp;"" "",
"" ""&amp;Sentiment_Words!B$2:B3730&amp;"" ""
),
1,
0
)
)
)
)"),0.0)</f>
        <v>0</v>
      </c>
      <c r="L2198" s="7" t="str">
        <f t="shared" si="3"/>
        <v>Other</v>
      </c>
      <c r="M2198" s="7" t="str">
        <f t="shared" si="4"/>
        <v>Positive</v>
      </c>
      <c r="N2198" s="7" t="str">
        <f>IFERROR(__xludf.DUMMYFUNCTION("LOWER(
TRIM(
REGEXREPLACE(B2198,""[^a-zA-Z\s]"","""")
)
)
"),"mary")</f>
        <v>mary</v>
      </c>
      <c r="O2198" s="7">
        <f t="shared" si="5"/>
        <v>8</v>
      </c>
      <c r="P2198" s="8" t="str">
        <f t="shared" si="6"/>
        <v>Yes</v>
      </c>
    </row>
    <row r="2199">
      <c r="A2199" s="4" t="s">
        <v>16</v>
      </c>
      <c r="B2199" s="4" t="s">
        <v>6163</v>
      </c>
      <c r="C2199" s="9">
        <v>44716.0</v>
      </c>
      <c r="D2199" s="10">
        <v>44716.0</v>
      </c>
      <c r="E2199" s="4" t="s">
        <v>6164</v>
      </c>
      <c r="F2199" s="4" t="s">
        <v>6165</v>
      </c>
      <c r="G2199" s="6" t="str">
        <f>IFERROR(__xludf.DUMMYFUNCTION("REGEXREPLACE(LOWER(F2199),""[^a-z\s]"","""")"),"great selection had things others were out of great price shipped next day")</f>
        <v>great selection had things others were out of great price shipped next day</v>
      </c>
      <c r="H2199" s="4" t="str">
        <f t="shared" si="1"/>
        <v>great selection had things others were out of great price shipped next day</v>
      </c>
      <c r="I2199" s="6">
        <f t="shared" si="2"/>
        <v>13</v>
      </c>
      <c r="J2199" s="6">
        <f>IFERROR(__xludf.DUMMYFUNCTION("IF(H2199="""","""",
SUM(
ARRAYFORMULA(
IF(
REGEXMATCH(
"" ""&amp;H2199&amp;"" "",
"" ""&amp;Sentiment_Words!A$2:A3730&amp;"" ""
),
1,
0
)
)
)
)"),1.0)</f>
        <v>1</v>
      </c>
      <c r="K2199" s="4">
        <f>IFERROR(__xludf.DUMMYFUNCTION("IF(H2199="""","""",
SUM(
ARRAYFORMULA(
IF(
REGEXMATCH(
"" ""&amp;H2199&amp;"" "",
"" ""&amp;Sentiment_Words!B$2:B3730&amp;"" ""
),
1,
0
)
)
)
)"),0.0)</f>
        <v>0</v>
      </c>
      <c r="L2199" s="7" t="str">
        <f t="shared" si="3"/>
        <v>Other</v>
      </c>
      <c r="M2199" s="7" t="str">
        <f t="shared" si="4"/>
        <v>Positive</v>
      </c>
      <c r="N2199" s="7" t="str">
        <f>IFERROR(__xludf.DUMMYFUNCTION("LOWER(
TRIM(
REGEXREPLACE(B2199,""[^a-zA-Z\s]"","""")
)
)
"),"dave teague")</f>
        <v>dave teague</v>
      </c>
      <c r="O2199" s="7">
        <f t="shared" si="5"/>
        <v>1</v>
      </c>
      <c r="P2199" s="8" t="str">
        <f t="shared" si="6"/>
        <v>No</v>
      </c>
    </row>
    <row r="2200">
      <c r="A2200" s="4" t="s">
        <v>16</v>
      </c>
      <c r="B2200" s="4" t="s">
        <v>6166</v>
      </c>
      <c r="C2200" s="9">
        <v>44715.0</v>
      </c>
      <c r="D2200" s="4" t="s">
        <v>6167</v>
      </c>
      <c r="E2200" s="4" t="s">
        <v>6168</v>
      </c>
      <c r="F2200" s="4" t="s">
        <v>6169</v>
      </c>
      <c r="G2200" s="6" t="str">
        <f>IFERROR(__xludf.DUMMYFUNCTION("REGEXREPLACE(LOWER(F2200),""[^a-z\s]"","""")"),"after reading many reviews i cancelled my order before it was shipped many people stated they could not cancel their auto ship and weret happy with the delivery since i dont know this company and didnt know their reputation i cancelled and ordered from ch"&amp;"ewy now i cant get off their email list message after message dont shop here")</f>
        <v>after reading many reviews i cancelled my order before it was shipped many people stated they could not cancel their auto ship and weret happy with the delivery since i dont know this company and didnt know their reputation i cancelled and ordered from chewy now i cant get off their email list message after message dont shop here</v>
      </c>
      <c r="H2200" s="4" t="str">
        <f t="shared" si="1"/>
        <v>after reading many reviews i cancelled my order before it was shipped many people stated they could not cancel their auto ship weret happy with delivery since i dont know this company didnt know their reputation i cancelled ordered from chewy now i cant get off their email list message after message dont shop here</v>
      </c>
      <c r="I2200" s="6">
        <f t="shared" si="2"/>
        <v>55</v>
      </c>
      <c r="J2200" s="6">
        <f>IFERROR(__xludf.DUMMYFUNCTION("IF(H2200="""","""",
SUM(
ARRAYFORMULA(
IF(
REGEXMATCH(
"" ""&amp;H2200&amp;"" "",
"" ""&amp;Sentiment_Words!A$2:A3730&amp;"" ""
),
1,
0
)
)
)
)"),2.0)</f>
        <v>2</v>
      </c>
      <c r="K2200" s="4">
        <f>IFERROR(__xludf.DUMMYFUNCTION("IF(H2200="""","""",
SUM(
ARRAYFORMULA(
IF(
REGEXMATCH(
"" ""&amp;H2200&amp;"" "",
"" ""&amp;Sentiment_Words!B$2:B3730&amp;"" ""
),
1,
0
)
)
)
)"),1.0)</f>
        <v>1</v>
      </c>
      <c r="L2200" s="7" t="str">
        <f t="shared" si="3"/>
        <v>Other</v>
      </c>
      <c r="M2200" s="7" t="str">
        <f t="shared" si="4"/>
        <v>Positive</v>
      </c>
      <c r="N2200" s="7" t="str">
        <f>IFERROR(__xludf.DUMMYFUNCTION("LOWER(
TRIM(
REGEXREPLACE(B2200,""[^a-zA-Z\s]"","""")
)
)
"),"barbara hughes sell")</f>
        <v>barbara hughes sell</v>
      </c>
      <c r="O2200" s="7">
        <f t="shared" si="5"/>
        <v>1</v>
      </c>
      <c r="P2200" s="8" t="str">
        <f t="shared" si="6"/>
        <v>No</v>
      </c>
    </row>
    <row r="2201">
      <c r="A2201" s="4" t="s">
        <v>16</v>
      </c>
      <c r="B2201" s="4" t="s">
        <v>6170</v>
      </c>
      <c r="C2201" s="9">
        <v>44715.0</v>
      </c>
      <c r="D2201" s="10">
        <v>44715.0</v>
      </c>
      <c r="E2201" s="4" t="s">
        <v>6171</v>
      </c>
      <c r="F2201" s="4" t="s">
        <v>6172</v>
      </c>
      <c r="G2201" s="6" t="str">
        <f>IFERROR(__xludf.DUMMYFUNCTION("REGEXREPLACE(LOWER(F2201),""[^a-z\s]"","""")"),"great price and shipped well and arrived quickly")</f>
        <v>great price and shipped well and arrived quickly</v>
      </c>
      <c r="H2201" s="4" t="str">
        <f t="shared" si="1"/>
        <v>great price shipped well arrived quickly</v>
      </c>
      <c r="I2201" s="6">
        <f t="shared" si="2"/>
        <v>6</v>
      </c>
      <c r="J2201" s="6">
        <f>IFERROR(__xludf.DUMMYFUNCTION("IF(H2201="""","""",
SUM(
ARRAYFORMULA(
IF(
REGEXMATCH(
"" ""&amp;H2201&amp;"" "",
"" ""&amp;Sentiment_Words!A$2:A3730&amp;"" ""
),
1,
0
)
)
)
)"),1.0)</f>
        <v>1</v>
      </c>
      <c r="K2201" s="4">
        <f>IFERROR(__xludf.DUMMYFUNCTION("IF(H2201="""","""",
SUM(
ARRAYFORMULA(
IF(
REGEXMATCH(
"" ""&amp;H2201&amp;"" "",
"" ""&amp;Sentiment_Words!B$2:B3730&amp;"" ""
),
1,
0
)
)
)
)"),0.0)</f>
        <v>0</v>
      </c>
      <c r="L2201" s="7" t="str">
        <f t="shared" si="3"/>
        <v>Other</v>
      </c>
      <c r="M2201" s="7" t="str">
        <f t="shared" si="4"/>
        <v>Positive</v>
      </c>
      <c r="N2201" s="7" t="str">
        <f>IFERROR(__xludf.DUMMYFUNCTION("LOWER(
TRIM(
REGEXREPLACE(B2201,""[^a-zA-Z\s]"","""")
)
)
"),"georgia a")</f>
        <v>georgia a</v>
      </c>
      <c r="O2201" s="7">
        <f t="shared" si="5"/>
        <v>1</v>
      </c>
      <c r="P2201" s="8" t="str">
        <f t="shared" si="6"/>
        <v>No</v>
      </c>
    </row>
    <row r="2202">
      <c r="A2202" s="4" t="s">
        <v>16</v>
      </c>
      <c r="B2202" s="4" t="s">
        <v>6173</v>
      </c>
      <c r="C2202" s="9">
        <v>44715.0</v>
      </c>
      <c r="D2202" s="10">
        <v>44715.0</v>
      </c>
      <c r="E2202" s="4" t="s">
        <v>6174</v>
      </c>
      <c r="F2202" s="4" t="s">
        <v>6175</v>
      </c>
      <c r="G2202" s="6" t="str">
        <f>IFERROR(__xludf.DUMMYFUNCTION("REGEXREPLACE(LOWER(F2202),""[^a-z\s]"","""")"),"only cools for  minutes at best  not worth it i should have invested more money and got a better product")</f>
        <v>only cools for  minutes at best  not worth it i should have invested more money and got a better product</v>
      </c>
      <c r="H2202" s="4" t="str">
        <f t="shared" si="1"/>
        <v>only cools minutes at best not worth it i should have invested more money got a better product</v>
      </c>
      <c r="I2202" s="6">
        <f t="shared" si="2"/>
        <v>18</v>
      </c>
      <c r="J2202" s="6">
        <f>IFERROR(__xludf.DUMMYFUNCTION("IF(H2202="""","""",
SUM(
ARRAYFORMULA(
IF(
REGEXMATCH(
"" ""&amp;H2202&amp;"" "",
"" ""&amp;Sentiment_Words!A$2:A3730&amp;"" ""
),
1,
0
)
)
)
)"),1.0)</f>
        <v>1</v>
      </c>
      <c r="K2202" s="4">
        <f>IFERROR(__xludf.DUMMYFUNCTION("IF(H2202="""","""",
SUM(
ARRAYFORMULA(
IF(
REGEXMATCH(
"" ""&amp;H2202&amp;"" "",
"" ""&amp;Sentiment_Words!B$2:B3730&amp;"" ""
),
1,
0
)
)
)
)"),0.0)</f>
        <v>0</v>
      </c>
      <c r="L2202" s="7" t="str">
        <f t="shared" si="3"/>
        <v>Other</v>
      </c>
      <c r="M2202" s="7" t="str">
        <f t="shared" si="4"/>
        <v>Positive</v>
      </c>
      <c r="N2202" s="7" t="str">
        <f>IFERROR(__xludf.DUMMYFUNCTION("LOWER(
TRIM(
REGEXREPLACE(B2202,""[^a-zA-Z\s]"","""")
)
)
"),"dina shackelford")</f>
        <v>dina shackelford</v>
      </c>
      <c r="O2202" s="7">
        <f t="shared" si="5"/>
        <v>1</v>
      </c>
      <c r="P2202" s="8" t="str">
        <f t="shared" si="6"/>
        <v>No</v>
      </c>
    </row>
    <row r="2203">
      <c r="A2203" s="4" t="s">
        <v>16</v>
      </c>
      <c r="B2203" s="4" t="s">
        <v>6176</v>
      </c>
      <c r="C2203" s="9">
        <v>44715.0</v>
      </c>
      <c r="D2203" s="10">
        <v>44715.0</v>
      </c>
      <c r="E2203" s="4" t="s">
        <v>6177</v>
      </c>
      <c r="F2203" s="4" t="s">
        <v>6178</v>
      </c>
      <c r="G2203" s="6" t="str">
        <f>IFERROR(__xludf.DUMMYFUNCTION("REGEXREPLACE(LOWER(F2203),""[^a-z\s]"","""")"),"the pharmacy said my dogs food wasnt approved while my vet said it was always approved customer service was awful in fixing the situation didnt get my dogs food for a week discontinued auto ship and wont buy another thing from pet flow horrible customer s"&amp;"ervice")</f>
        <v>the pharmacy said my dogs food wasnt approved while my vet said it was always approved customer service was awful in fixing the situation didnt get my dogs food for a week discontinued auto ship and wont buy another thing from pet flow horrible customer service</v>
      </c>
      <c r="H2203" s="4" t="str">
        <f t="shared" si="1"/>
        <v>pharmacy said my dogs food wasnt approved while my vet said it was always approved customer service was awful in fixing situation didnt get my dogs food a week discontinued auto ship wont buy another thing from pet flow horrible customer service</v>
      </c>
      <c r="I2203" s="6">
        <f t="shared" si="2"/>
        <v>42</v>
      </c>
      <c r="J2203" s="6">
        <f>IFERROR(__xludf.DUMMYFUNCTION("IF(H2203="""","""",
SUM(
ARRAYFORMULA(
IF(
REGEXMATCH(
"" ""&amp;H2203&amp;"" "",
"" ""&amp;Sentiment_Words!A$2:A3730&amp;"" ""
),
1,
0
)
)
)
)"),1.0)</f>
        <v>1</v>
      </c>
      <c r="K2203" s="4">
        <f>IFERROR(__xludf.DUMMYFUNCTION("IF(H2203="""","""",
SUM(
ARRAYFORMULA(
IF(
REGEXMATCH(
"" ""&amp;H2203&amp;"" "",
"" ""&amp;Sentiment_Words!B$2:B3730&amp;"" ""
),
1,
0
)
)
)
)"),1.0)</f>
        <v>1</v>
      </c>
      <c r="L2203" s="7" t="str">
        <f t="shared" si="3"/>
        <v>Customer Support</v>
      </c>
      <c r="M2203" s="7" t="str">
        <f t="shared" si="4"/>
        <v>Neutral</v>
      </c>
      <c r="N2203" s="7" t="str">
        <f>IFERROR(__xludf.DUMMYFUNCTION("LOWER(
TRIM(
REGEXREPLACE(B2203,""[^a-zA-Z\s]"","""")
)
)
"),"amy talbert")</f>
        <v>amy talbert</v>
      </c>
      <c r="O2203" s="7">
        <f t="shared" si="5"/>
        <v>1</v>
      </c>
      <c r="P2203" s="8" t="str">
        <f t="shared" si="6"/>
        <v>No</v>
      </c>
    </row>
    <row r="2204">
      <c r="A2204" s="4" t="s">
        <v>16</v>
      </c>
      <c r="B2204" s="4" t="s">
        <v>6179</v>
      </c>
      <c r="C2204" s="9">
        <v>44715.0</v>
      </c>
      <c r="D2204" s="4" t="s">
        <v>6180</v>
      </c>
      <c r="E2204" s="4" t="s">
        <v>6181</v>
      </c>
      <c r="F2204" s="4" t="s">
        <v>6182</v>
      </c>
      <c r="G2204" s="6" t="str">
        <f>IFERROR(__xludf.DUMMYFUNCTION("REGEXREPLACE(LOWER(F2204),""[^a-z\s]"","""")"),"i love the fact they carry fromms dog food their web ordering works fine and they deliver in a reasonable amount of time chewy is faster where i live
however every time i have ordered dog food in cans they come  badly dented i dont mean a little dent her"&amp;"e and there that i would gladly ignore but really look like they have been through a washing machine ride you could never sell them in a store in each order one can was dented so badly it popped open with dog food inside the case
pet flow has been good t"&amp;"o provide a credit for the popped open cans but seem to ignore the overall issue")</f>
        <v>i love the fact they carry fromms dog food their web ordering works fine and they deliver in a reasonable amount of time chewy is faster where i live
however every time i have ordered dog food in cans they come  badly dented i dont mean a little dent here and there that i would gladly ignore but really look like they have been through a washing machine ride you could never sell them in a store in each order one can was dented so badly it popped open with dog food inside the case
pet flow has been good to provide a credit for the popped open cans but seem to ignore the overall issue</v>
      </c>
      <c r="H2204" s="4" t="str">
        <f t="shared" si="1"/>
        <v>i love fact they carry fromms dog food their web ordering works fine they deliver in a reasonable amount of time chewy faster where i live
however every time i have ordered dog food in cans they come badly dented i dont mean a little dent here there that i would gladly ignore but really look like they have been through a washing machine ride you could never sell them in a store in each order one can was dented so badly it popped open with dog food inside case
pet flow has been good provide a credit popped open cans but seem ignore overall issue</v>
      </c>
      <c r="I2204" s="6">
        <f t="shared" si="2"/>
        <v>104</v>
      </c>
      <c r="J2204" s="6">
        <f>IFERROR(__xludf.DUMMYFUNCTION("IF(H2204="""","""",
SUM(
ARRAYFORMULA(
IF(
REGEXMATCH(
"" ""&amp;H2204&amp;"" "",
"" ""&amp;Sentiment_Words!A$2:A3730&amp;"" ""
),
1,
0
)
)
)
)"),3.0)</f>
        <v>3</v>
      </c>
      <c r="K2204" s="4">
        <f>IFERROR(__xludf.DUMMYFUNCTION("IF(H2204="""","""",
SUM(
ARRAYFORMULA(
IF(
REGEXMATCH(
"" ""&amp;H2204&amp;"" "",
"" ""&amp;Sentiment_Words!B$2:B3730&amp;"" ""
),
1,
0
)
)
)
)"),2.0)</f>
        <v>2</v>
      </c>
      <c r="L2204" s="7" t="str">
        <f t="shared" si="3"/>
        <v>Other</v>
      </c>
      <c r="M2204" s="7" t="str">
        <f t="shared" si="4"/>
        <v>Positive</v>
      </c>
      <c r="N2204" s="7" t="str">
        <f>IFERROR(__xludf.DUMMYFUNCTION("LOWER(
TRIM(
REGEXREPLACE(B2204,""[^a-zA-Z\s]"","""")
)
)
"),"robert bowser")</f>
        <v>robert bowser</v>
      </c>
      <c r="O2204" s="7">
        <f t="shared" si="5"/>
        <v>1</v>
      </c>
      <c r="P2204" s="8" t="str">
        <f t="shared" si="6"/>
        <v>No</v>
      </c>
    </row>
    <row r="2205">
      <c r="A2205" s="4" t="s">
        <v>16</v>
      </c>
      <c r="B2205" s="4" t="s">
        <v>6183</v>
      </c>
      <c r="C2205" s="9">
        <v>44715.0</v>
      </c>
      <c r="D2205" s="10">
        <v>44715.0</v>
      </c>
      <c r="E2205" s="4" t="s">
        <v>6184</v>
      </c>
      <c r="F2205" s="4" t="s">
        <v>6185</v>
      </c>
      <c r="G2205" s="6" t="str">
        <f>IFERROR(__xludf.DUMMYFUNCTION("REGEXREPLACE(LOWER(F2205),""[^a-z\s]"","""")"),"i had the opportunity to subscribe and my pet food came in a timely manner i am very happy")</f>
        <v>i had the opportunity to subscribe and my pet food came in a timely manner i am very happy</v>
      </c>
      <c r="H2205" s="4" t="str">
        <f t="shared" si="1"/>
        <v>i had opportunity subscribe my pet food came in a timely manner i am very happy</v>
      </c>
      <c r="I2205" s="6">
        <f t="shared" si="2"/>
        <v>16</v>
      </c>
      <c r="J2205" s="6">
        <f>IFERROR(__xludf.DUMMYFUNCTION("IF(H2205="""","""",
SUM(
ARRAYFORMULA(
IF(
REGEXMATCH(
"" ""&amp;H2205&amp;"" "",
"" ""&amp;Sentiment_Words!A$2:A3730&amp;"" ""
),
1,
0
)
)
)
)"),1.0)</f>
        <v>1</v>
      </c>
      <c r="K2205" s="4">
        <f>IFERROR(__xludf.DUMMYFUNCTION("IF(H2205="""","""",
SUM(
ARRAYFORMULA(
IF(
REGEXMATCH(
"" ""&amp;H2205&amp;"" "",
"" ""&amp;Sentiment_Words!B$2:B3730&amp;"" ""
),
1,
0
)
)
)
)"),0.0)</f>
        <v>0</v>
      </c>
      <c r="L2205" s="7" t="str">
        <f t="shared" si="3"/>
        <v>Other</v>
      </c>
      <c r="M2205" s="7" t="str">
        <f t="shared" si="4"/>
        <v>Positive</v>
      </c>
      <c r="N2205" s="7" t="str">
        <f>IFERROR(__xludf.DUMMYFUNCTION("LOWER(
TRIM(
REGEXREPLACE(B2205,""[^a-zA-Z\s]"","""")
)
)
"),"john mikash")</f>
        <v>john mikash</v>
      </c>
      <c r="O2205" s="7">
        <f t="shared" si="5"/>
        <v>1</v>
      </c>
      <c r="P2205" s="8" t="str">
        <f t="shared" si="6"/>
        <v>No</v>
      </c>
    </row>
    <row r="2206">
      <c r="A2206" s="4" t="s">
        <v>16</v>
      </c>
      <c r="B2206" s="4" t="s">
        <v>6186</v>
      </c>
      <c r="C2206" s="9">
        <v>44715.0</v>
      </c>
      <c r="D2206" s="10">
        <v>44715.0</v>
      </c>
      <c r="E2206" s="4" t="s">
        <v>6187</v>
      </c>
      <c r="F2206" s="4" t="s">
        <v>6188</v>
      </c>
      <c r="G2206" s="6" t="str">
        <f>IFERROR(__xludf.DUMMYFUNCTION("REGEXREPLACE(LOWER(F2206),""[^a-z\s]"","""")"),"shipped quick reasonably priced")</f>
        <v>shipped quick reasonably priced</v>
      </c>
      <c r="H2206" s="4" t="str">
        <f t="shared" si="1"/>
        <v>shipped quick reasonably priced</v>
      </c>
      <c r="I2206" s="6">
        <f t="shared" si="2"/>
        <v>4</v>
      </c>
      <c r="J2206" s="6">
        <f>IFERROR(__xludf.DUMMYFUNCTION("IF(H2206="""","""",
SUM(
ARRAYFORMULA(
IF(
REGEXMATCH(
"" ""&amp;H2206&amp;"" "",
"" ""&amp;Sentiment_Words!A$2:A3730&amp;"" ""
),
1,
0
)
)
)
)"),0.0)</f>
        <v>0</v>
      </c>
      <c r="K2206" s="4">
        <f>IFERROR(__xludf.DUMMYFUNCTION("IF(H2206="""","""",
SUM(
ARRAYFORMULA(
IF(
REGEXMATCH(
"" ""&amp;H2206&amp;"" "",
"" ""&amp;Sentiment_Words!B$2:B3730&amp;"" ""
),
1,
0
)
)
)
)"),0.0)</f>
        <v>0</v>
      </c>
      <c r="L2206" s="7" t="str">
        <f t="shared" si="3"/>
        <v>Other</v>
      </c>
      <c r="M2206" s="7" t="str">
        <f t="shared" si="4"/>
        <v>Neutral</v>
      </c>
      <c r="N2206" s="7" t="str">
        <f>IFERROR(__xludf.DUMMYFUNCTION("LOWER(
TRIM(
REGEXREPLACE(B2206,""[^a-zA-Z\s]"","""")
)
)
"),"valeria")</f>
        <v>valeria</v>
      </c>
      <c r="O2206" s="7">
        <f t="shared" si="5"/>
        <v>1</v>
      </c>
      <c r="P2206" s="8" t="str">
        <f t="shared" si="6"/>
        <v>No</v>
      </c>
    </row>
    <row r="2207">
      <c r="A2207" s="4" t="s">
        <v>16</v>
      </c>
      <c r="B2207" s="4" t="s">
        <v>6189</v>
      </c>
      <c r="C2207" s="9">
        <v>44715.0</v>
      </c>
      <c r="D2207" s="10">
        <v>44715.0</v>
      </c>
      <c r="E2207" s="4" t="s">
        <v>6190</v>
      </c>
      <c r="F2207" s="4" t="s">
        <v>6191</v>
      </c>
      <c r="G2207" s="6" t="str">
        <f>IFERROR(__xludf.DUMMYFUNCTION("REGEXREPLACE(LOWER(F2207),""[^a-z\s]"","""")"),"great variety fast shipping")</f>
        <v>great variety fast shipping</v>
      </c>
      <c r="H2207" s="4" t="str">
        <f t="shared" si="1"/>
        <v>great variety fast shipping</v>
      </c>
      <c r="I2207" s="6">
        <f t="shared" si="2"/>
        <v>4</v>
      </c>
      <c r="J2207" s="6">
        <f>IFERROR(__xludf.DUMMYFUNCTION("IF(H2207="""","""",
SUM(
ARRAYFORMULA(
IF(
REGEXMATCH(
"" ""&amp;H2207&amp;"" "",
"" ""&amp;Sentiment_Words!A$2:A3730&amp;"" ""
),
1,
0
)
)
)
)"),2.0)</f>
        <v>2</v>
      </c>
      <c r="K2207" s="4">
        <f>IFERROR(__xludf.DUMMYFUNCTION("IF(H2207="""","""",
SUM(
ARRAYFORMULA(
IF(
REGEXMATCH(
"" ""&amp;H2207&amp;"" "",
"" ""&amp;Sentiment_Words!B$2:B3730&amp;"" ""
),
1,
0
)
)
)
)"),0.0)</f>
        <v>0</v>
      </c>
      <c r="L2207" s="7" t="str">
        <f t="shared" si="3"/>
        <v>Other</v>
      </c>
      <c r="M2207" s="7" t="str">
        <f t="shared" si="4"/>
        <v>Positive</v>
      </c>
      <c r="N2207" s="7" t="str">
        <f>IFERROR(__xludf.DUMMYFUNCTION("LOWER(
TRIM(
REGEXREPLACE(B2207,""[^a-zA-Z\s]"","""")
)
)
"),"joseph layne")</f>
        <v>joseph layne</v>
      </c>
      <c r="O2207" s="7">
        <f t="shared" si="5"/>
        <v>1</v>
      </c>
      <c r="P2207" s="8" t="str">
        <f t="shared" si="6"/>
        <v>No</v>
      </c>
    </row>
    <row r="2208">
      <c r="A2208" s="4" t="s">
        <v>16</v>
      </c>
      <c r="B2208" s="4" t="s">
        <v>6192</v>
      </c>
      <c r="C2208" s="9">
        <v>44715.0</v>
      </c>
      <c r="D2208" s="10">
        <v>44715.0</v>
      </c>
      <c r="E2208" s="4" t="s">
        <v>5977</v>
      </c>
      <c r="F2208" s="4" t="s">
        <v>6193</v>
      </c>
      <c r="G2208" s="6" t="str">
        <f>IFERROR(__xludf.DUMMYFUNCTION("REGEXREPLACE(LOWER(F2208),""[^a-z\s]"","""")"),"petflow autoship is convenient efficient and economical weve been happy customers for years highly recommend ")</f>
        <v>petflow autoship is convenient efficient and economical weve been happy customers for years highly recommend </v>
      </c>
      <c r="H2208" s="4" t="str">
        <f t="shared" si="1"/>
        <v>petflow autoship convenient efficient economical weve been happy customers years highly recommend</v>
      </c>
      <c r="I2208" s="6">
        <f t="shared" si="2"/>
        <v>12</v>
      </c>
      <c r="J2208" s="6">
        <f>IFERROR(__xludf.DUMMYFUNCTION("IF(H2208="""","""",
SUM(
ARRAYFORMULA(
IF(
REGEXMATCH(
"" ""&amp;H2208&amp;"" "",
"" ""&amp;Sentiment_Words!A$2:A3730&amp;"" ""
),
1,
0
)
)
)
)"),3.0)</f>
        <v>3</v>
      </c>
      <c r="K2208" s="4">
        <f>IFERROR(__xludf.DUMMYFUNCTION("IF(H2208="""","""",
SUM(
ARRAYFORMULA(
IF(
REGEXMATCH(
"" ""&amp;H2208&amp;"" "",
"" ""&amp;Sentiment_Words!B$2:B3730&amp;"" ""
),
1,
0
)
)
)
)"),0.0)</f>
        <v>0</v>
      </c>
      <c r="L2208" s="7" t="str">
        <f t="shared" si="3"/>
        <v>Value &amp; Convenience</v>
      </c>
      <c r="M2208" s="7" t="str">
        <f t="shared" si="4"/>
        <v>Positive</v>
      </c>
      <c r="N2208" s="7" t="str">
        <f>IFERROR(__xludf.DUMMYFUNCTION("LOWER(
TRIM(
REGEXREPLACE(B2208,""[^a-zA-Z\s]"","""")
)
)
"),"diana decker")</f>
        <v>diana decker</v>
      </c>
      <c r="O2208" s="7">
        <f t="shared" si="5"/>
        <v>1</v>
      </c>
      <c r="P2208" s="8" t="str">
        <f t="shared" si="6"/>
        <v>No</v>
      </c>
    </row>
    <row r="2209">
      <c r="A2209" s="4" t="s">
        <v>16</v>
      </c>
      <c r="B2209" s="4" t="s">
        <v>2060</v>
      </c>
      <c r="C2209" s="9">
        <v>44714.0</v>
      </c>
      <c r="D2209" s="10">
        <v>44714.0</v>
      </c>
      <c r="E2209" s="4" t="s">
        <v>6194</v>
      </c>
      <c r="F2209" s="4" t="s">
        <v>6195</v>
      </c>
      <c r="G2209" s="6" t="str">
        <f>IFERROR(__xludf.DUMMYFUNCTION("REGEXREPLACE(LOWER(F2209),""[^a-z\s]"","""")"),"works well but no instructions on how to adjust float")</f>
        <v>works well but no instructions on how to adjust float</v>
      </c>
      <c r="H2209" s="4" t="str">
        <f t="shared" si="1"/>
        <v>works well but no instructions on how adjust float</v>
      </c>
      <c r="I2209" s="6">
        <f t="shared" si="2"/>
        <v>9</v>
      </c>
      <c r="J2209" s="6">
        <f>IFERROR(__xludf.DUMMYFUNCTION("IF(H2209="""","""",
SUM(
ARRAYFORMULA(
IF(
REGEXMATCH(
"" ""&amp;H2209&amp;"" "",
"" ""&amp;Sentiment_Words!A$2:A3730&amp;"" ""
),
1,
0
)
)
)
)"),1.0)</f>
        <v>1</v>
      </c>
      <c r="K2209" s="4">
        <f>IFERROR(__xludf.DUMMYFUNCTION("IF(H2209="""","""",
SUM(
ARRAYFORMULA(
IF(
REGEXMATCH(
"" ""&amp;H2209&amp;"" "",
"" ""&amp;Sentiment_Words!B$2:B3730&amp;"" ""
),
1,
0
)
)
)
)"),0.0)</f>
        <v>0</v>
      </c>
      <c r="L2209" s="7" t="str">
        <f t="shared" si="3"/>
        <v>Other</v>
      </c>
      <c r="M2209" s="7" t="str">
        <f t="shared" si="4"/>
        <v>Positive</v>
      </c>
      <c r="N2209" s="7" t="str">
        <f>IFERROR(__xludf.DUMMYFUNCTION("LOWER(
TRIM(
REGEXREPLACE(B2209,""[^a-zA-Z\s]"","""")
)
)
"),"kristin")</f>
        <v>kristin</v>
      </c>
      <c r="O2209" s="7">
        <f t="shared" si="5"/>
        <v>3</v>
      </c>
      <c r="P2209" s="8" t="str">
        <f t="shared" si="6"/>
        <v>Yes</v>
      </c>
    </row>
    <row r="2210">
      <c r="A2210" s="4" t="s">
        <v>16</v>
      </c>
      <c r="B2210" s="4" t="s">
        <v>6196</v>
      </c>
      <c r="C2210" s="9">
        <v>44713.0</v>
      </c>
      <c r="D2210" s="10">
        <v>44713.0</v>
      </c>
      <c r="E2210" s="4" t="s">
        <v>6197</v>
      </c>
      <c r="F2210" s="4" t="s">
        <v>6198</v>
      </c>
      <c r="G2210" s="6" t="str">
        <f>IFERROR(__xludf.DUMMYFUNCTION("REGEXREPLACE(LOWER(F2210),""[^a-z\s]"","""")"),"great price and quick shipping of the pigeon grains i use")</f>
        <v>great price and quick shipping of the pigeon grains i use</v>
      </c>
      <c r="H2210" s="4" t="str">
        <f t="shared" si="1"/>
        <v>great price quick shipping of pigeon grains i use</v>
      </c>
      <c r="I2210" s="6">
        <f t="shared" si="2"/>
        <v>9</v>
      </c>
      <c r="J2210" s="6">
        <f>IFERROR(__xludf.DUMMYFUNCTION("IF(H2210="""","""",
SUM(
ARRAYFORMULA(
IF(
REGEXMATCH(
"" ""&amp;H2210&amp;"" "",
"" ""&amp;Sentiment_Words!A$2:A3730&amp;"" ""
),
1,
0
)
)
)
)"),1.0)</f>
        <v>1</v>
      </c>
      <c r="K2210" s="4">
        <f>IFERROR(__xludf.DUMMYFUNCTION("IF(H2210="""","""",
SUM(
ARRAYFORMULA(
IF(
REGEXMATCH(
"" ""&amp;H2210&amp;"" "",
"" ""&amp;Sentiment_Words!B$2:B3730&amp;"" ""
),
1,
0
)
)
)
)"),0.0)</f>
        <v>0</v>
      </c>
      <c r="L2210" s="7" t="str">
        <f t="shared" si="3"/>
        <v>Other</v>
      </c>
      <c r="M2210" s="7" t="str">
        <f t="shared" si="4"/>
        <v>Positive</v>
      </c>
      <c r="N2210" s="7" t="str">
        <f>IFERROR(__xludf.DUMMYFUNCTION("LOWER(
TRIM(
REGEXREPLACE(B2210,""[^a-zA-Z\s]"","""")
)
)
"),"steve werda")</f>
        <v>steve werda</v>
      </c>
      <c r="O2210" s="7">
        <f t="shared" si="5"/>
        <v>1</v>
      </c>
      <c r="P2210" s="8" t="str">
        <f t="shared" si="6"/>
        <v>No</v>
      </c>
    </row>
    <row r="2211">
      <c r="A2211" s="4" t="s">
        <v>16</v>
      </c>
      <c r="B2211" s="4" t="s">
        <v>6199</v>
      </c>
      <c r="C2211" s="9">
        <v>44713.0</v>
      </c>
      <c r="D2211" s="10">
        <v>44713.0</v>
      </c>
      <c r="E2211" s="4" t="s">
        <v>6200</v>
      </c>
      <c r="F2211" s="4" t="s">
        <v>565</v>
      </c>
      <c r="G2211" s="6" t="str">
        <f>IFERROR(__xludf.DUMMYFUNCTION("REGEXREPLACE(LOWER(F2211),""[^a-z\s]"","""")"),"good price fast shipping")</f>
        <v>good price fast shipping</v>
      </c>
      <c r="H2211" s="4" t="str">
        <f t="shared" si="1"/>
        <v>good price fast shipping</v>
      </c>
      <c r="I2211" s="6">
        <f t="shared" si="2"/>
        <v>4</v>
      </c>
      <c r="J2211" s="6">
        <f>IFERROR(__xludf.DUMMYFUNCTION("IF(H2211="""","""",
SUM(
ARRAYFORMULA(
IF(
REGEXMATCH(
"" ""&amp;H2211&amp;"" "",
"" ""&amp;Sentiment_Words!A$2:A3730&amp;"" ""
),
1,
0
)
)
)
)"),2.0)</f>
        <v>2</v>
      </c>
      <c r="K2211" s="4">
        <f>IFERROR(__xludf.DUMMYFUNCTION("IF(H2211="""","""",
SUM(
ARRAYFORMULA(
IF(
REGEXMATCH(
"" ""&amp;H2211&amp;"" "",
"" ""&amp;Sentiment_Words!B$2:B3730&amp;"" ""
),
1,
0
)
)
)
)"),0.0)</f>
        <v>0</v>
      </c>
      <c r="L2211" s="7" t="str">
        <f t="shared" si="3"/>
        <v>Other</v>
      </c>
      <c r="M2211" s="7" t="str">
        <f t="shared" si="4"/>
        <v>Positive</v>
      </c>
      <c r="N2211" s="7" t="str">
        <f>IFERROR(__xludf.DUMMYFUNCTION("LOWER(
TRIM(
REGEXREPLACE(B2211,""[^a-zA-Z\s]"","""")
)
)
"),"thomas beck")</f>
        <v>thomas beck</v>
      </c>
      <c r="O2211" s="7">
        <f t="shared" si="5"/>
        <v>1</v>
      </c>
      <c r="P2211" s="8" t="str">
        <f t="shared" si="6"/>
        <v>No</v>
      </c>
    </row>
    <row r="2212">
      <c r="A2212" s="4" t="s">
        <v>16</v>
      </c>
      <c r="B2212" s="4" t="s">
        <v>6201</v>
      </c>
      <c r="C2212" s="9">
        <v>44713.0</v>
      </c>
      <c r="D2212" s="10">
        <v>44713.0</v>
      </c>
      <c r="E2212" s="4" t="s">
        <v>515</v>
      </c>
      <c r="F2212" s="4" t="s">
        <v>6202</v>
      </c>
      <c r="G2212" s="6" t="str">
        <f>IFERROR(__xludf.DUMMYFUNCTION("REGEXREPLACE(LOWER(F2212),""[^a-z\s]"","""")"),"easy easy easy the same quality same shipping speed cheapest place")</f>
        <v>easy easy easy the same quality same shipping speed cheapest place</v>
      </c>
      <c r="H2212" s="4" t="str">
        <f t="shared" si="1"/>
        <v>easy easy easy same quality same shipping speed cheapest place</v>
      </c>
      <c r="I2212" s="6">
        <f t="shared" si="2"/>
        <v>10</v>
      </c>
      <c r="J2212" s="6">
        <f>IFERROR(__xludf.DUMMYFUNCTION("IF(H2212="""","""",
SUM(
ARRAYFORMULA(
IF(
REGEXMATCH(
"" ""&amp;H2212&amp;"" "",
"" ""&amp;Sentiment_Words!A$2:A3730&amp;"" ""
),
1,
0
)
)
)
)"),1.0)</f>
        <v>1</v>
      </c>
      <c r="K2212" s="4">
        <f>IFERROR(__xludf.DUMMYFUNCTION("IF(H2212="""","""",
SUM(
ARRAYFORMULA(
IF(
REGEXMATCH(
"" ""&amp;H2212&amp;"" "",
"" ""&amp;Sentiment_Words!B$2:B3730&amp;"" ""
),
1,
0
)
)
)
)"),0.0)</f>
        <v>0</v>
      </c>
      <c r="L2212" s="7" t="str">
        <f t="shared" si="3"/>
        <v>Other</v>
      </c>
      <c r="M2212" s="7" t="str">
        <f t="shared" si="4"/>
        <v>Positive</v>
      </c>
      <c r="N2212" s="7" t="str">
        <f>IFERROR(__xludf.DUMMYFUNCTION("LOWER(
TRIM(
REGEXREPLACE(B2212,""[^a-zA-Z\s]"","""")
)
)
"),"daniel")</f>
        <v>daniel</v>
      </c>
      <c r="O2212" s="7">
        <f t="shared" si="5"/>
        <v>3</v>
      </c>
      <c r="P2212" s="8" t="str">
        <f t="shared" si="6"/>
        <v>Yes</v>
      </c>
    </row>
    <row r="2213">
      <c r="A2213" s="4" t="s">
        <v>16</v>
      </c>
      <c r="B2213" s="4" t="s">
        <v>6203</v>
      </c>
      <c r="C2213" s="9">
        <v>44713.0</v>
      </c>
      <c r="D2213" s="10">
        <v>44713.0</v>
      </c>
      <c r="E2213" s="4" t="s">
        <v>6204</v>
      </c>
      <c r="F2213" s="4" t="s">
        <v>6205</v>
      </c>
      <c r="G2213" s="6" t="str">
        <f>IFERROR(__xludf.DUMMYFUNCTION("REGEXREPLACE(LOWER(F2213),""[^a-z\s]"","""")"),"great service for the buck and great for your pet fish")</f>
        <v>great service for the buck and great for your pet fish</v>
      </c>
      <c r="H2213" s="4" t="str">
        <f t="shared" si="1"/>
        <v>great service buck great your pet fish</v>
      </c>
      <c r="I2213" s="6">
        <f t="shared" si="2"/>
        <v>7</v>
      </c>
      <c r="J2213" s="6">
        <f>IFERROR(__xludf.DUMMYFUNCTION("IF(H2213="""","""",
SUM(
ARRAYFORMULA(
IF(
REGEXMATCH(
"" ""&amp;H2213&amp;"" "",
"" ""&amp;Sentiment_Words!A$2:A3730&amp;"" ""
),
1,
0
)
)
)
)"),1.0)</f>
        <v>1</v>
      </c>
      <c r="K2213" s="4">
        <f>IFERROR(__xludf.DUMMYFUNCTION("IF(H2213="""","""",
SUM(
ARRAYFORMULA(
IF(
REGEXMATCH(
"" ""&amp;H2213&amp;"" "",
"" ""&amp;Sentiment_Words!B$2:B3730&amp;"" ""
),
1,
0
)
)
)
)"),0.0)</f>
        <v>0</v>
      </c>
      <c r="L2213" s="7" t="str">
        <f t="shared" si="3"/>
        <v>Customer Support</v>
      </c>
      <c r="M2213" s="7" t="str">
        <f t="shared" si="4"/>
        <v>Positive</v>
      </c>
      <c r="N2213" s="7" t="str">
        <f>IFERROR(__xludf.DUMMYFUNCTION("LOWER(
TRIM(
REGEXREPLACE(B2213,""[^a-zA-Z\s]"","""")
)
)
"),"scott gellman")</f>
        <v>scott gellman</v>
      </c>
      <c r="O2213" s="7">
        <f t="shared" si="5"/>
        <v>1</v>
      </c>
      <c r="P2213" s="8" t="str">
        <f t="shared" si="6"/>
        <v>No</v>
      </c>
    </row>
    <row r="2214">
      <c r="A2214" s="4" t="s">
        <v>16</v>
      </c>
      <c r="B2214" s="4" t="s">
        <v>2244</v>
      </c>
      <c r="C2214" s="5">
        <v>44712.0</v>
      </c>
      <c r="D2214" s="10">
        <v>44713.0</v>
      </c>
      <c r="E2214" s="4" t="s">
        <v>6206</v>
      </c>
      <c r="F2214" s="4" t="s">
        <v>6207</v>
      </c>
      <c r="G2214" s="6" t="str">
        <f>IFERROR(__xludf.DUMMYFUNCTION("REGEXREPLACE(LOWER(F2214),""[^a-z\s]"","""")"),"the most wonderful customer service and the most wonderful products that keep my dog happy")</f>
        <v>the most wonderful customer service and the most wonderful products that keep my dog happy</v>
      </c>
      <c r="H2214" s="4" t="str">
        <f t="shared" si="1"/>
        <v>most wonderful customer service most wonderful products that keep my dog happy</v>
      </c>
      <c r="I2214" s="6">
        <f t="shared" si="2"/>
        <v>12</v>
      </c>
      <c r="J2214" s="6">
        <f>IFERROR(__xludf.DUMMYFUNCTION("IF(H2214="""","""",
SUM(
ARRAYFORMULA(
IF(
REGEXMATCH(
"" ""&amp;H2214&amp;"" "",
"" ""&amp;Sentiment_Words!A$2:A3730&amp;"" ""
),
1,
0
)
)
)
)"),2.0)</f>
        <v>2</v>
      </c>
      <c r="K2214" s="4">
        <f>IFERROR(__xludf.DUMMYFUNCTION("IF(H2214="""","""",
SUM(
ARRAYFORMULA(
IF(
REGEXMATCH(
"" ""&amp;H2214&amp;"" "",
"" ""&amp;Sentiment_Words!B$2:B3730&amp;"" ""
),
1,
0
)
)
)
)"),1.0)</f>
        <v>1</v>
      </c>
      <c r="L2214" s="7" t="str">
        <f t="shared" si="3"/>
        <v>Customer Support</v>
      </c>
      <c r="M2214" s="7" t="str">
        <f t="shared" si="4"/>
        <v>Positive</v>
      </c>
      <c r="N2214" s="7" t="str">
        <f>IFERROR(__xludf.DUMMYFUNCTION("LOWER(
TRIM(
REGEXREPLACE(B2214,""[^a-zA-Z\s]"","""")
)
)
"),"michael")</f>
        <v>michael</v>
      </c>
      <c r="O2214" s="7">
        <f t="shared" si="5"/>
        <v>8</v>
      </c>
      <c r="P2214" s="8" t="str">
        <f t="shared" si="6"/>
        <v>Yes</v>
      </c>
    </row>
    <row r="2215">
      <c r="A2215" s="4" t="s">
        <v>16</v>
      </c>
      <c r="B2215" s="4" t="s">
        <v>6208</v>
      </c>
      <c r="C2215" s="5">
        <v>44712.0</v>
      </c>
      <c r="D2215" s="10">
        <v>44713.0</v>
      </c>
      <c r="E2215" s="4" t="s">
        <v>6209</v>
      </c>
      <c r="F2215" s="4" t="s">
        <v>6210</v>
      </c>
      <c r="G2215" s="6" t="str">
        <f>IFERROR(__xludf.DUMMYFUNCTION("REGEXREPLACE(LOWER(F2215),""[^a-z\s]"","""")"),"i love the company and the fact that they dont support brands that support animal testing its a  start due to shipping always being late and they dont have an app yet but im not leaving them because of that")</f>
        <v>i love the company and the fact that they dont support brands that support animal testing its a  start due to shipping always being late and they dont have an app yet but im not leaving them because of that</v>
      </c>
      <c r="H2215" s="4" t="str">
        <f t="shared" si="1"/>
        <v>i love company fact that they dont support brands that support animal testing its a start due shipping always being late they dont have an app yet but im not leaving them because of that</v>
      </c>
      <c r="I2215" s="6">
        <f t="shared" si="2"/>
        <v>35</v>
      </c>
      <c r="J2215" s="6">
        <f>IFERROR(__xludf.DUMMYFUNCTION("IF(H2215="""","""",
SUM(
ARRAYFORMULA(
IF(
REGEXMATCH(
"" ""&amp;H2215&amp;"" "",
"" ""&amp;Sentiment_Words!A$2:A3730&amp;"" ""
),
1,
0
)
)
)
)"),1.0)</f>
        <v>1</v>
      </c>
      <c r="K2215" s="4">
        <f>IFERROR(__xludf.DUMMYFUNCTION("IF(H2215="""","""",
SUM(
ARRAYFORMULA(
IF(
REGEXMATCH(
"" ""&amp;H2215&amp;"" "",
"" ""&amp;Sentiment_Words!B$2:B3730&amp;"" ""
),
1,
0
)
)
)
)"),0.0)</f>
        <v>0</v>
      </c>
      <c r="L2215" s="7" t="str">
        <f t="shared" si="3"/>
        <v>Customer Support</v>
      </c>
      <c r="M2215" s="7" t="str">
        <f t="shared" si="4"/>
        <v>Positive</v>
      </c>
      <c r="N2215" s="7" t="str">
        <f>IFERROR(__xludf.DUMMYFUNCTION("LOWER(
TRIM(
REGEXREPLACE(B2215,""[^a-zA-Z\s]"","""")
)
)
"),"shelley khoury")</f>
        <v>shelley khoury</v>
      </c>
      <c r="O2215" s="7">
        <f t="shared" si="5"/>
        <v>1</v>
      </c>
      <c r="P2215" s="8" t="str">
        <f t="shared" si="6"/>
        <v>No</v>
      </c>
    </row>
    <row r="2216">
      <c r="A2216" s="4" t="s">
        <v>16</v>
      </c>
      <c r="B2216" s="4" t="s">
        <v>6211</v>
      </c>
      <c r="C2216" s="5">
        <v>44712.0</v>
      </c>
      <c r="D2216" s="10">
        <v>44713.0</v>
      </c>
      <c r="E2216" s="4" t="s">
        <v>6212</v>
      </c>
      <c r="F2216" s="4" t="s">
        <v>6213</v>
      </c>
      <c r="G2216" s="6" t="str">
        <f>IFERROR(__xludf.DUMMYFUNCTION("REGEXREPLACE(LOWER(F2216),""[^a-z\s]"","""")"),"good selection of products but took a long time to receive")</f>
        <v>good selection of products but took a long time to receive</v>
      </c>
      <c r="H2216" s="4" t="str">
        <f t="shared" si="1"/>
        <v>good selection of products but took a long time receive</v>
      </c>
      <c r="I2216" s="6">
        <f t="shared" si="2"/>
        <v>10</v>
      </c>
      <c r="J2216" s="6">
        <f>IFERROR(__xludf.DUMMYFUNCTION("IF(H2216="""","""",
SUM(
ARRAYFORMULA(
IF(
REGEXMATCH(
"" ""&amp;H2216&amp;"" "",
"" ""&amp;Sentiment_Words!A$2:A3730&amp;"" ""
),
1,
0
)
)
)
)"),1.0)</f>
        <v>1</v>
      </c>
      <c r="K2216" s="4">
        <f>IFERROR(__xludf.DUMMYFUNCTION("IF(H2216="""","""",
SUM(
ARRAYFORMULA(
IF(
REGEXMATCH(
"" ""&amp;H2216&amp;"" "",
"" ""&amp;Sentiment_Words!B$2:B3730&amp;"" ""
),
1,
0
)
)
)
)"),0.0)</f>
        <v>0</v>
      </c>
      <c r="L2216" s="7" t="str">
        <f t="shared" si="3"/>
        <v>Other</v>
      </c>
      <c r="M2216" s="7" t="str">
        <f t="shared" si="4"/>
        <v>Positive</v>
      </c>
      <c r="N2216" s="7" t="str">
        <f>IFERROR(__xludf.DUMMYFUNCTION("LOWER(
TRIM(
REGEXREPLACE(B2216,""[^a-zA-Z\s]"","""")
)
)
"),"sierra cagle")</f>
        <v>sierra cagle</v>
      </c>
      <c r="O2216" s="7">
        <f t="shared" si="5"/>
        <v>1</v>
      </c>
      <c r="P2216" s="8" t="str">
        <f t="shared" si="6"/>
        <v>No</v>
      </c>
    </row>
    <row r="2217">
      <c r="A2217" s="4" t="s">
        <v>16</v>
      </c>
      <c r="B2217" s="4" t="s">
        <v>6214</v>
      </c>
      <c r="C2217" s="5">
        <v>44712.0</v>
      </c>
      <c r="D2217" s="5">
        <v>44712.0</v>
      </c>
      <c r="E2217" s="4" t="s">
        <v>6215</v>
      </c>
      <c r="F2217" s="4" t="s">
        <v>331</v>
      </c>
      <c r="G2217" s="6" t="str">
        <f>IFERROR(__xludf.DUMMYFUNCTION("REGEXREPLACE(LOWER(F2217),""[^a-z\s]"","""")"),"none")</f>
        <v>none</v>
      </c>
      <c r="H2217" s="4" t="str">
        <f t="shared" si="1"/>
        <v>none</v>
      </c>
      <c r="I2217" s="6">
        <f t="shared" si="2"/>
        <v>1</v>
      </c>
      <c r="J2217" s="6">
        <f>IFERROR(__xludf.DUMMYFUNCTION("IF(H2217="""","""",
SUM(
ARRAYFORMULA(
IF(
REGEXMATCH(
"" ""&amp;H2217&amp;"" "",
"" ""&amp;Sentiment_Words!A$2:A3730&amp;"" ""
),
1,
0
)
)
)
)"),0.0)</f>
        <v>0</v>
      </c>
      <c r="K2217" s="4">
        <f>IFERROR(__xludf.DUMMYFUNCTION("IF(H2217="""","""",
SUM(
ARRAYFORMULA(
IF(
REGEXMATCH(
"" ""&amp;H2217&amp;"" "",
"" ""&amp;Sentiment_Words!B$2:B3730&amp;"" ""
),
1,
0
)
)
)
)"),0.0)</f>
        <v>0</v>
      </c>
      <c r="L2217" s="7" t="str">
        <f t="shared" si="3"/>
        <v>Other</v>
      </c>
      <c r="M2217" s="7" t="str">
        <f t="shared" si="4"/>
        <v>Neutral</v>
      </c>
      <c r="N2217" s="7" t="str">
        <f>IFERROR(__xludf.DUMMYFUNCTION("LOWER(
TRIM(
REGEXREPLACE(B2217,""[^a-zA-Z\s]"","""")
)
)
"),"leeann harmening")</f>
        <v>leeann harmening</v>
      </c>
      <c r="O2217" s="7">
        <f t="shared" si="5"/>
        <v>1</v>
      </c>
      <c r="P2217" s="8" t="str">
        <f t="shared" si="6"/>
        <v>No</v>
      </c>
    </row>
    <row r="2218">
      <c r="A2218" s="4" t="s">
        <v>16</v>
      </c>
      <c r="B2218" s="4" t="s">
        <v>6216</v>
      </c>
      <c r="C2218" s="5">
        <v>44712.0</v>
      </c>
      <c r="D2218" s="5">
        <v>44712.0</v>
      </c>
      <c r="E2218" s="4" t="s">
        <v>6217</v>
      </c>
      <c r="F2218" s="4" t="s">
        <v>6218</v>
      </c>
      <c r="G2218" s="6" t="str">
        <f>IFERROR(__xludf.DUMMYFUNCTION("REGEXREPLACE(LOWER(F2218),""[^a-z\s]"","""")"),"had the product in stock and they called the vet")</f>
        <v>had the product in stock and they called the vet</v>
      </c>
      <c r="H2218" s="4" t="str">
        <f t="shared" si="1"/>
        <v>had product in stock they called vet</v>
      </c>
      <c r="I2218" s="6">
        <f t="shared" si="2"/>
        <v>7</v>
      </c>
      <c r="J2218" s="6">
        <f>IFERROR(__xludf.DUMMYFUNCTION("IF(H2218="""","""",
SUM(
ARRAYFORMULA(
IF(
REGEXMATCH(
"" ""&amp;H2218&amp;"" "",
"" ""&amp;Sentiment_Words!A$2:A3730&amp;"" ""
),
1,
0
)
)
)
)"),0.0)</f>
        <v>0</v>
      </c>
      <c r="K2218" s="4">
        <f>IFERROR(__xludf.DUMMYFUNCTION("IF(H2218="""","""",
SUM(
ARRAYFORMULA(
IF(
REGEXMATCH(
"" ""&amp;H2218&amp;"" "",
"" ""&amp;Sentiment_Words!B$2:B3730&amp;"" ""
),
1,
0
)
)
)
)"),0.0)</f>
        <v>0</v>
      </c>
      <c r="L2218" s="7" t="str">
        <f t="shared" si="3"/>
        <v>Other</v>
      </c>
      <c r="M2218" s="7" t="str">
        <f t="shared" si="4"/>
        <v>Neutral</v>
      </c>
      <c r="N2218" s="7" t="str">
        <f>IFERROR(__xludf.DUMMYFUNCTION("LOWER(
TRIM(
REGEXREPLACE(B2218,""[^a-zA-Z\s]"","""")
)
)
"),"maggie")</f>
        <v>maggie</v>
      </c>
      <c r="O2218" s="7">
        <f t="shared" si="5"/>
        <v>1</v>
      </c>
      <c r="P2218" s="8" t="str">
        <f t="shared" si="6"/>
        <v>No</v>
      </c>
    </row>
    <row r="2219">
      <c r="A2219" s="4" t="s">
        <v>16</v>
      </c>
      <c r="B2219" s="4" t="s">
        <v>56</v>
      </c>
      <c r="C2219" s="5">
        <v>44712.0</v>
      </c>
      <c r="D2219" s="5">
        <v>44712.0</v>
      </c>
      <c r="E2219" s="4" t="s">
        <v>6219</v>
      </c>
      <c r="F2219" s="4" t="s">
        <v>6220</v>
      </c>
      <c r="G2219" s="6" t="str">
        <f>IFERROR(__xludf.DUMMYFUNCTION("REGEXREPLACE(LOWER(F2219),""[^a-z\s]"","""")"),"items not as advertised even after calling customer service described the wrong item picture not correct either that was sent
took way longer than expected not likely to recommend or order again")</f>
        <v>items not as advertised even after calling customer service described the wrong item picture not correct either that was sent
took way longer than expected not likely to recommend or order again</v>
      </c>
      <c r="H2219" s="4" t="str">
        <f t="shared" si="1"/>
        <v>items not as advertised even after calling customer service described wrong item picture not correct either that was sent
took way longer than expected not likely recommend or order again</v>
      </c>
      <c r="I2219" s="6">
        <f t="shared" si="2"/>
        <v>29</v>
      </c>
      <c r="J2219" s="6">
        <f>IFERROR(__xludf.DUMMYFUNCTION("IF(H2219="""","""",
SUM(
ARRAYFORMULA(
IF(
REGEXMATCH(
"" ""&amp;H2219&amp;"" "",
"" ""&amp;Sentiment_Words!A$2:A3730&amp;"" ""
),
1,
0
)
)
)
)"),0.0)</f>
        <v>0</v>
      </c>
      <c r="K2219" s="4">
        <f>IFERROR(__xludf.DUMMYFUNCTION("IF(H2219="""","""",
SUM(
ARRAYFORMULA(
IF(
REGEXMATCH(
"" ""&amp;H2219&amp;"" "",
"" ""&amp;Sentiment_Words!B$2:B3730&amp;"" ""
),
1,
0
)
)
)
)"),3.0)</f>
        <v>3</v>
      </c>
      <c r="L2219" s="7" t="str">
        <f t="shared" si="3"/>
        <v>Customer Support</v>
      </c>
      <c r="M2219" s="7" t="str">
        <f t="shared" si="4"/>
        <v>Negative</v>
      </c>
      <c r="N2219" s="7" t="str">
        <f>IFERROR(__xludf.DUMMYFUNCTION("LOWER(
TRIM(
REGEXREPLACE(B2219,""[^a-zA-Z\s]"","""")
)
)
"),"customer")</f>
        <v>customer</v>
      </c>
      <c r="O2219" s="7">
        <f t="shared" si="5"/>
        <v>54</v>
      </c>
      <c r="P2219" s="8" t="str">
        <f t="shared" si="6"/>
        <v>Yes</v>
      </c>
    </row>
    <row r="2220">
      <c r="A2220" s="4" t="s">
        <v>16</v>
      </c>
      <c r="B2220" s="4" t="s">
        <v>6221</v>
      </c>
      <c r="C2220" s="5">
        <v>44712.0</v>
      </c>
      <c r="D2220" s="5">
        <v>44712.0</v>
      </c>
      <c r="E2220" s="4" t="s">
        <v>6222</v>
      </c>
      <c r="F2220" s="4" t="s">
        <v>6223</v>
      </c>
      <c r="G2220" s="6" t="str">
        <f>IFERROR(__xludf.DUMMYFUNCTION("REGEXREPLACE(LOWER(F2220),""[^a-z\s]"","""")"),"had an issue with my order customer service was rude and terrible will never spend my money with this company again")</f>
        <v>had an issue with my order customer service was rude and terrible will never spend my money with this company again</v>
      </c>
      <c r="H2220" s="4" t="str">
        <f t="shared" si="1"/>
        <v>had an issue with my order customer service was rude terrible will never spend my money with this company again</v>
      </c>
      <c r="I2220" s="6">
        <f t="shared" si="2"/>
        <v>20</v>
      </c>
      <c r="J2220" s="6">
        <f>IFERROR(__xludf.DUMMYFUNCTION("IF(H2220="""","""",
SUM(
ARRAYFORMULA(
IF(
REGEXMATCH(
"" ""&amp;H2220&amp;"" "",
"" ""&amp;Sentiment_Words!A$2:A3730&amp;"" ""
),
1,
0
)
)
)
)"),0.0)</f>
        <v>0</v>
      </c>
      <c r="K2220" s="4">
        <f>IFERROR(__xludf.DUMMYFUNCTION("IF(H2220="""","""",
SUM(
ARRAYFORMULA(
IF(
REGEXMATCH(
"" ""&amp;H2220&amp;"" "",
"" ""&amp;Sentiment_Words!B$2:B3730&amp;"" ""
),
1,
0
)
)
)
)"),3.0)</f>
        <v>3</v>
      </c>
      <c r="L2220" s="7" t="str">
        <f t="shared" si="3"/>
        <v>Customer Support</v>
      </c>
      <c r="M2220" s="7" t="str">
        <f t="shared" si="4"/>
        <v>Negative</v>
      </c>
      <c r="N2220" s="7" t="str">
        <f>IFERROR(__xludf.DUMMYFUNCTION("LOWER(
TRIM(
REGEXREPLACE(B2220,""[^a-zA-Z\s]"","""")
)
)
"),"hyun whyte")</f>
        <v>hyun whyte</v>
      </c>
      <c r="O2220" s="7">
        <f t="shared" si="5"/>
        <v>1</v>
      </c>
      <c r="P2220" s="8" t="str">
        <f t="shared" si="6"/>
        <v>No</v>
      </c>
    </row>
    <row r="2221">
      <c r="A2221" s="4" t="s">
        <v>16</v>
      </c>
      <c r="B2221" s="4" t="s">
        <v>6224</v>
      </c>
      <c r="C2221" s="5">
        <v>44711.0</v>
      </c>
      <c r="D2221" s="5">
        <v>44712.0</v>
      </c>
      <c r="E2221" s="4" t="s">
        <v>2180</v>
      </c>
      <c r="F2221" s="4" t="s">
        <v>6225</v>
      </c>
      <c r="G2221" s="6" t="str">
        <f>IFERROR(__xludf.DUMMYFUNCTION("REGEXREPLACE(LOWER(F2221),""[^a-z\s]"","""")"),"excellent always the best")</f>
        <v>excellent always the best</v>
      </c>
      <c r="H2221" s="4" t="str">
        <f t="shared" si="1"/>
        <v>excellent always best</v>
      </c>
      <c r="I2221" s="6">
        <f t="shared" si="2"/>
        <v>3</v>
      </c>
      <c r="J2221" s="6">
        <f>IFERROR(__xludf.DUMMYFUNCTION("IF(H2221="""","""",
SUM(
ARRAYFORMULA(
IF(
REGEXMATCH(
"" ""&amp;H2221&amp;"" "",
"" ""&amp;Sentiment_Words!A$2:A3730&amp;"" ""
),
1,
0
)
)
)
)"),0.0)</f>
        <v>0</v>
      </c>
      <c r="K2221" s="4">
        <f>IFERROR(__xludf.DUMMYFUNCTION("IF(H2221="""","""",
SUM(
ARRAYFORMULA(
IF(
REGEXMATCH(
"" ""&amp;H2221&amp;"" "",
"" ""&amp;Sentiment_Words!B$2:B3730&amp;"" ""
),
1,
0
)
)
)
)"),0.0)</f>
        <v>0</v>
      </c>
      <c r="L2221" s="7" t="str">
        <f t="shared" si="3"/>
        <v>Other</v>
      </c>
      <c r="M2221" s="7" t="str">
        <f t="shared" si="4"/>
        <v>Neutral</v>
      </c>
      <c r="N2221" s="7" t="str">
        <f>IFERROR(__xludf.DUMMYFUNCTION("LOWER(
TRIM(
REGEXREPLACE(B2221,""[^a-zA-Z\s]"","""")
)
)
"),"william ludewig cave creek az")</f>
        <v>william ludewig cave creek az</v>
      </c>
      <c r="O2221" s="7">
        <f t="shared" si="5"/>
        <v>1</v>
      </c>
      <c r="P2221" s="8" t="str">
        <f t="shared" si="6"/>
        <v>No</v>
      </c>
    </row>
    <row r="2222">
      <c r="A2222" s="4" t="s">
        <v>16</v>
      </c>
      <c r="B2222" s="4" t="s">
        <v>1485</v>
      </c>
      <c r="C2222" s="5">
        <v>44711.0</v>
      </c>
      <c r="D2222" s="5">
        <v>44711.0</v>
      </c>
      <c r="E2222" s="4" t="s">
        <v>6226</v>
      </c>
      <c r="F2222" s="4" t="s">
        <v>6227</v>
      </c>
      <c r="G2222" s="6" t="str">
        <f>IFERROR(__xludf.DUMMYFUNCTION("REGEXREPLACE(LOWER(F2222),""[^a-z\s]"","""")"),"pet flow always has the dog food in stock for my pet all through pandemic they were reliable and supplies on hand and timely delivery")</f>
        <v>pet flow always has the dog food in stock for my pet all through pandemic they were reliable and supplies on hand and timely delivery</v>
      </c>
      <c r="H2222" s="4" t="str">
        <f t="shared" si="1"/>
        <v>pet flow always has dog food in stock my pet all through pandemic they were reliable supplies on hand timely delivery</v>
      </c>
      <c r="I2222" s="6">
        <f t="shared" si="2"/>
        <v>21</v>
      </c>
      <c r="J2222" s="6">
        <f>IFERROR(__xludf.DUMMYFUNCTION("IF(H2222="""","""",
SUM(
ARRAYFORMULA(
IF(
REGEXMATCH(
"" ""&amp;H2222&amp;"" "",
"" ""&amp;Sentiment_Words!A$2:A3730&amp;"" ""
),
1,
0
)
)
)
)"),1.0)</f>
        <v>1</v>
      </c>
      <c r="K2222" s="4">
        <f>IFERROR(__xludf.DUMMYFUNCTION("IF(H2222="""","""",
SUM(
ARRAYFORMULA(
IF(
REGEXMATCH(
"" ""&amp;H2222&amp;"" "",
"" ""&amp;Sentiment_Words!B$2:B3730&amp;"" ""
),
1,
0
)
)
)
)"),0.0)</f>
        <v>0</v>
      </c>
      <c r="L2222" s="7" t="str">
        <f t="shared" si="3"/>
        <v>Other</v>
      </c>
      <c r="M2222" s="7" t="str">
        <f t="shared" si="4"/>
        <v>Positive</v>
      </c>
      <c r="N2222" s="7" t="str">
        <f>IFERROR(__xludf.DUMMYFUNCTION("LOWER(
TRIM(
REGEXREPLACE(B2222,""[^a-zA-Z\s]"","""")
)
)
"),"debbie")</f>
        <v>debbie</v>
      </c>
      <c r="O2222" s="7">
        <f t="shared" si="5"/>
        <v>3</v>
      </c>
      <c r="P2222" s="8" t="str">
        <f t="shared" si="6"/>
        <v>Yes</v>
      </c>
    </row>
    <row r="2223">
      <c r="A2223" s="4" t="s">
        <v>16</v>
      </c>
      <c r="B2223" s="4" t="s">
        <v>6228</v>
      </c>
      <c r="C2223" s="5">
        <v>44711.0</v>
      </c>
      <c r="D2223" s="5">
        <v>44711.0</v>
      </c>
      <c r="E2223" s="4" t="s">
        <v>6229</v>
      </c>
      <c r="F2223" s="4" t="s">
        <v>6230</v>
      </c>
      <c r="G2223" s="6" t="str">
        <f>IFERROR(__xludf.DUMMYFUNCTION("REGEXREPLACE(LOWER(F2223),""[^a-z\s]"","""")"),"customer service was awesome the shipping was very fast and i was very pleased with the variety of food i will definitely order again")</f>
        <v>customer service was awesome the shipping was very fast and i was very pleased with the variety of food i will definitely order again</v>
      </c>
      <c r="H2223" s="4" t="str">
        <f t="shared" si="1"/>
        <v>customer service was awesome shipping was very fast i was very pleased with variety of food i will definitely order again</v>
      </c>
      <c r="I2223" s="6">
        <f t="shared" si="2"/>
        <v>21</v>
      </c>
      <c r="J2223" s="6">
        <f>IFERROR(__xludf.DUMMYFUNCTION("IF(H2223="""","""",
SUM(
ARRAYFORMULA(
IF(
REGEXMATCH(
"" ""&amp;H2223&amp;"" "",
"" ""&amp;Sentiment_Words!A$2:A3730&amp;"" ""
),
1,
0
)
)
)
)"),1.0)</f>
        <v>1</v>
      </c>
      <c r="K2223" s="4">
        <f>IFERROR(__xludf.DUMMYFUNCTION("IF(H2223="""","""",
SUM(
ARRAYFORMULA(
IF(
REGEXMATCH(
"" ""&amp;H2223&amp;"" "",
"" ""&amp;Sentiment_Words!B$2:B3730&amp;"" ""
),
1,
0
)
)
)
)"),1.0)</f>
        <v>1</v>
      </c>
      <c r="L2223" s="7" t="str">
        <f t="shared" si="3"/>
        <v>Customer Support</v>
      </c>
      <c r="M2223" s="7" t="str">
        <f t="shared" si="4"/>
        <v>Neutral</v>
      </c>
      <c r="N2223" s="7" t="str">
        <f>IFERROR(__xludf.DUMMYFUNCTION("LOWER(
TRIM(
REGEXREPLACE(B2223,""[^a-zA-Z\s]"","""")
)
)
"),"rosalie")</f>
        <v>rosalie</v>
      </c>
      <c r="O2223" s="7">
        <f t="shared" si="5"/>
        <v>1</v>
      </c>
      <c r="P2223" s="8" t="str">
        <f t="shared" si="6"/>
        <v>No</v>
      </c>
    </row>
    <row r="2224">
      <c r="A2224" s="4" t="s">
        <v>16</v>
      </c>
      <c r="B2224" s="4" t="s">
        <v>6231</v>
      </c>
      <c r="C2224" s="5">
        <v>44711.0</v>
      </c>
      <c r="D2224" s="5">
        <v>44711.0</v>
      </c>
      <c r="E2224" s="4" t="s">
        <v>6232</v>
      </c>
      <c r="F2224" s="4" t="s">
        <v>6233</v>
      </c>
      <c r="G2224" s="6" t="str">
        <f>IFERROR(__xludf.DUMMYFUNCTION("REGEXREPLACE(LOWER(F2224),""[^a-z\s]"","""")"),"fromm dog food is so awesome my elderly dogs were on wet dog food and they liked it till i took them to my friends house she had the beef fromm out for her dogs my dogs decided they like that food better than theirs it was a month of trying to get them to"&amp;" eat their food i asked my vet what he thought of fromm and he said he thought it was a good food one of the reasons i went to wet food is  of them only has  teeth in the back and  in the front figuring they could not eat hard dog food again but they can "&amp;"and love it small bites")</f>
        <v>fromm dog food is so awesome my elderly dogs were on wet dog food and they liked it till i took them to my friends house she had the beef fromm out for her dogs my dogs decided they like that food better than theirs it was a month of trying to get them to eat their food i asked my vet what he thought of fromm and he said he thought it was a good food one of the reasons i went to wet food is  of them only has  teeth in the back and  in the front figuring they could not eat hard dog food again but they can and love it small bites</v>
      </c>
      <c r="H2224" s="4" t="str">
        <f t="shared" si="1"/>
        <v>fromm dog food so awesome my elderly dogs were on wet dog food they liked it till i took them my friends house she had beef fromm out her dogs my dogs decided they like that food better than theirs it was a month of trying get them eat their food i asked my vet what he thought of fromm he said he thought it was a good food one of reasons i went wet food of them only has teeth in back in front figuring they could not eat hard dog food again but they can love it small bites</v>
      </c>
      <c r="I2224" s="6">
        <f t="shared" si="2"/>
        <v>101</v>
      </c>
      <c r="J2224" s="6">
        <f>IFERROR(__xludf.DUMMYFUNCTION("IF(H2224="""","""",
SUM(
ARRAYFORMULA(
IF(
REGEXMATCH(
"" ""&amp;H2224&amp;"" "",
"" ""&amp;Sentiment_Words!A$2:A3730&amp;"" ""
),
1,
0
)
)
)
)"),2.0)</f>
        <v>2</v>
      </c>
      <c r="K2224" s="4">
        <f>IFERROR(__xludf.DUMMYFUNCTION("IF(H2224="""","""",
SUM(
ARRAYFORMULA(
IF(
REGEXMATCH(
"" ""&amp;H2224&amp;"" "",
"" ""&amp;Sentiment_Words!B$2:B3730&amp;"" ""
),
1,
0
)
)
)
)"),0.0)</f>
        <v>0</v>
      </c>
      <c r="L2224" s="7" t="str">
        <f t="shared" si="3"/>
        <v>Other</v>
      </c>
      <c r="M2224" s="7" t="str">
        <f t="shared" si="4"/>
        <v>Positive</v>
      </c>
      <c r="N2224" s="7" t="str">
        <f>IFERROR(__xludf.DUMMYFUNCTION("LOWER(
TRIM(
REGEXREPLACE(B2224,""[^a-zA-Z\s]"","""")
)
)
"),"patricia hawks")</f>
        <v>patricia hawks</v>
      </c>
      <c r="O2224" s="7">
        <f t="shared" si="5"/>
        <v>1</v>
      </c>
      <c r="P2224" s="8" t="str">
        <f t="shared" si="6"/>
        <v>No</v>
      </c>
    </row>
    <row r="2225">
      <c r="A2225" s="4" t="s">
        <v>16</v>
      </c>
      <c r="B2225" s="4" t="s">
        <v>6234</v>
      </c>
      <c r="C2225" s="5">
        <v>44711.0</v>
      </c>
      <c r="D2225" s="5">
        <v>44711.0</v>
      </c>
      <c r="E2225" s="4" t="s">
        <v>6235</v>
      </c>
      <c r="F2225" s="4" t="s">
        <v>6236</v>
      </c>
      <c r="G2225" s="6" t="str">
        <f>IFERROR(__xludf.DUMMYFUNCTION("REGEXREPLACE(LOWER(F2225),""[^a-z\s]"","""")"),"poorly packaged for shipment but arrived quickly")</f>
        <v>poorly packaged for shipment but arrived quickly</v>
      </c>
      <c r="H2225" s="4" t="str">
        <f t="shared" si="1"/>
        <v>poorly packaged shipment but arrived quickly</v>
      </c>
      <c r="I2225" s="6">
        <f t="shared" si="2"/>
        <v>6</v>
      </c>
      <c r="J2225" s="6">
        <f>IFERROR(__xludf.DUMMYFUNCTION("IF(H2225="""","""",
SUM(
ARRAYFORMULA(
IF(
REGEXMATCH(
"" ""&amp;H2225&amp;"" "",
"" ""&amp;Sentiment_Words!A$2:A3730&amp;"" ""
),
1,
0
)
)
)
)"),0.0)</f>
        <v>0</v>
      </c>
      <c r="K2225" s="4">
        <f>IFERROR(__xludf.DUMMYFUNCTION("IF(H2225="""","""",
SUM(
ARRAYFORMULA(
IF(
REGEXMATCH(
"" ""&amp;H2225&amp;"" "",
"" ""&amp;Sentiment_Words!B$2:B3730&amp;"" ""
),
1,
0
)
)
)
)"),0.0)</f>
        <v>0</v>
      </c>
      <c r="L2225" s="7" t="str">
        <f t="shared" si="3"/>
        <v>Other</v>
      </c>
      <c r="M2225" s="7" t="str">
        <f t="shared" si="4"/>
        <v>Neutral</v>
      </c>
      <c r="N2225" s="7" t="str">
        <f>IFERROR(__xludf.DUMMYFUNCTION("LOWER(
TRIM(
REGEXREPLACE(B2225,""[^a-zA-Z\s]"","""")
)
)
"),"tammy brown")</f>
        <v>tammy brown</v>
      </c>
      <c r="O2225" s="7">
        <f t="shared" si="5"/>
        <v>1</v>
      </c>
      <c r="P2225" s="8" t="str">
        <f t="shared" si="6"/>
        <v>No</v>
      </c>
    </row>
    <row r="2226">
      <c r="A2226" s="4" t="s">
        <v>16</v>
      </c>
      <c r="B2226" s="4" t="s">
        <v>6237</v>
      </c>
      <c r="C2226" s="5">
        <v>44711.0</v>
      </c>
      <c r="D2226" s="5">
        <v>44711.0</v>
      </c>
      <c r="E2226" s="4" t="s">
        <v>6238</v>
      </c>
      <c r="F2226" s="4" t="s">
        <v>6239</v>
      </c>
      <c r="G2226" s="6" t="str">
        <f>IFERROR(__xludf.DUMMYFUNCTION("REGEXREPLACE(LOWER(F2226),""[^a-z\s]"","""")"),"great customer service i needed my cats prescription cat food asap and they pushed the process faster for me")</f>
        <v>great customer service i needed my cats prescription cat food asap and they pushed the process faster for me</v>
      </c>
      <c r="H2226" s="4" t="str">
        <f t="shared" si="1"/>
        <v>great customer service i needed my cats prescription cat food asap they pushed process faster me</v>
      </c>
      <c r="I2226" s="6">
        <f t="shared" si="2"/>
        <v>16</v>
      </c>
      <c r="J2226" s="6">
        <f>IFERROR(__xludf.DUMMYFUNCTION("IF(H2226="""","""",
SUM(
ARRAYFORMULA(
IF(
REGEXMATCH(
"" ""&amp;H2226&amp;"" "",
"" ""&amp;Sentiment_Words!A$2:A3730&amp;"" ""
),
1,
0
)
)
)
)"),2.0)</f>
        <v>2</v>
      </c>
      <c r="K2226" s="4">
        <f>IFERROR(__xludf.DUMMYFUNCTION("IF(H2226="""","""",
SUM(
ARRAYFORMULA(
IF(
REGEXMATCH(
"" ""&amp;H2226&amp;"" "",
"" ""&amp;Sentiment_Words!B$2:B3730&amp;"" ""
),
1,
0
)
)
)
)"),1.0)</f>
        <v>1</v>
      </c>
      <c r="L2226" s="7" t="str">
        <f t="shared" si="3"/>
        <v>Customer Support</v>
      </c>
      <c r="M2226" s="7" t="str">
        <f t="shared" si="4"/>
        <v>Positive</v>
      </c>
      <c r="N2226" s="7" t="str">
        <f>IFERROR(__xludf.DUMMYFUNCTION("LOWER(
TRIM(
REGEXREPLACE(B2226,""[^a-zA-Z\s]"","""")
)
)
"),"ivaluem")</f>
        <v>ivaluem</v>
      </c>
      <c r="O2226" s="7">
        <f t="shared" si="5"/>
        <v>1</v>
      </c>
      <c r="P2226" s="8" t="str">
        <f t="shared" si="6"/>
        <v>No</v>
      </c>
    </row>
    <row r="2227">
      <c r="A2227" s="4" t="s">
        <v>16</v>
      </c>
      <c r="B2227" s="4" t="s">
        <v>6240</v>
      </c>
      <c r="C2227" s="5">
        <v>44711.0</v>
      </c>
      <c r="D2227" s="5">
        <v>44711.0</v>
      </c>
      <c r="E2227" s="4" t="s">
        <v>190</v>
      </c>
      <c r="F2227" s="4" t="s">
        <v>6241</v>
      </c>
      <c r="G2227" s="6" t="str">
        <f>IFERROR(__xludf.DUMMYFUNCTION("REGEXREPLACE(LOWER(F2227),""[^a-z\s]"","""")"),"fast deliveries and one of the few places i found farmina dog food now im on auto delivery")</f>
        <v>fast deliveries and one of the few places i found farmina dog food now im on auto delivery</v>
      </c>
      <c r="H2227" s="4" t="str">
        <f t="shared" si="1"/>
        <v>fast deliveries one of few places i found farmina dog food now im on auto delivery</v>
      </c>
      <c r="I2227" s="6">
        <f t="shared" si="2"/>
        <v>16</v>
      </c>
      <c r="J2227" s="6">
        <f>IFERROR(__xludf.DUMMYFUNCTION("IF(H2227="""","""",
SUM(
ARRAYFORMULA(
IF(
REGEXMATCH(
"" ""&amp;H2227&amp;"" "",
"" ""&amp;Sentiment_Words!A$2:A3730&amp;"" ""
),
1,
0
)
)
)
)"),2.0)</f>
        <v>2</v>
      </c>
      <c r="K2227" s="4">
        <f>IFERROR(__xludf.DUMMYFUNCTION("IF(H2227="""","""",
SUM(
ARRAYFORMULA(
IF(
REGEXMATCH(
"" ""&amp;H2227&amp;"" "",
"" ""&amp;Sentiment_Words!B$2:B3730&amp;"" ""
),
1,
0
)
)
)
)"),0.0)</f>
        <v>0</v>
      </c>
      <c r="L2227" s="7" t="str">
        <f t="shared" si="3"/>
        <v>Other</v>
      </c>
      <c r="M2227" s="7" t="str">
        <f t="shared" si="4"/>
        <v>Positive</v>
      </c>
      <c r="N2227" s="7" t="str">
        <f>IFERROR(__xludf.DUMMYFUNCTION("LOWER(
TRIM(
REGEXREPLACE(B2227,""[^a-zA-Z\s]"","""")
)
)
"),"monica snape")</f>
        <v>monica snape</v>
      </c>
      <c r="O2227" s="7">
        <f t="shared" si="5"/>
        <v>1</v>
      </c>
      <c r="P2227" s="8" t="str">
        <f t="shared" si="6"/>
        <v>No</v>
      </c>
    </row>
    <row r="2228">
      <c r="A2228" s="4" t="s">
        <v>16</v>
      </c>
      <c r="B2228" s="4" t="s">
        <v>6242</v>
      </c>
      <c r="C2228" s="5">
        <v>44711.0</v>
      </c>
      <c r="D2228" s="5">
        <v>44711.0</v>
      </c>
      <c r="E2228" s="4" t="s">
        <v>6243</v>
      </c>
      <c r="F2228" s="4" t="s">
        <v>6244</v>
      </c>
      <c r="G2228" s="6" t="str">
        <f>IFERROR(__xludf.DUMMYFUNCTION("REGEXREPLACE(LOWER(F2228),""[^a-z\s]"","""")"),"i ordered cat food on  and fedex has yet to deliver it stating that the address is incorrect when it is not after hours on the phone trying to get this package i am left with no other choice but to request a refund i still dont have the cat food and am ti"&amp;"red of wasting hours talking to low level customer support that do not fix the issue and your phone number is disconnected")</f>
        <v>i ordered cat food on  and fedex has yet to deliver it stating that the address is incorrect when it is not after hours on the phone trying to get this package i am left with no other choice but to request a refund i still dont have the cat food and am tired of wasting hours talking to low level customer support that do not fix the issue and your phone number is disconnected</v>
      </c>
      <c r="H2228" s="4" t="str">
        <f t="shared" si="1"/>
        <v>i ordered cat food on fedex has yet deliver it stating that address incorrect when it not after hours on phone trying get this package i am left with no other choice but request a refund i still dont have cat food am tired of wasting hours talking low level customer support that do not fix issue your phone number disconnected</v>
      </c>
      <c r="I2228" s="6">
        <f t="shared" si="2"/>
        <v>61</v>
      </c>
      <c r="J2228" s="6">
        <f>IFERROR(__xludf.DUMMYFUNCTION("IF(H2228="""","""",
SUM(
ARRAYFORMULA(
IF(
REGEXMATCH(
"" ""&amp;H2228&amp;"" "",
"" ""&amp;Sentiment_Words!A$2:A3730&amp;"" ""
),
1,
0
)
)
)
)"),0.0)</f>
        <v>0</v>
      </c>
      <c r="K2228" s="4">
        <f>IFERROR(__xludf.DUMMYFUNCTION("IF(H2228="""","""",
SUM(
ARRAYFORMULA(
IF(
REGEXMATCH(
"" ""&amp;H2228&amp;"" "",
"" ""&amp;Sentiment_Words!B$2:B3730&amp;"" ""
),
1,
0
)
)
)
)"),3.0)</f>
        <v>3</v>
      </c>
      <c r="L2228" s="7" t="str">
        <f t="shared" si="3"/>
        <v>Customer Support</v>
      </c>
      <c r="M2228" s="7" t="str">
        <f t="shared" si="4"/>
        <v>Negative</v>
      </c>
      <c r="N2228" s="7" t="str">
        <f>IFERROR(__xludf.DUMMYFUNCTION("LOWER(
TRIM(
REGEXREPLACE(B2228,""[^a-zA-Z\s]"","""")
)
)
"),"michelle")</f>
        <v>michelle</v>
      </c>
      <c r="O2228" s="7">
        <f t="shared" si="5"/>
        <v>2</v>
      </c>
      <c r="P2228" s="8" t="str">
        <f t="shared" si="6"/>
        <v>Yes</v>
      </c>
    </row>
    <row r="2229">
      <c r="A2229" s="4" t="s">
        <v>16</v>
      </c>
      <c r="B2229" s="4" t="s">
        <v>6245</v>
      </c>
      <c r="C2229" s="5">
        <v>44710.0</v>
      </c>
      <c r="D2229" s="5">
        <v>44710.0</v>
      </c>
      <c r="E2229" s="4" t="s">
        <v>6246</v>
      </c>
      <c r="F2229" s="4" t="s">
        <v>6247</v>
      </c>
      <c r="G2229" s="6" t="str">
        <f>IFERROR(__xludf.DUMMYFUNCTION("REGEXREPLACE(LOWER(F2229),""[^a-z\s]"","""")"),"we love using petflow for our pets needs the prices are competitive and its so easy to changedelaycancel our order")</f>
        <v>we love using petflow for our pets needs the prices are competitive and its so easy to changedelaycancel our order</v>
      </c>
      <c r="H2229" s="4" t="str">
        <f t="shared" si="1"/>
        <v>we love using petflow our pets needs prices are competitive its so easy changedelaycancel our order</v>
      </c>
      <c r="I2229" s="6">
        <f t="shared" si="2"/>
        <v>16</v>
      </c>
      <c r="J2229" s="6">
        <f>IFERROR(__xludf.DUMMYFUNCTION("IF(H2229="""","""",
SUM(
ARRAYFORMULA(
IF(
REGEXMATCH(
"" ""&amp;H2229&amp;"" "",
"" ""&amp;Sentiment_Words!A$2:A3730&amp;"" ""
),
1,
0
)
)
)
)"),2.0)</f>
        <v>2</v>
      </c>
      <c r="K2229" s="4">
        <f>IFERROR(__xludf.DUMMYFUNCTION("IF(H2229="""","""",
SUM(
ARRAYFORMULA(
IF(
REGEXMATCH(
"" ""&amp;H2229&amp;"" "",
"" ""&amp;Sentiment_Words!B$2:B3730&amp;"" ""
),
1,
0
)
)
)
)"),0.0)</f>
        <v>0</v>
      </c>
      <c r="L2229" s="7" t="str">
        <f t="shared" si="3"/>
        <v>Fulfillment &amp; Shipping</v>
      </c>
      <c r="M2229" s="7" t="str">
        <f t="shared" si="4"/>
        <v>Positive</v>
      </c>
      <c r="N2229" s="7" t="str">
        <f>IFERROR(__xludf.DUMMYFUNCTION("LOWER(
TRIM(
REGEXREPLACE(B2229,""[^a-zA-Z\s]"","""")
)
)
"),"kim hiland")</f>
        <v>kim hiland</v>
      </c>
      <c r="O2229" s="7">
        <f t="shared" si="5"/>
        <v>1</v>
      </c>
      <c r="P2229" s="8" t="str">
        <f t="shared" si="6"/>
        <v>No</v>
      </c>
    </row>
    <row r="2230">
      <c r="A2230" s="4" t="s">
        <v>16</v>
      </c>
      <c r="B2230" s="4" t="s">
        <v>6248</v>
      </c>
      <c r="C2230" s="5">
        <v>44710.0</v>
      </c>
      <c r="D2230" s="5">
        <v>44710.0</v>
      </c>
      <c r="E2230" s="4" t="s">
        <v>6249</v>
      </c>
      <c r="F2230" s="4" t="s">
        <v>6250</v>
      </c>
      <c r="G2230" s="6" t="str">
        <f>IFERROR(__xludf.DUMMYFUNCTION("REGEXREPLACE(LOWER(F2230),""[^a-z\s]"","""")"),"shipping was fast my only concern is my dog food best by date is sept  just concerned not fresh maybe older stock")</f>
        <v>shipping was fast my only concern is my dog food best by date is sept  just concerned not fresh maybe older stock</v>
      </c>
      <c r="H2230" s="4" t="str">
        <f t="shared" si="1"/>
        <v>shipping was fast my only concern my dog food best by date sept just concerned not fresh maybe older stock</v>
      </c>
      <c r="I2230" s="6">
        <f t="shared" si="2"/>
        <v>20</v>
      </c>
      <c r="J2230" s="6">
        <f>IFERROR(__xludf.DUMMYFUNCTION("IF(H2230="""","""",
SUM(
ARRAYFORMULA(
IF(
REGEXMATCH(
"" ""&amp;H2230&amp;"" "",
"" ""&amp;Sentiment_Words!A$2:A3730&amp;"" ""
),
1,
0
)
)
)
)"),1.0)</f>
        <v>1</v>
      </c>
      <c r="K2230" s="4">
        <f>IFERROR(__xludf.DUMMYFUNCTION("IF(H2230="""","""",
SUM(
ARRAYFORMULA(
IF(
REGEXMATCH(
"" ""&amp;H2230&amp;"" "",
"" ""&amp;Sentiment_Words!B$2:B3730&amp;"" ""
),
1,
0
)
)
)
)"),0.0)</f>
        <v>0</v>
      </c>
      <c r="L2230" s="7" t="str">
        <f t="shared" si="3"/>
        <v>Other</v>
      </c>
      <c r="M2230" s="7" t="str">
        <f t="shared" si="4"/>
        <v>Positive</v>
      </c>
      <c r="N2230" s="7" t="str">
        <f>IFERROR(__xludf.DUMMYFUNCTION("LOWER(
TRIM(
REGEXREPLACE(B2230,""[^a-zA-Z\s]"","""")
)
)
"),"joyce shipman")</f>
        <v>joyce shipman</v>
      </c>
      <c r="O2230" s="7">
        <f t="shared" si="5"/>
        <v>1</v>
      </c>
      <c r="P2230" s="8" t="str">
        <f t="shared" si="6"/>
        <v>No</v>
      </c>
    </row>
    <row r="2231">
      <c r="A2231" s="4" t="s">
        <v>16</v>
      </c>
      <c r="B2231" s="4" t="s">
        <v>6251</v>
      </c>
      <c r="C2231" s="5">
        <v>44710.0</v>
      </c>
      <c r="D2231" s="5">
        <v>44710.0</v>
      </c>
      <c r="E2231" s="4" t="s">
        <v>6252</v>
      </c>
      <c r="F2231" s="4" t="s">
        <v>6253</v>
      </c>
      <c r="G2231" s="6" t="str">
        <f>IFERROR(__xludf.DUMMYFUNCTION("REGEXREPLACE(LOWER(F2231),""[^a-z\s]"","""")"),"petflow is the best hands down great customer service and prices")</f>
        <v>petflow is the best hands down great customer service and prices</v>
      </c>
      <c r="H2231" s="4" t="str">
        <f t="shared" si="1"/>
        <v>petflow best hands down great customer service prices</v>
      </c>
      <c r="I2231" s="6">
        <f t="shared" si="2"/>
        <v>8</v>
      </c>
      <c r="J2231" s="6">
        <f>IFERROR(__xludf.DUMMYFUNCTION("IF(H2231="""","""",
SUM(
ARRAYFORMULA(
IF(
REGEXMATCH(
"" ""&amp;H2231&amp;"" "",
"" ""&amp;Sentiment_Words!A$2:A3730&amp;"" ""
),
1,
0
)
)
)
)"),2.0)</f>
        <v>2</v>
      </c>
      <c r="K2231" s="4">
        <f>IFERROR(__xludf.DUMMYFUNCTION("IF(H2231="""","""",
SUM(
ARRAYFORMULA(
IF(
REGEXMATCH(
"" ""&amp;H2231&amp;"" "",
"" ""&amp;Sentiment_Words!B$2:B3730&amp;"" ""
),
1,
0
)
)
)
)"),1.0)</f>
        <v>1</v>
      </c>
      <c r="L2231" s="7" t="str">
        <f t="shared" si="3"/>
        <v>Customer Support</v>
      </c>
      <c r="M2231" s="7" t="str">
        <f t="shared" si="4"/>
        <v>Positive</v>
      </c>
      <c r="N2231" s="7" t="str">
        <f>IFERROR(__xludf.DUMMYFUNCTION("LOWER(
TRIM(
REGEXREPLACE(B2231,""[^a-zA-Z\s]"","""")
)
)
"),"wendy call")</f>
        <v>wendy call</v>
      </c>
      <c r="O2231" s="7">
        <f t="shared" si="5"/>
        <v>1</v>
      </c>
      <c r="P2231" s="8" t="str">
        <f t="shared" si="6"/>
        <v>No</v>
      </c>
    </row>
    <row r="2232">
      <c r="A2232" s="4" t="s">
        <v>16</v>
      </c>
      <c r="B2232" s="4" t="s">
        <v>6254</v>
      </c>
      <c r="C2232" s="5">
        <v>44710.0</v>
      </c>
      <c r="D2232" s="5">
        <v>44710.0</v>
      </c>
      <c r="E2232" s="4" t="s">
        <v>6255</v>
      </c>
      <c r="F2232" s="4" t="s">
        <v>6256</v>
      </c>
      <c r="G2232" s="6" t="str">
        <f>IFERROR(__xludf.DUMMYFUNCTION("REGEXREPLACE(LOWER(F2232),""[^a-z\s]"","""")"),"they had the food i had been searching for in stock quick shipping")</f>
        <v>they had the food i had been searching for in stock quick shipping</v>
      </c>
      <c r="H2232" s="4" t="str">
        <f t="shared" si="1"/>
        <v>they had food i had been searching in stock quick shipping</v>
      </c>
      <c r="I2232" s="6">
        <f t="shared" si="2"/>
        <v>11</v>
      </c>
      <c r="J2232" s="6">
        <f>IFERROR(__xludf.DUMMYFUNCTION("IF(H2232="""","""",
SUM(
ARRAYFORMULA(
IF(
REGEXMATCH(
"" ""&amp;H2232&amp;"" "",
"" ""&amp;Sentiment_Words!A$2:A3730&amp;"" ""
),
1,
0
)
)
)
)"),0.0)</f>
        <v>0</v>
      </c>
      <c r="K2232" s="4">
        <f>IFERROR(__xludf.DUMMYFUNCTION("IF(H2232="""","""",
SUM(
ARRAYFORMULA(
IF(
REGEXMATCH(
"" ""&amp;H2232&amp;"" "",
"" ""&amp;Sentiment_Words!B$2:B3730&amp;"" ""
),
1,
0
)
)
)
)"),0.0)</f>
        <v>0</v>
      </c>
      <c r="L2232" s="7" t="str">
        <f t="shared" si="3"/>
        <v>Other</v>
      </c>
      <c r="M2232" s="7" t="str">
        <f t="shared" si="4"/>
        <v>Neutral</v>
      </c>
      <c r="N2232" s="7" t="str">
        <f>IFERROR(__xludf.DUMMYFUNCTION("LOWER(
TRIM(
REGEXREPLACE(B2232,""[^a-zA-Z\s]"","""")
)
)
"),"allison baird")</f>
        <v>allison baird</v>
      </c>
      <c r="O2232" s="7">
        <f t="shared" si="5"/>
        <v>1</v>
      </c>
      <c r="P2232" s="8" t="str">
        <f t="shared" si="6"/>
        <v>No</v>
      </c>
    </row>
    <row r="2233">
      <c r="A2233" s="4" t="s">
        <v>16</v>
      </c>
      <c r="B2233" s="4" t="s">
        <v>6257</v>
      </c>
      <c r="C2233" s="5">
        <v>44710.0</v>
      </c>
      <c r="D2233" s="5">
        <v>44710.0</v>
      </c>
      <c r="E2233" s="4" t="s">
        <v>6258</v>
      </c>
      <c r="F2233" s="4" t="s">
        <v>6259</v>
      </c>
      <c r="G2233" s="6" t="str">
        <f>IFERROR(__xludf.DUMMYFUNCTION("REGEXREPLACE(LOWER(F2233),""[^a-z\s]"","""")"),"super great company with fast service and great shipping")</f>
        <v>super great company with fast service and great shipping</v>
      </c>
      <c r="H2233" s="4" t="str">
        <f t="shared" si="1"/>
        <v>super great company with fast service great shipping</v>
      </c>
      <c r="I2233" s="6">
        <f t="shared" si="2"/>
        <v>8</v>
      </c>
      <c r="J2233" s="6">
        <f>IFERROR(__xludf.DUMMYFUNCTION("IF(H2233="""","""",
SUM(
ARRAYFORMULA(
IF(
REGEXMATCH(
"" ""&amp;H2233&amp;"" "",
"" ""&amp;Sentiment_Words!A$2:A3730&amp;"" ""
),
1,
0
)
)
)
)"),2.0)</f>
        <v>2</v>
      </c>
      <c r="K2233" s="4">
        <f>IFERROR(__xludf.DUMMYFUNCTION("IF(H2233="""","""",
SUM(
ARRAYFORMULA(
IF(
REGEXMATCH(
"" ""&amp;H2233&amp;"" "",
"" ""&amp;Sentiment_Words!B$2:B3730&amp;"" ""
),
1,
0
)
)
)
)"),0.0)</f>
        <v>0</v>
      </c>
      <c r="L2233" s="7" t="str">
        <f t="shared" si="3"/>
        <v>Customer Support</v>
      </c>
      <c r="M2233" s="7" t="str">
        <f t="shared" si="4"/>
        <v>Positive</v>
      </c>
      <c r="N2233" s="7" t="str">
        <f>IFERROR(__xludf.DUMMYFUNCTION("LOWER(
TRIM(
REGEXREPLACE(B2233,""[^a-zA-Z\s]"","""")
)
)
"),"thomas popp")</f>
        <v>thomas popp</v>
      </c>
      <c r="O2233" s="7">
        <f t="shared" si="5"/>
        <v>1</v>
      </c>
      <c r="P2233" s="8" t="str">
        <f t="shared" si="6"/>
        <v>No</v>
      </c>
    </row>
    <row r="2234">
      <c r="A2234" s="4" t="s">
        <v>16</v>
      </c>
      <c r="B2234" s="4" t="s">
        <v>5316</v>
      </c>
      <c r="C2234" s="5">
        <v>44710.0</v>
      </c>
      <c r="D2234" s="5">
        <v>44710.0</v>
      </c>
      <c r="E2234" s="4" t="s">
        <v>6260</v>
      </c>
      <c r="F2234" s="4" t="s">
        <v>6261</v>
      </c>
      <c r="G2234" s="6" t="str">
        <f>IFERROR(__xludf.DUMMYFUNCTION("REGEXREPLACE(LOWER(F2234),""[^a-z\s]"","""")"),"great company with very quick shipping i will be using them from now on")</f>
        <v>great company with very quick shipping i will be using them from now on</v>
      </c>
      <c r="H2234" s="4" t="str">
        <f t="shared" si="1"/>
        <v>great company with very quick shipping i will be using them from now on</v>
      </c>
      <c r="I2234" s="6">
        <f t="shared" si="2"/>
        <v>14</v>
      </c>
      <c r="J2234" s="6">
        <f>IFERROR(__xludf.DUMMYFUNCTION("IF(H2234="""","""",
SUM(
ARRAYFORMULA(
IF(
REGEXMATCH(
"" ""&amp;H2234&amp;"" "",
"" ""&amp;Sentiment_Words!A$2:A3730&amp;"" ""
),
1,
0
)
)
)
)"),1.0)</f>
        <v>1</v>
      </c>
      <c r="K2234" s="4">
        <f>IFERROR(__xludf.DUMMYFUNCTION("IF(H2234="""","""",
SUM(
ARRAYFORMULA(
IF(
REGEXMATCH(
"" ""&amp;H2234&amp;"" "",
"" ""&amp;Sentiment_Words!B$2:B3730&amp;"" ""
),
1,
0
)
)
)
)"),0.0)</f>
        <v>0</v>
      </c>
      <c r="L2234" s="7" t="str">
        <f t="shared" si="3"/>
        <v>Other</v>
      </c>
      <c r="M2234" s="7" t="str">
        <f t="shared" si="4"/>
        <v>Positive</v>
      </c>
      <c r="N2234" s="7" t="str">
        <f>IFERROR(__xludf.DUMMYFUNCTION("LOWER(
TRIM(
REGEXREPLACE(B2234,""[^a-zA-Z\s]"","""")
)
)
"),"joan")</f>
        <v>joan</v>
      </c>
      <c r="O2234" s="7">
        <f t="shared" si="5"/>
        <v>7</v>
      </c>
      <c r="P2234" s="8" t="str">
        <f t="shared" si="6"/>
        <v>Yes</v>
      </c>
    </row>
    <row r="2235">
      <c r="A2235" s="4" t="s">
        <v>16</v>
      </c>
      <c r="B2235" s="4" t="s">
        <v>6262</v>
      </c>
      <c r="C2235" s="5">
        <v>44710.0</v>
      </c>
      <c r="D2235" s="5">
        <v>44710.0</v>
      </c>
      <c r="E2235" s="4" t="s">
        <v>6263</v>
      </c>
      <c r="F2235" s="4" t="s">
        <v>6264</v>
      </c>
      <c r="G2235" s="6" t="str">
        <f>IFERROR(__xludf.DUMMYFUNCTION("REGEXREPLACE(LOWER(F2235),""[^a-z\s]"","""")"),"excellent products and outstanding service fast delivery")</f>
        <v>excellent products and outstanding service fast delivery</v>
      </c>
      <c r="H2235" s="4" t="str">
        <f t="shared" si="1"/>
        <v>excellent products outstanding service fast delivery</v>
      </c>
      <c r="I2235" s="6">
        <f t="shared" si="2"/>
        <v>6</v>
      </c>
      <c r="J2235" s="6">
        <f>IFERROR(__xludf.DUMMYFUNCTION("IF(H2235="""","""",
SUM(
ARRAYFORMULA(
IF(
REGEXMATCH(
"" ""&amp;H2235&amp;"" "",
"" ""&amp;Sentiment_Words!A$2:A3730&amp;"" ""
),
1,
0
)
)
)
)"),2.0)</f>
        <v>2</v>
      </c>
      <c r="K2235" s="4">
        <f>IFERROR(__xludf.DUMMYFUNCTION("IF(H2235="""","""",
SUM(
ARRAYFORMULA(
IF(
REGEXMATCH(
"" ""&amp;H2235&amp;"" "",
"" ""&amp;Sentiment_Words!B$2:B3730&amp;"" ""
),
1,
0
)
)
)
)"),0.0)</f>
        <v>0</v>
      </c>
      <c r="L2235" s="7" t="str">
        <f t="shared" si="3"/>
        <v>Customer Support</v>
      </c>
      <c r="M2235" s="7" t="str">
        <f t="shared" si="4"/>
        <v>Positive</v>
      </c>
      <c r="N2235" s="7" t="str">
        <f>IFERROR(__xludf.DUMMYFUNCTION("LOWER(
TRIM(
REGEXREPLACE(B2235,""[^a-zA-Z\s]"","""")
)
)
"),"eilene b")</f>
        <v>eilene b</v>
      </c>
      <c r="O2235" s="7">
        <f t="shared" si="5"/>
        <v>1</v>
      </c>
      <c r="P2235" s="8" t="str">
        <f t="shared" si="6"/>
        <v>No</v>
      </c>
    </row>
    <row r="2236">
      <c r="A2236" s="4" t="s">
        <v>16</v>
      </c>
      <c r="B2236" s="4" t="s">
        <v>6265</v>
      </c>
      <c r="C2236" s="5">
        <v>44710.0</v>
      </c>
      <c r="D2236" s="5">
        <v>44710.0</v>
      </c>
      <c r="E2236" s="4" t="s">
        <v>6266</v>
      </c>
      <c r="F2236" s="4" t="s">
        <v>6267</v>
      </c>
      <c r="G2236" s="6" t="str">
        <f>IFERROR(__xludf.DUMMYFUNCTION("REGEXREPLACE(LOWER(F2236),""[^a-z\s]"","""")"),"good price fast delivery")</f>
        <v>good price fast delivery</v>
      </c>
      <c r="H2236" s="4" t="str">
        <f t="shared" si="1"/>
        <v>good price fast delivery</v>
      </c>
      <c r="I2236" s="6">
        <f t="shared" si="2"/>
        <v>4</v>
      </c>
      <c r="J2236" s="6">
        <f>IFERROR(__xludf.DUMMYFUNCTION("IF(H2236="""","""",
SUM(
ARRAYFORMULA(
IF(
REGEXMATCH(
"" ""&amp;H2236&amp;"" "",
"" ""&amp;Sentiment_Words!A$2:A3730&amp;"" ""
),
1,
0
)
)
)
)"),3.0)</f>
        <v>3</v>
      </c>
      <c r="K2236" s="4">
        <f>IFERROR(__xludf.DUMMYFUNCTION("IF(H2236="""","""",
SUM(
ARRAYFORMULA(
IF(
REGEXMATCH(
"" ""&amp;H2236&amp;"" "",
"" ""&amp;Sentiment_Words!B$2:B3730&amp;"" ""
),
1,
0
)
)
)
)"),0.0)</f>
        <v>0</v>
      </c>
      <c r="L2236" s="7" t="str">
        <f t="shared" si="3"/>
        <v>Other</v>
      </c>
      <c r="M2236" s="7" t="str">
        <f t="shared" si="4"/>
        <v>Positive</v>
      </c>
      <c r="N2236" s="7" t="str">
        <f>IFERROR(__xludf.DUMMYFUNCTION("LOWER(
TRIM(
REGEXREPLACE(B2236,""[^a-zA-Z\s]"","""")
)
)
"),"greenflyingdragon")</f>
        <v>greenflyingdragon</v>
      </c>
      <c r="O2236" s="7">
        <f t="shared" si="5"/>
        <v>1</v>
      </c>
      <c r="P2236" s="8" t="str">
        <f t="shared" si="6"/>
        <v>No</v>
      </c>
    </row>
    <row r="2237">
      <c r="A2237" s="4" t="s">
        <v>16</v>
      </c>
      <c r="B2237" s="4" t="s">
        <v>6268</v>
      </c>
      <c r="C2237" s="5">
        <v>44709.0</v>
      </c>
      <c r="D2237" s="5">
        <v>44710.0</v>
      </c>
      <c r="E2237" s="4" t="s">
        <v>1604</v>
      </c>
      <c r="F2237" s="4" t="s">
        <v>331</v>
      </c>
      <c r="G2237" s="6" t="str">
        <f>IFERROR(__xludf.DUMMYFUNCTION("REGEXREPLACE(LOWER(F2237),""[^a-z\s]"","""")"),"none")</f>
        <v>none</v>
      </c>
      <c r="H2237" s="4" t="str">
        <f t="shared" si="1"/>
        <v>none</v>
      </c>
      <c r="I2237" s="6">
        <f t="shared" si="2"/>
        <v>1</v>
      </c>
      <c r="J2237" s="6">
        <f>IFERROR(__xludf.DUMMYFUNCTION("IF(H2237="""","""",
SUM(
ARRAYFORMULA(
IF(
REGEXMATCH(
"" ""&amp;H2237&amp;"" "",
"" ""&amp;Sentiment_Words!A$2:A3730&amp;"" ""
),
1,
0
)
)
)
)"),0.0)</f>
        <v>0</v>
      </c>
      <c r="K2237" s="4">
        <f>IFERROR(__xludf.DUMMYFUNCTION("IF(H2237="""","""",
SUM(
ARRAYFORMULA(
IF(
REGEXMATCH(
"" ""&amp;H2237&amp;"" "",
"" ""&amp;Sentiment_Words!B$2:B3730&amp;"" ""
),
1,
0
)
)
)
)"),0.0)</f>
        <v>0</v>
      </c>
      <c r="L2237" s="7" t="str">
        <f t="shared" si="3"/>
        <v>Other</v>
      </c>
      <c r="M2237" s="7" t="str">
        <f t="shared" si="4"/>
        <v>Neutral</v>
      </c>
      <c r="N2237" s="7" t="str">
        <f>IFERROR(__xludf.DUMMYFUNCTION("LOWER(
TRIM(
REGEXREPLACE(B2237,""[^a-zA-Z\s]"","""")
)
)
"),"jennifer")</f>
        <v>jennifer</v>
      </c>
      <c r="O2237" s="7">
        <f t="shared" si="5"/>
        <v>5</v>
      </c>
      <c r="P2237" s="8" t="str">
        <f t="shared" si="6"/>
        <v>Yes</v>
      </c>
    </row>
    <row r="2238">
      <c r="A2238" s="4" t="s">
        <v>16</v>
      </c>
      <c r="B2238" s="4" t="s">
        <v>4598</v>
      </c>
      <c r="C2238" s="5">
        <v>44709.0</v>
      </c>
      <c r="D2238" s="5">
        <v>44710.0</v>
      </c>
      <c r="E2238" s="4" t="s">
        <v>6269</v>
      </c>
      <c r="F2238" s="4" t="s">
        <v>6270</v>
      </c>
      <c r="G2238" s="6" t="str">
        <f>IFERROR(__xludf.DUMMYFUNCTION("REGEXREPLACE(LOWER(F2238),""[^a-z\s]"","""")"),"we have been using petflow for many years and always have great service and value")</f>
        <v>we have been using petflow for many years and always have great service and value</v>
      </c>
      <c r="H2238" s="4" t="str">
        <f t="shared" si="1"/>
        <v>we have been using petflow many years always have great service value</v>
      </c>
      <c r="I2238" s="6">
        <f t="shared" si="2"/>
        <v>12</v>
      </c>
      <c r="J2238" s="6">
        <f>IFERROR(__xludf.DUMMYFUNCTION("IF(H2238="""","""",
SUM(
ARRAYFORMULA(
IF(
REGEXMATCH(
"" ""&amp;H2238&amp;"" "",
"" ""&amp;Sentiment_Words!A$2:A3730&amp;"" ""
),
1,
0
)
)
)
)"),2.0)</f>
        <v>2</v>
      </c>
      <c r="K2238" s="4">
        <f>IFERROR(__xludf.DUMMYFUNCTION("IF(H2238="""","""",
SUM(
ARRAYFORMULA(
IF(
REGEXMATCH(
"" ""&amp;H2238&amp;"" "",
"" ""&amp;Sentiment_Words!B$2:B3730&amp;"" ""
),
1,
0
)
)
)
)"),0.0)</f>
        <v>0</v>
      </c>
      <c r="L2238" s="7" t="str">
        <f t="shared" si="3"/>
        <v>Customer Support</v>
      </c>
      <c r="M2238" s="7" t="str">
        <f t="shared" si="4"/>
        <v>Positive</v>
      </c>
      <c r="N2238" s="7" t="str">
        <f>IFERROR(__xludf.DUMMYFUNCTION("LOWER(
TRIM(
REGEXREPLACE(B2238,""[^a-zA-Z\s]"","""")
)
)
"),"cathy")</f>
        <v>cathy</v>
      </c>
      <c r="O2238" s="7">
        <f t="shared" si="5"/>
        <v>3</v>
      </c>
      <c r="P2238" s="8" t="str">
        <f t="shared" si="6"/>
        <v>Yes</v>
      </c>
    </row>
    <row r="2239">
      <c r="A2239" s="4" t="s">
        <v>16</v>
      </c>
      <c r="B2239" s="4" t="s">
        <v>6271</v>
      </c>
      <c r="C2239" s="5">
        <v>44709.0</v>
      </c>
      <c r="D2239" s="5">
        <v>44710.0</v>
      </c>
      <c r="E2239" s="4" t="s">
        <v>6272</v>
      </c>
      <c r="F2239" s="4" t="s">
        <v>6273</v>
      </c>
      <c r="G2239" s="6" t="str">
        <f>IFERROR(__xludf.DUMMYFUNCTION("REGEXREPLACE(LOWER(F2239),""[^a-z\s]"","""")"),"petflow has the products i need and gets them to me quickly ive used auto ship and when ive had to switch my schedule they were happy to accommodate and adjust and their customer service is so responsive i have been a loyal client for years and plan to re"&amp;"main one")</f>
        <v>petflow has the products i need and gets them to me quickly ive used auto ship and when ive had to switch my schedule they were happy to accommodate and adjust and their customer service is so responsive i have been a loyal client for years and plan to remain one</v>
      </c>
      <c r="H2239" s="4" t="str">
        <f t="shared" si="1"/>
        <v>petflow has products i need gets them me quickly ive used auto ship when ive had switch my schedule they were happy accommodate adjust their customer service so responsive i have been a loyal client years plan remain one</v>
      </c>
      <c r="I2239" s="6">
        <f t="shared" si="2"/>
        <v>39</v>
      </c>
      <c r="J2239" s="6">
        <f>IFERROR(__xludf.DUMMYFUNCTION("IF(H2239="""","""",
SUM(
ARRAYFORMULA(
IF(
REGEXMATCH(
"" ""&amp;H2239&amp;"" "",
"" ""&amp;Sentiment_Words!A$2:A3730&amp;"" ""
),
1,
0
)
)
)
)"),2.0)</f>
        <v>2</v>
      </c>
      <c r="K2239" s="4">
        <f>IFERROR(__xludf.DUMMYFUNCTION("IF(H2239="""","""",
SUM(
ARRAYFORMULA(
IF(
REGEXMATCH(
"" ""&amp;H2239&amp;"" "",
"" ""&amp;Sentiment_Words!B$2:B3730&amp;"" ""
),
1,
0
)
)
)
)"),1.0)</f>
        <v>1</v>
      </c>
      <c r="L2239" s="7" t="str">
        <f t="shared" si="3"/>
        <v>Customer Support</v>
      </c>
      <c r="M2239" s="7" t="str">
        <f t="shared" si="4"/>
        <v>Positive</v>
      </c>
      <c r="N2239" s="7" t="str">
        <f>IFERROR(__xludf.DUMMYFUNCTION("LOWER(
TRIM(
REGEXREPLACE(B2239,""[^a-zA-Z\s]"","""")
)
)
"),"vivian m")</f>
        <v>vivian m</v>
      </c>
      <c r="O2239" s="7">
        <f t="shared" si="5"/>
        <v>1</v>
      </c>
      <c r="P2239" s="8" t="str">
        <f t="shared" si="6"/>
        <v>No</v>
      </c>
    </row>
    <row r="2240">
      <c r="A2240" s="4" t="s">
        <v>16</v>
      </c>
      <c r="B2240" s="4" t="s">
        <v>6274</v>
      </c>
      <c r="C2240" s="5">
        <v>44709.0</v>
      </c>
      <c r="D2240" s="5">
        <v>44709.0</v>
      </c>
      <c r="E2240" s="4" t="s">
        <v>6275</v>
      </c>
      <c r="F2240" s="4" t="s">
        <v>6276</v>
      </c>
      <c r="G2240" s="6" t="str">
        <f>IFERROR(__xludf.DUMMYFUNCTION("REGEXREPLACE(LOWER(F2240),""[^a-z\s]"","""")"),"every one at pet flow was extremely helpful they spent as much time as needed on the phone with me to pick the puppy food i needed when it turned out that my pup did not need the prescription i was told they were unable to take it back but they refunded h"&amp;"alf the cost")</f>
        <v>every one at pet flow was extremely helpful they spent as much time as needed on the phone with me to pick the puppy food i needed when it turned out that my pup did not need the prescription i was told they were unable to take it back but they refunded half the cost</v>
      </c>
      <c r="H2240" s="4" t="str">
        <f t="shared" si="1"/>
        <v>every one at pet flow was extremely helpful they spent as much time as needed on phone with me pick puppy food i needed when it turned out that my pup did not need prescription i was told they were unable take it back but they refunded half cost</v>
      </c>
      <c r="I2240" s="6">
        <f t="shared" si="2"/>
        <v>49</v>
      </c>
      <c r="J2240" s="6">
        <f>IFERROR(__xludf.DUMMYFUNCTION("IF(H2240="""","""",
SUM(
ARRAYFORMULA(
IF(
REGEXMATCH(
"" ""&amp;H2240&amp;"" "",
"" ""&amp;Sentiment_Words!A$2:A3730&amp;"" ""
),
1,
0
)
)
)
)"),1.0)</f>
        <v>1</v>
      </c>
      <c r="K2240" s="4">
        <f>IFERROR(__xludf.DUMMYFUNCTION("IF(H2240="""","""",
SUM(
ARRAYFORMULA(
IF(
REGEXMATCH(
"" ""&amp;H2240&amp;"" "",
"" ""&amp;Sentiment_Words!B$2:B3730&amp;"" ""
),
1,
0
)
)
)
)"),0.0)</f>
        <v>0</v>
      </c>
      <c r="L2240" s="7" t="str">
        <f t="shared" si="3"/>
        <v>Other</v>
      </c>
      <c r="M2240" s="7" t="str">
        <f t="shared" si="4"/>
        <v>Positive</v>
      </c>
      <c r="N2240" s="7" t="str">
        <f>IFERROR(__xludf.DUMMYFUNCTION("LOWER(
TRIM(
REGEXREPLACE(B2240,""[^a-zA-Z\s]"","""")
)
)
"),"meryl dattolico")</f>
        <v>meryl dattolico</v>
      </c>
      <c r="O2240" s="7">
        <f t="shared" si="5"/>
        <v>1</v>
      </c>
      <c r="P2240" s="8" t="str">
        <f t="shared" si="6"/>
        <v>No</v>
      </c>
    </row>
    <row r="2241">
      <c r="A2241" s="4" t="s">
        <v>16</v>
      </c>
      <c r="B2241" s="4" t="s">
        <v>6277</v>
      </c>
      <c r="C2241" s="5">
        <v>44709.0</v>
      </c>
      <c r="D2241" s="5">
        <v>44709.0</v>
      </c>
      <c r="E2241" s="4" t="s">
        <v>6278</v>
      </c>
      <c r="F2241" s="4" t="s">
        <v>6279</v>
      </c>
      <c r="G2241" s="6" t="str">
        <f>IFERROR(__xludf.DUMMYFUNCTION("REGEXREPLACE(LOWER(F2241),""[^a-z\s]"","""")"),"when i ordered they knew they were out of stock i called asked questions and didnt get a direct answer")</f>
        <v>when i ordered they knew they were out of stock i called asked questions and didnt get a direct answer</v>
      </c>
      <c r="H2241" s="4" t="str">
        <f t="shared" si="1"/>
        <v>when i ordered they knew they were out of stock i called asked questions didnt get a direct answer</v>
      </c>
      <c r="I2241" s="6">
        <f t="shared" si="2"/>
        <v>19</v>
      </c>
      <c r="J2241" s="6">
        <f>IFERROR(__xludf.DUMMYFUNCTION("IF(H2241="""","""",
SUM(
ARRAYFORMULA(
IF(
REGEXMATCH(
"" ""&amp;H2241&amp;"" "",
"" ""&amp;Sentiment_Words!A$2:A3730&amp;"" ""
),
1,
0
)
)
)
)"),0.0)</f>
        <v>0</v>
      </c>
      <c r="K2241" s="4">
        <f>IFERROR(__xludf.DUMMYFUNCTION("IF(H2241="""","""",
SUM(
ARRAYFORMULA(
IF(
REGEXMATCH(
"" ""&amp;H2241&amp;"" "",
"" ""&amp;Sentiment_Words!B$2:B3730&amp;"" ""
),
1,
0
)
)
)
)"),1.0)</f>
        <v>1</v>
      </c>
      <c r="L2241" s="7" t="str">
        <f t="shared" si="3"/>
        <v>Availability</v>
      </c>
      <c r="M2241" s="7" t="str">
        <f t="shared" si="4"/>
        <v>Negative</v>
      </c>
      <c r="N2241" s="7" t="str">
        <f>IFERROR(__xludf.DUMMYFUNCTION("LOWER(
TRIM(
REGEXREPLACE(B2241,""[^a-zA-Z\s]"","""")
)
)
"),"nancy alvey")</f>
        <v>nancy alvey</v>
      </c>
      <c r="O2241" s="7">
        <f t="shared" si="5"/>
        <v>1</v>
      </c>
      <c r="P2241" s="8" t="str">
        <f t="shared" si="6"/>
        <v>No</v>
      </c>
    </row>
    <row r="2242">
      <c r="A2242" s="4" t="s">
        <v>16</v>
      </c>
      <c r="B2242" s="4" t="s">
        <v>6280</v>
      </c>
      <c r="C2242" s="5">
        <v>44709.0</v>
      </c>
      <c r="D2242" s="5">
        <v>44709.0</v>
      </c>
      <c r="E2242" s="4" t="s">
        <v>6281</v>
      </c>
      <c r="F2242" s="4" t="s">
        <v>6282</v>
      </c>
      <c r="G2242" s="6" t="str">
        <f>IFERROR(__xludf.DUMMYFUNCTION("REGEXREPLACE(LOWER(F2242),""[^a-z\s]"","""")"),"i was so happy to find my pet food in stock here actually the maker of the pet food let me know that petflow had the product in stock there was no shipping fee on the  lb bag and it arrived promptly all the way from across the country")</f>
        <v>i was so happy to find my pet food in stock here actually the maker of the pet food let me know that petflow had the product in stock there was no shipping fee on the  lb bag and it arrived promptly all the way from across the country</v>
      </c>
      <c r="H2242" s="4" t="str">
        <f t="shared" si="1"/>
        <v>i was so happy find my pet food in stock here actually maker of pet food let me know that petflow had product in stock there was no shipping fee on lb bag it arrived promptly all way from across country</v>
      </c>
      <c r="I2242" s="6">
        <f t="shared" si="2"/>
        <v>41</v>
      </c>
      <c r="J2242" s="6">
        <f>IFERROR(__xludf.DUMMYFUNCTION("IF(H2242="""","""",
SUM(
ARRAYFORMULA(
IF(
REGEXMATCH(
"" ""&amp;H2242&amp;"" "",
"" ""&amp;Sentiment_Words!A$2:A3730&amp;"" ""
),
1,
0
)
)
)
)"),1.0)</f>
        <v>1</v>
      </c>
      <c r="K2242" s="4">
        <f>IFERROR(__xludf.DUMMYFUNCTION("IF(H2242="""","""",
SUM(
ARRAYFORMULA(
IF(
REGEXMATCH(
"" ""&amp;H2242&amp;"" "",
"" ""&amp;Sentiment_Words!B$2:B3730&amp;"" ""
),
1,
0
)
)
)
)"),0.0)</f>
        <v>0</v>
      </c>
      <c r="L2242" s="7" t="str">
        <f t="shared" si="3"/>
        <v>Other</v>
      </c>
      <c r="M2242" s="7" t="str">
        <f t="shared" si="4"/>
        <v>Positive</v>
      </c>
      <c r="N2242" s="7" t="str">
        <f>IFERROR(__xludf.DUMMYFUNCTION("LOWER(
TRIM(
REGEXREPLACE(B2242,""[^a-zA-Z\s]"","""")
)
)
"),"susan b mueller")</f>
        <v>susan b mueller</v>
      </c>
      <c r="O2242" s="7">
        <f t="shared" si="5"/>
        <v>1</v>
      </c>
      <c r="P2242" s="8" t="str">
        <f t="shared" si="6"/>
        <v>No</v>
      </c>
    </row>
    <row r="2243">
      <c r="A2243" s="4" t="s">
        <v>16</v>
      </c>
      <c r="B2243" s="4" t="s">
        <v>6283</v>
      </c>
      <c r="C2243" s="5">
        <v>44709.0</v>
      </c>
      <c r="D2243" s="5">
        <v>44709.0</v>
      </c>
      <c r="E2243" s="4" t="s">
        <v>6284</v>
      </c>
      <c r="F2243" s="4" t="s">
        <v>6285</v>
      </c>
      <c r="G2243" s="6" t="str">
        <f>IFERROR(__xludf.DUMMYFUNCTION("REGEXREPLACE(LOWER(F2243),""[^a-z\s]"","""")"),"ordered canned dog food found the price to be competitive and shipping was timely")</f>
        <v>ordered canned dog food found the price to be competitive and shipping was timely</v>
      </c>
      <c r="H2243" s="4" t="str">
        <f t="shared" si="1"/>
        <v>ordered canned dog food found price be competitive shipping was timely</v>
      </c>
      <c r="I2243" s="6">
        <f t="shared" si="2"/>
        <v>11</v>
      </c>
      <c r="J2243" s="6">
        <f>IFERROR(__xludf.DUMMYFUNCTION("IF(H2243="""","""",
SUM(
ARRAYFORMULA(
IF(
REGEXMATCH(
"" ""&amp;H2243&amp;"" "",
"" ""&amp;Sentiment_Words!A$2:A3730&amp;"" ""
),
1,
0
)
)
)
)"),1.0)</f>
        <v>1</v>
      </c>
      <c r="K2243" s="4">
        <f>IFERROR(__xludf.DUMMYFUNCTION("IF(H2243="""","""",
SUM(
ARRAYFORMULA(
IF(
REGEXMATCH(
"" ""&amp;H2243&amp;"" "",
"" ""&amp;Sentiment_Words!B$2:B3730&amp;"" ""
),
1,
0
)
)
)
)"),0.0)</f>
        <v>0</v>
      </c>
      <c r="L2243" s="7" t="str">
        <f t="shared" si="3"/>
        <v>Other</v>
      </c>
      <c r="M2243" s="7" t="str">
        <f t="shared" si="4"/>
        <v>Positive</v>
      </c>
      <c r="N2243" s="7" t="str">
        <f>IFERROR(__xludf.DUMMYFUNCTION("LOWER(
TRIM(
REGEXREPLACE(B2243,""[^a-zA-Z\s]"","""")
)
)
"),"patti")</f>
        <v>patti</v>
      </c>
      <c r="O2243" s="7">
        <f t="shared" si="5"/>
        <v>2</v>
      </c>
      <c r="P2243" s="8" t="str">
        <f t="shared" si="6"/>
        <v>Yes</v>
      </c>
    </row>
    <row r="2244">
      <c r="A2244" s="4" t="s">
        <v>16</v>
      </c>
      <c r="B2244" s="4" t="s">
        <v>6286</v>
      </c>
      <c r="C2244" s="5">
        <v>44708.0</v>
      </c>
      <c r="D2244" s="5">
        <v>44708.0</v>
      </c>
      <c r="E2244" s="4" t="s">
        <v>6287</v>
      </c>
      <c r="F2244" s="4" t="s">
        <v>6288</v>
      </c>
      <c r="G2244" s="6" t="str">
        <f>IFERROR(__xludf.DUMMYFUNCTION("REGEXREPLACE(LOWER(F2244),""[^a-z\s]"","""")"),"i would advise anyone that has had a poor experience with this website  which appears to be just a website where they drop ship orders but dont actually have a warehouse to contact the attorney general in nevada where this guy or company is located
if the"&amp;"y are pretending items are in stock but they really are out  that is misleading also i keep reading of multiple people saying they are charged and sent the wrong items because the items they actually ordered are out of stock it sounds like the state ag ne"&amp;"eds to look into this sham business")</f>
        <v>i would advise anyone that has had a poor experience with this website  which appears to be just a website where they drop ship orders but dont actually have a warehouse to contact the attorney general in nevada where this guy or company is located
if they are pretending items are in stock but they really are out  that is misleading also i keep reading of multiple people saying they are charged and sent the wrong items because the items they actually ordered are out of stock it sounds like the state ag needs to look into this sham business</v>
      </c>
      <c r="H2244" s="4" t="str">
        <f t="shared" si="1"/>
        <v>i would advise anyone that has had a poor experience with this website which appears be just a website where they drop ship orders but dont actually have a warehouse contact attorney general in nevada where this guy or company located
if they are pretending items are in stock but they really are out that misleading also i keep reading of multiple people saying they are charged sent wrong items because items they actually ordered are out of stock it sounds like state ag needs look into this sham business</v>
      </c>
      <c r="I2244" s="6">
        <f t="shared" si="2"/>
        <v>89</v>
      </c>
      <c r="J2244" s="6">
        <f>IFERROR(__xludf.DUMMYFUNCTION("IF(H2244="""","""",
SUM(
ARRAYFORMULA(
IF(
REGEXMATCH(
"" ""&amp;H2244&amp;"" "",
"" ""&amp;Sentiment_Words!A$2:A3730&amp;"" ""
),
1,
0
)
)
)
)"),0.0)</f>
        <v>0</v>
      </c>
      <c r="K2244" s="4">
        <f>IFERROR(__xludf.DUMMYFUNCTION("IF(H2244="""","""",
SUM(
ARRAYFORMULA(
IF(
REGEXMATCH(
"" ""&amp;H2244&amp;"" "",
"" ""&amp;Sentiment_Words!B$2:B3730&amp;"" ""
),
1,
0
)
)
)
)"),2.0)</f>
        <v>2</v>
      </c>
      <c r="L2244" s="7" t="str">
        <f t="shared" si="3"/>
        <v>Fulfillment &amp; Shipping</v>
      </c>
      <c r="M2244" s="7" t="str">
        <f t="shared" si="4"/>
        <v>Negative</v>
      </c>
      <c r="N2244" s="7" t="str">
        <f>IFERROR(__xludf.DUMMYFUNCTION("LOWER(
TRIM(
REGEXREPLACE(B2244,""[^a-zA-Z\s]"","""")
)
)
"),"reviewer")</f>
        <v>reviewer</v>
      </c>
      <c r="O2244" s="7">
        <f t="shared" si="5"/>
        <v>1</v>
      </c>
      <c r="P2244" s="8" t="str">
        <f t="shared" si="6"/>
        <v>No</v>
      </c>
    </row>
    <row r="2245">
      <c r="A2245" s="4" t="s">
        <v>16</v>
      </c>
      <c r="B2245" s="4" t="s">
        <v>6289</v>
      </c>
      <c r="C2245" s="5">
        <v>44708.0</v>
      </c>
      <c r="D2245" s="5">
        <v>44708.0</v>
      </c>
      <c r="E2245" s="4" t="s">
        <v>6290</v>
      </c>
      <c r="F2245" s="4" t="s">
        <v>6291</v>
      </c>
      <c r="G2245" s="6" t="str">
        <f>IFERROR(__xludf.DUMMYFUNCTION("REGEXREPLACE(LOWER(F2245),""[^a-z\s]"","""")"),"ordered cat food when i ordered it was in stock now saying they have none and that the online allows them to sell bags so long as they at least have  sad")</f>
        <v>ordered cat food when i ordered it was in stock now saying they have none and that the online allows them to sell bags so long as they at least have  sad</v>
      </c>
      <c r="H2245" s="4" t="str">
        <f t="shared" si="1"/>
        <v>ordered cat food when i ordered it was in stock now saying they have none that online allows them sell bags so long as they at least have sad</v>
      </c>
      <c r="I2245" s="6">
        <f t="shared" si="2"/>
        <v>29</v>
      </c>
      <c r="J2245" s="6">
        <f>IFERROR(__xludf.DUMMYFUNCTION("IF(H2245="""","""",
SUM(
ARRAYFORMULA(
IF(
REGEXMATCH(
"" ""&amp;H2245&amp;"" "",
"" ""&amp;Sentiment_Words!A$2:A3730&amp;"" ""
),
1,
0
)
)
)
)"),0.0)</f>
        <v>0</v>
      </c>
      <c r="K2245" s="4">
        <f>IFERROR(__xludf.DUMMYFUNCTION("IF(H2245="""","""",
SUM(
ARRAYFORMULA(
IF(
REGEXMATCH(
"" ""&amp;H2245&amp;"" "",
"" ""&amp;Sentiment_Words!B$2:B3730&amp;"" ""
),
1,
0
)
)
)
)"),0.0)</f>
        <v>0</v>
      </c>
      <c r="L2245" s="7" t="str">
        <f t="shared" si="3"/>
        <v>Other</v>
      </c>
      <c r="M2245" s="7" t="str">
        <f t="shared" si="4"/>
        <v>Neutral</v>
      </c>
      <c r="N2245" s="7" t="str">
        <f>IFERROR(__xludf.DUMMYFUNCTION("LOWER(
TRIM(
REGEXREPLACE(B2245,""[^a-zA-Z\s]"","""")
)
)
"),"rebecca eimerman")</f>
        <v>rebecca eimerman</v>
      </c>
      <c r="O2245" s="7">
        <f t="shared" si="5"/>
        <v>1</v>
      </c>
      <c r="P2245" s="8" t="str">
        <f t="shared" si="6"/>
        <v>No</v>
      </c>
    </row>
    <row r="2246">
      <c r="A2246" s="4" t="s">
        <v>16</v>
      </c>
      <c r="B2246" s="4" t="s">
        <v>6292</v>
      </c>
      <c r="C2246" s="5">
        <v>44707.0</v>
      </c>
      <c r="D2246" s="5">
        <v>44708.0</v>
      </c>
      <c r="E2246" s="4" t="s">
        <v>6293</v>
      </c>
      <c r="F2246" s="4" t="s">
        <v>6294</v>
      </c>
      <c r="G2246" s="6" t="str">
        <f>IFERROR(__xludf.DUMMYFUNCTION("REGEXREPLACE(LOWER(F2246),""[^a-z\s]"","""")"),"i ordered dry cat food that you said you had and waited for you to tell me when it shipped you never told me you were out of it i had to get in touch with you to find out stupidly i checked for that same product a week or so later and same thing your on l"&amp;"ine app said you had it in stock but you didnt im back buying from chewy")</f>
        <v>i ordered dry cat food that you said you had and waited for you to tell me when it shipped you never told me you were out of it i had to get in touch with you to find out stupidly i checked for that same product a week or so later and same thing your on line app said you had it in stock but you didnt im back buying from chewy</v>
      </c>
      <c r="H2246" s="4" t="str">
        <f t="shared" si="1"/>
        <v>i ordered dry cat food that you said you had waited you tell me when it shipped you never told me you were out of it i had get in touch with you find out stupidly i checked that same product a week or so later same thing your on line app said you had it in stock but you didnt im back buying from chewy</v>
      </c>
      <c r="I2246" s="6">
        <f t="shared" si="2"/>
        <v>66</v>
      </c>
      <c r="J2246" s="6">
        <f>IFERROR(__xludf.DUMMYFUNCTION("IF(H2246="""","""",
SUM(
ARRAYFORMULA(
IF(
REGEXMATCH(
"" ""&amp;H2246&amp;"" "",
"" ""&amp;Sentiment_Words!A$2:A3730&amp;"" ""
),
1,
0
)
)
)
)"),0.0)</f>
        <v>0</v>
      </c>
      <c r="K2246" s="4">
        <f>IFERROR(__xludf.DUMMYFUNCTION("IF(H2246="""","""",
SUM(
ARRAYFORMULA(
IF(
REGEXMATCH(
"" ""&amp;H2246&amp;"" "",
"" ""&amp;Sentiment_Words!B$2:B3730&amp;"" ""
),
1,
0
)
)
)
)"),0.0)</f>
        <v>0</v>
      </c>
      <c r="L2246" s="7" t="str">
        <f t="shared" si="3"/>
        <v>Fulfillment &amp; Shipping</v>
      </c>
      <c r="M2246" s="7" t="str">
        <f t="shared" si="4"/>
        <v>Neutral</v>
      </c>
      <c r="N2246" s="7" t="str">
        <f>IFERROR(__xludf.DUMMYFUNCTION("LOWER(
TRIM(
REGEXREPLACE(B2246,""[^a-zA-Z\s]"","""")
)
)
"),"sarita miller")</f>
        <v>sarita miller</v>
      </c>
      <c r="O2246" s="7">
        <f t="shared" si="5"/>
        <v>1</v>
      </c>
      <c r="P2246" s="8" t="str">
        <f t="shared" si="6"/>
        <v>No</v>
      </c>
    </row>
    <row r="2247">
      <c r="A2247" s="4" t="s">
        <v>16</v>
      </c>
      <c r="B2247" s="4" t="s">
        <v>56</v>
      </c>
      <c r="C2247" s="5">
        <v>44707.0</v>
      </c>
      <c r="D2247" s="5">
        <v>44707.0</v>
      </c>
      <c r="E2247" s="4" t="s">
        <v>6295</v>
      </c>
      <c r="F2247" s="4" t="s">
        <v>6296</v>
      </c>
      <c r="G2247" s="6" t="str">
        <f>IFERROR(__xludf.DUMMYFUNCTION("REGEXREPLACE(LOWER(F2247),""[^a-z\s]"","""")"),"ordered md dry cat food and you waited so long to let me know you were
out of it other companies let you know on the site where you are ordering
that they are out wasted time")</f>
        <v>ordered md dry cat food and you waited so long to let me know you were
out of it other companies let you know on the site where you are ordering
that they are out wasted time</v>
      </c>
      <c r="H2247" s="4" t="str">
        <f t="shared" si="1"/>
        <v>ordered md dry cat food you waited so long let me know you were
out of it other companies let you know on site where you are ordering
that they are out wasted time</v>
      </c>
      <c r="I2247" s="6">
        <f t="shared" si="2"/>
        <v>32</v>
      </c>
      <c r="J2247" s="6">
        <f>IFERROR(__xludf.DUMMYFUNCTION("IF(H2247="""","""",
SUM(
ARRAYFORMULA(
IF(
REGEXMATCH(
"" ""&amp;H2247&amp;"" "",
"" ""&amp;Sentiment_Words!A$2:A3730&amp;"" ""
),
1,
0
)
)
)
)"),0.0)</f>
        <v>0</v>
      </c>
      <c r="K2247" s="4">
        <f>IFERROR(__xludf.DUMMYFUNCTION("IF(H2247="""","""",
SUM(
ARRAYFORMULA(
IF(
REGEXMATCH(
"" ""&amp;H2247&amp;"" "",
"" ""&amp;Sentiment_Words!B$2:B3730&amp;"" ""
),
1,
0
)
)
)
)"),0.0)</f>
        <v>0</v>
      </c>
      <c r="L2247" s="7" t="str">
        <f t="shared" si="3"/>
        <v>Other</v>
      </c>
      <c r="M2247" s="7" t="str">
        <f t="shared" si="4"/>
        <v>Neutral</v>
      </c>
      <c r="N2247" s="7" t="str">
        <f>IFERROR(__xludf.DUMMYFUNCTION("LOWER(
TRIM(
REGEXREPLACE(B2247,""[^a-zA-Z\s]"","""")
)
)
"),"customer")</f>
        <v>customer</v>
      </c>
      <c r="O2247" s="7">
        <f t="shared" si="5"/>
        <v>54</v>
      </c>
      <c r="P2247" s="8" t="str">
        <f t="shared" si="6"/>
        <v>Yes</v>
      </c>
    </row>
    <row r="2248">
      <c r="A2248" s="4" t="s">
        <v>16</v>
      </c>
      <c r="B2248" s="4" t="s">
        <v>6297</v>
      </c>
      <c r="C2248" s="5">
        <v>44706.0</v>
      </c>
      <c r="D2248" s="5">
        <v>44707.0</v>
      </c>
      <c r="E2248" s="4" t="s">
        <v>6298</v>
      </c>
      <c r="F2248" s="4" t="s">
        <v>6299</v>
      </c>
      <c r="G2248" s="6" t="str">
        <f>IFERROR(__xludf.DUMMYFUNCTION("REGEXREPLACE(LOWER(F2248),""[^a-z\s]"","""")"),"great product fast shipping")</f>
        <v>great product fast shipping</v>
      </c>
      <c r="H2248" s="4" t="str">
        <f t="shared" si="1"/>
        <v>great product fast shipping</v>
      </c>
      <c r="I2248" s="6">
        <f t="shared" si="2"/>
        <v>4</v>
      </c>
      <c r="J2248" s="6">
        <f>IFERROR(__xludf.DUMMYFUNCTION("IF(H2248="""","""",
SUM(
ARRAYFORMULA(
IF(
REGEXMATCH(
"" ""&amp;H2248&amp;"" "",
"" ""&amp;Sentiment_Words!A$2:A3730&amp;"" ""
),
1,
0
)
)
)
)"),2.0)</f>
        <v>2</v>
      </c>
      <c r="K2248" s="4">
        <f>IFERROR(__xludf.DUMMYFUNCTION("IF(H2248="""","""",
SUM(
ARRAYFORMULA(
IF(
REGEXMATCH(
"" ""&amp;H2248&amp;"" "",
"" ""&amp;Sentiment_Words!B$2:B3730&amp;"" ""
),
1,
0
)
)
)
)"),0.0)</f>
        <v>0</v>
      </c>
      <c r="L2248" s="7" t="str">
        <f t="shared" si="3"/>
        <v>Other</v>
      </c>
      <c r="M2248" s="7" t="str">
        <f t="shared" si="4"/>
        <v>Positive</v>
      </c>
      <c r="N2248" s="7" t="str">
        <f>IFERROR(__xludf.DUMMYFUNCTION("LOWER(
TRIM(
REGEXREPLACE(B2248,""[^a-zA-Z\s]"","""")
)
)
"),"kelli douglass")</f>
        <v>kelli douglass</v>
      </c>
      <c r="O2248" s="7">
        <f t="shared" si="5"/>
        <v>1</v>
      </c>
      <c r="P2248" s="8" t="str">
        <f t="shared" si="6"/>
        <v>No</v>
      </c>
    </row>
    <row r="2249">
      <c r="A2249" s="4" t="s">
        <v>16</v>
      </c>
      <c r="B2249" s="4" t="s">
        <v>6300</v>
      </c>
      <c r="C2249" s="5">
        <v>44706.0</v>
      </c>
      <c r="D2249" s="5">
        <v>44706.0</v>
      </c>
      <c r="E2249" s="4" t="s">
        <v>6301</v>
      </c>
      <c r="F2249" s="4" t="s">
        <v>6302</v>
      </c>
      <c r="G2249" s="6" t="str">
        <f>IFERROR(__xludf.DUMMYFUNCTION("REGEXREPLACE(LOWER(F2249),""[^a-z\s]"","""")"),"having to contact support to cancel an auto ship is ridiculous straight from the comcast book of customer service")</f>
        <v>having to contact support to cancel an auto ship is ridiculous straight from the comcast book of customer service</v>
      </c>
      <c r="H2249" s="4" t="str">
        <f t="shared" si="1"/>
        <v>having contact support cancel an auto ship ridiculous straight from comcast book of customer service</v>
      </c>
      <c r="I2249" s="6">
        <f t="shared" si="2"/>
        <v>15</v>
      </c>
      <c r="J2249" s="6">
        <f>IFERROR(__xludf.DUMMYFUNCTION("IF(H2249="""","""",
SUM(
ARRAYFORMULA(
IF(
REGEXMATCH(
"" ""&amp;H2249&amp;"" "",
"" ""&amp;Sentiment_Words!A$2:A3730&amp;"" ""
),
1,
0
)
)
)
)"),1.0)</f>
        <v>1</v>
      </c>
      <c r="K2249" s="4">
        <f>IFERROR(__xludf.DUMMYFUNCTION("IF(H2249="""","""",
SUM(
ARRAYFORMULA(
IF(
REGEXMATCH(
"" ""&amp;H2249&amp;"" "",
"" ""&amp;Sentiment_Words!B$2:B3730&amp;"" ""
),
1,
0
)
)
)
)"),1.0)</f>
        <v>1</v>
      </c>
      <c r="L2249" s="7" t="str">
        <f t="shared" si="3"/>
        <v>Customer Support</v>
      </c>
      <c r="M2249" s="7" t="str">
        <f t="shared" si="4"/>
        <v>Neutral</v>
      </c>
      <c r="N2249" s="7" t="str">
        <f>IFERROR(__xludf.DUMMYFUNCTION("LOWER(
TRIM(
REGEXREPLACE(B2249,""[^a-zA-Z\s]"","""")
)
)
"),"rg thomas")</f>
        <v>rg thomas</v>
      </c>
      <c r="O2249" s="7">
        <f t="shared" si="5"/>
        <v>1</v>
      </c>
      <c r="P2249" s="8" t="str">
        <f t="shared" si="6"/>
        <v>No</v>
      </c>
    </row>
    <row r="2250">
      <c r="A2250" s="4" t="s">
        <v>16</v>
      </c>
      <c r="B2250" s="4" t="s">
        <v>6303</v>
      </c>
      <c r="C2250" s="5">
        <v>44706.0</v>
      </c>
      <c r="D2250" s="5">
        <v>44706.0</v>
      </c>
      <c r="E2250" s="4" t="s">
        <v>6304</v>
      </c>
      <c r="F2250" s="4" t="s">
        <v>6305</v>
      </c>
      <c r="G2250" s="6" t="str">
        <f>IFERROR(__xludf.DUMMYFUNCTION("REGEXREPLACE(LOWER(F2250),""[^a-z\s]"","""")"),"this is the first time using petflow and i loved the experience they have great prices and fast shipping i love the selection of food also")</f>
        <v>this is the first time using petflow and i loved the experience they have great prices and fast shipping i love the selection of food also</v>
      </c>
      <c r="H2250" s="4" t="str">
        <f t="shared" si="1"/>
        <v>this first time using petflow i loved experience they have great prices fast shipping i love selection of food also</v>
      </c>
      <c r="I2250" s="6">
        <f t="shared" si="2"/>
        <v>20</v>
      </c>
      <c r="J2250" s="6">
        <f>IFERROR(__xludf.DUMMYFUNCTION("IF(H2250="""","""",
SUM(
ARRAYFORMULA(
IF(
REGEXMATCH(
"" ""&amp;H2250&amp;"" "",
"" ""&amp;Sentiment_Words!A$2:A3730&amp;"" ""
),
1,
0
)
)
)
)"),3.0)</f>
        <v>3</v>
      </c>
      <c r="K2250" s="4">
        <f>IFERROR(__xludf.DUMMYFUNCTION("IF(H2250="""","""",
SUM(
ARRAYFORMULA(
IF(
REGEXMATCH(
"" ""&amp;H2250&amp;"" "",
"" ""&amp;Sentiment_Words!B$2:B3730&amp;"" ""
),
1,
0
)
)
)
)"),0.0)</f>
        <v>0</v>
      </c>
      <c r="L2250" s="7" t="str">
        <f t="shared" si="3"/>
        <v>Other</v>
      </c>
      <c r="M2250" s="7" t="str">
        <f t="shared" si="4"/>
        <v>Positive</v>
      </c>
      <c r="N2250" s="7" t="str">
        <f>IFERROR(__xludf.DUMMYFUNCTION("LOWER(
TRIM(
REGEXREPLACE(B2250,""[^a-zA-Z\s]"","""")
)
)
"),"betty shaffer")</f>
        <v>betty shaffer</v>
      </c>
      <c r="O2250" s="7">
        <f t="shared" si="5"/>
        <v>1</v>
      </c>
      <c r="P2250" s="8" t="str">
        <f t="shared" si="6"/>
        <v>No</v>
      </c>
    </row>
    <row r="2251">
      <c r="A2251" s="4" t="s">
        <v>16</v>
      </c>
      <c r="B2251" s="4" t="s">
        <v>6306</v>
      </c>
      <c r="C2251" s="5">
        <v>44706.0</v>
      </c>
      <c r="D2251" s="5">
        <v>44706.0</v>
      </c>
      <c r="E2251" s="4" t="s">
        <v>623</v>
      </c>
      <c r="F2251" s="4" t="s">
        <v>6307</v>
      </c>
      <c r="G2251" s="6" t="str">
        <f>IFERROR(__xludf.DUMMYFUNCTION("REGEXREPLACE(LOWER(F2251),""[^a-z\s]"","""")"),"scam site they lie and say they have stock of things they know they have no stock for just to get your information")</f>
        <v>scam site they lie and say they have stock of things they know they have no stock for just to get your information</v>
      </c>
      <c r="H2251" s="4" t="str">
        <f t="shared" si="1"/>
        <v>scam site they lie say they have stock of things they know they have no stock just get your information</v>
      </c>
      <c r="I2251" s="6">
        <f t="shared" si="2"/>
        <v>20</v>
      </c>
      <c r="J2251" s="6">
        <f>IFERROR(__xludf.DUMMYFUNCTION("IF(H2251="""","""",
SUM(
ARRAYFORMULA(
IF(
REGEXMATCH(
"" ""&amp;H2251&amp;"" "",
"" ""&amp;Sentiment_Words!A$2:A3730&amp;"" ""
),
1,
0
)
)
)
)"),0.0)</f>
        <v>0</v>
      </c>
      <c r="K2251" s="4">
        <f>IFERROR(__xludf.DUMMYFUNCTION("IF(H2251="""","""",
SUM(
ARRAYFORMULA(
IF(
REGEXMATCH(
"" ""&amp;H2251&amp;"" "",
"" ""&amp;Sentiment_Words!B$2:B3730&amp;"" ""
),
1,
0
)
)
)
)"),0.0)</f>
        <v>0</v>
      </c>
      <c r="L2251" s="7" t="str">
        <f t="shared" si="3"/>
        <v>Other</v>
      </c>
      <c r="M2251" s="7" t="str">
        <f t="shared" si="4"/>
        <v>Neutral</v>
      </c>
      <c r="N2251" s="7" t="str">
        <f>IFERROR(__xludf.DUMMYFUNCTION("LOWER(
TRIM(
REGEXREPLACE(B2251,""[^a-zA-Z\s]"","""")
)
)
"),"angela")</f>
        <v>angela</v>
      </c>
      <c r="O2251" s="7">
        <f t="shared" si="5"/>
        <v>3</v>
      </c>
      <c r="P2251" s="8" t="str">
        <f t="shared" si="6"/>
        <v>Yes</v>
      </c>
    </row>
    <row r="2252">
      <c r="A2252" s="4" t="s">
        <v>16</v>
      </c>
      <c r="B2252" s="4" t="s">
        <v>6308</v>
      </c>
      <c r="C2252" s="5">
        <v>44706.0</v>
      </c>
      <c r="D2252" s="5">
        <v>44706.0</v>
      </c>
      <c r="E2252" s="4" t="s">
        <v>3859</v>
      </c>
      <c r="F2252" s="4" t="s">
        <v>6309</v>
      </c>
      <c r="G2252" s="6" t="str">
        <f>IFERROR(__xludf.DUMMYFUNCTION("REGEXREPLACE(LOWER(F2252),""[^a-z\s]"","""")"),"i like pet flow and the convenience of buy fromm cat food from them")</f>
        <v>i like pet flow and the convenience of buy fromm cat food from them</v>
      </c>
      <c r="H2252" s="4" t="str">
        <f t="shared" si="1"/>
        <v>i like pet flow convenience of buy fromm cat food from them</v>
      </c>
      <c r="I2252" s="6">
        <f t="shared" si="2"/>
        <v>12</v>
      </c>
      <c r="J2252" s="6">
        <f>IFERROR(__xludf.DUMMYFUNCTION("IF(H2252="""","""",
SUM(
ARRAYFORMULA(
IF(
REGEXMATCH(
"" ""&amp;H2252&amp;"" "",
"" ""&amp;Sentiment_Words!A$2:A3730&amp;"" ""
),
1,
0
)
)
)
)"),0.0)</f>
        <v>0</v>
      </c>
      <c r="K2252" s="4">
        <f>IFERROR(__xludf.DUMMYFUNCTION("IF(H2252="""","""",
SUM(
ARRAYFORMULA(
IF(
REGEXMATCH(
"" ""&amp;H2252&amp;"" "",
"" ""&amp;Sentiment_Words!B$2:B3730&amp;"" ""
),
1,
0
)
)
)
)"),0.0)</f>
        <v>0</v>
      </c>
      <c r="L2252" s="7" t="str">
        <f t="shared" si="3"/>
        <v>Other</v>
      </c>
      <c r="M2252" s="7" t="str">
        <f t="shared" si="4"/>
        <v>Neutral</v>
      </c>
      <c r="N2252" s="7" t="str">
        <f>IFERROR(__xludf.DUMMYFUNCTION("LOWER(
TRIM(
REGEXREPLACE(B2252,""[^a-zA-Z\s]"","""")
)
)
"),"tammy a bayes")</f>
        <v>tammy a bayes</v>
      </c>
      <c r="O2252" s="7">
        <f t="shared" si="5"/>
        <v>1</v>
      </c>
      <c r="P2252" s="8" t="str">
        <f t="shared" si="6"/>
        <v>No</v>
      </c>
    </row>
    <row r="2253">
      <c r="A2253" s="4" t="s">
        <v>16</v>
      </c>
      <c r="B2253" s="4" t="s">
        <v>6310</v>
      </c>
      <c r="C2253" s="5">
        <v>44706.0</v>
      </c>
      <c r="D2253" s="5">
        <v>44706.0</v>
      </c>
      <c r="E2253" s="4" t="s">
        <v>6311</v>
      </c>
      <c r="F2253" s="4" t="s">
        <v>6312</v>
      </c>
      <c r="G2253" s="6" t="str">
        <f>IFERROR(__xludf.DUMMYFUNCTION("REGEXREPLACE(LOWER(F2253),""[^a-z\s]"","""")"),"i placed an order for prescription pet food the website stated food prescriptions could be emailed or mailed so i emailed the food prescription using the email address they listed on their website for this purpose this resulted in back and forth with a re"&amp;"presentative who conveyed i needed to mail it in despite contrary information on petflows website she did her best to try to help however ultimately even after petflow finally accepted the emailed prescription i also mailed the prescription for good measu"&amp;"re i received an email notification from petflow that the food was no longer available was a complete waste of time and my pet still does not have their needed prescription pet food")</f>
        <v>i placed an order for prescription pet food the website stated food prescriptions could be emailed or mailed so i emailed the food prescription using the email address they listed on their website for this purpose this resulted in back and forth with a representative who conveyed i needed to mail it in despite contrary information on petflows website she did her best to try to help however ultimately even after petflow finally accepted the emailed prescription i also mailed the prescription for good measure i received an email notification from petflow that the food was no longer available was a complete waste of time and my pet still does not have their needed prescription pet food</v>
      </c>
      <c r="H2253" s="4" t="str">
        <f t="shared" si="1"/>
        <v>i placed an order prescription pet food website stated food prescriptions could be emailed or mailed so i emailed food prescription using email address they listed on their website this purpose this resulted in back forth with a representative who conveyed i needed mail it in despite contrary information on petflows website she did her best try help however ultimately even after petflow finally accepted emailed prescription i also mailed prescription good measure i received an email notification from petflow that food was no longer available was a complete waste of time my pet still does not have their needed prescription pet food</v>
      </c>
      <c r="I2253" s="6">
        <f t="shared" si="2"/>
        <v>103</v>
      </c>
      <c r="J2253" s="6">
        <f>IFERROR(__xludf.DUMMYFUNCTION("IF(H2253="""","""",
SUM(
ARRAYFORMULA(
IF(
REGEXMATCH(
"" ""&amp;H2253&amp;"" "",
"" ""&amp;Sentiment_Words!A$2:A3730&amp;"" ""
),
1,
0
)
)
)
)"),2.0)</f>
        <v>2</v>
      </c>
      <c r="K2253" s="4">
        <f>IFERROR(__xludf.DUMMYFUNCTION("IF(H2253="""","""",
SUM(
ARRAYFORMULA(
IF(
REGEXMATCH(
"" ""&amp;H2253&amp;"" "",
"" ""&amp;Sentiment_Words!B$2:B3730&amp;"" ""
),
1,
0
)
)
)
)"),0.0)</f>
        <v>0</v>
      </c>
      <c r="L2253" s="7" t="str">
        <f t="shared" si="3"/>
        <v>Account &amp; Website</v>
      </c>
      <c r="M2253" s="7" t="str">
        <f t="shared" si="4"/>
        <v>Positive</v>
      </c>
      <c r="N2253" s="7" t="str">
        <f>IFERROR(__xludf.DUMMYFUNCTION("LOWER(
TRIM(
REGEXREPLACE(B2253,""[^a-zA-Z\s]"","""")
)
)
"),"gm")</f>
        <v>gm</v>
      </c>
      <c r="O2253" s="7">
        <f t="shared" si="5"/>
        <v>2</v>
      </c>
      <c r="P2253" s="8" t="str">
        <f t="shared" si="6"/>
        <v>Yes</v>
      </c>
    </row>
    <row r="2254">
      <c r="A2254" s="4" t="s">
        <v>16</v>
      </c>
      <c r="B2254" s="4" t="s">
        <v>2722</v>
      </c>
      <c r="C2254" s="5">
        <v>44706.0</v>
      </c>
      <c r="D2254" s="5">
        <v>44706.0</v>
      </c>
      <c r="E2254" s="4" t="s">
        <v>6313</v>
      </c>
      <c r="F2254" s="4" t="s">
        <v>331</v>
      </c>
      <c r="G2254" s="6" t="str">
        <f>IFERROR(__xludf.DUMMYFUNCTION("REGEXREPLACE(LOWER(F2254),""[^a-z\s]"","""")"),"none")</f>
        <v>none</v>
      </c>
      <c r="H2254" s="4" t="str">
        <f t="shared" si="1"/>
        <v>none</v>
      </c>
      <c r="I2254" s="6">
        <f t="shared" si="2"/>
        <v>1</v>
      </c>
      <c r="J2254" s="6">
        <f>IFERROR(__xludf.DUMMYFUNCTION("IF(H2254="""","""",
SUM(
ARRAYFORMULA(
IF(
REGEXMATCH(
"" ""&amp;H2254&amp;"" "",
"" ""&amp;Sentiment_Words!A$2:A3730&amp;"" ""
),
1,
0
)
)
)
)"),0.0)</f>
        <v>0</v>
      </c>
      <c r="K2254" s="4">
        <f>IFERROR(__xludf.DUMMYFUNCTION("IF(H2254="""","""",
SUM(
ARRAYFORMULA(
IF(
REGEXMATCH(
"" ""&amp;H2254&amp;"" "",
"" ""&amp;Sentiment_Words!B$2:B3730&amp;"" ""
),
1,
0
)
)
)
)"),0.0)</f>
        <v>0</v>
      </c>
      <c r="L2254" s="7" t="str">
        <f t="shared" si="3"/>
        <v>Other</v>
      </c>
      <c r="M2254" s="7" t="str">
        <f t="shared" si="4"/>
        <v>Neutral</v>
      </c>
      <c r="N2254" s="7" t="str">
        <f>IFERROR(__xludf.DUMMYFUNCTION("LOWER(
TRIM(
REGEXREPLACE(B2254,""[^a-zA-Z\s]"","""")
)
)
"),"julia")</f>
        <v>julia</v>
      </c>
      <c r="O2254" s="7">
        <f t="shared" si="5"/>
        <v>3</v>
      </c>
      <c r="P2254" s="8" t="str">
        <f t="shared" si="6"/>
        <v>Yes</v>
      </c>
    </row>
    <row r="2255">
      <c r="A2255" s="4" t="s">
        <v>16</v>
      </c>
      <c r="B2255" s="4" t="s">
        <v>6314</v>
      </c>
      <c r="C2255" s="5">
        <v>44706.0</v>
      </c>
      <c r="D2255" s="5">
        <v>44706.0</v>
      </c>
      <c r="E2255" s="4" t="s">
        <v>6315</v>
      </c>
      <c r="F2255" s="4" t="s">
        <v>331</v>
      </c>
      <c r="G2255" s="6" t="str">
        <f>IFERROR(__xludf.DUMMYFUNCTION("REGEXREPLACE(LOWER(F2255),""[^a-z\s]"","""")"),"none")</f>
        <v>none</v>
      </c>
      <c r="H2255" s="4" t="str">
        <f t="shared" si="1"/>
        <v>none</v>
      </c>
      <c r="I2255" s="6">
        <f t="shared" si="2"/>
        <v>1</v>
      </c>
      <c r="J2255" s="6">
        <f>IFERROR(__xludf.DUMMYFUNCTION("IF(H2255="""","""",
SUM(
ARRAYFORMULA(
IF(
REGEXMATCH(
"" ""&amp;H2255&amp;"" "",
"" ""&amp;Sentiment_Words!A$2:A3730&amp;"" ""
),
1,
0
)
)
)
)"),0.0)</f>
        <v>0</v>
      </c>
      <c r="K2255" s="4">
        <f>IFERROR(__xludf.DUMMYFUNCTION("IF(H2255="""","""",
SUM(
ARRAYFORMULA(
IF(
REGEXMATCH(
"" ""&amp;H2255&amp;"" "",
"" ""&amp;Sentiment_Words!B$2:B3730&amp;"" ""
),
1,
0
)
)
)
)"),0.0)</f>
        <v>0</v>
      </c>
      <c r="L2255" s="7" t="str">
        <f t="shared" si="3"/>
        <v>Other</v>
      </c>
      <c r="M2255" s="7" t="str">
        <f t="shared" si="4"/>
        <v>Neutral</v>
      </c>
      <c r="N2255" s="7" t="str">
        <f>IFERROR(__xludf.DUMMYFUNCTION("LOWER(
TRIM(
REGEXREPLACE(B2255,""[^a-zA-Z\s]"","""")
)
)
"),"todd twedt")</f>
        <v>todd twedt</v>
      </c>
      <c r="O2255" s="7">
        <f t="shared" si="5"/>
        <v>1</v>
      </c>
      <c r="P2255" s="8" t="str">
        <f t="shared" si="6"/>
        <v>No</v>
      </c>
    </row>
    <row r="2256">
      <c r="A2256" s="4" t="s">
        <v>16</v>
      </c>
      <c r="B2256" s="4" t="s">
        <v>6316</v>
      </c>
      <c r="C2256" s="5">
        <v>44706.0</v>
      </c>
      <c r="D2256" s="5">
        <v>44706.0</v>
      </c>
      <c r="E2256" s="4" t="s">
        <v>6317</v>
      </c>
      <c r="F2256" s="4" t="s">
        <v>331</v>
      </c>
      <c r="G2256" s="6" t="str">
        <f>IFERROR(__xludf.DUMMYFUNCTION("REGEXREPLACE(LOWER(F2256),""[^a-z\s]"","""")"),"none")</f>
        <v>none</v>
      </c>
      <c r="H2256" s="4" t="str">
        <f t="shared" si="1"/>
        <v>none</v>
      </c>
      <c r="I2256" s="6">
        <f t="shared" si="2"/>
        <v>1</v>
      </c>
      <c r="J2256" s="6">
        <f>IFERROR(__xludf.DUMMYFUNCTION("IF(H2256="""","""",
SUM(
ARRAYFORMULA(
IF(
REGEXMATCH(
"" ""&amp;H2256&amp;"" "",
"" ""&amp;Sentiment_Words!A$2:A3730&amp;"" ""
),
1,
0
)
)
)
)"),0.0)</f>
        <v>0</v>
      </c>
      <c r="K2256" s="4">
        <f>IFERROR(__xludf.DUMMYFUNCTION("IF(H2256="""","""",
SUM(
ARRAYFORMULA(
IF(
REGEXMATCH(
"" ""&amp;H2256&amp;"" "",
"" ""&amp;Sentiment_Words!B$2:B3730&amp;"" ""
),
1,
0
)
)
)
)"),0.0)</f>
        <v>0</v>
      </c>
      <c r="L2256" s="7" t="str">
        <f t="shared" si="3"/>
        <v>Other</v>
      </c>
      <c r="M2256" s="7" t="str">
        <f t="shared" si="4"/>
        <v>Neutral</v>
      </c>
      <c r="N2256" s="7" t="str">
        <f>IFERROR(__xludf.DUMMYFUNCTION("LOWER(
TRIM(
REGEXREPLACE(B2256,""[^a-zA-Z\s]"","""")
)
)
"),"lynnea dale")</f>
        <v>lynnea dale</v>
      </c>
      <c r="O2256" s="7">
        <f t="shared" si="5"/>
        <v>1</v>
      </c>
      <c r="P2256" s="8" t="str">
        <f t="shared" si="6"/>
        <v>No</v>
      </c>
    </row>
    <row r="2257">
      <c r="A2257" s="4" t="s">
        <v>16</v>
      </c>
      <c r="B2257" s="4" t="s">
        <v>6318</v>
      </c>
      <c r="C2257" s="5">
        <v>44706.0</v>
      </c>
      <c r="D2257" s="5">
        <v>44706.0</v>
      </c>
      <c r="E2257" s="4" t="s">
        <v>6319</v>
      </c>
      <c r="F2257" s="4" t="s">
        <v>331</v>
      </c>
      <c r="G2257" s="6" t="str">
        <f>IFERROR(__xludf.DUMMYFUNCTION("REGEXREPLACE(LOWER(F2257),""[^a-z\s]"","""")"),"none")</f>
        <v>none</v>
      </c>
      <c r="H2257" s="4" t="str">
        <f t="shared" si="1"/>
        <v>none</v>
      </c>
      <c r="I2257" s="6">
        <f t="shared" si="2"/>
        <v>1</v>
      </c>
      <c r="J2257" s="6">
        <f>IFERROR(__xludf.DUMMYFUNCTION("IF(H2257="""","""",
SUM(
ARRAYFORMULA(
IF(
REGEXMATCH(
"" ""&amp;H2257&amp;"" "",
"" ""&amp;Sentiment_Words!A$2:A3730&amp;"" ""
),
1,
0
)
)
)
)"),0.0)</f>
        <v>0</v>
      </c>
      <c r="K2257" s="4">
        <f>IFERROR(__xludf.DUMMYFUNCTION("IF(H2257="""","""",
SUM(
ARRAYFORMULA(
IF(
REGEXMATCH(
"" ""&amp;H2257&amp;"" "",
"" ""&amp;Sentiment_Words!B$2:B3730&amp;"" ""
),
1,
0
)
)
)
)"),0.0)</f>
        <v>0</v>
      </c>
      <c r="L2257" s="7" t="str">
        <f t="shared" si="3"/>
        <v>Other</v>
      </c>
      <c r="M2257" s="7" t="str">
        <f t="shared" si="4"/>
        <v>Neutral</v>
      </c>
      <c r="N2257" s="7" t="str">
        <f>IFERROR(__xludf.DUMMYFUNCTION("LOWER(
TRIM(
REGEXREPLACE(B2257,""[^a-zA-Z\s]"","""")
)
)
"),"sh")</f>
        <v>sh</v>
      </c>
      <c r="O2257" s="7">
        <f t="shared" si="5"/>
        <v>1</v>
      </c>
      <c r="P2257" s="8" t="str">
        <f t="shared" si="6"/>
        <v>No</v>
      </c>
    </row>
    <row r="2258">
      <c r="A2258" s="4" t="s">
        <v>16</v>
      </c>
      <c r="B2258" s="4" t="s">
        <v>6320</v>
      </c>
      <c r="C2258" s="5">
        <v>44705.0</v>
      </c>
      <c r="D2258" s="5">
        <v>44706.0</v>
      </c>
      <c r="E2258" s="4" t="s">
        <v>6321</v>
      </c>
      <c r="F2258" s="4" t="s">
        <v>6322</v>
      </c>
      <c r="G2258" s="6" t="str">
        <f>IFERROR(__xludf.DUMMYFUNCTION("REGEXREPLACE(LOWER(F2258),""[^a-z\s]"","""")"),"i was trying to order prescription cat food that is in short supply your company let me order it sign up for your account contacted my vet for the prescription and went through the whole process and then told me you are out of stock why didnt you tell me "&amp;"up front you were out of stock you wasted my time")</f>
        <v>i was trying to order prescription cat food that is in short supply your company let me order it sign up for your account contacted my vet for the prescription and went through the whole process and then told me you are out of stock why didnt you tell me up front you were out of stock you wasted my time</v>
      </c>
      <c r="H2258" s="4" t="str">
        <f t="shared" si="1"/>
        <v>i was trying order prescription cat food that in short supply your company let me order it sign up your account contacted my vet prescription went through whole process then told me you are out of stock why didnt you tell me up front you were out of stock you wasted my time</v>
      </c>
      <c r="I2258" s="6">
        <f t="shared" si="2"/>
        <v>53</v>
      </c>
      <c r="J2258" s="6">
        <f>IFERROR(__xludf.DUMMYFUNCTION("IF(H2258="""","""",
SUM(
ARRAYFORMULA(
IF(
REGEXMATCH(
"" ""&amp;H2258&amp;"" "",
"" ""&amp;Sentiment_Words!A$2:A3730&amp;"" ""
),
1,
0
)
)
)
)"),0.0)</f>
        <v>0</v>
      </c>
      <c r="K2258" s="4">
        <f>IFERROR(__xludf.DUMMYFUNCTION("IF(H2258="""","""",
SUM(
ARRAYFORMULA(
IF(
REGEXMATCH(
"" ""&amp;H2258&amp;"" "",
"" ""&amp;Sentiment_Words!B$2:B3730&amp;"" ""
),
1,
0
)
)
)
)"),1.0)</f>
        <v>1</v>
      </c>
      <c r="L2258" s="7" t="str">
        <f t="shared" si="3"/>
        <v>Availability</v>
      </c>
      <c r="M2258" s="7" t="str">
        <f t="shared" si="4"/>
        <v>Negative</v>
      </c>
      <c r="N2258" s="7" t="str">
        <f>IFERROR(__xludf.DUMMYFUNCTION("LOWER(
TRIM(
REGEXREPLACE(B2258,""[^a-zA-Z\s]"","""")
)
)
"),"marianne guran")</f>
        <v>marianne guran</v>
      </c>
      <c r="O2258" s="7">
        <f t="shared" si="5"/>
        <v>1</v>
      </c>
      <c r="P2258" s="8" t="str">
        <f t="shared" si="6"/>
        <v>No</v>
      </c>
    </row>
    <row r="2259">
      <c r="A2259" s="4" t="s">
        <v>16</v>
      </c>
      <c r="B2259" s="4" t="s">
        <v>6323</v>
      </c>
      <c r="C2259" s="5">
        <v>44705.0</v>
      </c>
      <c r="D2259" s="5">
        <v>44705.0</v>
      </c>
      <c r="E2259" s="4" t="s">
        <v>6324</v>
      </c>
      <c r="F2259" s="4" t="s">
        <v>6325</v>
      </c>
      <c r="G2259" s="6" t="str">
        <f>IFERROR(__xludf.DUMMYFUNCTION("REGEXREPLACE(LOWER(F2259),""[^a-z\s]"","""")"),"i have plenty too much food right now how can i cancel automatic service")</f>
        <v>i have plenty too much food right now how can i cancel automatic service</v>
      </c>
      <c r="H2259" s="4" t="str">
        <f t="shared" si="1"/>
        <v>i have plenty too much food right now how can i cancel automatic service</v>
      </c>
      <c r="I2259" s="6">
        <f t="shared" si="2"/>
        <v>14</v>
      </c>
      <c r="J2259" s="6">
        <f>IFERROR(__xludf.DUMMYFUNCTION("IF(H2259="""","""",
SUM(
ARRAYFORMULA(
IF(
REGEXMATCH(
"" ""&amp;H2259&amp;"" "",
"" ""&amp;Sentiment_Words!A$2:A3730&amp;"" ""
),
1,
0
)
)
)
)"),0.0)</f>
        <v>0</v>
      </c>
      <c r="K2259" s="4">
        <f>IFERROR(__xludf.DUMMYFUNCTION("IF(H2259="""","""",
SUM(
ARRAYFORMULA(
IF(
REGEXMATCH(
"" ""&amp;H2259&amp;"" "",
"" ""&amp;Sentiment_Words!B$2:B3730&amp;"" ""
),
1,
0
)
)
)
)"),0.0)</f>
        <v>0</v>
      </c>
      <c r="L2259" s="7" t="str">
        <f t="shared" si="3"/>
        <v>Customer Support</v>
      </c>
      <c r="M2259" s="7" t="str">
        <f t="shared" si="4"/>
        <v>Neutral</v>
      </c>
      <c r="N2259" s="7" t="str">
        <f>IFERROR(__xludf.DUMMYFUNCTION("LOWER(
TRIM(
REGEXREPLACE(B2259,""[^a-zA-Z\s]"","""")
)
)
"),"mcintyre linda")</f>
        <v>mcintyre linda</v>
      </c>
      <c r="O2259" s="7">
        <f t="shared" si="5"/>
        <v>1</v>
      </c>
      <c r="P2259" s="8" t="str">
        <f t="shared" si="6"/>
        <v>No</v>
      </c>
    </row>
    <row r="2260">
      <c r="A2260" s="4" t="s">
        <v>16</v>
      </c>
      <c r="B2260" s="4" t="s">
        <v>6326</v>
      </c>
      <c r="C2260" s="5">
        <v>44704.0</v>
      </c>
      <c r="D2260" s="5">
        <v>44705.0</v>
      </c>
      <c r="E2260" s="4" t="s">
        <v>6327</v>
      </c>
      <c r="F2260" s="4" t="s">
        <v>6328</v>
      </c>
      <c r="G2260" s="6" t="str">
        <f>IFERROR(__xludf.DUMMYFUNCTION("REGEXREPLACE(LOWER(F2260),""[^a-z\s]"","""")"),"i trust them they usually have the product that i want and if not they will let me know")</f>
        <v>i trust them they usually have the product that i want and if not they will let me know</v>
      </c>
      <c r="H2260" s="4" t="str">
        <f t="shared" si="1"/>
        <v>i trust them they usually have product that i want if not they will let me know</v>
      </c>
      <c r="I2260" s="6">
        <f t="shared" si="2"/>
        <v>17</v>
      </c>
      <c r="J2260" s="6">
        <f>IFERROR(__xludf.DUMMYFUNCTION("IF(H2260="""","""",
SUM(
ARRAYFORMULA(
IF(
REGEXMATCH(
"" ""&amp;H2260&amp;"" "",
"" ""&amp;Sentiment_Words!A$2:A3730&amp;"" ""
),
1,
0
)
)
)
)"),0.0)</f>
        <v>0</v>
      </c>
      <c r="K2260" s="4">
        <f>IFERROR(__xludf.DUMMYFUNCTION("IF(H2260="""","""",
SUM(
ARRAYFORMULA(
IF(
REGEXMATCH(
"" ""&amp;H2260&amp;"" "",
"" ""&amp;Sentiment_Words!B$2:B3730&amp;"" ""
),
1,
0
)
)
)
)"),0.0)</f>
        <v>0</v>
      </c>
      <c r="L2260" s="7" t="str">
        <f t="shared" si="3"/>
        <v>Trust &amp; Experience</v>
      </c>
      <c r="M2260" s="7" t="str">
        <f t="shared" si="4"/>
        <v>Neutral</v>
      </c>
      <c r="N2260" s="7" t="str">
        <f>IFERROR(__xludf.DUMMYFUNCTION("LOWER(
TRIM(
REGEXREPLACE(B2260,""[^a-zA-Z\s]"","""")
)
)
"),"lorraine castelain")</f>
        <v>lorraine castelain</v>
      </c>
      <c r="O2260" s="7">
        <f t="shared" si="5"/>
        <v>1</v>
      </c>
      <c r="P2260" s="8" t="str">
        <f t="shared" si="6"/>
        <v>No</v>
      </c>
    </row>
    <row r="2261">
      <c r="A2261" s="4" t="s">
        <v>16</v>
      </c>
      <c r="B2261" s="4" t="s">
        <v>6329</v>
      </c>
      <c r="C2261" s="5">
        <v>44704.0</v>
      </c>
      <c r="D2261" s="5">
        <v>44704.0</v>
      </c>
      <c r="E2261" s="4" t="s">
        <v>6330</v>
      </c>
      <c r="F2261" s="4" t="s">
        <v>6331</v>
      </c>
      <c r="G2261" s="6" t="str">
        <f>IFERROR(__xludf.DUMMYFUNCTION("REGEXREPLACE(LOWER(F2261),""[^a-z\s]"","""")"),"this place is amazing prices really cannot be beat  and we shop around every time we stock up petflow doesnt carry all of the foods we buy but the ones they do are consistently cheaper than elsewhere including delivery
i hope petflow will carry more of t"&amp;"he vegetarian canned dog foods soon these lower protein foods are so much better for dogs especially those with kidney or other issues")</f>
        <v>this place is amazing prices really cannot be beat  and we shop around every time we stock up petflow doesnt carry all of the foods we buy but the ones they do are consistently cheaper than elsewhere including delivery
i hope petflow will carry more of the vegetarian canned dog foods soon these lower protein foods are so much better for dogs especially those with kidney or other issues</v>
      </c>
      <c r="H2261" s="4" t="str">
        <f t="shared" si="1"/>
        <v>this place amazing prices really cannot be beat we shop around every time we stock up petflow doesnt carry all of foods we buy but ones they do are consistently cheaper than elsewhere including delivery
i hope petflow will carry more of vegetarian canned dog foods soon these lower protein foods are so much better dogs especially those with kidney or other issues</v>
      </c>
      <c r="I2261" s="6">
        <f t="shared" si="2"/>
        <v>62</v>
      </c>
      <c r="J2261" s="6">
        <f>IFERROR(__xludf.DUMMYFUNCTION("IF(H2261="""","""",
SUM(
ARRAYFORMULA(
IF(
REGEXMATCH(
"" ""&amp;H2261&amp;"" "",
"" ""&amp;Sentiment_Words!A$2:A3730&amp;"" ""
),
1,
0
)
)
)
)"),1.0)</f>
        <v>1</v>
      </c>
      <c r="K2261" s="4">
        <f>IFERROR(__xludf.DUMMYFUNCTION("IF(H2261="""","""",
SUM(
ARRAYFORMULA(
IF(
REGEXMATCH(
"" ""&amp;H2261&amp;"" "",
"" ""&amp;Sentiment_Words!B$2:B3730&amp;"" ""
),
1,
0
)
)
)
)"),0.0)</f>
        <v>0</v>
      </c>
      <c r="L2261" s="7" t="str">
        <f t="shared" si="3"/>
        <v>Value &amp; Convenience</v>
      </c>
      <c r="M2261" s="7" t="str">
        <f t="shared" si="4"/>
        <v>Positive</v>
      </c>
      <c r="N2261" s="7" t="str">
        <f>IFERROR(__xludf.DUMMYFUNCTION("LOWER(
TRIM(
REGEXREPLACE(B2261,""[^a-zA-Z\s]"","""")
)
)
"),"amanda b")</f>
        <v>amanda b</v>
      </c>
      <c r="O2261" s="7">
        <f t="shared" si="5"/>
        <v>1</v>
      </c>
      <c r="P2261" s="8" t="str">
        <f t="shared" si="6"/>
        <v>No</v>
      </c>
    </row>
    <row r="2262">
      <c r="A2262" s="4" t="s">
        <v>16</v>
      </c>
      <c r="B2262" s="4" t="s">
        <v>6332</v>
      </c>
      <c r="C2262" s="5">
        <v>44704.0</v>
      </c>
      <c r="D2262" s="5">
        <v>44704.0</v>
      </c>
      <c r="E2262" s="4" t="s">
        <v>6333</v>
      </c>
      <c r="F2262" s="4" t="s">
        <v>6334</v>
      </c>
      <c r="G2262" s="6" t="str">
        <f>IFERROR(__xludf.DUMMYFUNCTION("REGEXREPLACE(LOWER(F2262),""[^a-z\s]"","""")"),"my total order was to receive  offhowever my order was split and i only received  off on the lesser item and was taxed on both i may inform my credit card company of this transaction based on your response")</f>
        <v>my total order was to receive  offhowever my order was split and i only received  off on the lesser item and was taxed on both i may inform my credit card company of this transaction based on your response</v>
      </c>
      <c r="H2262" s="4" t="str">
        <f t="shared" si="1"/>
        <v>my total order was receive offhowever my order was split i only received off on lesser item was taxed on both i may inform my credit card company of this transaction based on your response</v>
      </c>
      <c r="I2262" s="6">
        <f t="shared" si="2"/>
        <v>35</v>
      </c>
      <c r="J2262" s="6">
        <f>IFERROR(__xludf.DUMMYFUNCTION("IF(H2262="""","""",
SUM(
ARRAYFORMULA(
IF(
REGEXMATCH(
"" ""&amp;H2262&amp;"" "",
"" ""&amp;Sentiment_Words!A$2:A3730&amp;"" ""
),
1,
0
)
)
)
)"),0.0)</f>
        <v>0</v>
      </c>
      <c r="K2262" s="4">
        <f>IFERROR(__xludf.DUMMYFUNCTION("IF(H2262="""","""",
SUM(
ARRAYFORMULA(
IF(
REGEXMATCH(
"" ""&amp;H2262&amp;"" "",
"" ""&amp;Sentiment_Words!B$2:B3730&amp;"" ""
),
1,
0
)
)
)
)"),0.0)</f>
        <v>0</v>
      </c>
      <c r="L2262" s="7" t="str">
        <f t="shared" si="3"/>
        <v>Other</v>
      </c>
      <c r="M2262" s="7" t="str">
        <f t="shared" si="4"/>
        <v>Neutral</v>
      </c>
      <c r="N2262" s="7" t="str">
        <f>IFERROR(__xludf.DUMMYFUNCTION("LOWER(
TRIM(
REGEXREPLACE(B2262,""[^a-zA-Z\s]"","""")
)
)
"),"mark brown")</f>
        <v>mark brown</v>
      </c>
      <c r="O2262" s="7">
        <f t="shared" si="5"/>
        <v>1</v>
      </c>
      <c r="P2262" s="8" t="str">
        <f t="shared" si="6"/>
        <v>No</v>
      </c>
    </row>
    <row r="2263">
      <c r="A2263" s="4" t="s">
        <v>16</v>
      </c>
      <c r="B2263" s="4" t="s">
        <v>6335</v>
      </c>
      <c r="C2263" s="5">
        <v>44704.0</v>
      </c>
      <c r="D2263" s="5">
        <v>44704.0</v>
      </c>
      <c r="E2263" s="4" t="s">
        <v>6336</v>
      </c>
      <c r="F2263" s="4" t="s">
        <v>6337</v>
      </c>
      <c r="G2263" s="6" t="str">
        <f>IFERROR(__xludf.DUMMYFUNCTION("REGEXREPLACE(LOWER(F2263),""[^a-z\s]"","""")"),"have always had good service from petflow")</f>
        <v>have always had good service from petflow</v>
      </c>
      <c r="H2263" s="4" t="str">
        <f t="shared" si="1"/>
        <v>have always had good service from petflow</v>
      </c>
      <c r="I2263" s="6">
        <f t="shared" si="2"/>
        <v>7</v>
      </c>
      <c r="J2263" s="6">
        <f>IFERROR(__xludf.DUMMYFUNCTION("IF(H2263="""","""",
SUM(
ARRAYFORMULA(
IF(
REGEXMATCH(
"" ""&amp;H2263&amp;"" "",
"" ""&amp;Sentiment_Words!A$2:A3730&amp;"" ""
),
1,
0
)
)
)
)"),1.0)</f>
        <v>1</v>
      </c>
      <c r="K2263" s="4">
        <f>IFERROR(__xludf.DUMMYFUNCTION("IF(H2263="""","""",
SUM(
ARRAYFORMULA(
IF(
REGEXMATCH(
"" ""&amp;H2263&amp;"" "",
"" ""&amp;Sentiment_Words!B$2:B3730&amp;"" ""
),
1,
0
)
)
)
)"),0.0)</f>
        <v>0</v>
      </c>
      <c r="L2263" s="7" t="str">
        <f t="shared" si="3"/>
        <v>Customer Support</v>
      </c>
      <c r="M2263" s="7" t="str">
        <f t="shared" si="4"/>
        <v>Positive</v>
      </c>
      <c r="N2263" s="7" t="str">
        <f>IFERROR(__xludf.DUMMYFUNCTION("LOWER(
TRIM(
REGEXREPLACE(B2263,""[^a-zA-Z\s]"","""")
)
)
"),"ronnie")</f>
        <v>ronnie</v>
      </c>
      <c r="O2263" s="7">
        <f t="shared" si="5"/>
        <v>1</v>
      </c>
      <c r="P2263" s="8" t="str">
        <f t="shared" si="6"/>
        <v>No</v>
      </c>
    </row>
    <row r="2264">
      <c r="A2264" s="4" t="s">
        <v>16</v>
      </c>
      <c r="B2264" s="4" t="s">
        <v>6338</v>
      </c>
      <c r="C2264" s="5">
        <v>44704.0</v>
      </c>
      <c r="D2264" s="5">
        <v>44704.0</v>
      </c>
      <c r="E2264" s="4" t="s">
        <v>6339</v>
      </c>
      <c r="F2264" s="4" t="s">
        <v>6340</v>
      </c>
      <c r="G2264" s="6" t="str">
        <f>IFERROR(__xludf.DUMMYFUNCTION("REGEXREPLACE(LOWER(F2264),""[^a-z\s]"","""")"),"keep posting that they have hill science diet md when they dont")</f>
        <v>keep posting that they have hill science diet md when they dont</v>
      </c>
      <c r="H2264" s="4" t="str">
        <f t="shared" si="1"/>
        <v>keep posting that they have hill science diet md when they dont</v>
      </c>
      <c r="I2264" s="6">
        <f t="shared" si="2"/>
        <v>12</v>
      </c>
      <c r="J2264" s="6">
        <f>IFERROR(__xludf.DUMMYFUNCTION("IF(H2264="""","""",
SUM(
ARRAYFORMULA(
IF(
REGEXMATCH(
"" ""&amp;H2264&amp;"" "",
"" ""&amp;Sentiment_Words!A$2:A3730&amp;"" ""
),
1,
0
)
)
)
)"),0.0)</f>
        <v>0</v>
      </c>
      <c r="K2264" s="4">
        <f>IFERROR(__xludf.DUMMYFUNCTION("IF(H2264="""","""",
SUM(
ARRAYFORMULA(
IF(
REGEXMATCH(
"" ""&amp;H2264&amp;"" "",
"" ""&amp;Sentiment_Words!B$2:B3730&amp;"" ""
),
1,
0
)
)
)
)"),0.0)</f>
        <v>0</v>
      </c>
      <c r="L2264" s="7" t="str">
        <f t="shared" si="3"/>
        <v>Other</v>
      </c>
      <c r="M2264" s="7" t="str">
        <f t="shared" si="4"/>
        <v>Neutral</v>
      </c>
      <c r="N2264" s="7" t="str">
        <f>IFERROR(__xludf.DUMMYFUNCTION("LOWER(
TRIM(
REGEXREPLACE(B2264,""[^a-zA-Z\s]"","""")
)
)
"),"shirley moses")</f>
        <v>shirley moses</v>
      </c>
      <c r="O2264" s="7">
        <f t="shared" si="5"/>
        <v>1</v>
      </c>
      <c r="P2264" s="8" t="str">
        <f t="shared" si="6"/>
        <v>No</v>
      </c>
    </row>
    <row r="2265">
      <c r="A2265" s="4" t="s">
        <v>16</v>
      </c>
      <c r="B2265" s="4" t="s">
        <v>6341</v>
      </c>
      <c r="C2265" s="5">
        <v>44704.0</v>
      </c>
      <c r="D2265" s="5">
        <v>44704.0</v>
      </c>
      <c r="E2265" s="4" t="s">
        <v>6342</v>
      </c>
      <c r="F2265" s="4" t="s">
        <v>6343</v>
      </c>
      <c r="G2265" s="6" t="str">
        <f>IFERROR(__xludf.DUMMYFUNCTION("REGEXREPLACE(LOWER(F2265),""[^a-z\s]"","""")"),"i have only received part of my order that i made on may th it is now the nd and i have still not received the dog food i ordered")</f>
        <v>i have only received part of my order that i made on may th it is now the nd and i have still not received the dog food i ordered</v>
      </c>
      <c r="H2265" s="4" t="str">
        <f t="shared" si="1"/>
        <v>i have only received part of my order that i made on may th it now nd i have still not received dog food i ordered</v>
      </c>
      <c r="I2265" s="6">
        <f t="shared" si="2"/>
        <v>26</v>
      </c>
      <c r="J2265" s="6">
        <f>IFERROR(__xludf.DUMMYFUNCTION("IF(H2265="""","""",
SUM(
ARRAYFORMULA(
IF(
REGEXMATCH(
"" ""&amp;H2265&amp;"" "",
"" ""&amp;Sentiment_Words!A$2:A3730&amp;"" ""
),
1,
0
)
)
)
)"),0.0)</f>
        <v>0</v>
      </c>
      <c r="K2265" s="4">
        <f>IFERROR(__xludf.DUMMYFUNCTION("IF(H2265="""","""",
SUM(
ARRAYFORMULA(
IF(
REGEXMATCH(
"" ""&amp;H2265&amp;"" "",
"" ""&amp;Sentiment_Words!B$2:B3730&amp;"" ""
),
1,
0
)
)
)
)"),0.0)</f>
        <v>0</v>
      </c>
      <c r="L2265" s="7" t="str">
        <f t="shared" si="3"/>
        <v>Other</v>
      </c>
      <c r="M2265" s="7" t="str">
        <f t="shared" si="4"/>
        <v>Neutral</v>
      </c>
      <c r="N2265" s="7" t="str">
        <f>IFERROR(__xludf.DUMMYFUNCTION("LOWER(
TRIM(
REGEXREPLACE(B2265,""[^a-zA-Z\s]"","""")
)
)
"),"stacey bauman")</f>
        <v>stacey bauman</v>
      </c>
      <c r="O2265" s="7">
        <f t="shared" si="5"/>
        <v>1</v>
      </c>
      <c r="P2265" s="8" t="str">
        <f t="shared" si="6"/>
        <v>No</v>
      </c>
    </row>
    <row r="2266">
      <c r="A2266" s="4" t="s">
        <v>16</v>
      </c>
      <c r="B2266" s="4" t="s">
        <v>6344</v>
      </c>
      <c r="C2266" s="5">
        <v>44704.0</v>
      </c>
      <c r="D2266" s="5">
        <v>44704.0</v>
      </c>
      <c r="E2266" s="4" t="s">
        <v>6345</v>
      </c>
      <c r="F2266" s="4" t="s">
        <v>6346</v>
      </c>
      <c r="G2266" s="6" t="str">
        <f>IFERROR(__xludf.DUMMYFUNCTION("REGEXREPLACE(LOWER(F2266),""[^a-z\s]"","""")"),"our saint bernard was recently diagnosed with gastroparesis and needed limited ingredient treats hills makes a line of them that petflow has a great variety of at great prices shipping is super fast")</f>
        <v>our saint bernard was recently diagnosed with gastroparesis and needed limited ingredient treats hills makes a line of them that petflow has a great variety of at great prices shipping is super fast</v>
      </c>
      <c r="H2266" s="4" t="str">
        <f t="shared" si="1"/>
        <v>our saint bernard was recently diagnosed with gastroparesis needed limited ingredient treats hills makes a line of them that petflow has a great variety of at great prices shipping super fast</v>
      </c>
      <c r="I2266" s="6">
        <f t="shared" si="2"/>
        <v>31</v>
      </c>
      <c r="J2266" s="6">
        <f>IFERROR(__xludf.DUMMYFUNCTION("IF(H2266="""","""",
SUM(
ARRAYFORMULA(
IF(
REGEXMATCH(
"" ""&amp;H2266&amp;"" "",
"" ""&amp;Sentiment_Words!A$2:A3730&amp;"" ""
),
1,
0
)
)
)
)"),2.0)</f>
        <v>2</v>
      </c>
      <c r="K2266" s="4">
        <f>IFERROR(__xludf.DUMMYFUNCTION("IF(H2266="""","""",
SUM(
ARRAYFORMULA(
IF(
REGEXMATCH(
"" ""&amp;H2266&amp;"" "",
"" ""&amp;Sentiment_Words!B$2:B3730&amp;"" ""
),
1,
0
)
)
)
)"),0.0)</f>
        <v>0</v>
      </c>
      <c r="L2266" s="7" t="str">
        <f t="shared" si="3"/>
        <v>Other</v>
      </c>
      <c r="M2266" s="7" t="str">
        <f t="shared" si="4"/>
        <v>Positive</v>
      </c>
      <c r="N2266" s="7" t="str">
        <f>IFERROR(__xludf.DUMMYFUNCTION("LOWER(
TRIM(
REGEXREPLACE(B2266,""[^a-zA-Z\s]"","""")
)
)
"),"ann knauer")</f>
        <v>ann knauer</v>
      </c>
      <c r="O2266" s="7">
        <f t="shared" si="5"/>
        <v>1</v>
      </c>
      <c r="P2266" s="8" t="str">
        <f t="shared" si="6"/>
        <v>No</v>
      </c>
    </row>
    <row r="2267">
      <c r="A2267" s="4" t="s">
        <v>16</v>
      </c>
      <c r="B2267" s="4" t="s">
        <v>6347</v>
      </c>
      <c r="C2267" s="5">
        <v>44704.0</v>
      </c>
      <c r="D2267" s="5">
        <v>44704.0</v>
      </c>
      <c r="E2267" s="4" t="s">
        <v>1387</v>
      </c>
      <c r="F2267" s="4" t="s">
        <v>6348</v>
      </c>
      <c r="G2267" s="6" t="str">
        <f>IFERROR(__xludf.DUMMYFUNCTION("REGEXREPLACE(LOWER(F2267),""[^a-z\s]"","""")"),"excellent service
thank you")</f>
        <v>excellent service
thank you</v>
      </c>
      <c r="H2267" s="4" t="str">
        <f t="shared" si="1"/>
        <v>excellent service
thank you</v>
      </c>
      <c r="I2267" s="6">
        <f t="shared" si="2"/>
        <v>3</v>
      </c>
      <c r="J2267" s="6">
        <f>IFERROR(__xludf.DUMMYFUNCTION("IF(H2267="""","""",
SUM(
ARRAYFORMULA(
IF(
REGEXMATCH(
"" ""&amp;H2267&amp;"" "",
"" ""&amp;Sentiment_Words!A$2:A3730&amp;"" ""
),
1,
0
)
)
)
)"),0.0)</f>
        <v>0</v>
      </c>
      <c r="K2267" s="4">
        <f>IFERROR(__xludf.DUMMYFUNCTION("IF(H2267="""","""",
SUM(
ARRAYFORMULA(
IF(
REGEXMATCH(
"" ""&amp;H2267&amp;"" "",
"" ""&amp;Sentiment_Words!B$2:B3730&amp;"" ""
),
1,
0
)
)
)
)"),0.0)</f>
        <v>0</v>
      </c>
      <c r="L2267" s="7" t="str">
        <f t="shared" si="3"/>
        <v>Customer Support</v>
      </c>
      <c r="M2267" s="7" t="str">
        <f t="shared" si="4"/>
        <v>Neutral</v>
      </c>
      <c r="N2267" s="7" t="str">
        <f>IFERROR(__xludf.DUMMYFUNCTION("LOWER(
TRIM(
REGEXREPLACE(B2267,""[^a-zA-Z\s]"","""")
)
)
"),"georgann")</f>
        <v>georgann</v>
      </c>
      <c r="O2267" s="7">
        <f t="shared" si="5"/>
        <v>1</v>
      </c>
      <c r="P2267" s="8" t="str">
        <f t="shared" si="6"/>
        <v>No</v>
      </c>
    </row>
    <row r="2268">
      <c r="A2268" s="4" t="s">
        <v>16</v>
      </c>
      <c r="B2268" s="4" t="s">
        <v>6349</v>
      </c>
      <c r="C2268" s="5">
        <v>44704.0</v>
      </c>
      <c r="D2268" s="5">
        <v>44704.0</v>
      </c>
      <c r="E2268" s="4" t="s">
        <v>6350</v>
      </c>
      <c r="F2268" s="4" t="s">
        <v>6351</v>
      </c>
      <c r="G2268" s="6" t="str">
        <f>IFERROR(__xludf.DUMMYFUNCTION("REGEXREPLACE(LOWER(F2268),""[^a-z\s]"","""")"),"i have ordered only once from flowpet but so far so good and on that note i will give them  stars there was a good variety with good prices and the order came more quickly than i expected i expect i will be shopping there more")</f>
        <v>i have ordered only once from flowpet but so far so good and on that note i will give them  stars there was a good variety with good prices and the order came more quickly than i expected i expect i will be shopping there more</v>
      </c>
      <c r="H2268" s="4" t="str">
        <f t="shared" si="1"/>
        <v>i have ordered only once from flowpet but so far so good on that note i will give them stars there was a good variety with good prices order came more quickly than i expected i expect i will be shopping there more</v>
      </c>
      <c r="I2268" s="6">
        <f t="shared" si="2"/>
        <v>43</v>
      </c>
      <c r="J2268" s="6">
        <f>IFERROR(__xludf.DUMMYFUNCTION("IF(H2268="""","""",
SUM(
ARRAYFORMULA(
IF(
REGEXMATCH(
"" ""&amp;H2268&amp;"" "",
"" ""&amp;Sentiment_Words!A$2:A3730&amp;"" ""
),
1,
0
)
)
)
)"),1.0)</f>
        <v>1</v>
      </c>
      <c r="K2268" s="4">
        <f>IFERROR(__xludf.DUMMYFUNCTION("IF(H2268="""","""",
SUM(
ARRAYFORMULA(
IF(
REGEXMATCH(
"" ""&amp;H2268&amp;"" "",
"" ""&amp;Sentiment_Words!B$2:B3730&amp;"" ""
),
1,
0
)
)
)
)"),0.0)</f>
        <v>0</v>
      </c>
      <c r="L2268" s="7" t="str">
        <f t="shared" si="3"/>
        <v>Other</v>
      </c>
      <c r="M2268" s="7" t="str">
        <f t="shared" si="4"/>
        <v>Positive</v>
      </c>
      <c r="N2268" s="7" t="str">
        <f>IFERROR(__xludf.DUMMYFUNCTION("LOWER(
TRIM(
REGEXREPLACE(B2268,""[^a-zA-Z\s]"","""")
)
)
"),"kate kenner")</f>
        <v>kate kenner</v>
      </c>
      <c r="O2268" s="7">
        <f t="shared" si="5"/>
        <v>1</v>
      </c>
      <c r="P2268" s="8" t="str">
        <f t="shared" si="6"/>
        <v>No</v>
      </c>
    </row>
    <row r="2269">
      <c r="A2269" s="4" t="s">
        <v>16</v>
      </c>
      <c r="B2269" s="4" t="s">
        <v>6352</v>
      </c>
      <c r="C2269" s="5">
        <v>44704.0</v>
      </c>
      <c r="D2269" s="5">
        <v>44704.0</v>
      </c>
      <c r="E2269" s="4" t="s">
        <v>423</v>
      </c>
      <c r="F2269" s="4" t="s">
        <v>6353</v>
      </c>
      <c r="G2269" s="6" t="str">
        <f>IFERROR(__xludf.DUMMYFUNCTION("REGEXREPLACE(LOWER(F2269),""[^a-z\s]"","""")"),"fast shipping easy to get in contact with them if you have questions")</f>
        <v>fast shipping easy to get in contact with them if you have questions</v>
      </c>
      <c r="H2269" s="4" t="str">
        <f t="shared" si="1"/>
        <v>fast shipping easy get in contact with them if you have questions</v>
      </c>
      <c r="I2269" s="6">
        <f t="shared" si="2"/>
        <v>12</v>
      </c>
      <c r="J2269" s="6">
        <f>IFERROR(__xludf.DUMMYFUNCTION("IF(H2269="""","""",
SUM(
ARRAYFORMULA(
IF(
REGEXMATCH(
"" ""&amp;H2269&amp;"" "",
"" ""&amp;Sentiment_Words!A$2:A3730&amp;"" ""
),
1,
0
)
)
)
)"),2.0)</f>
        <v>2</v>
      </c>
      <c r="K2269" s="4">
        <f>IFERROR(__xludf.DUMMYFUNCTION("IF(H2269="""","""",
SUM(
ARRAYFORMULA(
IF(
REGEXMATCH(
"" ""&amp;H2269&amp;"" "",
"" ""&amp;Sentiment_Words!B$2:B3730&amp;"" ""
),
1,
0
)
)
)
)"),0.0)</f>
        <v>0</v>
      </c>
      <c r="L2269" s="7" t="str">
        <f t="shared" si="3"/>
        <v>Other</v>
      </c>
      <c r="M2269" s="7" t="str">
        <f t="shared" si="4"/>
        <v>Positive</v>
      </c>
      <c r="N2269" s="7" t="str">
        <f>IFERROR(__xludf.DUMMYFUNCTION("LOWER(
TRIM(
REGEXREPLACE(B2269,""[^a-zA-Z\s]"","""")
)
)
"),"samantha pousson")</f>
        <v>samantha pousson</v>
      </c>
      <c r="O2269" s="7">
        <f t="shared" si="5"/>
        <v>1</v>
      </c>
      <c r="P2269" s="8" t="str">
        <f t="shared" si="6"/>
        <v>No</v>
      </c>
    </row>
    <row r="2270">
      <c r="A2270" s="4" t="s">
        <v>16</v>
      </c>
      <c r="B2270" s="4" t="s">
        <v>6354</v>
      </c>
      <c r="C2270" s="5">
        <v>44704.0</v>
      </c>
      <c r="D2270" s="5">
        <v>44704.0</v>
      </c>
      <c r="E2270" s="4" t="s">
        <v>6355</v>
      </c>
      <c r="F2270" s="4" t="s">
        <v>6356</v>
      </c>
      <c r="G2270" s="6" t="str">
        <f>IFERROR(__xludf.DUMMYFUNCTION("REGEXREPLACE(LOWER(F2270),""[^a-z\s]"","""")"),"ordered special diet  days and nothing had to order chewy  got it in  days")</f>
        <v>ordered special diet  days and nothing had to order chewy  got it in  days</v>
      </c>
      <c r="H2270" s="4" t="str">
        <f t="shared" si="1"/>
        <v>ordered special diet days nothing had order chewy got it in days</v>
      </c>
      <c r="I2270" s="6">
        <f t="shared" si="2"/>
        <v>12</v>
      </c>
      <c r="J2270" s="6">
        <f>IFERROR(__xludf.DUMMYFUNCTION("IF(H2270="""","""",
SUM(
ARRAYFORMULA(
IF(
REGEXMATCH(
"" ""&amp;H2270&amp;"" "",
"" ""&amp;Sentiment_Words!A$2:A3730&amp;"" ""
),
1,
0
)
)
)
)"),0.0)</f>
        <v>0</v>
      </c>
      <c r="K2270" s="4">
        <f>IFERROR(__xludf.DUMMYFUNCTION("IF(H2270="""","""",
SUM(
ARRAYFORMULA(
IF(
REGEXMATCH(
"" ""&amp;H2270&amp;"" "",
"" ""&amp;Sentiment_Words!B$2:B3730&amp;"" ""
),
1,
0
)
)
)
)"),0.0)</f>
        <v>0</v>
      </c>
      <c r="L2270" s="7" t="str">
        <f t="shared" si="3"/>
        <v>Other</v>
      </c>
      <c r="M2270" s="7" t="str">
        <f t="shared" si="4"/>
        <v>Neutral</v>
      </c>
      <c r="N2270" s="7" t="str">
        <f>IFERROR(__xludf.DUMMYFUNCTION("LOWER(
TRIM(
REGEXREPLACE(B2270,""[^a-zA-Z\s]"","""")
)
)
"),"jeff thomas")</f>
        <v>jeff thomas</v>
      </c>
      <c r="O2270" s="7">
        <f t="shared" si="5"/>
        <v>1</v>
      </c>
      <c r="P2270" s="8" t="str">
        <f t="shared" si="6"/>
        <v>No</v>
      </c>
    </row>
    <row r="2271">
      <c r="A2271" s="4" t="s">
        <v>16</v>
      </c>
      <c r="B2271" s="4" t="s">
        <v>6357</v>
      </c>
      <c r="C2271" s="5">
        <v>44704.0</v>
      </c>
      <c r="D2271" s="5">
        <v>44704.0</v>
      </c>
      <c r="E2271" s="4" t="s">
        <v>6358</v>
      </c>
      <c r="F2271" s="4" t="s">
        <v>6359</v>
      </c>
      <c r="G2271" s="6" t="str">
        <f>IFERROR(__xludf.DUMMYFUNCTION("REGEXREPLACE(LOWER(F2271),""[^a-z\s]"","""")"),"very friendly and knowledgeable people at petflow willing to go the extra mile to help")</f>
        <v>very friendly and knowledgeable people at petflow willing to go the extra mile to help</v>
      </c>
      <c r="H2271" s="4" t="str">
        <f t="shared" si="1"/>
        <v>very friendly knowledgeable people at petflow willing go extra mile help</v>
      </c>
      <c r="I2271" s="6">
        <f t="shared" si="2"/>
        <v>11</v>
      </c>
      <c r="J2271" s="6">
        <f>IFERROR(__xludf.DUMMYFUNCTION("IF(H2271="""","""",
SUM(
ARRAYFORMULA(
IF(
REGEXMATCH(
"" ""&amp;H2271&amp;"" "",
"" ""&amp;Sentiment_Words!A$2:A3730&amp;"" ""
),
1,
0
)
)
)
)"),0.0)</f>
        <v>0</v>
      </c>
      <c r="K2271" s="4">
        <f>IFERROR(__xludf.DUMMYFUNCTION("IF(H2271="""","""",
SUM(
ARRAYFORMULA(
IF(
REGEXMATCH(
"" ""&amp;H2271&amp;"" "",
"" ""&amp;Sentiment_Words!B$2:B3730&amp;"" ""
),
1,
0
)
)
)
)"),0.0)</f>
        <v>0</v>
      </c>
      <c r="L2271" s="7" t="str">
        <f t="shared" si="3"/>
        <v>Other</v>
      </c>
      <c r="M2271" s="7" t="str">
        <f t="shared" si="4"/>
        <v>Neutral</v>
      </c>
      <c r="N2271" s="7" t="str">
        <f>IFERROR(__xludf.DUMMYFUNCTION("LOWER(
TRIM(
REGEXREPLACE(B2271,""[^a-zA-Z\s]"","""")
)
)
"),"michelle daoust")</f>
        <v>michelle daoust</v>
      </c>
      <c r="O2271" s="7">
        <f t="shared" si="5"/>
        <v>1</v>
      </c>
      <c r="P2271" s="8" t="str">
        <f t="shared" si="6"/>
        <v>No</v>
      </c>
    </row>
    <row r="2272">
      <c r="A2272" s="4" t="s">
        <v>16</v>
      </c>
      <c r="B2272" s="4" t="s">
        <v>6360</v>
      </c>
      <c r="C2272" s="5">
        <v>44703.0</v>
      </c>
      <c r="D2272" s="5">
        <v>44703.0</v>
      </c>
      <c r="E2272" s="4" t="s">
        <v>6361</v>
      </c>
      <c r="F2272" s="4" t="s">
        <v>6362</v>
      </c>
      <c r="G2272" s="6" t="str">
        <f>IFERROR(__xludf.DUMMYFUNCTION("REGEXREPLACE(LOWER(F2272),""[^a-z\s]"","""")"),"it is easy to change my order the staff is always easy to communicate with they are alice there to help me when i run out of food my goldens sometimes have friends over for the week")</f>
        <v>it is easy to change my order the staff is always easy to communicate with they are alice there to help me when i run out of food my goldens sometimes have friends over for the week</v>
      </c>
      <c r="H2272" s="4" t="str">
        <f t="shared" si="1"/>
        <v>it easy change my order staff always easy communicate with they are alice there help me when i run out of food my goldens sometimes have friends over week</v>
      </c>
      <c r="I2272" s="6">
        <f t="shared" si="2"/>
        <v>29</v>
      </c>
      <c r="J2272" s="6">
        <f>IFERROR(__xludf.DUMMYFUNCTION("IF(H2272="""","""",
SUM(
ARRAYFORMULA(
IF(
REGEXMATCH(
"" ""&amp;H2272&amp;"" "",
"" ""&amp;Sentiment_Words!A$2:A3730&amp;"" ""
),
1,
0
)
)
)
)"),1.0)</f>
        <v>1</v>
      </c>
      <c r="K2272" s="4">
        <f>IFERROR(__xludf.DUMMYFUNCTION("IF(H2272="""","""",
SUM(
ARRAYFORMULA(
IF(
REGEXMATCH(
"" ""&amp;H2272&amp;"" "",
"" ""&amp;Sentiment_Words!B$2:B3730&amp;"" ""
),
1,
0
)
)
)
)"),0.0)</f>
        <v>0</v>
      </c>
      <c r="L2272" s="7" t="str">
        <f t="shared" si="3"/>
        <v>Other</v>
      </c>
      <c r="M2272" s="7" t="str">
        <f t="shared" si="4"/>
        <v>Positive</v>
      </c>
      <c r="N2272" s="7" t="str">
        <f>IFERROR(__xludf.DUMMYFUNCTION("LOWER(
TRIM(
REGEXREPLACE(B2272,""[^a-zA-Z\s]"","""")
)
)
"),"colleen wagoner")</f>
        <v>colleen wagoner</v>
      </c>
      <c r="O2272" s="7">
        <f t="shared" si="5"/>
        <v>1</v>
      </c>
      <c r="P2272" s="8" t="str">
        <f t="shared" si="6"/>
        <v>No</v>
      </c>
    </row>
    <row r="2273">
      <c r="A2273" s="4" t="s">
        <v>16</v>
      </c>
      <c r="B2273" s="4" t="s">
        <v>6363</v>
      </c>
      <c r="C2273" s="5">
        <v>44703.0</v>
      </c>
      <c r="D2273" s="5">
        <v>44703.0</v>
      </c>
      <c r="E2273" s="4" t="s">
        <v>6364</v>
      </c>
      <c r="F2273" s="4" t="s">
        <v>6365</v>
      </c>
      <c r="G2273" s="6" t="str">
        <f>IFERROR(__xludf.DUMMYFUNCTION("REGEXREPLACE(LOWER(F2273),""[^a-z\s]"","""")"),"so happy you carry fromm my dog thrive on this food i love the convenience of delivery to my door the best part is shipping is included")</f>
        <v>so happy you carry fromm my dog thrive on this food i love the convenience of delivery to my door the best part is shipping is included</v>
      </c>
      <c r="H2273" s="4" t="str">
        <f t="shared" si="1"/>
        <v>so happy you carry fromm my dog thrive on this food i love convenience of delivery my door best part shipping included</v>
      </c>
      <c r="I2273" s="6">
        <f t="shared" si="2"/>
        <v>22</v>
      </c>
      <c r="J2273" s="6">
        <f>IFERROR(__xludf.DUMMYFUNCTION("IF(H2273="""","""",
SUM(
ARRAYFORMULA(
IF(
REGEXMATCH(
"" ""&amp;H2273&amp;"" "",
"" ""&amp;Sentiment_Words!A$2:A3730&amp;"" ""
),
1,
0
)
)
)
)"),2.0)</f>
        <v>2</v>
      </c>
      <c r="K2273" s="4">
        <f>IFERROR(__xludf.DUMMYFUNCTION("IF(H2273="""","""",
SUM(
ARRAYFORMULA(
IF(
REGEXMATCH(
"" ""&amp;H2273&amp;"" "",
"" ""&amp;Sentiment_Words!B$2:B3730&amp;"" ""
),
1,
0
)
)
)
)"),0.0)</f>
        <v>0</v>
      </c>
      <c r="L2273" s="7" t="str">
        <f t="shared" si="3"/>
        <v>Other</v>
      </c>
      <c r="M2273" s="7" t="str">
        <f t="shared" si="4"/>
        <v>Positive</v>
      </c>
      <c r="N2273" s="7" t="str">
        <f>IFERROR(__xludf.DUMMYFUNCTION("LOWER(
TRIM(
REGEXREPLACE(B2273,""[^a-zA-Z\s]"","""")
)
)
"),"marcelline fredette")</f>
        <v>marcelline fredette</v>
      </c>
      <c r="O2273" s="7">
        <f t="shared" si="5"/>
        <v>1</v>
      </c>
      <c r="P2273" s="8" t="str">
        <f t="shared" si="6"/>
        <v>No</v>
      </c>
    </row>
    <row r="2274">
      <c r="A2274" s="4" t="s">
        <v>16</v>
      </c>
      <c r="B2274" s="4" t="s">
        <v>6201</v>
      </c>
      <c r="C2274" s="5">
        <v>44703.0</v>
      </c>
      <c r="D2274" s="5">
        <v>44703.0</v>
      </c>
      <c r="E2274" s="4" t="s">
        <v>6366</v>
      </c>
      <c r="F2274" s="4" t="s">
        <v>6367</v>
      </c>
      <c r="G2274" s="6" t="str">
        <f>IFERROR(__xludf.DUMMYFUNCTION("REGEXREPLACE(LOWER(F2274),""[^a-z\s]"","""")"),"i placed my order from canada and dealt with a customer service rep she was very friendly helpful and efficient my order was delivered very quickly to a parcel receiver in bellingham wa i am very satisfied with petflow")</f>
        <v>i placed my order from canada and dealt with a customer service rep she was very friendly helpful and efficient my order was delivered very quickly to a parcel receiver in bellingham wa i am very satisfied with petflow</v>
      </c>
      <c r="H2274" s="4" t="str">
        <f t="shared" si="1"/>
        <v>i placed my order from canada dealt with a customer service rep she was very friendly helpful efficient my order was delivered very quickly a parcel receiver in bellingham wa i am very satisfied with petflow</v>
      </c>
      <c r="I2274" s="6">
        <f t="shared" si="2"/>
        <v>36</v>
      </c>
      <c r="J2274" s="6">
        <f>IFERROR(__xludf.DUMMYFUNCTION("IF(H2274="""","""",
SUM(
ARRAYFORMULA(
IF(
REGEXMATCH(
"" ""&amp;H2274&amp;"" "",
"" ""&amp;Sentiment_Words!A$2:A3730&amp;"" ""
),
1,
0
)
)
)
)"),4.0)</f>
        <v>4</v>
      </c>
      <c r="K2274" s="4">
        <f>IFERROR(__xludf.DUMMYFUNCTION("IF(H2274="""","""",
SUM(
ARRAYFORMULA(
IF(
REGEXMATCH(
"" ""&amp;H2274&amp;"" "",
"" ""&amp;Sentiment_Words!B$2:B3730&amp;"" ""
),
1,
0
)
)
)
)"),1.0)</f>
        <v>1</v>
      </c>
      <c r="L2274" s="7" t="str">
        <f t="shared" si="3"/>
        <v>Customer Support</v>
      </c>
      <c r="M2274" s="7" t="str">
        <f t="shared" si="4"/>
        <v>Positive</v>
      </c>
      <c r="N2274" s="7" t="str">
        <f>IFERROR(__xludf.DUMMYFUNCTION("LOWER(
TRIM(
REGEXREPLACE(B2274,""[^a-zA-Z\s]"","""")
)
)
"),"daniel")</f>
        <v>daniel</v>
      </c>
      <c r="O2274" s="7">
        <f t="shared" si="5"/>
        <v>3</v>
      </c>
      <c r="P2274" s="8" t="str">
        <f t="shared" si="6"/>
        <v>Yes</v>
      </c>
    </row>
    <row r="2275">
      <c r="A2275" s="4" t="s">
        <v>16</v>
      </c>
      <c r="B2275" s="4" t="s">
        <v>6368</v>
      </c>
      <c r="C2275" s="5">
        <v>44703.0</v>
      </c>
      <c r="D2275" s="5">
        <v>44703.0</v>
      </c>
      <c r="E2275" s="4" t="s">
        <v>6369</v>
      </c>
      <c r="F2275" s="4" t="s">
        <v>6370</v>
      </c>
      <c r="G2275" s="6" t="str">
        <f>IFERROR(__xludf.DUMMYFUNCTION("REGEXREPLACE(LOWER(F2275),""[^a-z\s]"","""")"),"ms jessie at petflow was extremely helpful in fulfilling my order she was knowledgeable pleasant and very efficient i am very satisfied with the service i got")</f>
        <v>ms jessie at petflow was extremely helpful in fulfilling my order she was knowledgeable pleasant and very efficient i am very satisfied with the service i got</v>
      </c>
      <c r="H2275" s="4" t="str">
        <f t="shared" si="1"/>
        <v>ms jessie at petflow was extremely helpful in fulfilling my order she was knowledgeable pleasant very efficient i am very satisfied with service i got</v>
      </c>
      <c r="I2275" s="6">
        <f t="shared" si="2"/>
        <v>25</v>
      </c>
      <c r="J2275" s="6">
        <f>IFERROR(__xludf.DUMMYFUNCTION("IF(H2275="""","""",
SUM(
ARRAYFORMULA(
IF(
REGEXMATCH(
"" ""&amp;H2275&amp;"" "",
"" ""&amp;Sentiment_Words!A$2:A3730&amp;"" ""
),
1,
0
)
)
)
)"),3.0)</f>
        <v>3</v>
      </c>
      <c r="K2275" s="4">
        <f>IFERROR(__xludf.DUMMYFUNCTION("IF(H2275="""","""",
SUM(
ARRAYFORMULA(
IF(
REGEXMATCH(
"" ""&amp;H2275&amp;"" "",
"" ""&amp;Sentiment_Words!B$2:B3730&amp;"" ""
),
1,
0
)
)
)
)"),0.0)</f>
        <v>0</v>
      </c>
      <c r="L2275" s="7" t="str">
        <f t="shared" si="3"/>
        <v>Customer Support</v>
      </c>
      <c r="M2275" s="7" t="str">
        <f t="shared" si="4"/>
        <v>Positive</v>
      </c>
      <c r="N2275" s="7" t="str">
        <f>IFERROR(__xludf.DUMMYFUNCTION("LOWER(
TRIM(
REGEXREPLACE(B2275,""[^a-zA-Z\s]"","""")
)
)
"),"betsy")</f>
        <v>betsy</v>
      </c>
      <c r="O2275" s="7">
        <f t="shared" si="5"/>
        <v>2</v>
      </c>
      <c r="P2275" s="8" t="str">
        <f t="shared" si="6"/>
        <v>Yes</v>
      </c>
    </row>
    <row r="2276">
      <c r="A2276" s="4" t="s">
        <v>16</v>
      </c>
      <c r="B2276" s="4" t="s">
        <v>6371</v>
      </c>
      <c r="C2276" s="5">
        <v>44703.0</v>
      </c>
      <c r="D2276" s="5">
        <v>44703.0</v>
      </c>
      <c r="E2276" s="4" t="s">
        <v>6372</v>
      </c>
      <c r="F2276" s="4" t="s">
        <v>6373</v>
      </c>
      <c r="G2276" s="6" t="str">
        <f>IFERROR(__xludf.DUMMYFUNCTION("REGEXREPLACE(LOWER(F2276),""[^a-z\s]"","""")"),"always ships quickly and arrives promptly you can trust petflow to handle your order right")</f>
        <v>always ships quickly and arrives promptly you can trust petflow to handle your order right</v>
      </c>
      <c r="H2276" s="4" t="str">
        <f t="shared" si="1"/>
        <v>always ships quickly arrives promptly you can trust petflow handle your order right</v>
      </c>
      <c r="I2276" s="6">
        <f t="shared" si="2"/>
        <v>13</v>
      </c>
      <c r="J2276" s="6">
        <f>IFERROR(__xludf.DUMMYFUNCTION("IF(H2276="""","""",
SUM(
ARRAYFORMULA(
IF(
REGEXMATCH(
"" ""&amp;H2276&amp;"" "",
"" ""&amp;Sentiment_Words!A$2:A3730&amp;"" ""
),
1,
0
)
)
)
)"),0.0)</f>
        <v>0</v>
      </c>
      <c r="K2276" s="4">
        <f>IFERROR(__xludf.DUMMYFUNCTION("IF(H2276="""","""",
SUM(
ARRAYFORMULA(
IF(
REGEXMATCH(
"" ""&amp;H2276&amp;"" "",
"" ""&amp;Sentiment_Words!B$2:B3730&amp;"" ""
),
1,
0
)
)
)
)"),0.0)</f>
        <v>0</v>
      </c>
      <c r="L2276" s="7" t="str">
        <f t="shared" si="3"/>
        <v>Trust &amp; Experience</v>
      </c>
      <c r="M2276" s="7" t="str">
        <f t="shared" si="4"/>
        <v>Neutral</v>
      </c>
      <c r="N2276" s="7" t="str">
        <f>IFERROR(__xludf.DUMMYFUNCTION("LOWER(
TRIM(
REGEXREPLACE(B2276,""[^a-zA-Z\s]"","""")
)
)
"),"k carpenter")</f>
        <v>k carpenter</v>
      </c>
      <c r="O2276" s="7">
        <f t="shared" si="5"/>
        <v>1</v>
      </c>
      <c r="P2276" s="8" t="str">
        <f t="shared" si="6"/>
        <v>No</v>
      </c>
    </row>
    <row r="2277">
      <c r="A2277" s="4" t="s">
        <v>16</v>
      </c>
      <c r="B2277" s="4" t="s">
        <v>6374</v>
      </c>
      <c r="C2277" s="5">
        <v>44703.0</v>
      </c>
      <c r="D2277" s="5">
        <v>44703.0</v>
      </c>
      <c r="E2277" s="4" t="s">
        <v>6375</v>
      </c>
      <c r="F2277" s="4" t="s">
        <v>6376</v>
      </c>
      <c r="G2277" s="6" t="str">
        <f>IFERROR(__xludf.DUMMYFUNCTION("REGEXREPLACE(LOWER(F2277),""[^a-z\s]"","""")"),"took way to long to get here this was a cat food order and im use to getting it at least in a couple days when i order from amazon or chewy not sure ill order from them again")</f>
        <v>took way to long to get here this was a cat food order and im use to getting it at least in a couple days when i order from amazon or chewy not sure ill order from them again</v>
      </c>
      <c r="H2277" s="4" t="str">
        <f t="shared" si="1"/>
        <v>took way long get here this was a cat food order im use getting it at least in a couple days when i order from amazon or chewy not sure ill order from them again</v>
      </c>
      <c r="I2277" s="6">
        <f t="shared" si="2"/>
        <v>35</v>
      </c>
      <c r="J2277" s="6">
        <f>IFERROR(__xludf.DUMMYFUNCTION("IF(H2277="""","""",
SUM(
ARRAYFORMULA(
IF(
REGEXMATCH(
"" ""&amp;H2277&amp;"" "",
"" ""&amp;Sentiment_Words!A$2:A3730&amp;"" ""
),
1,
0
)
)
)
)"),0.0)</f>
        <v>0</v>
      </c>
      <c r="K2277" s="4">
        <f>IFERROR(__xludf.DUMMYFUNCTION("IF(H2277="""","""",
SUM(
ARRAYFORMULA(
IF(
REGEXMATCH(
"" ""&amp;H2277&amp;"" "",
"" ""&amp;Sentiment_Words!B$2:B3730&amp;"" ""
),
1,
0
)
)
)
)"),0.0)</f>
        <v>0</v>
      </c>
      <c r="L2277" s="7" t="str">
        <f t="shared" si="3"/>
        <v>Other</v>
      </c>
      <c r="M2277" s="7" t="str">
        <f t="shared" si="4"/>
        <v>Neutral</v>
      </c>
      <c r="N2277" s="7" t="str">
        <f>IFERROR(__xludf.DUMMYFUNCTION("LOWER(
TRIM(
REGEXREPLACE(B2277,""[^a-zA-Z\s]"","""")
)
)
"),"linda nichols")</f>
        <v>linda nichols</v>
      </c>
      <c r="O2277" s="7">
        <f t="shared" si="5"/>
        <v>1</v>
      </c>
      <c r="P2277" s="8" t="str">
        <f t="shared" si="6"/>
        <v>No</v>
      </c>
    </row>
    <row r="2278">
      <c r="A2278" s="4" t="s">
        <v>16</v>
      </c>
      <c r="B2278" s="4" t="s">
        <v>6377</v>
      </c>
      <c r="C2278" s="5">
        <v>44703.0</v>
      </c>
      <c r="D2278" s="5">
        <v>44703.0</v>
      </c>
      <c r="E2278" s="4" t="s">
        <v>6378</v>
      </c>
      <c r="F2278" s="4" t="s">
        <v>6379</v>
      </c>
      <c r="G2278" s="6" t="str">
        <f>IFERROR(__xludf.DUMMYFUNCTION("REGEXREPLACE(LOWER(F2278),""[^a-z\s]"","""")"),"this is a great company good selection of products and at fair and reasonable prices including shipping costs delivery is very timely while so many firms are still using the pandemic as an excuse to pricegouge it is so refreshing and a pleasure to deal wi"&amp;"th petflow this is the only company i purchase my pets products from")</f>
        <v>this is a great company good selection of products and at fair and reasonable prices including shipping costs delivery is very timely while so many firms are still using the pandemic as an excuse to pricegouge it is so refreshing and a pleasure to deal with petflow this is the only company i purchase my pets products from</v>
      </c>
      <c r="H2278" s="4" t="str">
        <f t="shared" si="1"/>
        <v>this a great company good selection of products at fair reasonable prices including shipping costs delivery very timely while so many firms are still using pandemic as an excuse pricegouge it so refreshing a pleasure deal with petflow this only company i purchase my pets products from</v>
      </c>
      <c r="I2278" s="6">
        <f t="shared" si="2"/>
        <v>47</v>
      </c>
      <c r="J2278" s="6">
        <f>IFERROR(__xludf.DUMMYFUNCTION("IF(H2278="""","""",
SUM(
ARRAYFORMULA(
IF(
REGEXMATCH(
"" ""&amp;H2278&amp;"" "",
"" ""&amp;Sentiment_Words!A$2:A3730&amp;"" ""
),
1,
0
)
)
)
)"),2.0)</f>
        <v>2</v>
      </c>
      <c r="K2278" s="4">
        <f>IFERROR(__xludf.DUMMYFUNCTION("IF(H2278="""","""",
SUM(
ARRAYFORMULA(
IF(
REGEXMATCH(
"" ""&amp;H2278&amp;"" "",
"" ""&amp;Sentiment_Words!B$2:B3730&amp;"" ""
),
1,
0
)
)
)
)"),0.0)</f>
        <v>0</v>
      </c>
      <c r="L2278" s="7" t="str">
        <f t="shared" si="3"/>
        <v>Other</v>
      </c>
      <c r="M2278" s="7" t="str">
        <f t="shared" si="4"/>
        <v>Positive</v>
      </c>
      <c r="N2278" s="7" t="str">
        <f>IFERROR(__xludf.DUMMYFUNCTION("LOWER(
TRIM(
REGEXREPLACE(B2278,""[^a-zA-Z\s]"","""")
)
)
"),"linda hensley")</f>
        <v>linda hensley</v>
      </c>
      <c r="O2278" s="7">
        <f t="shared" si="5"/>
        <v>1</v>
      </c>
      <c r="P2278" s="8" t="str">
        <f t="shared" si="6"/>
        <v>No</v>
      </c>
    </row>
    <row r="2279">
      <c r="A2279" s="4" t="s">
        <v>16</v>
      </c>
      <c r="B2279" s="4" t="s">
        <v>6380</v>
      </c>
      <c r="C2279" s="5">
        <v>44702.0</v>
      </c>
      <c r="D2279" s="5">
        <v>44702.0</v>
      </c>
      <c r="E2279" s="4" t="s">
        <v>6381</v>
      </c>
      <c r="F2279" s="4" t="s">
        <v>6382</v>
      </c>
      <c r="G2279" s="6" t="str">
        <f>IFERROR(__xludf.DUMMYFUNCTION("REGEXREPLACE(LOWER(F2279),""[^a-z\s]"","""")"),"have been waiting in my prescription for a month and still havent received sent in digital and paper copy that still had problem with them verifying and actually sending the prescription so frustrating would not recommend vetsource for pet prescriptions h"&amp;"oping to get my order one day")</f>
        <v>have been waiting in my prescription for a month and still havent received sent in digital and paper copy that still had problem with them verifying and actually sending the prescription so frustrating would not recommend vetsource for pet prescriptions hoping to get my order one day</v>
      </c>
      <c r="H2279" s="4" t="str">
        <f t="shared" si="1"/>
        <v>have been waiting in my prescription a month still havent received sent in digital paper copy that still had problem with them verifying actually sending prescription so frustrating would not recommend vetsource pet prescriptions hoping get my order one day</v>
      </c>
      <c r="I2279" s="6">
        <f t="shared" si="2"/>
        <v>40</v>
      </c>
      <c r="J2279" s="6">
        <f>IFERROR(__xludf.DUMMYFUNCTION("IF(H2279="""","""",
SUM(
ARRAYFORMULA(
IF(
REGEXMATCH(
"" ""&amp;H2279&amp;"" "",
"" ""&amp;Sentiment_Words!A$2:A3730&amp;"" ""
),
1,
0
)
)
)
)"),0.0)</f>
        <v>0</v>
      </c>
      <c r="K2279" s="4">
        <f>IFERROR(__xludf.DUMMYFUNCTION("IF(H2279="""","""",
SUM(
ARRAYFORMULA(
IF(
REGEXMATCH(
"" ""&amp;H2279&amp;"" "",
"" ""&amp;Sentiment_Words!B$2:B3730&amp;"" ""
),
1,
0
)
)
)
)"),2.0)</f>
        <v>2</v>
      </c>
      <c r="L2279" s="7" t="str">
        <f t="shared" si="3"/>
        <v>Trust &amp; Experience</v>
      </c>
      <c r="M2279" s="7" t="str">
        <f t="shared" si="4"/>
        <v>Negative</v>
      </c>
      <c r="N2279" s="7" t="str">
        <f>IFERROR(__xludf.DUMMYFUNCTION("LOWER(
TRIM(
REGEXREPLACE(B2279,""[^a-zA-Z\s]"","""")
)
)
"),"julie truett")</f>
        <v>julie truett</v>
      </c>
      <c r="O2279" s="7">
        <f t="shared" si="5"/>
        <v>1</v>
      </c>
      <c r="P2279" s="8" t="str">
        <f t="shared" si="6"/>
        <v>No</v>
      </c>
    </row>
    <row r="2280">
      <c r="A2280" s="4" t="s">
        <v>16</v>
      </c>
      <c r="B2280" s="4" t="s">
        <v>6383</v>
      </c>
      <c r="C2280" s="5">
        <v>44702.0</v>
      </c>
      <c r="D2280" s="5">
        <v>44702.0</v>
      </c>
      <c r="E2280" s="4" t="s">
        <v>6384</v>
      </c>
      <c r="F2280" s="4" t="s">
        <v>6385</v>
      </c>
      <c r="G2280" s="6" t="str">
        <f>IFERROR(__xludf.DUMMYFUNCTION("REGEXREPLACE(LOWER(F2280),""[^a-z\s]"","""")"),"my dog is on rx dog food hills science diet dd i decided to start getting it from you i order it  changing flavorsprotein because the one i wanted said out or stock a few days later i havent heard anything so i calltext and im told that it is waiting vet "&amp;"authorization i called my vet and they said they had not received anything and then call you guys back to let you know please send the authorization again because they have not received it a week goes by and still nothing by text and call i am told they a"&amp;"re unsure of what the problem is  you have the rx and show the product in stock and assure me that our dog food will be shipped out very shortly this happens again so i cancel the order i receive a voicemail another week later telling me they have found t"&amp;"he problem apologizing and offering me a  off i called and ask many questions like is the product in stock do you already have my prescription all of which the answer was yes so i decide to reorder once again i am assured that my item will ship within two"&amp;" days and i would get a email confirmation with shipping info when three days go by and i have not gotten an email i check on the order i see that it says waiting on that approval i of course call to find out why since i was told you have already received"&amp;" the prescription and once again the person was not sure you see the problem here is that the vet charges every time they send a prescription so at this time i have paid for my vets approval three times for a product that i have never received not to ment"&amp;"ion that my dogbaby needs to eat")</f>
        <v>my dog is on rx dog food hills science diet dd i decided to start getting it from you i order it  changing flavorsprotein because the one i wanted said out or stock a few days later i havent heard anything so i calltext and im told that it is waiting vet authorization i called my vet and they said they had not received anything and then call you guys back to let you know please send the authorization again because they have not received it a week goes by and still nothing by text and call i am told they are unsure of what the problem is  you have the rx and show the product in stock and assure me that our dog food will be shipped out very shortly this happens again so i cancel the order i receive a voicemail another week later telling me they have found the problem apologizing and offering me a  off i called and ask many questions like is the product in stock do you already have my prescription all of which the answer was yes so i decide to reorder once again i am assured that my item will ship within two days and i would get a email confirmation with shipping info when three days go by and i have not gotten an email i check on the order i see that it says waiting on that approval i of course call to find out why since i was told you have already received the prescription and once again the person was not sure you see the problem here is that the vet charges every time they send a prescription so at this time i have paid for my vets approval three times for a product that i have never received not to mention that my dogbaby needs to eat</v>
      </c>
      <c r="H2280" s="4" t="str">
        <f t="shared" si="1"/>
        <v>my dog on rx dog food hills science diet dd i decided start getting it from you i order it changing flavorsprotein because one i wanted said out or stock a few days later i havent heard anything so i calltext im told that it waiting vet authorization i called my vet they said they had not received anything then call you guys back let you know please send authorization again because they have not received it a week goes by still nothing by text call i am told they are unsure of what problem you have rx show product in stock assure me that our dog food will be shipped out very shortly this happens again so i cancel order i receive a voicemail another week later telling me they have found problem apologizing offering me a off i called ask many questions like product in stock do you already have my prescription all of which answer was yes so i decide reorder once again i am assured that my item will ship within two days i would get a email confirmation with shipping info when three days go by i have not gotten an email i check on order i see that it says waiting on that approval i of course call find out why since i was told you have already received prescription once again person was not sure you see problem here that vet charges every time they send a prescription so at this time i have paid my vets approval three times a product that i have never received not mention that my dogbaby needs eat</v>
      </c>
      <c r="I2280" s="6">
        <f t="shared" si="2"/>
        <v>271</v>
      </c>
      <c r="J2280" s="6">
        <f>IFERROR(__xludf.DUMMYFUNCTION("IF(H2280="""","""",
SUM(
ARRAYFORMULA(
IF(
REGEXMATCH(
"" ""&amp;H2280&amp;"" "",
"" ""&amp;Sentiment_Words!A$2:A3730&amp;"" ""
),
1,
0
)
)
)
)"),1.0)</f>
        <v>1</v>
      </c>
      <c r="K2280" s="4">
        <f>IFERROR(__xludf.DUMMYFUNCTION("IF(H2280="""","""",
SUM(
ARRAYFORMULA(
IF(
REGEXMATCH(
"" ""&amp;H2280&amp;"" "",
"" ""&amp;Sentiment_Words!B$2:B3730&amp;"" ""
),
1,
0
)
)
)
)"),1.0)</f>
        <v>1</v>
      </c>
      <c r="L2280" s="7" t="str">
        <f t="shared" si="3"/>
        <v>Fulfillment &amp; Shipping</v>
      </c>
      <c r="M2280" s="7" t="str">
        <f t="shared" si="4"/>
        <v>Neutral</v>
      </c>
      <c r="N2280" s="7" t="str">
        <f>IFERROR(__xludf.DUMMYFUNCTION("LOWER(
TRIM(
REGEXREPLACE(B2280,""[^a-zA-Z\s]"","""")
)
)
"),"michelle day")</f>
        <v>michelle day</v>
      </c>
      <c r="O2280" s="7">
        <f t="shared" si="5"/>
        <v>1</v>
      </c>
      <c r="P2280" s="8" t="str">
        <f t="shared" si="6"/>
        <v>No</v>
      </c>
    </row>
    <row r="2281">
      <c r="A2281" s="4" t="s">
        <v>16</v>
      </c>
      <c r="B2281" s="4" t="s">
        <v>5578</v>
      </c>
      <c r="C2281" s="5">
        <v>44702.0</v>
      </c>
      <c r="D2281" s="5">
        <v>44702.0</v>
      </c>
      <c r="E2281" s="4" t="s">
        <v>6386</v>
      </c>
      <c r="F2281" s="4" t="s">
        <v>6387</v>
      </c>
      <c r="G2281" s="6" t="str">
        <f>IFERROR(__xludf.DUMMYFUNCTION("REGEXREPLACE(LOWER(F2281),""[^a-z\s]"","""")"),"i have purchased many milk bone pill pocket packets they usually come in  pouches per box which helps to keep them from being crushed in shipment i usually purchase  boxes at a time shipping is slower then other suppliers")</f>
        <v>i have purchased many milk bone pill pocket packets they usually come in  pouches per box which helps to keep them from being crushed in shipment i usually purchase  boxes at a time shipping is slower then other suppliers</v>
      </c>
      <c r="H2281" s="4" t="str">
        <f t="shared" si="1"/>
        <v>i have purchased many milk bone pill pocket packets they usually come in pouches per box which helps keep them from being crushed in shipment i usually purchase boxes at a time shipping slower then other suppliers</v>
      </c>
      <c r="I2281" s="6">
        <f t="shared" si="2"/>
        <v>37</v>
      </c>
      <c r="J2281" s="6">
        <f>IFERROR(__xludf.DUMMYFUNCTION("IF(H2281="""","""",
SUM(
ARRAYFORMULA(
IF(
REGEXMATCH(
"" ""&amp;H2281&amp;"" "",
"" ""&amp;Sentiment_Words!A$2:A3730&amp;"" ""
),
1,
0
)
)
)
)"),0.0)</f>
        <v>0</v>
      </c>
      <c r="K2281" s="4">
        <f>IFERROR(__xludf.DUMMYFUNCTION("IF(H2281="""","""",
SUM(
ARRAYFORMULA(
IF(
REGEXMATCH(
"" ""&amp;H2281&amp;"" "",
"" ""&amp;Sentiment_Words!B$2:B3730&amp;"" ""
),
1,
0
)
)
)
)"),0.0)</f>
        <v>0</v>
      </c>
      <c r="L2281" s="7" t="str">
        <f t="shared" si="3"/>
        <v>Other</v>
      </c>
      <c r="M2281" s="7" t="str">
        <f t="shared" si="4"/>
        <v>Neutral</v>
      </c>
      <c r="N2281" s="7" t="str">
        <f>IFERROR(__xludf.DUMMYFUNCTION("LOWER(
TRIM(
REGEXREPLACE(B2281,""[^a-zA-Z\s]"","""")
)
)
"),"john")</f>
        <v>john</v>
      </c>
      <c r="O2281" s="7">
        <f t="shared" si="5"/>
        <v>7</v>
      </c>
      <c r="P2281" s="8" t="str">
        <f t="shared" si="6"/>
        <v>Yes</v>
      </c>
    </row>
    <row r="2282">
      <c r="A2282" s="4" t="s">
        <v>16</v>
      </c>
      <c r="B2282" s="4" t="s">
        <v>6388</v>
      </c>
      <c r="C2282" s="5">
        <v>44702.0</v>
      </c>
      <c r="D2282" s="5">
        <v>44702.0</v>
      </c>
      <c r="E2282" s="4" t="s">
        <v>6389</v>
      </c>
      <c r="F2282" s="4" t="s">
        <v>6390</v>
      </c>
      <c r="G2282" s="6" t="str">
        <f>IFERROR(__xludf.DUMMYFUNCTION("REGEXREPLACE(LOWER(F2282),""[^a-z\s]"","""")"),"cancelled my order saying supply of product from manufacturer was unavailable so i went to another vendor who had no problem filling my order")</f>
        <v>cancelled my order saying supply of product from manufacturer was unavailable so i went to another vendor who had no problem filling my order</v>
      </c>
      <c r="H2282" s="4" t="str">
        <f t="shared" si="1"/>
        <v>cancelled my order saying supply of product from manufacturer was unavailable so i went another vendor who had no problem filling my order</v>
      </c>
      <c r="I2282" s="6">
        <f t="shared" si="2"/>
        <v>23</v>
      </c>
      <c r="J2282" s="6">
        <f>IFERROR(__xludf.DUMMYFUNCTION("IF(H2282="""","""",
SUM(
ARRAYFORMULA(
IF(
REGEXMATCH(
"" ""&amp;H2282&amp;"" "",
"" ""&amp;Sentiment_Words!A$2:A3730&amp;"" ""
),
1,
0
)
)
)
)"),0.0)</f>
        <v>0</v>
      </c>
      <c r="K2282" s="4">
        <f>IFERROR(__xludf.DUMMYFUNCTION("IF(H2282="""","""",
SUM(
ARRAYFORMULA(
IF(
REGEXMATCH(
"" ""&amp;H2282&amp;"" "",
"" ""&amp;Sentiment_Words!B$2:B3730&amp;"" ""
),
1,
0
)
)
)
)"),3.0)</f>
        <v>3</v>
      </c>
      <c r="L2282" s="7" t="str">
        <f t="shared" si="3"/>
        <v>Availability</v>
      </c>
      <c r="M2282" s="7" t="str">
        <f t="shared" si="4"/>
        <v>Negative</v>
      </c>
      <c r="N2282" s="7" t="str">
        <f>IFERROR(__xludf.DUMMYFUNCTION("LOWER(
TRIM(
REGEXREPLACE(B2282,""[^a-zA-Z\s]"","""")
)
)
"),"gidget")</f>
        <v>gidget</v>
      </c>
      <c r="O2282" s="7">
        <f t="shared" si="5"/>
        <v>1</v>
      </c>
      <c r="P2282" s="8" t="str">
        <f t="shared" si="6"/>
        <v>No</v>
      </c>
    </row>
    <row r="2283">
      <c r="A2283" s="4" t="s">
        <v>16</v>
      </c>
      <c r="B2283" s="4" t="s">
        <v>6391</v>
      </c>
      <c r="C2283" s="5">
        <v>44702.0</v>
      </c>
      <c r="D2283" s="5">
        <v>44702.0</v>
      </c>
      <c r="E2283" s="4" t="s">
        <v>6392</v>
      </c>
      <c r="F2283" s="4" t="s">
        <v>6393</v>
      </c>
      <c r="G2283" s="6" t="str">
        <f>IFERROR(__xludf.DUMMYFUNCTION("REGEXREPLACE(LOWER(F2283),""[^a-z\s]"","""")"),"received my product of prescription kitty snacks quickly
thank you")</f>
        <v>received my product of prescription kitty snacks quickly
thank you</v>
      </c>
      <c r="H2283" s="4" t="str">
        <f t="shared" si="1"/>
        <v>received my product of prescription kitty snacks quickly
thank you</v>
      </c>
      <c r="I2283" s="6">
        <f t="shared" si="2"/>
        <v>9</v>
      </c>
      <c r="J2283" s="6">
        <f>IFERROR(__xludf.DUMMYFUNCTION("IF(H2283="""","""",
SUM(
ARRAYFORMULA(
IF(
REGEXMATCH(
"" ""&amp;H2283&amp;"" "",
"" ""&amp;Sentiment_Words!A$2:A3730&amp;"" ""
),
1,
0
)
)
)
)"),0.0)</f>
        <v>0</v>
      </c>
      <c r="K2283" s="4">
        <f>IFERROR(__xludf.DUMMYFUNCTION("IF(H2283="""","""",
SUM(
ARRAYFORMULA(
IF(
REGEXMATCH(
"" ""&amp;H2283&amp;"" "",
"" ""&amp;Sentiment_Words!B$2:B3730&amp;"" ""
),
1,
0
)
)
)
)"),0.0)</f>
        <v>0</v>
      </c>
      <c r="L2283" s="7" t="str">
        <f t="shared" si="3"/>
        <v>Other</v>
      </c>
      <c r="M2283" s="7" t="str">
        <f t="shared" si="4"/>
        <v>Neutral</v>
      </c>
      <c r="N2283" s="7" t="str">
        <f>IFERROR(__xludf.DUMMYFUNCTION("LOWER(
TRIM(
REGEXREPLACE(B2283,""[^a-zA-Z\s]"","""")
)
)
"),"grams")</f>
        <v>grams</v>
      </c>
      <c r="O2283" s="7">
        <f t="shared" si="5"/>
        <v>1</v>
      </c>
      <c r="P2283" s="8" t="str">
        <f t="shared" si="6"/>
        <v>No</v>
      </c>
    </row>
    <row r="2284">
      <c r="A2284" s="4" t="s">
        <v>16</v>
      </c>
      <c r="B2284" s="4" t="s">
        <v>6394</v>
      </c>
      <c r="C2284" s="5">
        <v>44702.0</v>
      </c>
      <c r="D2284" s="5">
        <v>44702.0</v>
      </c>
      <c r="E2284" s="4" t="s">
        <v>6395</v>
      </c>
      <c r="F2284" s="4" t="s">
        <v>6396</v>
      </c>
      <c r="G2284" s="6" t="str">
        <f>IFERROR(__xludf.DUMMYFUNCTION("REGEXREPLACE(LOWER(F2284),""[^a-z\s]"","""")"),"pet flow has been very reliable my dogs food arrives as ordered the food is fresh and arrives quickly
i have had a few problems with the website where i could not change an amount on the review your order page which was frustrating however calling custome"&amp;"r service resolved the problem immediately and when you call you get a real person")</f>
        <v>pet flow has been very reliable my dogs food arrives as ordered the food is fresh and arrives quickly
i have had a few problems with the website where i could not change an amount on the review your order page which was frustrating however calling customer service resolved the problem immediately and when you call you get a real person</v>
      </c>
      <c r="H2284" s="4" t="str">
        <f t="shared" si="1"/>
        <v>pet flow has been very reliable my dogs food arrives as ordered food fresh arrives quickly
i have had a few problems with website where i could not change an amount on review your order page which was frustrating however calling customer service resolved problem immediately when you call you get a real person</v>
      </c>
      <c r="I2284" s="6">
        <f t="shared" si="2"/>
        <v>53</v>
      </c>
      <c r="J2284" s="6">
        <f>IFERROR(__xludf.DUMMYFUNCTION("IF(H2284="""","""",
SUM(
ARRAYFORMULA(
IF(
REGEXMATCH(
"" ""&amp;H2284&amp;"" "",
"" ""&amp;Sentiment_Words!A$2:A3730&amp;"" ""
),
1,
0
)
)
)
)"),3.0)</f>
        <v>3</v>
      </c>
      <c r="K2284" s="4">
        <f>IFERROR(__xludf.DUMMYFUNCTION("IF(H2284="""","""",
SUM(
ARRAYFORMULA(
IF(
REGEXMATCH(
"" ""&amp;H2284&amp;"" "",
"" ""&amp;Sentiment_Words!B$2:B3730&amp;"" ""
),
1,
0
)
)
)
)"),3.0)</f>
        <v>3</v>
      </c>
      <c r="L2284" s="7" t="str">
        <f t="shared" si="3"/>
        <v>Customer Support</v>
      </c>
      <c r="M2284" s="7" t="str">
        <f t="shared" si="4"/>
        <v>Neutral</v>
      </c>
      <c r="N2284" s="7" t="str">
        <f>IFERROR(__xludf.DUMMYFUNCTION("LOWER(
TRIM(
REGEXREPLACE(B2284,""[^a-zA-Z\s]"","""")
)
)
"),"gael didloff")</f>
        <v>gael didloff</v>
      </c>
      <c r="O2284" s="7">
        <f t="shared" si="5"/>
        <v>1</v>
      </c>
      <c r="P2284" s="8" t="str">
        <f t="shared" si="6"/>
        <v>No</v>
      </c>
    </row>
    <row r="2285">
      <c r="A2285" s="4" t="s">
        <v>16</v>
      </c>
      <c r="B2285" s="4" t="s">
        <v>6397</v>
      </c>
      <c r="C2285" s="5">
        <v>44701.0</v>
      </c>
      <c r="D2285" s="5">
        <v>44702.0</v>
      </c>
      <c r="E2285" s="4" t="s">
        <v>6398</v>
      </c>
      <c r="F2285" s="4" t="s">
        <v>6399</v>
      </c>
      <c r="G2285" s="6" t="str">
        <f>IFERROR(__xludf.DUMMYFUNCTION("REGEXREPLACE(LOWER(F2285),""[^a-z\s]"","""")"),"very good service and fast deliveryi have no complaints")</f>
        <v>very good service and fast deliveryi have no complaints</v>
      </c>
      <c r="H2285" s="4" t="str">
        <f t="shared" si="1"/>
        <v>very good service fast deliveryi have no complaints</v>
      </c>
      <c r="I2285" s="6">
        <f t="shared" si="2"/>
        <v>8</v>
      </c>
      <c r="J2285" s="6">
        <f>IFERROR(__xludf.DUMMYFUNCTION("IF(H2285="""","""",
SUM(
ARRAYFORMULA(
IF(
REGEXMATCH(
"" ""&amp;H2285&amp;"" "",
"" ""&amp;Sentiment_Words!A$2:A3730&amp;"" ""
),
1,
0
)
)
)
)"),2.0)</f>
        <v>2</v>
      </c>
      <c r="K2285" s="4">
        <f>IFERROR(__xludf.DUMMYFUNCTION("IF(H2285="""","""",
SUM(
ARRAYFORMULA(
IF(
REGEXMATCH(
"" ""&amp;H2285&amp;"" "",
"" ""&amp;Sentiment_Words!B$2:B3730&amp;"" ""
),
1,
0
)
)
)
)"),0.0)</f>
        <v>0</v>
      </c>
      <c r="L2285" s="7" t="str">
        <f t="shared" si="3"/>
        <v>Customer Support</v>
      </c>
      <c r="M2285" s="7" t="str">
        <f t="shared" si="4"/>
        <v>Positive</v>
      </c>
      <c r="N2285" s="7" t="str">
        <f>IFERROR(__xludf.DUMMYFUNCTION("LOWER(
TRIM(
REGEXREPLACE(B2285,""[^a-zA-Z\s]"","""")
)
)
"),"michael s")</f>
        <v>michael s</v>
      </c>
      <c r="O2285" s="7">
        <f t="shared" si="5"/>
        <v>1</v>
      </c>
      <c r="P2285" s="8" t="str">
        <f t="shared" si="6"/>
        <v>No</v>
      </c>
    </row>
    <row r="2286">
      <c r="A2286" s="4" t="s">
        <v>16</v>
      </c>
      <c r="B2286" s="4" t="s">
        <v>6400</v>
      </c>
      <c r="C2286" s="5">
        <v>44701.0</v>
      </c>
      <c r="D2286" s="5">
        <v>44701.0</v>
      </c>
      <c r="E2286" s="4" t="s">
        <v>6401</v>
      </c>
      <c r="F2286" s="4" t="s">
        <v>6402</v>
      </c>
      <c r="G2286" s="6" t="str">
        <f>IFERROR(__xludf.DUMMYFUNCTION("REGEXREPLACE(LOWER(F2286),""[^a-z\s]"","""")"),"items arrived quickly before i was notified that they were shipped one item was missing from the order it took a few days before i received an email that the item was out of stock credit for the item came quickly very pleased with my purchase")</f>
        <v>items arrived quickly before i was notified that they were shipped one item was missing from the order it took a few days before i received an email that the item was out of stock credit for the item came quickly very pleased with my purchase</v>
      </c>
      <c r="H2286" s="4" t="str">
        <f t="shared" si="1"/>
        <v>items arrived quickly before i was notified that they were shipped one item was missing from order it took a few days before i received an email that item was out of stock credit item came quickly very pleased with my purchase</v>
      </c>
      <c r="I2286" s="6">
        <f t="shared" si="2"/>
        <v>42</v>
      </c>
      <c r="J2286" s="6">
        <f>IFERROR(__xludf.DUMMYFUNCTION("IF(H2286="""","""",
SUM(
ARRAYFORMULA(
IF(
REGEXMATCH(
"" ""&amp;H2286&amp;"" "",
"" ""&amp;Sentiment_Words!A$2:A3730&amp;"" ""
),
1,
0
)
)
)
)"),0.0)</f>
        <v>0</v>
      </c>
      <c r="K2286" s="4">
        <f>IFERROR(__xludf.DUMMYFUNCTION("IF(H2286="""","""",
SUM(
ARRAYFORMULA(
IF(
REGEXMATCH(
"" ""&amp;H2286&amp;"" "",
"" ""&amp;Sentiment_Words!B$2:B3730&amp;"" ""
),
1,
0
)
)
)
)"),2.0)</f>
        <v>2</v>
      </c>
      <c r="L2286" s="7" t="str">
        <f t="shared" si="3"/>
        <v>Fulfillment &amp; Shipping</v>
      </c>
      <c r="M2286" s="7" t="str">
        <f t="shared" si="4"/>
        <v>Negative</v>
      </c>
      <c r="N2286" s="7" t="str">
        <f>IFERROR(__xludf.DUMMYFUNCTION("LOWER(
TRIM(
REGEXREPLACE(B2286,""[^a-zA-Z\s]"","""")
)
)
"),"jhr")</f>
        <v>jhr</v>
      </c>
      <c r="O2286" s="7">
        <f t="shared" si="5"/>
        <v>1</v>
      </c>
      <c r="P2286" s="8" t="str">
        <f t="shared" si="6"/>
        <v>No</v>
      </c>
    </row>
    <row r="2287">
      <c r="A2287" s="4" t="s">
        <v>16</v>
      </c>
      <c r="B2287" s="4" t="s">
        <v>6403</v>
      </c>
      <c r="C2287" s="5">
        <v>44701.0</v>
      </c>
      <c r="D2287" s="5">
        <v>44701.0</v>
      </c>
      <c r="E2287" s="4" t="s">
        <v>6404</v>
      </c>
      <c r="F2287" s="4" t="s">
        <v>6405</v>
      </c>
      <c r="G2287" s="6" t="str">
        <f>IFERROR(__xludf.DUMMYFUNCTION("REGEXREPLACE(LOWER(F2287),""[^a-z\s]"","""")"),"excellent customer service
petflow inadvertently sent me an extra case of cat food i alternate the types of food so i was fine with keeping the extra food but needed to pay for that one and add another of the alternate kind the gentleman with whom i spoke"&amp;" straighten everything out so i didnt have to pay shipping he was knowledgeable and pleasant to deal with")</f>
        <v>excellent customer service
petflow inadvertently sent me an extra case of cat food i alternate the types of food so i was fine with keeping the extra food but needed to pay for that one and add another of the alternate kind the gentleman with whom i spoke straighten everything out so i didnt have to pay shipping he was knowledgeable and pleasant to deal with</v>
      </c>
      <c r="H2287" s="4" t="str">
        <f t="shared" si="1"/>
        <v>excellent customer service
petflow inadvertently sent me an extra case of cat food i alternate types of food so i was fine with keeping extra food but needed pay that one add another of alternate kind gentleman with whom i spoke straighten everything out so i didnt have pay shipping he was knowledgeable pleasant deal with</v>
      </c>
      <c r="I2287" s="6">
        <f t="shared" si="2"/>
        <v>55</v>
      </c>
      <c r="J2287" s="6">
        <f>IFERROR(__xludf.DUMMYFUNCTION("IF(H2287="""","""",
SUM(
ARRAYFORMULA(
IF(
REGEXMATCH(
"" ""&amp;H2287&amp;"" "",
"" ""&amp;Sentiment_Words!A$2:A3730&amp;"" ""
),
1,
0
)
)
)
)"),0.0)</f>
        <v>0</v>
      </c>
      <c r="K2287" s="4">
        <f>IFERROR(__xludf.DUMMYFUNCTION("IF(H2287="""","""",
SUM(
ARRAYFORMULA(
IF(
REGEXMATCH(
"" ""&amp;H2287&amp;"" "",
"" ""&amp;Sentiment_Words!B$2:B3730&amp;"" ""
),
1,
0
)
)
)
)"),0.0)</f>
        <v>0</v>
      </c>
      <c r="L2287" s="7" t="str">
        <f t="shared" si="3"/>
        <v>Customer Support</v>
      </c>
      <c r="M2287" s="7" t="str">
        <f t="shared" si="4"/>
        <v>Neutral</v>
      </c>
      <c r="N2287" s="7" t="str">
        <f>IFERROR(__xludf.DUMMYFUNCTION("LOWER(
TRIM(
REGEXREPLACE(B2287,""[^a-zA-Z\s]"","""")
)
)
"),"kevin walsh")</f>
        <v>kevin walsh</v>
      </c>
      <c r="O2287" s="7">
        <f t="shared" si="5"/>
        <v>1</v>
      </c>
      <c r="P2287" s="8" t="str">
        <f t="shared" si="6"/>
        <v>No</v>
      </c>
    </row>
    <row r="2288">
      <c r="A2288" s="4" t="s">
        <v>16</v>
      </c>
      <c r="B2288" s="4" t="s">
        <v>3223</v>
      </c>
      <c r="C2288" s="5">
        <v>44701.0</v>
      </c>
      <c r="D2288" s="5">
        <v>44701.0</v>
      </c>
      <c r="E2288" s="4" t="s">
        <v>6406</v>
      </c>
      <c r="F2288" s="4" t="s">
        <v>6407</v>
      </c>
      <c r="G2288" s="6" t="str">
        <f>IFERROR(__xludf.DUMMYFUNCTION("REGEXREPLACE(LOWER(F2288),""[^a-z\s]"","""")"),"friendly when i had questions fast delivery easy to order quickly online")</f>
        <v>friendly when i had questions fast delivery easy to order quickly online</v>
      </c>
      <c r="H2288" s="4" t="str">
        <f t="shared" si="1"/>
        <v>friendly when i had questions fast delivery easy order quickly online</v>
      </c>
      <c r="I2288" s="6">
        <f t="shared" si="2"/>
        <v>11</v>
      </c>
      <c r="J2288" s="6">
        <f>IFERROR(__xludf.DUMMYFUNCTION("IF(H2288="""","""",
SUM(
ARRAYFORMULA(
IF(
REGEXMATCH(
"" ""&amp;H2288&amp;"" "",
"" ""&amp;Sentiment_Words!A$2:A3730&amp;"" ""
),
1,
0
)
)
)
)"),3.0)</f>
        <v>3</v>
      </c>
      <c r="K2288" s="4">
        <f>IFERROR(__xludf.DUMMYFUNCTION("IF(H2288="""","""",
SUM(
ARRAYFORMULA(
IF(
REGEXMATCH(
"" ""&amp;H2288&amp;"" "",
"" ""&amp;Sentiment_Words!B$2:B3730&amp;"" ""
),
1,
0
)
)
)
)"),0.0)</f>
        <v>0</v>
      </c>
      <c r="L2288" s="7" t="str">
        <f t="shared" si="3"/>
        <v>Other</v>
      </c>
      <c r="M2288" s="7" t="str">
        <f t="shared" si="4"/>
        <v>Positive</v>
      </c>
      <c r="N2288" s="7" t="str">
        <f>IFERROR(__xludf.DUMMYFUNCTION("LOWER(
TRIM(
REGEXREPLACE(B2288,""[^a-zA-Z\s]"","""")
)
)
"),"robin")</f>
        <v>robin</v>
      </c>
      <c r="O2288" s="7">
        <f t="shared" si="5"/>
        <v>3</v>
      </c>
      <c r="P2288" s="8" t="str">
        <f t="shared" si="6"/>
        <v>Yes</v>
      </c>
    </row>
    <row r="2289">
      <c r="A2289" s="4" t="s">
        <v>16</v>
      </c>
      <c r="B2289" s="4" t="s">
        <v>6408</v>
      </c>
      <c r="C2289" s="5">
        <v>44700.0</v>
      </c>
      <c r="D2289" s="5">
        <v>44701.0</v>
      </c>
      <c r="E2289" s="4" t="s">
        <v>6409</v>
      </c>
      <c r="F2289" s="4" t="s">
        <v>6410</v>
      </c>
      <c r="G2289" s="6" t="str">
        <f>IFERROR(__xludf.DUMMYFUNCTION("REGEXREPLACE(LOWER(F2289),""[^a-z\s]"","""")"),"efficient fast shipping and great customer service
good selection of animal products")</f>
        <v>efficient fast shipping and great customer service
good selection of animal products</v>
      </c>
      <c r="H2289" s="4" t="str">
        <f t="shared" si="1"/>
        <v>efficient fast shipping great customer service
good selection of animal products</v>
      </c>
      <c r="I2289" s="6">
        <f t="shared" si="2"/>
        <v>10</v>
      </c>
      <c r="J2289" s="6">
        <f>IFERROR(__xludf.DUMMYFUNCTION("IF(H2289="""","""",
SUM(
ARRAYFORMULA(
IF(
REGEXMATCH(
"" ""&amp;H2289&amp;"" "",
"" ""&amp;Sentiment_Words!A$2:A3730&amp;"" ""
),
1,
0
)
)
)
)"),3.0)</f>
        <v>3</v>
      </c>
      <c r="K2289" s="4">
        <f>IFERROR(__xludf.DUMMYFUNCTION("IF(H2289="""","""",
SUM(
ARRAYFORMULA(
IF(
REGEXMATCH(
"" ""&amp;H2289&amp;"" "",
"" ""&amp;Sentiment_Words!B$2:B3730&amp;"" ""
),
1,
0
)
)
)
)"),0.0)</f>
        <v>0</v>
      </c>
      <c r="L2289" s="7" t="str">
        <f t="shared" si="3"/>
        <v>Customer Support</v>
      </c>
      <c r="M2289" s="7" t="str">
        <f t="shared" si="4"/>
        <v>Positive</v>
      </c>
      <c r="N2289" s="7" t="str">
        <f>IFERROR(__xludf.DUMMYFUNCTION("LOWER(
TRIM(
REGEXREPLACE(B2289,""[^a-zA-Z\s]"","""")
)
)
"),"bonnie sparmblack")</f>
        <v>bonnie sparmblack</v>
      </c>
      <c r="O2289" s="7">
        <f t="shared" si="5"/>
        <v>1</v>
      </c>
      <c r="P2289" s="8" t="str">
        <f t="shared" si="6"/>
        <v>No</v>
      </c>
    </row>
    <row r="2290">
      <c r="A2290" s="4" t="s">
        <v>16</v>
      </c>
      <c r="B2290" s="4" t="s">
        <v>6411</v>
      </c>
      <c r="C2290" s="5">
        <v>44700.0</v>
      </c>
      <c r="D2290" s="5">
        <v>44701.0</v>
      </c>
      <c r="E2290" s="4" t="s">
        <v>6412</v>
      </c>
      <c r="F2290" s="4" t="s">
        <v>6413</v>
      </c>
      <c r="G2290" s="6" t="str">
        <f>IFERROR(__xludf.DUMMYFUNCTION("REGEXREPLACE(LOWER(F2290),""[^a-z\s]"","""")"),"very happy with products wish food was a bit cheaper")</f>
        <v>very happy with products wish food was a bit cheaper</v>
      </c>
      <c r="H2290" s="4" t="str">
        <f t="shared" si="1"/>
        <v>very happy with products wish food was a bit cheaper</v>
      </c>
      <c r="I2290" s="6">
        <f t="shared" si="2"/>
        <v>10</v>
      </c>
      <c r="J2290" s="6">
        <f>IFERROR(__xludf.DUMMYFUNCTION("IF(H2290="""","""",
SUM(
ARRAYFORMULA(
IF(
REGEXMATCH(
"" ""&amp;H2290&amp;"" "",
"" ""&amp;Sentiment_Words!A$2:A3730&amp;"" ""
),
1,
0
)
)
)
)"),2.0)</f>
        <v>2</v>
      </c>
      <c r="K2290" s="4">
        <f>IFERROR(__xludf.DUMMYFUNCTION("IF(H2290="""","""",
SUM(
ARRAYFORMULA(
IF(
REGEXMATCH(
"" ""&amp;H2290&amp;"" "",
"" ""&amp;Sentiment_Words!B$2:B3730&amp;"" ""
),
1,
0
)
)
)
)"),0.0)</f>
        <v>0</v>
      </c>
      <c r="L2290" s="7" t="str">
        <f t="shared" si="3"/>
        <v>Value &amp; Convenience</v>
      </c>
      <c r="M2290" s="7" t="str">
        <f t="shared" si="4"/>
        <v>Positive</v>
      </c>
      <c r="N2290" s="7" t="str">
        <f>IFERROR(__xludf.DUMMYFUNCTION("LOWER(
TRIM(
REGEXREPLACE(B2290,""[^a-zA-Z\s]"","""")
)
)
"),"beth anderson")</f>
        <v>beth anderson</v>
      </c>
      <c r="O2290" s="7">
        <f t="shared" si="5"/>
        <v>1</v>
      </c>
      <c r="P2290" s="8" t="str">
        <f t="shared" si="6"/>
        <v>No</v>
      </c>
    </row>
    <row r="2291">
      <c r="A2291" s="4" t="s">
        <v>16</v>
      </c>
      <c r="B2291" s="4" t="s">
        <v>6414</v>
      </c>
      <c r="C2291" s="5">
        <v>44700.0</v>
      </c>
      <c r="D2291" s="5">
        <v>44700.0</v>
      </c>
      <c r="E2291" s="4" t="s">
        <v>6415</v>
      </c>
      <c r="F2291" s="4" t="s">
        <v>6416</v>
      </c>
      <c r="G2291" s="6" t="str">
        <f>IFERROR(__xludf.DUMMYFUNCTION("REGEXREPLACE(LOWER(F2291),""[^a-z\s]"","""")"),"i had been looking for the puppy kibble our breeder has been using for their litter of puppies petflow was the only site that carried it very easy to work with and on time delivery thank you")</f>
        <v>i had been looking for the puppy kibble our breeder has been using for their litter of puppies petflow was the only site that carried it very easy to work with and on time delivery thank you</v>
      </c>
      <c r="H2291" s="4" t="str">
        <f t="shared" si="1"/>
        <v>i had been looking puppy kibble our breeder has been using their litter of puppies petflow was only site that carried it very easy work with on time delivery thank you</v>
      </c>
      <c r="I2291" s="6">
        <f t="shared" si="2"/>
        <v>31</v>
      </c>
      <c r="J2291" s="6">
        <f>IFERROR(__xludf.DUMMYFUNCTION("IF(H2291="""","""",
SUM(
ARRAYFORMULA(
IF(
REGEXMATCH(
"" ""&amp;H2291&amp;"" "",
"" ""&amp;Sentiment_Words!A$2:A3730&amp;"" ""
),
1,
0
)
)
)
)"),2.0)</f>
        <v>2</v>
      </c>
      <c r="K2291" s="4">
        <f>IFERROR(__xludf.DUMMYFUNCTION("IF(H2291="""","""",
SUM(
ARRAYFORMULA(
IF(
REGEXMATCH(
"" ""&amp;H2291&amp;"" "",
"" ""&amp;Sentiment_Words!B$2:B3730&amp;"" ""
),
1,
0
)
)
)
)"),0.0)</f>
        <v>0</v>
      </c>
      <c r="L2291" s="7" t="str">
        <f t="shared" si="3"/>
        <v>Other</v>
      </c>
      <c r="M2291" s="7" t="str">
        <f t="shared" si="4"/>
        <v>Positive</v>
      </c>
      <c r="N2291" s="7" t="str">
        <f>IFERROR(__xludf.DUMMYFUNCTION("LOWER(
TRIM(
REGEXREPLACE(B2291,""[^a-zA-Z\s]"","""")
)
)
"),"debra")</f>
        <v>debra</v>
      </c>
      <c r="O2291" s="7">
        <f t="shared" si="5"/>
        <v>3</v>
      </c>
      <c r="P2291" s="8" t="str">
        <f t="shared" si="6"/>
        <v>Yes</v>
      </c>
    </row>
    <row r="2292">
      <c r="A2292" s="4" t="s">
        <v>16</v>
      </c>
      <c r="B2292" s="4" t="s">
        <v>6417</v>
      </c>
      <c r="C2292" s="5">
        <v>44700.0</v>
      </c>
      <c r="D2292" s="5">
        <v>44700.0</v>
      </c>
      <c r="E2292" s="4" t="s">
        <v>6418</v>
      </c>
      <c r="F2292" s="4" t="s">
        <v>6419</v>
      </c>
      <c r="G2292" s="6" t="str">
        <f>IFERROR(__xludf.DUMMYFUNCTION("REGEXREPLACE(LOWER(F2292),""[^a-z\s]"","""")"),"staff is very friendly and helpful there was a prompt response to my question they have a vast selection and great prices they came through when i had trouble finding my finicky cats food they are my go to store")</f>
        <v>staff is very friendly and helpful there was a prompt response to my question they have a vast selection and great prices they came through when i had trouble finding my finicky cats food they are my go to store</v>
      </c>
      <c r="H2292" s="4" t="str">
        <f t="shared" si="1"/>
        <v>staff very friendly helpful there was a prompt response my question they have a vast selection great prices they came through when i had trouble finding my finicky cats food they are my go store</v>
      </c>
      <c r="I2292" s="6">
        <f t="shared" si="2"/>
        <v>35</v>
      </c>
      <c r="J2292" s="6">
        <f>IFERROR(__xludf.DUMMYFUNCTION("IF(H2292="""","""",
SUM(
ARRAYFORMULA(
IF(
REGEXMATCH(
"" ""&amp;H2292&amp;"" "",
"" ""&amp;Sentiment_Words!A$2:A3730&amp;"" ""
),
1,
0
)
)
)
)"),3.0)</f>
        <v>3</v>
      </c>
      <c r="K2292" s="4">
        <f>IFERROR(__xludf.DUMMYFUNCTION("IF(H2292="""","""",
SUM(
ARRAYFORMULA(
IF(
REGEXMATCH(
"" ""&amp;H2292&amp;"" "",
"" ""&amp;Sentiment_Words!B$2:B3730&amp;"" ""
),
1,
0
)
)
)
)"),0.0)</f>
        <v>0</v>
      </c>
      <c r="L2292" s="7" t="str">
        <f t="shared" si="3"/>
        <v>Other</v>
      </c>
      <c r="M2292" s="7" t="str">
        <f t="shared" si="4"/>
        <v>Positive</v>
      </c>
      <c r="N2292" s="7" t="str">
        <f>IFERROR(__xludf.DUMMYFUNCTION("LOWER(
TRIM(
REGEXREPLACE(B2292,""[^a-zA-Z\s]"","""")
)
)
"),"vincie soyars")</f>
        <v>vincie soyars</v>
      </c>
      <c r="O2292" s="7">
        <f t="shared" si="5"/>
        <v>1</v>
      </c>
      <c r="P2292" s="8" t="str">
        <f t="shared" si="6"/>
        <v>No</v>
      </c>
    </row>
    <row r="2293">
      <c r="A2293" s="4" t="s">
        <v>16</v>
      </c>
      <c r="B2293" s="4" t="s">
        <v>6420</v>
      </c>
      <c r="C2293" s="5">
        <v>44700.0</v>
      </c>
      <c r="D2293" s="5">
        <v>44700.0</v>
      </c>
      <c r="E2293" s="4" t="s">
        <v>6421</v>
      </c>
      <c r="F2293" s="4" t="s">
        <v>6422</v>
      </c>
      <c r="G2293" s="6" t="str">
        <f>IFERROR(__xludf.DUMMYFUNCTION("REGEXREPLACE(LOWER(F2293),""[^a-z\s]"","""")"),"the constant urging to use autoship i can understand what i cant understand is the meaningless onetime pittance of a discount as an incentive coupled with an almost forced compliance by changing my selections to include it for me it is the most obnoxious "&amp;"pushy waste of my time and i may go back to chewy as a result i really do think petflow is an awesome place to get a decent value on pet food but i dont like the forced atmosphere for checkout i came to petflow when i learned petsmart did live animal test"&amp;"ing and bought chewy this was my protest move but i really dont appreciate the almost underhanded methods used to encourage autoship i took off one star specifically for this reason and would have gone star were the checkout process more about my choice a"&amp;"nd felt like my opinion was most important thank you")</f>
        <v>the constant urging to use autoship i can understand what i cant understand is the meaningless onetime pittance of a discount as an incentive coupled with an almost forced compliance by changing my selections to include it for me it is the most obnoxious pushy waste of my time and i may go back to chewy as a result i really do think petflow is an awesome place to get a decent value on pet food but i dont like the forced atmosphere for checkout i came to petflow when i learned petsmart did live animal testing and bought chewy this was my protest move but i really dont appreciate the almost underhanded methods used to encourage autoship i took off one star specifically for this reason and would have gone star were the checkout process more about my choice and felt like my opinion was most important thank you</v>
      </c>
      <c r="H2293" s="4" t="str">
        <f t="shared" si="1"/>
        <v>constant urging use autoship i can understand what i cant understand meaningless onetime pittance of a discount as an incentive coupled with an almost forced compliance by changing my selections include it me it most obnoxious pushy waste of my time i may go back chewy as a result i really do think petflow an awesome place get a decent value on pet food but i dont like forced atmosphere checkout i came petflow when i learned petsmart did live animal testing bought chewy this was my protest move but i really dont appreciate almost underhanded methods used encourage autoship i took off one star specifically this reason would have gone star were checkout process more about my choice felt like my opinion was most important thank you</v>
      </c>
      <c r="I2293" s="6">
        <f t="shared" si="2"/>
        <v>128</v>
      </c>
      <c r="J2293" s="6">
        <f>IFERROR(__xludf.DUMMYFUNCTION("IF(H2293="""","""",
SUM(
ARRAYFORMULA(
IF(
REGEXMATCH(
"" ""&amp;H2293&amp;"" "",
"" ""&amp;Sentiment_Words!A$2:A3730&amp;"" ""
),
1,
0
)
)
)
)"),1.0)</f>
        <v>1</v>
      </c>
      <c r="K2293" s="4">
        <f>IFERROR(__xludf.DUMMYFUNCTION("IF(H2293="""","""",
SUM(
ARRAYFORMULA(
IF(
REGEXMATCH(
"" ""&amp;H2293&amp;"" "",
"" ""&amp;Sentiment_Words!B$2:B3730&amp;"" ""
),
1,
0
)
)
)
)"),0.0)</f>
        <v>0</v>
      </c>
      <c r="L2293" s="7" t="str">
        <f t="shared" si="3"/>
        <v>Value &amp; Convenience</v>
      </c>
      <c r="M2293" s="7" t="str">
        <f t="shared" si="4"/>
        <v>Positive</v>
      </c>
      <c r="N2293" s="7" t="str">
        <f>IFERROR(__xludf.DUMMYFUNCTION("LOWER(
TRIM(
REGEXREPLACE(B2293,""[^a-zA-Z\s]"","""")
)
)
"),"chris")</f>
        <v>chris</v>
      </c>
      <c r="O2293" s="7">
        <f t="shared" si="5"/>
        <v>5</v>
      </c>
      <c r="P2293" s="8" t="str">
        <f t="shared" si="6"/>
        <v>Yes</v>
      </c>
    </row>
    <row r="2294">
      <c r="A2294" s="4" t="s">
        <v>16</v>
      </c>
      <c r="B2294" s="4" t="s">
        <v>6423</v>
      </c>
      <c r="C2294" s="5">
        <v>44700.0</v>
      </c>
      <c r="D2294" s="5">
        <v>44700.0</v>
      </c>
      <c r="E2294" s="4" t="s">
        <v>6424</v>
      </c>
      <c r="F2294" s="4" t="s">
        <v>6425</v>
      </c>
      <c r="G2294" s="6" t="str">
        <f>IFERROR(__xludf.DUMMYFUNCTION("REGEXREPLACE(LOWER(F2294),""[^a-z\s]"","""")"),"i tried to purchase prescription cat food for my cat on  the vet did not receive communication through you so i emailed and texted in a prescription on  both of which replied and said it was sent to the correct team and should be processed asap then i rec"&amp;"eived an email on  stating you were canceling my order because it was no longer in stock i understand it is now in back order however it was in stock when i placed the order and the delay with your team caused me to miss out")</f>
        <v>i tried to purchase prescription cat food for my cat on  the vet did not receive communication through you so i emailed and texted in a prescription on  both of which replied and said it was sent to the correct team and should be processed asap then i received an email on  stating you were canceling my order because it was no longer in stock i understand it is now in back order however it was in stock when i placed the order and the delay with your team caused me to miss out</v>
      </c>
      <c r="H2294" s="4" t="str">
        <f t="shared" si="1"/>
        <v>i tried purchase prescription cat food my cat on vet did not receive communication through you so i emailed texted in a prescription on both of which replied said it was sent correct team should be processed asap then i received an email on stating you were canceling my order because it was no longer in stock i understand it now in back order however it was in stock when i placed order delay with your team caused me miss out</v>
      </c>
      <c r="I2294" s="6">
        <f t="shared" si="2"/>
        <v>81</v>
      </c>
      <c r="J2294" s="6">
        <f>IFERROR(__xludf.DUMMYFUNCTION("IF(H2294="""","""",
SUM(
ARRAYFORMULA(
IF(
REGEXMATCH(
"" ""&amp;H2294&amp;"" "",
"" ""&amp;Sentiment_Words!A$2:A3730&amp;"" ""
),
1,
0
)
)
)
)"),0.0)</f>
        <v>0</v>
      </c>
      <c r="K2294" s="4">
        <f>IFERROR(__xludf.DUMMYFUNCTION("IF(H2294="""","""",
SUM(
ARRAYFORMULA(
IF(
REGEXMATCH(
"" ""&amp;H2294&amp;"" "",
"" ""&amp;Sentiment_Words!B$2:B3730&amp;"" ""
),
1,
0
)
)
)
)"),1.0)</f>
        <v>1</v>
      </c>
      <c r="L2294" s="7" t="str">
        <f t="shared" si="3"/>
        <v>Fulfillment &amp; Shipping</v>
      </c>
      <c r="M2294" s="7" t="str">
        <f t="shared" si="4"/>
        <v>Negative</v>
      </c>
      <c r="N2294" s="7" t="str">
        <f>IFERROR(__xludf.DUMMYFUNCTION("LOWER(
TRIM(
REGEXREPLACE(B2294,""[^a-zA-Z\s]"","""")
)
)
"),"magdala cruz")</f>
        <v>magdala cruz</v>
      </c>
      <c r="O2294" s="7">
        <f t="shared" si="5"/>
        <v>1</v>
      </c>
      <c r="P2294" s="8" t="str">
        <f t="shared" si="6"/>
        <v>No</v>
      </c>
    </row>
    <row r="2295">
      <c r="A2295" s="4" t="s">
        <v>16</v>
      </c>
      <c r="B2295" s="4" t="s">
        <v>6426</v>
      </c>
      <c r="C2295" s="5">
        <v>44700.0</v>
      </c>
      <c r="D2295" s="5">
        <v>44700.0</v>
      </c>
      <c r="E2295" s="4" t="s">
        <v>6427</v>
      </c>
      <c r="F2295" s="4" t="s">
        <v>6428</v>
      </c>
      <c r="G2295" s="6" t="str">
        <f>IFERROR(__xludf.DUMMYFUNCTION("REGEXREPLACE(LOWER(F2295),""[^a-z\s]"","""")"),"i needed to order a variety of cat food that had been sold out at local shops  online retailers for some time i discovered petflow through a link on the manufacturers website i was skeptical that they could even deliver but ended up being pleasantly surpr"&amp;"ised ive since become a regular customer of petflow  wish they sold my dogs food too so i could get rid of chewy altogether")</f>
        <v>i needed to order a variety of cat food that had been sold out at local shops  online retailers for some time i discovered petflow through a link on the manufacturers website i was skeptical that they could even deliver but ended up being pleasantly surprised ive since become a regular customer of petflow  wish they sold my dogs food too so i could get rid of chewy altogether</v>
      </c>
      <c r="H2295" s="4" t="str">
        <f t="shared" si="1"/>
        <v>i needed order a variety of cat food that had been sold out at local shops online retailers some time i discovered petflow through a link on manufacturers website i was skeptical that they could even deliver but ended up being pleasantly surprised ive since become a regular customer of petflow wish they sold my dogs food too so i could get rid of chewy altogether</v>
      </c>
      <c r="I2295" s="6">
        <f t="shared" si="2"/>
        <v>66</v>
      </c>
      <c r="J2295" s="6">
        <f>IFERROR(__xludf.DUMMYFUNCTION("IF(H2295="""","""",
SUM(
ARRAYFORMULA(
IF(
REGEXMATCH(
"" ""&amp;H2295&amp;"" "",
"" ""&amp;Sentiment_Words!A$2:A3730&amp;"" ""
),
1,
0
)
)
)
)"),0.0)</f>
        <v>0</v>
      </c>
      <c r="K2295" s="4">
        <f>IFERROR(__xludf.DUMMYFUNCTION("IF(H2295="""","""",
SUM(
ARRAYFORMULA(
IF(
REGEXMATCH(
"" ""&amp;H2295&amp;"" "",
"" ""&amp;Sentiment_Words!B$2:B3730&amp;"" ""
),
1,
0
)
)
)
)"),0.0)</f>
        <v>0</v>
      </c>
      <c r="L2295" s="7" t="str">
        <f t="shared" si="3"/>
        <v>Account &amp; Website</v>
      </c>
      <c r="M2295" s="7" t="str">
        <f t="shared" si="4"/>
        <v>Neutral</v>
      </c>
      <c r="N2295" s="7" t="str">
        <f>IFERROR(__xludf.DUMMYFUNCTION("LOWER(
TRIM(
REGEXREPLACE(B2295,""[^a-zA-Z\s]"","""")
)
)
"),"the phone guy")</f>
        <v>the phone guy</v>
      </c>
      <c r="O2295" s="7">
        <f t="shared" si="5"/>
        <v>1</v>
      </c>
      <c r="P2295" s="8" t="str">
        <f t="shared" si="6"/>
        <v>No</v>
      </c>
    </row>
    <row r="2296">
      <c r="A2296" s="4" t="s">
        <v>16</v>
      </c>
      <c r="B2296" s="4" t="s">
        <v>6429</v>
      </c>
      <c r="C2296" s="5">
        <v>44699.0</v>
      </c>
      <c r="D2296" s="5">
        <v>44700.0</v>
      </c>
      <c r="E2296" s="4" t="s">
        <v>6430</v>
      </c>
      <c r="F2296" s="4" t="s">
        <v>331</v>
      </c>
      <c r="G2296" s="6" t="str">
        <f>IFERROR(__xludf.DUMMYFUNCTION("REGEXREPLACE(LOWER(F2296),""[^a-z\s]"","""")"),"none")</f>
        <v>none</v>
      </c>
      <c r="H2296" s="4" t="str">
        <f t="shared" si="1"/>
        <v>none</v>
      </c>
      <c r="I2296" s="6">
        <f t="shared" si="2"/>
        <v>1</v>
      </c>
      <c r="J2296" s="6">
        <f>IFERROR(__xludf.DUMMYFUNCTION("IF(H2296="""","""",
SUM(
ARRAYFORMULA(
IF(
REGEXMATCH(
"" ""&amp;H2296&amp;"" "",
"" ""&amp;Sentiment_Words!A$2:A3730&amp;"" ""
),
1,
0
)
)
)
)"),0.0)</f>
        <v>0</v>
      </c>
      <c r="K2296" s="4">
        <f>IFERROR(__xludf.DUMMYFUNCTION("IF(H2296="""","""",
SUM(
ARRAYFORMULA(
IF(
REGEXMATCH(
"" ""&amp;H2296&amp;"" "",
"" ""&amp;Sentiment_Words!B$2:B3730&amp;"" ""
),
1,
0
)
)
)
)"),0.0)</f>
        <v>0</v>
      </c>
      <c r="L2296" s="7" t="str">
        <f t="shared" si="3"/>
        <v>Other</v>
      </c>
      <c r="M2296" s="7" t="str">
        <f t="shared" si="4"/>
        <v>Neutral</v>
      </c>
      <c r="N2296" s="7" t="str">
        <f>IFERROR(__xludf.DUMMYFUNCTION("LOWER(
TRIM(
REGEXREPLACE(B2296,""[^a-zA-Z\s]"","""")
)
)
"),"jessica childers")</f>
        <v>jessica childers</v>
      </c>
      <c r="O2296" s="7">
        <f t="shared" si="5"/>
        <v>1</v>
      </c>
      <c r="P2296" s="8" t="str">
        <f t="shared" si="6"/>
        <v>No</v>
      </c>
    </row>
    <row r="2297">
      <c r="A2297" s="4" t="s">
        <v>16</v>
      </c>
      <c r="B2297" s="4" t="s">
        <v>739</v>
      </c>
      <c r="C2297" s="5">
        <v>44699.0</v>
      </c>
      <c r="D2297" s="5">
        <v>44699.0</v>
      </c>
      <c r="E2297" s="4" t="s">
        <v>6431</v>
      </c>
      <c r="F2297" s="4" t="s">
        <v>331</v>
      </c>
      <c r="G2297" s="6" t="str">
        <f>IFERROR(__xludf.DUMMYFUNCTION("REGEXREPLACE(LOWER(F2297),""[^a-z\s]"","""")"),"none")</f>
        <v>none</v>
      </c>
      <c r="H2297" s="4" t="str">
        <f t="shared" si="1"/>
        <v>none</v>
      </c>
      <c r="I2297" s="6">
        <f t="shared" si="2"/>
        <v>1</v>
      </c>
      <c r="J2297" s="6">
        <f>IFERROR(__xludf.DUMMYFUNCTION("IF(H2297="""","""",
SUM(
ARRAYFORMULA(
IF(
REGEXMATCH(
"" ""&amp;H2297&amp;"" "",
"" ""&amp;Sentiment_Words!A$2:A3730&amp;"" ""
),
1,
0
)
)
)
)"),0.0)</f>
        <v>0</v>
      </c>
      <c r="K2297" s="4">
        <f>IFERROR(__xludf.DUMMYFUNCTION("IF(H2297="""","""",
SUM(
ARRAYFORMULA(
IF(
REGEXMATCH(
"" ""&amp;H2297&amp;"" "",
"" ""&amp;Sentiment_Words!B$2:B3730&amp;"" ""
),
1,
0
)
)
)
)"),0.0)</f>
        <v>0</v>
      </c>
      <c r="L2297" s="7" t="str">
        <f t="shared" si="3"/>
        <v>Other</v>
      </c>
      <c r="M2297" s="7" t="str">
        <f t="shared" si="4"/>
        <v>Neutral</v>
      </c>
      <c r="N2297" s="7" t="str">
        <f>IFERROR(__xludf.DUMMYFUNCTION("LOWER(
TRIM(
REGEXREPLACE(B2297,""[^a-zA-Z\s]"","""")
)
)
"),"customer")</f>
        <v>customer</v>
      </c>
      <c r="O2297" s="7">
        <f t="shared" si="5"/>
        <v>54</v>
      </c>
      <c r="P2297" s="8" t="str">
        <f t="shared" si="6"/>
        <v>Yes</v>
      </c>
    </row>
    <row r="2298">
      <c r="A2298" s="4" t="s">
        <v>16</v>
      </c>
      <c r="B2298" s="4" t="s">
        <v>1767</v>
      </c>
      <c r="C2298" s="5">
        <v>44699.0</v>
      </c>
      <c r="D2298" s="5">
        <v>44699.0</v>
      </c>
      <c r="E2298" s="4" t="s">
        <v>6432</v>
      </c>
      <c r="F2298" s="4" t="s">
        <v>6433</v>
      </c>
      <c r="G2298" s="6" t="str">
        <f>IFERROR(__xludf.DUMMYFUNCTION("REGEXREPLACE(LOWER(F2298),""[^a-z\s]"","""")"),"easy to navigate site prompt delivery")</f>
        <v>easy to navigate site prompt delivery</v>
      </c>
      <c r="H2298" s="4" t="str">
        <f t="shared" si="1"/>
        <v>easy navigate site prompt delivery</v>
      </c>
      <c r="I2298" s="6">
        <f t="shared" si="2"/>
        <v>5</v>
      </c>
      <c r="J2298" s="6">
        <f>IFERROR(__xludf.DUMMYFUNCTION("IF(H2298="""","""",
SUM(
ARRAYFORMULA(
IF(
REGEXMATCH(
"" ""&amp;H2298&amp;"" "",
"" ""&amp;Sentiment_Words!A$2:A3730&amp;"" ""
),
1,
0
)
)
)
)"),2.0)</f>
        <v>2</v>
      </c>
      <c r="K2298" s="4">
        <f>IFERROR(__xludf.DUMMYFUNCTION("IF(H2298="""","""",
SUM(
ARRAYFORMULA(
IF(
REGEXMATCH(
"" ""&amp;H2298&amp;"" "",
"" ""&amp;Sentiment_Words!B$2:B3730&amp;"" ""
),
1,
0
)
)
)
)"),0.0)</f>
        <v>0</v>
      </c>
      <c r="L2298" s="7" t="str">
        <f t="shared" si="3"/>
        <v>Other</v>
      </c>
      <c r="M2298" s="7" t="str">
        <f t="shared" si="4"/>
        <v>Positive</v>
      </c>
      <c r="N2298" s="7" t="str">
        <f>IFERROR(__xludf.DUMMYFUNCTION("LOWER(
TRIM(
REGEXREPLACE(B2298,""[^a-zA-Z\s]"","""")
)
)
"),"patricia")</f>
        <v>patricia</v>
      </c>
      <c r="O2298" s="7">
        <f t="shared" si="5"/>
        <v>5</v>
      </c>
      <c r="P2298" s="8" t="str">
        <f t="shared" si="6"/>
        <v>Yes</v>
      </c>
    </row>
    <row r="2299">
      <c r="A2299" s="4" t="s">
        <v>16</v>
      </c>
      <c r="B2299" s="4" t="s">
        <v>6434</v>
      </c>
      <c r="C2299" s="5">
        <v>44699.0</v>
      </c>
      <c r="D2299" s="5">
        <v>44699.0</v>
      </c>
      <c r="E2299" s="4" t="s">
        <v>6435</v>
      </c>
      <c r="F2299" s="4" t="s">
        <v>6436</v>
      </c>
      <c r="G2299" s="6" t="str">
        <f>IFERROR(__xludf.DUMMYFUNCTION("REGEXREPLACE(LOWER(F2299),""[^a-z\s]"","""")"),"my second order experience was just as great as the first one great business")</f>
        <v>my second order experience was just as great as the first one great business</v>
      </c>
      <c r="H2299" s="4" t="str">
        <f t="shared" si="1"/>
        <v>my second order experience was just as great as first one great business</v>
      </c>
      <c r="I2299" s="6">
        <f t="shared" si="2"/>
        <v>13</v>
      </c>
      <c r="J2299" s="6">
        <f>IFERROR(__xludf.DUMMYFUNCTION("IF(H2299="""","""",
SUM(
ARRAYFORMULA(
IF(
REGEXMATCH(
"" ""&amp;H2299&amp;"" "",
"" ""&amp;Sentiment_Words!A$2:A3730&amp;"" ""
),
1,
0
)
)
)
)"),1.0)</f>
        <v>1</v>
      </c>
      <c r="K2299" s="4">
        <f>IFERROR(__xludf.DUMMYFUNCTION("IF(H2299="""","""",
SUM(
ARRAYFORMULA(
IF(
REGEXMATCH(
"" ""&amp;H2299&amp;"" "",
"" ""&amp;Sentiment_Words!B$2:B3730&amp;"" ""
),
1,
0
)
)
)
)"),0.0)</f>
        <v>0</v>
      </c>
      <c r="L2299" s="7" t="str">
        <f t="shared" si="3"/>
        <v>Other</v>
      </c>
      <c r="M2299" s="7" t="str">
        <f t="shared" si="4"/>
        <v>Positive</v>
      </c>
      <c r="N2299" s="7" t="str">
        <f>IFERROR(__xludf.DUMMYFUNCTION("LOWER(
TRIM(
REGEXREPLACE(B2299,""[^a-zA-Z\s]"","""")
)
)
"),"denise m")</f>
        <v>denise m</v>
      </c>
      <c r="O2299" s="7">
        <f t="shared" si="5"/>
        <v>1</v>
      </c>
      <c r="P2299" s="8" t="str">
        <f t="shared" si="6"/>
        <v>No</v>
      </c>
    </row>
    <row r="2300">
      <c r="A2300" s="4" t="s">
        <v>16</v>
      </c>
      <c r="B2300" s="4" t="s">
        <v>6437</v>
      </c>
      <c r="C2300" s="5">
        <v>44699.0</v>
      </c>
      <c r="D2300" s="5">
        <v>44699.0</v>
      </c>
      <c r="E2300" s="4" t="s">
        <v>6438</v>
      </c>
      <c r="F2300" s="4" t="s">
        <v>6439</v>
      </c>
      <c r="G2300" s="6" t="str">
        <f>IFERROR(__xludf.DUMMYFUNCTION("REGEXREPLACE(LOWER(F2300),""[^a-z\s]"","""")"),"my order is always delivered in a timely manner if there is ever a question i get answers quickly in a professional and friendly way")</f>
        <v>my order is always delivered in a timely manner if there is ever a question i get answers quickly in a professional and friendly way</v>
      </c>
      <c r="H2300" s="4" t="str">
        <f t="shared" si="1"/>
        <v>my order always delivered in a timely manner if there ever a question i get answers quickly in a professional friendly way</v>
      </c>
      <c r="I2300" s="6">
        <f t="shared" si="2"/>
        <v>22</v>
      </c>
      <c r="J2300" s="6">
        <f>IFERROR(__xludf.DUMMYFUNCTION("IF(H2300="""","""",
SUM(
ARRAYFORMULA(
IF(
REGEXMATCH(
"" ""&amp;H2300&amp;"" "",
"" ""&amp;Sentiment_Words!A$2:A3730&amp;"" ""
),
1,
0
)
)
)
)"),1.0)</f>
        <v>1</v>
      </c>
      <c r="K2300" s="4">
        <f>IFERROR(__xludf.DUMMYFUNCTION("IF(H2300="""","""",
SUM(
ARRAYFORMULA(
IF(
REGEXMATCH(
"" ""&amp;H2300&amp;"" "",
"" ""&amp;Sentiment_Words!B$2:B3730&amp;"" ""
),
1,
0
)
)
)
)"),0.0)</f>
        <v>0</v>
      </c>
      <c r="L2300" s="7" t="str">
        <f t="shared" si="3"/>
        <v>Other</v>
      </c>
      <c r="M2300" s="7" t="str">
        <f t="shared" si="4"/>
        <v>Positive</v>
      </c>
      <c r="N2300" s="7" t="str">
        <f>IFERROR(__xludf.DUMMYFUNCTION("LOWER(
TRIM(
REGEXREPLACE(B2300,""[^a-zA-Z\s]"","""")
)
)
"),"rhea")</f>
        <v>rhea</v>
      </c>
      <c r="O2300" s="7">
        <f t="shared" si="5"/>
        <v>1</v>
      </c>
      <c r="P2300" s="8" t="str">
        <f t="shared" si="6"/>
        <v>No</v>
      </c>
    </row>
    <row r="2301">
      <c r="A2301" s="4" t="s">
        <v>16</v>
      </c>
      <c r="B2301" s="4" t="s">
        <v>496</v>
      </c>
      <c r="C2301" s="5">
        <v>44699.0</v>
      </c>
      <c r="D2301" s="5">
        <v>44699.0</v>
      </c>
      <c r="E2301" s="4" t="s">
        <v>6440</v>
      </c>
      <c r="F2301" s="4" t="s">
        <v>6441</v>
      </c>
      <c r="G2301" s="6" t="str">
        <f>IFERROR(__xludf.DUMMYFUNCTION("REGEXREPLACE(LOWER(F2301),""[^a-z\s]"","""")"),"petflow has been my goto for years now for a reason")</f>
        <v>petflow has been my goto for years now for a reason</v>
      </c>
      <c r="H2301" s="4" t="str">
        <f t="shared" si="1"/>
        <v>petflow has been my goto years now a reason</v>
      </c>
      <c r="I2301" s="6">
        <f t="shared" si="2"/>
        <v>9</v>
      </c>
      <c r="J2301" s="6">
        <f>IFERROR(__xludf.DUMMYFUNCTION("IF(H2301="""","""",
SUM(
ARRAYFORMULA(
IF(
REGEXMATCH(
"" ""&amp;H2301&amp;"" "",
"" ""&amp;Sentiment_Words!A$2:A3730&amp;"" ""
),
1,
0
)
)
)
)"),0.0)</f>
        <v>0</v>
      </c>
      <c r="K2301" s="4">
        <f>IFERROR(__xludf.DUMMYFUNCTION("IF(H2301="""","""",
SUM(
ARRAYFORMULA(
IF(
REGEXMATCH(
"" ""&amp;H2301&amp;"" "",
"" ""&amp;Sentiment_Words!B$2:B3730&amp;"" ""
),
1,
0
)
)
)
)"),0.0)</f>
        <v>0</v>
      </c>
      <c r="L2301" s="7" t="str">
        <f t="shared" si="3"/>
        <v>Other</v>
      </c>
      <c r="M2301" s="7" t="str">
        <f t="shared" si="4"/>
        <v>Neutral</v>
      </c>
      <c r="N2301" s="7" t="str">
        <f>IFERROR(__xludf.DUMMYFUNCTION("LOWER(
TRIM(
REGEXREPLACE(B2301,""[^a-zA-Z\s]"","""")
)
)
"),"robert")</f>
        <v>robert</v>
      </c>
      <c r="O2301" s="7">
        <f t="shared" si="5"/>
        <v>5</v>
      </c>
      <c r="P2301" s="8" t="str">
        <f t="shared" si="6"/>
        <v>Yes</v>
      </c>
    </row>
    <row r="2302">
      <c r="A2302" s="4" t="s">
        <v>16</v>
      </c>
      <c r="B2302" s="4" t="s">
        <v>6442</v>
      </c>
      <c r="C2302" s="5">
        <v>44698.0</v>
      </c>
      <c r="D2302" s="5">
        <v>44698.0</v>
      </c>
      <c r="E2302" s="4" t="s">
        <v>6443</v>
      </c>
      <c r="F2302" s="4" t="s">
        <v>6444</v>
      </c>
      <c r="G2302" s="6" t="str">
        <f>IFERROR(__xludf.DUMMYFUNCTION("REGEXREPLACE(LOWER(F2302),""[^a-z\s]"","""")"),"excellent availability of products customer service shipping and communication")</f>
        <v>excellent availability of products customer service shipping and communication</v>
      </c>
      <c r="H2302" s="4" t="str">
        <f t="shared" si="1"/>
        <v>excellent availability of products customer service shipping communication</v>
      </c>
      <c r="I2302" s="6">
        <f t="shared" si="2"/>
        <v>8</v>
      </c>
      <c r="J2302" s="6">
        <f>IFERROR(__xludf.DUMMYFUNCTION("IF(H2302="""","""",
SUM(
ARRAYFORMULA(
IF(
REGEXMATCH(
"" ""&amp;H2302&amp;"" "",
"" ""&amp;Sentiment_Words!A$2:A3730&amp;"" ""
),
1,
0
)
)
)
)"),0.0)</f>
        <v>0</v>
      </c>
      <c r="K2302" s="4">
        <f>IFERROR(__xludf.DUMMYFUNCTION("IF(H2302="""","""",
SUM(
ARRAYFORMULA(
IF(
REGEXMATCH(
"" ""&amp;H2302&amp;"" "",
"" ""&amp;Sentiment_Words!B$2:B3730&amp;"" ""
),
1,
0
)
)
)
)"),1.0)</f>
        <v>1</v>
      </c>
      <c r="L2302" s="7" t="str">
        <f t="shared" si="3"/>
        <v>Customer Support</v>
      </c>
      <c r="M2302" s="7" t="str">
        <f t="shared" si="4"/>
        <v>Negative</v>
      </c>
      <c r="N2302" s="7" t="str">
        <f>IFERROR(__xludf.DUMMYFUNCTION("LOWER(
TRIM(
REGEXREPLACE(B2302,""[^a-zA-Z\s]"","""")
)
)
"),"carol berdar")</f>
        <v>carol berdar</v>
      </c>
      <c r="O2302" s="7">
        <f t="shared" si="5"/>
        <v>1</v>
      </c>
      <c r="P2302" s="8" t="str">
        <f t="shared" si="6"/>
        <v>No</v>
      </c>
    </row>
    <row r="2303">
      <c r="A2303" s="4" t="s">
        <v>16</v>
      </c>
      <c r="B2303" s="4" t="s">
        <v>6445</v>
      </c>
      <c r="C2303" s="5">
        <v>44698.0</v>
      </c>
      <c r="D2303" s="5">
        <v>44698.0</v>
      </c>
      <c r="E2303" s="4" t="s">
        <v>6446</v>
      </c>
      <c r="F2303" s="4" t="s">
        <v>6447</v>
      </c>
      <c r="G2303" s="6" t="str">
        <f>IFERROR(__xludf.DUMMYFUNCTION("REGEXREPLACE(LOWER(F2303),""[^a-z\s]"","""")"),"so easy to order my pets prescription meds on petflow they contact your vet directly for approval which takes all the work out of my hands shipping is quick and its very easy to amend the shipment schedule if needed
thank you petflow for such awesome serv"&amp;"ice")</f>
        <v>so easy to order my pets prescription meds on petflow they contact your vet directly for approval which takes all the work out of my hands shipping is quick and its very easy to amend the shipment schedule if needed
thank you petflow for such awesome service</v>
      </c>
      <c r="H2303" s="4" t="str">
        <f t="shared" si="1"/>
        <v>so easy order my pets prescription meds on petflow they contact your vet directly approval which takes all work out of my hands shipping quick its very easy amend shipment schedule if needed
thank you petflow such awesome service</v>
      </c>
      <c r="I2303" s="6">
        <f t="shared" si="2"/>
        <v>38</v>
      </c>
      <c r="J2303" s="6">
        <f>IFERROR(__xludf.DUMMYFUNCTION("IF(H2303="""","""",
SUM(
ARRAYFORMULA(
IF(
REGEXMATCH(
"" ""&amp;H2303&amp;"" "",
"" ""&amp;Sentiment_Words!A$2:A3730&amp;"" ""
),
1,
0
)
)
)
)"),1.0)</f>
        <v>1</v>
      </c>
      <c r="K2303" s="4">
        <f>IFERROR(__xludf.DUMMYFUNCTION("IF(H2303="""","""",
SUM(
ARRAYFORMULA(
IF(
REGEXMATCH(
"" ""&amp;H2303&amp;"" "",
"" ""&amp;Sentiment_Words!B$2:B3730&amp;"" ""
),
1,
0
)
)
)
)"),0.0)</f>
        <v>0</v>
      </c>
      <c r="L2303" s="7" t="str">
        <f t="shared" si="3"/>
        <v>Customer Support</v>
      </c>
      <c r="M2303" s="7" t="str">
        <f t="shared" si="4"/>
        <v>Positive</v>
      </c>
      <c r="N2303" s="7" t="str">
        <f>IFERROR(__xludf.DUMMYFUNCTION("LOWER(
TRIM(
REGEXREPLACE(B2303,""[^a-zA-Z\s]"","""")
)
)
"),"crystelyn guererri")</f>
        <v>crystelyn guererri</v>
      </c>
      <c r="O2303" s="7">
        <f t="shared" si="5"/>
        <v>1</v>
      </c>
      <c r="P2303" s="8" t="str">
        <f t="shared" si="6"/>
        <v>No</v>
      </c>
    </row>
    <row r="2304">
      <c r="A2304" s="4" t="s">
        <v>16</v>
      </c>
      <c r="B2304" s="4" t="s">
        <v>6448</v>
      </c>
      <c r="C2304" s="5">
        <v>44698.0</v>
      </c>
      <c r="D2304" s="5">
        <v>44698.0</v>
      </c>
      <c r="E2304" s="4" t="s">
        <v>6449</v>
      </c>
      <c r="F2304" s="4" t="s">
        <v>6450</v>
      </c>
      <c r="G2304" s="6" t="str">
        <f>IFERROR(__xludf.DUMMYFUNCTION("REGEXREPLACE(LOWER(F2304),""[^a-z\s]"","""")"),"i was searching for a specific food for my new puppy that was not available in many places found it here ordered and had it so fast itd make your head spin  thank you ")</f>
        <v>i was searching for a specific food for my new puppy that was not available in many places found it here ordered and had it so fast itd make your head spin  thank you </v>
      </c>
      <c r="H2304" s="4" t="str">
        <f t="shared" si="1"/>
        <v>i was searching a specific food my new puppy that was not available in many places found it here ordered had it so fast itd make your head spin thank you</v>
      </c>
      <c r="I2304" s="6">
        <f t="shared" si="2"/>
        <v>31</v>
      </c>
      <c r="J2304" s="6">
        <f>IFERROR(__xludf.DUMMYFUNCTION("IF(H2304="""","""",
SUM(
ARRAYFORMULA(
IF(
REGEXMATCH(
"" ""&amp;H2304&amp;"" "",
"" ""&amp;Sentiment_Words!A$2:A3730&amp;"" ""
),
1,
0
)
)
)
)"),3.0)</f>
        <v>3</v>
      </c>
      <c r="K2304" s="4">
        <f>IFERROR(__xludf.DUMMYFUNCTION("IF(H2304="""","""",
SUM(
ARRAYFORMULA(
IF(
REGEXMATCH(
"" ""&amp;H2304&amp;"" "",
"" ""&amp;Sentiment_Words!B$2:B3730&amp;"" ""
),
1,
0
)
)
)
)"),0.0)</f>
        <v>0</v>
      </c>
      <c r="L2304" s="7" t="str">
        <f t="shared" si="3"/>
        <v>Other</v>
      </c>
      <c r="M2304" s="7" t="str">
        <f t="shared" si="4"/>
        <v>Positive</v>
      </c>
      <c r="N2304" s="7" t="str">
        <f>IFERROR(__xludf.DUMMYFUNCTION("LOWER(
TRIM(
REGEXREPLACE(B2304,""[^a-zA-Z\s]"","""")
)
)
"),"skip woodruff")</f>
        <v>skip woodruff</v>
      </c>
      <c r="O2304" s="7">
        <f t="shared" si="5"/>
        <v>1</v>
      </c>
      <c r="P2304" s="8" t="str">
        <f t="shared" si="6"/>
        <v>No</v>
      </c>
    </row>
    <row r="2305">
      <c r="A2305" s="4" t="s">
        <v>16</v>
      </c>
      <c r="B2305" s="4" t="s">
        <v>6451</v>
      </c>
      <c r="C2305" s="5">
        <v>44698.0</v>
      </c>
      <c r="D2305" s="5">
        <v>44698.0</v>
      </c>
      <c r="E2305" s="4" t="s">
        <v>6452</v>
      </c>
      <c r="F2305" s="4" t="s">
        <v>6453</v>
      </c>
      <c r="G2305" s="6" t="str">
        <f>IFERROR(__xludf.DUMMYFUNCTION("REGEXREPLACE(LOWER(F2305),""[^a-z\s]"","""")"),"i received my product before the original date i was very impressed since i never heard of them but i will continue to use them i highly recommend them")</f>
        <v>i received my product before the original date i was very impressed since i never heard of them but i will continue to use them i highly recommend them</v>
      </c>
      <c r="H2305" s="4" t="str">
        <f t="shared" si="1"/>
        <v>i received my product before original date i was very impressed since i never heard of them but i will continue use them i highly recommend them</v>
      </c>
      <c r="I2305" s="6">
        <f t="shared" si="2"/>
        <v>27</v>
      </c>
      <c r="J2305" s="6">
        <f>IFERROR(__xludf.DUMMYFUNCTION("IF(H2305="""","""",
SUM(
ARRAYFORMULA(
IF(
REGEXMATCH(
"" ""&amp;H2305&amp;"" "",
"" ""&amp;Sentiment_Words!A$2:A3730&amp;"" ""
),
1,
0
)
)
)
)"),1.0)</f>
        <v>1</v>
      </c>
      <c r="K2305" s="4">
        <f>IFERROR(__xludf.DUMMYFUNCTION("IF(H2305="""","""",
SUM(
ARRAYFORMULA(
IF(
REGEXMATCH(
"" ""&amp;H2305&amp;"" "",
"" ""&amp;Sentiment_Words!B$2:B3730&amp;"" ""
),
1,
0
)
)
)
)"),0.0)</f>
        <v>0</v>
      </c>
      <c r="L2305" s="7" t="str">
        <f t="shared" si="3"/>
        <v>Service Recovery</v>
      </c>
      <c r="M2305" s="7" t="str">
        <f t="shared" si="4"/>
        <v>Positive</v>
      </c>
      <c r="N2305" s="7" t="str">
        <f>IFERROR(__xludf.DUMMYFUNCTION("LOWER(
TRIM(
REGEXREPLACE(B2305,""[^a-zA-Z\s]"","""")
)
)
"),"not a happy customer")</f>
        <v>not a happy customer</v>
      </c>
      <c r="O2305" s="7">
        <f t="shared" si="5"/>
        <v>1</v>
      </c>
      <c r="P2305" s="8" t="str">
        <f t="shared" si="6"/>
        <v>No</v>
      </c>
    </row>
    <row r="2306">
      <c r="A2306" s="4" t="s">
        <v>16</v>
      </c>
      <c r="B2306" s="4" t="s">
        <v>6454</v>
      </c>
      <c r="C2306" s="5">
        <v>44698.0</v>
      </c>
      <c r="D2306" s="5">
        <v>44698.0</v>
      </c>
      <c r="E2306" s="4" t="s">
        <v>6455</v>
      </c>
      <c r="F2306" s="4" t="s">
        <v>6456</v>
      </c>
      <c r="G2306" s="6" t="str">
        <f>IFERROR(__xludf.DUMMYFUNCTION("REGEXREPLACE(LOWER(F2306),""[^a-z\s]"","""")"),"excellent service and product our fur baby loves the butcher block champ bones")</f>
        <v>excellent service and product our fur baby loves the butcher block champ bones</v>
      </c>
      <c r="H2306" s="4" t="str">
        <f t="shared" si="1"/>
        <v>excellent service product our fur baby loves butcher block champ bones</v>
      </c>
      <c r="I2306" s="6">
        <f t="shared" si="2"/>
        <v>11</v>
      </c>
      <c r="J2306" s="6">
        <f>IFERROR(__xludf.DUMMYFUNCTION("IF(H2306="""","""",
SUM(
ARRAYFORMULA(
IF(
REGEXMATCH(
"" ""&amp;H2306&amp;"" "",
"" ""&amp;Sentiment_Words!A$2:A3730&amp;"" ""
),
1,
0
)
)
)
)"),0.0)</f>
        <v>0</v>
      </c>
      <c r="K2306" s="4">
        <f>IFERROR(__xludf.DUMMYFUNCTION("IF(H2306="""","""",
SUM(
ARRAYFORMULA(
IF(
REGEXMATCH(
"" ""&amp;H2306&amp;"" "",
"" ""&amp;Sentiment_Words!B$2:B3730&amp;"" ""
),
1,
0
)
)
)
)"),0.0)</f>
        <v>0</v>
      </c>
      <c r="L2306" s="7" t="str">
        <f t="shared" si="3"/>
        <v>Customer Support</v>
      </c>
      <c r="M2306" s="7" t="str">
        <f t="shared" si="4"/>
        <v>Neutral</v>
      </c>
      <c r="N2306" s="7" t="str">
        <f>IFERROR(__xludf.DUMMYFUNCTION("LOWER(
TRIM(
REGEXREPLACE(B2306,""[^a-zA-Z\s]"","""")
)
)
"),"sandra sturgeon")</f>
        <v>sandra sturgeon</v>
      </c>
      <c r="O2306" s="7">
        <f t="shared" si="5"/>
        <v>1</v>
      </c>
      <c r="P2306" s="8" t="str">
        <f t="shared" si="6"/>
        <v>No</v>
      </c>
    </row>
    <row r="2307">
      <c r="A2307" s="4" t="s">
        <v>16</v>
      </c>
      <c r="B2307" s="4" t="s">
        <v>5337</v>
      </c>
      <c r="C2307" s="5">
        <v>44698.0</v>
      </c>
      <c r="D2307" s="4" t="s">
        <v>6457</v>
      </c>
      <c r="E2307" s="4" t="s">
        <v>6458</v>
      </c>
      <c r="F2307" s="4" t="s">
        <v>6459</v>
      </c>
      <c r="G2307" s="6" t="str">
        <f>IFERROR(__xludf.DUMMYFUNCTION("REGEXREPLACE(LOWER(F2307),""[^a-z\s]"","""")"),"when the package came everything was so jammed in there that the stella and chewy patties were crushed i purchased  bags of the stella and each bag had broken pieces in there")</f>
        <v>when the package came everything was so jammed in there that the stella and chewy patties were crushed i purchased  bags of the stella and each bag had broken pieces in there</v>
      </c>
      <c r="H2307" s="4" t="str">
        <f t="shared" si="1"/>
        <v>when package came everything was so jammed in there that stella chewy patties were crushed i purchased bags of stella each bag had broken pieces in there</v>
      </c>
      <c r="I2307" s="6">
        <f t="shared" si="2"/>
        <v>27</v>
      </c>
      <c r="J2307" s="6">
        <f>IFERROR(__xludf.DUMMYFUNCTION("IF(H2307="""","""",
SUM(
ARRAYFORMULA(
IF(
REGEXMATCH(
"" ""&amp;H2307&amp;"" "",
"" ""&amp;Sentiment_Words!A$2:A3730&amp;"" ""
),
1,
0
)
)
)
)"),0.0)</f>
        <v>0</v>
      </c>
      <c r="K2307" s="4">
        <f>IFERROR(__xludf.DUMMYFUNCTION("IF(H2307="""","""",
SUM(
ARRAYFORMULA(
IF(
REGEXMATCH(
"" ""&amp;H2307&amp;"" "",
"" ""&amp;Sentiment_Words!B$2:B3730&amp;"" ""
),
1,
0
)
)
)
)"),0.0)</f>
        <v>0</v>
      </c>
      <c r="L2307" s="7" t="str">
        <f t="shared" si="3"/>
        <v>Other</v>
      </c>
      <c r="M2307" s="7" t="str">
        <f t="shared" si="4"/>
        <v>Neutral</v>
      </c>
      <c r="N2307" s="7" t="str">
        <f>IFERROR(__xludf.DUMMYFUNCTION("LOWER(
TRIM(
REGEXREPLACE(B2307,""[^a-zA-Z\s]"","""")
)
)
"),"jc")</f>
        <v>jc</v>
      </c>
      <c r="O2307" s="7">
        <f t="shared" si="5"/>
        <v>2</v>
      </c>
      <c r="P2307" s="8" t="str">
        <f t="shared" si="6"/>
        <v>Yes</v>
      </c>
    </row>
    <row r="2308">
      <c r="A2308" s="4" t="s">
        <v>16</v>
      </c>
      <c r="B2308" s="4" t="s">
        <v>6460</v>
      </c>
      <c r="C2308" s="5">
        <v>44698.0</v>
      </c>
      <c r="D2308" s="5">
        <v>44698.0</v>
      </c>
      <c r="E2308" s="4" t="s">
        <v>6461</v>
      </c>
      <c r="F2308" s="4" t="s">
        <v>6462</v>
      </c>
      <c r="G2308" s="6" t="str">
        <f>IFERROR(__xludf.DUMMYFUNCTION("REGEXREPLACE(LOWER(F2308),""[^a-z\s]"","""")"),"petflow had the dog food that i needed that everyone else was out of it came quickly and without any issues their website was easy to navigate also")</f>
        <v>petflow had the dog food that i needed that everyone else was out of it came quickly and without any issues their website was easy to navigate also</v>
      </c>
      <c r="H2308" s="4" t="str">
        <f t="shared" si="1"/>
        <v>petflow had dog food that i needed that everyone else was out of it came quickly without any issues their website was easy navigate also</v>
      </c>
      <c r="I2308" s="6">
        <f t="shared" si="2"/>
        <v>25</v>
      </c>
      <c r="J2308" s="6">
        <f>IFERROR(__xludf.DUMMYFUNCTION("IF(H2308="""","""",
SUM(
ARRAYFORMULA(
IF(
REGEXMATCH(
"" ""&amp;H2308&amp;"" "",
"" ""&amp;Sentiment_Words!A$2:A3730&amp;"" ""
),
1,
0
)
)
)
)"),1.0)</f>
        <v>1</v>
      </c>
      <c r="K2308" s="4">
        <f>IFERROR(__xludf.DUMMYFUNCTION("IF(H2308="""","""",
SUM(
ARRAYFORMULA(
IF(
REGEXMATCH(
"" ""&amp;H2308&amp;"" "",
"" ""&amp;Sentiment_Words!B$2:B3730&amp;"" ""
),
1,
0
)
)
)
)"),0.0)</f>
        <v>0</v>
      </c>
      <c r="L2308" s="7" t="str">
        <f t="shared" si="3"/>
        <v>Account &amp; Website</v>
      </c>
      <c r="M2308" s="7" t="str">
        <f t="shared" si="4"/>
        <v>Positive</v>
      </c>
      <c r="N2308" s="7" t="str">
        <f>IFERROR(__xludf.DUMMYFUNCTION("LOWER(
TRIM(
REGEXREPLACE(B2308,""[^a-zA-Z\s]"","""")
)
)
"),"jennifer nelson")</f>
        <v>jennifer nelson</v>
      </c>
      <c r="O2308" s="7">
        <f t="shared" si="5"/>
        <v>1</v>
      </c>
      <c r="P2308" s="8" t="str">
        <f t="shared" si="6"/>
        <v>No</v>
      </c>
    </row>
    <row r="2309">
      <c r="A2309" s="4" t="s">
        <v>16</v>
      </c>
      <c r="B2309" s="4" t="s">
        <v>6463</v>
      </c>
      <c r="C2309" s="5">
        <v>44697.0</v>
      </c>
      <c r="D2309" s="5">
        <v>44698.0</v>
      </c>
      <c r="E2309" s="4" t="s">
        <v>6464</v>
      </c>
      <c r="F2309" s="4" t="s">
        <v>6465</v>
      </c>
      <c r="G2309" s="6" t="str">
        <f>IFERROR(__xludf.DUMMYFUNCTION("REGEXREPLACE(LOWER(F2309),""[^a-z\s]"","""")"),"when other sites were out of the prescription food my dog needs petflow was the only place i could find it and at a good price too delivery was fast also")</f>
        <v>when other sites were out of the prescription food my dog needs petflow was the only place i could find it and at a good price too delivery was fast also</v>
      </c>
      <c r="H2309" s="4" t="str">
        <f t="shared" si="1"/>
        <v>when other sites were out of prescription food my dog needs petflow was only place i could find it at a good price too delivery was fast also</v>
      </c>
      <c r="I2309" s="6">
        <f t="shared" si="2"/>
        <v>28</v>
      </c>
      <c r="J2309" s="6">
        <f>IFERROR(__xludf.DUMMYFUNCTION("IF(H2309="""","""",
SUM(
ARRAYFORMULA(
IF(
REGEXMATCH(
"" ""&amp;H2309&amp;"" "",
"" ""&amp;Sentiment_Words!A$2:A3730&amp;"" ""
),
1,
0
)
)
)
)"),2.0)</f>
        <v>2</v>
      </c>
      <c r="K2309" s="4">
        <f>IFERROR(__xludf.DUMMYFUNCTION("IF(H2309="""","""",
SUM(
ARRAYFORMULA(
IF(
REGEXMATCH(
"" ""&amp;H2309&amp;"" "",
"" ""&amp;Sentiment_Words!B$2:B3730&amp;"" ""
),
1,
0
)
)
)
)"),0.0)</f>
        <v>0</v>
      </c>
      <c r="L2309" s="7" t="str">
        <f t="shared" si="3"/>
        <v>Other</v>
      </c>
      <c r="M2309" s="7" t="str">
        <f t="shared" si="4"/>
        <v>Positive</v>
      </c>
      <c r="N2309" s="7" t="str">
        <f>IFERROR(__xludf.DUMMYFUNCTION("LOWER(
TRIM(
REGEXREPLACE(B2309,""[^a-zA-Z\s]"","""")
)
)
"),"ks")</f>
        <v>ks</v>
      </c>
      <c r="O2309" s="7">
        <f t="shared" si="5"/>
        <v>2</v>
      </c>
      <c r="P2309" s="8" t="str">
        <f t="shared" si="6"/>
        <v>Yes</v>
      </c>
    </row>
    <row r="2310">
      <c r="A2310" s="4" t="s">
        <v>16</v>
      </c>
      <c r="B2310" s="4" t="s">
        <v>6466</v>
      </c>
      <c r="C2310" s="5">
        <v>44697.0</v>
      </c>
      <c r="D2310" s="5">
        <v>44697.0</v>
      </c>
      <c r="E2310" s="4" t="s">
        <v>623</v>
      </c>
      <c r="F2310" s="4" t="s">
        <v>6467</v>
      </c>
      <c r="G2310" s="6" t="str">
        <f>IFERROR(__xludf.DUMMYFUNCTION("REGEXREPLACE(LOWER(F2310),""[^a-z\s]"","""")"),"great service competitive pricing")</f>
        <v>great service competitive pricing</v>
      </c>
      <c r="H2310" s="4" t="str">
        <f t="shared" si="1"/>
        <v>great service competitive pricing</v>
      </c>
      <c r="I2310" s="6">
        <f t="shared" si="2"/>
        <v>4</v>
      </c>
      <c r="J2310" s="6">
        <f>IFERROR(__xludf.DUMMYFUNCTION("IF(H2310="""","""",
SUM(
ARRAYFORMULA(
IF(
REGEXMATCH(
"" ""&amp;H2310&amp;"" "",
"" ""&amp;Sentiment_Words!A$2:A3730&amp;"" ""
),
1,
0
)
)
)
)"),1.0)</f>
        <v>1</v>
      </c>
      <c r="K2310" s="4">
        <f>IFERROR(__xludf.DUMMYFUNCTION("IF(H2310="""","""",
SUM(
ARRAYFORMULA(
IF(
REGEXMATCH(
"" ""&amp;H2310&amp;"" "",
"" ""&amp;Sentiment_Words!B$2:B3730&amp;"" ""
),
1,
0
)
)
)
)"),0.0)</f>
        <v>0</v>
      </c>
      <c r="L2310" s="7" t="str">
        <f t="shared" si="3"/>
        <v>Customer Support</v>
      </c>
      <c r="M2310" s="7" t="str">
        <f t="shared" si="4"/>
        <v>Positive</v>
      </c>
      <c r="N2310" s="7" t="str">
        <f>IFERROR(__xludf.DUMMYFUNCTION("LOWER(
TRIM(
REGEXREPLACE(B2310,""[^a-zA-Z\s]"","""")
)
)
"),"nancy carrington")</f>
        <v>nancy carrington</v>
      </c>
      <c r="O2310" s="7">
        <f t="shared" si="5"/>
        <v>1</v>
      </c>
      <c r="P2310" s="8" t="str">
        <f t="shared" si="6"/>
        <v>No</v>
      </c>
    </row>
    <row r="2311">
      <c r="A2311" s="4" t="s">
        <v>16</v>
      </c>
      <c r="B2311" s="4" t="s">
        <v>6468</v>
      </c>
      <c r="C2311" s="5">
        <v>44697.0</v>
      </c>
      <c r="D2311" s="5">
        <v>44697.0</v>
      </c>
      <c r="E2311" s="4" t="s">
        <v>6469</v>
      </c>
      <c r="F2311" s="4" t="s">
        <v>6470</v>
      </c>
      <c r="G2311" s="6" t="str">
        <f>IFERROR(__xludf.DUMMYFUNCTION("REGEXREPLACE(LOWER(F2311),""[^a-z\s]"","""")"),"petflow had a rocky start with me because it was difficult to get customer service but they have improved so much in that department that a  star is appropriate they are the only pet delivery that has my dogs dry food and they give a years worth of coupon"&amp;"s to offset the expense of it they also carry specialty treats that my dog finds mouth watering by butchers block my cat treats container always comes cracked and broken with food everywhere when shipped by the other pet food delivery service but not with"&amp;" petflow on occasion they offer incentive discounts to ship early for auto delivery and i almost always take advantage of that my great dane is worth every penny i spend but its nice to be offered discounts i highly recommend")</f>
        <v>petflow had a rocky start with me because it was difficult to get customer service but they have improved so much in that department that a  star is appropriate they are the only pet delivery that has my dogs dry food and they give a years worth of coupons to offset the expense of it they also carry specialty treats that my dog finds mouth watering by butchers block my cat treats container always comes cracked and broken with food everywhere when shipped by the other pet food delivery service but not with petflow on occasion they offer incentive discounts to ship early for auto delivery and i almost always take advantage of that my great dane is worth every penny i spend but its nice to be offered discounts i highly recommend</v>
      </c>
      <c r="H2311" s="4" t="str">
        <f t="shared" si="1"/>
        <v>petflow had a rocky start with me because it was difficult get customer service but they have improved so much in that department that a star appropriate they are only pet delivery that has my dogs dry food they give a years worth of coupons offset expense of it they also carry specialty treats that my dog finds mouth watering by butchers block my cat treats container always comes cracked broken with food everywhere when shipped by other pet food delivery service but not with petflow on occasion they offer incentive discounts ship early auto delivery i almost always take advantage of that my great dane worth every penny i spend but its nice be offered discounts i highly recommend</v>
      </c>
      <c r="I2311" s="6">
        <f t="shared" si="2"/>
        <v>120</v>
      </c>
      <c r="J2311" s="6">
        <f>IFERROR(__xludf.DUMMYFUNCTION("IF(H2311="""","""",
SUM(
ARRAYFORMULA(
IF(
REGEXMATCH(
"" ""&amp;H2311&amp;"" "",
"" ""&amp;Sentiment_Words!A$2:A3730&amp;"" ""
),
1,
0
)
)
)
)"),2.0)</f>
        <v>2</v>
      </c>
      <c r="K2311" s="4">
        <f>IFERROR(__xludf.DUMMYFUNCTION("IF(H2311="""","""",
SUM(
ARRAYFORMULA(
IF(
REGEXMATCH(
"" ""&amp;H2311&amp;"" "",
"" ""&amp;Sentiment_Words!B$2:B3730&amp;"" ""
),
1,
0
)
)
)
)"),1.0)</f>
        <v>1</v>
      </c>
      <c r="L2311" s="7" t="str">
        <f t="shared" si="3"/>
        <v>Customer Support</v>
      </c>
      <c r="M2311" s="7" t="str">
        <f t="shared" si="4"/>
        <v>Positive</v>
      </c>
      <c r="N2311" s="7" t="str">
        <f>IFERROR(__xludf.DUMMYFUNCTION("LOWER(
TRIM(
REGEXREPLACE(B2311,""[^a-zA-Z\s]"","""")
)
)
"),"deborah may dunn")</f>
        <v>deborah may dunn</v>
      </c>
      <c r="O2311" s="7">
        <f t="shared" si="5"/>
        <v>1</v>
      </c>
      <c r="P2311" s="8" t="str">
        <f t="shared" si="6"/>
        <v>No</v>
      </c>
    </row>
    <row r="2312">
      <c r="A2312" s="4" t="s">
        <v>16</v>
      </c>
      <c r="B2312" s="4" t="s">
        <v>6471</v>
      </c>
      <c r="C2312" s="5">
        <v>44697.0</v>
      </c>
      <c r="D2312" s="5">
        <v>44697.0</v>
      </c>
      <c r="E2312" s="4" t="s">
        <v>6472</v>
      </c>
      <c r="F2312" s="4" t="s">
        <v>6473</v>
      </c>
      <c r="G2312" s="6" t="str">
        <f>IFERROR(__xludf.DUMMYFUNCTION("REGEXREPLACE(LOWER(F2312),""[^a-z\s]"","""")"),"delivery was okay no issues with package or product price okay too")</f>
        <v>delivery was okay no issues with package or product price okay too</v>
      </c>
      <c r="H2312" s="4" t="str">
        <f t="shared" si="1"/>
        <v>delivery was okay no issues with package or product price okay too</v>
      </c>
      <c r="I2312" s="6">
        <f t="shared" si="2"/>
        <v>12</v>
      </c>
      <c r="J2312" s="6">
        <f>IFERROR(__xludf.DUMMYFUNCTION("IF(H2312="""","""",
SUM(
ARRAYFORMULA(
IF(
REGEXMATCH(
"" ""&amp;H2312&amp;"" "",
"" ""&amp;Sentiment_Words!A$2:A3730&amp;"" ""
),
1,
0
)
)
)
)"),1.0)</f>
        <v>1</v>
      </c>
      <c r="K2312" s="4">
        <f>IFERROR(__xludf.DUMMYFUNCTION("IF(H2312="""","""",
SUM(
ARRAYFORMULA(
IF(
REGEXMATCH(
"" ""&amp;H2312&amp;"" "",
"" ""&amp;Sentiment_Words!B$2:B3730&amp;"" ""
),
1,
0
)
)
)
)"),0.0)</f>
        <v>0</v>
      </c>
      <c r="L2312" s="7" t="str">
        <f t="shared" si="3"/>
        <v>Other</v>
      </c>
      <c r="M2312" s="7" t="str">
        <f t="shared" si="4"/>
        <v>Positive</v>
      </c>
      <c r="N2312" s="7" t="str">
        <f>IFERROR(__xludf.DUMMYFUNCTION("LOWER(
TRIM(
REGEXREPLACE(B2312,""[^a-zA-Z\s]"","""")
)
)
"),"tom hynes")</f>
        <v>tom hynes</v>
      </c>
      <c r="O2312" s="7">
        <f t="shared" si="5"/>
        <v>1</v>
      </c>
      <c r="P2312" s="8" t="str">
        <f t="shared" si="6"/>
        <v>No</v>
      </c>
    </row>
    <row r="2313">
      <c r="A2313" s="4" t="s">
        <v>16</v>
      </c>
      <c r="B2313" s="4" t="s">
        <v>6474</v>
      </c>
      <c r="C2313" s="5">
        <v>44697.0</v>
      </c>
      <c r="D2313" s="5">
        <v>44697.0</v>
      </c>
      <c r="E2313" s="4" t="s">
        <v>518</v>
      </c>
      <c r="F2313" s="4" t="s">
        <v>6475</v>
      </c>
      <c r="G2313" s="6" t="str">
        <f>IFERROR(__xludf.DUMMYFUNCTION("REGEXREPLACE(LOWER(F2313),""[^a-z\s]"","""")"),"great company fast delivery")</f>
        <v>great company fast delivery</v>
      </c>
      <c r="H2313" s="4" t="str">
        <f t="shared" si="1"/>
        <v>great company fast delivery</v>
      </c>
      <c r="I2313" s="6">
        <f t="shared" si="2"/>
        <v>4</v>
      </c>
      <c r="J2313" s="6">
        <f>IFERROR(__xludf.DUMMYFUNCTION("IF(H2313="""","""",
SUM(
ARRAYFORMULA(
IF(
REGEXMATCH(
"" ""&amp;H2313&amp;"" "",
"" ""&amp;Sentiment_Words!A$2:A3730&amp;"" ""
),
1,
0
)
)
)
)"),3.0)</f>
        <v>3</v>
      </c>
      <c r="K2313" s="4">
        <f>IFERROR(__xludf.DUMMYFUNCTION("IF(H2313="""","""",
SUM(
ARRAYFORMULA(
IF(
REGEXMATCH(
"" ""&amp;H2313&amp;"" "",
"" ""&amp;Sentiment_Words!B$2:B3730&amp;"" ""
),
1,
0
)
)
)
)"),0.0)</f>
        <v>0</v>
      </c>
      <c r="L2313" s="7" t="str">
        <f t="shared" si="3"/>
        <v>Other</v>
      </c>
      <c r="M2313" s="7" t="str">
        <f t="shared" si="4"/>
        <v>Positive</v>
      </c>
      <c r="N2313" s="7" t="str">
        <f>IFERROR(__xludf.DUMMYFUNCTION("LOWER(
TRIM(
REGEXREPLACE(B2313,""[^a-zA-Z\s]"","""")
)
)
"),"heather hunt")</f>
        <v>heather hunt</v>
      </c>
      <c r="O2313" s="7">
        <f t="shared" si="5"/>
        <v>1</v>
      </c>
      <c r="P2313" s="8" t="str">
        <f t="shared" si="6"/>
        <v>No</v>
      </c>
    </row>
    <row r="2314">
      <c r="A2314" s="4" t="s">
        <v>16</v>
      </c>
      <c r="B2314" s="4" t="s">
        <v>6476</v>
      </c>
      <c r="C2314" s="5">
        <v>44697.0</v>
      </c>
      <c r="D2314" s="5">
        <v>44697.0</v>
      </c>
      <c r="E2314" s="4" t="s">
        <v>6477</v>
      </c>
      <c r="F2314" s="4" t="s">
        <v>6478</v>
      </c>
      <c r="G2314" s="6" t="str">
        <f>IFERROR(__xludf.DUMMYFUNCTION("REGEXREPLACE(LOWER(F2314),""[^a-z\s]"","""")"),"i order  eight pound bags of prescription cat food kept getting emails about it being backordered on the website at tims of purchase it stated they were in stock placed an additional order for two  pounds of same food and that was cancelled by petflow for"&amp;" not being in stock either website said both were in stock just checked my first order tonight and it states cancelled i was not notified of that very poor")</f>
        <v>i order  eight pound bags of prescription cat food kept getting emails about it being backordered on the website at tims of purchase it stated they were in stock placed an additional order for two  pounds of same food and that was cancelled by petflow for not being in stock either website said both were in stock just checked my first order tonight and it states cancelled i was not notified of that very poor</v>
      </c>
      <c r="H2314" s="4" t="str">
        <f t="shared" si="1"/>
        <v>i order eight pound bags of prescription cat food kept getting emails about it being backordered on website at tims of purchase it stated they were in stock placed an additional order two pounds of same food that was cancelled by petflow not being in stock either website said both were in stock just checked my first order tonight it states cancelled i was not notified of that very poor</v>
      </c>
      <c r="I2314" s="6">
        <f t="shared" si="2"/>
        <v>70</v>
      </c>
      <c r="J2314" s="6">
        <f>IFERROR(__xludf.DUMMYFUNCTION("IF(H2314="""","""",
SUM(
ARRAYFORMULA(
IF(
REGEXMATCH(
"" ""&amp;H2314&amp;"" "",
"" ""&amp;Sentiment_Words!A$2:A3730&amp;"" ""
),
1,
0
)
)
)
)"),0.0)</f>
        <v>0</v>
      </c>
      <c r="K2314" s="4">
        <f>IFERROR(__xludf.DUMMYFUNCTION("IF(H2314="""","""",
SUM(
ARRAYFORMULA(
IF(
REGEXMATCH(
"" ""&amp;H2314&amp;"" "",
"" ""&amp;Sentiment_Words!B$2:B3730&amp;"" ""
),
1,
0
)
)
)
)"),1.0)</f>
        <v>1</v>
      </c>
      <c r="L2314" s="7" t="str">
        <f t="shared" si="3"/>
        <v>Account &amp; Website</v>
      </c>
      <c r="M2314" s="7" t="str">
        <f t="shared" si="4"/>
        <v>Negative</v>
      </c>
      <c r="N2314" s="7" t="str">
        <f>IFERROR(__xludf.DUMMYFUNCTION("LOWER(
TRIM(
REGEXREPLACE(B2314,""[^a-zA-Z\s]"","""")
)
)
"),"wooly")</f>
        <v>wooly</v>
      </c>
      <c r="O2314" s="7">
        <f t="shared" si="5"/>
        <v>1</v>
      </c>
      <c r="P2314" s="8" t="str">
        <f t="shared" si="6"/>
        <v>No</v>
      </c>
    </row>
    <row r="2315">
      <c r="A2315" s="4" t="s">
        <v>16</v>
      </c>
      <c r="B2315" s="4" t="s">
        <v>6479</v>
      </c>
      <c r="C2315" s="5">
        <v>44697.0</v>
      </c>
      <c r="D2315" s="5">
        <v>44697.0</v>
      </c>
      <c r="E2315" s="4" t="s">
        <v>6480</v>
      </c>
      <c r="F2315" s="4" t="s">
        <v>6481</v>
      </c>
      <c r="G2315" s="6" t="str">
        <f>IFERROR(__xludf.DUMMYFUNCTION("REGEXREPLACE(LOWER(F2315),""[^a-z\s]"","""")"),"always helpful and answer my questions and concerns")</f>
        <v>always helpful and answer my questions and concerns</v>
      </c>
      <c r="H2315" s="4" t="str">
        <f t="shared" si="1"/>
        <v>always helpful answer my questions concerns</v>
      </c>
      <c r="I2315" s="6">
        <f t="shared" si="2"/>
        <v>6</v>
      </c>
      <c r="J2315" s="6">
        <f>IFERROR(__xludf.DUMMYFUNCTION("IF(H2315="""","""",
SUM(
ARRAYFORMULA(
IF(
REGEXMATCH(
"" ""&amp;H2315&amp;"" "",
"" ""&amp;Sentiment_Words!A$2:A3730&amp;"" ""
),
1,
0
)
)
)
)"),1.0)</f>
        <v>1</v>
      </c>
      <c r="K2315" s="4">
        <f>IFERROR(__xludf.DUMMYFUNCTION("IF(H2315="""","""",
SUM(
ARRAYFORMULA(
IF(
REGEXMATCH(
"" ""&amp;H2315&amp;"" "",
"" ""&amp;Sentiment_Words!B$2:B3730&amp;"" ""
),
1,
0
)
)
)
)"),0.0)</f>
        <v>0</v>
      </c>
      <c r="L2315" s="7" t="str">
        <f t="shared" si="3"/>
        <v>Other</v>
      </c>
      <c r="M2315" s="7" t="str">
        <f t="shared" si="4"/>
        <v>Positive</v>
      </c>
      <c r="N2315" s="7" t="str">
        <f>IFERROR(__xludf.DUMMYFUNCTION("LOWER(
TRIM(
REGEXREPLACE(B2315,""[^a-zA-Z\s]"","""")
)
)
"),"sr")</f>
        <v>sr</v>
      </c>
      <c r="O2315" s="7">
        <f t="shared" si="5"/>
        <v>1</v>
      </c>
      <c r="P2315" s="8" t="str">
        <f t="shared" si="6"/>
        <v>No</v>
      </c>
    </row>
    <row r="2316">
      <c r="A2316" s="4" t="s">
        <v>16</v>
      </c>
      <c r="B2316" s="4" t="s">
        <v>6482</v>
      </c>
      <c r="C2316" s="5">
        <v>44697.0</v>
      </c>
      <c r="D2316" s="5">
        <v>44697.0</v>
      </c>
      <c r="E2316" s="4" t="s">
        <v>6483</v>
      </c>
      <c r="F2316" s="4" t="s">
        <v>6484</v>
      </c>
      <c r="G2316" s="6" t="str">
        <f>IFERROR(__xludf.DUMMYFUNCTION("REGEXREPLACE(LOWER(F2316),""[^a-z\s]"","""")"),"easy to use website and fast shipping")</f>
        <v>easy to use website and fast shipping</v>
      </c>
      <c r="H2316" s="4" t="str">
        <f t="shared" si="1"/>
        <v>easy use website fast shipping</v>
      </c>
      <c r="I2316" s="6">
        <f t="shared" si="2"/>
        <v>5</v>
      </c>
      <c r="J2316" s="6">
        <f>IFERROR(__xludf.DUMMYFUNCTION("IF(H2316="""","""",
SUM(
ARRAYFORMULA(
IF(
REGEXMATCH(
"" ""&amp;H2316&amp;"" "",
"" ""&amp;Sentiment_Words!A$2:A3730&amp;"" ""
),
1,
0
)
)
)
)"),2.0)</f>
        <v>2</v>
      </c>
      <c r="K2316" s="4">
        <f>IFERROR(__xludf.DUMMYFUNCTION("IF(H2316="""","""",
SUM(
ARRAYFORMULA(
IF(
REGEXMATCH(
"" ""&amp;H2316&amp;"" "",
"" ""&amp;Sentiment_Words!B$2:B3730&amp;"" ""
),
1,
0
)
)
)
)"),0.0)</f>
        <v>0</v>
      </c>
      <c r="L2316" s="7" t="str">
        <f t="shared" si="3"/>
        <v>Account &amp; Website</v>
      </c>
      <c r="M2316" s="7" t="str">
        <f t="shared" si="4"/>
        <v>Positive</v>
      </c>
      <c r="N2316" s="7" t="str">
        <f>IFERROR(__xludf.DUMMYFUNCTION("LOWER(
TRIM(
REGEXREPLACE(B2316,""[^a-zA-Z\s]"","""")
)
)
"),"cb")</f>
        <v>cb</v>
      </c>
      <c r="O2316" s="7">
        <f t="shared" si="5"/>
        <v>2</v>
      </c>
      <c r="P2316" s="8" t="str">
        <f t="shared" si="6"/>
        <v>Yes</v>
      </c>
    </row>
    <row r="2317">
      <c r="A2317" s="4" t="s">
        <v>16</v>
      </c>
      <c r="B2317" s="4" t="s">
        <v>6485</v>
      </c>
      <c r="C2317" s="5">
        <v>44696.0</v>
      </c>
      <c r="D2317" s="5">
        <v>44697.0</v>
      </c>
      <c r="E2317" s="4" t="s">
        <v>6486</v>
      </c>
      <c r="F2317" s="4" t="s">
        <v>6487</v>
      </c>
      <c r="G2317" s="6" t="str">
        <f>IFERROR(__xludf.DUMMYFUNCTION("REGEXREPLACE(LOWER(F2317),""[^a-z\s]"","""")"),"my order is always on time and very easy to order")</f>
        <v>my order is always on time and very easy to order</v>
      </c>
      <c r="H2317" s="4" t="str">
        <f t="shared" si="1"/>
        <v>my order always on time very easy order</v>
      </c>
      <c r="I2317" s="6">
        <f t="shared" si="2"/>
        <v>8</v>
      </c>
      <c r="J2317" s="6">
        <f>IFERROR(__xludf.DUMMYFUNCTION("IF(H2317="""","""",
SUM(
ARRAYFORMULA(
IF(
REGEXMATCH(
"" ""&amp;H2317&amp;"" "",
"" ""&amp;Sentiment_Words!A$2:A3730&amp;"" ""
),
1,
0
)
)
)
)"),2.0)</f>
        <v>2</v>
      </c>
      <c r="K2317" s="4">
        <f>IFERROR(__xludf.DUMMYFUNCTION("IF(H2317="""","""",
SUM(
ARRAYFORMULA(
IF(
REGEXMATCH(
"" ""&amp;H2317&amp;"" "",
"" ""&amp;Sentiment_Words!B$2:B3730&amp;"" ""
),
1,
0
)
)
)
)"),0.0)</f>
        <v>0</v>
      </c>
      <c r="L2317" s="7" t="str">
        <f t="shared" si="3"/>
        <v>Other</v>
      </c>
      <c r="M2317" s="7" t="str">
        <f t="shared" si="4"/>
        <v>Positive</v>
      </c>
      <c r="N2317" s="7" t="str">
        <f>IFERROR(__xludf.DUMMYFUNCTION("LOWER(
TRIM(
REGEXREPLACE(B2317,""[^a-zA-Z\s]"","""")
)
)
"),"veronica")</f>
        <v>veronica</v>
      </c>
      <c r="O2317" s="7">
        <f t="shared" si="5"/>
        <v>1</v>
      </c>
      <c r="P2317" s="8" t="str">
        <f t="shared" si="6"/>
        <v>No</v>
      </c>
    </row>
    <row r="2318">
      <c r="A2318" s="4" t="s">
        <v>16</v>
      </c>
      <c r="B2318" s="4" t="s">
        <v>6488</v>
      </c>
      <c r="C2318" s="5">
        <v>44696.0</v>
      </c>
      <c r="D2318" s="5">
        <v>44697.0</v>
      </c>
      <c r="E2318" s="4" t="s">
        <v>6489</v>
      </c>
      <c r="F2318" s="4" t="s">
        <v>6490</v>
      </c>
      <c r="G2318" s="6" t="str">
        <f>IFERROR(__xludf.DUMMYFUNCTION("REGEXREPLACE(LOWER(F2318),""[^a-z\s]"","""")"),"i made a large order and you guys cancelled my order saying that it was a fraud there was never a time where i got an email or any contact to see if it was a fraud my dogs are now with no food due to this lack of responsibility i was informed that every t"&amp;"ime i make any new purchase it will be cancelled if you guys can fix this in any way please let me know")</f>
        <v>i made a large order and you guys cancelled my order saying that it was a fraud there was never a time where i got an email or any contact to see if it was a fraud my dogs are now with no food due to this lack of responsibility i was informed that every time i make any new purchase it will be cancelled if you guys can fix this in any way please let me know</v>
      </c>
      <c r="H2318" s="4" t="str">
        <f t="shared" si="1"/>
        <v>i made a large order you guys cancelled my order saying that it was a fraud there was never a time where i got an email or any contact see if it was a fraud my dogs are now with no food due this lack of responsibility i was informed that every time i make any new purchase it will be cancelled if you guys can fix this in any way please let me know</v>
      </c>
      <c r="I2318" s="6">
        <f t="shared" si="2"/>
        <v>75</v>
      </c>
      <c r="J2318" s="6">
        <f>IFERROR(__xludf.DUMMYFUNCTION("IF(H2318="""","""",
SUM(
ARRAYFORMULA(
IF(
REGEXMATCH(
"" ""&amp;H2318&amp;"" "",
"" ""&amp;Sentiment_Words!A$2:A3730&amp;"" ""
),
1,
0
)
)
)
)"),0.0)</f>
        <v>0</v>
      </c>
      <c r="K2318" s="4">
        <f>IFERROR(__xludf.DUMMYFUNCTION("IF(H2318="""","""",
SUM(
ARRAYFORMULA(
IF(
REGEXMATCH(
"" ""&amp;H2318&amp;"" "",
"" ""&amp;Sentiment_Words!B$2:B3730&amp;"" ""
),
1,
0
)
)
)
)"),1.0)</f>
        <v>1</v>
      </c>
      <c r="L2318" s="7" t="str">
        <f t="shared" si="3"/>
        <v>Other</v>
      </c>
      <c r="M2318" s="7" t="str">
        <f t="shared" si="4"/>
        <v>Negative</v>
      </c>
      <c r="N2318" s="7" t="str">
        <f>IFERROR(__xludf.DUMMYFUNCTION("LOWER(
TRIM(
REGEXREPLACE(B2318,""[^a-zA-Z\s]"","""")
)
)
"),"elisete amaral")</f>
        <v>elisete amaral</v>
      </c>
      <c r="O2318" s="7">
        <f t="shared" si="5"/>
        <v>1</v>
      </c>
      <c r="P2318" s="8" t="str">
        <f t="shared" si="6"/>
        <v>No</v>
      </c>
    </row>
    <row r="2319">
      <c r="A2319" s="4" t="s">
        <v>16</v>
      </c>
      <c r="B2319" s="4" t="s">
        <v>6491</v>
      </c>
      <c r="C2319" s="5">
        <v>44696.0</v>
      </c>
      <c r="D2319" s="5">
        <v>44696.0</v>
      </c>
      <c r="E2319" s="4" t="s">
        <v>6492</v>
      </c>
      <c r="F2319" s="4" t="s">
        <v>6493</v>
      </c>
      <c r="G2319" s="6" t="str">
        <f>IFERROR(__xludf.DUMMYFUNCTION("REGEXREPLACE(LOWER(F2319),""[^a-z\s]"","""")"),"i love the service petflow provides they have a huge variety of products plus they also offer great deals finally i must say customer service is extremely friendly to use through texting theyll help you right away thank you so much")</f>
        <v>i love the service petflow provides they have a huge variety of products plus they also offer great deals finally i must say customer service is extremely friendly to use through texting theyll help you right away thank you so much</v>
      </c>
      <c r="H2319" s="4" t="str">
        <f t="shared" si="1"/>
        <v>i love service petflow provides they have a huge variety of products plus they also offer great deals finally i must say customer service extremely friendly use through texting theyll help you right away thank you so much</v>
      </c>
      <c r="I2319" s="6">
        <f t="shared" si="2"/>
        <v>38</v>
      </c>
      <c r="J2319" s="6">
        <f>IFERROR(__xludf.DUMMYFUNCTION("IF(H2319="""","""",
SUM(
ARRAYFORMULA(
IF(
REGEXMATCH(
"" ""&amp;H2319&amp;"" "",
"" ""&amp;Sentiment_Words!A$2:A3730&amp;"" ""
),
1,
0
)
)
)
)"),2.0)</f>
        <v>2</v>
      </c>
      <c r="K2319" s="4">
        <f>IFERROR(__xludf.DUMMYFUNCTION("IF(H2319="""","""",
SUM(
ARRAYFORMULA(
IF(
REGEXMATCH(
"" ""&amp;H2319&amp;"" "",
"" ""&amp;Sentiment_Words!B$2:B3730&amp;"" ""
),
1,
0
)
)
)
)"),1.0)</f>
        <v>1</v>
      </c>
      <c r="L2319" s="7" t="str">
        <f t="shared" si="3"/>
        <v>Customer Support</v>
      </c>
      <c r="M2319" s="7" t="str">
        <f t="shared" si="4"/>
        <v>Positive</v>
      </c>
      <c r="N2319" s="7" t="str">
        <f>IFERROR(__xludf.DUMMYFUNCTION("LOWER(
TRIM(
REGEXREPLACE(B2319,""[^a-zA-Z\s]"","""")
)
)
"),"estefania cantero")</f>
        <v>estefania cantero</v>
      </c>
      <c r="O2319" s="7">
        <f t="shared" si="5"/>
        <v>1</v>
      </c>
      <c r="P2319" s="8" t="str">
        <f t="shared" si="6"/>
        <v>No</v>
      </c>
    </row>
    <row r="2320">
      <c r="A2320" s="4" t="s">
        <v>16</v>
      </c>
      <c r="B2320" s="4" t="s">
        <v>6494</v>
      </c>
      <c r="C2320" s="5">
        <v>44696.0</v>
      </c>
      <c r="D2320" s="5">
        <v>44696.0</v>
      </c>
      <c r="E2320" s="4" t="s">
        <v>6495</v>
      </c>
      <c r="F2320" s="4" t="s">
        <v>6496</v>
      </c>
      <c r="G2320" s="6" t="str">
        <f>IFERROR(__xludf.DUMMYFUNCTION("REGEXREPLACE(LOWER(F2320),""[^a-z\s]"","""")"),"i ordered prescription food for my cat a week went by with no shipping information i contacted pet flow and was advised that the food wasnt even in stock even though they got the approval from my vet waste of time that i couldve been searching for this pr"&amp;"escription food elsewhere she has no prescription food")</f>
        <v>i ordered prescription food for my cat a week went by with no shipping information i contacted pet flow and was advised that the food wasnt even in stock even though they got the approval from my vet waste of time that i couldve been searching for this prescription food elsewhere she has no prescription food</v>
      </c>
      <c r="H2320" s="4" t="str">
        <f t="shared" si="1"/>
        <v>i ordered prescription food my cat a week went by with no shipping information i contacted pet flow was advised that food wasnt even in stock even though they got approval from my vet waste of time that i couldve been searching this prescription food elsewhere she has no prescription food</v>
      </c>
      <c r="I2320" s="6">
        <f t="shared" si="2"/>
        <v>51</v>
      </c>
      <c r="J2320" s="6">
        <f>IFERROR(__xludf.DUMMYFUNCTION("IF(H2320="""","""",
SUM(
ARRAYFORMULA(
IF(
REGEXMATCH(
"" ""&amp;H2320&amp;"" "",
"" ""&amp;Sentiment_Words!A$2:A3730&amp;"" ""
),
1,
0
)
)
)
)"),0.0)</f>
        <v>0</v>
      </c>
      <c r="K2320" s="4">
        <f>IFERROR(__xludf.DUMMYFUNCTION("IF(H2320="""","""",
SUM(
ARRAYFORMULA(
IF(
REGEXMATCH(
"" ""&amp;H2320&amp;"" "",
"" ""&amp;Sentiment_Words!B$2:B3730&amp;"" ""
),
1,
0
)
)
)
)"),0.0)</f>
        <v>0</v>
      </c>
      <c r="L2320" s="7" t="str">
        <f t="shared" si="3"/>
        <v>Other</v>
      </c>
      <c r="M2320" s="7" t="str">
        <f t="shared" si="4"/>
        <v>Neutral</v>
      </c>
      <c r="N2320" s="7" t="str">
        <f>IFERROR(__xludf.DUMMYFUNCTION("LOWER(
TRIM(
REGEXREPLACE(B2320,""[^a-zA-Z\s]"","""")
)
)
"),"suzanne mattiello")</f>
        <v>suzanne mattiello</v>
      </c>
      <c r="O2320" s="7">
        <f t="shared" si="5"/>
        <v>1</v>
      </c>
      <c r="P2320" s="8" t="str">
        <f t="shared" si="6"/>
        <v>No</v>
      </c>
    </row>
    <row r="2321">
      <c r="A2321" s="4" t="s">
        <v>16</v>
      </c>
      <c r="B2321" s="4" t="s">
        <v>6497</v>
      </c>
      <c r="C2321" s="5">
        <v>44696.0</v>
      </c>
      <c r="D2321" s="5">
        <v>44696.0</v>
      </c>
      <c r="E2321" s="4" t="s">
        <v>6498</v>
      </c>
      <c r="F2321" s="4" t="s">
        <v>6499</v>
      </c>
      <c r="G2321" s="6" t="str">
        <f>IFERROR(__xludf.DUMMYFUNCTION("REGEXREPLACE(LOWER(F2321),""[^a-z\s]"","""")"),"ordered prescription food and insulin syringes for my diabetic cat syringes came a few days later the  bags of prescription food did not after  days with no update i called customer service just to find out the food was out of stock i was never notified t"&amp;"hat it was out of stock and that part of my order would be canceled and refunded at this point  days later my cat was completely out of food luckily my vet had a bag so i could feed my diabetic cat i have not yet recieved any money back to the credit card"&amp;" i used to purchase the food")</f>
        <v>ordered prescription food and insulin syringes for my diabetic cat syringes came a few days later the  bags of prescription food did not after  days with no update i called customer service just to find out the food was out of stock i was never notified that it was out of stock and that part of my order would be canceled and refunded at this point  days later my cat was completely out of food luckily my vet had a bag so i could feed my diabetic cat i have not yet recieved any money back to the credit card i used to purchase the food</v>
      </c>
      <c r="H2321" s="4" t="str">
        <f t="shared" si="1"/>
        <v>ordered prescription food insulin syringes my diabetic cat syringes came a few days later bags of prescription food did not after days with no update i called customer service just find out food was out of stock i was never notified that it was out of stock that part of my order would be canceled refunded at this point days later my cat was completely out of food luckily my vet had a bag so i could feed my diabetic cat i have not yet recieved any money back credit card i used purchase food</v>
      </c>
      <c r="I2321" s="6">
        <f t="shared" si="2"/>
        <v>95</v>
      </c>
      <c r="J2321" s="6">
        <f>IFERROR(__xludf.DUMMYFUNCTION("IF(H2321="""","""",
SUM(
ARRAYFORMULA(
IF(
REGEXMATCH(
"" ""&amp;H2321&amp;"" "",
"" ""&amp;Sentiment_Words!A$2:A3730&amp;"" ""
),
1,
0
)
)
)
)"),0.0)</f>
        <v>0</v>
      </c>
      <c r="K2321" s="4">
        <f>IFERROR(__xludf.DUMMYFUNCTION("IF(H2321="""","""",
SUM(
ARRAYFORMULA(
IF(
REGEXMATCH(
"" ""&amp;H2321&amp;"" "",
"" ""&amp;Sentiment_Words!B$2:B3730&amp;"" ""
),
1,
0
)
)
)
)"),2.0)</f>
        <v>2</v>
      </c>
      <c r="L2321" s="7" t="str">
        <f t="shared" si="3"/>
        <v>Customer Support</v>
      </c>
      <c r="M2321" s="7" t="str">
        <f t="shared" si="4"/>
        <v>Negative</v>
      </c>
      <c r="N2321" s="7" t="str">
        <f>IFERROR(__xludf.DUMMYFUNCTION("LOWER(
TRIM(
REGEXREPLACE(B2321,""[^a-zA-Z\s]"","""")
)
)
"),"ashley e")</f>
        <v>ashley e</v>
      </c>
      <c r="O2321" s="7">
        <f t="shared" si="5"/>
        <v>1</v>
      </c>
      <c r="P2321" s="8" t="str">
        <f t="shared" si="6"/>
        <v>No</v>
      </c>
    </row>
    <row r="2322">
      <c r="A2322" s="4" t="s">
        <v>16</v>
      </c>
      <c r="B2322" s="4" t="s">
        <v>6500</v>
      </c>
      <c r="C2322" s="5">
        <v>44696.0</v>
      </c>
      <c r="D2322" s="5">
        <v>44696.0</v>
      </c>
      <c r="E2322" s="4" t="s">
        <v>81</v>
      </c>
      <c r="F2322" s="4" t="s">
        <v>6501</v>
      </c>
      <c r="G2322" s="6" t="str">
        <f>IFERROR(__xludf.DUMMYFUNCTION("REGEXREPLACE(LOWER(F2322),""[^a-z\s]"","""")"),"great customer service and i really appreciate it")</f>
        <v>great customer service and i really appreciate it</v>
      </c>
      <c r="H2322" s="4" t="str">
        <f t="shared" si="1"/>
        <v>great customer service i really appreciate it</v>
      </c>
      <c r="I2322" s="6">
        <f t="shared" si="2"/>
        <v>7</v>
      </c>
      <c r="J2322" s="6">
        <f>IFERROR(__xludf.DUMMYFUNCTION("IF(H2322="""","""",
SUM(
ARRAYFORMULA(
IF(
REGEXMATCH(
"" ""&amp;H2322&amp;"" "",
"" ""&amp;Sentiment_Words!A$2:A3730&amp;"" ""
),
1,
0
)
)
)
)"),2.0)</f>
        <v>2</v>
      </c>
      <c r="K2322" s="4">
        <f>IFERROR(__xludf.DUMMYFUNCTION("IF(H2322="""","""",
SUM(
ARRAYFORMULA(
IF(
REGEXMATCH(
"" ""&amp;H2322&amp;"" "",
"" ""&amp;Sentiment_Words!B$2:B3730&amp;"" ""
),
1,
0
)
)
)
)"),1.0)</f>
        <v>1</v>
      </c>
      <c r="L2322" s="7" t="str">
        <f t="shared" si="3"/>
        <v>Customer Support</v>
      </c>
      <c r="M2322" s="7" t="str">
        <f t="shared" si="4"/>
        <v>Positive</v>
      </c>
      <c r="N2322" s="7" t="str">
        <f>IFERROR(__xludf.DUMMYFUNCTION("LOWER(
TRIM(
REGEXREPLACE(B2322,""[^a-zA-Z\s]"","""")
)
)
"),"eugene orourke")</f>
        <v>eugene orourke</v>
      </c>
      <c r="O2322" s="7">
        <f t="shared" si="5"/>
        <v>1</v>
      </c>
      <c r="P2322" s="8" t="str">
        <f t="shared" si="6"/>
        <v>No</v>
      </c>
    </row>
    <row r="2323">
      <c r="A2323" s="4" t="s">
        <v>16</v>
      </c>
      <c r="B2323" s="4" t="s">
        <v>6502</v>
      </c>
      <c r="C2323" s="5">
        <v>44696.0</v>
      </c>
      <c r="D2323" s="5">
        <v>44696.0</v>
      </c>
      <c r="E2323" s="4" t="s">
        <v>6503</v>
      </c>
      <c r="F2323" s="4" t="s">
        <v>6504</v>
      </c>
      <c r="G2323" s="6" t="str">
        <f>IFERROR(__xludf.DUMMYFUNCTION("REGEXREPLACE(LOWER(F2323),""[^a-z\s]"","""")"),"great site for dog supplies will continue to use if prices are good")</f>
        <v>great site for dog supplies will continue to use if prices are good</v>
      </c>
      <c r="H2323" s="4" t="str">
        <f t="shared" si="1"/>
        <v>great site dog supplies will continue use if prices are good</v>
      </c>
      <c r="I2323" s="6">
        <f t="shared" si="2"/>
        <v>11</v>
      </c>
      <c r="J2323" s="6">
        <f>IFERROR(__xludf.DUMMYFUNCTION("IF(H2323="""","""",
SUM(
ARRAYFORMULA(
IF(
REGEXMATCH(
"" ""&amp;H2323&amp;"" "",
"" ""&amp;Sentiment_Words!A$2:A3730&amp;"" ""
),
1,
0
)
)
)
)"),2.0)</f>
        <v>2</v>
      </c>
      <c r="K2323" s="4">
        <f>IFERROR(__xludf.DUMMYFUNCTION("IF(H2323="""","""",
SUM(
ARRAYFORMULA(
IF(
REGEXMATCH(
"" ""&amp;H2323&amp;"" "",
"" ""&amp;Sentiment_Words!B$2:B3730&amp;"" ""
),
1,
0
)
)
)
)"),0.0)</f>
        <v>0</v>
      </c>
      <c r="L2323" s="7" t="str">
        <f t="shared" si="3"/>
        <v>Other</v>
      </c>
      <c r="M2323" s="7" t="str">
        <f t="shared" si="4"/>
        <v>Positive</v>
      </c>
      <c r="N2323" s="7" t="str">
        <f>IFERROR(__xludf.DUMMYFUNCTION("LOWER(
TRIM(
REGEXREPLACE(B2323,""[^a-zA-Z\s]"","""")
)
)
"),"susanna bjornsson")</f>
        <v>susanna bjornsson</v>
      </c>
      <c r="O2323" s="7">
        <f t="shared" si="5"/>
        <v>1</v>
      </c>
      <c r="P2323" s="8" t="str">
        <f t="shared" si="6"/>
        <v>No</v>
      </c>
    </row>
    <row r="2324">
      <c r="A2324" s="4" t="s">
        <v>16</v>
      </c>
      <c r="B2324" s="4" t="s">
        <v>6505</v>
      </c>
      <c r="C2324" s="5">
        <v>44696.0</v>
      </c>
      <c r="D2324" s="5">
        <v>44696.0</v>
      </c>
      <c r="E2324" s="4" t="s">
        <v>6506</v>
      </c>
      <c r="F2324" s="4" t="s">
        <v>6507</v>
      </c>
      <c r="G2324" s="6" t="str">
        <f>IFERROR(__xludf.DUMMYFUNCTION("REGEXREPLACE(LOWER(F2324),""[^a-z\s]"","""")"),"i moved over to petflow kicking and screaming from chewy chewy stopped carrying verus and petflow is now my merchant for all my canine needs i could not be happier with the customer service i like getting advance notice that my autoship is preparing to sh"&amp;"ip i like the updates when there is a stocking problem thank you petflow for always being professional and being dedicated to your customers fc ventnor nj")</f>
        <v>i moved over to petflow kicking and screaming from chewy chewy stopped carrying verus and petflow is now my merchant for all my canine needs i could not be happier with the customer service i like getting advance notice that my autoship is preparing to ship i like the updates when there is a stocking problem thank you petflow for always being professional and being dedicated to your customers fc ventnor nj</v>
      </c>
      <c r="H2324" s="4" t="str">
        <f t="shared" si="1"/>
        <v>i moved over petflow kicking screaming from chewy chewy stopped carrying verus petflow now my merchant all my canine needs i could not be happier with customer service i like getting advance notice that my autoship preparing ship i like updates when there a stocking problem thank you petflow always being professional being dedicated your customers fc ventnor nj</v>
      </c>
      <c r="I2324" s="6">
        <f t="shared" si="2"/>
        <v>59</v>
      </c>
      <c r="J2324" s="6">
        <f>IFERROR(__xludf.DUMMYFUNCTION("IF(H2324="""","""",
SUM(
ARRAYFORMULA(
IF(
REGEXMATCH(
"" ""&amp;H2324&amp;"" "",
"" ""&amp;Sentiment_Words!A$2:A3730&amp;"" ""
),
1,
0
)
)
)
)"),0.0)</f>
        <v>0</v>
      </c>
      <c r="K2324" s="4">
        <f>IFERROR(__xludf.DUMMYFUNCTION("IF(H2324="""","""",
SUM(
ARRAYFORMULA(
IF(
REGEXMATCH(
"" ""&amp;H2324&amp;"" "",
"" ""&amp;Sentiment_Words!B$2:B3730&amp;"" ""
),
1,
0
)
)
)
)"),2.0)</f>
        <v>2</v>
      </c>
      <c r="L2324" s="7" t="str">
        <f t="shared" si="3"/>
        <v>Customer Support</v>
      </c>
      <c r="M2324" s="7" t="str">
        <f t="shared" si="4"/>
        <v>Negative</v>
      </c>
      <c r="N2324" s="7" t="str">
        <f>IFERROR(__xludf.DUMMYFUNCTION("LOWER(
TRIM(
REGEXREPLACE(B2324,""[^a-zA-Z\s]"","""")
)
)
"),"jack a")</f>
        <v>jack a</v>
      </c>
      <c r="O2324" s="7">
        <f t="shared" si="5"/>
        <v>1</v>
      </c>
      <c r="P2324" s="8" t="str">
        <f t="shared" si="6"/>
        <v>No</v>
      </c>
    </row>
    <row r="2325">
      <c r="A2325" s="4" t="s">
        <v>16</v>
      </c>
      <c r="B2325" s="4" t="s">
        <v>6508</v>
      </c>
      <c r="C2325" s="5">
        <v>44696.0</v>
      </c>
      <c r="D2325" s="5">
        <v>44696.0</v>
      </c>
      <c r="E2325" s="4" t="s">
        <v>6509</v>
      </c>
      <c r="F2325" s="4" t="s">
        <v>6510</v>
      </c>
      <c r="G2325" s="6" t="str">
        <f>IFERROR(__xludf.DUMMYFUNCTION("REGEXREPLACE(LOWER(F2325),""[^a-z\s]"","""")"),"with the price of dog food getting more expensive i was looking for the best price for chicken soup for the soul canned dog food pet flow had the best price when compared to other online retailers this was my first time ordering from pet flow the delivery"&amp;" was fast and the items were received in perfect condition i will be ordering again in the future")</f>
        <v>with the price of dog food getting more expensive i was looking for the best price for chicken soup for the soul canned dog food pet flow had the best price when compared to other online retailers this was my first time ordering from pet flow the delivery was fast and the items were received in perfect condition i will be ordering again in the future</v>
      </c>
      <c r="H2325" s="4" t="str">
        <f t="shared" si="1"/>
        <v>with price of dog food getting more expensive i was looking best price chicken soup soul canned dog food pet flow had best price when compared other online retailers this was my first time ordering from pet flow delivery was fast items were received in perfect condition i will be ordering again in future</v>
      </c>
      <c r="I2325" s="6">
        <f t="shared" si="2"/>
        <v>54</v>
      </c>
      <c r="J2325" s="6">
        <f>IFERROR(__xludf.DUMMYFUNCTION("IF(H2325="""","""",
SUM(
ARRAYFORMULA(
IF(
REGEXMATCH(
"" ""&amp;H2325&amp;"" "",
"" ""&amp;Sentiment_Words!A$2:A3730&amp;"" ""
),
1,
0
)
)
)
)"),1.0)</f>
        <v>1</v>
      </c>
      <c r="K2325" s="4">
        <f>IFERROR(__xludf.DUMMYFUNCTION("IF(H2325="""","""",
SUM(
ARRAYFORMULA(
IF(
REGEXMATCH(
"" ""&amp;H2325&amp;"" "",
"" ""&amp;Sentiment_Words!B$2:B3730&amp;"" ""
),
1,
0
)
)
)
)"),0.0)</f>
        <v>0</v>
      </c>
      <c r="L2325" s="7" t="str">
        <f t="shared" si="3"/>
        <v>Other</v>
      </c>
      <c r="M2325" s="7" t="str">
        <f t="shared" si="4"/>
        <v>Positive</v>
      </c>
      <c r="N2325" s="7" t="str">
        <f>IFERROR(__xludf.DUMMYFUNCTION("LOWER(
TRIM(
REGEXREPLACE(B2325,""[^a-zA-Z\s]"","""")
)
)
"),"frani c new jersey")</f>
        <v>frani c new jersey</v>
      </c>
      <c r="O2325" s="7">
        <f t="shared" si="5"/>
        <v>1</v>
      </c>
      <c r="P2325" s="8" t="str">
        <f t="shared" si="6"/>
        <v>No</v>
      </c>
    </row>
    <row r="2326">
      <c r="A2326" s="4" t="s">
        <v>16</v>
      </c>
      <c r="B2326" s="4" t="s">
        <v>6511</v>
      </c>
      <c r="C2326" s="5">
        <v>44696.0</v>
      </c>
      <c r="D2326" s="5">
        <v>44696.0</v>
      </c>
      <c r="E2326" s="4" t="s">
        <v>6512</v>
      </c>
      <c r="F2326" s="4" t="s">
        <v>6513</v>
      </c>
      <c r="G2326" s="6" t="str">
        <f>IFERROR(__xludf.DUMMYFUNCTION("REGEXREPLACE(LOWER(F2326),""[^a-z\s]"","""")"),"always arriving promptly and the correct products in the order")</f>
        <v>always arriving promptly and the correct products in the order</v>
      </c>
      <c r="H2326" s="4" t="str">
        <f t="shared" si="1"/>
        <v>always arriving promptly correct products in order</v>
      </c>
      <c r="I2326" s="6">
        <f t="shared" si="2"/>
        <v>7</v>
      </c>
      <c r="J2326" s="6">
        <f>IFERROR(__xludf.DUMMYFUNCTION("IF(H2326="""","""",
SUM(
ARRAYFORMULA(
IF(
REGEXMATCH(
"" ""&amp;H2326&amp;"" "",
"" ""&amp;Sentiment_Words!A$2:A3730&amp;"" ""
),
1,
0
)
)
)
)"),0.0)</f>
        <v>0</v>
      </c>
      <c r="K2326" s="4">
        <f>IFERROR(__xludf.DUMMYFUNCTION("IF(H2326="""","""",
SUM(
ARRAYFORMULA(
IF(
REGEXMATCH(
"" ""&amp;H2326&amp;"" "",
"" ""&amp;Sentiment_Words!B$2:B3730&amp;"" ""
),
1,
0
)
)
)
)"),0.0)</f>
        <v>0</v>
      </c>
      <c r="L2326" s="7" t="str">
        <f t="shared" si="3"/>
        <v>Other</v>
      </c>
      <c r="M2326" s="7" t="str">
        <f t="shared" si="4"/>
        <v>Neutral</v>
      </c>
      <c r="N2326" s="7" t="str">
        <f>IFERROR(__xludf.DUMMYFUNCTION("LOWER(
TRIM(
REGEXREPLACE(B2326,""[^a-zA-Z\s]"","""")
)
)
"),"sharon hubert")</f>
        <v>sharon hubert</v>
      </c>
      <c r="O2326" s="7">
        <f t="shared" si="5"/>
        <v>1</v>
      </c>
      <c r="P2326" s="8" t="str">
        <f t="shared" si="6"/>
        <v>No</v>
      </c>
    </row>
    <row r="2327">
      <c r="A2327" s="4" t="s">
        <v>16</v>
      </c>
      <c r="B2327" s="4" t="s">
        <v>6514</v>
      </c>
      <c r="C2327" s="5">
        <v>44696.0</v>
      </c>
      <c r="D2327" s="5">
        <v>44696.0</v>
      </c>
      <c r="E2327" s="4" t="s">
        <v>6515</v>
      </c>
      <c r="F2327" s="4" t="s">
        <v>6516</v>
      </c>
      <c r="G2327" s="6" t="str">
        <f>IFERROR(__xludf.DUMMYFUNCTION("REGEXREPLACE(LOWER(F2327),""[^a-z\s]"","""")"),"the best place to purchase all of my dogs need excellent service and always fast  love love lovestella loves it too")</f>
        <v>the best place to purchase all of my dogs need excellent service and always fast  love love lovestella loves it too</v>
      </c>
      <c r="H2327" s="4" t="str">
        <f t="shared" si="1"/>
        <v>best place purchase all of my dogs need excellent service always fast love love lovestella loves it too</v>
      </c>
      <c r="I2327" s="6">
        <f t="shared" si="2"/>
        <v>18</v>
      </c>
      <c r="J2327" s="6">
        <f>IFERROR(__xludf.DUMMYFUNCTION("IF(H2327="""","""",
SUM(
ARRAYFORMULA(
IF(
REGEXMATCH(
"" ""&amp;H2327&amp;"" "",
"" ""&amp;Sentiment_Words!A$2:A3730&amp;"" ""
),
1,
0
)
)
)
)"),2.0)</f>
        <v>2</v>
      </c>
      <c r="K2327" s="4">
        <f>IFERROR(__xludf.DUMMYFUNCTION("IF(H2327="""","""",
SUM(
ARRAYFORMULA(
IF(
REGEXMATCH(
"" ""&amp;H2327&amp;"" "",
"" ""&amp;Sentiment_Words!B$2:B3730&amp;"" ""
),
1,
0
)
)
)
)"),0.0)</f>
        <v>0</v>
      </c>
      <c r="L2327" s="7" t="str">
        <f t="shared" si="3"/>
        <v>Customer Support</v>
      </c>
      <c r="M2327" s="7" t="str">
        <f t="shared" si="4"/>
        <v>Positive</v>
      </c>
      <c r="N2327" s="7" t="str">
        <f>IFERROR(__xludf.DUMMYFUNCTION("LOWER(
TRIM(
REGEXREPLACE(B2327,""[^a-zA-Z\s]"","""")
)
)
"),"amy burris")</f>
        <v>amy burris</v>
      </c>
      <c r="O2327" s="7">
        <f t="shared" si="5"/>
        <v>1</v>
      </c>
      <c r="P2327" s="8" t="str">
        <f t="shared" si="6"/>
        <v>No</v>
      </c>
    </row>
    <row r="2328">
      <c r="A2328" s="4" t="s">
        <v>16</v>
      </c>
      <c r="B2328" s="4" t="s">
        <v>6517</v>
      </c>
      <c r="C2328" s="5">
        <v>44696.0</v>
      </c>
      <c r="D2328" s="5">
        <v>44696.0</v>
      </c>
      <c r="E2328" s="4" t="s">
        <v>6518</v>
      </c>
      <c r="F2328" s="4" t="s">
        <v>6519</v>
      </c>
      <c r="G2328" s="6" t="str">
        <f>IFERROR(__xludf.DUMMYFUNCTION("REGEXREPLACE(LOWER(F2328),""[^a-z\s]"","""")"),"this was my first time using the site usually use a competitors site but this website showed up and i clicked to see what it was
the prices are similar to the site i usually use some of the items were slightly cheaper some more expensive
one huge con was "&amp;"that i spent an hour filling my basket got a phone call and when i came back the cart was empty i called which took a bit of a wait to speak to someone to be told i had to start again bit frustrating
the shipping was bit slower than what i was expecting t"&amp;"oo the other site is within  hours here it took close to a week and when it did arrive some of the order was missing i called and the item was replaced and shipped within  days
overall the prices are good customer service is slow to answer but good once y"&amp;"ou get them on the line shipping is slow but if you are not in a rush its ok the overall selection of items for what i usually buy was also low only half of what i wanted was actually listed
i probably will shop here again but not if i need the items quic"&amp;"kly")</f>
        <v>this was my first time using the site usually use a competitors site but this website showed up and i clicked to see what it was
the prices are similar to the site i usually use some of the items were slightly cheaper some more expensive
one huge con was that i spent an hour filling my basket got a phone call and when i came back the cart was empty i called which took a bit of a wait to speak to someone to be told i had to start again bit frustrating
the shipping was bit slower than what i was expecting too the other site is within  hours here it took close to a week and when it did arrive some of the order was missing i called and the item was replaced and shipped within  days
overall the prices are good customer service is slow to answer but good once you get them on the line shipping is slow but if you are not in a rush its ok the overall selection of items for what i usually buy was also low only half of what i wanted was actually listed
i probably will shop here again but not if i need the items quickly</v>
      </c>
      <c r="H2328" s="4" t="str">
        <f t="shared" si="1"/>
        <v>this was my first time using site usually use a competitors site but this website showed up i clicked see what it was
the prices are similar site i usually use some of items were slightly cheaper some more expensive
one huge con was that i spent an hour filling my basket got a phone call when i came back cart was empty i called which took a bit of a wait speak someone be told i had start again bit frustrating
the shipping was bit slower than what i was expecting too other site within hours here it took close a week when it did arrive some of order was missing i called item was replaced shipped within days
overall prices are good customer service slow answer but good once you get them on line shipping slow but if you are not in a rush its ok overall selection of items what i usually buy was also low only half of what i wanted was actually listed
i probably will shop here again but not if i need items quickly</v>
      </c>
      <c r="I2328" s="6">
        <f t="shared" si="2"/>
        <v>176</v>
      </c>
      <c r="J2328" s="6">
        <f>IFERROR(__xludf.DUMMYFUNCTION("IF(H2328="""","""",
SUM(
ARRAYFORMULA(
IF(
REGEXMATCH(
"" ""&amp;H2328&amp;"" "",
"" ""&amp;Sentiment_Words!A$2:A3730&amp;"" ""
),
1,
0
)
)
)
)"),2.0)</f>
        <v>2</v>
      </c>
      <c r="K2328" s="4">
        <f>IFERROR(__xludf.DUMMYFUNCTION("IF(H2328="""","""",
SUM(
ARRAYFORMULA(
IF(
REGEXMATCH(
"" ""&amp;H2328&amp;"" "",
"" ""&amp;Sentiment_Words!B$2:B3730&amp;"" ""
),
1,
0
)
)
)
)"),2.0)</f>
        <v>2</v>
      </c>
      <c r="L2328" s="7" t="str">
        <f t="shared" si="3"/>
        <v>Customer Support</v>
      </c>
      <c r="M2328" s="7" t="str">
        <f t="shared" si="4"/>
        <v>Neutral</v>
      </c>
      <c r="N2328" s="7" t="str">
        <f>IFERROR(__xludf.DUMMYFUNCTION("LOWER(
TRIM(
REGEXREPLACE(B2328,""[^a-zA-Z\s]"","""")
)
)
"),"lakelady")</f>
        <v>lakelady</v>
      </c>
      <c r="O2328" s="7">
        <f t="shared" si="5"/>
        <v>1</v>
      </c>
      <c r="P2328" s="8" t="str">
        <f t="shared" si="6"/>
        <v>No</v>
      </c>
    </row>
    <row r="2329">
      <c r="A2329" s="4" t="s">
        <v>16</v>
      </c>
      <c r="B2329" s="4" t="s">
        <v>6520</v>
      </c>
      <c r="C2329" s="5">
        <v>44696.0</v>
      </c>
      <c r="D2329" s="5">
        <v>44696.0</v>
      </c>
      <c r="E2329" s="4" t="s">
        <v>6521</v>
      </c>
      <c r="F2329" s="4" t="s">
        <v>6522</v>
      </c>
      <c r="G2329" s="6" t="str">
        <f>IFERROR(__xludf.DUMMYFUNCTION("REGEXREPLACE(LOWER(F2329),""[^a-z\s]"","""")"),"my ordered was submitted then cancelled days later i would have just bought it somewhere else should have just said out of stock now i have to scramble to find food")</f>
        <v>my ordered was submitted then cancelled days later i would have just bought it somewhere else should have just said out of stock now i have to scramble to find food</v>
      </c>
      <c r="H2329" s="4" t="str">
        <f t="shared" si="1"/>
        <v>my ordered was submitted then cancelled days later i would have just bought it somewhere else should have just said out of stock now i have scramble find food</v>
      </c>
      <c r="I2329" s="6">
        <f t="shared" si="2"/>
        <v>29</v>
      </c>
      <c r="J2329" s="6">
        <f>IFERROR(__xludf.DUMMYFUNCTION("IF(H2329="""","""",
SUM(
ARRAYFORMULA(
IF(
REGEXMATCH(
"" ""&amp;H2329&amp;"" "",
"" ""&amp;Sentiment_Words!A$2:A3730&amp;"" ""
),
1,
0
)
)
)
)"),0.0)</f>
        <v>0</v>
      </c>
      <c r="K2329" s="4">
        <f>IFERROR(__xludf.DUMMYFUNCTION("IF(H2329="""","""",
SUM(
ARRAYFORMULA(
IF(
REGEXMATCH(
"" ""&amp;H2329&amp;"" "",
"" ""&amp;Sentiment_Words!B$2:B3730&amp;"" ""
),
1,
0
)
)
)
)"),2.0)</f>
        <v>2</v>
      </c>
      <c r="L2329" s="7" t="str">
        <f t="shared" si="3"/>
        <v>Fulfillment &amp; Shipping</v>
      </c>
      <c r="M2329" s="7" t="str">
        <f t="shared" si="4"/>
        <v>Negative</v>
      </c>
      <c r="N2329" s="7" t="str">
        <f>IFERROR(__xludf.DUMMYFUNCTION("LOWER(
TRIM(
REGEXREPLACE(B2329,""[^a-zA-Z\s]"","""")
)
)
"),"claire a")</f>
        <v>claire a</v>
      </c>
      <c r="O2329" s="7">
        <f t="shared" si="5"/>
        <v>1</v>
      </c>
      <c r="P2329" s="8" t="str">
        <f t="shared" si="6"/>
        <v>No</v>
      </c>
    </row>
    <row r="2330">
      <c r="A2330" s="4" t="s">
        <v>16</v>
      </c>
      <c r="B2330" s="4" t="s">
        <v>6523</v>
      </c>
      <c r="C2330" s="5">
        <v>44695.0</v>
      </c>
      <c r="D2330" s="5">
        <v>44695.0</v>
      </c>
      <c r="E2330" s="4" t="s">
        <v>6524</v>
      </c>
      <c r="F2330" s="4" t="s">
        <v>6525</v>
      </c>
      <c r="G2330" s="6" t="str">
        <f>IFERROR(__xludf.DUMMYFUNCTION("REGEXREPLACE(LOWER(F2330),""[^a-z\s]"","""")"),"ordered hard to find diabetic cat food the the  lb bags are out of stock at all  companies that carry it petflow shows on the site that the  lb bags are in stock order on may th and vet approved was told that on the th its send to the warehouse for shippi"&amp;"ng called on the th to see why ive not got a tracking number was told alls good its in the shipping dept text on the ths and got the same bull  if you dont have it just say we dont have it")</f>
        <v>ordered hard to find diabetic cat food the the  lb bags are out of stock at all  companies that carry it petflow shows on the site that the  lb bags are in stock order on may th and vet approved was told that on the th its send to the warehouse for shipping called on the th to see why ive not got a tracking number was told alls good its in the shipping dept text on the ths and got the same bull  if you dont have it just say we dont have it</v>
      </c>
      <c r="H2330" s="4" t="str">
        <f t="shared" si="1"/>
        <v>ordered hard find diabetic cat food the lb bags are out of stock at all companies that carry it petflow shows on site that lb bags are in stock order on may th vet approved was told that on th its send warehouse shipping called on th see why ive not got a tracking number was told alls good its in shipping dept text on ths got same bull if you dont have it just say we dont have it</v>
      </c>
      <c r="I2330" s="6">
        <f t="shared" si="2"/>
        <v>80</v>
      </c>
      <c r="J2330" s="6">
        <f>IFERROR(__xludf.DUMMYFUNCTION("IF(H2330="""","""",
SUM(
ARRAYFORMULA(
IF(
REGEXMATCH(
"" ""&amp;H2330&amp;"" "",
"" ""&amp;Sentiment_Words!A$2:A3730&amp;"" ""
),
1,
0
)
)
)
)"),1.0)</f>
        <v>1</v>
      </c>
      <c r="K2330" s="4">
        <f>IFERROR(__xludf.DUMMYFUNCTION("IF(H2330="""","""",
SUM(
ARRAYFORMULA(
IF(
REGEXMATCH(
"" ""&amp;H2330&amp;"" "",
"" ""&amp;Sentiment_Words!B$2:B3730&amp;"" ""
),
1,
0
)
)
)
)"),1.0)</f>
        <v>1</v>
      </c>
      <c r="L2330" s="7" t="str">
        <f t="shared" si="3"/>
        <v>Availability</v>
      </c>
      <c r="M2330" s="7" t="str">
        <f t="shared" si="4"/>
        <v>Neutral</v>
      </c>
      <c r="N2330" s="7" t="str">
        <f>IFERROR(__xludf.DUMMYFUNCTION("LOWER(
TRIM(
REGEXREPLACE(B2330,""[^a-zA-Z\s]"","""")
)
)
"),"barron baszto")</f>
        <v>barron baszto</v>
      </c>
      <c r="O2330" s="7">
        <f t="shared" si="5"/>
        <v>1</v>
      </c>
      <c r="P2330" s="8" t="str">
        <f t="shared" si="6"/>
        <v>No</v>
      </c>
    </row>
    <row r="2331">
      <c r="A2331" s="4" t="s">
        <v>16</v>
      </c>
      <c r="B2331" s="4" t="s">
        <v>6526</v>
      </c>
      <c r="C2331" s="5">
        <v>44695.0</v>
      </c>
      <c r="D2331" s="5">
        <v>44695.0</v>
      </c>
      <c r="E2331" s="4" t="s">
        <v>6527</v>
      </c>
      <c r="F2331" s="4" t="s">
        <v>6528</v>
      </c>
      <c r="G2331" s="6" t="str">
        <f>IFERROR(__xludf.DUMMYFUNCTION("REGEXREPLACE(LOWER(F2331),""[^a-z\s]"","""")"),"products are good but the ones i wanted were out of stock or very low")</f>
        <v>products are good but the ones i wanted were out of stock or very low</v>
      </c>
      <c r="H2331" s="4" t="str">
        <f t="shared" si="1"/>
        <v>products are good but ones i wanted were out of stock or very low</v>
      </c>
      <c r="I2331" s="6">
        <f t="shared" si="2"/>
        <v>14</v>
      </c>
      <c r="J2331" s="6">
        <f>IFERROR(__xludf.DUMMYFUNCTION("IF(H2331="""","""",
SUM(
ARRAYFORMULA(
IF(
REGEXMATCH(
"" ""&amp;H2331&amp;"" "",
"" ""&amp;Sentiment_Words!A$2:A3730&amp;"" ""
),
1,
0
)
)
)
)"),1.0)</f>
        <v>1</v>
      </c>
      <c r="K2331" s="4">
        <f>IFERROR(__xludf.DUMMYFUNCTION("IF(H2331="""","""",
SUM(
ARRAYFORMULA(
IF(
REGEXMATCH(
"" ""&amp;H2331&amp;"" "",
"" ""&amp;Sentiment_Words!B$2:B3730&amp;"" ""
),
1,
0
)
)
)
)"),1.0)</f>
        <v>1</v>
      </c>
      <c r="L2331" s="7" t="str">
        <f t="shared" si="3"/>
        <v>Availability</v>
      </c>
      <c r="M2331" s="7" t="str">
        <f t="shared" si="4"/>
        <v>Neutral</v>
      </c>
      <c r="N2331" s="7" t="str">
        <f>IFERROR(__xludf.DUMMYFUNCTION("LOWER(
TRIM(
REGEXREPLACE(B2331,""[^a-zA-Z\s]"","""")
)
)
"),"kim surber hacker")</f>
        <v>kim surber hacker</v>
      </c>
      <c r="O2331" s="7">
        <f t="shared" si="5"/>
        <v>1</v>
      </c>
      <c r="P2331" s="8" t="str">
        <f t="shared" si="6"/>
        <v>No</v>
      </c>
    </row>
    <row r="2332">
      <c r="A2332" s="4" t="s">
        <v>16</v>
      </c>
      <c r="B2332" s="4" t="s">
        <v>3171</v>
      </c>
      <c r="C2332" s="5">
        <v>44695.0</v>
      </c>
      <c r="D2332" s="5">
        <v>44695.0</v>
      </c>
      <c r="E2332" s="4" t="s">
        <v>6529</v>
      </c>
      <c r="F2332" s="4" t="s">
        <v>6530</v>
      </c>
      <c r="G2332" s="6" t="str">
        <f>IFERROR(__xludf.DUMMYFUNCTION("REGEXREPLACE(LOWER(F2332),""[^a-z\s]"","""")"),"great product price communication and transaction")</f>
        <v>great product price communication and transaction</v>
      </c>
      <c r="H2332" s="4" t="str">
        <f t="shared" si="1"/>
        <v>great product price communication transaction</v>
      </c>
      <c r="I2332" s="6">
        <f t="shared" si="2"/>
        <v>5</v>
      </c>
      <c r="J2332" s="6">
        <f>IFERROR(__xludf.DUMMYFUNCTION("IF(H2332="""","""",
SUM(
ARRAYFORMULA(
IF(
REGEXMATCH(
"" ""&amp;H2332&amp;"" "",
"" ""&amp;Sentiment_Words!A$2:A3730&amp;"" ""
),
1,
0
)
)
)
)"),1.0)</f>
        <v>1</v>
      </c>
      <c r="K2332" s="4">
        <f>IFERROR(__xludf.DUMMYFUNCTION("IF(H2332="""","""",
SUM(
ARRAYFORMULA(
IF(
REGEXMATCH(
"" ""&amp;H2332&amp;"" "",
"" ""&amp;Sentiment_Words!B$2:B3730&amp;"" ""
),
1,
0
)
)
)
)"),0.0)</f>
        <v>0</v>
      </c>
      <c r="L2332" s="7" t="str">
        <f t="shared" si="3"/>
        <v>Other</v>
      </c>
      <c r="M2332" s="7" t="str">
        <f t="shared" si="4"/>
        <v>Positive</v>
      </c>
      <c r="N2332" s="7" t="str">
        <f>IFERROR(__xludf.DUMMYFUNCTION("LOWER(
TRIM(
REGEXREPLACE(B2332,""[^a-zA-Z\s]"","""")
)
)
"),"thomas")</f>
        <v>thomas</v>
      </c>
      <c r="O2332" s="7">
        <f t="shared" si="5"/>
        <v>2</v>
      </c>
      <c r="P2332" s="8" t="str">
        <f t="shared" si="6"/>
        <v>Yes</v>
      </c>
    </row>
    <row r="2333">
      <c r="A2333" s="4" t="s">
        <v>16</v>
      </c>
      <c r="B2333" s="4" t="s">
        <v>6531</v>
      </c>
      <c r="C2333" s="5">
        <v>44695.0</v>
      </c>
      <c r="D2333" s="5">
        <v>44695.0</v>
      </c>
      <c r="E2333" s="4" t="s">
        <v>6532</v>
      </c>
      <c r="F2333" s="4" t="s">
        <v>6533</v>
      </c>
      <c r="G2333" s="6" t="str">
        <f>IFERROR(__xludf.DUMMYFUNCTION("REGEXREPLACE(LOWER(F2333),""[^a-z\s]"","""")"),"i was very disappointed i ordered my rx can cat food the payment was made the payment was returned this is the first email from petflow i have not received an email why my payment was returned or why i did not receive my order")</f>
        <v>i was very disappointed i ordered my rx can cat food the payment was made the payment was returned this is the first email from petflow i have not received an email why my payment was returned or why i did not receive my order</v>
      </c>
      <c r="H2333" s="4" t="str">
        <f t="shared" si="1"/>
        <v>i was very disappointed i ordered my rx can cat food payment was made payment was returned this first email from petflow i have not received an email why my payment was returned or why i did not receive my order</v>
      </c>
      <c r="I2333" s="6">
        <f t="shared" si="2"/>
        <v>41</v>
      </c>
      <c r="J2333" s="6">
        <f>IFERROR(__xludf.DUMMYFUNCTION("IF(H2333="""","""",
SUM(
ARRAYFORMULA(
IF(
REGEXMATCH(
"" ""&amp;H2333&amp;"" "",
"" ""&amp;Sentiment_Words!A$2:A3730&amp;"" ""
),
1,
0
)
)
)
)"),0.0)</f>
        <v>0</v>
      </c>
      <c r="K2333" s="4">
        <f>IFERROR(__xludf.DUMMYFUNCTION("IF(H2333="""","""",
SUM(
ARRAYFORMULA(
IF(
REGEXMATCH(
"" ""&amp;H2333&amp;"" "",
"" ""&amp;Sentiment_Words!B$2:B3730&amp;"" ""
),
1,
0
)
)
)
)"),1.0)</f>
        <v>1</v>
      </c>
      <c r="L2333" s="7" t="str">
        <f t="shared" si="3"/>
        <v>Trust &amp; Experience</v>
      </c>
      <c r="M2333" s="7" t="str">
        <f t="shared" si="4"/>
        <v>Negative</v>
      </c>
      <c r="N2333" s="7" t="str">
        <f>IFERROR(__xludf.DUMMYFUNCTION("LOWER(
TRIM(
REGEXREPLACE(B2333,""[^a-zA-Z\s]"","""")
)
)
"),"mellie")</f>
        <v>mellie</v>
      </c>
      <c r="O2333" s="7">
        <f t="shared" si="5"/>
        <v>1</v>
      </c>
      <c r="P2333" s="8" t="str">
        <f t="shared" si="6"/>
        <v>No</v>
      </c>
    </row>
    <row r="2334">
      <c r="A2334" s="4" t="s">
        <v>16</v>
      </c>
      <c r="B2334" s="4" t="s">
        <v>6534</v>
      </c>
      <c r="C2334" s="5">
        <v>44695.0</v>
      </c>
      <c r="D2334" s="5">
        <v>44695.0</v>
      </c>
      <c r="E2334" s="4" t="s">
        <v>6535</v>
      </c>
      <c r="F2334" s="4" t="s">
        <v>6536</v>
      </c>
      <c r="G2334" s="6" t="str">
        <f>IFERROR(__xludf.DUMMYFUNCTION("REGEXREPLACE(LOWER(F2334),""[^a-z\s]"","""")"),"quick and easy  i just entered the order and the vet details and my order was on its way the next day")</f>
        <v>quick and easy  i just entered the order and the vet details and my order was on its way the next day</v>
      </c>
      <c r="H2334" s="4" t="str">
        <f t="shared" si="1"/>
        <v>quick easy i just entered order vet details my order was on its way next day</v>
      </c>
      <c r="I2334" s="6">
        <f t="shared" si="2"/>
        <v>16</v>
      </c>
      <c r="J2334" s="6">
        <f>IFERROR(__xludf.DUMMYFUNCTION("IF(H2334="""","""",
SUM(
ARRAYFORMULA(
IF(
REGEXMATCH(
"" ""&amp;H2334&amp;"" "",
"" ""&amp;Sentiment_Words!A$2:A3730&amp;"" ""
),
1,
0
)
)
)
)"),1.0)</f>
        <v>1</v>
      </c>
      <c r="K2334" s="4">
        <f>IFERROR(__xludf.DUMMYFUNCTION("IF(H2334="""","""",
SUM(
ARRAYFORMULA(
IF(
REGEXMATCH(
"" ""&amp;H2334&amp;"" "",
"" ""&amp;Sentiment_Words!B$2:B3730&amp;"" ""
),
1,
0
)
)
)
)"),0.0)</f>
        <v>0</v>
      </c>
      <c r="L2334" s="7" t="str">
        <f t="shared" si="3"/>
        <v>Other</v>
      </c>
      <c r="M2334" s="7" t="str">
        <f t="shared" si="4"/>
        <v>Positive</v>
      </c>
      <c r="N2334" s="7" t="str">
        <f>IFERROR(__xludf.DUMMYFUNCTION("LOWER(
TRIM(
REGEXREPLACE(B2334,""[^a-zA-Z\s]"","""")
)
)
"),"cindy")</f>
        <v>cindy</v>
      </c>
      <c r="O2334" s="7">
        <f t="shared" si="5"/>
        <v>1</v>
      </c>
      <c r="P2334" s="8" t="str">
        <f t="shared" si="6"/>
        <v>No</v>
      </c>
    </row>
    <row r="2335">
      <c r="A2335" s="4" t="s">
        <v>16</v>
      </c>
      <c r="B2335" s="4" t="s">
        <v>6537</v>
      </c>
      <c r="C2335" s="5">
        <v>44695.0</v>
      </c>
      <c r="D2335" s="5">
        <v>44695.0</v>
      </c>
      <c r="E2335" s="4" t="s">
        <v>4686</v>
      </c>
      <c r="F2335" s="4" t="s">
        <v>6538</v>
      </c>
      <c r="G2335" s="6" t="str">
        <f>IFERROR(__xludf.DUMMYFUNCTION("REGEXREPLACE(LOWER(F2335),""[^a-z\s]"","""")"),"my cat likes the friskies sensation cat foodi wish petflow has a larger selection of cat and dog food that weigh  lbs or less as i grow older i find it difficult to lift bags over  lbs")</f>
        <v>my cat likes the friskies sensation cat foodi wish petflow has a larger selection of cat and dog food that weigh  lbs or less as i grow older i find it difficult to lift bags over  lbs</v>
      </c>
      <c r="H2335" s="4" t="str">
        <f t="shared" si="1"/>
        <v>my cat likes friskies sensation cat foodi wish petflow has a larger selection of cat dog food that weigh lbs or less as i grow older i find it difficult lift bags over lbs</v>
      </c>
      <c r="I2335" s="6">
        <f t="shared" si="2"/>
        <v>34</v>
      </c>
      <c r="J2335" s="6">
        <f>IFERROR(__xludf.DUMMYFUNCTION("IF(H2335="""","""",
SUM(
ARRAYFORMULA(
IF(
REGEXMATCH(
"" ""&amp;H2335&amp;"" "",
"" ""&amp;Sentiment_Words!A$2:A3730&amp;"" ""
),
1,
0
)
)
)
)"),0.0)</f>
        <v>0</v>
      </c>
      <c r="K2335" s="4">
        <f>IFERROR(__xludf.DUMMYFUNCTION("IF(H2335="""","""",
SUM(
ARRAYFORMULA(
IF(
REGEXMATCH(
"" ""&amp;H2335&amp;"" "",
"" ""&amp;Sentiment_Words!B$2:B3730&amp;"" ""
),
1,
0
)
)
)
)"),0.0)</f>
        <v>0</v>
      </c>
      <c r="L2335" s="7" t="str">
        <f t="shared" si="3"/>
        <v>Other</v>
      </c>
      <c r="M2335" s="7" t="str">
        <f t="shared" si="4"/>
        <v>Neutral</v>
      </c>
      <c r="N2335" s="7" t="str">
        <f>IFERROR(__xludf.DUMMYFUNCTION("LOWER(
TRIM(
REGEXREPLACE(B2335,""[^a-zA-Z\s]"","""")
)
)
"),"ep")</f>
        <v>ep</v>
      </c>
      <c r="O2335" s="7">
        <f t="shared" si="5"/>
        <v>1</v>
      </c>
      <c r="P2335" s="8" t="str">
        <f t="shared" si="6"/>
        <v>No</v>
      </c>
    </row>
    <row r="2336">
      <c r="A2336" s="4" t="s">
        <v>16</v>
      </c>
      <c r="B2336" s="4" t="s">
        <v>6539</v>
      </c>
      <c r="C2336" s="5">
        <v>44694.0</v>
      </c>
      <c r="D2336" s="5">
        <v>44694.0</v>
      </c>
      <c r="E2336" s="4" t="s">
        <v>6540</v>
      </c>
      <c r="F2336" s="4" t="s">
        <v>331</v>
      </c>
      <c r="G2336" s="6" t="str">
        <f>IFERROR(__xludf.DUMMYFUNCTION("REGEXREPLACE(LOWER(F2336),""[^a-z\s]"","""")"),"none")</f>
        <v>none</v>
      </c>
      <c r="H2336" s="4" t="str">
        <f t="shared" si="1"/>
        <v>none</v>
      </c>
      <c r="I2336" s="6">
        <f t="shared" si="2"/>
        <v>1</v>
      </c>
      <c r="J2336" s="6">
        <f>IFERROR(__xludf.DUMMYFUNCTION("IF(H2336="""","""",
SUM(
ARRAYFORMULA(
IF(
REGEXMATCH(
"" ""&amp;H2336&amp;"" "",
"" ""&amp;Sentiment_Words!A$2:A3730&amp;"" ""
),
1,
0
)
)
)
)"),0.0)</f>
        <v>0</v>
      </c>
      <c r="K2336" s="4">
        <f>IFERROR(__xludf.DUMMYFUNCTION("IF(H2336="""","""",
SUM(
ARRAYFORMULA(
IF(
REGEXMATCH(
"" ""&amp;H2336&amp;"" "",
"" ""&amp;Sentiment_Words!B$2:B3730&amp;"" ""
),
1,
0
)
)
)
)"),0.0)</f>
        <v>0</v>
      </c>
      <c r="L2336" s="7" t="str">
        <f t="shared" si="3"/>
        <v>Other</v>
      </c>
      <c r="M2336" s="7" t="str">
        <f t="shared" si="4"/>
        <v>Neutral</v>
      </c>
      <c r="N2336" s="7" t="str">
        <f>IFERROR(__xludf.DUMMYFUNCTION("LOWER(
TRIM(
REGEXREPLACE(B2336,""[^a-zA-Z\s]"","""")
)
)
"),"amy")</f>
        <v>amy</v>
      </c>
      <c r="O2336" s="7">
        <f t="shared" si="5"/>
        <v>4</v>
      </c>
      <c r="P2336" s="8" t="str">
        <f t="shared" si="6"/>
        <v>Yes</v>
      </c>
    </row>
    <row r="2337">
      <c r="A2337" s="4" t="s">
        <v>16</v>
      </c>
      <c r="B2337" s="4" t="s">
        <v>6541</v>
      </c>
      <c r="C2337" s="5">
        <v>44694.0</v>
      </c>
      <c r="D2337" s="5">
        <v>44694.0</v>
      </c>
      <c r="E2337" s="4" t="s">
        <v>6542</v>
      </c>
      <c r="F2337" s="4" t="s">
        <v>331</v>
      </c>
      <c r="G2337" s="6" t="str">
        <f>IFERROR(__xludf.DUMMYFUNCTION("REGEXREPLACE(LOWER(F2337),""[^a-z\s]"","""")"),"none")</f>
        <v>none</v>
      </c>
      <c r="H2337" s="4" t="str">
        <f t="shared" si="1"/>
        <v>none</v>
      </c>
      <c r="I2337" s="6">
        <f t="shared" si="2"/>
        <v>1</v>
      </c>
      <c r="J2337" s="6">
        <f>IFERROR(__xludf.DUMMYFUNCTION("IF(H2337="""","""",
SUM(
ARRAYFORMULA(
IF(
REGEXMATCH(
"" ""&amp;H2337&amp;"" "",
"" ""&amp;Sentiment_Words!A$2:A3730&amp;"" ""
),
1,
0
)
)
)
)"),0.0)</f>
        <v>0</v>
      </c>
      <c r="K2337" s="4">
        <f>IFERROR(__xludf.DUMMYFUNCTION("IF(H2337="""","""",
SUM(
ARRAYFORMULA(
IF(
REGEXMATCH(
"" ""&amp;H2337&amp;"" "",
"" ""&amp;Sentiment_Words!B$2:B3730&amp;"" ""
),
1,
0
)
)
)
)"),0.0)</f>
        <v>0</v>
      </c>
      <c r="L2337" s="7" t="str">
        <f t="shared" si="3"/>
        <v>Other</v>
      </c>
      <c r="M2337" s="7" t="str">
        <f t="shared" si="4"/>
        <v>Neutral</v>
      </c>
      <c r="N2337" s="7" t="str">
        <f>IFERROR(__xludf.DUMMYFUNCTION("LOWER(
TRIM(
REGEXREPLACE(B2337,""[^a-zA-Z\s]"","""")
)
)
"),"albert buys")</f>
        <v>albert buys</v>
      </c>
      <c r="O2337" s="7">
        <f t="shared" si="5"/>
        <v>1</v>
      </c>
      <c r="P2337" s="8" t="str">
        <f t="shared" si="6"/>
        <v>No</v>
      </c>
    </row>
    <row r="2338">
      <c r="A2338" s="4" t="s">
        <v>16</v>
      </c>
      <c r="B2338" s="4" t="s">
        <v>6543</v>
      </c>
      <c r="C2338" s="5">
        <v>44694.0</v>
      </c>
      <c r="D2338" s="5">
        <v>44694.0</v>
      </c>
      <c r="E2338" s="4" t="s">
        <v>6544</v>
      </c>
      <c r="F2338" s="4" t="s">
        <v>6545</v>
      </c>
      <c r="G2338" s="6" t="str">
        <f>IFERROR(__xludf.DUMMYFUNCTION("REGEXREPLACE(LOWER(F2338),""[^a-z\s]"","""")"),"orders are accurate and delivered on time price is a little high at this time but no higher than other sites are charging for same pet food")</f>
        <v>orders are accurate and delivered on time price is a little high at this time but no higher than other sites are charging for same pet food</v>
      </c>
      <c r="H2338" s="4" t="str">
        <f t="shared" si="1"/>
        <v>orders are accurate delivered on time price a little high at this time but no higher than other sites are charging same pet food</v>
      </c>
      <c r="I2338" s="6">
        <f t="shared" si="2"/>
        <v>24</v>
      </c>
      <c r="J2338" s="6">
        <f>IFERROR(__xludf.DUMMYFUNCTION("IF(H2338="""","""",
SUM(
ARRAYFORMULA(
IF(
REGEXMATCH(
"" ""&amp;H2338&amp;"" "",
"" ""&amp;Sentiment_Words!A$2:A3730&amp;"" ""
),
1,
0
)
)
)
)"),2.0)</f>
        <v>2</v>
      </c>
      <c r="K2338" s="4">
        <f>IFERROR(__xludf.DUMMYFUNCTION("IF(H2338="""","""",
SUM(
ARRAYFORMULA(
IF(
REGEXMATCH(
"" ""&amp;H2338&amp;"" "",
"" ""&amp;Sentiment_Words!B$2:B3730&amp;"" ""
),
1,
0
)
)
)
)"),0.0)</f>
        <v>0</v>
      </c>
      <c r="L2338" s="7" t="str">
        <f t="shared" si="3"/>
        <v>Other</v>
      </c>
      <c r="M2338" s="7" t="str">
        <f t="shared" si="4"/>
        <v>Positive</v>
      </c>
      <c r="N2338" s="7" t="str">
        <f>IFERROR(__xludf.DUMMYFUNCTION("LOWER(
TRIM(
REGEXREPLACE(B2338,""[^a-zA-Z\s]"","""")
)
)
"),"deb")</f>
        <v>deb</v>
      </c>
      <c r="O2338" s="7">
        <f t="shared" si="5"/>
        <v>4</v>
      </c>
      <c r="P2338" s="8" t="str">
        <f t="shared" si="6"/>
        <v>Yes</v>
      </c>
    </row>
    <row r="2339">
      <c r="A2339" s="4" t="s">
        <v>16</v>
      </c>
      <c r="B2339" s="4" t="s">
        <v>6546</v>
      </c>
      <c r="C2339" s="5">
        <v>44694.0</v>
      </c>
      <c r="D2339" s="5">
        <v>44694.0</v>
      </c>
      <c r="E2339" s="4" t="s">
        <v>6547</v>
      </c>
      <c r="F2339" s="4" t="s">
        <v>6548</v>
      </c>
      <c r="G2339" s="6" t="str">
        <f>IFERROR(__xludf.DUMMYFUNCTION("REGEXREPLACE(LOWER(F2339),""[^a-z\s]"","""")"),"ive only used petflow once first time but everything was great easy to navigate the site received order quickly packaged safely i had a general question and customer service was very nice and knowledgeable ill be a repeat customer and very glad to have fo"&amp;"und petflow")</f>
        <v>ive only used petflow once first time but everything was great easy to navigate the site received order quickly packaged safely i had a general question and customer service was very nice and knowledgeable ill be a repeat customer and very glad to have found petflow</v>
      </c>
      <c r="H2339" s="4" t="str">
        <f t="shared" si="1"/>
        <v>ive only used petflow once first time but everything was great easy navigate site received order quickly packaged safely i had a general question customer service was very nice knowledgeable ill be a repeat customer very glad have found petflow</v>
      </c>
      <c r="I2339" s="6">
        <f t="shared" si="2"/>
        <v>40</v>
      </c>
      <c r="J2339" s="6">
        <f>IFERROR(__xludf.DUMMYFUNCTION("IF(H2339="""","""",
SUM(
ARRAYFORMULA(
IF(
REGEXMATCH(
"" ""&amp;H2339&amp;"" "",
"" ""&amp;Sentiment_Words!A$2:A3730&amp;"" ""
),
1,
0
)
)
)
)"),3.0)</f>
        <v>3</v>
      </c>
      <c r="K2339" s="4">
        <f>IFERROR(__xludf.DUMMYFUNCTION("IF(H2339="""","""",
SUM(
ARRAYFORMULA(
IF(
REGEXMATCH(
"" ""&amp;H2339&amp;"" "",
"" ""&amp;Sentiment_Words!B$2:B3730&amp;"" ""
),
1,
0
)
)
)
)"),1.0)</f>
        <v>1</v>
      </c>
      <c r="L2339" s="7" t="str">
        <f t="shared" si="3"/>
        <v>Customer Support</v>
      </c>
      <c r="M2339" s="7" t="str">
        <f t="shared" si="4"/>
        <v>Positive</v>
      </c>
      <c r="N2339" s="7" t="str">
        <f>IFERROR(__xludf.DUMMYFUNCTION("LOWER(
TRIM(
REGEXREPLACE(B2339,""[^a-zA-Z\s]"","""")
)
)
"),"jake oneill")</f>
        <v>jake oneill</v>
      </c>
      <c r="O2339" s="7">
        <f t="shared" si="5"/>
        <v>1</v>
      </c>
      <c r="P2339" s="8" t="str">
        <f t="shared" si="6"/>
        <v>No</v>
      </c>
    </row>
    <row r="2340">
      <c r="A2340" s="4" t="s">
        <v>16</v>
      </c>
      <c r="B2340" s="4" t="s">
        <v>6549</v>
      </c>
      <c r="C2340" s="5">
        <v>44693.0</v>
      </c>
      <c r="D2340" s="5">
        <v>44694.0</v>
      </c>
      <c r="E2340" s="4" t="s">
        <v>6550</v>
      </c>
      <c r="F2340" s="4" t="s">
        <v>6551</v>
      </c>
      <c r="G2340" s="6" t="str">
        <f>IFERROR(__xludf.DUMMYFUNCTION("REGEXREPLACE(LOWER(F2340),""[^a-z\s]"","""")"),"frustrated with the lack of customer service regarding my cat food order our vets office personally called to ok a prescription diet for our cat as we could not find it anywhere and we were running out we did not get any official notification that you end"&amp;"ed up being out of this product until  days later we should have been notified immediately i will not use you in the future communication is key")</f>
        <v>frustrated with the lack of customer service regarding my cat food order our vets office personally called to ok a prescription diet for our cat as we could not find it anywhere and we were running out we did not get any official notification that you ended up being out of this product until  days later we should have been notified immediately i will not use you in the future communication is key</v>
      </c>
      <c r="H2340" s="4" t="str">
        <f t="shared" si="1"/>
        <v>frustrated with lack of customer service regarding my cat food order our vets office personally called ok a prescription diet our cat as we could not find it anywhere we were running out we did not get any official notification that you ended up being out of this product until days later we should have been notified immediately i will not use you in future communication key</v>
      </c>
      <c r="I2340" s="6">
        <f t="shared" si="2"/>
        <v>67</v>
      </c>
      <c r="J2340" s="6">
        <f>IFERROR(__xludf.DUMMYFUNCTION("IF(H2340="""","""",
SUM(
ARRAYFORMULA(
IF(
REGEXMATCH(
"" ""&amp;H2340&amp;"" "",
"" ""&amp;Sentiment_Words!A$2:A3730&amp;"" ""
),
1,
0
)
)
)
)"),1.0)</f>
        <v>1</v>
      </c>
      <c r="K2340" s="4">
        <f>IFERROR(__xludf.DUMMYFUNCTION("IF(H2340="""","""",
SUM(
ARRAYFORMULA(
IF(
REGEXMATCH(
"" ""&amp;H2340&amp;"" "",
"" ""&amp;Sentiment_Words!B$2:B3730&amp;"" ""
),
1,
0
)
)
)
)"),1.0)</f>
        <v>1</v>
      </c>
      <c r="L2340" s="7" t="str">
        <f t="shared" si="3"/>
        <v>Customer Support</v>
      </c>
      <c r="M2340" s="7" t="str">
        <f t="shared" si="4"/>
        <v>Neutral</v>
      </c>
      <c r="N2340" s="7" t="str">
        <f>IFERROR(__xludf.DUMMYFUNCTION("LOWER(
TRIM(
REGEXREPLACE(B2340,""[^a-zA-Z\s]"","""")
)
)
"),"michele heile")</f>
        <v>michele heile</v>
      </c>
      <c r="O2340" s="7">
        <f t="shared" si="5"/>
        <v>1</v>
      </c>
      <c r="P2340" s="8" t="str">
        <f t="shared" si="6"/>
        <v>No</v>
      </c>
    </row>
    <row r="2341">
      <c r="A2341" s="4" t="s">
        <v>16</v>
      </c>
      <c r="B2341" s="4" t="s">
        <v>6552</v>
      </c>
      <c r="C2341" s="5">
        <v>44693.0</v>
      </c>
      <c r="D2341" s="5">
        <v>44693.0</v>
      </c>
      <c r="E2341" s="4" t="s">
        <v>6553</v>
      </c>
      <c r="F2341" s="4" t="s">
        <v>6554</v>
      </c>
      <c r="G2341" s="6" t="str">
        <f>IFERROR(__xludf.DUMMYFUNCTION("REGEXREPLACE(LOWER(F2341),""[^a-z\s]"","""")"),"my items from petflow always arrive quickly and accurately i enjoy using petflow for my dogs needs i highly recommend")</f>
        <v>my items from petflow always arrive quickly and accurately i enjoy using petflow for my dogs needs i highly recommend</v>
      </c>
      <c r="H2341" s="4" t="str">
        <f t="shared" si="1"/>
        <v>my items from petflow always arrive quickly accurately i enjoy using petflow my dogs needs i highly recommend</v>
      </c>
      <c r="I2341" s="6">
        <f t="shared" si="2"/>
        <v>18</v>
      </c>
      <c r="J2341" s="6">
        <f>IFERROR(__xludf.DUMMYFUNCTION("IF(H2341="""","""",
SUM(
ARRAYFORMULA(
IF(
REGEXMATCH(
"" ""&amp;H2341&amp;"" "",
"" ""&amp;Sentiment_Words!A$2:A3730&amp;"" ""
),
1,
0
)
)
)
)"),0.0)</f>
        <v>0</v>
      </c>
      <c r="K2341" s="4">
        <f>IFERROR(__xludf.DUMMYFUNCTION("IF(H2341="""","""",
SUM(
ARRAYFORMULA(
IF(
REGEXMATCH(
"" ""&amp;H2341&amp;"" "",
"" ""&amp;Sentiment_Words!B$2:B3730&amp;"" ""
),
1,
0
)
)
)
)"),0.0)</f>
        <v>0</v>
      </c>
      <c r="L2341" s="7" t="str">
        <f t="shared" si="3"/>
        <v>Other</v>
      </c>
      <c r="M2341" s="7" t="str">
        <f t="shared" si="4"/>
        <v>Neutral</v>
      </c>
      <c r="N2341" s="7" t="str">
        <f>IFERROR(__xludf.DUMMYFUNCTION("LOWER(
TRIM(
REGEXREPLACE(B2341,""[^a-zA-Z\s]"","""")
)
)
"),"teri lispi")</f>
        <v>teri lispi</v>
      </c>
      <c r="O2341" s="7">
        <f t="shared" si="5"/>
        <v>1</v>
      </c>
      <c r="P2341" s="8" t="str">
        <f t="shared" si="6"/>
        <v>No</v>
      </c>
    </row>
    <row r="2342">
      <c r="A2342" s="4" t="s">
        <v>16</v>
      </c>
      <c r="B2342" s="4" t="s">
        <v>6555</v>
      </c>
      <c r="C2342" s="5">
        <v>44693.0</v>
      </c>
      <c r="D2342" s="5">
        <v>44693.0</v>
      </c>
      <c r="E2342" s="4" t="s">
        <v>6556</v>
      </c>
      <c r="F2342" s="4" t="s">
        <v>6557</v>
      </c>
      <c r="G2342" s="6" t="str">
        <f>IFERROR(__xludf.DUMMYFUNCTION("REGEXREPLACE(LOWER(F2342),""[^a-z\s]"","""")"),"trustworthy accommodating and much variety")</f>
        <v>trustworthy accommodating and much variety</v>
      </c>
      <c r="H2342" s="4" t="str">
        <f t="shared" si="1"/>
        <v>trustworthy accommodating much variety</v>
      </c>
      <c r="I2342" s="6">
        <f t="shared" si="2"/>
        <v>4</v>
      </c>
      <c r="J2342" s="6">
        <f>IFERROR(__xludf.DUMMYFUNCTION("IF(H2342="""","""",
SUM(
ARRAYFORMULA(
IF(
REGEXMATCH(
"" ""&amp;H2342&amp;"" "",
"" ""&amp;Sentiment_Words!A$2:A3730&amp;"" ""
),
1,
0
)
)
)
)"),0.0)</f>
        <v>0</v>
      </c>
      <c r="K2342" s="4">
        <f>IFERROR(__xludf.DUMMYFUNCTION("IF(H2342="""","""",
SUM(
ARRAYFORMULA(
IF(
REGEXMATCH(
"" ""&amp;H2342&amp;"" "",
"" ""&amp;Sentiment_Words!B$2:B3730&amp;"" ""
),
1,
0
)
)
)
)"),0.0)</f>
        <v>0</v>
      </c>
      <c r="L2342" s="7" t="str">
        <f t="shared" si="3"/>
        <v>Trust &amp; Experience</v>
      </c>
      <c r="M2342" s="7" t="str">
        <f t="shared" si="4"/>
        <v>Neutral</v>
      </c>
      <c r="N2342" s="7" t="str">
        <f>IFERROR(__xludf.DUMMYFUNCTION("LOWER(
TRIM(
REGEXREPLACE(B2342,""[^a-zA-Z\s]"","""")
)
)
"),"deborah jb")</f>
        <v>deborah jb</v>
      </c>
      <c r="O2342" s="7">
        <f t="shared" si="5"/>
        <v>1</v>
      </c>
      <c r="P2342" s="8" t="str">
        <f t="shared" si="6"/>
        <v>No</v>
      </c>
    </row>
    <row r="2343">
      <c r="A2343" s="4" t="s">
        <v>16</v>
      </c>
      <c r="B2343" s="4" t="s">
        <v>6558</v>
      </c>
      <c r="C2343" s="5">
        <v>44693.0</v>
      </c>
      <c r="D2343" s="5">
        <v>44693.0</v>
      </c>
      <c r="E2343" s="4" t="s">
        <v>1036</v>
      </c>
      <c r="F2343" s="4" t="s">
        <v>6559</v>
      </c>
      <c r="G2343" s="6" t="str">
        <f>IFERROR(__xludf.DUMMYFUNCTION("REGEXREPLACE(LOWER(F2343),""[^a-z\s]"","""")"),"products ordered came quickly and accurately the website makes reordering easy")</f>
        <v>products ordered came quickly and accurately the website makes reordering easy</v>
      </c>
      <c r="H2343" s="4" t="str">
        <f t="shared" si="1"/>
        <v>products ordered came quickly accurately website makes reordering easy</v>
      </c>
      <c r="I2343" s="6">
        <f t="shared" si="2"/>
        <v>9</v>
      </c>
      <c r="J2343" s="6">
        <f>IFERROR(__xludf.DUMMYFUNCTION("IF(H2343="""","""",
SUM(
ARRAYFORMULA(
IF(
REGEXMATCH(
"" ""&amp;H2343&amp;"" "",
"" ""&amp;Sentiment_Words!A$2:A3730&amp;"" ""
),
1,
0
)
)
)
)"),1.0)</f>
        <v>1</v>
      </c>
      <c r="K2343" s="4">
        <f>IFERROR(__xludf.DUMMYFUNCTION("IF(H2343="""","""",
SUM(
ARRAYFORMULA(
IF(
REGEXMATCH(
"" ""&amp;H2343&amp;"" "",
"" ""&amp;Sentiment_Words!B$2:B3730&amp;"" ""
),
1,
0
)
)
)
)"),0.0)</f>
        <v>0</v>
      </c>
      <c r="L2343" s="7" t="str">
        <f t="shared" si="3"/>
        <v>Account &amp; Website</v>
      </c>
      <c r="M2343" s="7" t="str">
        <f t="shared" si="4"/>
        <v>Positive</v>
      </c>
      <c r="N2343" s="7" t="str">
        <f>IFERROR(__xludf.DUMMYFUNCTION("LOWER(
TRIM(
REGEXREPLACE(B2343,""[^a-zA-Z\s]"","""")
)
)
"),"pj")</f>
        <v>pj</v>
      </c>
      <c r="O2343" s="7">
        <f t="shared" si="5"/>
        <v>1</v>
      </c>
      <c r="P2343" s="8" t="str">
        <f t="shared" si="6"/>
        <v>No</v>
      </c>
    </row>
    <row r="2344">
      <c r="A2344" s="4" t="s">
        <v>16</v>
      </c>
      <c r="B2344" s="4" t="s">
        <v>6560</v>
      </c>
      <c r="C2344" s="5">
        <v>44693.0</v>
      </c>
      <c r="D2344" s="5">
        <v>44693.0</v>
      </c>
      <c r="E2344" s="4" t="s">
        <v>6561</v>
      </c>
      <c r="F2344" s="4" t="s">
        <v>6562</v>
      </c>
      <c r="G2344" s="6" t="str">
        <f>IFERROR(__xludf.DUMMYFUNCTION("REGEXREPLACE(LOWER(F2344),""[^a-z\s]"","""")"),"we have shopped with pet flow for about  years and they always provide excellent service and products")</f>
        <v>we have shopped with pet flow for about  years and they always provide excellent service and products</v>
      </c>
      <c r="H2344" s="4" t="str">
        <f t="shared" si="1"/>
        <v>we have shopped with pet flow about years they always provide excellent service products</v>
      </c>
      <c r="I2344" s="6">
        <f t="shared" si="2"/>
        <v>14</v>
      </c>
      <c r="J2344" s="6">
        <f>IFERROR(__xludf.DUMMYFUNCTION("IF(H2344="""","""",
SUM(
ARRAYFORMULA(
IF(
REGEXMATCH(
"" ""&amp;H2344&amp;"" "",
"" ""&amp;Sentiment_Words!A$2:A3730&amp;"" ""
),
1,
0
)
)
)
)"),0.0)</f>
        <v>0</v>
      </c>
      <c r="K2344" s="4">
        <f>IFERROR(__xludf.DUMMYFUNCTION("IF(H2344="""","""",
SUM(
ARRAYFORMULA(
IF(
REGEXMATCH(
"" ""&amp;H2344&amp;"" "",
"" ""&amp;Sentiment_Words!B$2:B3730&amp;"" ""
),
1,
0
)
)
)
)"),0.0)</f>
        <v>0</v>
      </c>
      <c r="L2344" s="7" t="str">
        <f t="shared" si="3"/>
        <v>Customer Support</v>
      </c>
      <c r="M2344" s="7" t="str">
        <f t="shared" si="4"/>
        <v>Neutral</v>
      </c>
      <c r="N2344" s="7" t="str">
        <f>IFERROR(__xludf.DUMMYFUNCTION("LOWER(
TRIM(
REGEXREPLACE(B2344,""[^a-zA-Z\s]"","""")
)
)
"),"jeb")</f>
        <v>jeb</v>
      </c>
      <c r="O2344" s="7">
        <f t="shared" si="5"/>
        <v>1</v>
      </c>
      <c r="P2344" s="8" t="str">
        <f t="shared" si="6"/>
        <v>No</v>
      </c>
    </row>
    <row r="2345">
      <c r="A2345" s="4" t="s">
        <v>16</v>
      </c>
      <c r="B2345" s="4" t="s">
        <v>115</v>
      </c>
      <c r="C2345" s="5">
        <v>44693.0</v>
      </c>
      <c r="D2345" s="5">
        <v>44693.0</v>
      </c>
      <c r="E2345" s="4" t="s">
        <v>6563</v>
      </c>
      <c r="F2345" s="4" t="s">
        <v>6564</v>
      </c>
      <c r="G2345" s="6" t="str">
        <f>IFERROR(__xludf.DUMMYFUNCTION("REGEXREPLACE(LOWER(F2345),""[^a-z\s]"","""")"),"ready for some captains plate sardines  mackeral now look forward to this against the grain next when they are available for purchase again
thank you for getting this delivery to us as you were the only pet food company that could provide us with shrimp "&amp;"daddy our cats thank you very much")</f>
        <v>ready for some captains plate sardines  mackeral now look forward to this against the grain next when they are available for purchase again
thank you for getting this delivery to us as you were the only pet food company that could provide us with shrimp daddy our cats thank you very much</v>
      </c>
      <c r="H2345" s="4" t="str">
        <f t="shared" si="1"/>
        <v>ready some captains plate sardines mackeral now look forward this against grain next when they are available purchase again
thank you getting this delivery us as you were only pet food company that could provide us with shrimp daddy our cats thank you very much</v>
      </c>
      <c r="I2345" s="6">
        <f t="shared" si="2"/>
        <v>44</v>
      </c>
      <c r="J2345" s="6">
        <f>IFERROR(__xludf.DUMMYFUNCTION("IF(H2345="""","""",
SUM(
ARRAYFORMULA(
IF(
REGEXMATCH(
"" ""&amp;H2345&amp;"" "",
"" ""&amp;Sentiment_Words!A$2:A3730&amp;"" ""
),
1,
0
)
)
)
)"),1.0)</f>
        <v>1</v>
      </c>
      <c r="K2345" s="4">
        <f>IFERROR(__xludf.DUMMYFUNCTION("IF(H2345="""","""",
SUM(
ARRAYFORMULA(
IF(
REGEXMATCH(
"" ""&amp;H2345&amp;"" "",
"" ""&amp;Sentiment_Words!B$2:B3730&amp;"" ""
),
1,
0
)
)
)
)"),0.0)</f>
        <v>0</v>
      </c>
      <c r="L2345" s="7" t="str">
        <f t="shared" si="3"/>
        <v>Fulfillment &amp; Shipping</v>
      </c>
      <c r="M2345" s="7" t="str">
        <f t="shared" si="4"/>
        <v>Positive</v>
      </c>
      <c r="N2345" s="7" t="str">
        <f>IFERROR(__xludf.DUMMYFUNCTION("LOWER(
TRIM(
REGEXREPLACE(B2345,""[^a-zA-Z\s]"","""")
)
)
"),"kimberly")</f>
        <v>kimberly</v>
      </c>
      <c r="O2345" s="7">
        <f t="shared" si="5"/>
        <v>3</v>
      </c>
      <c r="P2345" s="8" t="str">
        <f t="shared" si="6"/>
        <v>Yes</v>
      </c>
    </row>
    <row r="2346">
      <c r="A2346" s="4" t="s">
        <v>16</v>
      </c>
      <c r="B2346" s="4" t="s">
        <v>6565</v>
      </c>
      <c r="C2346" s="5">
        <v>44693.0</v>
      </c>
      <c r="D2346" s="5">
        <v>44693.0</v>
      </c>
      <c r="E2346" s="4" t="s">
        <v>6566</v>
      </c>
      <c r="F2346" s="4" t="s">
        <v>6567</v>
      </c>
      <c r="G2346" s="6" t="str">
        <f>IFERROR(__xludf.DUMMYFUNCTION("REGEXREPLACE(LOWER(F2346),""[^a-z\s]"","""")"),"every order i have placed has been canceled i call to verify everything is ok daily i am told that its being packed to ship i call again the next day and am told its shipping that day both orders have done this usually  hours later the order is canceled b"&amp;"y you i have never received any order i have placed")</f>
        <v>every order i have placed has been canceled i call to verify everything is ok daily i am told that its being packed to ship i call again the next day and am told its shipping that day both orders have done this usually  hours later the order is canceled by you i have never received any order i have placed</v>
      </c>
      <c r="H2346" s="4" t="str">
        <f t="shared" si="1"/>
        <v>every order i have placed has been canceled i call verify everything ok daily i am told that its being packed ship i call again next day am told its shipping that day both orders have done this usually hours later order canceled by you i have never received any order i have placed</v>
      </c>
      <c r="I2346" s="6">
        <f t="shared" si="2"/>
        <v>54</v>
      </c>
      <c r="J2346" s="6">
        <f>IFERROR(__xludf.DUMMYFUNCTION("IF(H2346="""","""",
SUM(
ARRAYFORMULA(
IF(
REGEXMATCH(
"" ""&amp;H2346&amp;"" "",
"" ""&amp;Sentiment_Words!A$2:A3730&amp;"" ""
),
1,
0
)
)
)
)"),0.0)</f>
        <v>0</v>
      </c>
      <c r="K2346" s="4">
        <f>IFERROR(__xludf.DUMMYFUNCTION("IF(H2346="""","""",
SUM(
ARRAYFORMULA(
IF(
REGEXMATCH(
"" ""&amp;H2346&amp;"" "",
"" ""&amp;Sentiment_Words!B$2:B3730&amp;"" ""
),
1,
0
)
)
)
)"),0.0)</f>
        <v>0</v>
      </c>
      <c r="L2346" s="7" t="str">
        <f t="shared" si="3"/>
        <v>Fulfillment &amp; Shipping</v>
      </c>
      <c r="M2346" s="7" t="str">
        <f t="shared" si="4"/>
        <v>Neutral</v>
      </c>
      <c r="N2346" s="7" t="str">
        <f>IFERROR(__xludf.DUMMYFUNCTION("LOWER(
TRIM(
REGEXREPLACE(B2346,""[^a-zA-Z\s]"","""")
)
)
"),"judy barrick")</f>
        <v>judy barrick</v>
      </c>
      <c r="O2346" s="7">
        <f t="shared" si="5"/>
        <v>1</v>
      </c>
      <c r="P2346" s="8" t="str">
        <f t="shared" si="6"/>
        <v>No</v>
      </c>
    </row>
    <row r="2347">
      <c r="A2347" s="4" t="s">
        <v>16</v>
      </c>
      <c r="B2347" s="4" t="s">
        <v>6568</v>
      </c>
      <c r="C2347" s="5">
        <v>44692.0</v>
      </c>
      <c r="D2347" s="5">
        <v>44692.0</v>
      </c>
      <c r="E2347" s="4" t="s">
        <v>6569</v>
      </c>
      <c r="F2347" s="4" t="s">
        <v>6570</v>
      </c>
      <c r="G2347" s="6" t="str">
        <f>IFERROR(__xludf.DUMMYFUNCTION("REGEXREPLACE(LOWER(F2347),""[^a-z\s]"","""")"),"im very disappointed as the item u always order was not in stock and currently remains out of stock")</f>
        <v>im very disappointed as the item u always order was not in stock and currently remains out of stock</v>
      </c>
      <c r="H2347" s="4" t="str">
        <f t="shared" si="1"/>
        <v>im very disappointed as item u always order was not in stock currently remains out of stock</v>
      </c>
      <c r="I2347" s="6">
        <f t="shared" si="2"/>
        <v>17</v>
      </c>
      <c r="J2347" s="6">
        <f>IFERROR(__xludf.DUMMYFUNCTION("IF(H2347="""","""",
SUM(
ARRAYFORMULA(
IF(
REGEXMATCH(
"" ""&amp;H2347&amp;"" "",
"" ""&amp;Sentiment_Words!A$2:A3730&amp;"" ""
),
1,
0
)
)
)
)"),0.0)</f>
        <v>0</v>
      </c>
      <c r="K2347" s="4">
        <f>IFERROR(__xludf.DUMMYFUNCTION("IF(H2347="""","""",
SUM(
ARRAYFORMULA(
IF(
REGEXMATCH(
"" ""&amp;H2347&amp;"" "",
"" ""&amp;Sentiment_Words!B$2:B3730&amp;"" ""
),
1,
0
)
)
)
)"),1.0)</f>
        <v>1</v>
      </c>
      <c r="L2347" s="7" t="str">
        <f t="shared" si="3"/>
        <v>Availability</v>
      </c>
      <c r="M2347" s="7" t="str">
        <f t="shared" si="4"/>
        <v>Negative</v>
      </c>
      <c r="N2347" s="7" t="str">
        <f>IFERROR(__xludf.DUMMYFUNCTION("LOWER(
TRIM(
REGEXREPLACE(B2347,""[^a-zA-Z\s]"","""")
)
)
"),"renee neace")</f>
        <v>renee neace</v>
      </c>
      <c r="O2347" s="7">
        <f t="shared" si="5"/>
        <v>1</v>
      </c>
      <c r="P2347" s="8" t="str">
        <f t="shared" si="6"/>
        <v>No</v>
      </c>
    </row>
    <row r="2348">
      <c r="A2348" s="4" t="s">
        <v>16</v>
      </c>
      <c r="B2348" s="4" t="s">
        <v>2144</v>
      </c>
      <c r="C2348" s="5">
        <v>44692.0</v>
      </c>
      <c r="D2348" s="5">
        <v>44692.0</v>
      </c>
      <c r="E2348" s="4" t="s">
        <v>6571</v>
      </c>
      <c r="F2348" s="4" t="s">
        <v>6572</v>
      </c>
      <c r="G2348" s="6" t="str">
        <f>IFERROR(__xludf.DUMMYFUNCTION("REGEXREPLACE(LOWER(F2348),""[^a-z\s]"","""")"),"fast delivery and they carry what i need")</f>
        <v>fast delivery and they carry what i need</v>
      </c>
      <c r="H2348" s="4" t="str">
        <f t="shared" si="1"/>
        <v>fast delivery they carry what i need</v>
      </c>
      <c r="I2348" s="6">
        <f t="shared" si="2"/>
        <v>7</v>
      </c>
      <c r="J2348" s="6">
        <f>IFERROR(__xludf.DUMMYFUNCTION("IF(H2348="""","""",
SUM(
ARRAYFORMULA(
IF(
REGEXMATCH(
"" ""&amp;H2348&amp;"" "",
"" ""&amp;Sentiment_Words!A$2:A3730&amp;"" ""
),
1,
0
)
)
)
)"),2.0)</f>
        <v>2</v>
      </c>
      <c r="K2348" s="4">
        <f>IFERROR(__xludf.DUMMYFUNCTION("IF(H2348="""","""",
SUM(
ARRAYFORMULA(
IF(
REGEXMATCH(
"" ""&amp;H2348&amp;"" "",
"" ""&amp;Sentiment_Words!B$2:B3730&amp;"" ""
),
1,
0
)
)
)
)"),0.0)</f>
        <v>0</v>
      </c>
      <c r="L2348" s="7" t="str">
        <f t="shared" si="3"/>
        <v>Other</v>
      </c>
      <c r="M2348" s="7" t="str">
        <f t="shared" si="4"/>
        <v>Positive</v>
      </c>
      <c r="N2348" s="7" t="str">
        <f>IFERROR(__xludf.DUMMYFUNCTION("LOWER(
TRIM(
REGEXREPLACE(B2348,""[^a-zA-Z\s]"","""")
)
)
"),"terri")</f>
        <v>terri</v>
      </c>
      <c r="O2348" s="7">
        <f t="shared" si="5"/>
        <v>5</v>
      </c>
      <c r="P2348" s="8" t="str">
        <f t="shared" si="6"/>
        <v>Yes</v>
      </c>
    </row>
    <row r="2349">
      <c r="A2349" s="4" t="s">
        <v>16</v>
      </c>
      <c r="B2349" s="4" t="s">
        <v>6573</v>
      </c>
      <c r="C2349" s="5">
        <v>44692.0</v>
      </c>
      <c r="D2349" s="5">
        <v>44692.0</v>
      </c>
      <c r="E2349" s="4" t="s">
        <v>6574</v>
      </c>
      <c r="F2349" s="4" t="s">
        <v>6575</v>
      </c>
      <c r="G2349" s="6" t="str">
        <f>IFERROR(__xludf.DUMMYFUNCTION("REGEXREPLACE(LOWER(F2349),""[^a-z\s]"","""")"),"petflow was very easy to order from and was shipped out almost immediately the dog food arrived very quickly i would definitely recommend them to pet owners")</f>
        <v>petflow was very easy to order from and was shipped out almost immediately the dog food arrived very quickly i would definitely recommend them to pet owners</v>
      </c>
      <c r="H2349" s="4" t="str">
        <f t="shared" si="1"/>
        <v>petflow was very easy order from was shipped out almost immediately dog food arrived very quickly i would definitely recommend them pet owners</v>
      </c>
      <c r="I2349" s="6">
        <f t="shared" si="2"/>
        <v>23</v>
      </c>
      <c r="J2349" s="6">
        <f>IFERROR(__xludf.DUMMYFUNCTION("IF(H2349="""","""",
SUM(
ARRAYFORMULA(
IF(
REGEXMATCH(
"" ""&amp;H2349&amp;"" "",
"" ""&amp;Sentiment_Words!A$2:A3730&amp;"" ""
),
1,
0
)
)
)
)"),2.0)</f>
        <v>2</v>
      </c>
      <c r="K2349" s="4">
        <f>IFERROR(__xludf.DUMMYFUNCTION("IF(H2349="""","""",
SUM(
ARRAYFORMULA(
IF(
REGEXMATCH(
"" ""&amp;H2349&amp;"" "",
"" ""&amp;Sentiment_Words!B$2:B3730&amp;"" ""
),
1,
0
)
)
)
)"),0.0)</f>
        <v>0</v>
      </c>
      <c r="L2349" s="7" t="str">
        <f t="shared" si="3"/>
        <v>Other</v>
      </c>
      <c r="M2349" s="7" t="str">
        <f t="shared" si="4"/>
        <v>Positive</v>
      </c>
      <c r="N2349" s="7" t="str">
        <f>IFERROR(__xludf.DUMMYFUNCTION("LOWER(
TRIM(
REGEXREPLACE(B2349,""[^a-zA-Z\s]"","""")
)
)
"),"karrie")</f>
        <v>karrie</v>
      </c>
      <c r="O2349" s="7">
        <f t="shared" si="5"/>
        <v>1</v>
      </c>
      <c r="P2349" s="8" t="str">
        <f t="shared" si="6"/>
        <v>No</v>
      </c>
    </row>
    <row r="2350">
      <c r="A2350" s="4" t="s">
        <v>16</v>
      </c>
      <c r="B2350" s="4" t="s">
        <v>6576</v>
      </c>
      <c r="C2350" s="5">
        <v>44692.0</v>
      </c>
      <c r="D2350" s="5">
        <v>44692.0</v>
      </c>
      <c r="E2350" s="4" t="s">
        <v>6577</v>
      </c>
      <c r="F2350" s="4" t="s">
        <v>6578</v>
      </c>
      <c r="G2350" s="6" t="str">
        <f>IFERROR(__xludf.DUMMYFUNCTION("REGEXREPLACE(LOWER(F2350),""[^a-z\s]"","""")"),"ive used petflow on and for  years the delivery has always been spot on but occasionally a food change required a different vendor glad ive returned")</f>
        <v>ive used petflow on and for  years the delivery has always been spot on but occasionally a food change required a different vendor glad ive returned</v>
      </c>
      <c r="H2350" s="4" t="str">
        <f t="shared" si="1"/>
        <v>ive used petflow on years delivery has always been spot on but occasionally a food change required a different vendor glad ive returned</v>
      </c>
      <c r="I2350" s="6">
        <f t="shared" si="2"/>
        <v>23</v>
      </c>
      <c r="J2350" s="6">
        <f>IFERROR(__xludf.DUMMYFUNCTION("IF(H2350="""","""",
SUM(
ARRAYFORMULA(
IF(
REGEXMATCH(
"" ""&amp;H2350&amp;"" "",
"" ""&amp;Sentiment_Words!A$2:A3730&amp;"" ""
),
1,
0
)
)
)
)"),0.0)</f>
        <v>0</v>
      </c>
      <c r="K2350" s="4">
        <f>IFERROR(__xludf.DUMMYFUNCTION("IF(H2350="""","""",
SUM(
ARRAYFORMULA(
IF(
REGEXMATCH(
"" ""&amp;H2350&amp;"" "",
"" ""&amp;Sentiment_Words!B$2:B3730&amp;"" ""
),
1,
0
)
)
)
)"),1.0)</f>
        <v>1</v>
      </c>
      <c r="L2350" s="7" t="str">
        <f t="shared" si="3"/>
        <v>Other</v>
      </c>
      <c r="M2350" s="7" t="str">
        <f t="shared" si="4"/>
        <v>Negative</v>
      </c>
      <c r="N2350" s="7" t="str">
        <f>IFERROR(__xludf.DUMMYFUNCTION("LOWER(
TRIM(
REGEXREPLACE(B2350,""[^a-zA-Z\s]"","""")
)
)
"),"kate shearer")</f>
        <v>kate shearer</v>
      </c>
      <c r="O2350" s="7">
        <f t="shared" si="5"/>
        <v>1</v>
      </c>
      <c r="P2350" s="8" t="str">
        <f t="shared" si="6"/>
        <v>No</v>
      </c>
    </row>
    <row r="2351">
      <c r="A2351" s="4" t="s">
        <v>16</v>
      </c>
      <c r="B2351" s="4" t="s">
        <v>6579</v>
      </c>
      <c r="C2351" s="5">
        <v>44692.0</v>
      </c>
      <c r="D2351" s="5">
        <v>44692.0</v>
      </c>
      <c r="E2351" s="4" t="s">
        <v>6580</v>
      </c>
      <c r="F2351" s="4" t="s">
        <v>6581</v>
      </c>
      <c r="G2351" s="6" t="str">
        <f>IFERROR(__xludf.DUMMYFUNCTION("REGEXREPLACE(LOWER(F2351),""[^a-z\s]"","""")"),"i am always skeptical when ordering from an online store for the first time no need to worry about petflow my  bags of dog food came in a timely manner and the packaging was neat there was no crushed bags very happy customer")</f>
        <v>i am always skeptical when ordering from an online store for the first time no need to worry about petflow my  bags of dog food came in a timely manner and the packaging was neat there was no crushed bags very happy customer</v>
      </c>
      <c r="H2351" s="4" t="str">
        <f t="shared" si="1"/>
        <v>i am always skeptical when ordering from an online store first time no need worry about petflow my bags of dog food came in a timely manner packaging was neat there was no crushed bags very happy customer</v>
      </c>
      <c r="I2351" s="6">
        <f t="shared" si="2"/>
        <v>38</v>
      </c>
      <c r="J2351" s="6">
        <f>IFERROR(__xludf.DUMMYFUNCTION("IF(H2351="""","""",
SUM(
ARRAYFORMULA(
IF(
REGEXMATCH(
"" ""&amp;H2351&amp;"" "",
"" ""&amp;Sentiment_Words!A$2:A3730&amp;"" ""
),
1,
0
)
)
)
)"),1.0)</f>
        <v>1</v>
      </c>
      <c r="K2351" s="4">
        <f>IFERROR(__xludf.DUMMYFUNCTION("IF(H2351="""","""",
SUM(
ARRAYFORMULA(
IF(
REGEXMATCH(
"" ""&amp;H2351&amp;"" "",
"" ""&amp;Sentiment_Words!B$2:B3730&amp;"" ""
),
1,
0
)
)
)
)"),0.0)</f>
        <v>0</v>
      </c>
      <c r="L2351" s="7" t="str">
        <f t="shared" si="3"/>
        <v>Other</v>
      </c>
      <c r="M2351" s="7" t="str">
        <f t="shared" si="4"/>
        <v>Positive</v>
      </c>
      <c r="N2351" s="7" t="str">
        <f>IFERROR(__xludf.DUMMYFUNCTION("LOWER(
TRIM(
REGEXREPLACE(B2351,""[^a-zA-Z\s]"","""")
)
)
"),"am")</f>
        <v>am</v>
      </c>
      <c r="O2351" s="7">
        <f t="shared" si="5"/>
        <v>1</v>
      </c>
      <c r="P2351" s="8" t="str">
        <f t="shared" si="6"/>
        <v>No</v>
      </c>
    </row>
    <row r="2352">
      <c r="A2352" s="4" t="s">
        <v>16</v>
      </c>
      <c r="B2352" s="4" t="s">
        <v>56</v>
      </c>
      <c r="C2352" s="5">
        <v>44691.0</v>
      </c>
      <c r="D2352" s="5">
        <v>44692.0</v>
      </c>
      <c r="E2352" s="4" t="s">
        <v>6582</v>
      </c>
      <c r="F2352" s="4" t="s">
        <v>6583</v>
      </c>
      <c r="G2352" s="6" t="str">
        <f>IFERROR(__xludf.DUMMYFUNCTION("REGEXREPLACE(LOWER(F2352),""[^a-z\s]"","""")"),"i successfully ordered prescription hills md through you and later you told me you were out of stock you should have known you were out of stock before allowing me to order")</f>
        <v>i successfully ordered prescription hills md through you and later you told me you were out of stock you should have known you were out of stock before allowing me to order</v>
      </c>
      <c r="H2352" s="4" t="str">
        <f t="shared" si="1"/>
        <v>i successfully ordered prescription hills md through you later you told me you were out of stock you should have known you were out of stock before allowing me order</v>
      </c>
      <c r="I2352" s="6">
        <f t="shared" si="2"/>
        <v>30</v>
      </c>
      <c r="J2352" s="6">
        <f>IFERROR(__xludf.DUMMYFUNCTION("IF(H2352="""","""",
SUM(
ARRAYFORMULA(
IF(
REGEXMATCH(
"" ""&amp;H2352&amp;"" "",
"" ""&amp;Sentiment_Words!A$2:A3730&amp;"" ""
),
1,
0
)
)
)
)"),0.0)</f>
        <v>0</v>
      </c>
      <c r="K2352" s="4">
        <f>IFERROR(__xludf.DUMMYFUNCTION("IF(H2352="""","""",
SUM(
ARRAYFORMULA(
IF(
REGEXMATCH(
"" ""&amp;H2352&amp;"" "",
"" ""&amp;Sentiment_Words!B$2:B3730&amp;"" ""
),
1,
0
)
)
)
)"),1.0)</f>
        <v>1</v>
      </c>
      <c r="L2352" s="7" t="str">
        <f t="shared" si="3"/>
        <v>Fulfillment &amp; Shipping</v>
      </c>
      <c r="M2352" s="7" t="str">
        <f t="shared" si="4"/>
        <v>Negative</v>
      </c>
      <c r="N2352" s="7" t="str">
        <f>IFERROR(__xludf.DUMMYFUNCTION("LOWER(
TRIM(
REGEXREPLACE(B2352,""[^a-zA-Z\s]"","""")
)
)
"),"customer")</f>
        <v>customer</v>
      </c>
      <c r="O2352" s="7">
        <f t="shared" si="5"/>
        <v>54</v>
      </c>
      <c r="P2352" s="8" t="str">
        <f t="shared" si="6"/>
        <v>Yes</v>
      </c>
    </row>
    <row r="2353">
      <c r="A2353" s="4" t="s">
        <v>16</v>
      </c>
      <c r="B2353" s="4" t="s">
        <v>6584</v>
      </c>
      <c r="C2353" s="5">
        <v>44691.0</v>
      </c>
      <c r="D2353" s="5">
        <v>44692.0</v>
      </c>
      <c r="E2353" s="4" t="s">
        <v>6585</v>
      </c>
      <c r="F2353" s="4" t="s">
        <v>6586</v>
      </c>
      <c r="G2353" s="6" t="str">
        <f>IFERROR(__xludf.DUMMYFUNCTION("REGEXREPLACE(LOWER(F2353),""[^a-z\s]"","""")"),"i had not used petflow before but they were one of the few retailers that had the pet food i needed in stock their turnaround time from order placement to shipping was incredibly quick as was the shipping time they were also very communicative each step o"&amp;"f the way
i will be using petflow again highly recommend")</f>
        <v>i had not used petflow before but they were one of the few retailers that had the pet food i needed in stock their turnaround time from order placement to shipping was incredibly quick as was the shipping time they were also very communicative each step of the way
i will be using petflow again highly recommend</v>
      </c>
      <c r="H2353" s="4" t="str">
        <f t="shared" si="1"/>
        <v>i had not used petflow before but they were one of few retailers that had pet food i needed in stock their turnaround time from order placement shipping was incredibly quick as was shipping time they were also very communicative each step of way
i will be using petflow again highly recommend</v>
      </c>
      <c r="I2353" s="6">
        <f t="shared" si="2"/>
        <v>51</v>
      </c>
      <c r="J2353" s="6">
        <f>IFERROR(__xludf.DUMMYFUNCTION("IF(H2353="""","""",
SUM(
ARRAYFORMULA(
IF(
REGEXMATCH(
"" ""&amp;H2353&amp;"" "",
"" ""&amp;Sentiment_Words!A$2:A3730&amp;"" ""
),
1,
0
)
)
)
)"),0.0)</f>
        <v>0</v>
      </c>
      <c r="K2353" s="4">
        <f>IFERROR(__xludf.DUMMYFUNCTION("IF(H2353="""","""",
SUM(
ARRAYFORMULA(
IF(
REGEXMATCH(
"" ""&amp;H2353&amp;"" "",
"" ""&amp;Sentiment_Words!B$2:B3730&amp;"" ""
),
1,
0
)
)
)
)"),0.0)</f>
        <v>0</v>
      </c>
      <c r="L2353" s="7" t="str">
        <f t="shared" si="3"/>
        <v>Other</v>
      </c>
      <c r="M2353" s="7" t="str">
        <f t="shared" si="4"/>
        <v>Neutral</v>
      </c>
      <c r="N2353" s="7" t="str">
        <f>IFERROR(__xludf.DUMMYFUNCTION("LOWER(
TRIM(
REGEXREPLACE(B2353,""[^a-zA-Z\s]"","""")
)
)
"),"irene")</f>
        <v>irene</v>
      </c>
      <c r="O2353" s="7">
        <f t="shared" si="5"/>
        <v>2</v>
      </c>
      <c r="P2353" s="8" t="str">
        <f t="shared" si="6"/>
        <v>Yes</v>
      </c>
    </row>
    <row r="2354">
      <c r="A2354" s="4" t="s">
        <v>16</v>
      </c>
      <c r="B2354" s="4" t="s">
        <v>6587</v>
      </c>
      <c r="C2354" s="5">
        <v>44691.0</v>
      </c>
      <c r="D2354" s="5">
        <v>44692.0</v>
      </c>
      <c r="E2354" s="4" t="s">
        <v>6588</v>
      </c>
      <c r="F2354" s="4" t="s">
        <v>6589</v>
      </c>
      <c r="G2354" s="6" t="str">
        <f>IFERROR(__xludf.DUMMYFUNCTION("REGEXREPLACE(LOWER(F2354),""[^a-z\s]"","""")"),"ive always been able to change my scheduled auto shipment when every i need to they are quick to response and send out packages very quickly been using this company for about  years and love their services")</f>
        <v>ive always been able to change my scheduled auto shipment when every i need to they are quick to response and send out packages very quickly been using this company for about  years and love their services</v>
      </c>
      <c r="H2354" s="4" t="str">
        <f t="shared" si="1"/>
        <v>ive always been able change my scheduled auto shipment when every i need they are quick response send out packages very quickly been using this company about years love their services</v>
      </c>
      <c r="I2354" s="6">
        <f t="shared" si="2"/>
        <v>31</v>
      </c>
      <c r="J2354" s="6">
        <f>IFERROR(__xludf.DUMMYFUNCTION("IF(H2354="""","""",
SUM(
ARRAYFORMULA(
IF(
REGEXMATCH(
"" ""&amp;H2354&amp;"" "",
"" ""&amp;Sentiment_Words!A$2:A3730&amp;"" ""
),
1,
0
)
)
)
)"),2.0)</f>
        <v>2</v>
      </c>
      <c r="K2354" s="4">
        <f>IFERROR(__xludf.DUMMYFUNCTION("IF(H2354="""","""",
SUM(
ARRAYFORMULA(
IF(
REGEXMATCH(
"" ""&amp;H2354&amp;"" "",
"" ""&amp;Sentiment_Words!B$2:B3730&amp;"" ""
),
1,
0
)
)
)
)"),0.0)</f>
        <v>0</v>
      </c>
      <c r="L2354" s="7" t="str">
        <f t="shared" si="3"/>
        <v>Customer Support</v>
      </c>
      <c r="M2354" s="7" t="str">
        <f t="shared" si="4"/>
        <v>Positive</v>
      </c>
      <c r="N2354" s="7" t="str">
        <f>IFERROR(__xludf.DUMMYFUNCTION("LOWER(
TRIM(
REGEXREPLACE(B2354,""[^a-zA-Z\s]"","""")
)
)
"),"for your order")</f>
        <v>for your order</v>
      </c>
      <c r="O2354" s="7">
        <f t="shared" si="5"/>
        <v>1</v>
      </c>
      <c r="P2354" s="8" t="str">
        <f t="shared" si="6"/>
        <v>No</v>
      </c>
    </row>
    <row r="2355">
      <c r="A2355" s="4" t="s">
        <v>16</v>
      </c>
      <c r="B2355" s="4" t="s">
        <v>6590</v>
      </c>
      <c r="C2355" s="5">
        <v>44691.0</v>
      </c>
      <c r="D2355" s="5">
        <v>44692.0</v>
      </c>
      <c r="E2355" s="4" t="s">
        <v>6591</v>
      </c>
      <c r="F2355" s="4" t="s">
        <v>331</v>
      </c>
      <c r="G2355" s="6" t="str">
        <f>IFERROR(__xludf.DUMMYFUNCTION("REGEXREPLACE(LOWER(F2355),""[^a-z\s]"","""")"),"none")</f>
        <v>none</v>
      </c>
      <c r="H2355" s="4" t="str">
        <f t="shared" si="1"/>
        <v>none</v>
      </c>
      <c r="I2355" s="6">
        <f t="shared" si="2"/>
        <v>1</v>
      </c>
      <c r="J2355" s="6">
        <f>IFERROR(__xludf.DUMMYFUNCTION("IF(H2355="""","""",
SUM(
ARRAYFORMULA(
IF(
REGEXMATCH(
"" ""&amp;H2355&amp;"" "",
"" ""&amp;Sentiment_Words!A$2:A3730&amp;"" ""
),
1,
0
)
)
)
)"),0.0)</f>
        <v>0</v>
      </c>
      <c r="K2355" s="4">
        <f>IFERROR(__xludf.DUMMYFUNCTION("IF(H2355="""","""",
SUM(
ARRAYFORMULA(
IF(
REGEXMATCH(
"" ""&amp;H2355&amp;"" "",
"" ""&amp;Sentiment_Words!B$2:B3730&amp;"" ""
),
1,
0
)
)
)
)"),0.0)</f>
        <v>0</v>
      </c>
      <c r="L2355" s="7" t="str">
        <f t="shared" si="3"/>
        <v>Other</v>
      </c>
      <c r="M2355" s="7" t="str">
        <f t="shared" si="4"/>
        <v>Neutral</v>
      </c>
      <c r="N2355" s="7" t="str">
        <f>IFERROR(__xludf.DUMMYFUNCTION("LOWER(
TRIM(
REGEXREPLACE(B2355,""[^a-zA-Z\s]"","""")
)
)
"),"sacajawea")</f>
        <v>sacajawea</v>
      </c>
      <c r="O2355" s="7">
        <f t="shared" si="5"/>
        <v>1</v>
      </c>
      <c r="P2355" s="8" t="str">
        <f t="shared" si="6"/>
        <v>No</v>
      </c>
    </row>
    <row r="2356">
      <c r="A2356" s="4" t="s">
        <v>16</v>
      </c>
      <c r="B2356" s="4" t="s">
        <v>6592</v>
      </c>
      <c r="C2356" s="5">
        <v>44691.0</v>
      </c>
      <c r="D2356" s="5">
        <v>44691.0</v>
      </c>
      <c r="E2356" s="4" t="s">
        <v>6593</v>
      </c>
      <c r="F2356" s="4" t="s">
        <v>331</v>
      </c>
      <c r="G2356" s="6" t="str">
        <f>IFERROR(__xludf.DUMMYFUNCTION("REGEXREPLACE(LOWER(F2356),""[^a-z\s]"","""")"),"none")</f>
        <v>none</v>
      </c>
      <c r="H2356" s="4" t="str">
        <f t="shared" si="1"/>
        <v>none</v>
      </c>
      <c r="I2356" s="6">
        <f t="shared" si="2"/>
        <v>1</v>
      </c>
      <c r="J2356" s="6">
        <f>IFERROR(__xludf.DUMMYFUNCTION("IF(H2356="""","""",
SUM(
ARRAYFORMULA(
IF(
REGEXMATCH(
"" ""&amp;H2356&amp;"" "",
"" ""&amp;Sentiment_Words!A$2:A3730&amp;"" ""
),
1,
0
)
)
)
)"),0.0)</f>
        <v>0</v>
      </c>
      <c r="K2356" s="4">
        <f>IFERROR(__xludf.DUMMYFUNCTION("IF(H2356="""","""",
SUM(
ARRAYFORMULA(
IF(
REGEXMATCH(
"" ""&amp;H2356&amp;"" "",
"" ""&amp;Sentiment_Words!B$2:B3730&amp;"" ""
),
1,
0
)
)
)
)"),0.0)</f>
        <v>0</v>
      </c>
      <c r="L2356" s="7" t="str">
        <f t="shared" si="3"/>
        <v>Other</v>
      </c>
      <c r="M2356" s="7" t="str">
        <f t="shared" si="4"/>
        <v>Neutral</v>
      </c>
      <c r="N2356" s="7" t="str">
        <f>IFERROR(__xludf.DUMMYFUNCTION("LOWER(
TRIM(
REGEXREPLACE(B2356,""[^a-zA-Z\s]"","""")
)
)
"),"rosa")</f>
        <v>rosa</v>
      </c>
      <c r="O2356" s="7">
        <f t="shared" si="5"/>
        <v>1</v>
      </c>
      <c r="P2356" s="8" t="str">
        <f t="shared" si="6"/>
        <v>No</v>
      </c>
    </row>
    <row r="2357">
      <c r="A2357" s="4" t="s">
        <v>16</v>
      </c>
      <c r="B2357" s="4" t="s">
        <v>6594</v>
      </c>
      <c r="C2357" s="5">
        <v>44691.0</v>
      </c>
      <c r="D2357" s="5">
        <v>44691.0</v>
      </c>
      <c r="E2357" s="4" t="s">
        <v>6595</v>
      </c>
      <c r="F2357" s="4" t="s">
        <v>331</v>
      </c>
      <c r="G2357" s="6" t="str">
        <f>IFERROR(__xludf.DUMMYFUNCTION("REGEXREPLACE(LOWER(F2357),""[^a-z\s]"","""")"),"none")</f>
        <v>none</v>
      </c>
      <c r="H2357" s="4" t="str">
        <f t="shared" si="1"/>
        <v>none</v>
      </c>
      <c r="I2357" s="6">
        <f t="shared" si="2"/>
        <v>1</v>
      </c>
      <c r="J2357" s="6">
        <f>IFERROR(__xludf.DUMMYFUNCTION("IF(H2357="""","""",
SUM(
ARRAYFORMULA(
IF(
REGEXMATCH(
"" ""&amp;H2357&amp;"" "",
"" ""&amp;Sentiment_Words!A$2:A3730&amp;"" ""
),
1,
0
)
)
)
)"),0.0)</f>
        <v>0</v>
      </c>
      <c r="K2357" s="4">
        <f>IFERROR(__xludf.DUMMYFUNCTION("IF(H2357="""","""",
SUM(
ARRAYFORMULA(
IF(
REGEXMATCH(
"" ""&amp;H2357&amp;"" "",
"" ""&amp;Sentiment_Words!B$2:B3730&amp;"" ""
),
1,
0
)
)
)
)"),0.0)</f>
        <v>0</v>
      </c>
      <c r="L2357" s="7" t="str">
        <f t="shared" si="3"/>
        <v>Other</v>
      </c>
      <c r="M2357" s="7" t="str">
        <f t="shared" si="4"/>
        <v>Neutral</v>
      </c>
      <c r="N2357" s="7" t="str">
        <f>IFERROR(__xludf.DUMMYFUNCTION("LOWER(
TRIM(
REGEXREPLACE(B2357,""[^a-zA-Z\s]"","""")
)
)
"),"cheryl appel")</f>
        <v>cheryl appel</v>
      </c>
      <c r="O2357" s="7">
        <f t="shared" si="5"/>
        <v>1</v>
      </c>
      <c r="P2357" s="8" t="str">
        <f t="shared" si="6"/>
        <v>No</v>
      </c>
    </row>
    <row r="2358">
      <c r="A2358" s="4" t="s">
        <v>16</v>
      </c>
      <c r="B2358" s="4" t="s">
        <v>6596</v>
      </c>
      <c r="C2358" s="5">
        <v>44691.0</v>
      </c>
      <c r="D2358" s="5">
        <v>44691.0</v>
      </c>
      <c r="E2358" s="4" t="s">
        <v>6597</v>
      </c>
      <c r="F2358" s="4" t="s">
        <v>6598</v>
      </c>
      <c r="G2358" s="6" t="str">
        <f>IFERROR(__xludf.DUMMYFUNCTION("REGEXREPLACE(LOWER(F2358),""[^a-z\s]"","""")"),"ive never dealt with an online pet store that was so easy to work with they confirm my dogs food prescriptions and still get the food to me in just a few days im looking forward to buying treats and other supplies from them as well")</f>
        <v>ive never dealt with an online pet store that was so easy to work with they confirm my dogs food prescriptions and still get the food to me in just a few days im looking forward to buying treats and other supplies from them as well</v>
      </c>
      <c r="H2358" s="4" t="str">
        <f t="shared" si="1"/>
        <v>ive never dealt with an online pet store that was so easy work with they confirm my dogs food prescriptions still get food me in just a few days im looking forward buying treats other supplies from them as well</v>
      </c>
      <c r="I2358" s="6">
        <f t="shared" si="2"/>
        <v>40</v>
      </c>
      <c r="J2358" s="6">
        <f>IFERROR(__xludf.DUMMYFUNCTION("IF(H2358="""","""",
SUM(
ARRAYFORMULA(
IF(
REGEXMATCH(
"" ""&amp;H2358&amp;"" "",
"" ""&amp;Sentiment_Words!A$2:A3730&amp;"" ""
),
1,
0
)
)
)
)"),1.0)</f>
        <v>1</v>
      </c>
      <c r="K2358" s="4">
        <f>IFERROR(__xludf.DUMMYFUNCTION("IF(H2358="""","""",
SUM(
ARRAYFORMULA(
IF(
REGEXMATCH(
"" ""&amp;H2358&amp;"" "",
"" ""&amp;Sentiment_Words!B$2:B3730&amp;"" ""
),
1,
0
)
)
)
)"),0.0)</f>
        <v>0</v>
      </c>
      <c r="L2358" s="7" t="str">
        <f t="shared" si="3"/>
        <v>Other</v>
      </c>
      <c r="M2358" s="7" t="str">
        <f t="shared" si="4"/>
        <v>Positive</v>
      </c>
      <c r="N2358" s="7" t="str">
        <f>IFERROR(__xludf.DUMMYFUNCTION("LOWER(
TRIM(
REGEXREPLACE(B2358,""[^a-zA-Z\s]"","""")
)
)
"),"diane gaidry")</f>
        <v>diane gaidry</v>
      </c>
      <c r="O2358" s="7">
        <f t="shared" si="5"/>
        <v>1</v>
      </c>
      <c r="P2358" s="8" t="str">
        <f t="shared" si="6"/>
        <v>No</v>
      </c>
    </row>
    <row r="2359">
      <c r="A2359" s="4" t="s">
        <v>16</v>
      </c>
      <c r="B2359" s="4" t="s">
        <v>6599</v>
      </c>
      <c r="C2359" s="5">
        <v>44691.0</v>
      </c>
      <c r="D2359" s="5">
        <v>44691.0</v>
      </c>
      <c r="E2359" s="4" t="s">
        <v>6600</v>
      </c>
      <c r="F2359" s="4" t="s">
        <v>6601</v>
      </c>
      <c r="G2359" s="6" t="str">
        <f>IFERROR(__xludf.DUMMYFUNCTION("REGEXREPLACE(LOWER(F2359),""[^a-z\s]"","""")"),"customer service was fine but i could not purchase what i wanted to for my cat i ordered veterinary products and i chose the vet i went to from the search i knew pet flow or vetsource would need to contact the vet but did not know how they would then i go"&amp;"t an email that pet flow could not contact the vet this was the first trouble
i called my vet and told them the situation the vet was so nice that they called the number in the email but she was told there wasnt my order under my order number she tried tw"&amp;"ice but the same result second trouble
i talked to the customer service twice and explained what was happening and she said she would get back to us on that day i didnt get an email on that day but i got it on the next day the email said pet flow could no"&amp;"t find the paientvet relationship with the vet even though my vet tried to talk and authorize twice then my order was canceled in the end
i never had these many torubles purchasing pet food whether or not it is veterinary food please review the list of ve"&amp;"ts you have asap and fix these problems otherwise no hope to use pet flow again for me")</f>
        <v>customer service was fine but i could not purchase what i wanted to for my cat i ordered veterinary products and i chose the vet i went to from the search i knew pet flow or vetsource would need to contact the vet but did not know how they would then i got an email that pet flow could not contact the vet this was the first trouble
i called my vet and told them the situation the vet was so nice that they called the number in the email but she was told there wasnt my order under my order number she tried twice but the same result second trouble
i talked to the customer service twice and explained what was happening and she said she would get back to us on that day i didnt get an email on that day but i got it on the next day the email said pet flow could not find the paientvet relationship with the vet even though my vet tried to talk and authorize twice then my order was canceled in the end
i never had these many torubles purchasing pet food whether or not it is veterinary food please review the list of vets you have asap and fix these problems otherwise no hope to use pet flow again for me</v>
      </c>
      <c r="H2359" s="4" t="str">
        <f t="shared" si="1"/>
        <v>customer service was fine but i could not purchase what i wanted my cat i ordered veterinary products i chose vet i went from search i knew pet flow or vetsource would need contact vet but did not know how they would then i got an email that pet flow could not contact vet this was first trouble
i called my vet told them situation vet was so nice that they called number in email but she was told there wasnt my order under my order number she tried twice but same result second trouble
i talked customer service twice explained what was happening she said she would get back us on that day i didnt get an email on that day but i got it on next day email said pet flow could not find paientvet relationship with vet even though my vet tried talk authorize twice then my order was canceled in end
i never had these many torubles purchasing pet food whether or not it veterinary food please review list of vets you have asap fix these problems otherwise no hope use pet flow again me</v>
      </c>
      <c r="I2359" s="6">
        <f t="shared" si="2"/>
        <v>186</v>
      </c>
      <c r="J2359" s="6">
        <f>IFERROR(__xludf.DUMMYFUNCTION("IF(H2359="""","""",
SUM(
ARRAYFORMULA(
IF(
REGEXMATCH(
"" ""&amp;H2359&amp;"" "",
"" ""&amp;Sentiment_Words!A$2:A3730&amp;"" ""
),
1,
0
)
)
)
)"),0.0)</f>
        <v>0</v>
      </c>
      <c r="K2359" s="4">
        <f>IFERROR(__xludf.DUMMYFUNCTION("IF(H2359="""","""",
SUM(
ARRAYFORMULA(
IF(
REGEXMATCH(
"" ""&amp;H2359&amp;"" "",
"" ""&amp;Sentiment_Words!B$2:B3730&amp;"" ""
),
1,
0
)
)
)
)"),1.0)</f>
        <v>1</v>
      </c>
      <c r="L2359" s="7" t="str">
        <f t="shared" si="3"/>
        <v>Customer Support</v>
      </c>
      <c r="M2359" s="7" t="str">
        <f t="shared" si="4"/>
        <v>Negative</v>
      </c>
      <c r="N2359" s="7" t="str">
        <f>IFERROR(__xludf.DUMMYFUNCTION("LOWER(
TRIM(
REGEXREPLACE(B2359,""[^a-zA-Z\s]"","""")
)
)
"),"qismat sherani")</f>
        <v>qismat sherani</v>
      </c>
      <c r="O2359" s="7">
        <f t="shared" si="5"/>
        <v>1</v>
      </c>
      <c r="P2359" s="8" t="str">
        <f t="shared" si="6"/>
        <v>No</v>
      </c>
    </row>
    <row r="2360">
      <c r="A2360" s="4" t="s">
        <v>16</v>
      </c>
      <c r="B2360" s="4" t="s">
        <v>6602</v>
      </c>
      <c r="C2360" s="5">
        <v>44691.0</v>
      </c>
      <c r="D2360" s="5">
        <v>44691.0</v>
      </c>
      <c r="E2360" s="4" t="s">
        <v>6603</v>
      </c>
      <c r="F2360" s="4" t="s">
        <v>6604</v>
      </c>
      <c r="G2360" s="6" t="str">
        <f>IFERROR(__xludf.DUMMYFUNCTION("REGEXREPLACE(LOWER(F2360),""[^a-z\s]"","""")"),"i love the service i receive when i place my order if i have any issues i call and the customer service is the best")</f>
        <v>i love the service i receive when i place my order if i have any issues i call and the customer service is the best</v>
      </c>
      <c r="H2360" s="4" t="str">
        <f t="shared" si="1"/>
        <v>i love service i receive when i place my order if i have any issues i call customer service best</v>
      </c>
      <c r="I2360" s="6">
        <f t="shared" si="2"/>
        <v>20</v>
      </c>
      <c r="J2360" s="6">
        <f>IFERROR(__xludf.DUMMYFUNCTION("IF(H2360="""","""",
SUM(
ARRAYFORMULA(
IF(
REGEXMATCH(
"" ""&amp;H2360&amp;"" "",
"" ""&amp;Sentiment_Words!A$2:A3730&amp;"" ""
),
1,
0
)
)
)
)"),1.0)</f>
        <v>1</v>
      </c>
      <c r="K2360" s="4">
        <f>IFERROR(__xludf.DUMMYFUNCTION("IF(H2360="""","""",
SUM(
ARRAYFORMULA(
IF(
REGEXMATCH(
"" ""&amp;H2360&amp;"" "",
"" ""&amp;Sentiment_Words!B$2:B3730&amp;"" ""
),
1,
0
)
)
)
)"),1.0)</f>
        <v>1</v>
      </c>
      <c r="L2360" s="7" t="str">
        <f t="shared" si="3"/>
        <v>Customer Support</v>
      </c>
      <c r="M2360" s="7" t="str">
        <f t="shared" si="4"/>
        <v>Neutral</v>
      </c>
      <c r="N2360" s="7" t="str">
        <f>IFERROR(__xludf.DUMMYFUNCTION("LOWER(
TRIM(
REGEXREPLACE(B2360,""[^a-zA-Z\s]"","""")
)
)
"),"tokio kuniyoshi")</f>
        <v>tokio kuniyoshi</v>
      </c>
      <c r="O2360" s="7">
        <f t="shared" si="5"/>
        <v>1</v>
      </c>
      <c r="P2360" s="8" t="str">
        <f t="shared" si="6"/>
        <v>No</v>
      </c>
    </row>
    <row r="2361">
      <c r="A2361" s="4" t="s">
        <v>16</v>
      </c>
      <c r="B2361" s="4" t="s">
        <v>6605</v>
      </c>
      <c r="C2361" s="5">
        <v>44691.0</v>
      </c>
      <c r="D2361" s="5">
        <v>44691.0</v>
      </c>
      <c r="E2361" s="4" t="s">
        <v>6606</v>
      </c>
      <c r="F2361" s="4" t="s">
        <v>6607</v>
      </c>
      <c r="G2361" s="6" t="str">
        <f>IFERROR(__xludf.DUMMYFUNCTION("REGEXREPLACE(LOWER(F2361),""[^a-z\s]"","""")"),"ordered cat food then received email that the order was cancelled because it was outofstock")</f>
        <v>ordered cat food then received email that the order was cancelled because it was outofstock</v>
      </c>
      <c r="H2361" s="4" t="str">
        <f t="shared" si="1"/>
        <v>ordered cat food then received email that order was cancelled because it was outofstock</v>
      </c>
      <c r="I2361" s="6">
        <f t="shared" si="2"/>
        <v>14</v>
      </c>
      <c r="J2361" s="6">
        <f>IFERROR(__xludf.DUMMYFUNCTION("IF(H2361="""","""",
SUM(
ARRAYFORMULA(
IF(
REGEXMATCH(
"" ""&amp;H2361&amp;"" "",
"" ""&amp;Sentiment_Words!A$2:A3730&amp;"" ""
),
1,
0
)
)
)
)"),0.0)</f>
        <v>0</v>
      </c>
      <c r="K2361" s="4">
        <f>IFERROR(__xludf.DUMMYFUNCTION("IF(H2361="""","""",
SUM(
ARRAYFORMULA(
IF(
REGEXMATCH(
"" ""&amp;H2361&amp;"" "",
"" ""&amp;Sentiment_Words!B$2:B3730&amp;"" ""
),
1,
0
)
)
)
)"),1.0)</f>
        <v>1</v>
      </c>
      <c r="L2361" s="7" t="str">
        <f t="shared" si="3"/>
        <v>Other</v>
      </c>
      <c r="M2361" s="7" t="str">
        <f t="shared" si="4"/>
        <v>Negative</v>
      </c>
      <c r="N2361" s="7" t="str">
        <f>IFERROR(__xludf.DUMMYFUNCTION("LOWER(
TRIM(
REGEXREPLACE(B2361,""[^a-zA-Z\s]"","""")
)
)
"),"theresa espey")</f>
        <v>theresa espey</v>
      </c>
      <c r="O2361" s="7">
        <f t="shared" si="5"/>
        <v>1</v>
      </c>
      <c r="P2361" s="8" t="str">
        <f t="shared" si="6"/>
        <v>No</v>
      </c>
    </row>
    <row r="2362">
      <c r="A2362" s="4" t="s">
        <v>16</v>
      </c>
      <c r="B2362" s="4" t="s">
        <v>6608</v>
      </c>
      <c r="C2362" s="5">
        <v>44691.0</v>
      </c>
      <c r="D2362" s="5">
        <v>44691.0</v>
      </c>
      <c r="E2362" s="4" t="s">
        <v>6609</v>
      </c>
      <c r="F2362" s="4" t="s">
        <v>6610</v>
      </c>
      <c r="G2362" s="6" t="str">
        <f>IFERROR(__xludf.DUMMYFUNCTION("REGEXREPLACE(LOWER(F2362),""[^a-z\s]"","""")"),"petflow was a great shopping experience but the shipping information was not accurate on the website i did have to reach out to customer service to get the correct information other than that no complaints will definitely shop with them again")</f>
        <v>petflow was a great shopping experience but the shipping information was not accurate on the website i did have to reach out to customer service to get the correct information other than that no complaints will definitely shop with them again</v>
      </c>
      <c r="H2362" s="4" t="str">
        <f t="shared" si="1"/>
        <v>petflow was a great shopping experience but shipping information was not accurate on website i did have reach out customer service get correct information other than that no complaints will definitely shop with them again</v>
      </c>
      <c r="I2362" s="6">
        <f t="shared" si="2"/>
        <v>35</v>
      </c>
      <c r="J2362" s="6">
        <f>IFERROR(__xludf.DUMMYFUNCTION("IF(H2362="""","""",
SUM(
ARRAYFORMULA(
IF(
REGEXMATCH(
"" ""&amp;H2362&amp;"" "",
"" ""&amp;Sentiment_Words!A$2:A3730&amp;"" ""
),
1,
0
)
)
)
)"),1.0)</f>
        <v>1</v>
      </c>
      <c r="K2362" s="4">
        <f>IFERROR(__xludf.DUMMYFUNCTION("IF(H2362="""","""",
SUM(
ARRAYFORMULA(
IF(
REGEXMATCH(
"" ""&amp;H2362&amp;"" "",
"" ""&amp;Sentiment_Words!B$2:B3730&amp;"" ""
),
1,
0
)
)
)
)"),1.0)</f>
        <v>1</v>
      </c>
      <c r="L2362" s="7" t="str">
        <f t="shared" si="3"/>
        <v>Customer Support</v>
      </c>
      <c r="M2362" s="7" t="str">
        <f t="shared" si="4"/>
        <v>Neutral</v>
      </c>
      <c r="N2362" s="7" t="str">
        <f>IFERROR(__xludf.DUMMYFUNCTION("LOWER(
TRIM(
REGEXREPLACE(B2362,""[^a-zA-Z\s]"","""")
)
)
"),"aixa briner")</f>
        <v>aixa briner</v>
      </c>
      <c r="O2362" s="7">
        <f t="shared" si="5"/>
        <v>1</v>
      </c>
      <c r="P2362" s="8" t="str">
        <f t="shared" si="6"/>
        <v>No</v>
      </c>
    </row>
    <row r="2363">
      <c r="A2363" s="4" t="s">
        <v>16</v>
      </c>
      <c r="B2363" s="4" t="s">
        <v>6611</v>
      </c>
      <c r="C2363" s="5">
        <v>44691.0</v>
      </c>
      <c r="D2363" s="5">
        <v>44691.0</v>
      </c>
      <c r="E2363" s="4" t="s">
        <v>6612</v>
      </c>
      <c r="F2363" s="4" t="s">
        <v>6613</v>
      </c>
      <c r="G2363" s="6" t="str">
        <f>IFERROR(__xludf.DUMMYFUNCTION("REGEXREPLACE(LOWER(F2363),""[^a-z\s]"","""")"),"good communication and reasonable prices
slow delivery time knocked this review down to four stars")</f>
        <v>good communication and reasonable prices
slow delivery time knocked this review down to four stars</v>
      </c>
      <c r="H2363" s="4" t="str">
        <f t="shared" si="1"/>
        <v>good communication reasonable prices
slow delivery time knocked this review down four stars</v>
      </c>
      <c r="I2363" s="6">
        <f t="shared" si="2"/>
        <v>12</v>
      </c>
      <c r="J2363" s="6">
        <f>IFERROR(__xludf.DUMMYFUNCTION("IF(H2363="""","""",
SUM(
ARRAYFORMULA(
IF(
REGEXMATCH(
"" ""&amp;H2363&amp;"" "",
"" ""&amp;Sentiment_Words!A$2:A3730&amp;"" ""
),
1,
0
)
)
)
)"),1.0)</f>
        <v>1</v>
      </c>
      <c r="K2363" s="4">
        <f>IFERROR(__xludf.DUMMYFUNCTION("IF(H2363="""","""",
SUM(
ARRAYFORMULA(
IF(
REGEXMATCH(
"" ""&amp;H2363&amp;"" "",
"" ""&amp;Sentiment_Words!B$2:B3730&amp;"" ""
),
1,
0
)
)
)
)"),0.0)</f>
        <v>0</v>
      </c>
      <c r="L2363" s="7" t="str">
        <f t="shared" si="3"/>
        <v>Other</v>
      </c>
      <c r="M2363" s="7" t="str">
        <f t="shared" si="4"/>
        <v>Positive</v>
      </c>
      <c r="N2363" s="7" t="str">
        <f>IFERROR(__xludf.DUMMYFUNCTION("LOWER(
TRIM(
REGEXREPLACE(B2363,""[^a-zA-Z\s]"","""")
)
)
"),"rp")</f>
        <v>rp</v>
      </c>
      <c r="O2363" s="7">
        <f t="shared" si="5"/>
        <v>1</v>
      </c>
      <c r="P2363" s="8" t="str">
        <f t="shared" si="6"/>
        <v>No</v>
      </c>
    </row>
    <row r="2364">
      <c r="A2364" s="4" t="s">
        <v>16</v>
      </c>
      <c r="B2364" s="4" t="s">
        <v>6614</v>
      </c>
      <c r="C2364" s="5">
        <v>44691.0</v>
      </c>
      <c r="D2364" s="5">
        <v>44691.0</v>
      </c>
      <c r="E2364" s="4" t="s">
        <v>6615</v>
      </c>
      <c r="F2364" s="4" t="s">
        <v>6616</v>
      </c>
      <c r="G2364" s="6" t="str">
        <f>IFERROR(__xludf.DUMMYFUNCTION("REGEXREPLACE(LOWER(F2364),""[^a-z\s]"","""")"),"it was nice that petflow actually carried the brand of dog food i get i was excited to sign up for autoship so i could stop making my husband pick up the dog food  miles away from me on his way home from work my order took over a week to arrive didnt come"&amp;" when it said it would and i ran out of food before it came so i still had to send my husband to pick up my other order i had ordered pill pockets with dog food as well and when i opened the box the  lb bag of food was on top of the pill pocket bags smash"&amp;"ing nearly all of them inside i was not pleased between the careless packaging and the super slow shipping i cancelled my autoship and will not be shopping here ever again")</f>
        <v>it was nice that petflow actually carried the brand of dog food i get i was excited to sign up for autoship so i could stop making my husband pick up the dog food  miles away from me on his way home from work my order took over a week to arrive didnt come when it said it would and i ran out of food before it came so i still had to send my husband to pick up my other order i had ordered pill pockets with dog food as well and when i opened the box the  lb bag of food was on top of the pill pocket bags smashing nearly all of them inside i was not pleased between the careless packaging and the super slow shipping i cancelled my autoship and will not be shopping here ever again</v>
      </c>
      <c r="H2364" s="4" t="str">
        <f t="shared" si="1"/>
        <v>it was nice that petflow actually carried brand of dog food i get i was excited sign up autoship so i could stop making my husband pick up dog food miles away from me on his way home from work my order took over a week arrive didnt come when it said it would i ran out of food before it came so i still had send my husband pick up my other order i had ordered pill pockets with dog food as well when i opened box lb bag of food was on top of pill pocket bags smashing nearly all of them inside i was not pleased between careless packaging super slow shipping i cancelled my autoship will not be shopping here ever again</v>
      </c>
      <c r="I2364" s="6">
        <f t="shared" si="2"/>
        <v>126</v>
      </c>
      <c r="J2364" s="6">
        <f>IFERROR(__xludf.DUMMYFUNCTION("IF(H2364="""","""",
SUM(
ARRAYFORMULA(
IF(
REGEXMATCH(
"" ""&amp;H2364&amp;"" "",
"" ""&amp;Sentiment_Words!A$2:A3730&amp;"" ""
),
1,
0
)
)
)
)"),0.0)</f>
        <v>0</v>
      </c>
      <c r="K2364" s="4">
        <f>IFERROR(__xludf.DUMMYFUNCTION("IF(H2364="""","""",
SUM(
ARRAYFORMULA(
IF(
REGEXMATCH(
"" ""&amp;H2364&amp;"" "",
"" ""&amp;Sentiment_Words!B$2:B3730&amp;"" ""
),
1,
0
)
)
)
)"),1.0)</f>
        <v>1</v>
      </c>
      <c r="L2364" s="7" t="str">
        <f t="shared" si="3"/>
        <v>Other</v>
      </c>
      <c r="M2364" s="7" t="str">
        <f t="shared" si="4"/>
        <v>Negative</v>
      </c>
      <c r="N2364" s="7" t="str">
        <f>IFERROR(__xludf.DUMMYFUNCTION("LOWER(
TRIM(
REGEXREPLACE(B2364,""[^a-zA-Z\s]"","""")
)
)
"),"ed bertarelli")</f>
        <v>ed bertarelli</v>
      </c>
      <c r="O2364" s="7">
        <f t="shared" si="5"/>
        <v>1</v>
      </c>
      <c r="P2364" s="8" t="str">
        <f t="shared" si="6"/>
        <v>No</v>
      </c>
    </row>
    <row r="2365">
      <c r="A2365" s="4" t="s">
        <v>16</v>
      </c>
      <c r="B2365" s="4" t="s">
        <v>4340</v>
      </c>
      <c r="C2365" s="9">
        <v>44690.0</v>
      </c>
      <c r="D2365" s="5">
        <v>44691.0</v>
      </c>
      <c r="E2365" s="4" t="s">
        <v>6617</v>
      </c>
      <c r="F2365" s="4" t="s">
        <v>6618</v>
      </c>
      <c r="G2365" s="6" t="str">
        <f>IFERROR(__xludf.DUMMYFUNCTION("REGEXREPLACE(LOWER(F2365),""[^a-z\s]"","""")"),"great quality of products and super fast shipping")</f>
        <v>great quality of products and super fast shipping</v>
      </c>
      <c r="H2365" s="4" t="str">
        <f t="shared" si="1"/>
        <v>great quality of products super fast shipping</v>
      </c>
      <c r="I2365" s="6">
        <f t="shared" si="2"/>
        <v>7</v>
      </c>
      <c r="J2365" s="6">
        <f>IFERROR(__xludf.DUMMYFUNCTION("IF(H2365="""","""",
SUM(
ARRAYFORMULA(
IF(
REGEXMATCH(
"" ""&amp;H2365&amp;"" "",
"" ""&amp;Sentiment_Words!A$2:A3730&amp;"" ""
),
1,
0
)
)
)
)"),2.0)</f>
        <v>2</v>
      </c>
      <c r="K2365" s="4">
        <f>IFERROR(__xludf.DUMMYFUNCTION("IF(H2365="""","""",
SUM(
ARRAYFORMULA(
IF(
REGEXMATCH(
"" ""&amp;H2365&amp;"" "",
"" ""&amp;Sentiment_Words!B$2:B3730&amp;"" ""
),
1,
0
)
)
)
)"),0.0)</f>
        <v>0</v>
      </c>
      <c r="L2365" s="7" t="str">
        <f t="shared" si="3"/>
        <v>Other</v>
      </c>
      <c r="M2365" s="7" t="str">
        <f t="shared" si="4"/>
        <v>Positive</v>
      </c>
      <c r="N2365" s="7" t="str">
        <f>IFERROR(__xludf.DUMMYFUNCTION("LOWER(
TRIM(
REGEXREPLACE(B2365,""[^a-zA-Z\s]"","""")
)
)
"),"nancy")</f>
        <v>nancy</v>
      </c>
      <c r="O2365" s="7">
        <f t="shared" si="5"/>
        <v>7</v>
      </c>
      <c r="P2365" s="8" t="str">
        <f t="shared" si="6"/>
        <v>Yes</v>
      </c>
    </row>
    <row r="2366">
      <c r="A2366" s="4" t="s">
        <v>16</v>
      </c>
      <c r="B2366" s="4" t="s">
        <v>6619</v>
      </c>
      <c r="C2366" s="9">
        <v>44690.0</v>
      </c>
      <c r="D2366" s="5">
        <v>44691.0</v>
      </c>
      <c r="E2366" s="4" t="s">
        <v>6620</v>
      </c>
      <c r="F2366" s="4" t="s">
        <v>6621</v>
      </c>
      <c r="G2366" s="6" t="str">
        <f>IFERROR(__xludf.DUMMYFUNCTION("REGEXREPLACE(LOWER(F2366),""[^a-z\s]"","""")"),"perfect
fast
efficient as always")</f>
        <v>perfect
fast
efficient as always</v>
      </c>
      <c r="H2366" s="4" t="str">
        <f t="shared" si="1"/>
        <v>perfect
fast
efficient as always</v>
      </c>
      <c r="I2366" s="6">
        <f t="shared" si="2"/>
        <v>3</v>
      </c>
      <c r="J2366" s="6">
        <f>IFERROR(__xludf.DUMMYFUNCTION("IF(H2366="""","""",
SUM(
ARRAYFORMULA(
IF(
REGEXMATCH(
"" ""&amp;H2366&amp;"" "",
"" ""&amp;Sentiment_Words!A$2:A3730&amp;"" ""
),
1,
0
)
)
)
)"),0.0)</f>
        <v>0</v>
      </c>
      <c r="K2366" s="4">
        <f>IFERROR(__xludf.DUMMYFUNCTION("IF(H2366="""","""",
SUM(
ARRAYFORMULA(
IF(
REGEXMATCH(
"" ""&amp;H2366&amp;"" "",
"" ""&amp;Sentiment_Words!B$2:B3730&amp;"" ""
),
1,
0
)
)
)
)"),0.0)</f>
        <v>0</v>
      </c>
      <c r="L2366" s="7" t="str">
        <f t="shared" si="3"/>
        <v>Other</v>
      </c>
      <c r="M2366" s="7" t="str">
        <f t="shared" si="4"/>
        <v>Neutral</v>
      </c>
      <c r="N2366" s="7" t="str">
        <f>IFERROR(__xludf.DUMMYFUNCTION("LOWER(
TRIM(
REGEXREPLACE(B2366,""[^a-zA-Z\s]"","""")
)
)
"),"natalie j")</f>
        <v>natalie j</v>
      </c>
      <c r="O2366" s="7">
        <f t="shared" si="5"/>
        <v>1</v>
      </c>
      <c r="P2366" s="8" t="str">
        <f t="shared" si="6"/>
        <v>No</v>
      </c>
    </row>
    <row r="2367">
      <c r="A2367" s="4" t="s">
        <v>16</v>
      </c>
      <c r="B2367" s="4" t="s">
        <v>6622</v>
      </c>
      <c r="C2367" s="9">
        <v>44690.0</v>
      </c>
      <c r="D2367" s="5">
        <v>44691.0</v>
      </c>
      <c r="E2367" s="4" t="s">
        <v>6623</v>
      </c>
      <c r="F2367" s="4" t="s">
        <v>6624</v>
      </c>
      <c r="G2367" s="6" t="str">
        <f>IFERROR(__xludf.DUMMYFUNCTION("REGEXREPLACE(LOWER(F2367),""[^a-z\s]"","""")"),"when i was given a prescription for my cat that had just gotten a procedure to clear a urinary tract blockage i tried having the prescription filled by my regular vet they were out of stock of what was needed so i turned to petflow all my experience with "&amp;"petflow has been positive i intend to continue doing business with petflow the service and prices are good petflow is nice to do business with")</f>
        <v>when i was given a prescription for my cat that had just gotten a procedure to clear a urinary tract blockage i tried having the prescription filled by my regular vet they were out of stock of what was needed so i turned to petflow all my experience with petflow has been positive i intend to continue doing business with petflow the service and prices are good petflow is nice to do business with</v>
      </c>
      <c r="H2367" s="4" t="str">
        <f t="shared" si="1"/>
        <v>when i was given a prescription my cat that had just gotten a procedure clear a urinary tract blockage i tried having prescription filled by my regular vet they were out of stock of what was needed so i turned petflow all my experience with petflow has been positive i intend continue doing business with petflow service prices are good petflow nice do business with</v>
      </c>
      <c r="I2367" s="6">
        <f t="shared" si="2"/>
        <v>65</v>
      </c>
      <c r="J2367" s="6">
        <f>IFERROR(__xludf.DUMMYFUNCTION("IF(H2367="""","""",
SUM(
ARRAYFORMULA(
IF(
REGEXMATCH(
"" ""&amp;H2367&amp;"" "",
"" ""&amp;Sentiment_Words!A$2:A3730&amp;"" ""
),
1,
0
)
)
)
)"),1.0)</f>
        <v>1</v>
      </c>
      <c r="K2367" s="4">
        <f>IFERROR(__xludf.DUMMYFUNCTION("IF(H2367="""","""",
SUM(
ARRAYFORMULA(
IF(
REGEXMATCH(
"" ""&amp;H2367&amp;"" "",
"" ""&amp;Sentiment_Words!B$2:B3730&amp;"" ""
),
1,
0
)
)
)
)"),1.0)</f>
        <v>1</v>
      </c>
      <c r="L2367" s="7" t="str">
        <f t="shared" si="3"/>
        <v>Customer Support</v>
      </c>
      <c r="M2367" s="7" t="str">
        <f t="shared" si="4"/>
        <v>Neutral</v>
      </c>
      <c r="N2367" s="7" t="str">
        <f>IFERROR(__xludf.DUMMYFUNCTION("LOWER(
TRIM(
REGEXREPLACE(B2367,""[^a-zA-Z\s]"","""")
)
)
"),"brenda fernandez")</f>
        <v>brenda fernandez</v>
      </c>
      <c r="O2367" s="7">
        <f t="shared" si="5"/>
        <v>1</v>
      </c>
      <c r="P2367" s="8" t="str">
        <f t="shared" si="6"/>
        <v>No</v>
      </c>
    </row>
    <row r="2368">
      <c r="A2368" s="4" t="s">
        <v>16</v>
      </c>
      <c r="B2368" s="4" t="s">
        <v>6625</v>
      </c>
      <c r="C2368" s="9">
        <v>44690.0</v>
      </c>
      <c r="D2368" s="5">
        <v>44690.0</v>
      </c>
      <c r="E2368" s="4" t="s">
        <v>6626</v>
      </c>
      <c r="F2368" s="4" t="s">
        <v>6627</v>
      </c>
      <c r="G2368" s="6" t="str">
        <f>IFERROR(__xludf.DUMMYFUNCTION("REGEXREPLACE(LOWER(F2368),""[^a-z\s]"","""")"),"orders are shipped quickly prices are comparable to other companies")</f>
        <v>orders are shipped quickly prices are comparable to other companies</v>
      </c>
      <c r="H2368" s="4" t="str">
        <f t="shared" si="1"/>
        <v>orders are shipped quickly prices are comparable other companies</v>
      </c>
      <c r="I2368" s="6">
        <f t="shared" si="2"/>
        <v>9</v>
      </c>
      <c r="J2368" s="6">
        <f>IFERROR(__xludf.DUMMYFUNCTION("IF(H2368="""","""",
SUM(
ARRAYFORMULA(
IF(
REGEXMATCH(
"" ""&amp;H2368&amp;"" "",
"" ""&amp;Sentiment_Words!A$2:A3730&amp;"" ""
),
1,
0
)
)
)
)"),1.0)</f>
        <v>1</v>
      </c>
      <c r="K2368" s="4">
        <f>IFERROR(__xludf.DUMMYFUNCTION("IF(H2368="""","""",
SUM(
ARRAYFORMULA(
IF(
REGEXMATCH(
"" ""&amp;H2368&amp;"" "",
"" ""&amp;Sentiment_Words!B$2:B3730&amp;"" ""
),
1,
0
)
)
)
)"),0.0)</f>
        <v>0</v>
      </c>
      <c r="L2368" s="7" t="str">
        <f t="shared" si="3"/>
        <v>Other</v>
      </c>
      <c r="M2368" s="7" t="str">
        <f t="shared" si="4"/>
        <v>Positive</v>
      </c>
      <c r="N2368" s="7" t="str">
        <f>IFERROR(__xludf.DUMMYFUNCTION("LOWER(
TRIM(
REGEXREPLACE(B2368,""[^a-zA-Z\s]"","""")
)
)
"),"wynn wasinger")</f>
        <v>wynn wasinger</v>
      </c>
      <c r="O2368" s="7">
        <f t="shared" si="5"/>
        <v>1</v>
      </c>
      <c r="P2368" s="8" t="str">
        <f t="shared" si="6"/>
        <v>No</v>
      </c>
    </row>
    <row r="2369">
      <c r="A2369" s="4" t="s">
        <v>16</v>
      </c>
      <c r="B2369" s="4" t="s">
        <v>6628</v>
      </c>
      <c r="C2369" s="9">
        <v>44690.0</v>
      </c>
      <c r="D2369" s="5">
        <v>44690.0</v>
      </c>
      <c r="E2369" s="4" t="s">
        <v>6629</v>
      </c>
      <c r="F2369" s="4" t="s">
        <v>6630</v>
      </c>
      <c r="G2369" s="6" t="str">
        <f>IFERROR(__xludf.DUMMYFUNCTION("REGEXREPLACE(LOWER(F2369),""[^a-z\s]"","""")"),"timely delivery no glitches and great product")</f>
        <v>timely delivery no glitches and great product</v>
      </c>
      <c r="H2369" s="4" t="str">
        <f t="shared" si="1"/>
        <v>timely delivery no glitches great product</v>
      </c>
      <c r="I2369" s="6">
        <f t="shared" si="2"/>
        <v>6</v>
      </c>
      <c r="J2369" s="6">
        <f>IFERROR(__xludf.DUMMYFUNCTION("IF(H2369="""","""",
SUM(
ARRAYFORMULA(
IF(
REGEXMATCH(
"" ""&amp;H2369&amp;"" "",
"" ""&amp;Sentiment_Words!A$2:A3730&amp;"" ""
),
1,
0
)
)
)
)"),1.0)</f>
        <v>1</v>
      </c>
      <c r="K2369" s="4">
        <f>IFERROR(__xludf.DUMMYFUNCTION("IF(H2369="""","""",
SUM(
ARRAYFORMULA(
IF(
REGEXMATCH(
"" ""&amp;H2369&amp;"" "",
"" ""&amp;Sentiment_Words!B$2:B3730&amp;"" ""
),
1,
0
)
)
)
)"),0.0)</f>
        <v>0</v>
      </c>
      <c r="L2369" s="7" t="str">
        <f t="shared" si="3"/>
        <v>Other</v>
      </c>
      <c r="M2369" s="7" t="str">
        <f t="shared" si="4"/>
        <v>Positive</v>
      </c>
      <c r="N2369" s="7" t="str">
        <f>IFERROR(__xludf.DUMMYFUNCTION("LOWER(
TRIM(
REGEXREPLACE(B2369,""[^a-zA-Z\s]"","""")
)
)
"),"dan spivey")</f>
        <v>dan spivey</v>
      </c>
      <c r="O2369" s="7">
        <f t="shared" si="5"/>
        <v>1</v>
      </c>
      <c r="P2369" s="8" t="str">
        <f t="shared" si="6"/>
        <v>No</v>
      </c>
    </row>
    <row r="2370">
      <c r="A2370" s="4" t="s">
        <v>16</v>
      </c>
      <c r="B2370" s="4" t="s">
        <v>6631</v>
      </c>
      <c r="C2370" s="9">
        <v>44690.0</v>
      </c>
      <c r="D2370" s="5">
        <v>44690.0</v>
      </c>
      <c r="E2370" s="4" t="s">
        <v>6632</v>
      </c>
      <c r="F2370" s="4" t="s">
        <v>6633</v>
      </c>
      <c r="G2370" s="6" t="str">
        <f>IFERROR(__xludf.DUMMYFUNCTION("REGEXREPLACE(LOWER(F2370),""[^a-z\s]"","""")"),"the products that i ordered were as described at a fair price and arrived on time
 very happy customer")</f>
        <v>the products that i ordered were as described at a fair price and arrived on time
 very happy customer</v>
      </c>
      <c r="H2370" s="4" t="str">
        <f t="shared" si="1"/>
        <v>products that i ordered were as described at a fair price arrived on time
 very happy customer</v>
      </c>
      <c r="I2370" s="6">
        <f t="shared" si="2"/>
        <v>17</v>
      </c>
      <c r="J2370" s="6">
        <f>IFERROR(__xludf.DUMMYFUNCTION("IF(H2370="""","""",
SUM(
ARRAYFORMULA(
IF(
REGEXMATCH(
"" ""&amp;H2370&amp;"" "",
"" ""&amp;Sentiment_Words!A$2:A3730&amp;"" ""
),
1,
0
)
)
)
)"),1.0)</f>
        <v>1</v>
      </c>
      <c r="K2370" s="4">
        <f>IFERROR(__xludf.DUMMYFUNCTION("IF(H2370="""","""",
SUM(
ARRAYFORMULA(
IF(
REGEXMATCH(
"" ""&amp;H2370&amp;"" "",
"" ""&amp;Sentiment_Words!B$2:B3730&amp;"" ""
),
1,
0
)
)
)
)"),0.0)</f>
        <v>0</v>
      </c>
      <c r="L2370" s="7" t="str">
        <f t="shared" si="3"/>
        <v>Other</v>
      </c>
      <c r="M2370" s="7" t="str">
        <f t="shared" si="4"/>
        <v>Positive</v>
      </c>
      <c r="N2370" s="7" t="str">
        <f>IFERROR(__xludf.DUMMYFUNCTION("LOWER(
TRIM(
REGEXREPLACE(B2370,""[^a-zA-Z\s]"","""")
)
)
"),"sharon viellenave")</f>
        <v>sharon viellenave</v>
      </c>
      <c r="O2370" s="7">
        <f t="shared" si="5"/>
        <v>1</v>
      </c>
      <c r="P2370" s="8" t="str">
        <f t="shared" si="6"/>
        <v>No</v>
      </c>
    </row>
    <row r="2371">
      <c r="A2371" s="4" t="s">
        <v>16</v>
      </c>
      <c r="B2371" s="4" t="s">
        <v>6634</v>
      </c>
      <c r="C2371" s="9">
        <v>44690.0</v>
      </c>
      <c r="D2371" s="5">
        <v>44690.0</v>
      </c>
      <c r="E2371" s="4" t="s">
        <v>2460</v>
      </c>
      <c r="F2371" s="4" t="s">
        <v>6635</v>
      </c>
      <c r="G2371" s="6" t="str">
        <f>IFERROR(__xludf.DUMMYFUNCTION("REGEXREPLACE(LOWER(F2371),""[^a-z\s]"","""")"),"i had never ordered from pet flow before their website was easy and the cat food arrived promptly")</f>
        <v>i had never ordered from pet flow before their website was easy and the cat food arrived promptly</v>
      </c>
      <c r="H2371" s="4" t="str">
        <f t="shared" si="1"/>
        <v>i had never ordered from pet flow before their website was easy cat food arrived promptly</v>
      </c>
      <c r="I2371" s="6">
        <f t="shared" si="2"/>
        <v>16</v>
      </c>
      <c r="J2371" s="6">
        <f>IFERROR(__xludf.DUMMYFUNCTION("IF(H2371="""","""",
SUM(
ARRAYFORMULA(
IF(
REGEXMATCH(
"" ""&amp;H2371&amp;"" "",
"" ""&amp;Sentiment_Words!A$2:A3730&amp;"" ""
),
1,
0
)
)
)
)"),1.0)</f>
        <v>1</v>
      </c>
      <c r="K2371" s="4">
        <f>IFERROR(__xludf.DUMMYFUNCTION("IF(H2371="""","""",
SUM(
ARRAYFORMULA(
IF(
REGEXMATCH(
"" ""&amp;H2371&amp;"" "",
"" ""&amp;Sentiment_Words!B$2:B3730&amp;"" ""
),
1,
0
)
)
)
)"),0.0)</f>
        <v>0</v>
      </c>
      <c r="L2371" s="7" t="str">
        <f t="shared" si="3"/>
        <v>Account &amp; Website</v>
      </c>
      <c r="M2371" s="7" t="str">
        <f t="shared" si="4"/>
        <v>Positive</v>
      </c>
      <c r="N2371" s="7" t="str">
        <f>IFERROR(__xludf.DUMMYFUNCTION("LOWER(
TRIM(
REGEXREPLACE(B2371,""[^a-zA-Z\s]"","""")
)
)
"),"carol greenfield")</f>
        <v>carol greenfield</v>
      </c>
      <c r="O2371" s="7">
        <f t="shared" si="5"/>
        <v>1</v>
      </c>
      <c r="P2371" s="8" t="str">
        <f t="shared" si="6"/>
        <v>No</v>
      </c>
    </row>
    <row r="2372">
      <c r="A2372" s="4" t="s">
        <v>16</v>
      </c>
      <c r="B2372" s="4" t="s">
        <v>6636</v>
      </c>
      <c r="C2372" s="9">
        <v>44690.0</v>
      </c>
      <c r="D2372" s="5">
        <v>44690.0</v>
      </c>
      <c r="E2372" s="4" t="s">
        <v>6637</v>
      </c>
      <c r="F2372" s="4" t="s">
        <v>6638</v>
      </c>
      <c r="G2372" s="6" t="str">
        <f>IFERROR(__xludf.DUMMYFUNCTION("REGEXREPLACE(LOWER(F2372),""[^a-z\s]"","""")"),"i enjoyed finally finding a website that still has my cotton de tulear food that she has been on her whole life and seems to be selling out everywhere i sure hope this website keeps it in stock for the next time i need to order it")</f>
        <v>i enjoyed finally finding a website that still has my cotton de tulear food that she has been on her whole life and seems to be selling out everywhere i sure hope this website keeps it in stock for the next time i need to order it</v>
      </c>
      <c r="H2372" s="4" t="str">
        <f t="shared" si="1"/>
        <v>i enjoyed finally finding a website that still has my cotton de tulear food that she has been on her whole life seems be selling out everywhere i sure hope this website keeps it in stock next time i need order it</v>
      </c>
      <c r="I2372" s="6">
        <f t="shared" si="2"/>
        <v>42</v>
      </c>
      <c r="J2372" s="6">
        <f>IFERROR(__xludf.DUMMYFUNCTION("IF(H2372="""","""",
SUM(
ARRAYFORMULA(
IF(
REGEXMATCH(
"" ""&amp;H2372&amp;"" "",
"" ""&amp;Sentiment_Words!A$2:A3730&amp;"" ""
),
1,
0
)
)
)
)"),0.0)</f>
        <v>0</v>
      </c>
      <c r="K2372" s="4">
        <f>IFERROR(__xludf.DUMMYFUNCTION("IF(H2372="""","""",
SUM(
ARRAYFORMULA(
IF(
REGEXMATCH(
"" ""&amp;H2372&amp;"" "",
"" ""&amp;Sentiment_Words!B$2:B3730&amp;"" ""
),
1,
0
)
)
)
)"),0.0)</f>
        <v>0</v>
      </c>
      <c r="L2372" s="7" t="str">
        <f t="shared" si="3"/>
        <v>Account &amp; Website</v>
      </c>
      <c r="M2372" s="7" t="str">
        <f t="shared" si="4"/>
        <v>Neutral</v>
      </c>
      <c r="N2372" s="7" t="str">
        <f>IFERROR(__xludf.DUMMYFUNCTION("LOWER(
TRIM(
REGEXREPLACE(B2372,""[^a-zA-Z\s]"","""")
)
)
"),"mark kutschinski")</f>
        <v>mark kutschinski</v>
      </c>
      <c r="O2372" s="7">
        <f t="shared" si="5"/>
        <v>1</v>
      </c>
      <c r="P2372" s="8" t="str">
        <f t="shared" si="6"/>
        <v>No</v>
      </c>
    </row>
    <row r="2373">
      <c r="A2373" s="4" t="s">
        <v>16</v>
      </c>
      <c r="B2373" s="4" t="s">
        <v>6639</v>
      </c>
      <c r="C2373" s="9">
        <v>44690.0</v>
      </c>
      <c r="D2373" s="5">
        <v>44690.0</v>
      </c>
      <c r="E2373" s="4" t="s">
        <v>6640</v>
      </c>
      <c r="F2373" s="4" t="s">
        <v>6641</v>
      </c>
      <c r="G2373" s="6" t="str">
        <f>IFERROR(__xludf.DUMMYFUNCTION("REGEXREPLACE(LOWER(F2373),""[^a-z\s]"","""")"),"i ordered a large pet carrier and was sent a small i did contact customer service and they are suppose to send a large that was a week ago so i am still waiting")</f>
        <v>i ordered a large pet carrier and was sent a small i did contact customer service and they are suppose to send a large that was a week ago so i am still waiting</v>
      </c>
      <c r="H2373" s="4" t="str">
        <f t="shared" si="1"/>
        <v>i ordered a large pet carrier was sent a small i did contact customer service they are suppose send a large that was a week ago so i am still waiting</v>
      </c>
      <c r="I2373" s="6">
        <f t="shared" si="2"/>
        <v>31</v>
      </c>
      <c r="J2373" s="6">
        <f>IFERROR(__xludf.DUMMYFUNCTION("IF(H2373="""","""",
SUM(
ARRAYFORMULA(
IF(
REGEXMATCH(
"" ""&amp;H2373&amp;"" "",
"" ""&amp;Sentiment_Words!A$2:A3730&amp;"" ""
),
1,
0
)
)
)
)"),0.0)</f>
        <v>0</v>
      </c>
      <c r="K2373" s="4">
        <f>IFERROR(__xludf.DUMMYFUNCTION("IF(H2373="""","""",
SUM(
ARRAYFORMULA(
IF(
REGEXMATCH(
"" ""&amp;H2373&amp;"" "",
"" ""&amp;Sentiment_Words!B$2:B3730&amp;"" ""
),
1,
0
)
)
)
)"),1.0)</f>
        <v>1</v>
      </c>
      <c r="L2373" s="7" t="str">
        <f t="shared" si="3"/>
        <v>Customer Support</v>
      </c>
      <c r="M2373" s="7" t="str">
        <f t="shared" si="4"/>
        <v>Negative</v>
      </c>
      <c r="N2373" s="7" t="str">
        <f>IFERROR(__xludf.DUMMYFUNCTION("LOWER(
TRIM(
REGEXREPLACE(B2373,""[^a-zA-Z\s]"","""")
)
)
"),"cindy aloi")</f>
        <v>cindy aloi</v>
      </c>
      <c r="O2373" s="7">
        <f t="shared" si="5"/>
        <v>1</v>
      </c>
      <c r="P2373" s="8" t="str">
        <f t="shared" si="6"/>
        <v>No</v>
      </c>
    </row>
    <row r="2374">
      <c r="A2374" s="4" t="s">
        <v>16</v>
      </c>
      <c r="B2374" s="4" t="s">
        <v>6642</v>
      </c>
      <c r="C2374" s="9">
        <v>44690.0</v>
      </c>
      <c r="D2374" s="5">
        <v>44690.0</v>
      </c>
      <c r="E2374" s="4" t="s">
        <v>6643</v>
      </c>
      <c r="F2374" s="4" t="s">
        <v>6644</v>
      </c>
      <c r="G2374" s="6" t="str">
        <f>IFERROR(__xludf.DUMMYFUNCTION("REGEXREPLACE(LOWER(F2374),""[^a-z\s]"","""")"),"fast easy great price and i stick of my pups fave food")</f>
        <v>fast easy great price and i stick of my pups fave food</v>
      </c>
      <c r="H2374" s="4" t="str">
        <f t="shared" si="1"/>
        <v>fast easy great price i stick of my pups fave food</v>
      </c>
      <c r="I2374" s="6">
        <f t="shared" si="2"/>
        <v>11</v>
      </c>
      <c r="J2374" s="6">
        <f>IFERROR(__xludf.DUMMYFUNCTION("IF(H2374="""","""",
SUM(
ARRAYFORMULA(
IF(
REGEXMATCH(
"" ""&amp;H2374&amp;"" "",
"" ""&amp;Sentiment_Words!A$2:A3730&amp;"" ""
),
1,
0
)
)
)
)"),3.0)</f>
        <v>3</v>
      </c>
      <c r="K2374" s="4">
        <f>IFERROR(__xludf.DUMMYFUNCTION("IF(H2374="""","""",
SUM(
ARRAYFORMULA(
IF(
REGEXMATCH(
"" ""&amp;H2374&amp;"" "",
"" ""&amp;Sentiment_Words!B$2:B3730&amp;"" ""
),
1,
0
)
)
)
)"),0.0)</f>
        <v>0</v>
      </c>
      <c r="L2374" s="7" t="str">
        <f t="shared" si="3"/>
        <v>Other</v>
      </c>
      <c r="M2374" s="7" t="str">
        <f t="shared" si="4"/>
        <v>Positive</v>
      </c>
      <c r="N2374" s="7" t="str">
        <f>IFERROR(__xludf.DUMMYFUNCTION("LOWER(
TRIM(
REGEXREPLACE(B2374,""[^a-zA-Z\s]"","""")
)
)
"),"natalie green")</f>
        <v>natalie green</v>
      </c>
      <c r="O2374" s="7">
        <f t="shared" si="5"/>
        <v>1</v>
      </c>
      <c r="P2374" s="8" t="str">
        <f t="shared" si="6"/>
        <v>No</v>
      </c>
    </row>
    <row r="2375">
      <c r="A2375" s="4" t="s">
        <v>16</v>
      </c>
      <c r="B2375" s="4" t="s">
        <v>6645</v>
      </c>
      <c r="C2375" s="9">
        <v>44690.0</v>
      </c>
      <c r="D2375" s="5">
        <v>44690.0</v>
      </c>
      <c r="E2375" s="4" t="s">
        <v>6646</v>
      </c>
      <c r="F2375" s="4" t="s">
        <v>331</v>
      </c>
      <c r="G2375" s="6" t="str">
        <f>IFERROR(__xludf.DUMMYFUNCTION("REGEXREPLACE(LOWER(F2375),""[^a-z\s]"","""")"),"none")</f>
        <v>none</v>
      </c>
      <c r="H2375" s="4" t="str">
        <f t="shared" si="1"/>
        <v>none</v>
      </c>
      <c r="I2375" s="6">
        <f t="shared" si="2"/>
        <v>1</v>
      </c>
      <c r="J2375" s="6">
        <f>IFERROR(__xludf.DUMMYFUNCTION("IF(H2375="""","""",
SUM(
ARRAYFORMULA(
IF(
REGEXMATCH(
"" ""&amp;H2375&amp;"" "",
"" ""&amp;Sentiment_Words!A$2:A3730&amp;"" ""
),
1,
0
)
)
)
)"),0.0)</f>
        <v>0</v>
      </c>
      <c r="K2375" s="4">
        <f>IFERROR(__xludf.DUMMYFUNCTION("IF(H2375="""","""",
SUM(
ARRAYFORMULA(
IF(
REGEXMATCH(
"" ""&amp;H2375&amp;"" "",
"" ""&amp;Sentiment_Words!B$2:B3730&amp;"" ""
),
1,
0
)
)
)
)"),0.0)</f>
        <v>0</v>
      </c>
      <c r="L2375" s="7" t="str">
        <f t="shared" si="3"/>
        <v>Other</v>
      </c>
      <c r="M2375" s="7" t="str">
        <f t="shared" si="4"/>
        <v>Neutral</v>
      </c>
      <c r="N2375" s="7" t="str">
        <f>IFERROR(__xludf.DUMMYFUNCTION("LOWER(
TRIM(
REGEXREPLACE(B2375,""[^a-zA-Z\s]"","""")
)
)
"),"brenda grimmett")</f>
        <v>brenda grimmett</v>
      </c>
      <c r="O2375" s="7">
        <f t="shared" si="5"/>
        <v>1</v>
      </c>
      <c r="P2375" s="8" t="str">
        <f t="shared" si="6"/>
        <v>No</v>
      </c>
    </row>
    <row r="2376">
      <c r="A2376" s="4" t="s">
        <v>16</v>
      </c>
      <c r="B2376" s="4" t="s">
        <v>6647</v>
      </c>
      <c r="C2376" s="9">
        <v>44689.0</v>
      </c>
      <c r="D2376" s="5">
        <v>44689.0</v>
      </c>
      <c r="E2376" s="4" t="s">
        <v>6648</v>
      </c>
      <c r="F2376" s="4" t="s">
        <v>331</v>
      </c>
      <c r="G2376" s="6" t="str">
        <f>IFERROR(__xludf.DUMMYFUNCTION("REGEXREPLACE(LOWER(F2376),""[^a-z\s]"","""")"),"none")</f>
        <v>none</v>
      </c>
      <c r="H2376" s="4" t="str">
        <f t="shared" si="1"/>
        <v>none</v>
      </c>
      <c r="I2376" s="6">
        <f t="shared" si="2"/>
        <v>1</v>
      </c>
      <c r="J2376" s="6">
        <f>IFERROR(__xludf.DUMMYFUNCTION("IF(H2376="""","""",
SUM(
ARRAYFORMULA(
IF(
REGEXMATCH(
"" ""&amp;H2376&amp;"" "",
"" ""&amp;Sentiment_Words!A$2:A3730&amp;"" ""
),
1,
0
)
)
)
)"),0.0)</f>
        <v>0</v>
      </c>
      <c r="K2376" s="4">
        <f>IFERROR(__xludf.DUMMYFUNCTION("IF(H2376="""","""",
SUM(
ARRAYFORMULA(
IF(
REGEXMATCH(
"" ""&amp;H2376&amp;"" "",
"" ""&amp;Sentiment_Words!B$2:B3730&amp;"" ""
),
1,
0
)
)
)
)"),0.0)</f>
        <v>0</v>
      </c>
      <c r="L2376" s="7" t="str">
        <f t="shared" si="3"/>
        <v>Other</v>
      </c>
      <c r="M2376" s="7" t="str">
        <f t="shared" si="4"/>
        <v>Neutral</v>
      </c>
      <c r="N2376" s="7" t="str">
        <f>IFERROR(__xludf.DUMMYFUNCTION("LOWER(
TRIM(
REGEXREPLACE(B2376,""[^a-zA-Z\s]"","""")
)
)
"),"mimi crevello")</f>
        <v>mimi crevello</v>
      </c>
      <c r="O2376" s="7">
        <f t="shared" si="5"/>
        <v>1</v>
      </c>
      <c r="P2376" s="8" t="str">
        <f t="shared" si="6"/>
        <v>No</v>
      </c>
    </row>
    <row r="2377">
      <c r="A2377" s="4" t="s">
        <v>16</v>
      </c>
      <c r="B2377" s="4" t="s">
        <v>6649</v>
      </c>
      <c r="C2377" s="9">
        <v>44689.0</v>
      </c>
      <c r="D2377" s="5">
        <v>44689.0</v>
      </c>
      <c r="E2377" s="4" t="s">
        <v>4440</v>
      </c>
      <c r="F2377" s="4" t="s">
        <v>331</v>
      </c>
      <c r="G2377" s="6" t="str">
        <f>IFERROR(__xludf.DUMMYFUNCTION("REGEXREPLACE(LOWER(F2377),""[^a-z\s]"","""")"),"none")</f>
        <v>none</v>
      </c>
      <c r="H2377" s="4" t="str">
        <f t="shared" si="1"/>
        <v>none</v>
      </c>
      <c r="I2377" s="6">
        <f t="shared" si="2"/>
        <v>1</v>
      </c>
      <c r="J2377" s="6">
        <f>IFERROR(__xludf.DUMMYFUNCTION("IF(H2377="""","""",
SUM(
ARRAYFORMULA(
IF(
REGEXMATCH(
"" ""&amp;H2377&amp;"" "",
"" ""&amp;Sentiment_Words!A$2:A3730&amp;"" ""
),
1,
0
)
)
)
)"),0.0)</f>
        <v>0</v>
      </c>
      <c r="K2377" s="4">
        <f>IFERROR(__xludf.DUMMYFUNCTION("IF(H2377="""","""",
SUM(
ARRAYFORMULA(
IF(
REGEXMATCH(
"" ""&amp;H2377&amp;"" "",
"" ""&amp;Sentiment_Words!B$2:B3730&amp;"" ""
),
1,
0
)
)
)
)"),0.0)</f>
        <v>0</v>
      </c>
      <c r="L2377" s="7" t="str">
        <f t="shared" si="3"/>
        <v>Other</v>
      </c>
      <c r="M2377" s="7" t="str">
        <f t="shared" si="4"/>
        <v>Neutral</v>
      </c>
      <c r="N2377" s="7" t="str">
        <f>IFERROR(__xludf.DUMMYFUNCTION("LOWER(
TRIM(
REGEXREPLACE(B2377,""[^a-zA-Z\s]"","""")
)
)
"),"anita leakey")</f>
        <v>anita leakey</v>
      </c>
      <c r="O2377" s="7">
        <f t="shared" si="5"/>
        <v>1</v>
      </c>
      <c r="P2377" s="8" t="str">
        <f t="shared" si="6"/>
        <v>No</v>
      </c>
    </row>
    <row r="2378">
      <c r="A2378" s="4" t="s">
        <v>16</v>
      </c>
      <c r="B2378" s="4" t="s">
        <v>3165</v>
      </c>
      <c r="C2378" s="9">
        <v>44689.0</v>
      </c>
      <c r="D2378" s="5">
        <v>44689.0</v>
      </c>
      <c r="E2378" s="4" t="s">
        <v>6650</v>
      </c>
      <c r="F2378" s="4" t="s">
        <v>6651</v>
      </c>
      <c r="G2378" s="6" t="str">
        <f>IFERROR(__xludf.DUMMYFUNCTION("REGEXREPLACE(LOWER(F2378),""[^a-z\s]"","""")"),"ordered for the first and last time when petflow was the only place that had any of my cats specialty prescription food in stock they said they called the vet office to confirm and approve the prescription but did not call the office i gave them and then "&amp;"canceled the order i tried to reorder within  hours of the original order date and suddenly the food was out of stock i wouldve understood that they canceled because it was out of stock without making up a fake story
if you have prescription needs for you"&amp;"r pet id avoid petflow")</f>
        <v>ordered for the first and last time when petflow was the only place that had any of my cats specialty prescription food in stock they said they called the vet office to confirm and approve the prescription but did not call the office i gave them and then canceled the order i tried to reorder within  hours of the original order date and suddenly the food was out of stock i wouldve understood that they canceled because it was out of stock without making up a fake story
if you have prescription needs for your pet id avoid petflow</v>
      </c>
      <c r="H2378" s="4" t="str">
        <f t="shared" si="1"/>
        <v>ordered first last time when petflow was only place that had any of my cats specialty prescription food in stock they said they called vet office confirm approve prescription but did not call office i gave them then canceled order i tried reorder within hours of original order date suddenly food was out of stock i wouldve understood that they canceled because it was out of stock without making up a fake story
if you have prescription needs your pet id avoid petflow</v>
      </c>
      <c r="I2378" s="6">
        <f t="shared" si="2"/>
        <v>82</v>
      </c>
      <c r="J2378" s="6">
        <f>IFERROR(__xludf.DUMMYFUNCTION("IF(H2378="""","""",
SUM(
ARRAYFORMULA(
IF(
REGEXMATCH(
"" ""&amp;H2378&amp;"" "",
"" ""&amp;Sentiment_Words!A$2:A3730&amp;"" ""
),
1,
0
)
)
)
)"),0.0)</f>
        <v>0</v>
      </c>
      <c r="K2378" s="4">
        <f>IFERROR(__xludf.DUMMYFUNCTION("IF(H2378="""","""",
SUM(
ARRAYFORMULA(
IF(
REGEXMATCH(
"" ""&amp;H2378&amp;"" "",
"" ""&amp;Sentiment_Words!B$2:B3730&amp;"" ""
),
1,
0
)
)
)
)"),2.0)</f>
        <v>2</v>
      </c>
      <c r="L2378" s="7" t="str">
        <f t="shared" si="3"/>
        <v>Availability</v>
      </c>
      <c r="M2378" s="7" t="str">
        <f t="shared" si="4"/>
        <v>Negative</v>
      </c>
      <c r="N2378" s="7" t="str">
        <f>IFERROR(__xludf.DUMMYFUNCTION("LOWER(
TRIM(
REGEXREPLACE(B2378,""[^a-zA-Z\s]"","""")
)
)
"),"anna")</f>
        <v>anna</v>
      </c>
      <c r="O2378" s="7">
        <f t="shared" si="5"/>
        <v>4</v>
      </c>
      <c r="P2378" s="8" t="str">
        <f t="shared" si="6"/>
        <v>Yes</v>
      </c>
    </row>
    <row r="2379">
      <c r="A2379" s="4" t="s">
        <v>16</v>
      </c>
      <c r="B2379" s="4" t="s">
        <v>6652</v>
      </c>
      <c r="C2379" s="9">
        <v>44689.0</v>
      </c>
      <c r="D2379" s="5">
        <v>44689.0</v>
      </c>
      <c r="E2379" s="4" t="s">
        <v>6653</v>
      </c>
      <c r="F2379" s="4" t="s">
        <v>6654</v>
      </c>
      <c r="G2379" s="6" t="str">
        <f>IFERROR(__xludf.DUMMYFUNCTION("REGEXREPLACE(LOWER(F2379),""[^a-z\s]"","""")"),"i use this site to order tracheas for my  dogsthey are a natural treat and my dogs love them this company has been very good about getting my orders to me in a timely manner so my dogs never have to miss their saturday special treat i know their prices ar"&amp;"e great because i have actually compared them and they beat the competition every time i will continue to use this company and keep watching to see if they carry any other things i need")</f>
        <v>i use this site to order tracheas for my  dogsthey are a natural treat and my dogs love them this company has been very good about getting my orders to me in a timely manner so my dogs never have to miss their saturday special treat i know their prices are great because i have actually compared them and they beat the competition every time i will continue to use this company and keep watching to see if they carry any other things i need</v>
      </c>
      <c r="H2379" s="4" t="str">
        <f t="shared" si="1"/>
        <v>i use this site order tracheas my dogsthey are a natural treat my dogs love them this company has been very good about getting my orders me in a timely manner so my dogs never have miss their saturday special treat i know their prices are great because i have actually compared them they beat competition every time i will continue use this company keep watching see if they carry any other things i need</v>
      </c>
      <c r="I2379" s="6">
        <f t="shared" si="2"/>
        <v>75</v>
      </c>
      <c r="J2379" s="6">
        <f>IFERROR(__xludf.DUMMYFUNCTION("IF(H2379="""","""",
SUM(
ARRAYFORMULA(
IF(
REGEXMATCH(
"" ""&amp;H2379&amp;"" "",
"" ""&amp;Sentiment_Words!A$2:A3730&amp;"" ""
),
1,
0
)
)
)
)"),3.0)</f>
        <v>3</v>
      </c>
      <c r="K2379" s="4">
        <f>IFERROR(__xludf.DUMMYFUNCTION("IF(H2379="""","""",
SUM(
ARRAYFORMULA(
IF(
REGEXMATCH(
"" ""&amp;H2379&amp;"" "",
"" ""&amp;Sentiment_Words!B$2:B3730&amp;"" ""
),
1,
0
)
)
)
)"),0.0)</f>
        <v>0</v>
      </c>
      <c r="L2379" s="7" t="str">
        <f t="shared" si="3"/>
        <v>Other</v>
      </c>
      <c r="M2379" s="7" t="str">
        <f t="shared" si="4"/>
        <v>Positive</v>
      </c>
      <c r="N2379" s="7" t="str">
        <f>IFERROR(__xludf.DUMMYFUNCTION("LOWER(
TRIM(
REGEXREPLACE(B2379,""[^a-zA-Z\s]"","""")
)
)
"),"ralph burton")</f>
        <v>ralph burton</v>
      </c>
      <c r="O2379" s="7">
        <f t="shared" si="5"/>
        <v>1</v>
      </c>
      <c r="P2379" s="8" t="str">
        <f t="shared" si="6"/>
        <v>No</v>
      </c>
    </row>
    <row r="2380">
      <c r="A2380" s="4" t="s">
        <v>16</v>
      </c>
      <c r="B2380" s="4" t="s">
        <v>6655</v>
      </c>
      <c r="C2380" s="9">
        <v>44689.0</v>
      </c>
      <c r="D2380" s="5">
        <v>44689.0</v>
      </c>
      <c r="E2380" s="4" t="s">
        <v>6656</v>
      </c>
      <c r="F2380" s="4" t="s">
        <v>6657</v>
      </c>
      <c r="G2380" s="6" t="str">
        <f>IFERROR(__xludf.DUMMYFUNCTION("REGEXREPLACE(LOWER(F2380),""[^a-z\s]"","""")"),"im so thankful that i found petflow
its nice to know there are online options for my fur babythe prices are great and the fact that petflow gives back to pups in need makes me feel good
thank you petflow")</f>
        <v>im so thankful that i found petflow
its nice to know there are online options for my fur babythe prices are great and the fact that petflow gives back to pups in need makes me feel good
thank you petflow</v>
      </c>
      <c r="H2380" s="4" t="str">
        <f t="shared" si="1"/>
        <v>im so thankful that i found petflow
its nice know there are online options my fur babythe prices are great fact that petflow gives back pups in need makes me feel good
thank you petflow</v>
      </c>
      <c r="I2380" s="6">
        <f t="shared" si="2"/>
        <v>33</v>
      </c>
      <c r="J2380" s="6">
        <f>IFERROR(__xludf.DUMMYFUNCTION("IF(H2380="""","""",
SUM(
ARRAYFORMULA(
IF(
REGEXMATCH(
"" ""&amp;H2380&amp;"" "",
"" ""&amp;Sentiment_Words!A$2:A3730&amp;"" ""
),
1,
0
)
)
)
)"),2.0)</f>
        <v>2</v>
      </c>
      <c r="K2380" s="4">
        <f>IFERROR(__xludf.DUMMYFUNCTION("IF(H2380="""","""",
SUM(
ARRAYFORMULA(
IF(
REGEXMATCH(
"" ""&amp;H2380&amp;"" "",
"" ""&amp;Sentiment_Words!B$2:B3730&amp;"" ""
),
1,
0
)
)
)
)"),0.0)</f>
        <v>0</v>
      </c>
      <c r="L2380" s="7" t="str">
        <f t="shared" si="3"/>
        <v>Other</v>
      </c>
      <c r="M2380" s="7" t="str">
        <f t="shared" si="4"/>
        <v>Positive</v>
      </c>
      <c r="N2380" s="7" t="str">
        <f>IFERROR(__xludf.DUMMYFUNCTION("LOWER(
TRIM(
REGEXREPLACE(B2380,""[^a-zA-Z\s]"","""")
)
)
"),"dale newby")</f>
        <v>dale newby</v>
      </c>
      <c r="O2380" s="7">
        <f t="shared" si="5"/>
        <v>1</v>
      </c>
      <c r="P2380" s="8" t="str">
        <f t="shared" si="6"/>
        <v>No</v>
      </c>
    </row>
    <row r="2381">
      <c r="A2381" s="4" t="s">
        <v>16</v>
      </c>
      <c r="B2381" s="4" t="s">
        <v>6658</v>
      </c>
      <c r="C2381" s="9">
        <v>44689.0</v>
      </c>
      <c r="D2381" s="5">
        <v>44689.0</v>
      </c>
      <c r="E2381" s="4" t="s">
        <v>6659</v>
      </c>
      <c r="F2381" s="4" t="s">
        <v>6660</v>
      </c>
      <c r="G2381" s="6" t="str">
        <f>IFERROR(__xludf.DUMMYFUNCTION("REGEXREPLACE(LOWER(F2381),""[^a-z\s]"","""")"),"petflow usually has products other sites are out of what relief but stock up as things are getting harder to find petflow delivers quickly and in good shape")</f>
        <v>petflow usually has products other sites are out of what relief but stock up as things are getting harder to find petflow delivers quickly and in good shape</v>
      </c>
      <c r="H2381" s="4" t="str">
        <f t="shared" si="1"/>
        <v>petflow usually has products other sites are out of what relief but stock up as things are getting harder find petflow delivers quickly in good shape</v>
      </c>
      <c r="I2381" s="6">
        <f t="shared" si="2"/>
        <v>26</v>
      </c>
      <c r="J2381" s="6">
        <f>IFERROR(__xludf.DUMMYFUNCTION("IF(H2381="""","""",
SUM(
ARRAYFORMULA(
IF(
REGEXMATCH(
"" ""&amp;H2381&amp;"" "",
"" ""&amp;Sentiment_Words!A$2:A3730&amp;"" ""
),
1,
0
)
)
)
)"),1.0)</f>
        <v>1</v>
      </c>
      <c r="K2381" s="4">
        <f>IFERROR(__xludf.DUMMYFUNCTION("IF(H2381="""","""",
SUM(
ARRAYFORMULA(
IF(
REGEXMATCH(
"" ""&amp;H2381&amp;"" "",
"" ""&amp;Sentiment_Words!B$2:B3730&amp;"" ""
),
1,
0
)
)
)
)"),0.0)</f>
        <v>0</v>
      </c>
      <c r="L2381" s="7" t="str">
        <f t="shared" si="3"/>
        <v>Other</v>
      </c>
      <c r="M2381" s="7" t="str">
        <f t="shared" si="4"/>
        <v>Positive</v>
      </c>
      <c r="N2381" s="7" t="str">
        <f>IFERROR(__xludf.DUMMYFUNCTION("LOWER(
TRIM(
REGEXREPLACE(B2381,""[^a-zA-Z\s]"","""")
)
)
"),"a king")</f>
        <v>a king</v>
      </c>
      <c r="O2381" s="7">
        <f t="shared" si="5"/>
        <v>1</v>
      </c>
      <c r="P2381" s="8" t="str">
        <f t="shared" si="6"/>
        <v>No</v>
      </c>
    </row>
    <row r="2382">
      <c r="A2382" s="4" t="s">
        <v>16</v>
      </c>
      <c r="B2382" s="4" t="s">
        <v>6661</v>
      </c>
      <c r="C2382" s="9">
        <v>44689.0</v>
      </c>
      <c r="D2382" s="5">
        <v>44689.0</v>
      </c>
      <c r="E2382" s="4" t="s">
        <v>6662</v>
      </c>
      <c r="F2382" s="4" t="s">
        <v>6663</v>
      </c>
      <c r="G2382" s="6" t="str">
        <f>IFERROR(__xludf.DUMMYFUNCTION("REGEXREPLACE(LOWER(F2382),""[^a-z\s]"","""")"),"said an item was in stock when it wasnt i waited a week before being notified that it was even in the warehouse to be shipped in the meantime i was counting on the shipment for my diabetic cat i will never recommend or give the company another try")</f>
        <v>said an item was in stock when it wasnt i waited a week before being notified that it was even in the warehouse to be shipped in the meantime i was counting on the shipment for my diabetic cat i will never recommend or give the company another try</v>
      </c>
      <c r="H2382" s="4" t="str">
        <f t="shared" si="1"/>
        <v>said an item was in stock when it wasnt i waited a week before being notified that it was even in warehouse be shipped in meantime i was counting on shipment my diabetic cat i will never recommend or give company another try</v>
      </c>
      <c r="I2382" s="6">
        <f t="shared" si="2"/>
        <v>43</v>
      </c>
      <c r="J2382" s="6">
        <f>IFERROR(__xludf.DUMMYFUNCTION("IF(H2382="""","""",
SUM(
ARRAYFORMULA(
IF(
REGEXMATCH(
"" ""&amp;H2382&amp;"" "",
"" ""&amp;Sentiment_Words!A$2:A3730&amp;"" ""
),
1,
0
)
)
)
)"),0.0)</f>
        <v>0</v>
      </c>
      <c r="K2382" s="4">
        <f>IFERROR(__xludf.DUMMYFUNCTION("IF(H2382="""","""",
SUM(
ARRAYFORMULA(
IF(
REGEXMATCH(
"" ""&amp;H2382&amp;"" "",
"" ""&amp;Sentiment_Words!B$2:B3730&amp;"" ""
),
1,
0
)
)
)
)"),0.0)</f>
        <v>0</v>
      </c>
      <c r="L2382" s="7" t="str">
        <f t="shared" si="3"/>
        <v>Other</v>
      </c>
      <c r="M2382" s="7" t="str">
        <f t="shared" si="4"/>
        <v>Neutral</v>
      </c>
      <c r="N2382" s="7" t="str">
        <f>IFERROR(__xludf.DUMMYFUNCTION("LOWER(
TRIM(
REGEXREPLACE(B2382,""[^a-zA-Z\s]"","""")
)
)
"),"judie")</f>
        <v>judie</v>
      </c>
      <c r="O2382" s="7">
        <f t="shared" si="5"/>
        <v>1</v>
      </c>
      <c r="P2382" s="8" t="str">
        <f t="shared" si="6"/>
        <v>No</v>
      </c>
    </row>
    <row r="2383">
      <c r="A2383" s="4" t="s">
        <v>16</v>
      </c>
      <c r="B2383" s="4" t="s">
        <v>6664</v>
      </c>
      <c r="C2383" s="9">
        <v>44689.0</v>
      </c>
      <c r="D2383" s="5">
        <v>44689.0</v>
      </c>
      <c r="E2383" s="4" t="s">
        <v>6665</v>
      </c>
      <c r="F2383" s="4" t="s">
        <v>6666</v>
      </c>
      <c r="G2383" s="6" t="str">
        <f>IFERROR(__xludf.DUMMYFUNCTION("REGEXREPLACE(LOWER(F2383),""[^a-z\s]"","""")"),"great transaction good price free delivery")</f>
        <v>great transaction good price free delivery</v>
      </c>
      <c r="H2383" s="4" t="str">
        <f t="shared" si="1"/>
        <v>great transaction good price free delivery</v>
      </c>
      <c r="I2383" s="6">
        <f t="shared" si="2"/>
        <v>6</v>
      </c>
      <c r="J2383" s="6">
        <f>IFERROR(__xludf.DUMMYFUNCTION("IF(H2383="""","""",
SUM(
ARRAYFORMULA(
IF(
REGEXMATCH(
"" ""&amp;H2383&amp;"" "",
"" ""&amp;Sentiment_Words!A$2:A3730&amp;"" ""
),
1,
0
)
)
)
)"),2.0)</f>
        <v>2</v>
      </c>
      <c r="K2383" s="4">
        <f>IFERROR(__xludf.DUMMYFUNCTION("IF(H2383="""","""",
SUM(
ARRAYFORMULA(
IF(
REGEXMATCH(
"" ""&amp;H2383&amp;"" "",
"" ""&amp;Sentiment_Words!B$2:B3730&amp;"" ""
),
1,
0
)
)
)
)"),0.0)</f>
        <v>0</v>
      </c>
      <c r="L2383" s="7" t="str">
        <f t="shared" si="3"/>
        <v>Other</v>
      </c>
      <c r="M2383" s="7" t="str">
        <f t="shared" si="4"/>
        <v>Positive</v>
      </c>
      <c r="N2383" s="7" t="str">
        <f>IFERROR(__xludf.DUMMYFUNCTION("LOWER(
TRIM(
REGEXREPLACE(B2383,""[^a-zA-Z\s]"","""")
)
)
"),"dana")</f>
        <v>dana</v>
      </c>
      <c r="O2383" s="7">
        <f t="shared" si="5"/>
        <v>1</v>
      </c>
      <c r="P2383" s="8" t="str">
        <f t="shared" si="6"/>
        <v>No</v>
      </c>
    </row>
    <row r="2384">
      <c r="A2384" s="4" t="s">
        <v>16</v>
      </c>
      <c r="B2384" s="4" t="s">
        <v>6667</v>
      </c>
      <c r="C2384" s="9">
        <v>44688.0</v>
      </c>
      <c r="D2384" s="5">
        <v>44689.0</v>
      </c>
      <c r="E2384" s="4" t="s">
        <v>6668</v>
      </c>
      <c r="F2384" s="4" t="s">
        <v>6669</v>
      </c>
      <c r="G2384" s="6" t="str">
        <f>IFERROR(__xludf.DUMMYFUNCTION("REGEXREPLACE(LOWER(F2384),""[^a-z\s]"","""")"),"quality communication and price")</f>
        <v>quality communication and price</v>
      </c>
      <c r="H2384" s="4" t="str">
        <f t="shared" si="1"/>
        <v>quality communication price</v>
      </c>
      <c r="I2384" s="6">
        <f t="shared" si="2"/>
        <v>3</v>
      </c>
      <c r="J2384" s="6">
        <f>IFERROR(__xludf.DUMMYFUNCTION("IF(H2384="""","""",
SUM(
ARRAYFORMULA(
IF(
REGEXMATCH(
"" ""&amp;H2384&amp;"" "",
"" ""&amp;Sentiment_Words!A$2:A3730&amp;"" ""
),
1,
0
)
)
)
)"),0.0)</f>
        <v>0</v>
      </c>
      <c r="K2384" s="4">
        <f>IFERROR(__xludf.DUMMYFUNCTION("IF(H2384="""","""",
SUM(
ARRAYFORMULA(
IF(
REGEXMATCH(
"" ""&amp;H2384&amp;"" "",
"" ""&amp;Sentiment_Words!B$2:B3730&amp;"" ""
),
1,
0
)
)
)
)"),0.0)</f>
        <v>0</v>
      </c>
      <c r="L2384" s="7" t="str">
        <f t="shared" si="3"/>
        <v>Other</v>
      </c>
      <c r="M2384" s="7" t="str">
        <f t="shared" si="4"/>
        <v>Neutral</v>
      </c>
      <c r="N2384" s="7" t="str">
        <f>IFERROR(__xludf.DUMMYFUNCTION("LOWER(
TRIM(
REGEXREPLACE(B2384,""[^a-zA-Z\s]"","""")
)
)
"),"jerry marshall")</f>
        <v>jerry marshall</v>
      </c>
      <c r="O2384" s="7">
        <f t="shared" si="5"/>
        <v>1</v>
      </c>
      <c r="P2384" s="8" t="str">
        <f t="shared" si="6"/>
        <v>No</v>
      </c>
    </row>
    <row r="2385">
      <c r="A2385" s="4" t="s">
        <v>16</v>
      </c>
      <c r="B2385" s="4" t="s">
        <v>6670</v>
      </c>
      <c r="C2385" s="9">
        <v>44688.0</v>
      </c>
      <c r="D2385" s="5">
        <v>44689.0</v>
      </c>
      <c r="E2385" s="4" t="s">
        <v>6671</v>
      </c>
      <c r="F2385" s="4" t="s">
        <v>6672</v>
      </c>
      <c r="G2385" s="6" t="str">
        <f>IFERROR(__xludf.DUMMYFUNCTION("REGEXREPLACE(LOWER(F2385),""[^a-z\s]"","""")"),"i have  cats two of them are eating special food for health issues it has been hard to find canned food especially proplan since the pandemic i have to search for cat food every week at the  pet stores in our area which is very stressful i was so glad tha"&amp;"t i found petflow on line so far they have had the flavors that i need and if they are out of stock i am notified when they are available shipping is pretty quick and i always know when im getting my delivery recently we found out that one of our cats has"&amp;" liver cancer with cancer in his lungs so that has been an added expense any way that we can save money on pet products right now really helps petflow is a little cheaper which helps tremendously i have emailed and called customer service at petflow they "&amp;"were very friendly and helpful both times petflow gets a star rating from me")</f>
        <v>i have  cats two of them are eating special food for health issues it has been hard to find canned food especially proplan since the pandemic i have to search for cat food every week at the  pet stores in our area which is very stressful i was so glad that i found petflow on line so far they have had the flavors that i need and if they are out of stock i am notified when they are available shipping is pretty quick and i always know when im getting my delivery recently we found out that one of our cats has liver cancer with cancer in his lungs so that has been an added expense any way that we can save money on pet products right now really helps petflow is a little cheaper which helps tremendously i have emailed and called customer service at petflow they were very friendly and helpful both times petflow gets a star rating from me</v>
      </c>
      <c r="H2385" s="4" t="str">
        <f t="shared" si="1"/>
        <v>i have cats two of them are eating special food health issues it has been hard find canned food especially proplan since pandemic i have search cat food every week at pet stores in our area which very stressful i was so glad that i found petflow on line so far they have had flavors that i need if they are out of stock i am notified when they are available shipping pretty quick i always know when im getting my delivery recently we found out that one of our cats has liver cancer with cancer in his lungs so that has been an added expense any way that we can save money on pet products right now really helps petflow a little cheaper which helps tremendously i have emailed called customer service at petflow they were very friendly helpful both times petflow gets a star rating from me</v>
      </c>
      <c r="I2385" s="6">
        <f t="shared" si="2"/>
        <v>149</v>
      </c>
      <c r="J2385" s="6">
        <f>IFERROR(__xludf.DUMMYFUNCTION("IF(H2385="""","""",
SUM(
ARRAYFORMULA(
IF(
REGEXMATCH(
"" ""&amp;H2385&amp;"" "",
"" ""&amp;Sentiment_Words!A$2:A3730&amp;"" ""
),
1,
0
)
)
)
)"),4.0)</f>
        <v>4</v>
      </c>
      <c r="K2385" s="4">
        <f>IFERROR(__xludf.DUMMYFUNCTION("IF(H2385="""","""",
SUM(
ARRAYFORMULA(
IF(
REGEXMATCH(
"" ""&amp;H2385&amp;"" "",
"" ""&amp;Sentiment_Words!B$2:B3730&amp;"" ""
),
1,
0
)
)
)
)"),2.0)</f>
        <v>2</v>
      </c>
      <c r="L2385" s="7" t="str">
        <f t="shared" si="3"/>
        <v>Customer Support</v>
      </c>
      <c r="M2385" s="7" t="str">
        <f t="shared" si="4"/>
        <v>Positive</v>
      </c>
      <c r="N2385" s="7" t="str">
        <f>IFERROR(__xludf.DUMMYFUNCTION("LOWER(
TRIM(
REGEXREPLACE(B2385,""[^a-zA-Z\s]"","""")
)
)
"),"stephen addo jr")</f>
        <v>stephen addo jr</v>
      </c>
      <c r="O2385" s="7">
        <f t="shared" si="5"/>
        <v>1</v>
      </c>
      <c r="P2385" s="8" t="str">
        <f t="shared" si="6"/>
        <v>No</v>
      </c>
    </row>
    <row r="2386">
      <c r="A2386" s="4" t="s">
        <v>16</v>
      </c>
      <c r="B2386" s="4" t="s">
        <v>6673</v>
      </c>
      <c r="C2386" s="9">
        <v>44688.0</v>
      </c>
      <c r="D2386" s="5">
        <v>44688.0</v>
      </c>
      <c r="E2386" s="4" t="s">
        <v>6674</v>
      </c>
      <c r="F2386" s="4" t="s">
        <v>6675</v>
      </c>
      <c r="G2386" s="6" t="str">
        <f>IFERROR(__xludf.DUMMYFUNCTION("REGEXREPLACE(LOWER(F2386),""[^a-z\s]"","""")"),"when i had a problem you fixed it fast ty")</f>
        <v>when i had a problem you fixed it fast ty</v>
      </c>
      <c r="H2386" s="4" t="str">
        <f t="shared" si="1"/>
        <v>when i had a problem you fixed it fast ty</v>
      </c>
      <c r="I2386" s="6">
        <f t="shared" si="2"/>
        <v>10</v>
      </c>
      <c r="J2386" s="6">
        <f>IFERROR(__xludf.DUMMYFUNCTION("IF(H2386="""","""",
SUM(
ARRAYFORMULA(
IF(
REGEXMATCH(
"" ""&amp;H2386&amp;"" "",
"" ""&amp;Sentiment_Words!A$2:A3730&amp;"" ""
),
1,
0
)
)
)
)"),1.0)</f>
        <v>1</v>
      </c>
      <c r="K2386" s="4">
        <f>IFERROR(__xludf.DUMMYFUNCTION("IF(H2386="""","""",
SUM(
ARRAYFORMULA(
IF(
REGEXMATCH(
"" ""&amp;H2386&amp;"" "",
"" ""&amp;Sentiment_Words!B$2:B3730&amp;"" ""
),
1,
0
)
)
)
)"),1.0)</f>
        <v>1</v>
      </c>
      <c r="L2386" s="7" t="str">
        <f t="shared" si="3"/>
        <v>Other</v>
      </c>
      <c r="M2386" s="7" t="str">
        <f t="shared" si="4"/>
        <v>Neutral</v>
      </c>
      <c r="N2386" s="7" t="str">
        <f>IFERROR(__xludf.DUMMYFUNCTION("LOWER(
TRIM(
REGEXREPLACE(B2386,""[^a-zA-Z\s]"","""")
)
)
"),"stow cat mom")</f>
        <v>stow cat mom</v>
      </c>
      <c r="O2386" s="7">
        <f t="shared" si="5"/>
        <v>1</v>
      </c>
      <c r="P2386" s="8" t="str">
        <f t="shared" si="6"/>
        <v>No</v>
      </c>
    </row>
    <row r="2387">
      <c r="A2387" s="4" t="s">
        <v>16</v>
      </c>
      <c r="B2387" s="4" t="s">
        <v>6676</v>
      </c>
      <c r="C2387" s="9">
        <v>44688.0</v>
      </c>
      <c r="D2387" s="5">
        <v>44688.0</v>
      </c>
      <c r="E2387" s="4" t="s">
        <v>6677</v>
      </c>
      <c r="F2387" s="4" t="s">
        <v>6678</v>
      </c>
      <c r="G2387" s="6" t="str">
        <f>IFERROR(__xludf.DUMMYFUNCTION("REGEXREPLACE(LOWER(F2387),""[^a-z\s]"","""")"),"i buy birdseed in  lb quantities theseed quality is excellent the mixes are well balanced and the seed is fresh and viable so i am able to germinate some to use as soft food to my birds the price was reasonable when so many others are using inflation as a"&amp;"n excuse for profiteering it was shipped quickly it would be helpful if it could be shipped by another method than fedex because of their horrible work ethics where they shove the packages out in the mud but because i knew when to expect delivery i was ab"&amp;"le to lie in wait for the truck and prevent this i would look here the next time i need to buy seed")</f>
        <v>i buy birdseed in  lb quantities theseed quality is excellent the mixes are well balanced and the seed is fresh and viable so i am able to germinate some to use as soft food to my birds the price was reasonable when so many others are using inflation as an excuse for profiteering it was shipped quickly it would be helpful if it could be shipped by another method than fedex because of their horrible work ethics where they shove the packages out in the mud but because i knew when to expect delivery i was able to lie in wait for the truck and prevent this i would look here the next time i need to buy seed</v>
      </c>
      <c r="H2387" s="4" t="str">
        <f t="shared" si="1"/>
        <v>i buy birdseed in lb quantities theseed quality excellent mixes are well balanced seed fresh viable so i am able germinate some use as soft food my birds price was reasonable when so many others are using inflation as an excuse profiteering it was shipped quickly it would be helpful if it could be shipped by another method than fedex because of their horrible work ethics where they shove packages out in mud but because i knew when expect delivery i was able lie in wait truck prevent this i would look here next time i need buy seed</v>
      </c>
      <c r="I2387" s="6">
        <f t="shared" si="2"/>
        <v>99</v>
      </c>
      <c r="J2387" s="6">
        <f>IFERROR(__xludf.DUMMYFUNCTION("IF(H2387="""","""",
SUM(
ARRAYFORMULA(
IF(
REGEXMATCH(
"" ""&amp;H2387&amp;"" "",
"" ""&amp;Sentiment_Words!A$2:A3730&amp;"" ""
),
1,
0
)
)
)
)"),3.0)</f>
        <v>3</v>
      </c>
      <c r="K2387" s="4">
        <f>IFERROR(__xludf.DUMMYFUNCTION("IF(H2387="""","""",
SUM(
ARRAYFORMULA(
IF(
REGEXMATCH(
"" ""&amp;H2387&amp;"" "",
"" ""&amp;Sentiment_Words!B$2:B3730&amp;"" ""
),
1,
0
)
)
)
)"),0.0)</f>
        <v>0</v>
      </c>
      <c r="L2387" s="7" t="str">
        <f t="shared" si="3"/>
        <v>Other</v>
      </c>
      <c r="M2387" s="7" t="str">
        <f t="shared" si="4"/>
        <v>Positive</v>
      </c>
      <c r="N2387" s="7" t="str">
        <f>IFERROR(__xludf.DUMMYFUNCTION("LOWER(
TRIM(
REGEXREPLACE(B2387,""[^a-zA-Z\s]"","""")
)
)
"),"azkas")</f>
        <v>azkas</v>
      </c>
      <c r="O2387" s="7">
        <f t="shared" si="5"/>
        <v>1</v>
      </c>
      <c r="P2387" s="8" t="str">
        <f t="shared" si="6"/>
        <v>No</v>
      </c>
    </row>
    <row r="2388">
      <c r="A2388" s="4" t="s">
        <v>16</v>
      </c>
      <c r="B2388" s="4" t="s">
        <v>6679</v>
      </c>
      <c r="C2388" s="9">
        <v>44688.0</v>
      </c>
      <c r="D2388" s="5">
        <v>44688.0</v>
      </c>
      <c r="E2388" s="4" t="s">
        <v>6680</v>
      </c>
      <c r="F2388" s="4" t="s">
        <v>6681</v>
      </c>
      <c r="G2388" s="6" t="str">
        <f>IFERROR(__xludf.DUMMYFUNCTION("REGEXREPLACE(LOWER(F2388),""[^a-z\s]"","""")"),"ive always had a great experience w petflow i even found a better deal at another site and wanted to cancel my auto ship the customer service rep gave me a discount instead and i kept my auto ship active and its still active today excellent customer reten"&amp;"tion and greatly appreciated i didnt want to cancel bc i love the convenience and service")</f>
        <v>ive always had a great experience w petflow i even found a better deal at another site and wanted to cancel my auto ship the customer service rep gave me a discount instead and i kept my auto ship active and its still active today excellent customer retention and greatly appreciated i didnt want to cancel bc i love the convenience and service</v>
      </c>
      <c r="H2388" s="4" t="str">
        <f t="shared" si="1"/>
        <v>ive always had a great experience w petflow i even found a better deal at another site wanted cancel my auto ship customer service rep gave me a discount instead i kept my auto ship active its still active today excellent customer retention greatly appreciated i didnt want cancel bc i love convenience service</v>
      </c>
      <c r="I2388" s="6">
        <f t="shared" si="2"/>
        <v>54</v>
      </c>
      <c r="J2388" s="6">
        <f>IFERROR(__xludf.DUMMYFUNCTION("IF(H2388="""","""",
SUM(
ARRAYFORMULA(
IF(
REGEXMATCH(
"" ""&amp;H2388&amp;"" "",
"" ""&amp;Sentiment_Words!A$2:A3730&amp;"" ""
),
1,
0
)
)
)
)"),4.0)</f>
        <v>4</v>
      </c>
      <c r="K2388" s="4">
        <f>IFERROR(__xludf.DUMMYFUNCTION("IF(H2388="""","""",
SUM(
ARRAYFORMULA(
IF(
REGEXMATCH(
"" ""&amp;H2388&amp;"" "",
"" ""&amp;Sentiment_Words!B$2:B3730&amp;"" ""
),
1,
0
)
)
)
)"),1.0)</f>
        <v>1</v>
      </c>
      <c r="L2388" s="7" t="str">
        <f t="shared" si="3"/>
        <v>Customer Support</v>
      </c>
      <c r="M2388" s="7" t="str">
        <f t="shared" si="4"/>
        <v>Positive</v>
      </c>
      <c r="N2388" s="7" t="str">
        <f>IFERROR(__xludf.DUMMYFUNCTION("LOWER(
TRIM(
REGEXREPLACE(B2388,""[^a-zA-Z\s]"","""")
)
)
"),"coop")</f>
        <v>coop</v>
      </c>
      <c r="O2388" s="7">
        <f t="shared" si="5"/>
        <v>1</v>
      </c>
      <c r="P2388" s="8" t="str">
        <f t="shared" si="6"/>
        <v>No</v>
      </c>
    </row>
    <row r="2389">
      <c r="A2389" s="4" t="s">
        <v>16</v>
      </c>
      <c r="B2389" s="4" t="s">
        <v>6682</v>
      </c>
      <c r="C2389" s="9">
        <v>44688.0</v>
      </c>
      <c r="D2389" s="5">
        <v>44688.0</v>
      </c>
      <c r="E2389" s="4" t="s">
        <v>6683</v>
      </c>
      <c r="F2389" s="4" t="s">
        <v>6684</v>
      </c>
      <c r="G2389" s="6" t="str">
        <f>IFERROR(__xludf.DUMMYFUNCTION("REGEXREPLACE(LOWER(F2389),""[^a-z\s]"","""")"),"only place i could get this hills formula dry food for my cat my cat is fussy and wont eat other dry foods")</f>
        <v>only place i could get this hills formula dry food for my cat my cat is fussy and wont eat other dry foods</v>
      </c>
      <c r="H2389" s="4" t="str">
        <f t="shared" si="1"/>
        <v>only place i could get this hills formula dry food my cat my cat fussy wont eat other dry foods</v>
      </c>
      <c r="I2389" s="6">
        <f t="shared" si="2"/>
        <v>20</v>
      </c>
      <c r="J2389" s="6">
        <f>IFERROR(__xludf.DUMMYFUNCTION("IF(H2389="""","""",
SUM(
ARRAYFORMULA(
IF(
REGEXMATCH(
"" ""&amp;H2389&amp;"" "",
"" ""&amp;Sentiment_Words!A$2:A3730&amp;"" ""
),
1,
0
)
)
)
)"),0.0)</f>
        <v>0</v>
      </c>
      <c r="K2389" s="4">
        <f>IFERROR(__xludf.DUMMYFUNCTION("IF(H2389="""","""",
SUM(
ARRAYFORMULA(
IF(
REGEXMATCH(
"" ""&amp;H2389&amp;"" "",
"" ""&amp;Sentiment_Words!B$2:B3730&amp;"" ""
),
1,
0
)
)
)
)"),0.0)</f>
        <v>0</v>
      </c>
      <c r="L2389" s="7" t="str">
        <f t="shared" si="3"/>
        <v>Other</v>
      </c>
      <c r="M2389" s="7" t="str">
        <f t="shared" si="4"/>
        <v>Neutral</v>
      </c>
      <c r="N2389" s="7" t="str">
        <f>IFERROR(__xludf.DUMMYFUNCTION("LOWER(
TRIM(
REGEXREPLACE(B2389,""[^a-zA-Z\s]"","""")
)
)
"),"jill eagles")</f>
        <v>jill eagles</v>
      </c>
      <c r="O2389" s="7">
        <f t="shared" si="5"/>
        <v>1</v>
      </c>
      <c r="P2389" s="8" t="str">
        <f t="shared" si="6"/>
        <v>No</v>
      </c>
    </row>
    <row r="2390">
      <c r="A2390" s="4" t="s">
        <v>16</v>
      </c>
      <c r="B2390" s="4" t="s">
        <v>6685</v>
      </c>
      <c r="C2390" s="9">
        <v>44688.0</v>
      </c>
      <c r="D2390" s="5">
        <v>44688.0</v>
      </c>
      <c r="E2390" s="4" t="s">
        <v>6686</v>
      </c>
      <c r="F2390" s="4" t="s">
        <v>6687</v>
      </c>
      <c r="G2390" s="6" t="str">
        <f>IFERROR(__xludf.DUMMYFUNCTION("REGEXREPLACE(LOWER(F2390),""[^a-z\s]"","""")"),"petflow customer service agents are efficient yet courteous the company clearly embraces the concept of the customer is always right ive been using this service for five years and have always been pleased")</f>
        <v>petflow customer service agents are efficient yet courteous the company clearly embraces the concept of the customer is always right ive been using this service for five years and have always been pleased</v>
      </c>
      <c r="H2390" s="4" t="str">
        <f t="shared" si="1"/>
        <v>petflow customer service agents are efficient yet courteous company clearly embraces concept of customer always right ive been using this service five years have always been pleased</v>
      </c>
      <c r="I2390" s="6">
        <f t="shared" si="2"/>
        <v>27</v>
      </c>
      <c r="J2390" s="6">
        <f>IFERROR(__xludf.DUMMYFUNCTION("IF(H2390="""","""",
SUM(
ARRAYFORMULA(
IF(
REGEXMATCH(
"" ""&amp;H2390&amp;"" "",
"" ""&amp;Sentiment_Words!A$2:A3730&amp;"" ""
),
1,
0
)
)
)
)"),2.0)</f>
        <v>2</v>
      </c>
      <c r="K2390" s="4">
        <f>IFERROR(__xludf.DUMMYFUNCTION("IF(H2390="""","""",
SUM(
ARRAYFORMULA(
IF(
REGEXMATCH(
"" ""&amp;H2390&amp;"" "",
"" ""&amp;Sentiment_Words!B$2:B3730&amp;"" ""
),
1,
0
)
)
)
)"),1.0)</f>
        <v>1</v>
      </c>
      <c r="L2390" s="7" t="str">
        <f t="shared" si="3"/>
        <v>Customer Support</v>
      </c>
      <c r="M2390" s="7" t="str">
        <f t="shared" si="4"/>
        <v>Positive</v>
      </c>
      <c r="N2390" s="7" t="str">
        <f>IFERROR(__xludf.DUMMYFUNCTION("LOWER(
TRIM(
REGEXREPLACE(B2390,""[^a-zA-Z\s]"","""")
)
)
"),"cecelia roman")</f>
        <v>cecelia roman</v>
      </c>
      <c r="O2390" s="7">
        <f t="shared" si="5"/>
        <v>1</v>
      </c>
      <c r="P2390" s="8" t="str">
        <f t="shared" si="6"/>
        <v>No</v>
      </c>
    </row>
    <row r="2391">
      <c r="A2391" s="4" t="s">
        <v>16</v>
      </c>
      <c r="B2391" s="4" t="s">
        <v>6688</v>
      </c>
      <c r="C2391" s="9">
        <v>44688.0</v>
      </c>
      <c r="D2391" s="5">
        <v>44688.0</v>
      </c>
      <c r="E2391" s="4" t="s">
        <v>6689</v>
      </c>
      <c r="F2391" s="4" t="s">
        <v>6690</v>
      </c>
      <c r="G2391" s="6" t="str">
        <f>IFERROR(__xludf.DUMMYFUNCTION("REGEXREPLACE(LOWER(F2391),""[^a-z\s]"","""")"),"service and customer service is excellent")</f>
        <v>service and customer service is excellent</v>
      </c>
      <c r="H2391" s="4" t="str">
        <f t="shared" si="1"/>
        <v>service customer service excellent</v>
      </c>
      <c r="I2391" s="6">
        <f t="shared" si="2"/>
        <v>4</v>
      </c>
      <c r="J2391" s="6">
        <f>IFERROR(__xludf.DUMMYFUNCTION("IF(H2391="""","""",
SUM(
ARRAYFORMULA(
IF(
REGEXMATCH(
"" ""&amp;H2391&amp;"" "",
"" ""&amp;Sentiment_Words!A$2:A3730&amp;"" ""
),
1,
0
)
)
)
)"),0.0)</f>
        <v>0</v>
      </c>
      <c r="K2391" s="4">
        <f>IFERROR(__xludf.DUMMYFUNCTION("IF(H2391="""","""",
SUM(
ARRAYFORMULA(
IF(
REGEXMATCH(
"" ""&amp;H2391&amp;"" "",
"" ""&amp;Sentiment_Words!B$2:B3730&amp;"" ""
),
1,
0
)
)
)
)"),1.0)</f>
        <v>1</v>
      </c>
      <c r="L2391" s="7" t="str">
        <f t="shared" si="3"/>
        <v>Customer Support</v>
      </c>
      <c r="M2391" s="7" t="str">
        <f t="shared" si="4"/>
        <v>Negative</v>
      </c>
      <c r="N2391" s="7" t="str">
        <f>IFERROR(__xludf.DUMMYFUNCTION("LOWER(
TRIM(
REGEXREPLACE(B2391,""[^a-zA-Z\s]"","""")
)
)
"),"bradley smith")</f>
        <v>bradley smith</v>
      </c>
      <c r="O2391" s="7">
        <f t="shared" si="5"/>
        <v>1</v>
      </c>
      <c r="P2391" s="8" t="str">
        <f t="shared" si="6"/>
        <v>No</v>
      </c>
    </row>
    <row r="2392">
      <c r="A2392" s="4" t="s">
        <v>16</v>
      </c>
      <c r="B2392" s="4" t="s">
        <v>6691</v>
      </c>
      <c r="C2392" s="9">
        <v>44688.0</v>
      </c>
      <c r="D2392" s="5">
        <v>44688.0</v>
      </c>
      <c r="E2392" s="4" t="s">
        <v>6692</v>
      </c>
      <c r="F2392" s="4" t="s">
        <v>6693</v>
      </c>
      <c r="G2392" s="6" t="str">
        <f>IFERROR(__xludf.DUMMYFUNCTION("REGEXREPLACE(LOWER(F2392),""[^a-z\s]"","""")"),"this was my first time purchasing from this company i attempted to purchase  items of the  items that i ordered i only received  those  items that i did not receive  were charged to my credit card and then i was notified after the fact that these items we"&amp;"re out of stock and that my credit card would be refunded this is not the way to treat a customer pull the products first then bill the credit card not the other way around")</f>
        <v>this was my first time purchasing from this company i attempted to purchase  items of the  items that i ordered i only received  those  items that i did not receive  were charged to my credit card and then i was notified after the fact that these items were out of stock and that my credit card would be refunded this is not the way to treat a customer pull the products first then bill the credit card not the other way around</v>
      </c>
      <c r="H2392" s="4" t="str">
        <f t="shared" si="1"/>
        <v>this was my first time purchasing from this company i attempted purchase items of items that i ordered i only received those items that i did not receive were charged my credit card then i was notified after fact that these items were out of stock that my credit card would be refunded this not way treat a customer pull products first then bill credit card not other way around</v>
      </c>
      <c r="I2392" s="6">
        <f t="shared" si="2"/>
        <v>70</v>
      </c>
      <c r="J2392" s="6">
        <f>IFERROR(__xludf.DUMMYFUNCTION("IF(H2392="""","""",
SUM(
ARRAYFORMULA(
IF(
REGEXMATCH(
"" ""&amp;H2392&amp;"" "",
"" ""&amp;Sentiment_Words!A$2:A3730&amp;"" ""
),
1,
0
)
)
)
)"),0.0)</f>
        <v>0</v>
      </c>
      <c r="K2392" s="4">
        <f>IFERROR(__xludf.DUMMYFUNCTION("IF(H2392="""","""",
SUM(
ARRAYFORMULA(
IF(
REGEXMATCH(
"" ""&amp;H2392&amp;"" "",
"" ""&amp;Sentiment_Words!B$2:B3730&amp;"" ""
),
1,
0
)
)
)
)"),1.0)</f>
        <v>1</v>
      </c>
      <c r="L2392" s="7" t="str">
        <f t="shared" si="3"/>
        <v>Availability</v>
      </c>
      <c r="M2392" s="7" t="str">
        <f t="shared" si="4"/>
        <v>Negative</v>
      </c>
      <c r="N2392" s="7" t="str">
        <f>IFERROR(__xludf.DUMMYFUNCTION("LOWER(
TRIM(
REGEXREPLACE(B2392,""[^a-zA-Z\s]"","""")
)
)
"),"lp")</f>
        <v>lp</v>
      </c>
      <c r="O2392" s="7">
        <f t="shared" si="5"/>
        <v>1</v>
      </c>
      <c r="P2392" s="8" t="str">
        <f t="shared" si="6"/>
        <v>No</v>
      </c>
    </row>
    <row r="2393">
      <c r="A2393" s="4" t="s">
        <v>16</v>
      </c>
      <c r="B2393" s="4" t="s">
        <v>6694</v>
      </c>
      <c r="C2393" s="9">
        <v>44687.0</v>
      </c>
      <c r="D2393" s="5">
        <v>44688.0</v>
      </c>
      <c r="E2393" s="4" t="s">
        <v>6695</v>
      </c>
      <c r="F2393" s="4" t="s">
        <v>6696</v>
      </c>
      <c r="G2393" s="6" t="str">
        <f>IFERROR(__xludf.DUMMYFUNCTION("REGEXREPLACE(LOWER(F2393),""[^a-z\s]"","""")"),"easy to order online  customer service is quick to respond  resolve any issues will order again")</f>
        <v>easy to order online  customer service is quick to respond  resolve any issues will order again</v>
      </c>
      <c r="H2393" s="4" t="str">
        <f t="shared" si="1"/>
        <v>easy order online customer service quick respond resolve any issues will order again</v>
      </c>
      <c r="I2393" s="6">
        <f t="shared" si="2"/>
        <v>13</v>
      </c>
      <c r="J2393" s="6">
        <f>IFERROR(__xludf.DUMMYFUNCTION("IF(H2393="""","""",
SUM(
ARRAYFORMULA(
IF(
REGEXMATCH(
"" ""&amp;H2393&amp;"" "",
"" ""&amp;Sentiment_Words!A$2:A3730&amp;"" ""
),
1,
0
)
)
)
)"),1.0)</f>
        <v>1</v>
      </c>
      <c r="K2393" s="4">
        <f>IFERROR(__xludf.DUMMYFUNCTION("IF(H2393="""","""",
SUM(
ARRAYFORMULA(
IF(
REGEXMATCH(
"" ""&amp;H2393&amp;"" "",
"" ""&amp;Sentiment_Words!B$2:B3730&amp;"" ""
),
1,
0
)
)
)
)"),1.0)</f>
        <v>1</v>
      </c>
      <c r="L2393" s="7" t="str">
        <f t="shared" si="3"/>
        <v>Customer Support</v>
      </c>
      <c r="M2393" s="7" t="str">
        <f t="shared" si="4"/>
        <v>Neutral</v>
      </c>
      <c r="N2393" s="7" t="str">
        <f>IFERROR(__xludf.DUMMYFUNCTION("LOWER(
TRIM(
REGEXREPLACE(B2393,""[^a-zA-Z\s]"","""")
)
)
"),"wendy raposa")</f>
        <v>wendy raposa</v>
      </c>
      <c r="O2393" s="7">
        <f t="shared" si="5"/>
        <v>1</v>
      </c>
      <c r="P2393" s="8" t="str">
        <f t="shared" si="6"/>
        <v>No</v>
      </c>
    </row>
    <row r="2394">
      <c r="A2394" s="4" t="s">
        <v>16</v>
      </c>
      <c r="B2394" s="4" t="s">
        <v>6697</v>
      </c>
      <c r="C2394" s="9">
        <v>44687.0</v>
      </c>
      <c r="D2394" s="5">
        <v>44687.0</v>
      </c>
      <c r="E2394" s="4" t="s">
        <v>6698</v>
      </c>
      <c r="F2394" s="4" t="s">
        <v>6699</v>
      </c>
      <c r="G2394" s="6" t="str">
        <f>IFERROR(__xludf.DUMMYFUNCTION("REGEXREPLACE(LOWER(F2394),""[^a-z\s]"","""")"),"i love petflow much better than chewy")</f>
        <v>i love petflow much better than chewy</v>
      </c>
      <c r="H2394" s="4" t="str">
        <f t="shared" si="1"/>
        <v>i love petflow much better than chewy</v>
      </c>
      <c r="I2394" s="6">
        <f t="shared" si="2"/>
        <v>7</v>
      </c>
      <c r="J2394" s="6">
        <f>IFERROR(__xludf.DUMMYFUNCTION("IF(H2394="""","""",
SUM(
ARRAYFORMULA(
IF(
REGEXMATCH(
"" ""&amp;H2394&amp;"" "",
"" ""&amp;Sentiment_Words!A$2:A3730&amp;"" ""
),
1,
0
)
)
)
)"),1.0)</f>
        <v>1</v>
      </c>
      <c r="K2394" s="4">
        <f>IFERROR(__xludf.DUMMYFUNCTION("IF(H2394="""","""",
SUM(
ARRAYFORMULA(
IF(
REGEXMATCH(
"" ""&amp;H2394&amp;"" "",
"" ""&amp;Sentiment_Words!B$2:B3730&amp;"" ""
),
1,
0
)
)
)
)"),0.0)</f>
        <v>0</v>
      </c>
      <c r="L2394" s="7" t="str">
        <f t="shared" si="3"/>
        <v>Other</v>
      </c>
      <c r="M2394" s="7" t="str">
        <f t="shared" si="4"/>
        <v>Positive</v>
      </c>
      <c r="N2394" s="7" t="str">
        <f>IFERROR(__xludf.DUMMYFUNCTION("LOWER(
TRIM(
REGEXREPLACE(B2394,""[^a-zA-Z\s]"","""")
)
)
"),"kari gorzny")</f>
        <v>kari gorzny</v>
      </c>
      <c r="O2394" s="7">
        <f t="shared" si="5"/>
        <v>1</v>
      </c>
      <c r="P2394" s="8" t="str">
        <f t="shared" si="6"/>
        <v>No</v>
      </c>
    </row>
    <row r="2395">
      <c r="A2395" s="4" t="s">
        <v>16</v>
      </c>
      <c r="B2395" s="4" t="s">
        <v>6700</v>
      </c>
      <c r="C2395" s="9">
        <v>44687.0</v>
      </c>
      <c r="D2395" s="5">
        <v>44687.0</v>
      </c>
      <c r="E2395" s="4" t="s">
        <v>4876</v>
      </c>
      <c r="F2395" s="4" t="s">
        <v>6701</v>
      </c>
      <c r="G2395" s="6" t="str">
        <f>IFERROR(__xludf.DUMMYFUNCTION("REGEXREPLACE(LOWER(F2395),""[^a-z\s]"","""")"),"the ease of changing or adding to existing orders could be just a little easier its muchimproved from what it used to be for sure but it still takes far too long to setup an order for autoship make it easy and more efficient please")</f>
        <v>the ease of changing or adding to existing orders could be just a little easier its muchimproved from what it used to be for sure but it still takes far too long to setup an order for autoship make it easy and more efficient please</v>
      </c>
      <c r="H2395" s="4" t="str">
        <f t="shared" si="1"/>
        <v>ease of changing or adding existing orders could be just a little easier its muchimproved from what it used be sure but it still takes far too long setup an order autoship make it easy more efficient please</v>
      </c>
      <c r="I2395" s="6">
        <f t="shared" si="2"/>
        <v>38</v>
      </c>
      <c r="J2395" s="6">
        <f>IFERROR(__xludf.DUMMYFUNCTION("IF(H2395="""","""",
SUM(
ARRAYFORMULA(
IF(
REGEXMATCH(
"" ""&amp;H2395&amp;"" "",
"" ""&amp;Sentiment_Words!A$2:A3730&amp;"" ""
),
1,
0
)
)
)
)"),2.0)</f>
        <v>2</v>
      </c>
      <c r="K2395" s="4">
        <f>IFERROR(__xludf.DUMMYFUNCTION("IF(H2395="""","""",
SUM(
ARRAYFORMULA(
IF(
REGEXMATCH(
"" ""&amp;H2395&amp;"" "",
"" ""&amp;Sentiment_Words!B$2:B3730&amp;"" ""
),
1,
0
)
)
)
)"),0.0)</f>
        <v>0</v>
      </c>
      <c r="L2395" s="7" t="str">
        <f t="shared" si="3"/>
        <v>Other</v>
      </c>
      <c r="M2395" s="7" t="str">
        <f t="shared" si="4"/>
        <v>Positive</v>
      </c>
      <c r="N2395" s="7" t="str">
        <f>IFERROR(__xludf.DUMMYFUNCTION("LOWER(
TRIM(
REGEXREPLACE(B2395,""[^a-zA-Z\s]"","""")
)
)
"),"k hechinger")</f>
        <v>k hechinger</v>
      </c>
      <c r="O2395" s="7">
        <f t="shared" si="5"/>
        <v>1</v>
      </c>
      <c r="P2395" s="8" t="str">
        <f t="shared" si="6"/>
        <v>No</v>
      </c>
    </row>
    <row r="2396">
      <c r="A2396" s="4" t="s">
        <v>16</v>
      </c>
      <c r="B2396" s="4" t="s">
        <v>6702</v>
      </c>
      <c r="C2396" s="9">
        <v>44687.0</v>
      </c>
      <c r="D2396" s="5">
        <v>44687.0</v>
      </c>
      <c r="E2396" s="4" t="s">
        <v>6703</v>
      </c>
      <c r="F2396" s="4" t="s">
        <v>6704</v>
      </c>
      <c r="G2396" s="6" t="str">
        <f>IFERROR(__xludf.DUMMYFUNCTION("REGEXREPLACE(LOWER(F2396),""[^a-z\s]"","""")"),"every order is fulfilled quickly and accurately and then shipped really fast i love petflow")</f>
        <v>every order is fulfilled quickly and accurately and then shipped really fast i love petflow</v>
      </c>
      <c r="H2396" s="4" t="str">
        <f t="shared" si="1"/>
        <v>every order fulfilled quickly accurately then shipped really fast i love petflow</v>
      </c>
      <c r="I2396" s="6">
        <f t="shared" si="2"/>
        <v>12</v>
      </c>
      <c r="J2396" s="6">
        <f>IFERROR(__xludf.DUMMYFUNCTION("IF(H2396="""","""",
SUM(
ARRAYFORMULA(
IF(
REGEXMATCH(
"" ""&amp;H2396&amp;"" "",
"" ""&amp;Sentiment_Words!A$2:A3730&amp;"" ""
),
1,
0
)
)
)
)"),2.0)</f>
        <v>2</v>
      </c>
      <c r="K2396" s="4">
        <f>IFERROR(__xludf.DUMMYFUNCTION("IF(H2396="""","""",
SUM(
ARRAYFORMULA(
IF(
REGEXMATCH(
"" ""&amp;H2396&amp;"" "",
"" ""&amp;Sentiment_Words!B$2:B3730&amp;"" ""
),
1,
0
)
)
)
)"),0.0)</f>
        <v>0</v>
      </c>
      <c r="L2396" s="7" t="str">
        <f t="shared" si="3"/>
        <v>Other</v>
      </c>
      <c r="M2396" s="7" t="str">
        <f t="shared" si="4"/>
        <v>Positive</v>
      </c>
      <c r="N2396" s="7" t="str">
        <f>IFERROR(__xludf.DUMMYFUNCTION("LOWER(
TRIM(
REGEXREPLACE(B2396,""[^a-zA-Z\s]"","""")
)
)
"),"maggie c")</f>
        <v>maggie c</v>
      </c>
      <c r="O2396" s="7">
        <f t="shared" si="5"/>
        <v>1</v>
      </c>
      <c r="P2396" s="8" t="str">
        <f t="shared" si="6"/>
        <v>No</v>
      </c>
    </row>
    <row r="2397">
      <c r="A2397" s="4" t="s">
        <v>16</v>
      </c>
      <c r="B2397" s="4" t="s">
        <v>252</v>
      </c>
      <c r="C2397" s="9">
        <v>44686.0</v>
      </c>
      <c r="D2397" s="5">
        <v>44687.0</v>
      </c>
      <c r="E2397" s="4" t="s">
        <v>6705</v>
      </c>
      <c r="F2397" s="4" t="s">
        <v>331</v>
      </c>
      <c r="G2397" s="6" t="str">
        <f>IFERROR(__xludf.DUMMYFUNCTION("REGEXREPLACE(LOWER(F2397),""[^a-z\s]"","""")"),"none")</f>
        <v>none</v>
      </c>
      <c r="H2397" s="4" t="str">
        <f t="shared" si="1"/>
        <v>none</v>
      </c>
      <c r="I2397" s="6">
        <f t="shared" si="2"/>
        <v>1</v>
      </c>
      <c r="J2397" s="6">
        <f>IFERROR(__xludf.DUMMYFUNCTION("IF(H2397="""","""",
SUM(
ARRAYFORMULA(
IF(
REGEXMATCH(
"" ""&amp;H2397&amp;"" "",
"" ""&amp;Sentiment_Words!A$2:A3730&amp;"" ""
),
1,
0
)
)
)
)"),0.0)</f>
        <v>0</v>
      </c>
      <c r="K2397" s="4">
        <f>IFERROR(__xludf.DUMMYFUNCTION("IF(H2397="""","""",
SUM(
ARRAYFORMULA(
IF(
REGEXMATCH(
"" ""&amp;H2397&amp;"" "",
"" ""&amp;Sentiment_Words!B$2:B3730&amp;"" ""
),
1,
0
)
)
)
)"),0.0)</f>
        <v>0</v>
      </c>
      <c r="L2397" s="7" t="str">
        <f t="shared" si="3"/>
        <v>Other</v>
      </c>
      <c r="M2397" s="7" t="str">
        <f t="shared" si="4"/>
        <v>Neutral</v>
      </c>
      <c r="N2397" s="7" t="str">
        <f>IFERROR(__xludf.DUMMYFUNCTION("LOWER(
TRIM(
REGEXREPLACE(B2397,""[^a-zA-Z\s]"","""")
)
)
"),"lisa")</f>
        <v>lisa</v>
      </c>
      <c r="O2397" s="7">
        <f t="shared" si="5"/>
        <v>8</v>
      </c>
      <c r="P2397" s="8" t="str">
        <f t="shared" si="6"/>
        <v>Yes</v>
      </c>
    </row>
    <row r="2398">
      <c r="A2398" s="4" t="s">
        <v>16</v>
      </c>
      <c r="B2398" s="4" t="s">
        <v>6706</v>
      </c>
      <c r="C2398" s="9">
        <v>44686.0</v>
      </c>
      <c r="D2398" s="5">
        <v>44687.0</v>
      </c>
      <c r="E2398" s="4" t="s">
        <v>6707</v>
      </c>
      <c r="F2398" s="4" t="s">
        <v>6708</v>
      </c>
      <c r="G2398" s="6" t="str">
        <f>IFERROR(__xludf.DUMMYFUNCTION("REGEXREPLACE(LOWER(F2398),""[^a-z\s]"","""")"),"was very disappointed with shipping time for this order and delivery information was delayed twice")</f>
        <v>was very disappointed with shipping time for this order and delivery information was delayed twice</v>
      </c>
      <c r="H2398" s="4" t="str">
        <f t="shared" si="1"/>
        <v>was very disappointed with shipping time this order delivery information was delayed twice</v>
      </c>
      <c r="I2398" s="6">
        <f t="shared" si="2"/>
        <v>13</v>
      </c>
      <c r="J2398" s="6">
        <f>IFERROR(__xludf.DUMMYFUNCTION("IF(H2398="""","""",
SUM(
ARRAYFORMULA(
IF(
REGEXMATCH(
"" ""&amp;H2398&amp;"" "",
"" ""&amp;Sentiment_Words!A$2:A3730&amp;"" ""
),
1,
0
)
)
)
)"),0.0)</f>
        <v>0</v>
      </c>
      <c r="K2398" s="4">
        <f>IFERROR(__xludf.DUMMYFUNCTION("IF(H2398="""","""",
SUM(
ARRAYFORMULA(
IF(
REGEXMATCH(
"" ""&amp;H2398&amp;"" "",
"" ""&amp;Sentiment_Words!B$2:B3730&amp;"" ""
),
1,
0
)
)
)
)"),1.0)</f>
        <v>1</v>
      </c>
      <c r="L2398" s="7" t="str">
        <f t="shared" si="3"/>
        <v>Fulfillment &amp; Shipping</v>
      </c>
      <c r="M2398" s="7" t="str">
        <f t="shared" si="4"/>
        <v>Negative</v>
      </c>
      <c r="N2398" s="7" t="str">
        <f>IFERROR(__xludf.DUMMYFUNCTION("LOWER(
TRIM(
REGEXREPLACE(B2398,""[^a-zA-Z\s]"","""")
)
)
"),"diana tschantre")</f>
        <v>diana tschantre</v>
      </c>
      <c r="O2398" s="7">
        <f t="shared" si="5"/>
        <v>1</v>
      </c>
      <c r="P2398" s="8" t="str">
        <f t="shared" si="6"/>
        <v>No</v>
      </c>
    </row>
    <row r="2399">
      <c r="A2399" s="4" t="s">
        <v>16</v>
      </c>
      <c r="B2399" s="4" t="s">
        <v>6709</v>
      </c>
      <c r="C2399" s="9">
        <v>44686.0</v>
      </c>
      <c r="D2399" s="5">
        <v>44687.0</v>
      </c>
      <c r="E2399" s="4" t="s">
        <v>6710</v>
      </c>
      <c r="F2399" s="4" t="s">
        <v>6711</v>
      </c>
      <c r="G2399" s="6" t="str">
        <f>IFERROR(__xludf.DUMMYFUNCTION("REGEXREPLACE(LOWER(F2399),""[^a-z\s]"","""")"),"while i wish petflow did not use fedex i did not get my package or replacement package petflow was wonderful through an annoying process")</f>
        <v>while i wish petflow did not use fedex i did not get my package or replacement package petflow was wonderful through an annoying process</v>
      </c>
      <c r="H2399" s="4" t="str">
        <f t="shared" si="1"/>
        <v>while i wish petflow did not use fedex i did not get my package or replacement package petflow was wonderful through an annoying process</v>
      </c>
      <c r="I2399" s="6">
        <f t="shared" si="2"/>
        <v>24</v>
      </c>
      <c r="J2399" s="6">
        <f>IFERROR(__xludf.DUMMYFUNCTION("IF(H2399="""","""",
SUM(
ARRAYFORMULA(
IF(
REGEXMATCH(
"" ""&amp;H2399&amp;"" "",
"" ""&amp;Sentiment_Words!A$2:A3730&amp;"" ""
),
1,
0
)
)
)
)"),1.0)</f>
        <v>1</v>
      </c>
      <c r="K2399" s="4">
        <f>IFERROR(__xludf.DUMMYFUNCTION("IF(H2399="""","""",
SUM(
ARRAYFORMULA(
IF(
REGEXMATCH(
"" ""&amp;H2399&amp;"" "",
"" ""&amp;Sentiment_Words!B$2:B3730&amp;"" ""
),
1,
0
)
)
)
)"),0.0)</f>
        <v>0</v>
      </c>
      <c r="L2399" s="7" t="str">
        <f t="shared" si="3"/>
        <v>Other</v>
      </c>
      <c r="M2399" s="7" t="str">
        <f t="shared" si="4"/>
        <v>Positive</v>
      </c>
      <c r="N2399" s="7" t="str">
        <f>IFERROR(__xludf.DUMMYFUNCTION("LOWER(
TRIM(
REGEXREPLACE(B2399,""[^a-zA-Z\s]"","""")
)
)
"),"kc dee")</f>
        <v>kc dee</v>
      </c>
      <c r="O2399" s="7">
        <f t="shared" si="5"/>
        <v>1</v>
      </c>
      <c r="P2399" s="8" t="str">
        <f t="shared" si="6"/>
        <v>No</v>
      </c>
    </row>
    <row r="2400">
      <c r="A2400" s="4" t="s">
        <v>16</v>
      </c>
      <c r="B2400" s="4" t="s">
        <v>6712</v>
      </c>
      <c r="C2400" s="9">
        <v>44686.0</v>
      </c>
      <c r="D2400" s="5">
        <v>44686.0</v>
      </c>
      <c r="E2400" s="4" t="s">
        <v>1081</v>
      </c>
      <c r="F2400" s="4" t="s">
        <v>6713</v>
      </c>
      <c r="G2400" s="6" t="str">
        <f>IFERROR(__xludf.DUMMYFUNCTION("REGEXREPLACE(LOWER(F2400),""[^a-z\s]"","""")"),"quick delivery on the dog food i ordered im thankful for petflow because they carry canine caviar which is a hardtofind dog food my french bulldog does great on this food no allergies")</f>
        <v>quick delivery on the dog food i ordered im thankful for petflow because they carry canine caviar which is a hardtofind dog food my french bulldog does great on this food no allergies</v>
      </c>
      <c r="H2400" s="4" t="str">
        <f t="shared" si="1"/>
        <v>quick delivery on dog food i ordered im thankful petflow because they carry canine caviar which a hardtofind dog food my french bulldog does great on this food no allergies</v>
      </c>
      <c r="I2400" s="6">
        <f t="shared" si="2"/>
        <v>30</v>
      </c>
      <c r="J2400" s="6">
        <f>IFERROR(__xludf.DUMMYFUNCTION("IF(H2400="""","""",
SUM(
ARRAYFORMULA(
IF(
REGEXMATCH(
"" ""&amp;H2400&amp;"" "",
"" ""&amp;Sentiment_Words!A$2:A3730&amp;"" ""
),
1,
0
)
)
)
)"),2.0)</f>
        <v>2</v>
      </c>
      <c r="K2400" s="4">
        <f>IFERROR(__xludf.DUMMYFUNCTION("IF(H2400="""","""",
SUM(
ARRAYFORMULA(
IF(
REGEXMATCH(
"" ""&amp;H2400&amp;"" "",
"" ""&amp;Sentiment_Words!B$2:B3730&amp;"" ""
),
1,
0
)
)
)
)"),0.0)</f>
        <v>0</v>
      </c>
      <c r="L2400" s="7" t="str">
        <f t="shared" si="3"/>
        <v>Other</v>
      </c>
      <c r="M2400" s="7" t="str">
        <f t="shared" si="4"/>
        <v>Positive</v>
      </c>
      <c r="N2400" s="7" t="str">
        <f>IFERROR(__xludf.DUMMYFUNCTION("LOWER(
TRIM(
REGEXREPLACE(B2400,""[^a-zA-Z\s]"","""")
)
)
"),"joanna s")</f>
        <v>joanna s</v>
      </c>
      <c r="O2400" s="7">
        <f t="shared" si="5"/>
        <v>1</v>
      </c>
      <c r="P2400" s="8" t="str">
        <f t="shared" si="6"/>
        <v>No</v>
      </c>
    </row>
    <row r="2401">
      <c r="A2401" s="4" t="s">
        <v>16</v>
      </c>
      <c r="B2401" s="4" t="s">
        <v>6714</v>
      </c>
      <c r="C2401" s="9">
        <v>44686.0</v>
      </c>
      <c r="D2401" s="5">
        <v>44686.0</v>
      </c>
      <c r="E2401" s="4" t="s">
        <v>6715</v>
      </c>
      <c r="F2401" s="4" t="s">
        <v>6716</v>
      </c>
      <c r="G2401" s="6" t="str">
        <f>IFERROR(__xludf.DUMMYFUNCTION("REGEXREPLACE(LOWER(F2401),""[^a-z\s]"","""")"),"petflow has great pricing and fast delivery they also have great customer service who do a fabulous job of following up on your order i will definitely be ordering from them again")</f>
        <v>petflow has great pricing and fast delivery they also have great customer service who do a fabulous job of following up on your order i will definitely be ordering from them again</v>
      </c>
      <c r="H2401" s="4" t="str">
        <f t="shared" si="1"/>
        <v>petflow has great pricing fast delivery they also have great customer service who do a fabulous job of following up on your order i will definitely be ordering from them again</v>
      </c>
      <c r="I2401" s="6">
        <f t="shared" si="2"/>
        <v>31</v>
      </c>
      <c r="J2401" s="6">
        <f>IFERROR(__xludf.DUMMYFUNCTION("IF(H2401="""","""",
SUM(
ARRAYFORMULA(
IF(
REGEXMATCH(
"" ""&amp;H2401&amp;"" "",
"" ""&amp;Sentiment_Words!A$2:A3730&amp;"" ""
),
1,
0
)
)
)
)"),4.0)</f>
        <v>4</v>
      </c>
      <c r="K2401" s="4">
        <f>IFERROR(__xludf.DUMMYFUNCTION("IF(H2401="""","""",
SUM(
ARRAYFORMULA(
IF(
REGEXMATCH(
"" ""&amp;H2401&amp;"" "",
"" ""&amp;Sentiment_Words!B$2:B3730&amp;"" ""
),
1,
0
)
)
)
)"),1.0)</f>
        <v>1</v>
      </c>
      <c r="L2401" s="7" t="str">
        <f t="shared" si="3"/>
        <v>Customer Support</v>
      </c>
      <c r="M2401" s="7" t="str">
        <f t="shared" si="4"/>
        <v>Positive</v>
      </c>
      <c r="N2401" s="7" t="str">
        <f>IFERROR(__xludf.DUMMYFUNCTION("LOWER(
TRIM(
REGEXREPLACE(B2401,""[^a-zA-Z\s]"","""")
)
)
"),"paul lalena")</f>
        <v>paul lalena</v>
      </c>
      <c r="O2401" s="7">
        <f t="shared" si="5"/>
        <v>1</v>
      </c>
      <c r="P2401" s="8" t="str">
        <f t="shared" si="6"/>
        <v>No</v>
      </c>
    </row>
    <row r="2402">
      <c r="A2402" s="4" t="s">
        <v>16</v>
      </c>
      <c r="B2402" s="4" t="s">
        <v>6717</v>
      </c>
      <c r="C2402" s="9">
        <v>44686.0</v>
      </c>
      <c r="D2402" s="5">
        <v>44686.0</v>
      </c>
      <c r="E2402" s="4" t="s">
        <v>6718</v>
      </c>
      <c r="F2402" s="4" t="s">
        <v>6719</v>
      </c>
      <c r="G2402" s="6" t="str">
        <f>IFERROR(__xludf.DUMMYFUNCTION("REGEXREPLACE(LOWER(F2402),""[^a-z\s]"","""")"),"super easy to order from and they shipped our food and treats quickly")</f>
        <v>super easy to order from and they shipped our food and treats quickly</v>
      </c>
      <c r="H2402" s="4" t="str">
        <f t="shared" si="1"/>
        <v>super easy order from they shipped our food treats quickly</v>
      </c>
      <c r="I2402" s="6">
        <f t="shared" si="2"/>
        <v>10</v>
      </c>
      <c r="J2402" s="6">
        <f>IFERROR(__xludf.DUMMYFUNCTION("IF(H2402="""","""",
SUM(
ARRAYFORMULA(
IF(
REGEXMATCH(
"" ""&amp;H2402&amp;"" "",
"" ""&amp;Sentiment_Words!A$2:A3730&amp;"" ""
),
1,
0
)
)
)
)"),1.0)</f>
        <v>1</v>
      </c>
      <c r="K2402" s="4">
        <f>IFERROR(__xludf.DUMMYFUNCTION("IF(H2402="""","""",
SUM(
ARRAYFORMULA(
IF(
REGEXMATCH(
"" ""&amp;H2402&amp;"" "",
"" ""&amp;Sentiment_Words!B$2:B3730&amp;"" ""
),
1,
0
)
)
)
)"),0.0)</f>
        <v>0</v>
      </c>
      <c r="L2402" s="7" t="str">
        <f t="shared" si="3"/>
        <v>Other</v>
      </c>
      <c r="M2402" s="7" t="str">
        <f t="shared" si="4"/>
        <v>Positive</v>
      </c>
      <c r="N2402" s="7" t="str">
        <f>IFERROR(__xludf.DUMMYFUNCTION("LOWER(
TRIM(
REGEXREPLACE(B2402,""[^a-zA-Z\s]"","""")
)
)
"),"njdeb")</f>
        <v>njdeb</v>
      </c>
      <c r="O2402" s="7">
        <f t="shared" si="5"/>
        <v>1</v>
      </c>
      <c r="P2402" s="8" t="str">
        <f t="shared" si="6"/>
        <v>No</v>
      </c>
    </row>
    <row r="2403">
      <c r="A2403" s="4" t="s">
        <v>16</v>
      </c>
      <c r="B2403" s="4" t="s">
        <v>6720</v>
      </c>
      <c r="C2403" s="9">
        <v>44686.0</v>
      </c>
      <c r="D2403" s="5">
        <v>44686.0</v>
      </c>
      <c r="E2403" s="4" t="s">
        <v>6721</v>
      </c>
      <c r="F2403" s="4" t="s">
        <v>6722</v>
      </c>
      <c r="G2403" s="6" t="str">
        <f>IFERROR(__xludf.DUMMYFUNCTION("REGEXREPLACE(LOWER(F2403),""[^a-z\s]"","""")"),"quick ordering process and they obtained the prescription from my vet just as quick where other sites never completed the process it was smooth and i will order again")</f>
        <v>quick ordering process and they obtained the prescription from my vet just as quick where other sites never completed the process it was smooth and i will order again</v>
      </c>
      <c r="H2403" s="4" t="str">
        <f t="shared" si="1"/>
        <v>quick ordering process they obtained prescription from my vet just as quick where other sites never completed process it was smooth i will order again</v>
      </c>
      <c r="I2403" s="6">
        <f t="shared" si="2"/>
        <v>25</v>
      </c>
      <c r="J2403" s="6">
        <f>IFERROR(__xludf.DUMMYFUNCTION("IF(H2403="""","""",
SUM(
ARRAYFORMULA(
IF(
REGEXMATCH(
"" ""&amp;H2403&amp;"" "",
"" ""&amp;Sentiment_Words!A$2:A3730&amp;"" ""
),
1,
0
)
)
)
)"),0.0)</f>
        <v>0</v>
      </c>
      <c r="K2403" s="4">
        <f>IFERROR(__xludf.DUMMYFUNCTION("IF(H2403="""","""",
SUM(
ARRAYFORMULA(
IF(
REGEXMATCH(
"" ""&amp;H2403&amp;"" "",
"" ""&amp;Sentiment_Words!B$2:B3730&amp;"" ""
),
1,
0
)
)
)
)"),0.0)</f>
        <v>0</v>
      </c>
      <c r="L2403" s="7" t="str">
        <f t="shared" si="3"/>
        <v>Other</v>
      </c>
      <c r="M2403" s="7" t="str">
        <f t="shared" si="4"/>
        <v>Neutral</v>
      </c>
      <c r="N2403" s="7" t="str">
        <f>IFERROR(__xludf.DUMMYFUNCTION("LOWER(
TRIM(
REGEXREPLACE(B2403,""[^a-zA-Z\s]"","""")
)
)
"),"anna homer")</f>
        <v>anna homer</v>
      </c>
      <c r="O2403" s="7">
        <f t="shared" si="5"/>
        <v>1</v>
      </c>
      <c r="P2403" s="8" t="str">
        <f t="shared" si="6"/>
        <v>No</v>
      </c>
    </row>
    <row r="2404">
      <c r="A2404" s="4" t="s">
        <v>16</v>
      </c>
      <c r="B2404" s="4" t="s">
        <v>6723</v>
      </c>
      <c r="C2404" s="9">
        <v>44686.0</v>
      </c>
      <c r="D2404" s="5">
        <v>44686.0</v>
      </c>
      <c r="E2404" s="4" t="s">
        <v>6724</v>
      </c>
      <c r="F2404" s="4" t="s">
        <v>6725</v>
      </c>
      <c r="G2404" s="6" t="str">
        <f>IFERROR(__xludf.DUMMYFUNCTION("REGEXREPLACE(LOWER(F2404),""[^a-z\s]"","""")"),"the petflow site was easy to navigate i found the size of the dog food bag i wanted for the right price the communication was superb including delivery information  i would order from them anytime")</f>
        <v>the petflow site was easy to navigate i found the size of the dog food bag i wanted for the right price the communication was superb including delivery information  i would order from them anytime</v>
      </c>
      <c r="H2404" s="4" t="str">
        <f t="shared" si="1"/>
        <v>petflow site was easy navigate i found size of dog food bag i wanted right price communication was superb including delivery information i would order from them anytime</v>
      </c>
      <c r="I2404" s="6">
        <f t="shared" si="2"/>
        <v>28</v>
      </c>
      <c r="J2404" s="6">
        <f>IFERROR(__xludf.DUMMYFUNCTION("IF(H2404="""","""",
SUM(
ARRAYFORMULA(
IF(
REGEXMATCH(
"" ""&amp;H2404&amp;"" "",
"" ""&amp;Sentiment_Words!A$2:A3730&amp;"" ""
),
1,
0
)
)
)
)"),2.0)</f>
        <v>2</v>
      </c>
      <c r="K2404" s="4">
        <f>IFERROR(__xludf.DUMMYFUNCTION("IF(H2404="""","""",
SUM(
ARRAYFORMULA(
IF(
REGEXMATCH(
"" ""&amp;H2404&amp;"" "",
"" ""&amp;Sentiment_Words!B$2:B3730&amp;"" ""
),
1,
0
)
)
)
)"),0.0)</f>
        <v>0</v>
      </c>
      <c r="L2404" s="7" t="str">
        <f t="shared" si="3"/>
        <v>Other</v>
      </c>
      <c r="M2404" s="7" t="str">
        <f t="shared" si="4"/>
        <v>Positive</v>
      </c>
      <c r="N2404" s="7" t="str">
        <f>IFERROR(__xludf.DUMMYFUNCTION("LOWER(
TRIM(
REGEXREPLACE(B2404,""[^a-zA-Z\s]"","""")
)
)
"),"kpabst")</f>
        <v>kpabst</v>
      </c>
      <c r="O2404" s="7">
        <f t="shared" si="5"/>
        <v>1</v>
      </c>
      <c r="P2404" s="8" t="str">
        <f t="shared" si="6"/>
        <v>No</v>
      </c>
    </row>
    <row r="2405">
      <c r="A2405" s="4" t="s">
        <v>16</v>
      </c>
      <c r="B2405" s="4" t="s">
        <v>6726</v>
      </c>
      <c r="C2405" s="9">
        <v>44685.0</v>
      </c>
      <c r="D2405" s="5">
        <v>44685.0</v>
      </c>
      <c r="E2405" s="4" t="s">
        <v>6727</v>
      </c>
      <c r="F2405" s="4" t="s">
        <v>6728</v>
      </c>
      <c r="G2405" s="6" t="str">
        <f>IFERROR(__xludf.DUMMYFUNCTION("REGEXREPLACE(LOWER(F2405),""[^a-z\s]"","""")"),"happy with my order pup got a really cute stuffed llama that i had my eye on for quite a while price was excellent also bella pate not always easy to find in a retail outlet")</f>
        <v>happy with my order pup got a really cute stuffed llama that i had my eye on for quite a while price was excellent also bella pate not always easy to find in a retail outlet</v>
      </c>
      <c r="H2405" s="4" t="str">
        <f t="shared" si="1"/>
        <v>happy with my order pup got a really cute stuffed llama that i had my eye on quite a while price was excellent also bella pate not always easy find in a retail outlet</v>
      </c>
      <c r="I2405" s="6">
        <f t="shared" si="2"/>
        <v>34</v>
      </c>
      <c r="J2405" s="6">
        <f>IFERROR(__xludf.DUMMYFUNCTION("IF(H2405="""","""",
SUM(
ARRAYFORMULA(
IF(
REGEXMATCH(
"" ""&amp;H2405&amp;"" "",
"" ""&amp;Sentiment_Words!A$2:A3730&amp;"" ""
),
1,
0
)
)
)
)"),2.0)</f>
        <v>2</v>
      </c>
      <c r="K2405" s="4">
        <f>IFERROR(__xludf.DUMMYFUNCTION("IF(H2405="""","""",
SUM(
ARRAYFORMULA(
IF(
REGEXMATCH(
"" ""&amp;H2405&amp;"" "",
"" ""&amp;Sentiment_Words!B$2:B3730&amp;"" ""
),
1,
0
)
)
)
)"),0.0)</f>
        <v>0</v>
      </c>
      <c r="L2405" s="7" t="str">
        <f t="shared" si="3"/>
        <v>Other</v>
      </c>
      <c r="M2405" s="7" t="str">
        <f t="shared" si="4"/>
        <v>Positive</v>
      </c>
      <c r="N2405" s="7" t="str">
        <f>IFERROR(__xludf.DUMMYFUNCTION("LOWER(
TRIM(
REGEXREPLACE(B2405,""[^a-zA-Z\s]"","""")
)
)
"),"laurie")</f>
        <v>laurie</v>
      </c>
      <c r="O2405" s="7">
        <f t="shared" si="5"/>
        <v>2</v>
      </c>
      <c r="P2405" s="8" t="str">
        <f t="shared" si="6"/>
        <v>Yes</v>
      </c>
    </row>
    <row r="2406">
      <c r="A2406" s="4" t="s">
        <v>16</v>
      </c>
      <c r="B2406" s="4" t="s">
        <v>6729</v>
      </c>
      <c r="C2406" s="9">
        <v>44685.0</v>
      </c>
      <c r="D2406" s="5">
        <v>44685.0</v>
      </c>
      <c r="E2406" s="4" t="s">
        <v>6730</v>
      </c>
      <c r="F2406" s="4" t="s">
        <v>6731</v>
      </c>
      <c r="G2406" s="6" t="str">
        <f>IFERROR(__xludf.DUMMYFUNCTION("REGEXREPLACE(LOWER(F2406),""[^a-z\s]"","""")"),"the case of hill id digestive care was delivered damaged when i opened the case three cans were blown and the rest had visual damage to each can i called pet flow to advise and wanted to send the complete case back to them they said prescription dog food "&amp;"cannot be returned he representative for pet flow told me he would give me a credit for  i did not contact them back again when i noticed to seams on two cans were starting to separate not very happy as this is not an inexpensive dog food")</f>
        <v>the case of hill id digestive care was delivered damaged when i opened the case three cans were blown and the rest had visual damage to each can i called pet flow to advise and wanted to send the complete case back to them they said prescription dog food cannot be returned he representative for pet flow told me he would give me a credit for  i did not contact them back again when i noticed to seams on two cans were starting to separate not very happy as this is not an inexpensive dog food</v>
      </c>
      <c r="H2406" s="4" t="str">
        <f t="shared" si="1"/>
        <v>case of hill id digestive care was delivered damaged when i opened case three cans were blown rest had visual damage each can i called pet flow advise wanted send complete case back them they said prescription dog food cannot be returned he representative pet flow told me he would give me a credit i did not contact them back again when i noticed seams on two cans were starting separate not very happy as this not an inexpensive dog food</v>
      </c>
      <c r="I2406" s="6">
        <f t="shared" si="2"/>
        <v>81</v>
      </c>
      <c r="J2406" s="6">
        <f>IFERROR(__xludf.DUMMYFUNCTION("IF(H2406="""","""",
SUM(
ARRAYFORMULA(
IF(
REGEXMATCH(
"" ""&amp;H2406&amp;"" "",
"" ""&amp;Sentiment_Words!A$2:A3730&amp;"" ""
),
1,
0
)
)
)
)"),2.0)</f>
        <v>2</v>
      </c>
      <c r="K2406" s="4">
        <f>IFERROR(__xludf.DUMMYFUNCTION("IF(H2406="""","""",
SUM(
ARRAYFORMULA(
IF(
REGEXMATCH(
"" ""&amp;H2406&amp;"" "",
"" ""&amp;Sentiment_Words!B$2:B3730&amp;"" ""
),
1,
0
)
)
)
)"),1.0)</f>
        <v>1</v>
      </c>
      <c r="L2406" s="7" t="str">
        <f t="shared" si="3"/>
        <v>Other</v>
      </c>
      <c r="M2406" s="7" t="str">
        <f t="shared" si="4"/>
        <v>Positive</v>
      </c>
      <c r="N2406" s="7" t="str">
        <f>IFERROR(__xludf.DUMMYFUNCTION("LOWER(
TRIM(
REGEXREPLACE(B2406,""[^a-zA-Z\s]"","""")
)
)
"),"delilah vohnoutka")</f>
        <v>delilah vohnoutka</v>
      </c>
      <c r="O2406" s="7">
        <f t="shared" si="5"/>
        <v>1</v>
      </c>
      <c r="P2406" s="8" t="str">
        <f t="shared" si="6"/>
        <v>No</v>
      </c>
    </row>
    <row r="2407">
      <c r="A2407" s="4" t="s">
        <v>16</v>
      </c>
      <c r="B2407" s="4" t="s">
        <v>6732</v>
      </c>
      <c r="C2407" s="9">
        <v>44685.0</v>
      </c>
      <c r="D2407" s="5">
        <v>44685.0</v>
      </c>
      <c r="E2407" s="4" t="s">
        <v>6733</v>
      </c>
      <c r="F2407" s="4" t="s">
        <v>6734</v>
      </c>
      <c r="G2407" s="6" t="str">
        <f>IFERROR(__xludf.DUMMYFUNCTION("REGEXREPLACE(LOWER(F2407),""[^a-z\s]"","""")"),"i placed an order for a second time with petflow first time was great however this second order never shipped and upon inquiring about the status i was informed that our fraud department suggested we not fill this order take care what")</f>
        <v>i placed an order for a second time with petflow first time was great however this second order never shipped and upon inquiring about the status i was informed that our fraud department suggested we not fill this order take care what</v>
      </c>
      <c r="H2407" s="4" t="str">
        <f t="shared" si="1"/>
        <v>i placed an order a second time with petflow first time was great however this second order never shipped upon inquiring about status i was informed that our fraud department suggested we not fill this order take care what</v>
      </c>
      <c r="I2407" s="6">
        <f t="shared" si="2"/>
        <v>39</v>
      </c>
      <c r="J2407" s="6">
        <f>IFERROR(__xludf.DUMMYFUNCTION("IF(H2407="""","""",
SUM(
ARRAYFORMULA(
IF(
REGEXMATCH(
"" ""&amp;H2407&amp;"" "",
"" ""&amp;Sentiment_Words!A$2:A3730&amp;"" ""
),
1,
0
)
)
)
)"),1.0)</f>
        <v>1</v>
      </c>
      <c r="K2407" s="4">
        <f>IFERROR(__xludf.DUMMYFUNCTION("IF(H2407="""","""",
SUM(
ARRAYFORMULA(
IF(
REGEXMATCH(
"" ""&amp;H2407&amp;"" "",
"" ""&amp;Sentiment_Words!B$2:B3730&amp;"" ""
),
1,
0
)
)
)
)"),1.0)</f>
        <v>1</v>
      </c>
      <c r="L2407" s="7" t="str">
        <f t="shared" si="3"/>
        <v>Other</v>
      </c>
      <c r="M2407" s="7" t="str">
        <f t="shared" si="4"/>
        <v>Neutral</v>
      </c>
      <c r="N2407" s="7" t="str">
        <f>IFERROR(__xludf.DUMMYFUNCTION("LOWER(
TRIM(
REGEXREPLACE(B2407,""[^a-zA-Z\s]"","""")
)
)
"),"alvin")</f>
        <v>alvin</v>
      </c>
      <c r="O2407" s="7">
        <f t="shared" si="5"/>
        <v>2</v>
      </c>
      <c r="P2407" s="8" t="str">
        <f t="shared" si="6"/>
        <v>Yes</v>
      </c>
    </row>
    <row r="2408">
      <c r="A2408" s="4" t="s">
        <v>16</v>
      </c>
      <c r="B2408" s="4" t="s">
        <v>6735</v>
      </c>
      <c r="C2408" s="9">
        <v>44685.0</v>
      </c>
      <c r="D2408" s="5">
        <v>44685.0</v>
      </c>
      <c r="E2408" s="4" t="s">
        <v>6736</v>
      </c>
      <c r="F2408" s="4" t="s">
        <v>6737</v>
      </c>
      <c r="G2408" s="6" t="str">
        <f>IFERROR(__xludf.DUMMYFUNCTION("REGEXREPLACE(LOWER(F2408),""[^a-z\s]"","""")"),"quick cat food shipping fair price and easy ordering all good")</f>
        <v>quick cat food shipping fair price and easy ordering all good</v>
      </c>
      <c r="H2408" s="4" t="str">
        <f t="shared" si="1"/>
        <v>quick cat food shipping fair price easy ordering all good</v>
      </c>
      <c r="I2408" s="6">
        <f t="shared" si="2"/>
        <v>10</v>
      </c>
      <c r="J2408" s="6">
        <f>IFERROR(__xludf.DUMMYFUNCTION("IF(H2408="""","""",
SUM(
ARRAYFORMULA(
IF(
REGEXMATCH(
"" ""&amp;H2408&amp;"" "",
"" ""&amp;Sentiment_Words!A$2:A3730&amp;"" ""
),
1,
0
)
)
)
)"),2.0)</f>
        <v>2</v>
      </c>
      <c r="K2408" s="4">
        <f>IFERROR(__xludf.DUMMYFUNCTION("IF(H2408="""","""",
SUM(
ARRAYFORMULA(
IF(
REGEXMATCH(
"" ""&amp;H2408&amp;"" "",
"" ""&amp;Sentiment_Words!B$2:B3730&amp;"" ""
),
1,
0
)
)
)
)"),0.0)</f>
        <v>0</v>
      </c>
      <c r="L2408" s="7" t="str">
        <f t="shared" si="3"/>
        <v>Other</v>
      </c>
      <c r="M2408" s="7" t="str">
        <f t="shared" si="4"/>
        <v>Positive</v>
      </c>
      <c r="N2408" s="7" t="str">
        <f>IFERROR(__xludf.DUMMYFUNCTION("LOWER(
TRIM(
REGEXREPLACE(B2408,""[^a-zA-Z\s]"","""")
)
)
"),"igor mitrovic")</f>
        <v>igor mitrovic</v>
      </c>
      <c r="O2408" s="7">
        <f t="shared" si="5"/>
        <v>1</v>
      </c>
      <c r="P2408" s="8" t="str">
        <f t="shared" si="6"/>
        <v>No</v>
      </c>
    </row>
    <row r="2409">
      <c r="A2409" s="4" t="s">
        <v>16</v>
      </c>
      <c r="B2409" s="4" t="s">
        <v>6738</v>
      </c>
      <c r="C2409" s="9">
        <v>44684.0</v>
      </c>
      <c r="D2409" s="5">
        <v>44685.0</v>
      </c>
      <c r="E2409" s="4" t="s">
        <v>6739</v>
      </c>
      <c r="F2409" s="4" t="s">
        <v>6740</v>
      </c>
      <c r="G2409" s="6" t="str">
        <f>IFERROR(__xludf.DUMMYFUNCTION("REGEXREPLACE(LOWER(F2409),""[^a-z\s]"","""")"),"i ordered two packages of dry cat food  hills prescription diet gastrointestinal biome digestive  fiber care chicken dry cat 
i used to order it on chewycom or amazoncom for medical reasons my cat needs this food unfortunately and for an unknown reason  t"&amp;"his cat food is temporary unavailable petflow website pretended to have it available so i ordered two packages and immediately they charged my credit card  i was happy and i waited for a few days but then i received an email saying  we do not have this ca"&amp;"t food and we apologize about the inconvenience  of course they returned my money
here is my opinion about them 
this third class online vendor is not trustworthy reliable and honest
if i could remove the one star i would have done it")</f>
        <v>i ordered two packages of dry cat food  hills prescription diet gastrointestinal biome digestive  fiber care chicken dry cat 
i used to order it on chewycom or amazoncom for medical reasons my cat needs this food unfortunately and for an unknown reason  this cat food is temporary unavailable petflow website pretended to have it available so i ordered two packages and immediately they charged my credit card  i was happy and i waited for a few days but then i received an email saying  we do not have this cat food and we apologize about the inconvenience  of course they returned my money
here is my opinion about them 
this third class online vendor is not trustworthy reliable and honest
if i could remove the one star i would have done it</v>
      </c>
      <c r="H2409" s="4" t="str">
        <f t="shared" si="1"/>
        <v>i ordered two packages of dry cat food hills prescription diet gastrointestinal biome digestive fiber care chicken dry cat 
i used order it on chewycom or amazoncom medical reasons my cat needs this food unfortunately an unknown reason this cat food temporary unavailable petflow website pretended have it available so i ordered two packages immediately they charged my credit card i was happy i waited a few days but then i received an email saying we do not have this cat food we apologize about inconvenience of course they returned my money
here my opinion about them 
this third class online vendor not trustworthy reliable honest
if i could remove one star i would have done it</v>
      </c>
      <c r="I2409" s="6">
        <f t="shared" si="2"/>
        <v>115</v>
      </c>
      <c r="J2409" s="6">
        <f>IFERROR(__xludf.DUMMYFUNCTION("IF(H2409="""","""",
SUM(
ARRAYFORMULA(
IF(
REGEXMATCH(
"" ""&amp;H2409&amp;"" "",
"" ""&amp;Sentiment_Words!A$2:A3730&amp;"" ""
),
1,
0
)
)
)
)"),4.0)</f>
        <v>4</v>
      </c>
      <c r="K2409" s="4">
        <f>IFERROR(__xludf.DUMMYFUNCTION("IF(H2409="""","""",
SUM(
ARRAYFORMULA(
IF(
REGEXMATCH(
"" ""&amp;H2409&amp;"" "",
"" ""&amp;Sentiment_Words!B$2:B3730&amp;"" ""
),
1,
0
)
)
)
)"),2.0)</f>
        <v>2</v>
      </c>
      <c r="L2409" s="7" t="str">
        <f t="shared" si="3"/>
        <v>Availability</v>
      </c>
      <c r="M2409" s="7" t="str">
        <f t="shared" si="4"/>
        <v>Positive</v>
      </c>
      <c r="N2409" s="7" t="str">
        <f>IFERROR(__xludf.DUMMYFUNCTION("LOWER(
TRIM(
REGEXREPLACE(B2409,""[^a-zA-Z\s]"","""")
)
)
"),"fliptide")</f>
        <v>fliptide</v>
      </c>
      <c r="O2409" s="7">
        <f t="shared" si="5"/>
        <v>1</v>
      </c>
      <c r="P2409" s="8" t="str">
        <f t="shared" si="6"/>
        <v>No</v>
      </c>
    </row>
    <row r="2410">
      <c r="A2410" s="4" t="s">
        <v>16</v>
      </c>
      <c r="B2410" s="4" t="s">
        <v>6741</v>
      </c>
      <c r="C2410" s="9">
        <v>44684.0</v>
      </c>
      <c r="D2410" s="5">
        <v>44684.0</v>
      </c>
      <c r="E2410" s="4" t="s">
        <v>6742</v>
      </c>
      <c r="F2410" s="4" t="s">
        <v>6743</v>
      </c>
      <c r="G2410" s="6" t="str">
        <f>IFERROR(__xludf.DUMMYFUNCTION("REGEXREPLACE(LOWER(F2410),""[^a-z\s]"","""")"),"took longer than we thought but it was ok but everything was good")</f>
        <v>took longer than we thought but it was ok but everything was good</v>
      </c>
      <c r="H2410" s="4" t="str">
        <f t="shared" si="1"/>
        <v>took longer than we thought but it was ok but everything was good</v>
      </c>
      <c r="I2410" s="6">
        <f t="shared" si="2"/>
        <v>13</v>
      </c>
      <c r="J2410" s="6">
        <f>IFERROR(__xludf.DUMMYFUNCTION("IF(H2410="""","""",
SUM(
ARRAYFORMULA(
IF(
REGEXMATCH(
"" ""&amp;H2410&amp;"" "",
"" ""&amp;Sentiment_Words!A$2:A3730&amp;"" ""
),
1,
0
)
)
)
)"),1.0)</f>
        <v>1</v>
      </c>
      <c r="K2410" s="4">
        <f>IFERROR(__xludf.DUMMYFUNCTION("IF(H2410="""","""",
SUM(
ARRAYFORMULA(
IF(
REGEXMATCH(
"" ""&amp;H2410&amp;"" "",
"" ""&amp;Sentiment_Words!B$2:B3730&amp;"" ""
),
1,
0
)
)
)
)"),0.0)</f>
        <v>0</v>
      </c>
      <c r="L2410" s="7" t="str">
        <f t="shared" si="3"/>
        <v>Other</v>
      </c>
      <c r="M2410" s="7" t="str">
        <f t="shared" si="4"/>
        <v>Positive</v>
      </c>
      <c r="N2410" s="7" t="str">
        <f>IFERROR(__xludf.DUMMYFUNCTION("LOWER(
TRIM(
REGEXREPLACE(B2410,""[^a-zA-Z\s]"","""")
)
)
"),"katty")</f>
        <v>katty</v>
      </c>
      <c r="O2410" s="7">
        <f t="shared" si="5"/>
        <v>1</v>
      </c>
      <c r="P2410" s="8" t="str">
        <f t="shared" si="6"/>
        <v>No</v>
      </c>
    </row>
    <row r="2411">
      <c r="A2411" s="4" t="s">
        <v>16</v>
      </c>
      <c r="B2411" s="4" t="s">
        <v>6744</v>
      </c>
      <c r="C2411" s="9">
        <v>44684.0</v>
      </c>
      <c r="D2411" s="5">
        <v>44684.0</v>
      </c>
      <c r="E2411" s="4" t="s">
        <v>6745</v>
      </c>
      <c r="F2411" s="4" t="s">
        <v>6746</v>
      </c>
      <c r="G2411" s="6" t="str">
        <f>IFERROR(__xludf.DUMMYFUNCTION("REGEXREPLACE(LOWER(F2411),""[^a-z\s]"","""")"),"this was a remarkable experience i received the wrong order i meant to purchase  bags of lamb and peas large breed i received lamb and rice i called and the same day they shipped the correct  bags i wanted
this is a model example of perfect customer servi"&amp;"ce")</f>
        <v>this was a remarkable experience i received the wrong order i meant to purchase  bags of lamb and peas large breed i received lamb and rice i called and the same day they shipped the correct  bags i wanted
this is a model example of perfect customer service</v>
      </c>
      <c r="H2411" s="4" t="str">
        <f t="shared" si="1"/>
        <v>this was a remarkable experience i received wrong order i meant purchase bags of lamb peas large breed i received lamb rice i called same day they shipped correct bags i wanted
this a model example of perfect customer service</v>
      </c>
      <c r="I2411" s="6">
        <f t="shared" si="2"/>
        <v>39</v>
      </c>
      <c r="J2411" s="6">
        <f>IFERROR(__xludf.DUMMYFUNCTION("IF(H2411="""","""",
SUM(
ARRAYFORMULA(
IF(
REGEXMATCH(
"" ""&amp;H2411&amp;"" "",
"" ""&amp;Sentiment_Words!A$2:A3730&amp;"" ""
),
1,
0
)
)
)
)"),0.0)</f>
        <v>0</v>
      </c>
      <c r="K2411" s="4">
        <f>IFERROR(__xludf.DUMMYFUNCTION("IF(H2411="""","""",
SUM(
ARRAYFORMULA(
IF(
REGEXMATCH(
"" ""&amp;H2411&amp;"" "",
"" ""&amp;Sentiment_Words!B$2:B3730&amp;"" ""
),
1,
0
)
)
)
)"),2.0)</f>
        <v>2</v>
      </c>
      <c r="L2411" s="7" t="str">
        <f t="shared" si="3"/>
        <v>Customer Support</v>
      </c>
      <c r="M2411" s="7" t="str">
        <f t="shared" si="4"/>
        <v>Negative</v>
      </c>
      <c r="N2411" s="7" t="str">
        <f>IFERROR(__xludf.DUMMYFUNCTION("LOWER(
TRIM(
REGEXREPLACE(B2411,""[^a-zA-Z\s]"","""")
)
)
"),"a consumer")</f>
        <v>a consumer</v>
      </c>
      <c r="O2411" s="7">
        <f t="shared" si="5"/>
        <v>1</v>
      </c>
      <c r="P2411" s="8" t="str">
        <f t="shared" si="6"/>
        <v>No</v>
      </c>
    </row>
    <row r="2412">
      <c r="A2412" s="4" t="s">
        <v>16</v>
      </c>
      <c r="B2412" s="4" t="s">
        <v>6747</v>
      </c>
      <c r="C2412" s="9">
        <v>44684.0</v>
      </c>
      <c r="D2412" s="5">
        <v>44684.0</v>
      </c>
      <c r="E2412" s="4" t="s">
        <v>6748</v>
      </c>
      <c r="F2412" s="4" t="s">
        <v>6749</v>
      </c>
      <c r="G2412" s="6" t="str">
        <f>IFERROR(__xludf.DUMMYFUNCTION("REGEXREPLACE(LOWER(F2412),""[^a-z\s]"","""")"),"ordered my pets food that needs a prescription you said it was in stock i looked for a way to email the prescription to you but couldnt find one on your site
i gave you all the information you need to verify and order to food from my vet a week later you"&amp;" canceled the order a week i know my vet approved this
i will not be ordering in the future")</f>
        <v>ordered my pets food that needs a prescription you said it was in stock i looked for a way to email the prescription to you but couldnt find one on your site
i gave you all the information you need to verify and order to food from my vet a week later you canceled the order a week i know my vet approved this
i will not be ordering in the future</v>
      </c>
      <c r="H2412" s="4" t="str">
        <f t="shared" si="1"/>
        <v>ordered my pets food that needs a prescription you said it was in stock i looked a way email prescription you but couldnt find one on your site
i gave you all information you need verify order food from my vet a week later you canceled order a week i know my vet approved this
i will not be ordering in future</v>
      </c>
      <c r="I2412" s="6">
        <f t="shared" si="2"/>
        <v>60</v>
      </c>
      <c r="J2412" s="6">
        <f>IFERROR(__xludf.DUMMYFUNCTION("IF(H2412="""","""",
SUM(
ARRAYFORMULA(
IF(
REGEXMATCH(
"" ""&amp;H2412&amp;"" "",
"" ""&amp;Sentiment_Words!A$2:A3730&amp;"" ""
),
1,
0
)
)
)
)"),0.0)</f>
        <v>0</v>
      </c>
      <c r="K2412" s="4">
        <f>IFERROR(__xludf.DUMMYFUNCTION("IF(H2412="""","""",
SUM(
ARRAYFORMULA(
IF(
REGEXMATCH(
"" ""&amp;H2412&amp;"" "",
"" ""&amp;Sentiment_Words!B$2:B3730&amp;"" ""
),
1,
0
)
)
)
)"),0.0)</f>
        <v>0</v>
      </c>
      <c r="L2412" s="7" t="str">
        <f t="shared" si="3"/>
        <v>Fulfillment &amp; Shipping</v>
      </c>
      <c r="M2412" s="7" t="str">
        <f t="shared" si="4"/>
        <v>Neutral</v>
      </c>
      <c r="N2412" s="7" t="str">
        <f>IFERROR(__xludf.DUMMYFUNCTION("LOWER(
TRIM(
REGEXREPLACE(B2412,""[^a-zA-Z\s]"","""")
)
)
"),"neil rowan")</f>
        <v>neil rowan</v>
      </c>
      <c r="O2412" s="7">
        <f t="shared" si="5"/>
        <v>1</v>
      </c>
      <c r="P2412" s="8" t="str">
        <f t="shared" si="6"/>
        <v>No</v>
      </c>
    </row>
    <row r="2413">
      <c r="A2413" s="4" t="s">
        <v>16</v>
      </c>
      <c r="B2413" s="4" t="s">
        <v>6750</v>
      </c>
      <c r="C2413" s="9">
        <v>44684.0</v>
      </c>
      <c r="D2413" s="5">
        <v>44684.0</v>
      </c>
      <c r="E2413" s="4" t="s">
        <v>6751</v>
      </c>
      <c r="F2413" s="4" t="s">
        <v>6752</v>
      </c>
      <c r="G2413" s="6" t="str">
        <f>IFERROR(__xludf.DUMMYFUNCTION("REGEXREPLACE(LOWER(F2413),""[^a-z\s]"","""")"),"product packed well great communication")</f>
        <v>product packed well great communication</v>
      </c>
      <c r="H2413" s="4" t="str">
        <f t="shared" si="1"/>
        <v>product packed well great communication</v>
      </c>
      <c r="I2413" s="6">
        <f t="shared" si="2"/>
        <v>5</v>
      </c>
      <c r="J2413" s="6">
        <f>IFERROR(__xludf.DUMMYFUNCTION("IF(H2413="""","""",
SUM(
ARRAYFORMULA(
IF(
REGEXMATCH(
"" ""&amp;H2413&amp;"" "",
"" ""&amp;Sentiment_Words!A$2:A3730&amp;"" ""
),
1,
0
)
)
)
)"),1.0)</f>
        <v>1</v>
      </c>
      <c r="K2413" s="4">
        <f>IFERROR(__xludf.DUMMYFUNCTION("IF(H2413="""","""",
SUM(
ARRAYFORMULA(
IF(
REGEXMATCH(
"" ""&amp;H2413&amp;"" "",
"" ""&amp;Sentiment_Words!B$2:B3730&amp;"" ""
),
1,
0
)
)
)
)"),0.0)</f>
        <v>0</v>
      </c>
      <c r="L2413" s="7" t="str">
        <f t="shared" si="3"/>
        <v>Other</v>
      </c>
      <c r="M2413" s="7" t="str">
        <f t="shared" si="4"/>
        <v>Positive</v>
      </c>
      <c r="N2413" s="7" t="str">
        <f>IFERROR(__xludf.DUMMYFUNCTION("LOWER(
TRIM(
REGEXREPLACE(B2413,""[^a-zA-Z\s]"","""")
)
)
"),"ralph pastor")</f>
        <v>ralph pastor</v>
      </c>
      <c r="O2413" s="7">
        <f t="shared" si="5"/>
        <v>1</v>
      </c>
      <c r="P2413" s="8" t="str">
        <f t="shared" si="6"/>
        <v>No</v>
      </c>
    </row>
    <row r="2414">
      <c r="A2414" s="4" t="s">
        <v>16</v>
      </c>
      <c r="B2414" s="4" t="s">
        <v>6753</v>
      </c>
      <c r="C2414" s="9">
        <v>44683.0</v>
      </c>
      <c r="D2414" s="5">
        <v>44683.0</v>
      </c>
      <c r="E2414" s="4" t="s">
        <v>6754</v>
      </c>
      <c r="F2414" s="4" t="s">
        <v>6755</v>
      </c>
      <c r="G2414" s="6" t="str">
        <f>IFERROR(__xludf.DUMMYFUNCTION("REGEXREPLACE(LOWER(F2414),""[^a-z\s]"","""")"),"easy to order through my vet and super fast shipping no complaints")</f>
        <v>easy to order through my vet and super fast shipping no complaints</v>
      </c>
      <c r="H2414" s="4" t="str">
        <f t="shared" si="1"/>
        <v>easy order through my vet super fast shipping no complaints</v>
      </c>
      <c r="I2414" s="6">
        <f t="shared" si="2"/>
        <v>10</v>
      </c>
      <c r="J2414" s="6">
        <f>IFERROR(__xludf.DUMMYFUNCTION("IF(H2414="""","""",
SUM(
ARRAYFORMULA(
IF(
REGEXMATCH(
"" ""&amp;H2414&amp;"" "",
"" ""&amp;Sentiment_Words!A$2:A3730&amp;"" ""
),
1,
0
)
)
)
)"),2.0)</f>
        <v>2</v>
      </c>
      <c r="K2414" s="4">
        <f>IFERROR(__xludf.DUMMYFUNCTION("IF(H2414="""","""",
SUM(
ARRAYFORMULA(
IF(
REGEXMATCH(
"" ""&amp;H2414&amp;"" "",
"" ""&amp;Sentiment_Words!B$2:B3730&amp;"" ""
),
1,
0
)
)
)
)"),0.0)</f>
        <v>0</v>
      </c>
      <c r="L2414" s="7" t="str">
        <f t="shared" si="3"/>
        <v>Other</v>
      </c>
      <c r="M2414" s="7" t="str">
        <f t="shared" si="4"/>
        <v>Positive</v>
      </c>
      <c r="N2414" s="7" t="str">
        <f>IFERROR(__xludf.DUMMYFUNCTION("LOWER(
TRIM(
REGEXREPLACE(B2414,""[^a-zA-Z\s]"","""")
)
)
"),"tracy splain")</f>
        <v>tracy splain</v>
      </c>
      <c r="O2414" s="7">
        <f t="shared" si="5"/>
        <v>1</v>
      </c>
      <c r="P2414" s="8" t="str">
        <f t="shared" si="6"/>
        <v>No</v>
      </c>
    </row>
    <row r="2415">
      <c r="A2415" s="4" t="s">
        <v>16</v>
      </c>
      <c r="B2415" s="4" t="s">
        <v>6756</v>
      </c>
      <c r="C2415" s="9">
        <v>44683.0</v>
      </c>
      <c r="D2415" s="5">
        <v>44683.0</v>
      </c>
      <c r="E2415" s="4" t="s">
        <v>6757</v>
      </c>
      <c r="F2415" s="4" t="s">
        <v>6758</v>
      </c>
      <c r="G2415" s="6" t="str">
        <f>IFERROR(__xludf.DUMMYFUNCTION("REGEXREPLACE(LOWER(F2415),""[^a-z\s]"","""")"),"the product came on time and as described cant wait to order from them again")</f>
        <v>the product came on time and as described cant wait to order from them again</v>
      </c>
      <c r="H2415" s="4" t="str">
        <f t="shared" si="1"/>
        <v>product came on time as described cant wait order from them again</v>
      </c>
      <c r="I2415" s="6">
        <f t="shared" si="2"/>
        <v>12</v>
      </c>
      <c r="J2415" s="6">
        <f>IFERROR(__xludf.DUMMYFUNCTION("IF(H2415="""","""",
SUM(
ARRAYFORMULA(
IF(
REGEXMATCH(
"" ""&amp;H2415&amp;"" "",
"" ""&amp;Sentiment_Words!A$2:A3730&amp;"" ""
),
1,
0
)
)
)
)"),1.0)</f>
        <v>1</v>
      </c>
      <c r="K2415" s="4">
        <f>IFERROR(__xludf.DUMMYFUNCTION("IF(H2415="""","""",
SUM(
ARRAYFORMULA(
IF(
REGEXMATCH(
"" ""&amp;H2415&amp;"" "",
"" ""&amp;Sentiment_Words!B$2:B3730&amp;"" ""
),
1,
0
)
)
)
)"),0.0)</f>
        <v>0</v>
      </c>
      <c r="L2415" s="7" t="str">
        <f t="shared" si="3"/>
        <v>Other</v>
      </c>
      <c r="M2415" s="7" t="str">
        <f t="shared" si="4"/>
        <v>Positive</v>
      </c>
      <c r="N2415" s="7" t="str">
        <f>IFERROR(__xludf.DUMMYFUNCTION("LOWER(
TRIM(
REGEXREPLACE(B2415,""[^a-zA-Z\s]"","""")
)
)
"),"lish")</f>
        <v>lish</v>
      </c>
      <c r="O2415" s="7">
        <f t="shared" si="5"/>
        <v>1</v>
      </c>
      <c r="P2415" s="8" t="str">
        <f t="shared" si="6"/>
        <v>No</v>
      </c>
    </row>
    <row r="2416">
      <c r="A2416" s="4" t="s">
        <v>16</v>
      </c>
      <c r="B2416" s="4" t="s">
        <v>6759</v>
      </c>
      <c r="C2416" s="9">
        <v>44683.0</v>
      </c>
      <c r="D2416" s="5">
        <v>44683.0</v>
      </c>
      <c r="E2416" s="4" t="s">
        <v>6760</v>
      </c>
      <c r="F2416" s="4" t="s">
        <v>331</v>
      </c>
      <c r="G2416" s="6" t="str">
        <f>IFERROR(__xludf.DUMMYFUNCTION("REGEXREPLACE(LOWER(F2416),""[^a-z\s]"","""")"),"none")</f>
        <v>none</v>
      </c>
      <c r="H2416" s="4" t="str">
        <f t="shared" si="1"/>
        <v>none</v>
      </c>
      <c r="I2416" s="6">
        <f t="shared" si="2"/>
        <v>1</v>
      </c>
      <c r="J2416" s="6">
        <f>IFERROR(__xludf.DUMMYFUNCTION("IF(H2416="""","""",
SUM(
ARRAYFORMULA(
IF(
REGEXMATCH(
"" ""&amp;H2416&amp;"" "",
"" ""&amp;Sentiment_Words!A$2:A3730&amp;"" ""
),
1,
0
)
)
)
)"),0.0)</f>
        <v>0</v>
      </c>
      <c r="K2416" s="4">
        <f>IFERROR(__xludf.DUMMYFUNCTION("IF(H2416="""","""",
SUM(
ARRAYFORMULA(
IF(
REGEXMATCH(
"" ""&amp;H2416&amp;"" "",
"" ""&amp;Sentiment_Words!B$2:B3730&amp;"" ""
),
1,
0
)
)
)
)"),0.0)</f>
        <v>0</v>
      </c>
      <c r="L2416" s="7" t="str">
        <f t="shared" si="3"/>
        <v>Other</v>
      </c>
      <c r="M2416" s="7" t="str">
        <f t="shared" si="4"/>
        <v>Neutral</v>
      </c>
      <c r="N2416" s="7" t="str">
        <f>IFERROR(__xludf.DUMMYFUNCTION("LOWER(
TRIM(
REGEXREPLACE(B2416,""[^a-zA-Z\s]"","""")
)
)
"),"hannah currie")</f>
        <v>hannah currie</v>
      </c>
      <c r="O2416" s="7">
        <f t="shared" si="5"/>
        <v>1</v>
      </c>
      <c r="P2416" s="8" t="str">
        <f t="shared" si="6"/>
        <v>No</v>
      </c>
    </row>
    <row r="2417">
      <c r="A2417" s="4" t="s">
        <v>16</v>
      </c>
      <c r="B2417" s="4" t="s">
        <v>6761</v>
      </c>
      <c r="C2417" s="9">
        <v>44683.0</v>
      </c>
      <c r="D2417" s="5">
        <v>44683.0</v>
      </c>
      <c r="E2417" s="4" t="s">
        <v>6762</v>
      </c>
      <c r="F2417" s="4" t="s">
        <v>331</v>
      </c>
      <c r="G2417" s="6" t="str">
        <f>IFERROR(__xludf.DUMMYFUNCTION("REGEXREPLACE(LOWER(F2417),""[^a-z\s]"","""")"),"none")</f>
        <v>none</v>
      </c>
      <c r="H2417" s="4" t="str">
        <f t="shared" si="1"/>
        <v>none</v>
      </c>
      <c r="I2417" s="6">
        <f t="shared" si="2"/>
        <v>1</v>
      </c>
      <c r="J2417" s="6">
        <f>IFERROR(__xludf.DUMMYFUNCTION("IF(H2417="""","""",
SUM(
ARRAYFORMULA(
IF(
REGEXMATCH(
"" ""&amp;H2417&amp;"" "",
"" ""&amp;Sentiment_Words!A$2:A3730&amp;"" ""
),
1,
0
)
)
)
)"),0.0)</f>
        <v>0</v>
      </c>
      <c r="K2417" s="4">
        <f>IFERROR(__xludf.DUMMYFUNCTION("IF(H2417="""","""",
SUM(
ARRAYFORMULA(
IF(
REGEXMATCH(
"" ""&amp;H2417&amp;"" "",
"" ""&amp;Sentiment_Words!B$2:B3730&amp;"" ""
),
1,
0
)
)
)
)"),0.0)</f>
        <v>0</v>
      </c>
      <c r="L2417" s="7" t="str">
        <f t="shared" si="3"/>
        <v>Other</v>
      </c>
      <c r="M2417" s="7" t="str">
        <f t="shared" si="4"/>
        <v>Neutral</v>
      </c>
      <c r="N2417" s="7" t="str">
        <f>IFERROR(__xludf.DUMMYFUNCTION("LOWER(
TRIM(
REGEXREPLACE(B2417,""[^a-zA-Z\s]"","""")
)
)
"),"raydias box hildreth")</f>
        <v>raydias box hildreth</v>
      </c>
      <c r="O2417" s="7">
        <f t="shared" si="5"/>
        <v>1</v>
      </c>
      <c r="P2417" s="8" t="str">
        <f t="shared" si="6"/>
        <v>No</v>
      </c>
    </row>
    <row r="2418">
      <c r="A2418" s="4" t="s">
        <v>16</v>
      </c>
      <c r="B2418" s="4" t="s">
        <v>6763</v>
      </c>
      <c r="C2418" s="9">
        <v>44683.0</v>
      </c>
      <c r="D2418" s="5">
        <v>44683.0</v>
      </c>
      <c r="E2418" s="4" t="s">
        <v>6764</v>
      </c>
      <c r="F2418" s="4" t="s">
        <v>6765</v>
      </c>
      <c r="G2418" s="6" t="str">
        <f>IFERROR(__xludf.DUMMYFUNCTION("REGEXREPLACE(LOWER(F2418),""[^a-z\s]"","""")"),"we are now  days beyond the promised delivery date when i contacted the company they said i should have planned better im wondering if the company even has this product")</f>
        <v>we are now  days beyond the promised delivery date when i contacted the company they said i should have planned better im wondering if the company even has this product</v>
      </c>
      <c r="H2418" s="4" t="str">
        <f t="shared" si="1"/>
        <v>we are now days beyond promised delivery date when i contacted company they said i should have planned better im wondering if company even has this product</v>
      </c>
      <c r="I2418" s="6">
        <f t="shared" si="2"/>
        <v>27</v>
      </c>
      <c r="J2418" s="6">
        <f>IFERROR(__xludf.DUMMYFUNCTION("IF(H2418="""","""",
SUM(
ARRAYFORMULA(
IF(
REGEXMATCH(
"" ""&amp;H2418&amp;"" "",
"" ""&amp;Sentiment_Words!A$2:A3730&amp;"" ""
),
1,
0
)
)
)
)"),1.0)</f>
        <v>1</v>
      </c>
      <c r="K2418" s="4">
        <f>IFERROR(__xludf.DUMMYFUNCTION("IF(H2418="""","""",
SUM(
ARRAYFORMULA(
IF(
REGEXMATCH(
"" ""&amp;H2418&amp;"" "",
"" ""&amp;Sentiment_Words!B$2:B3730&amp;"" ""
),
1,
0
)
)
)
)"),0.0)</f>
        <v>0</v>
      </c>
      <c r="L2418" s="7" t="str">
        <f t="shared" si="3"/>
        <v>Other</v>
      </c>
      <c r="M2418" s="7" t="str">
        <f t="shared" si="4"/>
        <v>Positive</v>
      </c>
      <c r="N2418" s="7" t="str">
        <f>IFERROR(__xludf.DUMMYFUNCTION("LOWER(
TRIM(
REGEXREPLACE(B2418,""[^a-zA-Z\s]"","""")
)
)
"),"bob")</f>
        <v>bob</v>
      </c>
      <c r="O2418" s="7">
        <f t="shared" si="5"/>
        <v>1</v>
      </c>
      <c r="P2418" s="8" t="str">
        <f t="shared" si="6"/>
        <v>No</v>
      </c>
    </row>
    <row r="2419">
      <c r="A2419" s="4" t="s">
        <v>16</v>
      </c>
      <c r="B2419" s="4" t="s">
        <v>6766</v>
      </c>
      <c r="C2419" s="9">
        <v>44683.0</v>
      </c>
      <c r="D2419" s="5">
        <v>44683.0</v>
      </c>
      <c r="E2419" s="4" t="s">
        <v>6767</v>
      </c>
      <c r="F2419" s="4" t="s">
        <v>6768</v>
      </c>
      <c r="G2419" s="6" t="str">
        <f>IFERROR(__xludf.DUMMYFUNCTION("REGEXREPLACE(LOWER(F2419),""[^a-z\s]"","""")"),"first time i ordered from pet flow my order was cancelled by petflow because my items were not in stock after i ordered them however i had been charged via pay pal and then had to wait for a refund needless to say i cancelled my auto shipment and will not"&amp;" order from petflow again when i called to cancel the petflow autoship the rep gave me a hard time about cancelled my order i will not order from petflow again nor will i recommend them to anybody")</f>
        <v>first time i ordered from pet flow my order was cancelled by petflow because my items were not in stock after i ordered them however i had been charged via pay pal and then had to wait for a refund needless to say i cancelled my auto shipment and will not order from petflow again when i called to cancel the petflow autoship the rep gave me a hard time about cancelled my order i will not order from petflow again nor will i recommend them to anybody</v>
      </c>
      <c r="H2419" s="4" t="str">
        <f t="shared" si="1"/>
        <v>first time i ordered from pet flow my order was cancelled by petflow because my items were not in stock after i ordered them however i had been charged via pay pal then had wait a refund needless say i cancelled my auto shipment will not order from petflow again when i called cancel petflow autoship rep gave me a hard time about cancelled my order i will not order from petflow again nor will i recommend them anybody</v>
      </c>
      <c r="I2419" s="6">
        <f t="shared" si="2"/>
        <v>79</v>
      </c>
      <c r="J2419" s="6">
        <f>IFERROR(__xludf.DUMMYFUNCTION("IF(H2419="""","""",
SUM(
ARRAYFORMULA(
IF(
REGEXMATCH(
"" ""&amp;H2419&amp;"" "",
"" ""&amp;Sentiment_Words!A$2:A3730&amp;"" ""
),
1,
0
)
)
)
)"),0.0)</f>
        <v>0</v>
      </c>
      <c r="K2419" s="4">
        <f>IFERROR(__xludf.DUMMYFUNCTION("IF(H2419="""","""",
SUM(
ARRAYFORMULA(
IF(
REGEXMATCH(
"" ""&amp;H2419&amp;"" "",
"" ""&amp;Sentiment_Words!B$2:B3730&amp;"" ""
),
1,
0
)
)
)
)"),2.0)</f>
        <v>2</v>
      </c>
      <c r="L2419" s="7" t="str">
        <f t="shared" si="3"/>
        <v>Other</v>
      </c>
      <c r="M2419" s="7" t="str">
        <f t="shared" si="4"/>
        <v>Negative</v>
      </c>
      <c r="N2419" s="7" t="str">
        <f>IFERROR(__xludf.DUMMYFUNCTION("LOWER(
TRIM(
REGEXREPLACE(B2419,""[^a-zA-Z\s]"","""")
)
)
"),"dolores davis")</f>
        <v>dolores davis</v>
      </c>
      <c r="O2419" s="7">
        <f t="shared" si="5"/>
        <v>1</v>
      </c>
      <c r="P2419" s="8" t="str">
        <f t="shared" si="6"/>
        <v>No</v>
      </c>
    </row>
    <row r="2420">
      <c r="A2420" s="4" t="s">
        <v>16</v>
      </c>
      <c r="B2420" s="4" t="s">
        <v>56</v>
      </c>
      <c r="C2420" s="9">
        <v>44683.0</v>
      </c>
      <c r="D2420" s="5">
        <v>44683.0</v>
      </c>
      <c r="E2420" s="4" t="s">
        <v>6769</v>
      </c>
      <c r="F2420" s="4" t="s">
        <v>6770</v>
      </c>
      <c r="G2420" s="6" t="str">
        <f>IFERROR(__xludf.DUMMYFUNCTION("REGEXREPLACE(LOWER(F2420),""[^a-z\s]"","""")"),"my pets prescription food has been out of stock everywhere for weeks i was recommended a replacement to help my cat while i tried to find something in stock but then i found his diet in stock on pet flow so i chose to purchase that almost a week later i g"&amp;"ot an email from petflow telling me my order was not in stock so it wouldnt be coming delaying my cat from having anything appropriate to eat that much longer i will never trust this company again")</f>
        <v>my pets prescription food has been out of stock everywhere for weeks i was recommended a replacement to help my cat while i tried to find something in stock but then i found his diet in stock on pet flow so i chose to purchase that almost a week later i got an email from petflow telling me my order was not in stock so it wouldnt be coming delaying my cat from having anything appropriate to eat that much longer i will never trust this company again</v>
      </c>
      <c r="H2420" s="4" t="str">
        <f t="shared" si="1"/>
        <v>my pets prescription food has been out of stock everywhere weeks i was recommended a replacement help my cat while i tried find something in stock but then i found his diet in stock on pet flow so i chose purchase that almost a week later i got an email from petflow telling me my order was not in stock so it wouldnt be coming delaying my cat from having anything appropriate eat that much longer i will never trust this company again</v>
      </c>
      <c r="I2420" s="6">
        <f t="shared" si="2"/>
        <v>83</v>
      </c>
      <c r="J2420" s="6">
        <f>IFERROR(__xludf.DUMMYFUNCTION("IF(H2420="""","""",
SUM(
ARRAYFORMULA(
IF(
REGEXMATCH(
"" ""&amp;H2420&amp;"" "",
"" ""&amp;Sentiment_Words!A$2:A3730&amp;"" ""
),
1,
0
)
)
)
)"),1.0)</f>
        <v>1</v>
      </c>
      <c r="K2420" s="4">
        <f>IFERROR(__xludf.DUMMYFUNCTION("IF(H2420="""","""",
SUM(
ARRAYFORMULA(
IF(
REGEXMATCH(
"" ""&amp;H2420&amp;"" "",
"" ""&amp;Sentiment_Words!B$2:B3730&amp;"" ""
),
1,
0
)
)
)
)"),1.0)</f>
        <v>1</v>
      </c>
      <c r="L2420" s="7" t="str">
        <f t="shared" si="3"/>
        <v>Fulfillment &amp; Shipping</v>
      </c>
      <c r="M2420" s="7" t="str">
        <f t="shared" si="4"/>
        <v>Neutral</v>
      </c>
      <c r="N2420" s="7" t="str">
        <f>IFERROR(__xludf.DUMMYFUNCTION("LOWER(
TRIM(
REGEXREPLACE(B2420,""[^a-zA-Z\s]"","""")
)
)
"),"customer")</f>
        <v>customer</v>
      </c>
      <c r="O2420" s="7">
        <f t="shared" si="5"/>
        <v>54</v>
      </c>
      <c r="P2420" s="8" t="str">
        <f t="shared" si="6"/>
        <v>Yes</v>
      </c>
    </row>
    <row r="2421">
      <c r="A2421" s="4" t="s">
        <v>16</v>
      </c>
      <c r="B2421" s="4" t="s">
        <v>6771</v>
      </c>
      <c r="C2421" s="9">
        <v>44682.0</v>
      </c>
      <c r="D2421" s="5">
        <v>44682.0</v>
      </c>
      <c r="E2421" s="4" t="s">
        <v>6772</v>
      </c>
      <c r="F2421" s="4" t="s">
        <v>6773</v>
      </c>
      <c r="G2421" s="6" t="str">
        <f>IFERROR(__xludf.DUMMYFUNCTION("REGEXREPLACE(LOWER(F2421),""[^a-z\s]"","""")"),"i was told to mail in the prescription for the productthan i got an email that they did not have the product and now i dont have the prescription
it would have been a lot easier if i was told they did not have it")</f>
        <v>i was told to mail in the prescription for the productthan i got an email that they did not have the product and now i dont have the prescription
it would have been a lot easier if i was told they did not have it</v>
      </c>
      <c r="H2421" s="4" t="str">
        <f t="shared" si="1"/>
        <v>i was told mail in prescription productthan i got an email that they did not have product now i dont have prescription
it would have been a lot easier if i was told they did not have it</v>
      </c>
      <c r="I2421" s="6">
        <f t="shared" si="2"/>
        <v>37</v>
      </c>
      <c r="J2421" s="6">
        <f>IFERROR(__xludf.DUMMYFUNCTION("IF(H2421="""","""",
SUM(
ARRAYFORMULA(
IF(
REGEXMATCH(
"" ""&amp;H2421&amp;"" "",
"" ""&amp;Sentiment_Words!A$2:A3730&amp;"" ""
),
1,
0
)
)
)
)"),0.0)</f>
        <v>0</v>
      </c>
      <c r="K2421" s="4">
        <f>IFERROR(__xludf.DUMMYFUNCTION("IF(H2421="""","""",
SUM(
ARRAYFORMULA(
IF(
REGEXMATCH(
"" ""&amp;H2421&amp;"" "",
"" ""&amp;Sentiment_Words!B$2:B3730&amp;"" ""
),
1,
0
)
)
)
)"),0.0)</f>
        <v>0</v>
      </c>
      <c r="L2421" s="7" t="str">
        <f t="shared" si="3"/>
        <v>Other</v>
      </c>
      <c r="M2421" s="7" t="str">
        <f t="shared" si="4"/>
        <v>Neutral</v>
      </c>
      <c r="N2421" s="7" t="str">
        <f>IFERROR(__xludf.DUMMYFUNCTION("LOWER(
TRIM(
REGEXREPLACE(B2421,""[^a-zA-Z\s]"","""")
)
)
"),"arnold gerber")</f>
        <v>arnold gerber</v>
      </c>
      <c r="O2421" s="7">
        <f t="shared" si="5"/>
        <v>1</v>
      </c>
      <c r="P2421" s="8" t="str">
        <f t="shared" si="6"/>
        <v>No</v>
      </c>
    </row>
    <row r="2422">
      <c r="A2422" s="4" t="s">
        <v>16</v>
      </c>
      <c r="B2422" s="4" t="s">
        <v>6774</v>
      </c>
      <c r="C2422" s="9">
        <v>44682.0</v>
      </c>
      <c r="D2422" s="5">
        <v>44682.0</v>
      </c>
      <c r="E2422" s="4" t="s">
        <v>6775</v>
      </c>
      <c r="F2422" s="4" t="s">
        <v>6776</v>
      </c>
      <c r="G2422" s="6" t="str">
        <f>IFERROR(__xludf.DUMMYFUNCTION("REGEXREPLACE(LOWER(F2422),""[^a-z\s]"","""")"),"petflow has always delivered when expected there have been a very few rare occasions when something happened due to the courier service but petflow made it right immediately also the food i buy is hard to find in local stores but is available through petf"&amp;"low i love the convenience of having the large bags of dogfood delivered to my front door i wish there was an easier way to use the coupons i receive from the food manufacturer that is my only regret using petflow")</f>
        <v>petflow has always delivered when expected there have been a very few rare occasions when something happened due to the courier service but petflow made it right immediately also the food i buy is hard to find in local stores but is available through petflow i love the convenience of having the large bags of dogfood delivered to my front door i wish there was an easier way to use the coupons i receive from the food manufacturer that is my only regret using petflow</v>
      </c>
      <c r="H2422" s="4" t="str">
        <f t="shared" si="1"/>
        <v>petflow has always delivered when expected there have been a very few rare occasions when something happened due courier service but petflow made it right immediately also food i buy hard find in local stores but available through petflow i love convenience of having large bags of dogfood delivered my front door i wish there was an easier way use coupons i receive from food manufacturer that my only regret using petflow</v>
      </c>
      <c r="I2422" s="6">
        <f t="shared" si="2"/>
        <v>72</v>
      </c>
      <c r="J2422" s="6">
        <f>IFERROR(__xludf.DUMMYFUNCTION("IF(H2422="""","""",
SUM(
ARRAYFORMULA(
IF(
REGEXMATCH(
"" ""&amp;H2422&amp;"" "",
"" ""&amp;Sentiment_Words!A$2:A3730&amp;"" ""
),
1,
0
)
)
)
)"),4.0)</f>
        <v>4</v>
      </c>
      <c r="K2422" s="4">
        <f>IFERROR(__xludf.DUMMYFUNCTION("IF(H2422="""","""",
SUM(
ARRAYFORMULA(
IF(
REGEXMATCH(
"" ""&amp;H2422&amp;"" "",
"" ""&amp;Sentiment_Words!B$2:B3730&amp;"" ""
),
1,
0
)
)
)
)"),0.0)</f>
        <v>0</v>
      </c>
      <c r="L2422" s="7" t="str">
        <f t="shared" si="3"/>
        <v>Customer Support</v>
      </c>
      <c r="M2422" s="7" t="str">
        <f t="shared" si="4"/>
        <v>Positive</v>
      </c>
      <c r="N2422" s="7" t="str">
        <f>IFERROR(__xludf.DUMMYFUNCTION("LOWER(
TRIM(
REGEXREPLACE(B2422,""[^a-zA-Z\s]"","""")
)
)
"),"lisa gonzalez")</f>
        <v>lisa gonzalez</v>
      </c>
      <c r="O2422" s="7">
        <f t="shared" si="5"/>
        <v>1</v>
      </c>
      <c r="P2422" s="8" t="str">
        <f t="shared" si="6"/>
        <v>No</v>
      </c>
    </row>
    <row r="2423">
      <c r="A2423" s="4" t="s">
        <v>16</v>
      </c>
      <c r="B2423" s="4" t="s">
        <v>6777</v>
      </c>
      <c r="C2423" s="9">
        <v>44682.0</v>
      </c>
      <c r="D2423" s="5">
        <v>44682.0</v>
      </c>
      <c r="E2423" s="4" t="s">
        <v>6778</v>
      </c>
      <c r="F2423" s="4" t="s">
        <v>6779</v>
      </c>
      <c r="G2423" s="6" t="str">
        <f>IFERROR(__xludf.DUMMYFUNCTION("REGEXREPLACE(LOWER(F2423),""[^a-z\s]"","""")"),"very happy with the experience customer
service very pleasant and speed of order sorry the food is out of stock still but would order here again once it comes back in thank you")</f>
        <v>very happy with the experience customer
service very pleasant and speed of order sorry the food is out of stock still but would order here again once it comes back in thank you</v>
      </c>
      <c r="H2423" s="4" t="str">
        <f t="shared" si="1"/>
        <v>very happy with experience customer
service very pleasant speed of order sorry food out of stock still but would order here again once it comes back in thank you</v>
      </c>
      <c r="I2423" s="6">
        <f t="shared" si="2"/>
        <v>28</v>
      </c>
      <c r="J2423" s="6">
        <f>IFERROR(__xludf.DUMMYFUNCTION("IF(H2423="""","""",
SUM(
ARRAYFORMULA(
IF(
REGEXMATCH(
"" ""&amp;H2423&amp;"" "",
"" ""&amp;Sentiment_Words!A$2:A3730&amp;"" ""
),
1,
0
)
)
)
)"),1.0)</f>
        <v>1</v>
      </c>
      <c r="K2423" s="4">
        <f>IFERROR(__xludf.DUMMYFUNCTION("IF(H2423="""","""",
SUM(
ARRAYFORMULA(
IF(
REGEXMATCH(
"" ""&amp;H2423&amp;"" "",
"" ""&amp;Sentiment_Words!B$2:B3730&amp;"" ""
),
1,
0
)
)
)
)"),1.0)</f>
        <v>1</v>
      </c>
      <c r="L2423" s="7" t="str">
        <f t="shared" si="3"/>
        <v>Customer Support</v>
      </c>
      <c r="M2423" s="7" t="str">
        <f t="shared" si="4"/>
        <v>Neutral</v>
      </c>
      <c r="N2423" s="7" t="str">
        <f>IFERROR(__xludf.DUMMYFUNCTION("LOWER(
TRIM(
REGEXREPLACE(B2423,""[^a-zA-Z\s]"","""")
)
)
"),"jbaj")</f>
        <v>jbaj</v>
      </c>
      <c r="O2423" s="7">
        <f t="shared" si="5"/>
        <v>1</v>
      </c>
      <c r="P2423" s="8" t="str">
        <f t="shared" si="6"/>
        <v>No</v>
      </c>
    </row>
    <row r="2424">
      <c r="A2424" s="4" t="s">
        <v>16</v>
      </c>
      <c r="B2424" s="4" t="s">
        <v>6780</v>
      </c>
      <c r="C2424" s="9">
        <v>44682.0</v>
      </c>
      <c r="D2424" s="5">
        <v>44682.0</v>
      </c>
      <c r="E2424" s="4" t="s">
        <v>6781</v>
      </c>
      <c r="F2424" s="4" t="s">
        <v>6782</v>
      </c>
      <c r="G2424" s="6" t="str">
        <f>IFERROR(__xludf.DUMMYFUNCTION("REGEXREPLACE(LOWER(F2424),""[^a-z\s]"","""")"),"though my order was sent to the wrong address the company made it right by resending the product to the correct address quickly and without a hastle")</f>
        <v>though my order was sent to the wrong address the company made it right by resending the product to the correct address quickly and without a hastle</v>
      </c>
      <c r="H2424" s="4" t="str">
        <f t="shared" si="1"/>
        <v>though my order was sent wrong address company made it right by resending product correct address quickly without a hastle</v>
      </c>
      <c r="I2424" s="6">
        <f t="shared" si="2"/>
        <v>20</v>
      </c>
      <c r="J2424" s="6">
        <f>IFERROR(__xludf.DUMMYFUNCTION("IF(H2424="""","""",
SUM(
ARRAYFORMULA(
IF(
REGEXMATCH(
"" ""&amp;H2424&amp;"" "",
"" ""&amp;Sentiment_Words!A$2:A3730&amp;"" ""
),
1,
0
)
)
)
)"),0.0)</f>
        <v>0</v>
      </c>
      <c r="K2424" s="4">
        <f>IFERROR(__xludf.DUMMYFUNCTION("IF(H2424="""","""",
SUM(
ARRAYFORMULA(
IF(
REGEXMATCH(
"" ""&amp;H2424&amp;"" "",
"" ""&amp;Sentiment_Words!B$2:B3730&amp;"" ""
),
1,
0
)
)
)
)"),1.0)</f>
        <v>1</v>
      </c>
      <c r="L2424" s="7" t="str">
        <f t="shared" si="3"/>
        <v>Fulfillment &amp; Shipping</v>
      </c>
      <c r="M2424" s="7" t="str">
        <f t="shared" si="4"/>
        <v>Negative</v>
      </c>
      <c r="N2424" s="7" t="str">
        <f>IFERROR(__xludf.DUMMYFUNCTION("LOWER(
TRIM(
REGEXREPLACE(B2424,""[^a-zA-Z\s]"","""")
)
)
"),"jerome loewenstein")</f>
        <v>jerome loewenstein</v>
      </c>
      <c r="O2424" s="7">
        <f t="shared" si="5"/>
        <v>1</v>
      </c>
      <c r="P2424" s="8" t="str">
        <f t="shared" si="6"/>
        <v>No</v>
      </c>
    </row>
    <row r="2425">
      <c r="A2425" s="4" t="s">
        <v>16</v>
      </c>
      <c r="B2425" s="4" t="s">
        <v>6783</v>
      </c>
      <c r="C2425" s="9">
        <v>44682.0</v>
      </c>
      <c r="D2425" s="5">
        <v>44682.0</v>
      </c>
      <c r="E2425" s="4" t="s">
        <v>623</v>
      </c>
      <c r="F2425" s="4" t="s">
        <v>6784</v>
      </c>
      <c r="G2425" s="6" t="str">
        <f>IFERROR(__xludf.DUMMYFUNCTION("REGEXREPLACE(LOWER(F2425),""[^a-z\s]"","""")"),"easy to order delivery was great")</f>
        <v>easy to order delivery was great</v>
      </c>
      <c r="H2425" s="4" t="str">
        <f t="shared" si="1"/>
        <v>easy order delivery was great</v>
      </c>
      <c r="I2425" s="6">
        <f t="shared" si="2"/>
        <v>5</v>
      </c>
      <c r="J2425" s="6">
        <f>IFERROR(__xludf.DUMMYFUNCTION("IF(H2425="""","""",
SUM(
ARRAYFORMULA(
IF(
REGEXMATCH(
"" ""&amp;H2425&amp;"" "",
"" ""&amp;Sentiment_Words!A$2:A3730&amp;"" ""
),
1,
0
)
)
)
)"),2.0)</f>
        <v>2</v>
      </c>
      <c r="K2425" s="4">
        <f>IFERROR(__xludf.DUMMYFUNCTION("IF(H2425="""","""",
SUM(
ARRAYFORMULA(
IF(
REGEXMATCH(
"" ""&amp;H2425&amp;"" "",
"" ""&amp;Sentiment_Words!B$2:B3730&amp;"" ""
),
1,
0
)
)
)
)"),0.0)</f>
        <v>0</v>
      </c>
      <c r="L2425" s="7" t="str">
        <f t="shared" si="3"/>
        <v>Other</v>
      </c>
      <c r="M2425" s="7" t="str">
        <f t="shared" si="4"/>
        <v>Positive</v>
      </c>
      <c r="N2425" s="7" t="str">
        <f>IFERROR(__xludf.DUMMYFUNCTION("LOWER(
TRIM(
REGEXREPLACE(B2425,""[^a-zA-Z\s]"","""")
)
)
"),"ginger")</f>
        <v>ginger</v>
      </c>
      <c r="O2425" s="7">
        <f t="shared" si="5"/>
        <v>1</v>
      </c>
      <c r="P2425" s="8" t="str">
        <f t="shared" si="6"/>
        <v>No</v>
      </c>
    </row>
    <row r="2426">
      <c r="A2426" s="4" t="s">
        <v>16</v>
      </c>
      <c r="B2426" s="4" t="s">
        <v>252</v>
      </c>
      <c r="C2426" s="9">
        <v>44682.0</v>
      </c>
      <c r="D2426" s="5">
        <v>44682.0</v>
      </c>
      <c r="E2426" s="4" t="s">
        <v>6785</v>
      </c>
      <c r="F2426" s="4" t="s">
        <v>6786</v>
      </c>
      <c r="G2426" s="6" t="str">
        <f>IFERROR(__xludf.DUMMYFUNCTION("REGEXREPLACE(LOWER(F2426),""[^a-z\s]"","""")"),"quick shipping and responsive staff to customer inquiries")</f>
        <v>quick shipping and responsive staff to customer inquiries</v>
      </c>
      <c r="H2426" s="4" t="str">
        <f t="shared" si="1"/>
        <v>quick shipping responsive staff customer inquiries</v>
      </c>
      <c r="I2426" s="6">
        <f t="shared" si="2"/>
        <v>6</v>
      </c>
      <c r="J2426" s="6">
        <f>IFERROR(__xludf.DUMMYFUNCTION("IF(H2426="""","""",
SUM(
ARRAYFORMULA(
IF(
REGEXMATCH(
"" ""&amp;H2426&amp;"" "",
"" ""&amp;Sentiment_Words!A$2:A3730&amp;"" ""
),
1,
0
)
)
)
)"),0.0)</f>
        <v>0</v>
      </c>
      <c r="K2426" s="4">
        <f>IFERROR(__xludf.DUMMYFUNCTION("IF(H2426="""","""",
SUM(
ARRAYFORMULA(
IF(
REGEXMATCH(
"" ""&amp;H2426&amp;"" "",
"" ""&amp;Sentiment_Words!B$2:B3730&amp;"" ""
),
1,
0
)
)
)
)"),0.0)</f>
        <v>0</v>
      </c>
      <c r="L2426" s="7" t="str">
        <f t="shared" si="3"/>
        <v>Other</v>
      </c>
      <c r="M2426" s="7" t="str">
        <f t="shared" si="4"/>
        <v>Neutral</v>
      </c>
      <c r="N2426" s="7" t="str">
        <f>IFERROR(__xludf.DUMMYFUNCTION("LOWER(
TRIM(
REGEXREPLACE(B2426,""[^a-zA-Z\s]"","""")
)
)
"),"lisa")</f>
        <v>lisa</v>
      </c>
      <c r="O2426" s="7">
        <f t="shared" si="5"/>
        <v>8</v>
      </c>
      <c r="P2426" s="8" t="str">
        <f t="shared" si="6"/>
        <v>Yes</v>
      </c>
    </row>
    <row r="2427">
      <c r="A2427" s="4" t="s">
        <v>16</v>
      </c>
      <c r="B2427" s="4" t="s">
        <v>6787</v>
      </c>
      <c r="C2427" s="9">
        <v>44682.0</v>
      </c>
      <c r="D2427" s="5">
        <v>44682.0</v>
      </c>
      <c r="E2427" s="4" t="s">
        <v>6788</v>
      </c>
      <c r="F2427" s="4" t="s">
        <v>6789</v>
      </c>
      <c r="G2427" s="6" t="str">
        <f>IFERROR(__xludf.DUMMYFUNCTION("REGEXREPLACE(LOWER(F2427),""[^a-z\s]"","""")"),"seemed to take a long time from order to delivery but mist disappointing was a couple of the cans were dented and leaked all the liquid throughout the box")</f>
        <v>seemed to take a long time from order to delivery but mist disappointing was a couple of the cans were dented and leaked all the liquid throughout the box</v>
      </c>
      <c r="H2427" s="4" t="str">
        <f t="shared" si="1"/>
        <v>seemed take a long time from order delivery but mist disappointing was a couple of cans were dented leaked all liquid throughout box</v>
      </c>
      <c r="I2427" s="6">
        <f t="shared" si="2"/>
        <v>23</v>
      </c>
      <c r="J2427" s="6">
        <f>IFERROR(__xludf.DUMMYFUNCTION("IF(H2427="""","""",
SUM(
ARRAYFORMULA(
IF(
REGEXMATCH(
"" ""&amp;H2427&amp;"" "",
"" ""&amp;Sentiment_Words!A$2:A3730&amp;"" ""
),
1,
0
)
)
)
)"),0.0)</f>
        <v>0</v>
      </c>
      <c r="K2427" s="4">
        <f>IFERROR(__xludf.DUMMYFUNCTION("IF(H2427="""","""",
SUM(
ARRAYFORMULA(
IF(
REGEXMATCH(
"" ""&amp;H2427&amp;"" "",
"" ""&amp;Sentiment_Words!B$2:B3730&amp;"" ""
),
1,
0
)
)
)
)"),0.0)</f>
        <v>0</v>
      </c>
      <c r="L2427" s="7" t="str">
        <f t="shared" si="3"/>
        <v>Other</v>
      </c>
      <c r="M2427" s="7" t="str">
        <f t="shared" si="4"/>
        <v>Neutral</v>
      </c>
      <c r="N2427" s="7" t="str">
        <f>IFERROR(__xludf.DUMMYFUNCTION("LOWER(
TRIM(
REGEXREPLACE(B2427,""[^a-zA-Z\s]"","""")
)
)
"),"marcie garn")</f>
        <v>marcie garn</v>
      </c>
      <c r="O2427" s="7">
        <f t="shared" si="5"/>
        <v>1</v>
      </c>
      <c r="P2427" s="8" t="str">
        <f t="shared" si="6"/>
        <v>No</v>
      </c>
    </row>
    <row r="2428">
      <c r="A2428" s="4" t="s">
        <v>16</v>
      </c>
      <c r="B2428" s="4" t="s">
        <v>6790</v>
      </c>
      <c r="C2428" s="9">
        <v>44682.0</v>
      </c>
      <c r="D2428" s="5">
        <v>44682.0</v>
      </c>
      <c r="E2428" s="4" t="s">
        <v>1319</v>
      </c>
      <c r="F2428" s="4" t="s">
        <v>6791</v>
      </c>
      <c r="G2428" s="6" t="str">
        <f>IFERROR(__xludf.DUMMYFUNCTION("REGEXREPLACE(LOWER(F2428),""[^a-z\s]"","""")"),"excellent service prompt delivery able to purchase an item i couldnt find anywhere else")</f>
        <v>excellent service prompt delivery able to purchase an item i couldnt find anywhere else</v>
      </c>
      <c r="H2428" s="4" t="str">
        <f t="shared" si="1"/>
        <v>excellent service prompt delivery able purchase an item i couldnt find anywhere else</v>
      </c>
      <c r="I2428" s="6">
        <f t="shared" si="2"/>
        <v>13</v>
      </c>
      <c r="J2428" s="6">
        <f>IFERROR(__xludf.DUMMYFUNCTION("IF(H2428="""","""",
SUM(
ARRAYFORMULA(
IF(
REGEXMATCH(
"" ""&amp;H2428&amp;"" "",
"" ""&amp;Sentiment_Words!A$2:A3730&amp;"" ""
),
1,
0
)
)
)
)"),2.0)</f>
        <v>2</v>
      </c>
      <c r="K2428" s="4">
        <f>IFERROR(__xludf.DUMMYFUNCTION("IF(H2428="""","""",
SUM(
ARRAYFORMULA(
IF(
REGEXMATCH(
"" ""&amp;H2428&amp;"" "",
"" ""&amp;Sentiment_Words!B$2:B3730&amp;"" ""
),
1,
0
)
)
)
)"),0.0)</f>
        <v>0</v>
      </c>
      <c r="L2428" s="7" t="str">
        <f t="shared" si="3"/>
        <v>Customer Support</v>
      </c>
      <c r="M2428" s="7" t="str">
        <f t="shared" si="4"/>
        <v>Positive</v>
      </c>
      <c r="N2428" s="7" t="str">
        <f>IFERROR(__xludf.DUMMYFUNCTION("LOWER(
TRIM(
REGEXREPLACE(B2428,""[^a-zA-Z\s]"","""")
)
)
"),"claire goodwin")</f>
        <v>claire goodwin</v>
      </c>
      <c r="O2428" s="7">
        <f t="shared" si="5"/>
        <v>1</v>
      </c>
      <c r="P2428" s="8" t="str">
        <f t="shared" si="6"/>
        <v>No</v>
      </c>
    </row>
    <row r="2429">
      <c r="A2429" s="4" t="s">
        <v>16</v>
      </c>
      <c r="B2429" s="4" t="s">
        <v>6792</v>
      </c>
      <c r="C2429" s="9">
        <v>44682.0</v>
      </c>
      <c r="D2429" s="5">
        <v>44682.0</v>
      </c>
      <c r="E2429" s="4" t="s">
        <v>6793</v>
      </c>
      <c r="F2429" s="4" t="s">
        <v>6794</v>
      </c>
      <c r="G2429" s="6" t="str">
        <f>IFERROR(__xludf.DUMMYFUNCTION("REGEXREPLACE(LOWER(F2429),""[^a-z\s]"","""")"),"needed to return a bag of cat food that my cats did not do well on wanted to exchange for two bags of a different food was a simple process involving one phone call received a return label to send back unopened bag of cat food and received my replacement "&amp;"food within i believe four days customer service has alway been amazing love the variety of food available")</f>
        <v>needed to return a bag of cat food that my cats did not do well on wanted to exchange for two bags of a different food was a simple process involving one phone call received a return label to send back unopened bag of cat food and received my replacement food within i believe four days customer service has alway been amazing love the variety of food available</v>
      </c>
      <c r="H2429" s="4" t="str">
        <f t="shared" si="1"/>
        <v>needed return a bag of cat food that my cats did not do well on wanted exchange two bags of a different food was a simple process involving one phone call received a return label send back unopened bag of cat food received my replacement food within i believe four days customer service has alway been amazing love variety of food available</v>
      </c>
      <c r="I2429" s="6">
        <f t="shared" si="2"/>
        <v>62</v>
      </c>
      <c r="J2429" s="6">
        <f>IFERROR(__xludf.DUMMYFUNCTION("IF(H2429="""","""",
SUM(
ARRAYFORMULA(
IF(
REGEXMATCH(
"" ""&amp;H2429&amp;"" "",
"" ""&amp;Sentiment_Words!A$2:A3730&amp;"" ""
),
1,
0
)
)
)
)"),2.0)</f>
        <v>2</v>
      </c>
      <c r="K2429" s="4">
        <f>IFERROR(__xludf.DUMMYFUNCTION("IF(H2429="""","""",
SUM(
ARRAYFORMULA(
IF(
REGEXMATCH(
"" ""&amp;H2429&amp;"" "",
"" ""&amp;Sentiment_Words!B$2:B3730&amp;"" ""
),
1,
0
)
)
)
)"),1.0)</f>
        <v>1</v>
      </c>
      <c r="L2429" s="7" t="str">
        <f t="shared" si="3"/>
        <v>Customer Support</v>
      </c>
      <c r="M2429" s="7" t="str">
        <f t="shared" si="4"/>
        <v>Positive</v>
      </c>
      <c r="N2429" s="7" t="str">
        <f>IFERROR(__xludf.DUMMYFUNCTION("LOWER(
TRIM(
REGEXREPLACE(B2429,""[^a-zA-Z\s]"","""")
)
)
"),"patricia nissenbaumdon childs")</f>
        <v>patricia nissenbaumdon childs</v>
      </c>
      <c r="O2429" s="7">
        <f t="shared" si="5"/>
        <v>1</v>
      </c>
      <c r="P2429" s="8" t="str">
        <f t="shared" si="6"/>
        <v>No</v>
      </c>
    </row>
    <row r="2430">
      <c r="A2430" s="4" t="s">
        <v>16</v>
      </c>
      <c r="B2430" s="4" t="s">
        <v>6795</v>
      </c>
      <c r="C2430" s="9">
        <v>44682.0</v>
      </c>
      <c r="D2430" s="5">
        <v>44682.0</v>
      </c>
      <c r="E2430" s="4" t="s">
        <v>6796</v>
      </c>
      <c r="F2430" s="4" t="s">
        <v>6797</v>
      </c>
      <c r="G2430" s="6" t="str">
        <f>IFERROR(__xludf.DUMMYFUNCTION("REGEXREPLACE(LOWER(F2430),""[^a-z\s]"","""")"),"fantastic service quick delivery and the food was unspoiled and not damaged will be coming back for more kitty thanks you too ")</f>
        <v>fantastic service quick delivery and the food was unspoiled and not damaged will be coming back for more kitty thanks you too </v>
      </c>
      <c r="H2430" s="4" t="str">
        <f t="shared" si="1"/>
        <v>fantastic service quick delivery food was unspoiled not damaged will be coming back more kitty thanks you too</v>
      </c>
      <c r="I2430" s="6">
        <f t="shared" si="2"/>
        <v>18</v>
      </c>
      <c r="J2430" s="6">
        <f>IFERROR(__xludf.DUMMYFUNCTION("IF(H2430="""","""",
SUM(
ARRAYFORMULA(
IF(
REGEXMATCH(
"" ""&amp;H2430&amp;"" "",
"" ""&amp;Sentiment_Words!A$2:A3730&amp;"" ""
),
1,
0
)
)
)
)"),1.0)</f>
        <v>1</v>
      </c>
      <c r="K2430" s="4">
        <f>IFERROR(__xludf.DUMMYFUNCTION("IF(H2430="""","""",
SUM(
ARRAYFORMULA(
IF(
REGEXMATCH(
"" ""&amp;H2430&amp;"" "",
"" ""&amp;Sentiment_Words!B$2:B3730&amp;"" ""
),
1,
0
)
)
)
)"),0.0)</f>
        <v>0</v>
      </c>
      <c r="L2430" s="7" t="str">
        <f t="shared" si="3"/>
        <v>Food Safety</v>
      </c>
      <c r="M2430" s="7" t="str">
        <f t="shared" si="4"/>
        <v>Positive</v>
      </c>
      <c r="N2430" s="7" t="str">
        <f>IFERROR(__xludf.DUMMYFUNCTION("LOWER(
TRIM(
REGEXREPLACE(B2430,""[^a-zA-Z\s]"","""")
)
)
"),"mike")</f>
        <v>mike</v>
      </c>
      <c r="O2430" s="7">
        <f t="shared" si="5"/>
        <v>4</v>
      </c>
      <c r="P2430" s="8" t="str">
        <f t="shared" si="6"/>
        <v>Yes</v>
      </c>
    </row>
    <row r="2431">
      <c r="A2431" s="4" t="s">
        <v>16</v>
      </c>
      <c r="B2431" s="4" t="s">
        <v>6798</v>
      </c>
      <c r="C2431" s="9">
        <v>44682.0</v>
      </c>
      <c r="D2431" s="5">
        <v>44682.0</v>
      </c>
      <c r="E2431" s="4" t="s">
        <v>6799</v>
      </c>
      <c r="F2431" s="4" t="s">
        <v>6800</v>
      </c>
      <c r="G2431" s="6" t="str">
        <f>IFERROR(__xludf.DUMMYFUNCTION("REGEXREPLACE(LOWER(F2431),""[^a-z\s]"","""")"),"petflow does an outstanding job when it comes to providing timely deliveries they also have a wide variety of products from which to choose thank yu petflow")</f>
        <v>petflow does an outstanding job when it comes to providing timely deliveries they also have a wide variety of products from which to choose thank yu petflow</v>
      </c>
      <c r="H2431" s="4" t="str">
        <f t="shared" si="1"/>
        <v>petflow does an outstanding job when it comes providing timely deliveries they also have a wide variety of products from which choose thank yu petflow</v>
      </c>
      <c r="I2431" s="6">
        <f t="shared" si="2"/>
        <v>25</v>
      </c>
      <c r="J2431" s="6">
        <f>IFERROR(__xludf.DUMMYFUNCTION("IF(H2431="""","""",
SUM(
ARRAYFORMULA(
IF(
REGEXMATCH(
"" ""&amp;H2431&amp;"" "",
"" ""&amp;Sentiment_Words!A$2:A3730&amp;"" ""
),
1,
0
)
)
)
)"),0.0)</f>
        <v>0</v>
      </c>
      <c r="K2431" s="4">
        <f>IFERROR(__xludf.DUMMYFUNCTION("IF(H2431="""","""",
SUM(
ARRAYFORMULA(
IF(
REGEXMATCH(
"" ""&amp;H2431&amp;"" "",
"" ""&amp;Sentiment_Words!B$2:B3730&amp;"" ""
),
1,
0
)
)
)
)"),0.0)</f>
        <v>0</v>
      </c>
      <c r="L2431" s="7" t="str">
        <f t="shared" si="3"/>
        <v>Other</v>
      </c>
      <c r="M2431" s="7" t="str">
        <f t="shared" si="4"/>
        <v>Neutral</v>
      </c>
      <c r="N2431" s="7" t="str">
        <f>IFERROR(__xludf.DUMMYFUNCTION("LOWER(
TRIM(
REGEXREPLACE(B2431,""[^a-zA-Z\s]"","""")
)
)
"),"beans")</f>
        <v>beans</v>
      </c>
      <c r="O2431" s="7">
        <f t="shared" si="5"/>
        <v>1</v>
      </c>
      <c r="P2431" s="8" t="str">
        <f t="shared" si="6"/>
        <v>No</v>
      </c>
    </row>
    <row r="2432">
      <c r="A2432" s="4" t="s">
        <v>16</v>
      </c>
      <c r="B2432" s="4" t="s">
        <v>6801</v>
      </c>
      <c r="C2432" s="5">
        <v>44681.0</v>
      </c>
      <c r="D2432" s="5">
        <v>44682.0</v>
      </c>
      <c r="E2432" s="4" t="s">
        <v>6802</v>
      </c>
      <c r="F2432" s="4" t="s">
        <v>6803</v>
      </c>
      <c r="G2432" s="6" t="str">
        <f>IFERROR(__xludf.DUMMYFUNCTION("REGEXREPLACE(LOWER(F2432),""[^a-z\s]"","""")"),"i have discovered petflow to be a resource to depend on
the last shipment of the blue wilderness turkey of which
i usually order the  pack of   oz cans   free
shipping included was received minus  carton a quick call
to petflow with no hassel resolution w"&amp;"as what i expected
and remarkably thats what i got
i look for dependability and honesty when it comes to doing
business and that is what perflow is all about
thanks for being there")</f>
        <v>i have discovered petflow to be a resource to depend on
the last shipment of the blue wilderness turkey of which
i usually order the  pack of   oz cans   free
shipping included was received minus  carton a quick call
to petflow with no hassel resolution was what i expected
and remarkably thats what i got
i look for dependability and honesty when it comes to doing
business and that is what perflow is all about
thanks for being there</v>
      </c>
      <c r="H2432" s="4" t="str">
        <f t="shared" si="1"/>
        <v>i have discovered petflow be a resource depend on
the last shipment of blue wilderness turkey of which
i usually order pack of oz cans free
shipping included was received minus carton a quick call
to petflow with no hassel resolution was what i expected
and remarkably thats what i got
i look dependability honesty when it comes doing
business that what perflow all about
thanks being there</v>
      </c>
      <c r="I2432" s="6">
        <f t="shared" si="2"/>
        <v>60</v>
      </c>
      <c r="J2432" s="6">
        <f>IFERROR(__xludf.DUMMYFUNCTION("IF(H2432="""","""",
SUM(
ARRAYFORMULA(
IF(
REGEXMATCH(
"" ""&amp;H2432&amp;"" "",
"" ""&amp;Sentiment_Words!A$2:A3730&amp;"" ""
),
1,
0
)
)
)
)"),0.0)</f>
        <v>0</v>
      </c>
      <c r="K2432" s="4">
        <f>IFERROR(__xludf.DUMMYFUNCTION("IF(H2432="""","""",
SUM(
ARRAYFORMULA(
IF(
REGEXMATCH(
"" ""&amp;H2432&amp;"" "",
"" ""&amp;Sentiment_Words!B$2:B3730&amp;"" ""
),
1,
0
)
)
)
)"),0.0)</f>
        <v>0</v>
      </c>
      <c r="L2432" s="7" t="str">
        <f t="shared" si="3"/>
        <v>Other</v>
      </c>
      <c r="M2432" s="7" t="str">
        <f t="shared" si="4"/>
        <v>Neutral</v>
      </c>
      <c r="N2432" s="7" t="str">
        <f>IFERROR(__xludf.DUMMYFUNCTION("LOWER(
TRIM(
REGEXREPLACE(B2432,""[^a-zA-Z\s]"","""")
)
)
"),"dgi")</f>
        <v>dgi</v>
      </c>
      <c r="O2432" s="7">
        <f t="shared" si="5"/>
        <v>1</v>
      </c>
      <c r="P2432" s="8" t="str">
        <f t="shared" si="6"/>
        <v>No</v>
      </c>
    </row>
    <row r="2433">
      <c r="A2433" s="4" t="s">
        <v>16</v>
      </c>
      <c r="B2433" s="4" t="s">
        <v>6804</v>
      </c>
      <c r="C2433" s="5">
        <v>44681.0</v>
      </c>
      <c r="D2433" s="5">
        <v>44682.0</v>
      </c>
      <c r="E2433" s="4" t="s">
        <v>6805</v>
      </c>
      <c r="F2433" s="4" t="s">
        <v>6806</v>
      </c>
      <c r="G2433" s="6" t="str">
        <f>IFERROR(__xludf.DUMMYFUNCTION("REGEXREPLACE(LOWER(F2433),""[^a-z\s]"","""")"),"they had great products to choose from that arrive on time and fast for all things i have ever bought")</f>
        <v>they had great products to choose from that arrive on time and fast for all things i have ever bought</v>
      </c>
      <c r="H2433" s="4" t="str">
        <f t="shared" si="1"/>
        <v>they had great products choose from that arrive on time fast all things i have ever bought</v>
      </c>
      <c r="I2433" s="6">
        <f t="shared" si="2"/>
        <v>17</v>
      </c>
      <c r="J2433" s="6">
        <f>IFERROR(__xludf.DUMMYFUNCTION("IF(H2433="""","""",
SUM(
ARRAYFORMULA(
IF(
REGEXMATCH(
"" ""&amp;H2433&amp;"" "",
"" ""&amp;Sentiment_Words!A$2:A3730&amp;"" ""
),
1,
0
)
)
)
)"),3.0)</f>
        <v>3</v>
      </c>
      <c r="K2433" s="4">
        <f>IFERROR(__xludf.DUMMYFUNCTION("IF(H2433="""","""",
SUM(
ARRAYFORMULA(
IF(
REGEXMATCH(
"" ""&amp;H2433&amp;"" "",
"" ""&amp;Sentiment_Words!B$2:B3730&amp;"" ""
),
1,
0
)
)
)
)"),0.0)</f>
        <v>0</v>
      </c>
      <c r="L2433" s="7" t="str">
        <f t="shared" si="3"/>
        <v>Other</v>
      </c>
      <c r="M2433" s="7" t="str">
        <f t="shared" si="4"/>
        <v>Positive</v>
      </c>
      <c r="N2433" s="7" t="str">
        <f>IFERROR(__xludf.DUMMYFUNCTION("LOWER(
TRIM(
REGEXREPLACE(B2433,""[^a-zA-Z\s]"","""")
)
)
"),"richard buckwalter")</f>
        <v>richard buckwalter</v>
      </c>
      <c r="O2433" s="7">
        <f t="shared" si="5"/>
        <v>1</v>
      </c>
      <c r="P2433" s="8" t="str">
        <f t="shared" si="6"/>
        <v>No</v>
      </c>
    </row>
    <row r="2434">
      <c r="A2434" s="4" t="s">
        <v>16</v>
      </c>
      <c r="B2434" s="4" t="s">
        <v>6807</v>
      </c>
      <c r="C2434" s="5">
        <v>44681.0</v>
      </c>
      <c r="D2434" s="10">
        <v>44681.0</v>
      </c>
      <c r="E2434" s="4" t="s">
        <v>6808</v>
      </c>
      <c r="F2434" s="4" t="s">
        <v>6809</v>
      </c>
      <c r="G2434" s="6" t="str">
        <f>IFERROR(__xludf.DUMMYFUNCTION("REGEXREPLACE(LOWER(F2434),""[^a-z\s]"","""")"),"there was some confusion about what and when my order was to be shipped after a few messages my order was delivered and all was well")</f>
        <v>there was some confusion about what and when my order was to be shipped after a few messages my order was delivered and all was well</v>
      </c>
      <c r="H2434" s="4" t="str">
        <f t="shared" si="1"/>
        <v>there was some confusion about what when my order was be shipped after a few messages my order was delivered all was well</v>
      </c>
      <c r="I2434" s="6">
        <f t="shared" si="2"/>
        <v>23</v>
      </c>
      <c r="J2434" s="6">
        <f>IFERROR(__xludf.DUMMYFUNCTION("IF(H2434="""","""",
SUM(
ARRAYFORMULA(
IF(
REGEXMATCH(
"" ""&amp;H2434&amp;"" "",
"" ""&amp;Sentiment_Words!A$2:A3730&amp;"" ""
),
1,
0
)
)
)
)"),1.0)</f>
        <v>1</v>
      </c>
      <c r="K2434" s="4">
        <f>IFERROR(__xludf.DUMMYFUNCTION("IF(H2434="""","""",
SUM(
ARRAYFORMULA(
IF(
REGEXMATCH(
"" ""&amp;H2434&amp;"" "",
"" ""&amp;Sentiment_Words!B$2:B3730&amp;"" ""
),
1,
0
)
)
)
)"),0.0)</f>
        <v>0</v>
      </c>
      <c r="L2434" s="7" t="str">
        <f t="shared" si="3"/>
        <v>Other</v>
      </c>
      <c r="M2434" s="7" t="str">
        <f t="shared" si="4"/>
        <v>Positive</v>
      </c>
      <c r="N2434" s="7" t="str">
        <f>IFERROR(__xludf.DUMMYFUNCTION("LOWER(
TRIM(
REGEXREPLACE(B2434,""[^a-zA-Z\s]"","""")
)
)
"),"fran davis")</f>
        <v>fran davis</v>
      </c>
      <c r="O2434" s="7">
        <f t="shared" si="5"/>
        <v>1</v>
      </c>
      <c r="P2434" s="8" t="str">
        <f t="shared" si="6"/>
        <v>No</v>
      </c>
    </row>
    <row r="2435">
      <c r="A2435" s="4" t="s">
        <v>16</v>
      </c>
      <c r="B2435" s="4" t="s">
        <v>6810</v>
      </c>
      <c r="C2435" s="5">
        <v>44681.0</v>
      </c>
      <c r="D2435" s="10">
        <v>44681.0</v>
      </c>
      <c r="E2435" s="4" t="s">
        <v>6811</v>
      </c>
      <c r="F2435" s="4" t="s">
        <v>6812</v>
      </c>
      <c r="G2435" s="6" t="str">
        <f>IFERROR(__xludf.DUMMYFUNCTION("REGEXREPLACE(LOWER(F2435),""[^a-z\s]"","""")"),"i went with petflow for our dogs food because they had the cheapest shipping rate my surprise was although it was the cheapest it was also the fastest")</f>
        <v>i went with petflow for our dogs food because they had the cheapest shipping rate my surprise was although it was the cheapest it was also the fastest</v>
      </c>
      <c r="H2435" s="4" t="str">
        <f t="shared" si="1"/>
        <v>i went with petflow our dogs food because they had cheapest shipping rate my surprise was although it was cheapest it was also fastest</v>
      </c>
      <c r="I2435" s="6">
        <f t="shared" si="2"/>
        <v>24</v>
      </c>
      <c r="J2435" s="6">
        <f>IFERROR(__xludf.DUMMYFUNCTION("IF(H2435="""","""",
SUM(
ARRAYFORMULA(
IF(
REGEXMATCH(
"" ""&amp;H2435&amp;"" "",
"" ""&amp;Sentiment_Words!A$2:A3730&amp;"" ""
),
1,
0
)
)
)
)"),0.0)</f>
        <v>0</v>
      </c>
      <c r="K2435" s="4">
        <f>IFERROR(__xludf.DUMMYFUNCTION("IF(H2435="""","""",
SUM(
ARRAYFORMULA(
IF(
REGEXMATCH(
"" ""&amp;H2435&amp;"" "",
"" ""&amp;Sentiment_Words!B$2:B3730&amp;"" ""
),
1,
0
)
)
)
)"),0.0)</f>
        <v>0</v>
      </c>
      <c r="L2435" s="7" t="str">
        <f t="shared" si="3"/>
        <v>Other</v>
      </c>
      <c r="M2435" s="7" t="str">
        <f t="shared" si="4"/>
        <v>Neutral</v>
      </c>
      <c r="N2435" s="7" t="str">
        <f>IFERROR(__xludf.DUMMYFUNCTION("LOWER(
TRIM(
REGEXREPLACE(B2435,""[^a-zA-Z\s]"","""")
)
)
"),"ktrekker")</f>
        <v>ktrekker</v>
      </c>
      <c r="O2435" s="7">
        <f t="shared" si="5"/>
        <v>1</v>
      </c>
      <c r="P2435" s="8" t="str">
        <f t="shared" si="6"/>
        <v>No</v>
      </c>
    </row>
    <row r="2436">
      <c r="A2436" s="4" t="s">
        <v>16</v>
      </c>
      <c r="B2436" s="4" t="s">
        <v>6813</v>
      </c>
      <c r="C2436" s="5">
        <v>44681.0</v>
      </c>
      <c r="D2436" s="10">
        <v>44681.0</v>
      </c>
      <c r="E2436" s="4" t="s">
        <v>6814</v>
      </c>
      <c r="F2436" s="4" t="s">
        <v>6815</v>
      </c>
      <c r="G2436" s="6" t="str">
        <f>IFERROR(__xludf.DUMMYFUNCTION("REGEXREPLACE(LOWER(F2436),""[^a-z\s]"","""")"),"ordering was very easy and they had a much quicker processing time than other places customer service was very friendly")</f>
        <v>ordering was very easy and they had a much quicker processing time than other places customer service was very friendly</v>
      </c>
      <c r="H2436" s="4" t="str">
        <f t="shared" si="1"/>
        <v>ordering was very easy they had a much quicker processing time than other places customer service was very friendly</v>
      </c>
      <c r="I2436" s="6">
        <f t="shared" si="2"/>
        <v>19</v>
      </c>
      <c r="J2436" s="6">
        <f>IFERROR(__xludf.DUMMYFUNCTION("IF(H2436="""","""",
SUM(
ARRAYFORMULA(
IF(
REGEXMATCH(
"" ""&amp;H2436&amp;"" "",
"" ""&amp;Sentiment_Words!A$2:A3730&amp;"" ""
),
1,
0
)
)
)
)"),1.0)</f>
        <v>1</v>
      </c>
      <c r="K2436" s="4">
        <f>IFERROR(__xludf.DUMMYFUNCTION("IF(H2436="""","""",
SUM(
ARRAYFORMULA(
IF(
REGEXMATCH(
"" ""&amp;H2436&amp;"" "",
"" ""&amp;Sentiment_Words!B$2:B3730&amp;"" ""
),
1,
0
)
)
)
)"),1.0)</f>
        <v>1</v>
      </c>
      <c r="L2436" s="7" t="str">
        <f t="shared" si="3"/>
        <v>Customer Support</v>
      </c>
      <c r="M2436" s="7" t="str">
        <f t="shared" si="4"/>
        <v>Neutral</v>
      </c>
      <c r="N2436" s="7" t="str">
        <f>IFERROR(__xludf.DUMMYFUNCTION("LOWER(
TRIM(
REGEXREPLACE(B2436,""[^a-zA-Z\s]"","""")
)
)
"),"charlene r glover")</f>
        <v>charlene r glover</v>
      </c>
      <c r="O2436" s="7">
        <f t="shared" si="5"/>
        <v>1</v>
      </c>
      <c r="P2436" s="8" t="str">
        <f t="shared" si="6"/>
        <v>No</v>
      </c>
    </row>
    <row r="2437">
      <c r="A2437" s="4" t="s">
        <v>16</v>
      </c>
      <c r="B2437" s="4" t="s">
        <v>6816</v>
      </c>
      <c r="C2437" s="5">
        <v>44681.0</v>
      </c>
      <c r="D2437" s="10">
        <v>44681.0</v>
      </c>
      <c r="E2437" s="4" t="s">
        <v>6817</v>
      </c>
      <c r="F2437" s="4" t="s">
        <v>331</v>
      </c>
      <c r="G2437" s="6" t="str">
        <f>IFERROR(__xludf.DUMMYFUNCTION("REGEXREPLACE(LOWER(F2437),""[^a-z\s]"","""")"),"none")</f>
        <v>none</v>
      </c>
      <c r="H2437" s="4" t="str">
        <f t="shared" si="1"/>
        <v>none</v>
      </c>
      <c r="I2437" s="6">
        <f t="shared" si="2"/>
        <v>1</v>
      </c>
      <c r="J2437" s="6">
        <f>IFERROR(__xludf.DUMMYFUNCTION("IF(H2437="""","""",
SUM(
ARRAYFORMULA(
IF(
REGEXMATCH(
"" ""&amp;H2437&amp;"" "",
"" ""&amp;Sentiment_Words!A$2:A3730&amp;"" ""
),
1,
0
)
)
)
)"),0.0)</f>
        <v>0</v>
      </c>
      <c r="K2437" s="4">
        <f>IFERROR(__xludf.DUMMYFUNCTION("IF(H2437="""","""",
SUM(
ARRAYFORMULA(
IF(
REGEXMATCH(
"" ""&amp;H2437&amp;"" "",
"" ""&amp;Sentiment_Words!B$2:B3730&amp;"" ""
),
1,
0
)
)
)
)"),0.0)</f>
        <v>0</v>
      </c>
      <c r="L2437" s="7" t="str">
        <f t="shared" si="3"/>
        <v>Other</v>
      </c>
      <c r="M2437" s="7" t="str">
        <f t="shared" si="4"/>
        <v>Neutral</v>
      </c>
      <c r="N2437" s="7" t="str">
        <f>IFERROR(__xludf.DUMMYFUNCTION("LOWER(
TRIM(
REGEXREPLACE(B2437,""[^a-zA-Z\s]"","""")
)
)
"),"c b")</f>
        <v>c b</v>
      </c>
      <c r="O2437" s="7">
        <f t="shared" si="5"/>
        <v>1</v>
      </c>
      <c r="P2437" s="8" t="str">
        <f t="shared" si="6"/>
        <v>No</v>
      </c>
    </row>
    <row r="2438">
      <c r="A2438" s="4" t="s">
        <v>16</v>
      </c>
      <c r="B2438" s="4" t="s">
        <v>6818</v>
      </c>
      <c r="C2438" s="5">
        <v>44681.0</v>
      </c>
      <c r="D2438" s="10">
        <v>44681.0</v>
      </c>
      <c r="E2438" s="4" t="s">
        <v>6819</v>
      </c>
      <c r="F2438" s="4" t="s">
        <v>6820</v>
      </c>
      <c r="G2438" s="6" t="str">
        <f>IFERROR(__xludf.DUMMYFUNCTION("REGEXREPLACE(LOWER(F2438),""[^a-z\s]"","""")"),"my latest order of two  pound bags of fromm dog food arrived in a box that had been badly damaged and the top bag of food had a four inch slash in it dog food had leaked out all over my porch and entryway and no doubt in the fedex truck
pet flow immediat"&amp;"ely sent me another bag of food which arrived in good condition")</f>
        <v>my latest order of two  pound bags of fromm dog food arrived in a box that had been badly damaged and the top bag of food had a four inch slash in it dog food had leaked out all over my porch and entryway and no doubt in the fedex truck
pet flow immediately sent me another bag of food which arrived in good condition</v>
      </c>
      <c r="H2438" s="4" t="str">
        <f t="shared" si="1"/>
        <v>my latest order of two pound bags of fromm dog food arrived in a box that had been badly damaged top bag of food had a four inch slash in it dog food had leaked out all over my porch entryway no doubt in fedex truck
pet flow immediately sent me another bag of food which arrived in good condition</v>
      </c>
      <c r="I2438" s="6">
        <f t="shared" si="2"/>
        <v>59</v>
      </c>
      <c r="J2438" s="6">
        <f>IFERROR(__xludf.DUMMYFUNCTION("IF(H2438="""","""",
SUM(
ARRAYFORMULA(
IF(
REGEXMATCH(
"" ""&amp;H2438&amp;"" "",
"" ""&amp;Sentiment_Words!A$2:A3730&amp;"" ""
),
1,
0
)
)
)
)"),2.0)</f>
        <v>2</v>
      </c>
      <c r="K2438" s="4">
        <f>IFERROR(__xludf.DUMMYFUNCTION("IF(H2438="""","""",
SUM(
ARRAYFORMULA(
IF(
REGEXMATCH(
"" ""&amp;H2438&amp;"" "",
"" ""&amp;Sentiment_Words!B$2:B3730&amp;"" ""
),
1,
0
)
)
)
)"),1.0)</f>
        <v>1</v>
      </c>
      <c r="L2438" s="7" t="str">
        <f t="shared" si="3"/>
        <v>Fulfillment &amp; Shipping</v>
      </c>
      <c r="M2438" s="7" t="str">
        <f t="shared" si="4"/>
        <v>Positive</v>
      </c>
      <c r="N2438" s="7" t="str">
        <f>IFERROR(__xludf.DUMMYFUNCTION("LOWER(
TRIM(
REGEXREPLACE(B2438,""[^a-zA-Z\s]"","""")
)
)
"),"vickie byrne")</f>
        <v>vickie byrne</v>
      </c>
      <c r="O2438" s="7">
        <f t="shared" si="5"/>
        <v>1</v>
      </c>
      <c r="P2438" s="8" t="str">
        <f t="shared" si="6"/>
        <v>No</v>
      </c>
    </row>
    <row r="2439">
      <c r="A2439" s="4" t="s">
        <v>16</v>
      </c>
      <c r="B2439" s="4" t="s">
        <v>6821</v>
      </c>
      <c r="C2439" s="5">
        <v>44681.0</v>
      </c>
      <c r="D2439" s="10">
        <v>44681.0</v>
      </c>
      <c r="E2439" s="4" t="s">
        <v>6822</v>
      </c>
      <c r="F2439" s="4" t="s">
        <v>6823</v>
      </c>
      <c r="G2439" s="6" t="str">
        <f>IFERROR(__xludf.DUMMYFUNCTION("REGEXREPLACE(LOWER(F2439),""[^a-z\s]"","""")"),"prescription product was supposedly in stock until i found out days later")</f>
        <v>prescription product was supposedly in stock until i found out days later</v>
      </c>
      <c r="H2439" s="4" t="str">
        <f t="shared" si="1"/>
        <v>prescription product was supposedly in stock until i found out days later</v>
      </c>
      <c r="I2439" s="6">
        <f t="shared" si="2"/>
        <v>12</v>
      </c>
      <c r="J2439" s="6">
        <f>IFERROR(__xludf.DUMMYFUNCTION("IF(H2439="""","""",
SUM(
ARRAYFORMULA(
IF(
REGEXMATCH(
"" ""&amp;H2439&amp;"" "",
"" ""&amp;Sentiment_Words!A$2:A3730&amp;"" ""
),
1,
0
)
)
)
)"),1.0)</f>
        <v>1</v>
      </c>
      <c r="K2439" s="4">
        <f>IFERROR(__xludf.DUMMYFUNCTION("IF(H2439="""","""",
SUM(
ARRAYFORMULA(
IF(
REGEXMATCH(
"" ""&amp;H2439&amp;"" "",
"" ""&amp;Sentiment_Words!B$2:B3730&amp;"" ""
),
1,
0
)
)
)
)"),0.0)</f>
        <v>0</v>
      </c>
      <c r="L2439" s="7" t="str">
        <f t="shared" si="3"/>
        <v>Fulfillment &amp; Shipping</v>
      </c>
      <c r="M2439" s="7" t="str">
        <f t="shared" si="4"/>
        <v>Positive</v>
      </c>
      <c r="N2439" s="7" t="str">
        <f>IFERROR(__xludf.DUMMYFUNCTION("LOWER(
TRIM(
REGEXREPLACE(B2439,""[^a-zA-Z\s]"","""")
)
)
"),"marisa bernal")</f>
        <v>marisa bernal</v>
      </c>
      <c r="O2439" s="7">
        <f t="shared" si="5"/>
        <v>1</v>
      </c>
      <c r="P2439" s="8" t="str">
        <f t="shared" si="6"/>
        <v>No</v>
      </c>
    </row>
    <row r="2440">
      <c r="A2440" s="4" t="s">
        <v>16</v>
      </c>
      <c r="B2440" s="4" t="s">
        <v>6824</v>
      </c>
      <c r="C2440" s="5">
        <v>44681.0</v>
      </c>
      <c r="D2440" s="10">
        <v>44681.0</v>
      </c>
      <c r="E2440" s="4" t="s">
        <v>4309</v>
      </c>
      <c r="F2440" s="4" t="s">
        <v>6825</v>
      </c>
      <c r="G2440" s="6" t="str">
        <f>IFERROR(__xludf.DUMMYFUNCTION("REGEXREPLACE(LOWER(F2440),""[^a-z\s]"","""")"),"my dog food order always arrives exactly when promised and that assurance is why i have been a petflow customer for such a long time")</f>
        <v>my dog food order always arrives exactly when promised and that assurance is why i have been a petflow customer for such a long time</v>
      </c>
      <c r="H2440" s="4" t="str">
        <f t="shared" si="1"/>
        <v>my dog food order always arrives exactly when promised that assurance why i have been a petflow customer such a long time</v>
      </c>
      <c r="I2440" s="6">
        <f t="shared" si="2"/>
        <v>22</v>
      </c>
      <c r="J2440" s="6">
        <f>IFERROR(__xludf.DUMMYFUNCTION("IF(H2440="""","""",
SUM(
ARRAYFORMULA(
IF(
REGEXMATCH(
"" ""&amp;H2440&amp;"" "",
"" ""&amp;Sentiment_Words!A$2:A3730&amp;"" ""
),
1,
0
)
)
)
)"),0.0)</f>
        <v>0</v>
      </c>
      <c r="K2440" s="4">
        <f>IFERROR(__xludf.DUMMYFUNCTION("IF(H2440="""","""",
SUM(
ARRAYFORMULA(
IF(
REGEXMATCH(
"" ""&amp;H2440&amp;"" "",
"" ""&amp;Sentiment_Words!B$2:B3730&amp;"" ""
),
1,
0
)
)
)
)"),0.0)</f>
        <v>0</v>
      </c>
      <c r="L2440" s="7" t="str">
        <f t="shared" si="3"/>
        <v>Other</v>
      </c>
      <c r="M2440" s="7" t="str">
        <f t="shared" si="4"/>
        <v>Neutral</v>
      </c>
      <c r="N2440" s="7" t="str">
        <f>IFERROR(__xludf.DUMMYFUNCTION("LOWER(
TRIM(
REGEXREPLACE(B2440,""[^a-zA-Z\s]"","""")
)
)
"),"glo williams")</f>
        <v>glo williams</v>
      </c>
      <c r="O2440" s="7">
        <f t="shared" si="5"/>
        <v>1</v>
      </c>
      <c r="P2440" s="8" t="str">
        <f t="shared" si="6"/>
        <v>No</v>
      </c>
    </row>
    <row r="2441">
      <c r="A2441" s="4" t="s">
        <v>16</v>
      </c>
      <c r="B2441" s="4" t="s">
        <v>6826</v>
      </c>
      <c r="C2441" s="5">
        <v>44681.0</v>
      </c>
      <c r="D2441" s="10">
        <v>44681.0</v>
      </c>
      <c r="E2441" s="4" t="s">
        <v>6827</v>
      </c>
      <c r="F2441" s="4" t="s">
        <v>6828</v>
      </c>
      <c r="G2441" s="6" t="str">
        <f>IFERROR(__xludf.DUMMYFUNCTION("REGEXREPLACE(LOWER(F2441),""[^a-z\s]"","""")"),"have been getting my dog food auto shipped for many years i am very pleased with the delivery always on time and always in perfect condition i have not ever experienced a problem")</f>
        <v>have been getting my dog food auto shipped for many years i am very pleased with the delivery always on time and always in perfect condition i have not ever experienced a problem</v>
      </c>
      <c r="H2441" s="4" t="str">
        <f t="shared" si="1"/>
        <v>have been getting my dog food auto shipped many years i am very pleased with delivery always on time always in perfect condition i have not ever experienced a problem</v>
      </c>
      <c r="I2441" s="6">
        <f t="shared" si="2"/>
        <v>30</v>
      </c>
      <c r="J2441" s="6">
        <f>IFERROR(__xludf.DUMMYFUNCTION("IF(H2441="""","""",
SUM(
ARRAYFORMULA(
IF(
REGEXMATCH(
"" ""&amp;H2441&amp;"" "",
"" ""&amp;Sentiment_Words!A$2:A3730&amp;"" ""
),
1,
0
)
)
)
)"),1.0)</f>
        <v>1</v>
      </c>
      <c r="K2441" s="4">
        <f>IFERROR(__xludf.DUMMYFUNCTION("IF(H2441="""","""",
SUM(
ARRAYFORMULA(
IF(
REGEXMATCH(
"" ""&amp;H2441&amp;"" "",
"" ""&amp;Sentiment_Words!B$2:B3730&amp;"" ""
),
1,
0
)
)
)
)"),1.0)</f>
        <v>1</v>
      </c>
      <c r="L2441" s="7" t="str">
        <f t="shared" si="3"/>
        <v>Other</v>
      </c>
      <c r="M2441" s="7" t="str">
        <f t="shared" si="4"/>
        <v>Neutral</v>
      </c>
      <c r="N2441" s="7" t="str">
        <f>IFERROR(__xludf.DUMMYFUNCTION("LOWER(
TRIM(
REGEXREPLACE(B2441,""[^a-zA-Z\s]"","""")
)
)
"),"katherine sampson")</f>
        <v>katherine sampson</v>
      </c>
      <c r="O2441" s="7">
        <f t="shared" si="5"/>
        <v>1</v>
      </c>
      <c r="P2441" s="8" t="str">
        <f t="shared" si="6"/>
        <v>No</v>
      </c>
    </row>
    <row r="2442">
      <c r="A2442" s="4" t="s">
        <v>16</v>
      </c>
      <c r="B2442" s="4" t="s">
        <v>6829</v>
      </c>
      <c r="C2442" s="5">
        <v>44681.0</v>
      </c>
      <c r="D2442" s="10">
        <v>44681.0</v>
      </c>
      <c r="E2442" s="4" t="s">
        <v>6830</v>
      </c>
      <c r="F2442" s="4" t="s">
        <v>6831</v>
      </c>
      <c r="G2442" s="6" t="str">
        <f>IFERROR(__xludf.DUMMYFUNCTION("REGEXREPLACE(LOWER(F2442),""[^a-z\s]"","""")"),"twice in the past week i have ordered cat food that was shown to be in stock only to get an email a few days later telling me that it wasnt available that is very frustrating and quite annoying and doesnt make me want to order from them again")</f>
        <v>twice in the past week i have ordered cat food that was shown to be in stock only to get an email a few days later telling me that it wasnt available that is very frustrating and quite annoying and doesnt make me want to order from them again</v>
      </c>
      <c r="H2442" s="4" t="str">
        <f t="shared" si="1"/>
        <v>twice in past week i have ordered cat food that was shown be in stock only get an email a few days later telling me that it wasnt available that very frustrating quite annoying doesnt make me want order from them again</v>
      </c>
      <c r="I2442" s="6">
        <f t="shared" si="2"/>
        <v>42</v>
      </c>
      <c r="J2442" s="6">
        <f>IFERROR(__xludf.DUMMYFUNCTION("IF(H2442="""","""",
SUM(
ARRAYFORMULA(
IF(
REGEXMATCH(
"" ""&amp;H2442&amp;"" "",
"" ""&amp;Sentiment_Words!A$2:A3730&amp;"" ""
),
1,
0
)
)
)
)"),1.0)</f>
        <v>1</v>
      </c>
      <c r="K2442" s="4">
        <f>IFERROR(__xludf.DUMMYFUNCTION("IF(H2442="""","""",
SUM(
ARRAYFORMULA(
IF(
REGEXMATCH(
"" ""&amp;H2442&amp;"" "",
"" ""&amp;Sentiment_Words!B$2:B3730&amp;"" ""
),
1,
0
)
)
)
)"),1.0)</f>
        <v>1</v>
      </c>
      <c r="L2442" s="7" t="str">
        <f t="shared" si="3"/>
        <v>Fulfillment &amp; Shipping</v>
      </c>
      <c r="M2442" s="7" t="str">
        <f t="shared" si="4"/>
        <v>Neutral</v>
      </c>
      <c r="N2442" s="7" t="str">
        <f>IFERROR(__xludf.DUMMYFUNCTION("LOWER(
TRIM(
REGEXREPLACE(B2442,""[^a-zA-Z\s]"","""")
)
)
"),"sb")</f>
        <v>sb</v>
      </c>
      <c r="O2442" s="7">
        <f t="shared" si="5"/>
        <v>2</v>
      </c>
      <c r="P2442" s="8" t="str">
        <f t="shared" si="6"/>
        <v>Yes</v>
      </c>
    </row>
    <row r="2443">
      <c r="A2443" s="4" t="s">
        <v>16</v>
      </c>
      <c r="B2443" s="4" t="s">
        <v>6832</v>
      </c>
      <c r="C2443" s="5">
        <v>44681.0</v>
      </c>
      <c r="D2443" s="10">
        <v>44681.0</v>
      </c>
      <c r="E2443" s="4" t="s">
        <v>6409</v>
      </c>
      <c r="F2443" s="4" t="s">
        <v>6833</v>
      </c>
      <c r="G2443" s="6" t="str">
        <f>IFERROR(__xludf.DUMMYFUNCTION("REGEXREPLACE(LOWER(F2443),""[^a-z\s]"","""")"),"excellent customer service and customerfriendly policies
i had ordered ver diet food for my cat i used  can out of the case and it turned out that my cat was allergic to the food
oi called petflow customer service to see if there was someplace local i co"&amp;"uld return the remaining cans in the case and they said not to worrythey credited my account with the purchase price minus the  can i used
excellent
so i immediately purchased more food one that i know would be ok for my cat
im very happy
jt")</f>
        <v>excellent customer service and customerfriendly policies
i had ordered ver diet food for my cat i used  can out of the case and it turned out that my cat was allergic to the food
oi called petflow customer service to see if there was someplace local i could return the remaining cans in the case and they said not to worrythey credited my account with the purchase price minus the  can i used
excellent
so i immediately purchased more food one that i know would be ok for my cat
im very happy
jt</v>
      </c>
      <c r="H2443" s="4" t="str">
        <f t="shared" si="1"/>
        <v>excellent customer service customerfriendly policies
i had ordered ver diet food my cat i used can out of case it turned out that my cat was allergic food
oi called petflow customer service see if there was someplace local i could return remaining cans in case they said not worrythey credited my account with purchase price minus can i used
excellent
so i immediately purchased more food one that i know would be ok my cat
im very happy
jt</v>
      </c>
      <c r="I2443" s="6">
        <f t="shared" si="2"/>
        <v>74</v>
      </c>
      <c r="J2443" s="6">
        <f>IFERROR(__xludf.DUMMYFUNCTION("IF(H2443="""","""",
SUM(
ARRAYFORMULA(
IF(
REGEXMATCH(
"" ""&amp;H2443&amp;"" "",
"" ""&amp;Sentiment_Words!A$2:A3730&amp;"" ""
),
1,
0
)
)
)
)"),1.0)</f>
        <v>1</v>
      </c>
      <c r="K2443" s="4">
        <f>IFERROR(__xludf.DUMMYFUNCTION("IF(H2443="""","""",
SUM(
ARRAYFORMULA(
IF(
REGEXMATCH(
"" ""&amp;H2443&amp;"" "",
"" ""&amp;Sentiment_Words!B$2:B3730&amp;"" ""
),
1,
0
)
)
)
)"),1.0)</f>
        <v>1</v>
      </c>
      <c r="L2443" s="7" t="str">
        <f t="shared" si="3"/>
        <v>Customer Support</v>
      </c>
      <c r="M2443" s="7" t="str">
        <f t="shared" si="4"/>
        <v>Neutral</v>
      </c>
      <c r="N2443" s="7" t="str">
        <f>IFERROR(__xludf.DUMMYFUNCTION("LOWER(
TRIM(
REGEXREPLACE(B2443,""[^a-zA-Z\s]"","""")
)
)
"),"jane")</f>
        <v>jane</v>
      </c>
      <c r="O2443" s="7">
        <f t="shared" si="5"/>
        <v>4</v>
      </c>
      <c r="P2443" s="8" t="str">
        <f t="shared" si="6"/>
        <v>Yes</v>
      </c>
    </row>
    <row r="2444">
      <c r="A2444" s="4" t="s">
        <v>16</v>
      </c>
      <c r="B2444" s="4" t="s">
        <v>6834</v>
      </c>
      <c r="C2444" s="5">
        <v>44680.0</v>
      </c>
      <c r="D2444" s="10">
        <v>44681.0</v>
      </c>
      <c r="E2444" s="4" t="s">
        <v>6835</v>
      </c>
      <c r="F2444" s="4" t="s">
        <v>6836</v>
      </c>
      <c r="G2444" s="6" t="str">
        <f>IFERROR(__xludf.DUMMYFUNCTION("REGEXREPLACE(LOWER(F2444),""[^a-z\s]"","""")"),"i had never heard of petflow before but after another company i use for pet supplies didnt have a brand i was looking for i did an online search to find where to buy my product petflow came up as being one of the companies that carried it after researchin"&amp;"g the company and reading reviews i decided to purchase my product from them their prices were fair and delivery was fast i was so impressed with my experience i set up an autoship they have many brands and competitive prices im glad to find petflow and w"&amp;"ill continue to use their services")</f>
        <v>i had never heard of petflow before but after another company i use for pet supplies didnt have a brand i was looking for i did an online search to find where to buy my product petflow came up as being one of the companies that carried it after researching the company and reading reviews i decided to purchase my product from them their prices were fair and delivery was fast i was so impressed with my experience i set up an autoship they have many brands and competitive prices im glad to find petflow and will continue to use their services</v>
      </c>
      <c r="H2444" s="4" t="str">
        <f t="shared" si="1"/>
        <v>i had never heard of petflow before but after another company i use pet supplies didnt have a brand i was looking i did an online search find where buy my product petflow came up as being one of companies that carried it after researching company reading reviews i decided purchase my product from them their prices were fair delivery was fast i was so impressed with my experience i set up an autoship they have many brands competitive prices im glad find petflow will continue use their services</v>
      </c>
      <c r="I2444" s="6">
        <f t="shared" si="2"/>
        <v>89</v>
      </c>
      <c r="J2444" s="6">
        <f>IFERROR(__xludf.DUMMYFUNCTION("IF(H2444="""","""",
SUM(
ARRAYFORMULA(
IF(
REGEXMATCH(
"" ""&amp;H2444&amp;"" "",
"" ""&amp;Sentiment_Words!A$2:A3730&amp;"" ""
),
1,
0
)
)
)
)"),2.0)</f>
        <v>2</v>
      </c>
      <c r="K2444" s="4">
        <f>IFERROR(__xludf.DUMMYFUNCTION("IF(H2444="""","""",
SUM(
ARRAYFORMULA(
IF(
REGEXMATCH(
"" ""&amp;H2444&amp;"" "",
"" ""&amp;Sentiment_Words!B$2:B3730&amp;"" ""
),
1,
0
)
)
)
)"),0.0)</f>
        <v>0</v>
      </c>
      <c r="L2444" s="7" t="str">
        <f t="shared" si="3"/>
        <v>Customer Support</v>
      </c>
      <c r="M2444" s="7" t="str">
        <f t="shared" si="4"/>
        <v>Positive</v>
      </c>
      <c r="N2444" s="7" t="str">
        <f>IFERROR(__xludf.DUMMYFUNCTION("LOWER(
TRIM(
REGEXREPLACE(B2444,""[^a-zA-Z\s]"","""")
)
)
"),"trace w")</f>
        <v>trace w</v>
      </c>
      <c r="O2444" s="7">
        <f t="shared" si="5"/>
        <v>1</v>
      </c>
      <c r="P2444" s="8" t="str">
        <f t="shared" si="6"/>
        <v>No</v>
      </c>
    </row>
    <row r="2445">
      <c r="A2445" s="4" t="s">
        <v>16</v>
      </c>
      <c r="B2445" s="4" t="s">
        <v>6837</v>
      </c>
      <c r="C2445" s="5">
        <v>44680.0</v>
      </c>
      <c r="D2445" s="10">
        <v>44680.0</v>
      </c>
      <c r="E2445" s="4" t="s">
        <v>2268</v>
      </c>
      <c r="F2445" s="4" t="s">
        <v>6838</v>
      </c>
      <c r="G2445" s="6" t="str">
        <f>IFERROR(__xludf.DUMMYFUNCTION("REGEXREPLACE(LOWER(F2445),""[^a-z\s]"","""")"),"fast service and delivery i had emailed customer service and they responded quickly")</f>
        <v>fast service and delivery i had emailed customer service and they responded quickly</v>
      </c>
      <c r="H2445" s="4" t="str">
        <f t="shared" si="1"/>
        <v>fast service delivery i had emailed customer service they responded quickly</v>
      </c>
      <c r="I2445" s="6">
        <f t="shared" si="2"/>
        <v>11</v>
      </c>
      <c r="J2445" s="6">
        <f>IFERROR(__xludf.DUMMYFUNCTION("IF(H2445="""","""",
SUM(
ARRAYFORMULA(
IF(
REGEXMATCH(
"" ""&amp;H2445&amp;"" "",
"" ""&amp;Sentiment_Words!A$2:A3730&amp;"" ""
),
1,
0
)
)
)
)"),1.0)</f>
        <v>1</v>
      </c>
      <c r="K2445" s="4">
        <f>IFERROR(__xludf.DUMMYFUNCTION("IF(H2445="""","""",
SUM(
ARRAYFORMULA(
IF(
REGEXMATCH(
"" ""&amp;H2445&amp;"" "",
"" ""&amp;Sentiment_Words!B$2:B3730&amp;"" ""
),
1,
0
)
)
)
)"),1.0)</f>
        <v>1</v>
      </c>
      <c r="L2445" s="7" t="str">
        <f t="shared" si="3"/>
        <v>Customer Support</v>
      </c>
      <c r="M2445" s="7" t="str">
        <f t="shared" si="4"/>
        <v>Neutral</v>
      </c>
      <c r="N2445" s="7" t="str">
        <f>IFERROR(__xludf.DUMMYFUNCTION("LOWER(
TRIM(
REGEXREPLACE(B2445,""[^a-zA-Z\s]"","""")
)
)
"),"krissy")</f>
        <v>krissy</v>
      </c>
      <c r="O2445" s="7">
        <f t="shared" si="5"/>
        <v>1</v>
      </c>
      <c r="P2445" s="8" t="str">
        <f t="shared" si="6"/>
        <v>No</v>
      </c>
    </row>
    <row r="2446">
      <c r="A2446" s="4" t="s">
        <v>16</v>
      </c>
      <c r="B2446" s="4" t="s">
        <v>6839</v>
      </c>
      <c r="C2446" s="5">
        <v>44680.0</v>
      </c>
      <c r="D2446" s="10">
        <v>44680.0</v>
      </c>
      <c r="E2446" s="4" t="s">
        <v>6840</v>
      </c>
      <c r="F2446" s="4" t="s">
        <v>6841</v>
      </c>
      <c r="G2446" s="6" t="str">
        <f>IFERROR(__xludf.DUMMYFUNCTION("REGEXREPLACE(LOWER(F2446),""[^a-z\s]"","""")"),"everyone was out of a particular flavor of the food my kitties really like i added my name to be notified when it was back in stock and they did that promptly my order experience was wonderful  everything i ordered came thru promptly and in good order can"&amp;"t ask for better service")</f>
        <v>everyone was out of a particular flavor of the food my kitties really like i added my name to be notified when it was back in stock and they did that promptly my order experience was wonderful  everything i ordered came thru promptly and in good order cant ask for better service</v>
      </c>
      <c r="H2446" s="4" t="str">
        <f t="shared" si="1"/>
        <v>everyone was out of a particular flavor of food my kitties really like i added my name be notified when it was back in stock they did that promptly my order experience was wonderful everything i ordered came thru promptly in good order cant ask better service</v>
      </c>
      <c r="I2446" s="6">
        <f t="shared" si="2"/>
        <v>47</v>
      </c>
      <c r="J2446" s="6">
        <f>IFERROR(__xludf.DUMMYFUNCTION("IF(H2446="""","""",
SUM(
ARRAYFORMULA(
IF(
REGEXMATCH(
"" ""&amp;H2446&amp;"" "",
"" ""&amp;Sentiment_Words!A$2:A3730&amp;"" ""
),
1,
0
)
)
)
)"),2.0)</f>
        <v>2</v>
      </c>
      <c r="K2446" s="4">
        <f>IFERROR(__xludf.DUMMYFUNCTION("IF(H2446="""","""",
SUM(
ARRAYFORMULA(
IF(
REGEXMATCH(
"" ""&amp;H2446&amp;"" "",
"" ""&amp;Sentiment_Words!B$2:B3730&amp;"" ""
),
1,
0
)
)
)
)"),0.0)</f>
        <v>0</v>
      </c>
      <c r="L2446" s="7" t="str">
        <f t="shared" si="3"/>
        <v>Customer Support</v>
      </c>
      <c r="M2446" s="7" t="str">
        <f t="shared" si="4"/>
        <v>Positive</v>
      </c>
      <c r="N2446" s="7" t="str">
        <f>IFERROR(__xludf.DUMMYFUNCTION("LOWER(
TRIM(
REGEXREPLACE(B2446,""[^a-zA-Z\s]"","""")
)
)
"),"noella")</f>
        <v>noella</v>
      </c>
      <c r="O2446" s="7">
        <f t="shared" si="5"/>
        <v>1</v>
      </c>
      <c r="P2446" s="8" t="str">
        <f t="shared" si="6"/>
        <v>No</v>
      </c>
    </row>
    <row r="2447">
      <c r="A2447" s="4" t="s">
        <v>16</v>
      </c>
      <c r="B2447" s="4" t="s">
        <v>6842</v>
      </c>
      <c r="C2447" s="5">
        <v>44680.0</v>
      </c>
      <c r="D2447" s="10">
        <v>44680.0</v>
      </c>
      <c r="E2447" s="4" t="s">
        <v>6843</v>
      </c>
      <c r="F2447" s="4" t="s">
        <v>6844</v>
      </c>
      <c r="G2447" s="6" t="str">
        <f>IFERROR(__xludf.DUMMYFUNCTION("REGEXREPLACE(LOWER(F2447),""[^a-z\s]"","""")"),"got the wrong product they did reach out but still waiting to see how we go about sending it back and get our refund
fran dolmage")</f>
        <v>got the wrong product they did reach out but still waiting to see how we go about sending it back and get our refund
fran dolmage</v>
      </c>
      <c r="H2447" s="4" t="str">
        <f t="shared" si="1"/>
        <v>got wrong product they did reach out but still waiting see how we go about sending it back get our refund
fran dolmage</v>
      </c>
      <c r="I2447" s="6">
        <f t="shared" si="2"/>
        <v>22</v>
      </c>
      <c r="J2447" s="6">
        <f>IFERROR(__xludf.DUMMYFUNCTION("IF(H2447="""","""",
SUM(
ARRAYFORMULA(
IF(
REGEXMATCH(
"" ""&amp;H2447&amp;"" "",
"" ""&amp;Sentiment_Words!A$2:A3730&amp;"" ""
),
1,
0
)
)
)
)"),0.0)</f>
        <v>0</v>
      </c>
      <c r="K2447" s="4">
        <f>IFERROR(__xludf.DUMMYFUNCTION("IF(H2447="""","""",
SUM(
ARRAYFORMULA(
IF(
REGEXMATCH(
"" ""&amp;H2447&amp;"" "",
"" ""&amp;Sentiment_Words!B$2:B3730&amp;"" ""
),
1,
0
)
)
)
)"),1.0)</f>
        <v>1</v>
      </c>
      <c r="L2447" s="7" t="str">
        <f t="shared" si="3"/>
        <v>Fulfillment &amp; Shipping</v>
      </c>
      <c r="M2447" s="7" t="str">
        <f t="shared" si="4"/>
        <v>Negative</v>
      </c>
      <c r="N2447" s="7" t="str">
        <f>IFERROR(__xludf.DUMMYFUNCTION("LOWER(
TRIM(
REGEXREPLACE(B2447,""[^a-zA-Z\s]"","""")
)
)
"),"frances dolmage")</f>
        <v>frances dolmage</v>
      </c>
      <c r="O2447" s="7">
        <f t="shared" si="5"/>
        <v>1</v>
      </c>
      <c r="P2447" s="8" t="str">
        <f t="shared" si="6"/>
        <v>No</v>
      </c>
    </row>
    <row r="2448">
      <c r="A2448" s="4" t="s">
        <v>16</v>
      </c>
      <c r="B2448" s="4" t="s">
        <v>6845</v>
      </c>
      <c r="C2448" s="5">
        <v>44680.0</v>
      </c>
      <c r="D2448" s="10">
        <v>44680.0</v>
      </c>
      <c r="E2448" s="4" t="s">
        <v>6846</v>
      </c>
      <c r="F2448" s="4" t="s">
        <v>6847</v>
      </c>
      <c r="G2448" s="6" t="str">
        <f>IFERROR(__xludf.DUMMYFUNCTION("REGEXREPLACE(LOWER(F2448),""[^a-z\s]"","""")"),"i place a large order for dog and cat supplies on wednesday it received an order confirmation with tracking number the following monday i recieved an email saying my order would be delivered tomorrow tuesday by end of day
when my order did not arrive tues"&amp;"day evening i checked the tracking number and it said the order was still at the warehouse in new jersey and i am in california
i called customer service and sat on hold for at least  mins then was disconnected i called back the following day and was told"&amp;" my order would be delivered tomorrow thursday end of day thursday  items of  item are delivered and order is marked complete i am now almost out of food for my pets so i call customer service again and an told there was a mis pick and a new order will be"&amp;" placed for next week sometime i love in a rural area so i expressed the inconvenience of now have to go buy pet food i was offered a  credit for future purchase which i declined i will not be using pet flow in the future as i need a more reliable source "&amp;"for my pet supplies")</f>
        <v>i place a large order for dog and cat supplies on wednesday it received an order confirmation with tracking number the following monday i recieved an email saying my order would be delivered tomorrow tuesday by end of day
when my order did not arrive tuesday evening i checked the tracking number and it said the order was still at the warehouse in new jersey and i am in california
i called customer service and sat on hold for at least  mins then was disconnected i called back the following day and was told my order would be delivered tomorrow thursday end of day thursday  items of  item are delivered and order is marked complete i am now almost out of food for my pets so i call customer service again and an told there was a mis pick and a new order will be placed for next week sometime i love in a rural area so i expressed the inconvenience of now have to go buy pet food i was offered a  credit for future purchase which i declined i will not be using pet flow in the future as i need a more reliable source for my pet supplies</v>
      </c>
      <c r="H2448" s="4" t="str">
        <f t="shared" si="1"/>
        <v>i place a large order dog cat supplies on wednesday it received an order confirmation with tracking number following monday i recieved an email saying my order would be delivered tomorrow tuesday by end of day
when my order did not arrive tuesday evening i checked tracking number it said order was still at warehouse in new jersey i am in california
i called customer service sat on hold at least mins then was disconnected i called back following day was told my order would be delivered tomorrow thursday end of day thursday items of item are delivered order marked complete i am now almost out of food my pets so i call customer service again an told there was a mis pick a new order will be placed next week sometime i love in a rural area so i expressed inconvenience of now have go buy pet food i was offered a credit future purchase which i declined i will not be using pet flow in future as i need a more reliable source my pet supplies</v>
      </c>
      <c r="I2448" s="6">
        <f t="shared" si="2"/>
        <v>176</v>
      </c>
      <c r="J2448" s="6">
        <f>IFERROR(__xludf.DUMMYFUNCTION("IF(H2448="""","""",
SUM(
ARRAYFORMULA(
IF(
REGEXMATCH(
"" ""&amp;H2448&amp;"" "",
"" ""&amp;Sentiment_Words!A$2:A3730&amp;"" ""
),
1,
0
)
)
)
)"),3.0)</f>
        <v>3</v>
      </c>
      <c r="K2448" s="4">
        <f>IFERROR(__xludf.DUMMYFUNCTION("IF(H2448="""","""",
SUM(
ARRAYFORMULA(
IF(
REGEXMATCH(
"" ""&amp;H2448&amp;"" "",
"" ""&amp;Sentiment_Words!B$2:B3730&amp;"" ""
),
1,
0
)
)
)
)"),1.0)</f>
        <v>1</v>
      </c>
      <c r="L2448" s="7" t="str">
        <f t="shared" si="3"/>
        <v>Customer Support</v>
      </c>
      <c r="M2448" s="7" t="str">
        <f t="shared" si="4"/>
        <v>Positive</v>
      </c>
      <c r="N2448" s="7" t="str">
        <f>IFERROR(__xludf.DUMMYFUNCTION("LOWER(
TRIM(
REGEXREPLACE(B2448,""[^a-zA-Z\s]"","""")
)
)
"),"john plato")</f>
        <v>john plato</v>
      </c>
      <c r="O2448" s="7">
        <f t="shared" si="5"/>
        <v>1</v>
      </c>
      <c r="P2448" s="8" t="str">
        <f t="shared" si="6"/>
        <v>No</v>
      </c>
    </row>
    <row r="2449">
      <c r="A2449" s="4" t="s">
        <v>16</v>
      </c>
      <c r="B2449" s="4" t="s">
        <v>6848</v>
      </c>
      <c r="C2449" s="5">
        <v>44680.0</v>
      </c>
      <c r="D2449" s="10">
        <v>44680.0</v>
      </c>
      <c r="E2449" s="4" t="s">
        <v>6849</v>
      </c>
      <c r="F2449" s="4" t="s">
        <v>6850</v>
      </c>
      <c r="G2449" s="6" t="str">
        <f>IFERROR(__xludf.DUMMYFUNCTION("REGEXREPLACE(LOWER(F2449),""[^a-z\s]"","""")"),"website was easy to use but unfortunately it said that one of the items i purchased was in stock but days later i received an email that said that they actually did not have it in stock since its backordered they said i wouldnt be charged until they actua"&amp;"lly ship it out which unfortunately they had no date predicted for when it would actually be available i emailed them and they were able to cancel the order so i wouldnt be waiting not knowing when i would be charged for something i can try looking elsewh"&amp;"ere i would really wish that they would have changed the website to say that it was not in stock but it is back ordered or something when i tried going back to the original website it said that it was still in stock they were very friendly when i emailed "&amp;"them to cancel the order")</f>
        <v>website was easy to use but unfortunately it said that one of the items i purchased was in stock but days later i received an email that said that they actually did not have it in stock since its backordered they said i wouldnt be charged until they actually ship it out which unfortunately they had no date predicted for when it would actually be available i emailed them and they were able to cancel the order so i wouldnt be waiting not knowing when i would be charged for something i can try looking elsewhere i would really wish that they would have changed the website to say that it was not in stock but it is back ordered or something when i tried going back to the original website it said that it was still in stock they were very friendly when i emailed them to cancel the order</v>
      </c>
      <c r="H2449" s="4" t="str">
        <f t="shared" si="1"/>
        <v>website was easy use but unfortunately it said that one of items i purchased was in stock but days later i received an email that said that they actually did not have it in stock since its backordered they said i wouldnt be charged until they actually ship it out which unfortunately they had no date predicted when it would actually be available i emailed them they were able cancel order so i wouldnt be waiting not knowing when i would be charged something i can try looking elsewhere i would really wish that they would have changed website say that it was not in stock but it back ordered or something when i tried going back original website it said that it was still in stock they were very friendly when i emailed them cancel order</v>
      </c>
      <c r="I2449" s="6">
        <f t="shared" si="2"/>
        <v>137</v>
      </c>
      <c r="J2449" s="6">
        <f>IFERROR(__xludf.DUMMYFUNCTION("IF(H2449="""","""",
SUM(
ARRAYFORMULA(
IF(
REGEXMATCH(
"" ""&amp;H2449&amp;"" "",
"" ""&amp;Sentiment_Words!A$2:A3730&amp;"" ""
),
1,
0
)
)
)
)"),3.0)</f>
        <v>3</v>
      </c>
      <c r="K2449" s="4">
        <f>IFERROR(__xludf.DUMMYFUNCTION("IF(H2449="""","""",
SUM(
ARRAYFORMULA(
IF(
REGEXMATCH(
"" ""&amp;H2449&amp;"" "",
"" ""&amp;Sentiment_Words!B$2:B3730&amp;"" ""
),
1,
0
)
)
)
)"),0.0)</f>
        <v>0</v>
      </c>
      <c r="L2449" s="7" t="str">
        <f t="shared" si="3"/>
        <v>Fulfillment &amp; Shipping</v>
      </c>
      <c r="M2449" s="7" t="str">
        <f t="shared" si="4"/>
        <v>Positive</v>
      </c>
      <c r="N2449" s="7" t="str">
        <f>IFERROR(__xludf.DUMMYFUNCTION("LOWER(
TRIM(
REGEXREPLACE(B2449,""[^a-zA-Z\s]"","""")
)
)
"),"johanna jimenez")</f>
        <v>johanna jimenez</v>
      </c>
      <c r="O2449" s="7">
        <f t="shared" si="5"/>
        <v>1</v>
      </c>
      <c r="P2449" s="8" t="str">
        <f t="shared" si="6"/>
        <v>No</v>
      </c>
    </row>
    <row r="2450">
      <c r="A2450" s="4" t="s">
        <v>16</v>
      </c>
      <c r="B2450" s="4" t="s">
        <v>6851</v>
      </c>
      <c r="C2450" s="5">
        <v>44679.0</v>
      </c>
      <c r="D2450" s="10">
        <v>44679.0</v>
      </c>
      <c r="E2450" s="4" t="s">
        <v>6852</v>
      </c>
      <c r="F2450" s="4" t="s">
        <v>6853</v>
      </c>
      <c r="G2450" s="6" t="str">
        <f>IFERROR(__xludf.DUMMYFUNCTION("REGEXREPLACE(LOWER(F2450),""[^a-z\s]"","""")"),"was so happy to find and buy these bowls
needed small ones  
needed stainless steel  
needed weighted bottoms  
pretty fast shipping  
thank you so much petflow")</f>
        <v>was so happy to find and buy these bowls
needed small ones  
needed stainless steel  
needed weighted bottoms  
pretty fast shipping  
thank you so much petflow</v>
      </c>
      <c r="H2450" s="4" t="str">
        <f t="shared" si="1"/>
        <v>was so happy find buy these bowls
needed small ones 
needed stainless steel 
needed weighted bottoms 
pretty fast shipping 
thank you so much petflow</v>
      </c>
      <c r="I2450" s="6">
        <f t="shared" si="2"/>
        <v>23</v>
      </c>
      <c r="J2450" s="6">
        <f>IFERROR(__xludf.DUMMYFUNCTION("IF(H2450="""","""",
SUM(
ARRAYFORMULA(
IF(
REGEXMATCH(
"" ""&amp;H2450&amp;"" "",
"" ""&amp;Sentiment_Words!A$2:A3730&amp;"" ""
),
1,
0
)
)
)
)"),2.0)</f>
        <v>2</v>
      </c>
      <c r="K2450" s="4">
        <f>IFERROR(__xludf.DUMMYFUNCTION("IF(H2450="""","""",
SUM(
ARRAYFORMULA(
IF(
REGEXMATCH(
"" ""&amp;H2450&amp;"" "",
"" ""&amp;Sentiment_Words!B$2:B3730&amp;"" ""
),
1,
0
)
)
)
)"),0.0)</f>
        <v>0</v>
      </c>
      <c r="L2450" s="7" t="str">
        <f t="shared" si="3"/>
        <v>Other</v>
      </c>
      <c r="M2450" s="7" t="str">
        <f t="shared" si="4"/>
        <v>Positive</v>
      </c>
      <c r="N2450" s="7" t="str">
        <f>IFERROR(__xludf.DUMMYFUNCTION("LOWER(
TRIM(
REGEXREPLACE(B2450,""[^a-zA-Z\s]"","""")
)
)
"),"priscilla bashinski")</f>
        <v>priscilla bashinski</v>
      </c>
      <c r="O2450" s="7">
        <f t="shared" si="5"/>
        <v>1</v>
      </c>
      <c r="P2450" s="8" t="str">
        <f t="shared" si="6"/>
        <v>No</v>
      </c>
    </row>
    <row r="2451">
      <c r="A2451" s="4" t="s">
        <v>16</v>
      </c>
      <c r="B2451" s="4" t="s">
        <v>252</v>
      </c>
      <c r="C2451" s="5">
        <v>44679.0</v>
      </c>
      <c r="D2451" s="10">
        <v>44679.0</v>
      </c>
      <c r="E2451" s="4" t="s">
        <v>1319</v>
      </c>
      <c r="F2451" s="4" t="s">
        <v>6854</v>
      </c>
      <c r="G2451" s="6" t="str">
        <f>IFERROR(__xludf.DUMMYFUNCTION("REGEXREPLACE(LOWER(F2451),""[^a-z\s]"","""")"),"prices are reasonable shipping is fast happy with the ordering")</f>
        <v>prices are reasonable shipping is fast happy with the ordering</v>
      </c>
      <c r="H2451" s="4" t="str">
        <f t="shared" si="1"/>
        <v>prices are reasonable shipping fast happy with ordering</v>
      </c>
      <c r="I2451" s="6">
        <f t="shared" si="2"/>
        <v>8</v>
      </c>
      <c r="J2451" s="6">
        <f>IFERROR(__xludf.DUMMYFUNCTION("IF(H2451="""","""",
SUM(
ARRAYFORMULA(
IF(
REGEXMATCH(
"" ""&amp;H2451&amp;"" "",
"" ""&amp;Sentiment_Words!A$2:A3730&amp;"" ""
),
1,
0
)
)
)
)"),2.0)</f>
        <v>2</v>
      </c>
      <c r="K2451" s="4">
        <f>IFERROR(__xludf.DUMMYFUNCTION("IF(H2451="""","""",
SUM(
ARRAYFORMULA(
IF(
REGEXMATCH(
"" ""&amp;H2451&amp;"" "",
"" ""&amp;Sentiment_Words!B$2:B3730&amp;"" ""
),
1,
0
)
)
)
)"),0.0)</f>
        <v>0</v>
      </c>
      <c r="L2451" s="7" t="str">
        <f t="shared" si="3"/>
        <v>Other</v>
      </c>
      <c r="M2451" s="7" t="str">
        <f t="shared" si="4"/>
        <v>Positive</v>
      </c>
      <c r="N2451" s="7" t="str">
        <f>IFERROR(__xludf.DUMMYFUNCTION("LOWER(
TRIM(
REGEXREPLACE(B2451,""[^a-zA-Z\s]"","""")
)
)
"),"lisa")</f>
        <v>lisa</v>
      </c>
      <c r="O2451" s="7">
        <f t="shared" si="5"/>
        <v>8</v>
      </c>
      <c r="P2451" s="8" t="str">
        <f t="shared" si="6"/>
        <v>Yes</v>
      </c>
    </row>
    <row r="2452">
      <c r="A2452" s="4" t="s">
        <v>16</v>
      </c>
      <c r="B2452" s="4" t="s">
        <v>6855</v>
      </c>
      <c r="C2452" s="5">
        <v>44679.0</v>
      </c>
      <c r="D2452" s="10">
        <v>44679.0</v>
      </c>
      <c r="E2452" s="4" t="s">
        <v>6856</v>
      </c>
      <c r="F2452" s="4" t="s">
        <v>6857</v>
      </c>
      <c r="G2452" s="6" t="str">
        <f>IFERROR(__xludf.DUMMYFUNCTION("REGEXREPLACE(LOWER(F2452),""[^a-z\s]"","""")"),"my order was cancelled because my vet for some reason wouldnt approve the prescription food request from petflow and said i had to give petflow the written prescription i have i could not find a way in petflow systems to upload the prescription form on th"&amp;"eir site frustrating because its a hard to find food in stock please make it easy to upload a prescription to your site so orders can be fulfilled promptly")</f>
        <v>my order was cancelled because my vet for some reason wouldnt approve the prescription food request from petflow and said i had to give petflow the written prescription i have i could not find a way in petflow systems to upload the prescription form on their site frustrating because its a hard to find food in stock please make it easy to upload a prescription to your site so orders can be fulfilled promptly</v>
      </c>
      <c r="H2452" s="4" t="str">
        <f t="shared" si="1"/>
        <v>my order was cancelled because my vet some reason wouldnt approve prescription food request from petflow said i had give petflow written prescription i have i could not find a way in petflow systems upload prescription form on their site frustrating because its a hard find food in stock please make it easy upload a prescription your site so orders can be fulfilled promptly</v>
      </c>
      <c r="I2452" s="6">
        <f t="shared" si="2"/>
        <v>64</v>
      </c>
      <c r="J2452" s="6">
        <f>IFERROR(__xludf.DUMMYFUNCTION("IF(H2452="""","""",
SUM(
ARRAYFORMULA(
IF(
REGEXMATCH(
"" ""&amp;H2452&amp;"" "",
"" ""&amp;Sentiment_Words!A$2:A3730&amp;"" ""
),
1,
0
)
)
)
)"),1.0)</f>
        <v>1</v>
      </c>
      <c r="K2452" s="4">
        <f>IFERROR(__xludf.DUMMYFUNCTION("IF(H2452="""","""",
SUM(
ARRAYFORMULA(
IF(
REGEXMATCH(
"" ""&amp;H2452&amp;"" "",
"" ""&amp;Sentiment_Words!B$2:B3730&amp;"" ""
),
1,
0
)
)
)
)"),2.0)</f>
        <v>2</v>
      </c>
      <c r="L2452" s="7" t="str">
        <f t="shared" si="3"/>
        <v>Other</v>
      </c>
      <c r="M2452" s="7" t="str">
        <f t="shared" si="4"/>
        <v>Negative</v>
      </c>
      <c r="N2452" s="7" t="str">
        <f>IFERROR(__xludf.DUMMYFUNCTION("LOWER(
TRIM(
REGEXREPLACE(B2452,""[^a-zA-Z\s]"","""")
)
)
"),"mass cat mom")</f>
        <v>mass cat mom</v>
      </c>
      <c r="O2452" s="7">
        <f t="shared" si="5"/>
        <v>1</v>
      </c>
      <c r="P2452" s="8" t="str">
        <f t="shared" si="6"/>
        <v>No</v>
      </c>
    </row>
    <row r="2453">
      <c r="A2453" s="4" t="s">
        <v>16</v>
      </c>
      <c r="B2453" s="4" t="s">
        <v>6858</v>
      </c>
      <c r="C2453" s="5">
        <v>44679.0</v>
      </c>
      <c r="D2453" s="10">
        <v>44679.0</v>
      </c>
      <c r="E2453" s="4" t="s">
        <v>6859</v>
      </c>
      <c r="F2453" s="4" t="s">
        <v>6860</v>
      </c>
      <c r="G2453" s="6" t="str">
        <f>IFERROR(__xludf.DUMMYFUNCTION("REGEXREPLACE(LOWER(F2453),""[^a-z\s]"","""")"),"you guys really should say that you have products available for purchase if you literally dont have any in stock")</f>
        <v>you guys really should say that you have products available for purchase if you literally dont have any in stock</v>
      </c>
      <c r="H2453" s="4" t="str">
        <f t="shared" si="1"/>
        <v>you guys really should say that you have products available purchase if you literally dont have any in stock</v>
      </c>
      <c r="I2453" s="6">
        <f t="shared" si="2"/>
        <v>19</v>
      </c>
      <c r="J2453" s="6">
        <f>IFERROR(__xludf.DUMMYFUNCTION("IF(H2453="""","""",
SUM(
ARRAYFORMULA(
IF(
REGEXMATCH(
"" ""&amp;H2453&amp;"" "",
"" ""&amp;Sentiment_Words!A$2:A3730&amp;"" ""
),
1,
0
)
)
)
)"),1.0)</f>
        <v>1</v>
      </c>
      <c r="K2453" s="4">
        <f>IFERROR(__xludf.DUMMYFUNCTION("IF(H2453="""","""",
SUM(
ARRAYFORMULA(
IF(
REGEXMATCH(
"" ""&amp;H2453&amp;"" "",
"" ""&amp;Sentiment_Words!B$2:B3730&amp;"" ""
),
1,
0
)
)
)
)"),0.0)</f>
        <v>0</v>
      </c>
      <c r="L2453" s="7" t="str">
        <f t="shared" si="3"/>
        <v>Other</v>
      </c>
      <c r="M2453" s="7" t="str">
        <f t="shared" si="4"/>
        <v>Positive</v>
      </c>
      <c r="N2453" s="7" t="str">
        <f>IFERROR(__xludf.DUMMYFUNCTION("LOWER(
TRIM(
REGEXREPLACE(B2453,""[^a-zA-Z\s]"","""")
)
)
"),"sam")</f>
        <v>sam</v>
      </c>
      <c r="O2453" s="7">
        <f t="shared" si="5"/>
        <v>1</v>
      </c>
      <c r="P2453" s="8" t="str">
        <f t="shared" si="6"/>
        <v>No</v>
      </c>
    </row>
    <row r="2454">
      <c r="A2454" s="4" t="s">
        <v>16</v>
      </c>
      <c r="B2454" s="4" t="s">
        <v>6861</v>
      </c>
      <c r="C2454" s="5">
        <v>44678.0</v>
      </c>
      <c r="D2454" s="10">
        <v>44678.0</v>
      </c>
      <c r="E2454" s="4" t="s">
        <v>6862</v>
      </c>
      <c r="F2454" s="4" t="s">
        <v>6863</v>
      </c>
      <c r="G2454" s="6" t="str">
        <f>IFERROR(__xludf.DUMMYFUNCTION("REGEXREPLACE(LOWER(F2454),""[^a-z\s]"","""")"),"st order  most cans dented  unusable customer service ordered replacement the replacement got cancelled as they were out of stock i had to call again to get the refund the system didnt know it was a replacement
a week later their site says in stock so i "&amp;"try ordering more vet prescription cat food a week later the order is canceled due to out of stock but their website still says in stock
two weeks later the site still says in stock since i cant find this critical food anywhere i desperately try again bu"&amp;"t get the same results
i called customer service to let them know the issue every customer service person ive spoken with has been lovely hence the  stars the cs rep said they know about the website but since another company sends out vet food they dont "&amp;"always know when they are out of stock however every other online pet store are able to update their site with this key information its stressful enough trying to find my sick cats food but to put in orders based on them saying in stock only to have them "&amp;"rejected in a week is infuriating please fix it")</f>
        <v>st order  most cans dented  unusable customer service ordered replacement the replacement got cancelled as they were out of stock i had to call again to get the refund the system didnt know it was a replacement
a week later their site says in stock so i try ordering more vet prescription cat food a week later the order is canceled due to out of stock but their website still says in stock
two weeks later the site still says in stock since i cant find this critical food anywhere i desperately try again but get the same results
i called customer service to let them know the issue every customer service person ive spoken with has been lovely hence the  stars the cs rep said they know about the website but since another company sends out vet food they dont always know when they are out of stock however every other online pet store are able to update their site with this key information its stressful enough trying to find my sick cats food but to put in orders based on them saying in stock only to have them rejected in a week is infuriating please fix it</v>
      </c>
      <c r="H2454" s="4" t="str">
        <f t="shared" si="1"/>
        <v>st order most cans dented unusable customer service ordered replacement replacement got cancelled as they were out of stock i had call again get refund system didnt know it was a replacement
a week later their site says in stock so i try ordering more vet prescription cat food a week later order canceled due out of stock but their website still says in stock
two weeks later site still says in stock since i cant find this critical food anywhere i desperately try again but get same results
i called customer service let them know issue every customer service person ive spoken with has been lovely hence stars cs rep said they know about website but since another company sends out vet food they dont always know when they are out of stock however every other online pet store are able update their site with this key information its stressful enough trying find my sick cats food but put in orders based on them saying in stock only have them rejected in a week infuriating please fix it</v>
      </c>
      <c r="I2454" s="6">
        <f t="shared" si="2"/>
        <v>176</v>
      </c>
      <c r="J2454" s="6">
        <f>IFERROR(__xludf.DUMMYFUNCTION("IF(H2454="""","""",
SUM(
ARRAYFORMULA(
IF(
REGEXMATCH(
"" ""&amp;H2454&amp;"" "",
"" ""&amp;Sentiment_Words!A$2:A3730&amp;"" ""
),
1,
0
)
)
)
)"),1.0)</f>
        <v>1</v>
      </c>
      <c r="K2454" s="4">
        <f>IFERROR(__xludf.DUMMYFUNCTION("IF(H2454="""","""",
SUM(
ARRAYFORMULA(
IF(
REGEXMATCH(
"" ""&amp;H2454&amp;"" "",
"" ""&amp;Sentiment_Words!B$2:B3730&amp;"" ""
),
1,
0
)
)
)
)"),5.0)</f>
        <v>5</v>
      </c>
      <c r="L2454" s="7" t="str">
        <f t="shared" si="3"/>
        <v>Customer Support</v>
      </c>
      <c r="M2454" s="7" t="str">
        <f t="shared" si="4"/>
        <v>Negative</v>
      </c>
      <c r="N2454" s="7" t="str">
        <f>IFERROR(__xludf.DUMMYFUNCTION("LOWER(
TRIM(
REGEXREPLACE(B2454,""[^a-zA-Z\s]"","""")
)
)
"),"nicole")</f>
        <v>nicole</v>
      </c>
      <c r="O2454" s="7">
        <f t="shared" si="5"/>
        <v>2</v>
      </c>
      <c r="P2454" s="8" t="str">
        <f t="shared" si="6"/>
        <v>Yes</v>
      </c>
    </row>
    <row r="2455">
      <c r="A2455" s="4" t="s">
        <v>16</v>
      </c>
      <c r="B2455" s="4" t="s">
        <v>6864</v>
      </c>
      <c r="C2455" s="5">
        <v>44678.0</v>
      </c>
      <c r="D2455" s="10">
        <v>44678.0</v>
      </c>
      <c r="E2455" s="4" t="s">
        <v>6865</v>
      </c>
      <c r="F2455" s="4" t="s">
        <v>6866</v>
      </c>
      <c r="G2455" s="6" t="str">
        <f>IFERROR(__xludf.DUMMYFUNCTION("REGEXREPLACE(LOWER(F2455),""[^a-z\s]"","""")"),"get my name right i did happen to type it out on my information portion of my account not hard figure out")</f>
        <v>get my name right i did happen to type it out on my information portion of my account not hard figure out</v>
      </c>
      <c r="H2455" s="4" t="str">
        <f t="shared" si="1"/>
        <v>get my name right i did happen type it out on my information portion of my account not hard figure out</v>
      </c>
      <c r="I2455" s="6">
        <f t="shared" si="2"/>
        <v>21</v>
      </c>
      <c r="J2455" s="6">
        <f>IFERROR(__xludf.DUMMYFUNCTION("IF(H2455="""","""",
SUM(
ARRAYFORMULA(
IF(
REGEXMATCH(
"" ""&amp;H2455&amp;"" "",
"" ""&amp;Sentiment_Words!A$2:A3730&amp;"" ""
),
1,
0
)
)
)
)"),0.0)</f>
        <v>0</v>
      </c>
      <c r="K2455" s="4">
        <f>IFERROR(__xludf.DUMMYFUNCTION("IF(H2455="""","""",
SUM(
ARRAYFORMULA(
IF(
REGEXMATCH(
"" ""&amp;H2455&amp;"" "",
"" ""&amp;Sentiment_Words!B$2:B3730&amp;"" ""
),
1,
0
)
)
)
)"),0.0)</f>
        <v>0</v>
      </c>
      <c r="L2455" s="7" t="str">
        <f t="shared" si="3"/>
        <v>Account &amp; Website</v>
      </c>
      <c r="M2455" s="7" t="str">
        <f t="shared" si="4"/>
        <v>Neutral</v>
      </c>
      <c r="N2455" s="7" t="str">
        <f>IFERROR(__xludf.DUMMYFUNCTION("LOWER(
TRIM(
REGEXREPLACE(B2455,""[^a-zA-Z\s]"","""")
)
)
"),"brian santistefan")</f>
        <v>brian santistefan</v>
      </c>
      <c r="O2455" s="7">
        <f t="shared" si="5"/>
        <v>1</v>
      </c>
      <c r="P2455" s="8" t="str">
        <f t="shared" si="6"/>
        <v>No</v>
      </c>
    </row>
    <row r="2456">
      <c r="A2456" s="4" t="s">
        <v>16</v>
      </c>
      <c r="B2456" s="4" t="s">
        <v>6867</v>
      </c>
      <c r="C2456" s="5">
        <v>44678.0</v>
      </c>
      <c r="D2456" s="10">
        <v>44678.0</v>
      </c>
      <c r="E2456" s="4" t="s">
        <v>438</v>
      </c>
      <c r="F2456" s="4" t="s">
        <v>6868</v>
      </c>
      <c r="G2456" s="6" t="str">
        <f>IFERROR(__xludf.DUMMYFUNCTION("REGEXREPLACE(LOWER(F2456),""[^a-z\s]"","""")"),"best price service and product")</f>
        <v>best price service and product</v>
      </c>
      <c r="H2456" s="4" t="str">
        <f t="shared" si="1"/>
        <v>best price service product</v>
      </c>
      <c r="I2456" s="6">
        <f t="shared" si="2"/>
        <v>4</v>
      </c>
      <c r="J2456" s="6">
        <f>IFERROR(__xludf.DUMMYFUNCTION("IF(H2456="""","""",
SUM(
ARRAYFORMULA(
IF(
REGEXMATCH(
"" ""&amp;H2456&amp;"" "",
"" ""&amp;Sentiment_Words!A$2:A3730&amp;"" ""
),
1,
0
)
)
)
)"),0.0)</f>
        <v>0</v>
      </c>
      <c r="K2456" s="4">
        <f>IFERROR(__xludf.DUMMYFUNCTION("IF(H2456="""","""",
SUM(
ARRAYFORMULA(
IF(
REGEXMATCH(
"" ""&amp;H2456&amp;"" "",
"" ""&amp;Sentiment_Words!B$2:B3730&amp;"" ""
),
1,
0
)
)
)
)"),0.0)</f>
        <v>0</v>
      </c>
      <c r="L2456" s="7" t="str">
        <f t="shared" si="3"/>
        <v>Customer Support</v>
      </c>
      <c r="M2456" s="7" t="str">
        <f t="shared" si="4"/>
        <v>Neutral</v>
      </c>
      <c r="N2456" s="7" t="str">
        <f>IFERROR(__xludf.DUMMYFUNCTION("LOWER(
TRIM(
REGEXREPLACE(B2456,""[^a-zA-Z\s]"","""")
)
)
"),"richard fine")</f>
        <v>richard fine</v>
      </c>
      <c r="O2456" s="7">
        <f t="shared" si="5"/>
        <v>1</v>
      </c>
      <c r="P2456" s="8" t="str">
        <f t="shared" si="6"/>
        <v>No</v>
      </c>
    </row>
    <row r="2457">
      <c r="A2457" s="4" t="s">
        <v>16</v>
      </c>
      <c r="B2457" s="4" t="s">
        <v>6869</v>
      </c>
      <c r="C2457" s="5">
        <v>44678.0</v>
      </c>
      <c r="D2457" s="10">
        <v>44678.0</v>
      </c>
      <c r="E2457" s="4" t="s">
        <v>6870</v>
      </c>
      <c r="F2457" s="4" t="s">
        <v>6871</v>
      </c>
      <c r="G2457" s="6" t="str">
        <f>IFERROR(__xludf.DUMMYFUNCTION("REGEXREPLACE(LOWER(F2457),""[^a-z\s]"","""")"),"great price the shipping was good and everything arrived as expected i will order from petflow again")</f>
        <v>great price the shipping was good and everything arrived as expected i will order from petflow again</v>
      </c>
      <c r="H2457" s="4" t="str">
        <f t="shared" si="1"/>
        <v>great price shipping was good everything arrived as expected i will order from petflow again</v>
      </c>
      <c r="I2457" s="6">
        <f t="shared" si="2"/>
        <v>15</v>
      </c>
      <c r="J2457" s="6">
        <f>IFERROR(__xludf.DUMMYFUNCTION("IF(H2457="""","""",
SUM(
ARRAYFORMULA(
IF(
REGEXMATCH(
"" ""&amp;H2457&amp;"" "",
"" ""&amp;Sentiment_Words!A$2:A3730&amp;"" ""
),
1,
0
)
)
)
)"),2.0)</f>
        <v>2</v>
      </c>
      <c r="K2457" s="4">
        <f>IFERROR(__xludf.DUMMYFUNCTION("IF(H2457="""","""",
SUM(
ARRAYFORMULA(
IF(
REGEXMATCH(
"" ""&amp;H2457&amp;"" "",
"" ""&amp;Sentiment_Words!B$2:B3730&amp;"" ""
),
1,
0
)
)
)
)"),0.0)</f>
        <v>0</v>
      </c>
      <c r="L2457" s="7" t="str">
        <f t="shared" si="3"/>
        <v>Other</v>
      </c>
      <c r="M2457" s="7" t="str">
        <f t="shared" si="4"/>
        <v>Positive</v>
      </c>
      <c r="N2457" s="7" t="str">
        <f>IFERROR(__xludf.DUMMYFUNCTION("LOWER(
TRIM(
REGEXREPLACE(B2457,""[^a-zA-Z\s]"","""")
)
)
"),"l gray")</f>
        <v>l gray</v>
      </c>
      <c r="O2457" s="7">
        <f t="shared" si="5"/>
        <v>1</v>
      </c>
      <c r="P2457" s="8" t="str">
        <f t="shared" si="6"/>
        <v>No</v>
      </c>
    </row>
    <row r="2458">
      <c r="A2458" s="4" t="s">
        <v>16</v>
      </c>
      <c r="B2458" s="4" t="s">
        <v>6872</v>
      </c>
      <c r="C2458" s="5">
        <v>44678.0</v>
      </c>
      <c r="D2458" s="10">
        <v>44678.0</v>
      </c>
      <c r="E2458" s="4" t="s">
        <v>6873</v>
      </c>
      <c r="F2458" s="4" t="s">
        <v>6874</v>
      </c>
      <c r="G2458" s="6" t="str">
        <f>IFERROR(__xludf.DUMMYFUNCTION("REGEXREPLACE(LOWER(F2458),""[^a-z\s]"","""")"),"absolutely terrible they list food in stock that they dont actually have they then hold funds for two weeks to then cancel the order
get organized and be honest about what you really have in stock")</f>
        <v>absolutely terrible they list food in stock that they dont actually have they then hold funds for two weeks to then cancel the order
get organized and be honest about what you really have in stock</v>
      </c>
      <c r="H2458" s="4" t="str">
        <f t="shared" si="1"/>
        <v>absolutely terrible they list food in stock that they dont actually have they then hold funds two weeks then cancel order
get organized be honest about what you really have in stock</v>
      </c>
      <c r="I2458" s="6">
        <f t="shared" si="2"/>
        <v>31</v>
      </c>
      <c r="J2458" s="6">
        <f>IFERROR(__xludf.DUMMYFUNCTION("IF(H2458="""","""",
SUM(
ARRAYFORMULA(
IF(
REGEXMATCH(
"" ""&amp;H2458&amp;"" "",
"" ""&amp;Sentiment_Words!A$2:A3730&amp;"" ""
),
1,
0
)
)
)
)"),0.0)</f>
        <v>0</v>
      </c>
      <c r="K2458" s="4">
        <f>IFERROR(__xludf.DUMMYFUNCTION("IF(H2458="""","""",
SUM(
ARRAYFORMULA(
IF(
REGEXMATCH(
"" ""&amp;H2458&amp;"" "",
"" ""&amp;Sentiment_Words!B$2:B3730&amp;"" ""
),
1,
0
)
)
)
)"),1.0)</f>
        <v>1</v>
      </c>
      <c r="L2458" s="7" t="str">
        <f t="shared" si="3"/>
        <v>Other</v>
      </c>
      <c r="M2458" s="7" t="str">
        <f t="shared" si="4"/>
        <v>Negative</v>
      </c>
      <c r="N2458" s="7" t="str">
        <f>IFERROR(__xludf.DUMMYFUNCTION("LOWER(
TRIM(
REGEXREPLACE(B2458,""[^a-zA-Z\s]"","""")
)
)
"),"ag")</f>
        <v>ag</v>
      </c>
      <c r="O2458" s="7">
        <f t="shared" si="5"/>
        <v>1</v>
      </c>
      <c r="P2458" s="8" t="str">
        <f t="shared" si="6"/>
        <v>No</v>
      </c>
    </row>
    <row r="2459">
      <c r="A2459" s="4" t="s">
        <v>16</v>
      </c>
      <c r="B2459" s="4" t="s">
        <v>6875</v>
      </c>
      <c r="C2459" s="5">
        <v>44678.0</v>
      </c>
      <c r="D2459" s="10">
        <v>44678.0</v>
      </c>
      <c r="E2459" s="4" t="s">
        <v>6876</v>
      </c>
      <c r="F2459" s="4" t="s">
        <v>6877</v>
      </c>
      <c r="G2459" s="6" t="str">
        <f>IFERROR(__xludf.DUMMYFUNCTION("REGEXREPLACE(LOWER(F2459),""[^a-z\s]"","""")"),"always get what i order in a timely fashion")</f>
        <v>always get what i order in a timely fashion</v>
      </c>
      <c r="H2459" s="4" t="str">
        <f t="shared" si="1"/>
        <v>always get what i order in a timely fashion</v>
      </c>
      <c r="I2459" s="6">
        <f t="shared" si="2"/>
        <v>9</v>
      </c>
      <c r="J2459" s="6">
        <f>IFERROR(__xludf.DUMMYFUNCTION("IF(H2459="""","""",
SUM(
ARRAYFORMULA(
IF(
REGEXMATCH(
"" ""&amp;H2459&amp;"" "",
"" ""&amp;Sentiment_Words!A$2:A3730&amp;"" ""
),
1,
0
)
)
)
)"),0.0)</f>
        <v>0</v>
      </c>
      <c r="K2459" s="4">
        <f>IFERROR(__xludf.DUMMYFUNCTION("IF(H2459="""","""",
SUM(
ARRAYFORMULA(
IF(
REGEXMATCH(
"" ""&amp;H2459&amp;"" "",
"" ""&amp;Sentiment_Words!B$2:B3730&amp;"" ""
),
1,
0
)
)
)
)"),0.0)</f>
        <v>0</v>
      </c>
      <c r="L2459" s="7" t="str">
        <f t="shared" si="3"/>
        <v>Other</v>
      </c>
      <c r="M2459" s="7" t="str">
        <f t="shared" si="4"/>
        <v>Neutral</v>
      </c>
      <c r="N2459" s="7" t="str">
        <f>IFERROR(__xludf.DUMMYFUNCTION("LOWER(
TRIM(
REGEXREPLACE(B2459,""[^a-zA-Z\s]"","""")
)
)
"),"kerri sivits")</f>
        <v>kerri sivits</v>
      </c>
      <c r="O2459" s="7">
        <f t="shared" si="5"/>
        <v>1</v>
      </c>
      <c r="P2459" s="8" t="str">
        <f t="shared" si="6"/>
        <v>No</v>
      </c>
    </row>
    <row r="2460">
      <c r="A2460" s="4" t="s">
        <v>16</v>
      </c>
      <c r="B2460" s="4" t="s">
        <v>6878</v>
      </c>
      <c r="C2460" s="5">
        <v>44677.0</v>
      </c>
      <c r="D2460" s="10">
        <v>44677.0</v>
      </c>
      <c r="E2460" s="4" t="s">
        <v>6879</v>
      </c>
      <c r="F2460" s="4" t="s">
        <v>6880</v>
      </c>
      <c r="G2460" s="6" t="str">
        <f>IFERROR(__xludf.DUMMYFUNCTION("REGEXREPLACE(LOWER(F2460),""[^a-z\s]"","""")"),"they executed the order beautifully the box arrived as expected i ordered sealed dog treats so i have not opened fully yet
this is my second order and they have not done well on both")</f>
        <v>they executed the order beautifully the box arrived as expected i ordered sealed dog treats so i have not opened fully yet
this is my second order and they have not done well on both</v>
      </c>
      <c r="H2460" s="4" t="str">
        <f t="shared" si="1"/>
        <v>they executed order beautifully box arrived as expected i ordered sealed dog treats so i have not opened fully yet
this my second order they have not done well on both</v>
      </c>
      <c r="I2460" s="6">
        <f t="shared" si="2"/>
        <v>30</v>
      </c>
      <c r="J2460" s="6">
        <f>IFERROR(__xludf.DUMMYFUNCTION("IF(H2460="""","""",
SUM(
ARRAYFORMULA(
IF(
REGEXMATCH(
"" ""&amp;H2460&amp;"" "",
"" ""&amp;Sentiment_Words!A$2:A3730&amp;"" ""
),
1,
0
)
)
)
)"),0.0)</f>
        <v>0</v>
      </c>
      <c r="K2460" s="4">
        <f>IFERROR(__xludf.DUMMYFUNCTION("IF(H2460="""","""",
SUM(
ARRAYFORMULA(
IF(
REGEXMATCH(
"" ""&amp;H2460&amp;"" "",
"" ""&amp;Sentiment_Words!B$2:B3730&amp;"" ""
),
1,
0
)
)
)
)"),0.0)</f>
        <v>0</v>
      </c>
      <c r="L2460" s="7" t="str">
        <f t="shared" si="3"/>
        <v>Other</v>
      </c>
      <c r="M2460" s="7" t="str">
        <f t="shared" si="4"/>
        <v>Neutral</v>
      </c>
      <c r="N2460" s="7" t="str">
        <f>IFERROR(__xludf.DUMMYFUNCTION("LOWER(
TRIM(
REGEXREPLACE(B2460,""[^a-zA-Z\s]"","""")
)
)
"),"christopher newman")</f>
        <v>christopher newman</v>
      </c>
      <c r="O2460" s="7">
        <f t="shared" si="5"/>
        <v>1</v>
      </c>
      <c r="P2460" s="8" t="str">
        <f t="shared" si="6"/>
        <v>No</v>
      </c>
    </row>
    <row r="2461">
      <c r="A2461" s="4" t="s">
        <v>16</v>
      </c>
      <c r="B2461" s="4" t="s">
        <v>6881</v>
      </c>
      <c r="C2461" s="5">
        <v>44677.0</v>
      </c>
      <c r="D2461" s="10">
        <v>44677.0</v>
      </c>
      <c r="E2461" s="4" t="s">
        <v>6882</v>
      </c>
      <c r="F2461" s="4" t="s">
        <v>6883</v>
      </c>
      <c r="G2461" s="6" t="str">
        <f>IFERROR(__xludf.DUMMYFUNCTION("REGEXREPLACE(LOWER(F2461),""[^a-z\s]"","""")"),"one of the few places that has grain free greenies and can ship them expeditiously")</f>
        <v>one of the few places that has grain free greenies and can ship them expeditiously</v>
      </c>
      <c r="H2461" s="4" t="str">
        <f t="shared" si="1"/>
        <v>one of few places that has grain free greenies can ship them expeditiously</v>
      </c>
      <c r="I2461" s="6">
        <f t="shared" si="2"/>
        <v>13</v>
      </c>
      <c r="J2461" s="6">
        <f>IFERROR(__xludf.DUMMYFUNCTION("IF(H2461="""","""",
SUM(
ARRAYFORMULA(
IF(
REGEXMATCH(
"" ""&amp;H2461&amp;"" "",
"" ""&amp;Sentiment_Words!A$2:A3730&amp;"" ""
),
1,
0
)
)
)
)"),0.0)</f>
        <v>0</v>
      </c>
      <c r="K2461" s="4">
        <f>IFERROR(__xludf.DUMMYFUNCTION("IF(H2461="""","""",
SUM(
ARRAYFORMULA(
IF(
REGEXMATCH(
"" ""&amp;H2461&amp;"" "",
"" ""&amp;Sentiment_Words!B$2:B3730&amp;"" ""
),
1,
0
)
)
)
)"),0.0)</f>
        <v>0</v>
      </c>
      <c r="L2461" s="7" t="str">
        <f t="shared" si="3"/>
        <v>Other</v>
      </c>
      <c r="M2461" s="7" t="str">
        <f t="shared" si="4"/>
        <v>Neutral</v>
      </c>
      <c r="N2461" s="7" t="str">
        <f>IFERROR(__xludf.DUMMYFUNCTION("LOWER(
TRIM(
REGEXREPLACE(B2461,""[^a-zA-Z\s]"","""")
)
)
"),"walter baile")</f>
        <v>walter baile</v>
      </c>
      <c r="O2461" s="7">
        <f t="shared" si="5"/>
        <v>1</v>
      </c>
      <c r="P2461" s="8" t="str">
        <f t="shared" si="6"/>
        <v>No</v>
      </c>
    </row>
    <row r="2462">
      <c r="A2462" s="4" t="s">
        <v>16</v>
      </c>
      <c r="B2462" s="4" t="s">
        <v>6884</v>
      </c>
      <c r="C2462" s="5">
        <v>44677.0</v>
      </c>
      <c r="D2462" s="10">
        <v>44677.0</v>
      </c>
      <c r="E2462" s="4" t="s">
        <v>6885</v>
      </c>
      <c r="F2462" s="4" t="s">
        <v>6886</v>
      </c>
      <c r="G2462" s="6" t="str">
        <f>IFERROR(__xludf.DUMMYFUNCTION("REGEXREPLACE(LOWER(F2462),""[^a-z\s]"","""")"),"the product i ordered was shipped and delivered within  days thats amazing")</f>
        <v>the product i ordered was shipped and delivered within  days thats amazing</v>
      </c>
      <c r="H2462" s="4" t="str">
        <f t="shared" si="1"/>
        <v>product i ordered was shipped delivered within days thats amazing</v>
      </c>
      <c r="I2462" s="6">
        <f t="shared" si="2"/>
        <v>10</v>
      </c>
      <c r="J2462" s="6">
        <f>IFERROR(__xludf.DUMMYFUNCTION("IF(H2462="""","""",
SUM(
ARRAYFORMULA(
IF(
REGEXMATCH(
"" ""&amp;H2462&amp;"" "",
"" ""&amp;Sentiment_Words!A$2:A3730&amp;"" ""
),
1,
0
)
)
)
)"),1.0)</f>
        <v>1</v>
      </c>
      <c r="K2462" s="4">
        <f>IFERROR(__xludf.DUMMYFUNCTION("IF(H2462="""","""",
SUM(
ARRAYFORMULA(
IF(
REGEXMATCH(
"" ""&amp;H2462&amp;"" "",
"" ""&amp;Sentiment_Words!B$2:B3730&amp;"" ""
),
1,
0
)
)
)
)"),0.0)</f>
        <v>0</v>
      </c>
      <c r="L2462" s="7" t="str">
        <f t="shared" si="3"/>
        <v>Other</v>
      </c>
      <c r="M2462" s="7" t="str">
        <f t="shared" si="4"/>
        <v>Positive</v>
      </c>
      <c r="N2462" s="7" t="str">
        <f>IFERROR(__xludf.DUMMYFUNCTION("LOWER(
TRIM(
REGEXREPLACE(B2462,""[^a-zA-Z\s]"","""")
)
)
"),"david brown")</f>
        <v>david brown</v>
      </c>
      <c r="O2462" s="7">
        <f t="shared" si="5"/>
        <v>1</v>
      </c>
      <c r="P2462" s="8" t="str">
        <f t="shared" si="6"/>
        <v>No</v>
      </c>
    </row>
    <row r="2463">
      <c r="A2463" s="4" t="s">
        <v>16</v>
      </c>
      <c r="B2463" s="4" t="s">
        <v>6887</v>
      </c>
      <c r="C2463" s="5">
        <v>44677.0</v>
      </c>
      <c r="D2463" s="10">
        <v>44677.0</v>
      </c>
      <c r="E2463" s="4" t="s">
        <v>6888</v>
      </c>
      <c r="F2463" s="4" t="s">
        <v>6889</v>
      </c>
      <c r="G2463" s="6" t="str">
        <f>IFERROR(__xludf.DUMMYFUNCTION("REGEXREPLACE(LOWER(F2463),""[^a-z\s]"","""")"),"i was lied to from customer service they also implied that i was stupid we live out in the sticks and they tried to convince me that fedex was going to deliver to me on easter sunday i do not appreciate being lied to")</f>
        <v>i was lied to from customer service they also implied that i was stupid we live out in the sticks and they tried to convince me that fedex was going to deliver to me on easter sunday i do not appreciate being lied to</v>
      </c>
      <c r="H2463" s="4" t="str">
        <f t="shared" si="1"/>
        <v>i was lied from customer service they also implied that i was stupid we live out in sticks they tried convince me that fedex was going deliver me on easter sunday i do not appreciate being lied</v>
      </c>
      <c r="I2463" s="6">
        <f t="shared" si="2"/>
        <v>37</v>
      </c>
      <c r="J2463" s="6">
        <f>IFERROR(__xludf.DUMMYFUNCTION("IF(H2463="""","""",
SUM(
ARRAYFORMULA(
IF(
REGEXMATCH(
"" ""&amp;H2463&amp;"" "",
"" ""&amp;Sentiment_Words!A$2:A3730&amp;"" ""
),
1,
0
)
)
)
)"),0.0)</f>
        <v>0</v>
      </c>
      <c r="K2463" s="4">
        <f>IFERROR(__xludf.DUMMYFUNCTION("IF(H2463="""","""",
SUM(
ARRAYFORMULA(
IF(
REGEXMATCH(
"" ""&amp;H2463&amp;"" "",
"" ""&amp;Sentiment_Words!B$2:B3730&amp;"" ""
),
1,
0
)
)
)
)"),1.0)</f>
        <v>1</v>
      </c>
      <c r="L2463" s="7" t="str">
        <f t="shared" si="3"/>
        <v>Customer Support</v>
      </c>
      <c r="M2463" s="7" t="str">
        <f t="shared" si="4"/>
        <v>Negative</v>
      </c>
      <c r="N2463" s="7" t="str">
        <f>IFERROR(__xludf.DUMMYFUNCTION("LOWER(
TRIM(
REGEXREPLACE(B2463,""[^a-zA-Z\s]"","""")
)
)
"),"charles dodge")</f>
        <v>charles dodge</v>
      </c>
      <c r="O2463" s="7">
        <f t="shared" si="5"/>
        <v>1</v>
      </c>
      <c r="P2463" s="8" t="str">
        <f t="shared" si="6"/>
        <v>No</v>
      </c>
    </row>
    <row r="2464">
      <c r="A2464" s="4" t="s">
        <v>16</v>
      </c>
      <c r="B2464" s="4" t="s">
        <v>6890</v>
      </c>
      <c r="C2464" s="5">
        <v>44677.0</v>
      </c>
      <c r="D2464" s="10">
        <v>44677.0</v>
      </c>
      <c r="E2464" s="4" t="s">
        <v>6891</v>
      </c>
      <c r="F2464" s="4" t="s">
        <v>6892</v>
      </c>
      <c r="G2464" s="6" t="str">
        <f>IFERROR(__xludf.DUMMYFUNCTION("REGEXREPLACE(LOWER(F2464),""[^a-z\s]"","""")"),"your delivery is exceptional i am also pleased that you carry fromme
there arent a lot of pet stores that do")</f>
        <v>your delivery is exceptional i am also pleased that you carry fromme
there arent a lot of pet stores that do</v>
      </c>
      <c r="H2464" s="4" t="str">
        <f t="shared" si="1"/>
        <v>your delivery exceptional i am also pleased that you carry fromme
there arent a lot of pet stores that do</v>
      </c>
      <c r="I2464" s="6">
        <f t="shared" si="2"/>
        <v>19</v>
      </c>
      <c r="J2464" s="6">
        <f>IFERROR(__xludf.DUMMYFUNCTION("IF(H2464="""","""",
SUM(
ARRAYFORMULA(
IF(
REGEXMATCH(
"" ""&amp;H2464&amp;"" "",
"" ""&amp;Sentiment_Words!A$2:A3730&amp;"" ""
),
1,
0
)
)
)
)"),0.0)</f>
        <v>0</v>
      </c>
      <c r="K2464" s="4">
        <f>IFERROR(__xludf.DUMMYFUNCTION("IF(H2464="""","""",
SUM(
ARRAYFORMULA(
IF(
REGEXMATCH(
"" ""&amp;H2464&amp;"" "",
"" ""&amp;Sentiment_Words!B$2:B3730&amp;"" ""
),
1,
0
)
)
)
)"),0.0)</f>
        <v>0</v>
      </c>
      <c r="L2464" s="7" t="str">
        <f t="shared" si="3"/>
        <v>Other</v>
      </c>
      <c r="M2464" s="7" t="str">
        <f t="shared" si="4"/>
        <v>Neutral</v>
      </c>
      <c r="N2464" s="7" t="str">
        <f>IFERROR(__xludf.DUMMYFUNCTION("LOWER(
TRIM(
REGEXREPLACE(B2464,""[^a-zA-Z\s]"","""")
)
)
"),"jine gleason")</f>
        <v>jine gleason</v>
      </c>
      <c r="O2464" s="7">
        <f t="shared" si="5"/>
        <v>1</v>
      </c>
      <c r="P2464" s="8" t="str">
        <f t="shared" si="6"/>
        <v>No</v>
      </c>
    </row>
    <row r="2465">
      <c r="A2465" s="4" t="s">
        <v>16</v>
      </c>
      <c r="B2465" s="4" t="s">
        <v>6893</v>
      </c>
      <c r="C2465" s="5">
        <v>44677.0</v>
      </c>
      <c r="D2465" s="10">
        <v>44677.0</v>
      </c>
      <c r="E2465" s="4" t="s">
        <v>6894</v>
      </c>
      <c r="F2465" s="4" t="s">
        <v>6895</v>
      </c>
      <c r="G2465" s="6" t="str">
        <f>IFERROR(__xludf.DUMMYFUNCTION("REGEXREPLACE(LOWER(F2465),""[^a-z\s]"","""")"),"easy to order great prices fast shipping
thank you petflow")</f>
        <v>easy to order great prices fast shipping
thank you petflow</v>
      </c>
      <c r="H2465" s="4" t="str">
        <f t="shared" si="1"/>
        <v>easy order great prices fast shipping
thank you petflow</v>
      </c>
      <c r="I2465" s="6">
        <f t="shared" si="2"/>
        <v>8</v>
      </c>
      <c r="J2465" s="6">
        <f>IFERROR(__xludf.DUMMYFUNCTION("IF(H2465="""","""",
SUM(
ARRAYFORMULA(
IF(
REGEXMATCH(
"" ""&amp;H2465&amp;"" "",
"" ""&amp;Sentiment_Words!A$2:A3730&amp;"" ""
),
1,
0
)
)
)
)"),3.0)</f>
        <v>3</v>
      </c>
      <c r="K2465" s="4">
        <f>IFERROR(__xludf.DUMMYFUNCTION("IF(H2465="""","""",
SUM(
ARRAYFORMULA(
IF(
REGEXMATCH(
"" ""&amp;H2465&amp;"" "",
"" ""&amp;Sentiment_Words!B$2:B3730&amp;"" ""
),
1,
0
)
)
)
)"),0.0)</f>
        <v>0</v>
      </c>
      <c r="L2465" s="7" t="str">
        <f t="shared" si="3"/>
        <v>Other</v>
      </c>
      <c r="M2465" s="7" t="str">
        <f t="shared" si="4"/>
        <v>Positive</v>
      </c>
      <c r="N2465" s="7" t="str">
        <f>IFERROR(__xludf.DUMMYFUNCTION("LOWER(
TRIM(
REGEXREPLACE(B2465,""[^a-zA-Z\s]"","""")
)
)
"),"timothy john")</f>
        <v>timothy john</v>
      </c>
      <c r="O2465" s="7">
        <f t="shared" si="5"/>
        <v>1</v>
      </c>
      <c r="P2465" s="8" t="str">
        <f t="shared" si="6"/>
        <v>No</v>
      </c>
    </row>
    <row r="2466">
      <c r="A2466" s="4" t="s">
        <v>16</v>
      </c>
      <c r="B2466" s="4" t="s">
        <v>6896</v>
      </c>
      <c r="C2466" s="5">
        <v>44677.0</v>
      </c>
      <c r="D2466" s="10">
        <v>44677.0</v>
      </c>
      <c r="E2466" s="4" t="s">
        <v>6897</v>
      </c>
      <c r="F2466" s="4" t="s">
        <v>6898</v>
      </c>
      <c r="G2466" s="6" t="str">
        <f>IFERROR(__xludf.DUMMYFUNCTION("REGEXREPLACE(LOWER(F2466),""[^a-z\s]"","""")"),"always have what i need and receive it in  dsys")</f>
        <v>always have what i need and receive it in  dsys</v>
      </c>
      <c r="H2466" s="4" t="str">
        <f t="shared" si="1"/>
        <v>always have what i need receive it in dsys</v>
      </c>
      <c r="I2466" s="6">
        <f t="shared" si="2"/>
        <v>9</v>
      </c>
      <c r="J2466" s="6">
        <f>IFERROR(__xludf.DUMMYFUNCTION("IF(H2466="""","""",
SUM(
ARRAYFORMULA(
IF(
REGEXMATCH(
"" ""&amp;H2466&amp;"" "",
"" ""&amp;Sentiment_Words!A$2:A3730&amp;"" ""
),
1,
0
)
)
)
)"),0.0)</f>
        <v>0</v>
      </c>
      <c r="K2466" s="4">
        <f>IFERROR(__xludf.DUMMYFUNCTION("IF(H2466="""","""",
SUM(
ARRAYFORMULA(
IF(
REGEXMATCH(
"" ""&amp;H2466&amp;"" "",
"" ""&amp;Sentiment_Words!B$2:B3730&amp;"" ""
),
1,
0
)
)
)
)"),0.0)</f>
        <v>0</v>
      </c>
      <c r="L2466" s="7" t="str">
        <f t="shared" si="3"/>
        <v>Other</v>
      </c>
      <c r="M2466" s="7" t="str">
        <f t="shared" si="4"/>
        <v>Neutral</v>
      </c>
      <c r="N2466" s="7" t="str">
        <f>IFERROR(__xludf.DUMMYFUNCTION("LOWER(
TRIM(
REGEXREPLACE(B2466,""[^a-zA-Z\s]"","""")
)
)
"),"diane mcnamanon")</f>
        <v>diane mcnamanon</v>
      </c>
      <c r="O2466" s="7">
        <f t="shared" si="5"/>
        <v>1</v>
      </c>
      <c r="P2466" s="8" t="str">
        <f t="shared" si="6"/>
        <v>No</v>
      </c>
    </row>
    <row r="2467">
      <c r="A2467" s="4" t="s">
        <v>16</v>
      </c>
      <c r="B2467" s="4" t="s">
        <v>6899</v>
      </c>
      <c r="C2467" s="5">
        <v>44677.0</v>
      </c>
      <c r="D2467" s="10">
        <v>44677.0</v>
      </c>
      <c r="E2467" s="4" t="s">
        <v>6900</v>
      </c>
      <c r="F2467" s="4" t="s">
        <v>6901</v>
      </c>
      <c r="G2467" s="6" t="str">
        <f>IFERROR(__xludf.DUMMYFUNCTION("REGEXREPLACE(LOWER(F2467),""[^a-z\s]"","""")"),"you take orders for items you dont have available")</f>
        <v>you take orders for items you dont have available</v>
      </c>
      <c r="H2467" s="4" t="str">
        <f t="shared" si="1"/>
        <v>you take orders items you dont have available</v>
      </c>
      <c r="I2467" s="6">
        <f t="shared" si="2"/>
        <v>8</v>
      </c>
      <c r="J2467" s="6">
        <f>IFERROR(__xludf.DUMMYFUNCTION("IF(H2467="""","""",
SUM(
ARRAYFORMULA(
IF(
REGEXMATCH(
"" ""&amp;H2467&amp;"" "",
"" ""&amp;Sentiment_Words!A$2:A3730&amp;"" ""
),
1,
0
)
)
)
)"),1.0)</f>
        <v>1</v>
      </c>
      <c r="K2467" s="4">
        <f>IFERROR(__xludf.DUMMYFUNCTION("IF(H2467="""","""",
SUM(
ARRAYFORMULA(
IF(
REGEXMATCH(
"" ""&amp;H2467&amp;"" "",
"" ""&amp;Sentiment_Words!B$2:B3730&amp;"" ""
),
1,
0
)
)
)
)"),0.0)</f>
        <v>0</v>
      </c>
      <c r="L2467" s="7" t="str">
        <f t="shared" si="3"/>
        <v>Other</v>
      </c>
      <c r="M2467" s="7" t="str">
        <f t="shared" si="4"/>
        <v>Positive</v>
      </c>
      <c r="N2467" s="7" t="str">
        <f>IFERROR(__xludf.DUMMYFUNCTION("LOWER(
TRIM(
REGEXREPLACE(B2467,""[^a-zA-Z\s]"","""")
)
)
"),"mario barros")</f>
        <v>mario barros</v>
      </c>
      <c r="O2467" s="7">
        <f t="shared" si="5"/>
        <v>1</v>
      </c>
      <c r="P2467" s="8" t="str">
        <f t="shared" si="6"/>
        <v>No</v>
      </c>
    </row>
    <row r="2468">
      <c r="A2468" s="4" t="s">
        <v>16</v>
      </c>
      <c r="B2468" s="4" t="s">
        <v>1468</v>
      </c>
      <c r="C2468" s="5">
        <v>44677.0</v>
      </c>
      <c r="D2468" s="10">
        <v>44677.0</v>
      </c>
      <c r="E2468" s="4" t="s">
        <v>6902</v>
      </c>
      <c r="F2468" s="4" t="s">
        <v>6903</v>
      </c>
      <c r="G2468" s="6" t="str">
        <f>IFERROR(__xludf.DUMMYFUNCTION("REGEXREPLACE(LOWER(F2468),""[^a-z\s]"","""")"),"order filled promptly and delivered very timely great service")</f>
        <v>order filled promptly and delivered very timely great service</v>
      </c>
      <c r="H2468" s="4" t="str">
        <f t="shared" si="1"/>
        <v>order filled promptly delivered very timely great service</v>
      </c>
      <c r="I2468" s="6">
        <f t="shared" si="2"/>
        <v>8</v>
      </c>
      <c r="J2468" s="6">
        <f>IFERROR(__xludf.DUMMYFUNCTION("IF(H2468="""","""",
SUM(
ARRAYFORMULA(
IF(
REGEXMATCH(
"" ""&amp;H2468&amp;"" "",
"" ""&amp;Sentiment_Words!A$2:A3730&amp;"" ""
),
1,
0
)
)
)
)"),2.0)</f>
        <v>2</v>
      </c>
      <c r="K2468" s="4">
        <f>IFERROR(__xludf.DUMMYFUNCTION("IF(H2468="""","""",
SUM(
ARRAYFORMULA(
IF(
REGEXMATCH(
"" ""&amp;H2468&amp;"" "",
"" ""&amp;Sentiment_Words!B$2:B3730&amp;"" ""
),
1,
0
)
)
)
)"),0.0)</f>
        <v>0</v>
      </c>
      <c r="L2468" s="7" t="str">
        <f t="shared" si="3"/>
        <v>Customer Support</v>
      </c>
      <c r="M2468" s="7" t="str">
        <f t="shared" si="4"/>
        <v>Positive</v>
      </c>
      <c r="N2468" s="7" t="str">
        <f>IFERROR(__xludf.DUMMYFUNCTION("LOWER(
TRIM(
REGEXREPLACE(B2468,""[^a-zA-Z\s]"","""")
)
)
"),"john")</f>
        <v>john</v>
      </c>
      <c r="O2468" s="7">
        <f t="shared" si="5"/>
        <v>7</v>
      </c>
      <c r="P2468" s="8" t="str">
        <f t="shared" si="6"/>
        <v>Yes</v>
      </c>
    </row>
    <row r="2469">
      <c r="A2469" s="4" t="s">
        <v>16</v>
      </c>
      <c r="B2469" s="4" t="s">
        <v>6904</v>
      </c>
      <c r="C2469" s="5">
        <v>44676.0</v>
      </c>
      <c r="D2469" s="10">
        <v>44677.0</v>
      </c>
      <c r="E2469" s="4" t="s">
        <v>6905</v>
      </c>
      <c r="F2469" s="4" t="s">
        <v>6906</v>
      </c>
      <c r="G2469" s="6" t="str">
        <f>IFERROR(__xludf.DUMMYFUNCTION("REGEXREPLACE(LOWER(F2469),""[^a-z\s]"","""")"),"there was a bit of confusion between petflow and the vet i received an email  days after i placed my order saying the vet had yet to respond to the prescription the vet said they had no record of being contacted but after i gave the phone number to the ve"&amp;"t to call petflow they were told that the order had been processed already
the next week i received part of my order today two weeks after i made the order i texted to see when the other half of my order would be arriving i was told that it had been canc"&amp;"eled and would be refunded
i have a cat suffering from sores and scabs over his body so i would have liked to be notified that the food wasnt coming now everything is out of stock and i have to wait for my vet to be in the office to prescribe another foo"&amp;"d if there is one
the only reason i didnt give this fewer stars is because the person texting me got back to me quickly each time i texted with questions regarding the status of my order so that is a good feature")</f>
        <v>there was a bit of confusion between petflow and the vet i received an email  days after i placed my order saying the vet had yet to respond to the prescription the vet said they had no record of being contacted but after i gave the phone number to the vet to call petflow they were told that the order had been processed already
the next week i received part of my order today two weeks after i made the order i texted to see when the other half of my order would be arriving i was told that it had been canceled and would be refunded
i have a cat suffering from sores and scabs over his body so i would have liked to be notified that the food wasnt coming now everything is out of stock and i have to wait for my vet to be in the office to prescribe another food if there is one
the only reason i didnt give this fewer stars is because the person texting me got back to me quickly each time i texted with questions regarding the status of my order so that is a good feature</v>
      </c>
      <c r="H2469" s="4" t="str">
        <f t="shared" si="1"/>
        <v>there was a bit of confusion between petflow vet i received an email days after i placed my order saying vet had yet respond prescription vet said they had no record of being contacted but after i gave phone number vet call petflow they were told that order had been processed already
the next week i received part of my order today two weeks after i made order i texted see when other half of my order would be arriving i was told that it had been canceled would be refunded
i have a cat suffering from sores scabs over his body so i would have liked be notified that food wasnt coming now everything out of stock i have wait my vet be in office prescribe another food if there one
the only reason i didnt give this fewer stars because person texting me got back me quickly each time i texted with questions regarding status of my order so that a good feature</v>
      </c>
      <c r="I2469" s="6">
        <f t="shared" si="2"/>
        <v>162</v>
      </c>
      <c r="J2469" s="6">
        <f>IFERROR(__xludf.DUMMYFUNCTION("IF(H2469="""","""",
SUM(
ARRAYFORMULA(
IF(
REGEXMATCH(
"" ""&amp;H2469&amp;"" "",
"" ""&amp;Sentiment_Words!A$2:A3730&amp;"" ""
),
1,
0
)
)
)
)"),1.0)</f>
        <v>1</v>
      </c>
      <c r="K2469" s="4">
        <f>IFERROR(__xludf.DUMMYFUNCTION("IF(H2469="""","""",
SUM(
ARRAYFORMULA(
IF(
REGEXMATCH(
"" ""&amp;H2469&amp;"" "",
"" ""&amp;Sentiment_Words!B$2:B3730&amp;"" ""
),
1,
0
)
)
)
)"),1.0)</f>
        <v>1</v>
      </c>
      <c r="L2469" s="7" t="str">
        <f t="shared" si="3"/>
        <v>Availability</v>
      </c>
      <c r="M2469" s="7" t="str">
        <f t="shared" si="4"/>
        <v>Neutral</v>
      </c>
      <c r="N2469" s="7" t="str">
        <f>IFERROR(__xludf.DUMMYFUNCTION("LOWER(
TRIM(
REGEXREPLACE(B2469,""[^a-zA-Z\s]"","""")
)
)
"),"sonja norbergsanchez")</f>
        <v>sonja norbergsanchez</v>
      </c>
      <c r="O2469" s="7">
        <f t="shared" si="5"/>
        <v>1</v>
      </c>
      <c r="P2469" s="8" t="str">
        <f t="shared" si="6"/>
        <v>No</v>
      </c>
    </row>
    <row r="2470">
      <c r="A2470" s="4" t="s">
        <v>16</v>
      </c>
      <c r="B2470" s="4" t="s">
        <v>5675</v>
      </c>
      <c r="C2470" s="5">
        <v>44676.0</v>
      </c>
      <c r="D2470" s="10">
        <v>44677.0</v>
      </c>
      <c r="E2470" s="4" t="s">
        <v>6907</v>
      </c>
      <c r="F2470" s="4" t="s">
        <v>6908</v>
      </c>
      <c r="G2470" s="6" t="str">
        <f>IFERROR(__xludf.DUMMYFUNCTION("REGEXREPLACE(LOWER(F2470),""[^a-z\s]"","""")"),"shipping quick and correct products excellent and as described")</f>
        <v>shipping quick and correct products excellent and as described</v>
      </c>
      <c r="H2470" s="4" t="str">
        <f t="shared" si="1"/>
        <v>shipping quick correct products excellent as described</v>
      </c>
      <c r="I2470" s="6">
        <f t="shared" si="2"/>
        <v>7</v>
      </c>
      <c r="J2470" s="6">
        <f>IFERROR(__xludf.DUMMYFUNCTION("IF(H2470="""","""",
SUM(
ARRAYFORMULA(
IF(
REGEXMATCH(
"" ""&amp;H2470&amp;"" "",
"" ""&amp;Sentiment_Words!A$2:A3730&amp;"" ""
),
1,
0
)
)
)
)"),0.0)</f>
        <v>0</v>
      </c>
      <c r="K2470" s="4">
        <f>IFERROR(__xludf.DUMMYFUNCTION("IF(H2470="""","""",
SUM(
ARRAYFORMULA(
IF(
REGEXMATCH(
"" ""&amp;H2470&amp;"" "",
"" ""&amp;Sentiment_Words!B$2:B3730&amp;"" ""
),
1,
0
)
)
)
)"),0.0)</f>
        <v>0</v>
      </c>
      <c r="L2470" s="7" t="str">
        <f t="shared" si="3"/>
        <v>Other</v>
      </c>
      <c r="M2470" s="7" t="str">
        <f t="shared" si="4"/>
        <v>Neutral</v>
      </c>
      <c r="N2470" s="7" t="str">
        <f>IFERROR(__xludf.DUMMYFUNCTION("LOWER(
TRIM(
REGEXREPLACE(B2470,""[^a-zA-Z\s]"","""")
)
)
"),"sharon")</f>
        <v>sharon</v>
      </c>
      <c r="O2470" s="7">
        <f t="shared" si="5"/>
        <v>5</v>
      </c>
      <c r="P2470" s="8" t="str">
        <f t="shared" si="6"/>
        <v>Yes</v>
      </c>
    </row>
    <row r="2471">
      <c r="A2471" s="4" t="s">
        <v>16</v>
      </c>
      <c r="B2471" s="4" t="s">
        <v>6909</v>
      </c>
      <c r="C2471" s="5">
        <v>44676.0</v>
      </c>
      <c r="D2471" s="10">
        <v>44677.0</v>
      </c>
      <c r="E2471" s="4" t="s">
        <v>6910</v>
      </c>
      <c r="F2471" s="4" t="s">
        <v>6911</v>
      </c>
      <c r="G2471" s="6" t="str">
        <f>IFERROR(__xludf.DUMMYFUNCTION("REGEXREPLACE(LOWER(F2471),""[^a-z\s]"","""")"),"easy convenient to use one of the items i ordered was no longer in stock i was notified and refunded immediately there is a wide range of products available to chose from at very competitive prices great service")</f>
        <v>easy convenient to use one of the items i ordered was no longer in stock i was notified and refunded immediately there is a wide range of products available to chose from at very competitive prices great service</v>
      </c>
      <c r="H2471" s="4" t="str">
        <f t="shared" si="1"/>
        <v>easy convenient use one of items i ordered was no longer in stock i was notified refunded immediately there a wide range of products available chose from at very competitive prices great service</v>
      </c>
      <c r="I2471" s="6">
        <f t="shared" si="2"/>
        <v>33</v>
      </c>
      <c r="J2471" s="6">
        <f>IFERROR(__xludf.DUMMYFUNCTION("IF(H2471="""","""",
SUM(
ARRAYFORMULA(
IF(
REGEXMATCH(
"" ""&amp;H2471&amp;"" "",
"" ""&amp;Sentiment_Words!A$2:A3730&amp;"" ""
),
1,
0
)
)
)
)"),5.0)</f>
        <v>5</v>
      </c>
      <c r="K2471" s="4">
        <f>IFERROR(__xludf.DUMMYFUNCTION("IF(H2471="""","""",
SUM(
ARRAYFORMULA(
IF(
REGEXMATCH(
"" ""&amp;H2471&amp;"" "",
"" ""&amp;Sentiment_Words!B$2:B3730&amp;"" ""
),
1,
0
)
)
)
)"),0.0)</f>
        <v>0</v>
      </c>
      <c r="L2471" s="7" t="str">
        <f t="shared" si="3"/>
        <v>Customer Support</v>
      </c>
      <c r="M2471" s="7" t="str">
        <f t="shared" si="4"/>
        <v>Positive</v>
      </c>
      <c r="N2471" s="7" t="str">
        <f>IFERROR(__xludf.DUMMYFUNCTION("LOWER(
TRIM(
REGEXREPLACE(B2471,""[^a-zA-Z\s]"","""")
)
)
"),"stacey dorenfeld")</f>
        <v>stacey dorenfeld</v>
      </c>
      <c r="O2471" s="7">
        <f t="shared" si="5"/>
        <v>1</v>
      </c>
      <c r="P2471" s="8" t="str">
        <f t="shared" si="6"/>
        <v>No</v>
      </c>
    </row>
    <row r="2472">
      <c r="A2472" s="4" t="s">
        <v>16</v>
      </c>
      <c r="B2472" s="4" t="s">
        <v>6912</v>
      </c>
      <c r="C2472" s="5">
        <v>44676.0</v>
      </c>
      <c r="D2472" s="10">
        <v>44677.0</v>
      </c>
      <c r="E2472" s="4" t="s">
        <v>6913</v>
      </c>
      <c r="F2472" s="4" t="s">
        <v>6914</v>
      </c>
      <c r="G2472" s="6" t="str">
        <f>IFERROR(__xludf.DUMMYFUNCTION("REGEXREPLACE(LOWER(F2472),""[^a-z\s]"","""")"),"my dog now needs kidney support food i ordered her kibble and pet flow contacted my vet for authorization we had her new food in  days thank you pet flow for being so prompt in responding to my request")</f>
        <v>my dog now needs kidney support food i ordered her kibble and pet flow contacted my vet for authorization we had her new food in  days thank you pet flow for being so prompt in responding to my request</v>
      </c>
      <c r="H2472" s="4" t="str">
        <f t="shared" si="1"/>
        <v>my dog now needs kidney support food i ordered her kibble pet flow contacted my vet authorization we had her new food in days thank you pet flow being so prompt in responding my request</v>
      </c>
      <c r="I2472" s="6">
        <f t="shared" si="2"/>
        <v>35</v>
      </c>
      <c r="J2472" s="6">
        <f>IFERROR(__xludf.DUMMYFUNCTION("IF(H2472="""","""",
SUM(
ARRAYFORMULA(
IF(
REGEXMATCH(
"" ""&amp;H2472&amp;"" "",
"" ""&amp;Sentiment_Words!A$2:A3730&amp;"" ""
),
1,
0
)
)
)
)"),1.0)</f>
        <v>1</v>
      </c>
      <c r="K2472" s="4">
        <f>IFERROR(__xludf.DUMMYFUNCTION("IF(H2472="""","""",
SUM(
ARRAYFORMULA(
IF(
REGEXMATCH(
"" ""&amp;H2472&amp;"" "",
"" ""&amp;Sentiment_Words!B$2:B3730&amp;"" ""
),
1,
0
)
)
)
)"),0.0)</f>
        <v>0</v>
      </c>
      <c r="L2472" s="7" t="str">
        <f t="shared" si="3"/>
        <v>Customer Support</v>
      </c>
      <c r="M2472" s="7" t="str">
        <f t="shared" si="4"/>
        <v>Positive</v>
      </c>
      <c r="N2472" s="7" t="str">
        <f>IFERROR(__xludf.DUMMYFUNCTION("LOWER(
TRIM(
REGEXREPLACE(B2472,""[^a-zA-Z\s]"","""")
)
)
"),"best buddies dog training llc")</f>
        <v>best buddies dog training llc</v>
      </c>
      <c r="O2472" s="7">
        <f t="shared" si="5"/>
        <v>1</v>
      </c>
      <c r="P2472" s="8" t="str">
        <f t="shared" si="6"/>
        <v>No</v>
      </c>
    </row>
    <row r="2473">
      <c r="A2473" s="4" t="s">
        <v>16</v>
      </c>
      <c r="B2473" s="4" t="s">
        <v>6915</v>
      </c>
      <c r="C2473" s="5">
        <v>44676.0</v>
      </c>
      <c r="D2473" s="10">
        <v>44676.0</v>
      </c>
      <c r="E2473" s="4" t="s">
        <v>6916</v>
      </c>
      <c r="F2473" s="4" t="s">
        <v>6917</v>
      </c>
      <c r="G2473" s="6" t="str">
        <f>IFERROR(__xludf.DUMMYFUNCTION("REGEXREPLACE(LOWER(F2473),""[^a-z\s]"","""")"),"advertised dog food they didnt have felt i was suckered in to get personal information ordered food twice website said in stock they canceled both orders saying didnt have yet didnt change status on the website had also enrolled in autoship website wouldn"&amp;"t let me cancel avoid this website")</f>
        <v>advertised dog food they didnt have felt i was suckered in to get personal information ordered food twice website said in stock they canceled both orders saying didnt have yet didnt change status on the website had also enrolled in autoship website wouldnt let me cancel avoid this website</v>
      </c>
      <c r="H2473" s="4" t="str">
        <f t="shared" si="1"/>
        <v>advertised dog food they didnt have felt i was suckered in get personal information ordered food twice website said in stock they canceled both orders saying didnt have yet didnt change status on website had also enrolled in autoship website wouldnt let me cancel avoid this website</v>
      </c>
      <c r="I2473" s="6">
        <f t="shared" si="2"/>
        <v>47</v>
      </c>
      <c r="J2473" s="6">
        <f>IFERROR(__xludf.DUMMYFUNCTION("IF(H2473="""","""",
SUM(
ARRAYFORMULA(
IF(
REGEXMATCH(
"" ""&amp;H2473&amp;"" "",
"" ""&amp;Sentiment_Words!A$2:A3730&amp;"" ""
),
1,
0
)
)
)
)"),0.0)</f>
        <v>0</v>
      </c>
      <c r="K2473" s="4">
        <f>IFERROR(__xludf.DUMMYFUNCTION("IF(H2473="""","""",
SUM(
ARRAYFORMULA(
IF(
REGEXMATCH(
"" ""&amp;H2473&amp;"" "",
"" ""&amp;Sentiment_Words!B$2:B3730&amp;"" ""
),
1,
0
)
)
)
)"),0.0)</f>
        <v>0</v>
      </c>
      <c r="L2473" s="7" t="str">
        <f t="shared" si="3"/>
        <v>Account &amp; Website</v>
      </c>
      <c r="M2473" s="7" t="str">
        <f t="shared" si="4"/>
        <v>Neutral</v>
      </c>
      <c r="N2473" s="7" t="str">
        <f>IFERROR(__xludf.DUMMYFUNCTION("LOWER(
TRIM(
REGEXREPLACE(B2473,""[^a-zA-Z\s]"","""")
)
)
"),"margaret pierson")</f>
        <v>margaret pierson</v>
      </c>
      <c r="O2473" s="7">
        <f t="shared" si="5"/>
        <v>1</v>
      </c>
      <c r="P2473" s="8" t="str">
        <f t="shared" si="6"/>
        <v>No</v>
      </c>
    </row>
    <row r="2474">
      <c r="A2474" s="4" t="s">
        <v>16</v>
      </c>
      <c r="B2474" s="4" t="s">
        <v>6918</v>
      </c>
      <c r="C2474" s="5">
        <v>44676.0</v>
      </c>
      <c r="D2474" s="10">
        <v>44676.0</v>
      </c>
      <c r="E2474" s="4" t="s">
        <v>6919</v>
      </c>
      <c r="F2474" s="4" t="s">
        <v>6920</v>
      </c>
      <c r="G2474" s="6" t="str">
        <f>IFERROR(__xludf.DUMMYFUNCTION("REGEXREPLACE(LOWER(F2474),""[^a-z\s]"","""")"),"i ordered food and have been waiting for a response let you with my vets numbers and even left a text per instructions and nothing im still waiting for any sort of reply")</f>
        <v>i ordered food and have been waiting for a response let you with my vets numbers and even left a text per instructions and nothing im still waiting for any sort of reply</v>
      </c>
      <c r="H2474" s="4" t="str">
        <f t="shared" si="1"/>
        <v>i ordered food have been waiting a response let you with my vets numbers even left a text per instructions nothing im still waiting any sort of reply</v>
      </c>
      <c r="I2474" s="6">
        <f t="shared" si="2"/>
        <v>28</v>
      </c>
      <c r="J2474" s="6">
        <f>IFERROR(__xludf.DUMMYFUNCTION("IF(H2474="""","""",
SUM(
ARRAYFORMULA(
IF(
REGEXMATCH(
"" ""&amp;H2474&amp;"" "",
"" ""&amp;Sentiment_Words!A$2:A3730&amp;"" ""
),
1,
0
)
)
)
)"),0.0)</f>
        <v>0</v>
      </c>
      <c r="K2474" s="4">
        <f>IFERROR(__xludf.DUMMYFUNCTION("IF(H2474="""","""",
SUM(
ARRAYFORMULA(
IF(
REGEXMATCH(
"" ""&amp;H2474&amp;"" "",
"" ""&amp;Sentiment_Words!B$2:B3730&amp;"" ""
),
1,
0
)
)
)
)"),0.0)</f>
        <v>0</v>
      </c>
      <c r="L2474" s="7" t="str">
        <f t="shared" si="3"/>
        <v>Other</v>
      </c>
      <c r="M2474" s="7" t="str">
        <f t="shared" si="4"/>
        <v>Neutral</v>
      </c>
      <c r="N2474" s="7" t="str">
        <f>IFERROR(__xludf.DUMMYFUNCTION("LOWER(
TRIM(
REGEXREPLACE(B2474,""[^a-zA-Z\s]"","""")
)
)
"),"gerald gilmore")</f>
        <v>gerald gilmore</v>
      </c>
      <c r="O2474" s="7">
        <f t="shared" si="5"/>
        <v>1</v>
      </c>
      <c r="P2474" s="8" t="str">
        <f t="shared" si="6"/>
        <v>No</v>
      </c>
    </row>
    <row r="2475">
      <c r="A2475" s="4" t="s">
        <v>16</v>
      </c>
      <c r="B2475" s="4" t="s">
        <v>2459</v>
      </c>
      <c r="C2475" s="5">
        <v>44676.0</v>
      </c>
      <c r="D2475" s="10">
        <v>44676.0</v>
      </c>
      <c r="E2475" s="4" t="s">
        <v>6921</v>
      </c>
      <c r="F2475" s="4" t="s">
        <v>6922</v>
      </c>
      <c r="G2475" s="6" t="str">
        <f>IFERROR(__xludf.DUMMYFUNCTION("REGEXREPLACE(LOWER(F2475),""[^a-z\s]"","""")"),"i ordered a type of prescription dry cat food made by hills hills said you had i in stock and so did your website i placed my order with veterinary information for prescription approval this probably took one day not more than two but as time went on i re"&amp;"ceived no notification that my order had shipped i followed up with emails to your customer service and got i think three or four replies all but the last of these indicated that the food was in stock that the order was being processed and that i would ge"&amp;"t notification when it shipped then the last message one week later said you were awaiting another shipment of the food and that my order had been cancelled in short i was misled repeatedly about the food being in stock and my order being filled this is a"&amp;" prescription food and very important to the health of my cat who suffers a difficult condition that the food helps very much to alleviate your stalling and misleading messages for a prescription item to me are inexcusable i will not be dealing with you a"&amp;"gain")</f>
        <v>i ordered a type of prescription dry cat food made by hills hills said you had i in stock and so did your website i placed my order with veterinary information for prescription approval this probably took one day not more than two but as time went on i received no notification that my order had shipped i followed up with emails to your customer service and got i think three or four replies all but the last of these indicated that the food was in stock that the order was being processed and that i would get notification when it shipped then the last message one week later said you were awaiting another shipment of the food and that my order had been cancelled in short i was misled repeatedly about the food being in stock and my order being filled this is a prescription food and very important to the health of my cat who suffers a difficult condition that the food helps very much to alleviate your stalling and misleading messages for a prescription item to me are inexcusable i will not be dealing with you again</v>
      </c>
      <c r="H2475" s="4" t="str">
        <f t="shared" si="1"/>
        <v>i ordered a type of prescription dry cat food made by hills hills said you had i in stock so did your website i placed my order with veterinary information prescription approval this probably took one day not more than two but as time went on i received no notification that my order had shipped i followed up with emails your customer service got i think three or four replies all but last of these indicated that food was in stock that order was being processed that i would get notification when it shipped then last message one week later said you were awaiting another shipment of food that my order had been cancelled in short i was misled repeatedly about food being in stock my order being filled this a prescription food very important health of my cat who suffers a difficult condition that food helps very much alleviate your stalling misleading messages a prescription item me are inexcusable i will not be dealing with you again</v>
      </c>
      <c r="I2475" s="6">
        <f t="shared" si="2"/>
        <v>168</v>
      </c>
      <c r="J2475" s="6">
        <f>IFERROR(__xludf.DUMMYFUNCTION("IF(H2475="""","""",
SUM(
ARRAYFORMULA(
IF(
REGEXMATCH(
"" ""&amp;H2475&amp;"" "",
"" ""&amp;Sentiment_Words!A$2:A3730&amp;"" ""
),
1,
0
)
)
)
)"),1.0)</f>
        <v>1</v>
      </c>
      <c r="K2475" s="4">
        <f>IFERROR(__xludf.DUMMYFUNCTION("IF(H2475="""","""",
SUM(
ARRAYFORMULA(
IF(
REGEXMATCH(
"" ""&amp;H2475&amp;"" "",
"" ""&amp;Sentiment_Words!B$2:B3730&amp;"" ""
),
1,
0
)
)
)
)"),2.0)</f>
        <v>2</v>
      </c>
      <c r="L2475" s="7" t="str">
        <f t="shared" si="3"/>
        <v>Customer Support</v>
      </c>
      <c r="M2475" s="7" t="str">
        <f t="shared" si="4"/>
        <v>Negative</v>
      </c>
      <c r="N2475" s="7" t="str">
        <f>IFERROR(__xludf.DUMMYFUNCTION("LOWER(
TRIM(
REGEXREPLACE(B2475,""[^a-zA-Z\s]"","""")
)
)
"),"donna")</f>
        <v>donna</v>
      </c>
      <c r="O2475" s="7">
        <f t="shared" si="5"/>
        <v>5</v>
      </c>
      <c r="P2475" s="8" t="str">
        <f t="shared" si="6"/>
        <v>Yes</v>
      </c>
    </row>
    <row r="2476">
      <c r="A2476" s="4" t="s">
        <v>16</v>
      </c>
      <c r="B2476" s="4" t="s">
        <v>6923</v>
      </c>
      <c r="C2476" s="5">
        <v>44676.0</v>
      </c>
      <c r="D2476" s="10">
        <v>44676.0</v>
      </c>
      <c r="E2476" s="4" t="s">
        <v>6924</v>
      </c>
      <c r="F2476" s="4" t="s">
        <v>331</v>
      </c>
      <c r="G2476" s="6" t="str">
        <f>IFERROR(__xludf.DUMMYFUNCTION("REGEXREPLACE(LOWER(F2476),""[^a-z\s]"","""")"),"none")</f>
        <v>none</v>
      </c>
      <c r="H2476" s="4" t="str">
        <f t="shared" si="1"/>
        <v>none</v>
      </c>
      <c r="I2476" s="6">
        <f t="shared" si="2"/>
        <v>1</v>
      </c>
      <c r="J2476" s="6">
        <f>IFERROR(__xludf.DUMMYFUNCTION("IF(H2476="""","""",
SUM(
ARRAYFORMULA(
IF(
REGEXMATCH(
"" ""&amp;H2476&amp;"" "",
"" ""&amp;Sentiment_Words!A$2:A3730&amp;"" ""
),
1,
0
)
)
)
)"),0.0)</f>
        <v>0</v>
      </c>
      <c r="K2476" s="4">
        <f>IFERROR(__xludf.DUMMYFUNCTION("IF(H2476="""","""",
SUM(
ARRAYFORMULA(
IF(
REGEXMATCH(
"" ""&amp;H2476&amp;"" "",
"" ""&amp;Sentiment_Words!B$2:B3730&amp;"" ""
),
1,
0
)
)
)
)"),0.0)</f>
        <v>0</v>
      </c>
      <c r="L2476" s="7" t="str">
        <f t="shared" si="3"/>
        <v>Other</v>
      </c>
      <c r="M2476" s="7" t="str">
        <f t="shared" si="4"/>
        <v>Neutral</v>
      </c>
      <c r="N2476" s="7" t="str">
        <f>IFERROR(__xludf.DUMMYFUNCTION("LOWER(
TRIM(
REGEXREPLACE(B2476,""[^a-zA-Z\s]"","""")
)
)
"),"joe lozano")</f>
        <v>joe lozano</v>
      </c>
      <c r="O2476" s="7">
        <f t="shared" si="5"/>
        <v>1</v>
      </c>
      <c r="P2476" s="8" t="str">
        <f t="shared" si="6"/>
        <v>No</v>
      </c>
    </row>
    <row r="2477">
      <c r="A2477" s="4" t="s">
        <v>16</v>
      </c>
      <c r="B2477" s="4" t="s">
        <v>4993</v>
      </c>
      <c r="C2477" s="5">
        <v>44675.0</v>
      </c>
      <c r="D2477" s="10">
        <v>44676.0</v>
      </c>
      <c r="E2477" s="4" t="s">
        <v>6925</v>
      </c>
      <c r="F2477" s="4" t="s">
        <v>331</v>
      </c>
      <c r="G2477" s="6" t="str">
        <f>IFERROR(__xludf.DUMMYFUNCTION("REGEXREPLACE(LOWER(F2477),""[^a-z\s]"","""")"),"none")</f>
        <v>none</v>
      </c>
      <c r="H2477" s="4" t="str">
        <f t="shared" si="1"/>
        <v>none</v>
      </c>
      <c r="I2477" s="6">
        <f t="shared" si="2"/>
        <v>1</v>
      </c>
      <c r="J2477" s="6">
        <f>IFERROR(__xludf.DUMMYFUNCTION("IF(H2477="""","""",
SUM(
ARRAYFORMULA(
IF(
REGEXMATCH(
"" ""&amp;H2477&amp;"" "",
"" ""&amp;Sentiment_Words!A$2:A3730&amp;"" ""
),
1,
0
)
)
)
)"),0.0)</f>
        <v>0</v>
      </c>
      <c r="K2477" s="4">
        <f>IFERROR(__xludf.DUMMYFUNCTION("IF(H2477="""","""",
SUM(
ARRAYFORMULA(
IF(
REGEXMATCH(
"" ""&amp;H2477&amp;"" "",
"" ""&amp;Sentiment_Words!B$2:B3730&amp;"" ""
),
1,
0
)
)
)
)"),0.0)</f>
        <v>0</v>
      </c>
      <c r="L2477" s="7" t="str">
        <f t="shared" si="3"/>
        <v>Other</v>
      </c>
      <c r="M2477" s="7" t="str">
        <f t="shared" si="4"/>
        <v>Neutral</v>
      </c>
      <c r="N2477" s="7" t="str">
        <f>IFERROR(__xludf.DUMMYFUNCTION("LOWER(
TRIM(
REGEXREPLACE(B2477,""[^a-zA-Z\s]"","""")
)
)
"),"lb")</f>
        <v>lb</v>
      </c>
      <c r="O2477" s="7">
        <f t="shared" si="5"/>
        <v>2</v>
      </c>
      <c r="P2477" s="8" t="str">
        <f t="shared" si="6"/>
        <v>Yes</v>
      </c>
    </row>
    <row r="2478">
      <c r="A2478" s="4" t="s">
        <v>16</v>
      </c>
      <c r="B2478" s="4" t="s">
        <v>6926</v>
      </c>
      <c r="C2478" s="5">
        <v>44675.0</v>
      </c>
      <c r="D2478" s="10">
        <v>44675.0</v>
      </c>
      <c r="E2478" s="4" t="s">
        <v>6927</v>
      </c>
      <c r="F2478" s="4" t="s">
        <v>6928</v>
      </c>
      <c r="G2478" s="6" t="str">
        <f>IFERROR(__xludf.DUMMYFUNCTION("REGEXREPLACE(LOWER(F2478),""[^a-z\s]"","""")"),"awesome company will definitely be using them moving forward to order my dogs food ")</f>
        <v>awesome company will definitely be using them moving forward to order my dogs food </v>
      </c>
      <c r="H2478" s="4" t="str">
        <f t="shared" si="1"/>
        <v>awesome company will definitely be using them moving forward order my dogs food</v>
      </c>
      <c r="I2478" s="6">
        <f t="shared" si="2"/>
        <v>13</v>
      </c>
      <c r="J2478" s="6">
        <f>IFERROR(__xludf.DUMMYFUNCTION("IF(H2478="""","""",
SUM(
ARRAYFORMULA(
IF(
REGEXMATCH(
"" ""&amp;H2478&amp;"" "",
"" ""&amp;Sentiment_Words!A$2:A3730&amp;"" ""
),
1,
0
)
)
)
)"),0.0)</f>
        <v>0</v>
      </c>
      <c r="K2478" s="4">
        <f>IFERROR(__xludf.DUMMYFUNCTION("IF(H2478="""","""",
SUM(
ARRAYFORMULA(
IF(
REGEXMATCH(
"" ""&amp;H2478&amp;"" "",
"" ""&amp;Sentiment_Words!B$2:B3730&amp;"" ""
),
1,
0
)
)
)
)"),0.0)</f>
        <v>0</v>
      </c>
      <c r="L2478" s="7" t="str">
        <f t="shared" si="3"/>
        <v>Other</v>
      </c>
      <c r="M2478" s="7" t="str">
        <f t="shared" si="4"/>
        <v>Neutral</v>
      </c>
      <c r="N2478" s="7" t="str">
        <f>IFERROR(__xludf.DUMMYFUNCTION("LOWER(
TRIM(
REGEXREPLACE(B2478,""[^a-zA-Z\s]"","""")
)
)
"),"chipis")</f>
        <v>chipis</v>
      </c>
      <c r="O2478" s="7">
        <f t="shared" si="5"/>
        <v>1</v>
      </c>
      <c r="P2478" s="8" t="str">
        <f t="shared" si="6"/>
        <v>No</v>
      </c>
    </row>
    <row r="2479">
      <c r="A2479" s="4" t="s">
        <v>16</v>
      </c>
      <c r="B2479" s="4" t="s">
        <v>6929</v>
      </c>
      <c r="C2479" s="5">
        <v>44675.0</v>
      </c>
      <c r="D2479" s="10">
        <v>44675.0</v>
      </c>
      <c r="E2479" s="4" t="s">
        <v>6930</v>
      </c>
      <c r="F2479" s="4" t="s">
        <v>6931</v>
      </c>
      <c r="G2479" s="6" t="str">
        <f>IFERROR(__xludf.DUMMYFUNCTION("REGEXREPLACE(LOWER(F2479),""[^a-z\s]"","""")"),"item showed in stock took almost a week for them to state it wasnt available and to check back for when its in stock yet when i looked at their website they didnt change the items availability so just keep taking peoples information even though its not av"&amp;"ailable this is a poor business practice")</f>
        <v>item showed in stock took almost a week for them to state it wasnt available and to check back for when its in stock yet when i looked at their website they didnt change the items availability so just keep taking peoples information even though its not available this is a poor business practice</v>
      </c>
      <c r="H2479" s="4" t="str">
        <f t="shared" si="1"/>
        <v>item showed in stock took almost a week them state it wasnt available check back when its in stock yet when i looked at their website they didnt change items availability so just keep taking peoples information even though its not available this a poor business practice</v>
      </c>
      <c r="I2479" s="6">
        <f t="shared" si="2"/>
        <v>47</v>
      </c>
      <c r="J2479" s="6">
        <f>IFERROR(__xludf.DUMMYFUNCTION("IF(H2479="""","""",
SUM(
ARRAYFORMULA(
IF(
REGEXMATCH(
"" ""&amp;H2479&amp;"" "",
"" ""&amp;Sentiment_Words!A$2:A3730&amp;"" ""
),
1,
0
)
)
)
)"),1.0)</f>
        <v>1</v>
      </c>
      <c r="K2479" s="4">
        <f>IFERROR(__xludf.DUMMYFUNCTION("IF(H2479="""","""",
SUM(
ARRAYFORMULA(
IF(
REGEXMATCH(
"" ""&amp;H2479&amp;"" "",
"" ""&amp;Sentiment_Words!B$2:B3730&amp;"" ""
),
1,
0
)
)
)
)"),0.0)</f>
        <v>0</v>
      </c>
      <c r="L2479" s="7" t="str">
        <f t="shared" si="3"/>
        <v>Account &amp; Website</v>
      </c>
      <c r="M2479" s="7" t="str">
        <f t="shared" si="4"/>
        <v>Positive</v>
      </c>
      <c r="N2479" s="7" t="str">
        <f>IFERROR(__xludf.DUMMYFUNCTION("LOWER(
TRIM(
REGEXREPLACE(B2479,""[^a-zA-Z\s]"","""")
)
)
"),"kellie")</f>
        <v>kellie</v>
      </c>
      <c r="O2479" s="7">
        <f t="shared" si="5"/>
        <v>1</v>
      </c>
      <c r="P2479" s="8" t="str">
        <f t="shared" si="6"/>
        <v>No</v>
      </c>
    </row>
    <row r="2480">
      <c r="A2480" s="4" t="s">
        <v>16</v>
      </c>
      <c r="B2480" s="4" t="s">
        <v>6932</v>
      </c>
      <c r="C2480" s="5">
        <v>44675.0</v>
      </c>
      <c r="D2480" s="10">
        <v>44675.0</v>
      </c>
      <c r="E2480" s="4" t="s">
        <v>6933</v>
      </c>
      <c r="F2480" s="4" t="s">
        <v>6934</v>
      </c>
      <c r="G2480" s="6" t="str">
        <f>IFERROR(__xludf.DUMMYFUNCTION("REGEXREPLACE(LOWER(F2480),""[^a-z\s]"","""")"),"when i order it says you have product a week later you say you dont have it and cancel order you need to change this no for sure what is in stock this has happened to me before non way to run a business you dont care about the customer doubt i will order "&amp;"with you sgain")</f>
        <v>when i order it says you have product a week later you say you dont have it and cancel order you need to change this no for sure what is in stock this has happened to me before non way to run a business you dont care about the customer doubt i will order with you sgain</v>
      </c>
      <c r="H2480" s="4" t="str">
        <f t="shared" si="1"/>
        <v>when i order it says you have product a week later you say you dont have it cancel order you need change this no sure what in stock this has happened me before non way run a business you dont care about customer doubt i will order with you sgain</v>
      </c>
      <c r="I2480" s="6">
        <f t="shared" si="2"/>
        <v>50</v>
      </c>
      <c r="J2480" s="6">
        <f>IFERROR(__xludf.DUMMYFUNCTION("IF(H2480="""","""",
SUM(
ARRAYFORMULA(
IF(
REGEXMATCH(
"" ""&amp;H2480&amp;"" "",
"" ""&amp;Sentiment_Words!A$2:A3730&amp;"" ""
),
1,
0
)
)
)
)"),0.0)</f>
        <v>0</v>
      </c>
      <c r="K2480" s="4">
        <f>IFERROR(__xludf.DUMMYFUNCTION("IF(H2480="""","""",
SUM(
ARRAYFORMULA(
IF(
REGEXMATCH(
"" ""&amp;H2480&amp;"" "",
"" ""&amp;Sentiment_Words!B$2:B3730&amp;"" ""
),
1,
0
)
)
)
)"),0.0)</f>
        <v>0</v>
      </c>
      <c r="L2480" s="7" t="str">
        <f t="shared" si="3"/>
        <v>Fulfillment &amp; Shipping</v>
      </c>
      <c r="M2480" s="7" t="str">
        <f t="shared" si="4"/>
        <v>Neutral</v>
      </c>
      <c r="N2480" s="7" t="str">
        <f>IFERROR(__xludf.DUMMYFUNCTION("LOWER(
TRIM(
REGEXREPLACE(B2480,""[^a-zA-Z\s]"","""")
)
)
"),"sharon bione")</f>
        <v>sharon bione</v>
      </c>
      <c r="O2480" s="7">
        <f t="shared" si="5"/>
        <v>1</v>
      </c>
      <c r="P2480" s="8" t="str">
        <f t="shared" si="6"/>
        <v>No</v>
      </c>
    </row>
    <row r="2481">
      <c r="A2481" s="4" t="s">
        <v>16</v>
      </c>
      <c r="B2481" s="4" t="s">
        <v>6935</v>
      </c>
      <c r="C2481" s="5">
        <v>44675.0</v>
      </c>
      <c r="D2481" s="10">
        <v>44675.0</v>
      </c>
      <c r="E2481" s="4" t="s">
        <v>6936</v>
      </c>
      <c r="F2481" s="4" t="s">
        <v>6937</v>
      </c>
      <c r="G2481" s="6" t="str">
        <f>IFERROR(__xludf.DUMMYFUNCTION("REGEXREPLACE(LOWER(F2481),""[^a-z\s]"","""")"),"we have ordered dog  puppy food from petflow for many years and always received excellent service on our last order of  bags one of the bags was out of the box it had been torn open and taped shut with clear shipping tape there was a fed ex label on it re"&amp;"ading repackaged
we were not home when they were delivered i called petflow customer service to let them know about the torn bag they immediately apologized for the problem and let me know they would replace the damaged bag two days later it arrived
i sin"&amp;"cerely appreciated their great service and quick response")</f>
        <v>we have ordered dog  puppy food from petflow for many years and always received excellent service on our last order of  bags one of the bags was out of the box it had been torn open and taped shut with clear shipping tape there was a fed ex label on it reading repackaged
we were not home when they were delivered i called petflow customer service to let them know about the torn bag they immediately apologized for the problem and let me know they would replace the damaged bag two days later it arrived
i sincerely appreciated their great service and quick response</v>
      </c>
      <c r="H2481" s="4" t="str">
        <f t="shared" si="1"/>
        <v>we have ordered dog puppy food from petflow many years always received excellent service on our last order of bags one of bags was out of box it had been torn open taped shut with clear shipping tape there was a fed ex label on it reading repackaged
we were not home when they were delivered i called petflow customer service let them know about torn bag they immediately apologized problem let me know they would replace damaged bag two days later it arrived
i sincerely appreciated their great service quick response</v>
      </c>
      <c r="I2481" s="6">
        <f t="shared" si="2"/>
        <v>90</v>
      </c>
      <c r="J2481" s="6">
        <f>IFERROR(__xludf.DUMMYFUNCTION("IF(H2481="""","""",
SUM(
ARRAYFORMULA(
IF(
REGEXMATCH(
"" ""&amp;H2481&amp;"" "",
"" ""&amp;Sentiment_Words!A$2:A3730&amp;"" ""
),
1,
0
)
)
)
)"),3.0)</f>
        <v>3</v>
      </c>
      <c r="K2481" s="4">
        <f>IFERROR(__xludf.DUMMYFUNCTION("IF(H2481="""","""",
SUM(
ARRAYFORMULA(
IF(
REGEXMATCH(
"" ""&amp;H2481&amp;"" "",
"" ""&amp;Sentiment_Words!B$2:B3730&amp;"" ""
),
1,
0
)
)
)
)"),2.0)</f>
        <v>2</v>
      </c>
      <c r="L2481" s="7" t="str">
        <f t="shared" si="3"/>
        <v>Customer Support</v>
      </c>
      <c r="M2481" s="7" t="str">
        <f t="shared" si="4"/>
        <v>Positive</v>
      </c>
      <c r="N2481" s="7" t="str">
        <f>IFERROR(__xludf.DUMMYFUNCTION("LOWER(
TRIM(
REGEXREPLACE(B2481,""[^a-zA-Z\s]"","""")
)
)
"),"jean mcadams")</f>
        <v>jean mcadams</v>
      </c>
      <c r="O2481" s="7">
        <f t="shared" si="5"/>
        <v>1</v>
      </c>
      <c r="P2481" s="8" t="str">
        <f t="shared" si="6"/>
        <v>No</v>
      </c>
    </row>
    <row r="2482">
      <c r="A2482" s="4" t="s">
        <v>16</v>
      </c>
      <c r="B2482" s="4" t="s">
        <v>6938</v>
      </c>
      <c r="C2482" s="5">
        <v>44675.0</v>
      </c>
      <c r="D2482" s="10">
        <v>44675.0</v>
      </c>
      <c r="E2482" s="4" t="s">
        <v>3229</v>
      </c>
      <c r="F2482" s="4" t="s">
        <v>6939</v>
      </c>
      <c r="G2482" s="6" t="str">
        <f>IFERROR(__xludf.DUMMYFUNCTION("REGEXREPLACE(LOWER(F2482),""[^a-z\s]"","""")"),"easy ordering and perfect delivery")</f>
        <v>easy ordering and perfect delivery</v>
      </c>
      <c r="H2482" s="4" t="str">
        <f t="shared" si="1"/>
        <v>easy ordering perfect delivery</v>
      </c>
      <c r="I2482" s="6">
        <f t="shared" si="2"/>
        <v>4</v>
      </c>
      <c r="J2482" s="6">
        <f>IFERROR(__xludf.DUMMYFUNCTION("IF(H2482="""","""",
SUM(
ARRAYFORMULA(
IF(
REGEXMATCH(
"" ""&amp;H2482&amp;"" "",
"" ""&amp;Sentiment_Words!A$2:A3730&amp;"" ""
),
1,
0
)
)
)
)"),1.0)</f>
        <v>1</v>
      </c>
      <c r="K2482" s="4">
        <f>IFERROR(__xludf.DUMMYFUNCTION("IF(H2482="""","""",
SUM(
ARRAYFORMULA(
IF(
REGEXMATCH(
"" ""&amp;H2482&amp;"" "",
"" ""&amp;Sentiment_Words!B$2:B3730&amp;"" ""
),
1,
0
)
)
)
)"),0.0)</f>
        <v>0</v>
      </c>
      <c r="L2482" s="7" t="str">
        <f t="shared" si="3"/>
        <v>Other</v>
      </c>
      <c r="M2482" s="7" t="str">
        <f t="shared" si="4"/>
        <v>Positive</v>
      </c>
      <c r="N2482" s="7" t="str">
        <f>IFERROR(__xludf.DUMMYFUNCTION("LOWER(
TRIM(
REGEXREPLACE(B2482,""[^a-zA-Z\s]"","""")
)
)
"),"christine g")</f>
        <v>christine g</v>
      </c>
      <c r="O2482" s="7">
        <f t="shared" si="5"/>
        <v>1</v>
      </c>
      <c r="P2482" s="8" t="str">
        <f t="shared" si="6"/>
        <v>No</v>
      </c>
    </row>
    <row r="2483">
      <c r="A2483" s="4" t="s">
        <v>16</v>
      </c>
      <c r="B2483" s="4" t="s">
        <v>727</v>
      </c>
      <c r="C2483" s="5">
        <v>44675.0</v>
      </c>
      <c r="D2483" s="10">
        <v>44675.0</v>
      </c>
      <c r="E2483" s="4" t="s">
        <v>6940</v>
      </c>
      <c r="F2483" s="4" t="s">
        <v>6941</v>
      </c>
      <c r="G2483" s="6" t="str">
        <f>IFERROR(__xludf.DUMMYFUNCTION("REGEXREPLACE(LOWER(F2483),""[^a-z\s]"","""")"),"product bought as advertised online sales works perfectly shipping was fast this is my second transaction with this company and am very pleased")</f>
        <v>product bought as advertised online sales works perfectly shipping was fast this is my second transaction with this company and am very pleased</v>
      </c>
      <c r="H2483" s="4" t="str">
        <f t="shared" si="1"/>
        <v>product bought as advertised online sales works perfectly shipping was fast this my second transaction with this company am very pleased</v>
      </c>
      <c r="I2483" s="6">
        <f t="shared" si="2"/>
        <v>21</v>
      </c>
      <c r="J2483" s="6">
        <f>IFERROR(__xludf.DUMMYFUNCTION("IF(H2483="""","""",
SUM(
ARRAYFORMULA(
IF(
REGEXMATCH(
"" ""&amp;H2483&amp;"" "",
"" ""&amp;Sentiment_Words!A$2:A3730&amp;"" ""
),
1,
0
)
)
)
)"),2.0)</f>
        <v>2</v>
      </c>
      <c r="K2483" s="4">
        <f>IFERROR(__xludf.DUMMYFUNCTION("IF(H2483="""","""",
SUM(
ARRAYFORMULA(
IF(
REGEXMATCH(
"" ""&amp;H2483&amp;"" "",
"" ""&amp;Sentiment_Words!B$2:B3730&amp;"" ""
),
1,
0
)
)
)
)"),0.0)</f>
        <v>0</v>
      </c>
      <c r="L2483" s="7" t="str">
        <f t="shared" si="3"/>
        <v>Other</v>
      </c>
      <c r="M2483" s="7" t="str">
        <f t="shared" si="4"/>
        <v>Positive</v>
      </c>
      <c r="N2483" s="7" t="str">
        <f>IFERROR(__xludf.DUMMYFUNCTION("LOWER(
TRIM(
REGEXREPLACE(B2483,""[^a-zA-Z\s]"","""")
)
)
"),"jean")</f>
        <v>jean</v>
      </c>
      <c r="O2483" s="7">
        <f t="shared" si="5"/>
        <v>5</v>
      </c>
      <c r="P2483" s="8" t="str">
        <f t="shared" si="6"/>
        <v>Yes</v>
      </c>
    </row>
    <row r="2484">
      <c r="A2484" s="4" t="s">
        <v>16</v>
      </c>
      <c r="B2484" s="4" t="s">
        <v>6420</v>
      </c>
      <c r="C2484" s="5">
        <v>44675.0</v>
      </c>
      <c r="D2484" s="10">
        <v>44675.0</v>
      </c>
      <c r="E2484" s="4" t="s">
        <v>6942</v>
      </c>
      <c r="F2484" s="4" t="s">
        <v>6943</v>
      </c>
      <c r="G2484" s="6" t="str">
        <f>IFERROR(__xludf.DUMMYFUNCTION("REGEXREPLACE(LOWER(F2484),""[^a-z\s]"","""")"),"ordered veterinarian prescribed food for diabetic cat and was advised through email it will ship within  days was then emailed  days later with a full order cancellation not being aware of how to fulfill orders due to inventory issues is one thing and und"&amp;"erstandable not being able to make me aware until a full week later is not good service")</f>
        <v>ordered veterinarian prescribed food for diabetic cat and was advised through email it will ship within  days was then emailed  days later with a full order cancellation not being aware of how to fulfill orders due to inventory issues is one thing and understandable not being able to make me aware until a full week later is not good service</v>
      </c>
      <c r="H2484" s="4" t="str">
        <f t="shared" si="1"/>
        <v>ordered veterinarian prescribed food diabetic cat was advised through email it will ship within days was then emailed days later with a full order cancellation not being aware of how fulfill orders due inventory issues one thing understandable not being able make me aware until a full week later not good service</v>
      </c>
      <c r="I2484" s="6">
        <f t="shared" si="2"/>
        <v>52</v>
      </c>
      <c r="J2484" s="6">
        <f>IFERROR(__xludf.DUMMYFUNCTION("IF(H2484="""","""",
SUM(
ARRAYFORMULA(
IF(
REGEXMATCH(
"" ""&amp;H2484&amp;"" "",
"" ""&amp;Sentiment_Words!A$2:A3730&amp;"" ""
),
1,
0
)
)
)
)"),2.0)</f>
        <v>2</v>
      </c>
      <c r="K2484" s="4">
        <f>IFERROR(__xludf.DUMMYFUNCTION("IF(H2484="""","""",
SUM(
ARRAYFORMULA(
IF(
REGEXMATCH(
"" ""&amp;H2484&amp;"" "",
"" ""&amp;Sentiment_Words!B$2:B3730&amp;"" ""
),
1,
0
)
)
)
)"),0.0)</f>
        <v>0</v>
      </c>
      <c r="L2484" s="7" t="str">
        <f t="shared" si="3"/>
        <v>Customer Support</v>
      </c>
      <c r="M2484" s="7" t="str">
        <f t="shared" si="4"/>
        <v>Positive</v>
      </c>
      <c r="N2484" s="7" t="str">
        <f>IFERROR(__xludf.DUMMYFUNCTION("LOWER(
TRIM(
REGEXREPLACE(B2484,""[^a-zA-Z\s]"","""")
)
)
"),"chris")</f>
        <v>chris</v>
      </c>
      <c r="O2484" s="7">
        <f t="shared" si="5"/>
        <v>5</v>
      </c>
      <c r="P2484" s="8" t="str">
        <f t="shared" si="6"/>
        <v>Yes</v>
      </c>
    </row>
    <row r="2485">
      <c r="A2485" s="4" t="s">
        <v>16</v>
      </c>
      <c r="B2485" s="4" t="s">
        <v>6944</v>
      </c>
      <c r="C2485" s="5">
        <v>44675.0</v>
      </c>
      <c r="D2485" s="10">
        <v>44675.0</v>
      </c>
      <c r="E2485" s="4" t="s">
        <v>6945</v>
      </c>
      <c r="F2485" s="4" t="s">
        <v>6946</v>
      </c>
      <c r="G2485" s="6" t="str">
        <f>IFERROR(__xludf.DUMMYFUNCTION("REGEXREPLACE(LOWER(F2485),""[^a-z\s]"","""")"),"ordered but had to update my credit card thought the order was canceled after several attempts after updating the card all orders went through and were processed now i have three bags of food and spent more than that i intended to")</f>
        <v>ordered but had to update my credit card thought the order was canceled after several attempts after updating the card all orders went through and were processed now i have three bags of food and spent more than that i intended to</v>
      </c>
      <c r="H2485" s="4" t="str">
        <f t="shared" si="1"/>
        <v>ordered but had update my credit card thought order was canceled after several attempts after updating card all orders went through were processed now i have three bags of food spent more than that i intended</v>
      </c>
      <c r="I2485" s="6">
        <f t="shared" si="2"/>
        <v>36</v>
      </c>
      <c r="J2485" s="6">
        <f>IFERROR(__xludf.DUMMYFUNCTION("IF(H2485="""","""",
SUM(
ARRAYFORMULA(
IF(
REGEXMATCH(
"" ""&amp;H2485&amp;"" "",
"" ""&amp;Sentiment_Words!A$2:A3730&amp;"" ""
),
1,
0
)
)
)
)"),0.0)</f>
        <v>0</v>
      </c>
      <c r="K2485" s="4">
        <f>IFERROR(__xludf.DUMMYFUNCTION("IF(H2485="""","""",
SUM(
ARRAYFORMULA(
IF(
REGEXMATCH(
"" ""&amp;H2485&amp;"" "",
"" ""&amp;Sentiment_Words!B$2:B3730&amp;"" ""
),
1,
0
)
)
)
)"),0.0)</f>
        <v>0</v>
      </c>
      <c r="L2485" s="7" t="str">
        <f t="shared" si="3"/>
        <v>Other</v>
      </c>
      <c r="M2485" s="7" t="str">
        <f t="shared" si="4"/>
        <v>Neutral</v>
      </c>
      <c r="N2485" s="7" t="str">
        <f>IFERROR(__xludf.DUMMYFUNCTION("LOWER(
TRIM(
REGEXREPLACE(B2485,""[^a-zA-Z\s]"","""")
)
)
"),"david y")</f>
        <v>david y</v>
      </c>
      <c r="O2485" s="7">
        <f t="shared" si="5"/>
        <v>1</v>
      </c>
      <c r="P2485" s="8" t="str">
        <f t="shared" si="6"/>
        <v>No</v>
      </c>
    </row>
    <row r="2486">
      <c r="A2486" s="4" t="s">
        <v>16</v>
      </c>
      <c r="B2486" s="4" t="s">
        <v>6947</v>
      </c>
      <c r="C2486" s="5">
        <v>44675.0</v>
      </c>
      <c r="D2486" s="10">
        <v>44675.0</v>
      </c>
      <c r="E2486" s="4" t="s">
        <v>6948</v>
      </c>
      <c r="F2486" s="4" t="s">
        <v>6949</v>
      </c>
      <c r="G2486" s="6" t="str">
        <f>IFERROR(__xludf.DUMMYFUNCTION("REGEXREPLACE(LOWER(F2486),""[^a-z\s]"","""")"),"placed order based on website saying product was in stock vet approved prescription dog food in one day contacted customer service twice over  days to determine order status finally on day  we received an email saying the product was not in stock and refu"&amp;"nded order i immediately went back to website product showed in stock
terrible experience staff incompetent created a big problem for us")</f>
        <v>placed order based on website saying product was in stock vet approved prescription dog food in one day contacted customer service twice over  days to determine order status finally on day  we received an email saying the product was not in stock and refunded order i immediately went back to website product showed in stock
terrible experience staff incompetent created a big problem for us</v>
      </c>
      <c r="H2486" s="4" t="str">
        <f t="shared" si="1"/>
        <v>placed order based on website saying product was in stock vet approved prescription dog food in one day contacted customer service twice over days determine order status finally on day we received an email saying product was not in stock refunded order i immediately went back website product showed in stock
terrible experience staff incompetent created a big problem us</v>
      </c>
      <c r="I2486" s="6">
        <f t="shared" si="2"/>
        <v>59</v>
      </c>
      <c r="J2486" s="6">
        <f>IFERROR(__xludf.DUMMYFUNCTION("IF(H2486="""","""",
SUM(
ARRAYFORMULA(
IF(
REGEXMATCH(
"" ""&amp;H2486&amp;"" "",
"" ""&amp;Sentiment_Words!A$2:A3730&amp;"" ""
),
1,
0
)
)
)
)"),1.0)</f>
        <v>1</v>
      </c>
      <c r="K2486" s="4">
        <f>IFERROR(__xludf.DUMMYFUNCTION("IF(H2486="""","""",
SUM(
ARRAYFORMULA(
IF(
REGEXMATCH(
"" ""&amp;H2486&amp;"" "",
"" ""&amp;Sentiment_Words!B$2:B3730&amp;"" ""
),
1,
0
)
)
)
)"),2.0)</f>
        <v>2</v>
      </c>
      <c r="L2486" s="7" t="str">
        <f t="shared" si="3"/>
        <v>Customer Support</v>
      </c>
      <c r="M2486" s="7" t="str">
        <f t="shared" si="4"/>
        <v>Negative</v>
      </c>
      <c r="N2486" s="7" t="str">
        <f>IFERROR(__xludf.DUMMYFUNCTION("LOWER(
TRIM(
REGEXREPLACE(B2486,""[^a-zA-Z\s]"","""")
)
)
"),"katherine huh")</f>
        <v>katherine huh</v>
      </c>
      <c r="O2486" s="7">
        <f t="shared" si="5"/>
        <v>1</v>
      </c>
      <c r="P2486" s="8" t="str">
        <f t="shared" si="6"/>
        <v>No</v>
      </c>
    </row>
    <row r="2487">
      <c r="A2487" s="4" t="s">
        <v>16</v>
      </c>
      <c r="B2487" s="4" t="s">
        <v>6950</v>
      </c>
      <c r="C2487" s="5">
        <v>44674.0</v>
      </c>
      <c r="D2487" s="10">
        <v>44674.0</v>
      </c>
      <c r="E2487" s="4" t="s">
        <v>6951</v>
      </c>
      <c r="F2487" s="4" t="s">
        <v>6952</v>
      </c>
      <c r="G2487" s="6" t="str">
        <f>IFERROR(__xludf.DUMMYFUNCTION("REGEXREPLACE(LOWER(F2487),""[^a-z\s]"","""")"),"the petflow website listed for sale prescription cat food that it turns out was not in stock when i ordered that food apparently no one checked whether it was in stock and my order was processed i then had to jump through a number of hoops to get to them "&amp;"a prescription from the vet only at that pointa number of days after my original orderdid they realize that the food was not in stock thats no way to do business and shows little regard for the customer needless to say i will never order anything else fro"&amp;"m them")</f>
        <v>the petflow website listed for sale prescription cat food that it turns out was not in stock when i ordered that food apparently no one checked whether it was in stock and my order was processed i then had to jump through a number of hoops to get to them a prescription from the vet only at that pointa number of days after my original orderdid they realize that the food was not in stock thats no way to do business and shows little regard for the customer needless to say i will never order anything else from them</v>
      </c>
      <c r="H2487" s="4" t="str">
        <f t="shared" si="1"/>
        <v>petflow website listed sale prescription cat food that it turns out was not in stock when i ordered that food apparently no one checked whether it was in stock my order was processed i then had jump through a number of hoops get them a prescription from vet only at that pointa number of days after my original orderdid they realize that food was not in stock thats no way do business shows little regard customer needless say i will never order anything else from them</v>
      </c>
      <c r="I2487" s="6">
        <f t="shared" si="2"/>
        <v>86</v>
      </c>
      <c r="J2487" s="6">
        <f>IFERROR(__xludf.DUMMYFUNCTION("IF(H2487="""","""",
SUM(
ARRAYFORMULA(
IF(
REGEXMATCH(
"" ""&amp;H2487&amp;"" "",
"" ""&amp;Sentiment_Words!A$2:A3730&amp;"" ""
),
1,
0
)
)
)
)"),0.0)</f>
        <v>0</v>
      </c>
      <c r="K2487" s="4">
        <f>IFERROR(__xludf.DUMMYFUNCTION("IF(H2487="""","""",
SUM(
ARRAYFORMULA(
IF(
REGEXMATCH(
"" ""&amp;H2487&amp;"" "",
"" ""&amp;Sentiment_Words!B$2:B3730&amp;"" ""
),
1,
0
)
)
)
)"),0.0)</f>
        <v>0</v>
      </c>
      <c r="L2487" s="7" t="str">
        <f t="shared" si="3"/>
        <v>Account &amp; Website</v>
      </c>
      <c r="M2487" s="7" t="str">
        <f t="shared" si="4"/>
        <v>Neutral</v>
      </c>
      <c r="N2487" s="7" t="str">
        <f>IFERROR(__xludf.DUMMYFUNCTION("LOWER(
TRIM(
REGEXREPLACE(B2487,""[^a-zA-Z\s]"","""")
)
)
"),"maxine stanley")</f>
        <v>maxine stanley</v>
      </c>
      <c r="O2487" s="7">
        <f t="shared" si="5"/>
        <v>1</v>
      </c>
      <c r="P2487" s="8" t="str">
        <f t="shared" si="6"/>
        <v>No</v>
      </c>
    </row>
    <row r="2488">
      <c r="A2488" s="4" t="s">
        <v>16</v>
      </c>
      <c r="B2488" s="4" t="s">
        <v>3168</v>
      </c>
      <c r="C2488" s="5">
        <v>44674.0</v>
      </c>
      <c r="D2488" s="10">
        <v>44674.0</v>
      </c>
      <c r="E2488" s="4" t="s">
        <v>4894</v>
      </c>
      <c r="F2488" s="4" t="s">
        <v>6953</v>
      </c>
      <c r="G2488" s="6" t="str">
        <f>IFERROR(__xludf.DUMMYFUNCTION("REGEXREPLACE(LOWER(F2488),""[^a-z\s]"","""")"),"one of the kitty litter bags had small tears in it so about a third of a cup was spilled in the box")</f>
        <v>one of the kitty litter bags had small tears in it so about a third of a cup was spilled in the box</v>
      </c>
      <c r="H2488" s="4" t="str">
        <f t="shared" si="1"/>
        <v>one of kitty litter bags had small tears in it so about a third of a cup was spilled in box</v>
      </c>
      <c r="I2488" s="6">
        <f t="shared" si="2"/>
        <v>21</v>
      </c>
      <c r="J2488" s="6">
        <f>IFERROR(__xludf.DUMMYFUNCTION("IF(H2488="""","""",
SUM(
ARRAYFORMULA(
IF(
REGEXMATCH(
"" ""&amp;H2488&amp;"" "",
"" ""&amp;Sentiment_Words!A$2:A3730&amp;"" ""
),
1,
0
)
)
)
)"),0.0)</f>
        <v>0</v>
      </c>
      <c r="K2488" s="4">
        <f>IFERROR(__xludf.DUMMYFUNCTION("IF(H2488="""","""",
SUM(
ARRAYFORMULA(
IF(
REGEXMATCH(
"" ""&amp;H2488&amp;"" "",
"" ""&amp;Sentiment_Words!B$2:B3730&amp;"" ""
),
1,
0
)
)
)
)"),0.0)</f>
        <v>0</v>
      </c>
      <c r="L2488" s="7" t="str">
        <f t="shared" si="3"/>
        <v>Other</v>
      </c>
      <c r="M2488" s="7" t="str">
        <f t="shared" si="4"/>
        <v>Neutral</v>
      </c>
      <c r="N2488" s="7" t="str">
        <f>IFERROR(__xludf.DUMMYFUNCTION("LOWER(
TRIM(
REGEXREPLACE(B2488,""[^a-zA-Z\s]"","""")
)
)
"),"ds")</f>
        <v>ds</v>
      </c>
      <c r="O2488" s="7">
        <f t="shared" si="5"/>
        <v>2</v>
      </c>
      <c r="P2488" s="8" t="str">
        <f t="shared" si="6"/>
        <v>Yes</v>
      </c>
    </row>
    <row r="2489">
      <c r="A2489" s="4" t="s">
        <v>16</v>
      </c>
      <c r="B2489" s="4" t="s">
        <v>6954</v>
      </c>
      <c r="C2489" s="5">
        <v>44673.0</v>
      </c>
      <c r="D2489" s="4" t="s">
        <v>6955</v>
      </c>
      <c r="E2489" s="4" t="s">
        <v>6956</v>
      </c>
      <c r="F2489" s="4" t="s">
        <v>6957</v>
      </c>
      <c r="G2489" s="6" t="str">
        <f>IFERROR(__xludf.DUMMYFUNCTION("REGEXREPLACE(LOWER(F2489),""[^a-z\s]"","""")"),"this was a good experience overall products we wanted were available and reasonably priced we even tried a new product that is now a hit in our household  thank you")</f>
        <v>this was a good experience overall products we wanted were available and reasonably priced we even tried a new product that is now a hit in our household  thank you</v>
      </c>
      <c r="H2489" s="4" t="str">
        <f t="shared" si="1"/>
        <v>this was a good experience overall products we wanted were available reasonably priced we even tried a new product that now a hit in our household thank you</v>
      </c>
      <c r="I2489" s="6">
        <f t="shared" si="2"/>
        <v>28</v>
      </c>
      <c r="J2489" s="6">
        <f>IFERROR(__xludf.DUMMYFUNCTION("IF(H2489="""","""",
SUM(
ARRAYFORMULA(
IF(
REGEXMATCH(
"" ""&amp;H2489&amp;"" "",
"" ""&amp;Sentiment_Words!A$2:A3730&amp;"" ""
),
1,
0
)
)
)
)"),2.0)</f>
        <v>2</v>
      </c>
      <c r="K2489" s="4">
        <f>IFERROR(__xludf.DUMMYFUNCTION("IF(H2489="""","""",
SUM(
ARRAYFORMULA(
IF(
REGEXMATCH(
"" ""&amp;H2489&amp;"" "",
"" ""&amp;Sentiment_Words!B$2:B3730&amp;"" ""
),
1,
0
)
)
)
)"),0.0)</f>
        <v>0</v>
      </c>
      <c r="L2489" s="7" t="str">
        <f t="shared" si="3"/>
        <v>Other</v>
      </c>
      <c r="M2489" s="7" t="str">
        <f t="shared" si="4"/>
        <v>Positive</v>
      </c>
      <c r="N2489" s="7" t="str">
        <f>IFERROR(__xludf.DUMMYFUNCTION("LOWER(
TRIM(
REGEXREPLACE(B2489,""[^a-zA-Z\s]"","""")
)
)
"),"an owner of an elderly cat")</f>
        <v>an owner of an elderly cat</v>
      </c>
      <c r="O2489" s="7">
        <f t="shared" si="5"/>
        <v>1</v>
      </c>
      <c r="P2489" s="8" t="str">
        <f t="shared" si="6"/>
        <v>No</v>
      </c>
    </row>
    <row r="2490">
      <c r="A2490" s="4" t="s">
        <v>16</v>
      </c>
      <c r="B2490" s="4" t="s">
        <v>6958</v>
      </c>
      <c r="C2490" s="5">
        <v>44673.0</v>
      </c>
      <c r="D2490" s="10">
        <v>44674.0</v>
      </c>
      <c r="E2490" s="4" t="s">
        <v>6959</v>
      </c>
      <c r="F2490" s="4" t="s">
        <v>6960</v>
      </c>
      <c r="G2490" s="6" t="str">
        <f>IFERROR(__xludf.DUMMYFUNCTION("REGEXREPLACE(LOWER(F2490),""[^a-z\s]"","""")"),"petflow has everything i was looking for the items i ordered were delivered promptly without any damage to bags of kibble or cans ill definitely keep ordering from petflow")</f>
        <v>petflow has everything i was looking for the items i ordered were delivered promptly without any damage to bags of kibble or cans ill definitely keep ordering from petflow</v>
      </c>
      <c r="H2490" s="4" t="str">
        <f t="shared" si="1"/>
        <v>petflow has everything i was looking items i ordered were delivered promptly without any damage bags of kibble or cans ill definitely keep ordering from petflow</v>
      </c>
      <c r="I2490" s="6">
        <f t="shared" si="2"/>
        <v>26</v>
      </c>
      <c r="J2490" s="6">
        <f>IFERROR(__xludf.DUMMYFUNCTION("IF(H2490="""","""",
SUM(
ARRAYFORMULA(
IF(
REGEXMATCH(
"" ""&amp;H2490&amp;"" "",
"" ""&amp;Sentiment_Words!A$2:A3730&amp;"" ""
),
1,
0
)
)
)
)"),1.0)</f>
        <v>1</v>
      </c>
      <c r="K2490" s="4">
        <f>IFERROR(__xludf.DUMMYFUNCTION("IF(H2490="""","""",
SUM(
ARRAYFORMULA(
IF(
REGEXMATCH(
"" ""&amp;H2490&amp;"" "",
"" ""&amp;Sentiment_Words!B$2:B3730&amp;"" ""
),
1,
0
)
)
)
)"),0.0)</f>
        <v>0</v>
      </c>
      <c r="L2490" s="7" t="str">
        <f t="shared" si="3"/>
        <v>Other</v>
      </c>
      <c r="M2490" s="7" t="str">
        <f t="shared" si="4"/>
        <v>Positive</v>
      </c>
      <c r="N2490" s="7" t="str">
        <f>IFERROR(__xludf.DUMMYFUNCTION("LOWER(
TRIM(
REGEXREPLACE(B2490,""[^a-zA-Z\s]"","""")
)
)
"),"barbara holtz")</f>
        <v>barbara holtz</v>
      </c>
      <c r="O2490" s="7">
        <f t="shared" si="5"/>
        <v>1</v>
      </c>
      <c r="P2490" s="8" t="str">
        <f t="shared" si="6"/>
        <v>No</v>
      </c>
    </row>
    <row r="2491">
      <c r="A2491" s="4" t="s">
        <v>16</v>
      </c>
      <c r="B2491" s="4" t="s">
        <v>6961</v>
      </c>
      <c r="C2491" s="5">
        <v>44673.0</v>
      </c>
      <c r="D2491" s="10">
        <v>44673.0</v>
      </c>
      <c r="E2491" s="4" t="s">
        <v>6962</v>
      </c>
      <c r="F2491" s="4" t="s">
        <v>6963</v>
      </c>
      <c r="G2491" s="6" t="str">
        <f>IFERROR(__xludf.DUMMYFUNCTION("REGEXREPLACE(LOWER(F2491),""[^a-z\s]"","""")"),"never received the product after a couple weeks the order was cancelled since the product was never available to begin with apparently petflow has no idea what their inventory actually is i was never actually charged for the product")</f>
        <v>never received the product after a couple weeks the order was cancelled since the product was never available to begin with apparently petflow has no idea what their inventory actually is i was never actually charged for the product</v>
      </c>
      <c r="H2491" s="4" t="str">
        <f t="shared" si="1"/>
        <v>never received product after a couple weeks order was cancelled since product was never available begin with apparently petflow has no idea what their inventory actually i was never actually charged product</v>
      </c>
      <c r="I2491" s="6">
        <f t="shared" si="2"/>
        <v>32</v>
      </c>
      <c r="J2491" s="6">
        <f>IFERROR(__xludf.DUMMYFUNCTION("IF(H2491="""","""",
SUM(
ARRAYFORMULA(
IF(
REGEXMATCH(
"" ""&amp;H2491&amp;"" "",
"" ""&amp;Sentiment_Words!A$2:A3730&amp;"" ""
),
1,
0
)
)
)
)"),1.0)</f>
        <v>1</v>
      </c>
      <c r="K2491" s="4">
        <f>IFERROR(__xludf.DUMMYFUNCTION("IF(H2491="""","""",
SUM(
ARRAYFORMULA(
IF(
REGEXMATCH(
"" ""&amp;H2491&amp;"" "",
"" ""&amp;Sentiment_Words!B$2:B3730&amp;"" ""
),
1,
0
)
)
)
)"),1.0)</f>
        <v>1</v>
      </c>
      <c r="L2491" s="7" t="str">
        <f t="shared" si="3"/>
        <v>Other</v>
      </c>
      <c r="M2491" s="7" t="str">
        <f t="shared" si="4"/>
        <v>Neutral</v>
      </c>
      <c r="N2491" s="7" t="str">
        <f>IFERROR(__xludf.DUMMYFUNCTION("LOWER(
TRIM(
REGEXREPLACE(B2491,""[^a-zA-Z\s]"","""")
)
)
"),"shirley")</f>
        <v>shirley</v>
      </c>
      <c r="O2491" s="7">
        <f t="shared" si="5"/>
        <v>4</v>
      </c>
      <c r="P2491" s="8" t="str">
        <f t="shared" si="6"/>
        <v>Yes</v>
      </c>
    </row>
    <row r="2492">
      <c r="A2492" s="4" t="s">
        <v>16</v>
      </c>
      <c r="B2492" s="4" t="s">
        <v>6964</v>
      </c>
      <c r="C2492" s="5">
        <v>44673.0</v>
      </c>
      <c r="D2492" s="10">
        <v>44673.0</v>
      </c>
      <c r="E2492" s="4" t="s">
        <v>6965</v>
      </c>
      <c r="F2492" s="4" t="s">
        <v>6966</v>
      </c>
      <c r="G2492" s="6" t="str">
        <f>IFERROR(__xludf.DUMMYFUNCTION("REGEXREPLACE(LOWER(F2492),""[^a-z\s]"","""")"),"i love petflowcom because they are not the big guy they are all pet passionate people like me they carry products i trust")</f>
        <v>i love petflowcom because they are not the big guy they are all pet passionate people like me they carry products i trust</v>
      </c>
      <c r="H2492" s="4" t="str">
        <f t="shared" si="1"/>
        <v>i love petflowcom because they are not big guy they are all pet passionate people like me they carry products i trust</v>
      </c>
      <c r="I2492" s="6">
        <f t="shared" si="2"/>
        <v>22</v>
      </c>
      <c r="J2492" s="6">
        <f>IFERROR(__xludf.DUMMYFUNCTION("IF(H2492="""","""",
SUM(
ARRAYFORMULA(
IF(
REGEXMATCH(
"" ""&amp;H2492&amp;"" "",
"" ""&amp;Sentiment_Words!A$2:A3730&amp;"" ""
),
1,
0
)
)
)
)"),1.0)</f>
        <v>1</v>
      </c>
      <c r="K2492" s="4">
        <f>IFERROR(__xludf.DUMMYFUNCTION("IF(H2492="""","""",
SUM(
ARRAYFORMULA(
IF(
REGEXMATCH(
"" ""&amp;H2492&amp;"" "",
"" ""&amp;Sentiment_Words!B$2:B3730&amp;"" ""
),
1,
0
)
)
)
)"),0.0)</f>
        <v>0</v>
      </c>
      <c r="L2492" s="7" t="str">
        <f t="shared" si="3"/>
        <v>Trust &amp; Experience</v>
      </c>
      <c r="M2492" s="7" t="str">
        <f t="shared" si="4"/>
        <v>Positive</v>
      </c>
      <c r="N2492" s="7" t="str">
        <f>IFERROR(__xludf.DUMMYFUNCTION("LOWER(
TRIM(
REGEXREPLACE(B2492,""[^a-zA-Z\s]"","""")
)
)
"),"roberto fradera")</f>
        <v>roberto fradera</v>
      </c>
      <c r="O2492" s="7">
        <f t="shared" si="5"/>
        <v>1</v>
      </c>
      <c r="P2492" s="8" t="str">
        <f t="shared" si="6"/>
        <v>No</v>
      </c>
    </row>
    <row r="2493">
      <c r="A2493" s="4" t="s">
        <v>16</v>
      </c>
      <c r="B2493" s="4" t="s">
        <v>6967</v>
      </c>
      <c r="C2493" s="5">
        <v>44672.0</v>
      </c>
      <c r="D2493" s="10">
        <v>44673.0</v>
      </c>
      <c r="E2493" s="4" t="s">
        <v>6968</v>
      </c>
      <c r="F2493" s="4" t="s">
        <v>6969</v>
      </c>
      <c r="G2493" s="6" t="str">
        <f>IFERROR(__xludf.DUMMYFUNCTION("REGEXREPLACE(LOWER(F2493),""[^a-z\s]"","""")"),"simple to order and came amazingly fast")</f>
        <v>simple to order and came amazingly fast</v>
      </c>
      <c r="H2493" s="4" t="str">
        <f t="shared" si="1"/>
        <v>simple order came amazingly fast</v>
      </c>
      <c r="I2493" s="6">
        <f t="shared" si="2"/>
        <v>5</v>
      </c>
      <c r="J2493" s="6">
        <f>IFERROR(__xludf.DUMMYFUNCTION("IF(H2493="""","""",
SUM(
ARRAYFORMULA(
IF(
REGEXMATCH(
"" ""&amp;H2493&amp;"" "",
"" ""&amp;Sentiment_Words!A$2:A3730&amp;"" ""
),
1,
0
)
)
)
)"),1.0)</f>
        <v>1</v>
      </c>
      <c r="K2493" s="4">
        <f>IFERROR(__xludf.DUMMYFUNCTION("IF(H2493="""","""",
SUM(
ARRAYFORMULA(
IF(
REGEXMATCH(
"" ""&amp;H2493&amp;"" "",
"" ""&amp;Sentiment_Words!B$2:B3730&amp;"" ""
),
1,
0
)
)
)
)"),0.0)</f>
        <v>0</v>
      </c>
      <c r="L2493" s="7" t="str">
        <f t="shared" si="3"/>
        <v>Other</v>
      </c>
      <c r="M2493" s="7" t="str">
        <f t="shared" si="4"/>
        <v>Positive</v>
      </c>
      <c r="N2493" s="7" t="str">
        <f>IFERROR(__xludf.DUMMYFUNCTION("LOWER(
TRIM(
REGEXREPLACE(B2493,""[^a-zA-Z\s]"","""")
)
)
"),"joe")</f>
        <v>joe</v>
      </c>
      <c r="O2493" s="7">
        <f t="shared" si="5"/>
        <v>3</v>
      </c>
      <c r="P2493" s="8" t="str">
        <f t="shared" si="6"/>
        <v>Yes</v>
      </c>
    </row>
    <row r="2494">
      <c r="A2494" s="4" t="s">
        <v>16</v>
      </c>
      <c r="B2494" s="4" t="s">
        <v>6970</v>
      </c>
      <c r="C2494" s="5">
        <v>44672.0</v>
      </c>
      <c r="D2494" s="10">
        <v>44673.0</v>
      </c>
      <c r="E2494" s="4" t="s">
        <v>6971</v>
      </c>
      <c r="F2494" s="4" t="s">
        <v>6972</v>
      </c>
      <c r="G2494" s="6" t="str">
        <f>IFERROR(__xludf.DUMMYFUNCTION("REGEXREPLACE(LOWER(F2494),""[^a-z\s]"","""")"),"your customer service was as usual excellent but the delivery service was not up to par because they changed the delivery date a few times tho that may have been due to weather problems which understandably is out of anyones control")</f>
        <v>your customer service was as usual excellent but the delivery service was not up to par because they changed the delivery date a few times tho that may have been due to weather problems which understandably is out of anyones control</v>
      </c>
      <c r="H2494" s="4" t="str">
        <f t="shared" si="1"/>
        <v>your customer service was as usual excellent but delivery service was not up par because they changed delivery date a few times tho that may have been due weather problems which understandably out of anyones control</v>
      </c>
      <c r="I2494" s="6">
        <f t="shared" si="2"/>
        <v>36</v>
      </c>
      <c r="J2494" s="6">
        <f>IFERROR(__xludf.DUMMYFUNCTION("IF(H2494="""","""",
SUM(
ARRAYFORMULA(
IF(
REGEXMATCH(
"" ""&amp;H2494&amp;"" "",
"" ""&amp;Sentiment_Words!A$2:A3730&amp;"" ""
),
1,
0
)
)
)
)"),0.0)</f>
        <v>0</v>
      </c>
      <c r="K2494" s="4">
        <f>IFERROR(__xludf.DUMMYFUNCTION("IF(H2494="""","""",
SUM(
ARRAYFORMULA(
IF(
REGEXMATCH(
"" ""&amp;H2494&amp;"" "",
"" ""&amp;Sentiment_Words!B$2:B3730&amp;"" ""
),
1,
0
)
)
)
)"),1.0)</f>
        <v>1</v>
      </c>
      <c r="L2494" s="7" t="str">
        <f t="shared" si="3"/>
        <v>Customer Support</v>
      </c>
      <c r="M2494" s="7" t="str">
        <f t="shared" si="4"/>
        <v>Negative</v>
      </c>
      <c r="N2494" s="7" t="str">
        <f>IFERROR(__xludf.DUMMYFUNCTION("LOWER(
TRIM(
REGEXREPLACE(B2494,""[^a-zA-Z\s]"","""")
)
)
"),"jessica")</f>
        <v>jessica</v>
      </c>
      <c r="O2494" s="7">
        <f t="shared" si="5"/>
        <v>3</v>
      </c>
      <c r="P2494" s="8" t="str">
        <f t="shared" si="6"/>
        <v>Yes</v>
      </c>
    </row>
    <row r="2495">
      <c r="A2495" s="4" t="s">
        <v>16</v>
      </c>
      <c r="B2495" s="4" t="s">
        <v>6973</v>
      </c>
      <c r="C2495" s="5">
        <v>44672.0</v>
      </c>
      <c r="D2495" s="10">
        <v>44673.0</v>
      </c>
      <c r="E2495" s="4" t="s">
        <v>6974</v>
      </c>
      <c r="F2495" s="4" t="s">
        <v>6975</v>
      </c>
      <c r="G2495" s="6" t="str">
        <f>IFERROR(__xludf.DUMMYFUNCTION("REGEXREPLACE(LOWER(F2495),""[^a-z\s]"","""")"),"great competitive pricing the only complaint is they make it difficult to cancel existing programs you have to place a phone call in order to do this they do not make it possible online through your account")</f>
        <v>great competitive pricing the only complaint is they make it difficult to cancel existing programs you have to place a phone call in order to do this they do not make it possible online through your account</v>
      </c>
      <c r="H2495" s="4" t="str">
        <f t="shared" si="1"/>
        <v>great competitive pricing only complaint they make it difficult cancel existing programs you have place a phone call in order do this they do not make it possible online through your account</v>
      </c>
      <c r="I2495" s="6">
        <f t="shared" si="2"/>
        <v>32</v>
      </c>
      <c r="J2495" s="6">
        <f>IFERROR(__xludf.DUMMYFUNCTION("IF(H2495="""","""",
SUM(
ARRAYFORMULA(
IF(
REGEXMATCH(
"" ""&amp;H2495&amp;"" "",
"" ""&amp;Sentiment_Words!A$2:A3730&amp;"" ""
),
1,
0
)
)
)
)"),1.0)</f>
        <v>1</v>
      </c>
      <c r="K2495" s="4">
        <f>IFERROR(__xludf.DUMMYFUNCTION("IF(H2495="""","""",
SUM(
ARRAYFORMULA(
IF(
REGEXMATCH(
"" ""&amp;H2495&amp;"" "",
"" ""&amp;Sentiment_Words!B$2:B3730&amp;"" ""
),
1,
0
)
)
)
)"),0.0)</f>
        <v>0</v>
      </c>
      <c r="L2495" s="7" t="str">
        <f t="shared" si="3"/>
        <v>Account &amp; Website</v>
      </c>
      <c r="M2495" s="7" t="str">
        <f t="shared" si="4"/>
        <v>Positive</v>
      </c>
      <c r="N2495" s="7" t="str">
        <f>IFERROR(__xludf.DUMMYFUNCTION("LOWER(
TRIM(
REGEXREPLACE(B2495,""[^a-zA-Z\s]"","""")
)
)
"),"denica luger")</f>
        <v>denica luger</v>
      </c>
      <c r="O2495" s="7">
        <f t="shared" si="5"/>
        <v>1</v>
      </c>
      <c r="P2495" s="8" t="str">
        <f t="shared" si="6"/>
        <v>No</v>
      </c>
    </row>
    <row r="2496">
      <c r="A2496" s="4" t="s">
        <v>16</v>
      </c>
      <c r="B2496" s="4" t="s">
        <v>6976</v>
      </c>
      <c r="C2496" s="5">
        <v>44672.0</v>
      </c>
      <c r="D2496" s="10">
        <v>44672.0</v>
      </c>
      <c r="E2496" s="4" t="s">
        <v>6977</v>
      </c>
      <c r="F2496" s="4" t="s">
        <v>331</v>
      </c>
      <c r="G2496" s="6" t="str">
        <f>IFERROR(__xludf.DUMMYFUNCTION("REGEXREPLACE(LOWER(F2496),""[^a-z\s]"","""")"),"none")</f>
        <v>none</v>
      </c>
      <c r="H2496" s="4" t="str">
        <f t="shared" si="1"/>
        <v>none</v>
      </c>
      <c r="I2496" s="6">
        <f t="shared" si="2"/>
        <v>1</v>
      </c>
      <c r="J2496" s="6">
        <f>IFERROR(__xludf.DUMMYFUNCTION("IF(H2496="""","""",
SUM(
ARRAYFORMULA(
IF(
REGEXMATCH(
"" ""&amp;H2496&amp;"" "",
"" ""&amp;Sentiment_Words!A$2:A3730&amp;"" ""
),
1,
0
)
)
)
)"),0.0)</f>
        <v>0</v>
      </c>
      <c r="K2496" s="4">
        <f>IFERROR(__xludf.DUMMYFUNCTION("IF(H2496="""","""",
SUM(
ARRAYFORMULA(
IF(
REGEXMATCH(
"" ""&amp;H2496&amp;"" "",
"" ""&amp;Sentiment_Words!B$2:B3730&amp;"" ""
),
1,
0
)
)
)
)"),0.0)</f>
        <v>0</v>
      </c>
      <c r="L2496" s="7" t="str">
        <f t="shared" si="3"/>
        <v>Other</v>
      </c>
      <c r="M2496" s="7" t="str">
        <f t="shared" si="4"/>
        <v>Neutral</v>
      </c>
      <c r="N2496" s="7" t="str">
        <f>IFERROR(__xludf.DUMMYFUNCTION("LOWER(
TRIM(
REGEXREPLACE(B2496,""[^a-zA-Z\s]"","""")
)
)
"),"barb skaer")</f>
        <v>barb skaer</v>
      </c>
      <c r="O2496" s="7">
        <f t="shared" si="5"/>
        <v>1</v>
      </c>
      <c r="P2496" s="8" t="str">
        <f t="shared" si="6"/>
        <v>No</v>
      </c>
    </row>
    <row r="2497">
      <c r="A2497" s="4" t="s">
        <v>16</v>
      </c>
      <c r="B2497" s="4" t="s">
        <v>6978</v>
      </c>
      <c r="C2497" s="5">
        <v>44672.0</v>
      </c>
      <c r="D2497" s="10">
        <v>44672.0</v>
      </c>
      <c r="E2497" s="4" t="s">
        <v>6979</v>
      </c>
      <c r="F2497" s="4" t="s">
        <v>331</v>
      </c>
      <c r="G2497" s="6" t="str">
        <f>IFERROR(__xludf.DUMMYFUNCTION("REGEXREPLACE(LOWER(F2497),""[^a-z\s]"","""")"),"none")</f>
        <v>none</v>
      </c>
      <c r="H2497" s="4" t="str">
        <f t="shared" si="1"/>
        <v>none</v>
      </c>
      <c r="I2497" s="6">
        <f t="shared" si="2"/>
        <v>1</v>
      </c>
      <c r="J2497" s="6">
        <f>IFERROR(__xludf.DUMMYFUNCTION("IF(H2497="""","""",
SUM(
ARRAYFORMULA(
IF(
REGEXMATCH(
"" ""&amp;H2497&amp;"" "",
"" ""&amp;Sentiment_Words!A$2:A3730&amp;"" ""
),
1,
0
)
)
)
)"),0.0)</f>
        <v>0</v>
      </c>
      <c r="K2497" s="4">
        <f>IFERROR(__xludf.DUMMYFUNCTION("IF(H2497="""","""",
SUM(
ARRAYFORMULA(
IF(
REGEXMATCH(
"" ""&amp;H2497&amp;"" "",
"" ""&amp;Sentiment_Words!B$2:B3730&amp;"" ""
),
1,
0
)
)
)
)"),0.0)</f>
        <v>0</v>
      </c>
      <c r="L2497" s="7" t="str">
        <f t="shared" si="3"/>
        <v>Other</v>
      </c>
      <c r="M2497" s="7" t="str">
        <f t="shared" si="4"/>
        <v>Neutral</v>
      </c>
      <c r="N2497" s="7" t="str">
        <f>IFERROR(__xludf.DUMMYFUNCTION("LOWER(
TRIM(
REGEXREPLACE(B2497,""[^a-zA-Z\s]"","""")
)
)
"),"rudi")</f>
        <v>rudi</v>
      </c>
      <c r="O2497" s="7">
        <f t="shared" si="5"/>
        <v>1</v>
      </c>
      <c r="P2497" s="8" t="str">
        <f t="shared" si="6"/>
        <v>No</v>
      </c>
    </row>
    <row r="2498">
      <c r="A2498" s="4" t="s">
        <v>16</v>
      </c>
      <c r="B2498" s="4" t="s">
        <v>6980</v>
      </c>
      <c r="C2498" s="5">
        <v>44672.0</v>
      </c>
      <c r="D2498" s="10">
        <v>44672.0</v>
      </c>
      <c r="E2498" s="4" t="s">
        <v>6981</v>
      </c>
      <c r="F2498" s="4" t="s">
        <v>6982</v>
      </c>
      <c r="G2498" s="6" t="str">
        <f>IFERROR(__xludf.DUMMYFUNCTION("REGEXREPLACE(LOWER(F2498),""[^a-z\s]"","""")"),"customer service was easy to get in touch with and very courteous")</f>
        <v>customer service was easy to get in touch with and very courteous</v>
      </c>
      <c r="H2498" s="4" t="str">
        <f t="shared" si="1"/>
        <v>customer service was easy get in touch with very courteous</v>
      </c>
      <c r="I2498" s="6">
        <f t="shared" si="2"/>
        <v>10</v>
      </c>
      <c r="J2498" s="6">
        <f>IFERROR(__xludf.DUMMYFUNCTION("IF(H2498="""","""",
SUM(
ARRAYFORMULA(
IF(
REGEXMATCH(
"" ""&amp;H2498&amp;"" "",
"" ""&amp;Sentiment_Words!A$2:A3730&amp;"" ""
),
1,
0
)
)
)
)"),2.0)</f>
        <v>2</v>
      </c>
      <c r="K2498" s="4">
        <f>IFERROR(__xludf.DUMMYFUNCTION("IF(H2498="""","""",
SUM(
ARRAYFORMULA(
IF(
REGEXMATCH(
"" ""&amp;H2498&amp;"" "",
"" ""&amp;Sentiment_Words!B$2:B3730&amp;"" ""
),
1,
0
)
)
)
)"),1.0)</f>
        <v>1</v>
      </c>
      <c r="L2498" s="7" t="str">
        <f t="shared" si="3"/>
        <v>Customer Support</v>
      </c>
      <c r="M2498" s="7" t="str">
        <f t="shared" si="4"/>
        <v>Positive</v>
      </c>
      <c r="N2498" s="7" t="str">
        <f>IFERROR(__xludf.DUMMYFUNCTION("LOWER(
TRIM(
REGEXREPLACE(B2498,""[^a-zA-Z\s]"","""")
)
)
"),"evan j")</f>
        <v>evan j</v>
      </c>
      <c r="O2498" s="7">
        <f t="shared" si="5"/>
        <v>1</v>
      </c>
      <c r="P2498" s="8" t="str">
        <f t="shared" si="6"/>
        <v>No</v>
      </c>
    </row>
    <row r="2499">
      <c r="A2499" s="4" t="s">
        <v>16</v>
      </c>
      <c r="B2499" s="4" t="s">
        <v>6983</v>
      </c>
      <c r="C2499" s="5">
        <v>44672.0</v>
      </c>
      <c r="D2499" s="10">
        <v>44672.0</v>
      </c>
      <c r="E2499" s="4" t="s">
        <v>6984</v>
      </c>
      <c r="F2499" s="4" t="s">
        <v>6985</v>
      </c>
      <c r="G2499" s="6" t="str">
        <f>IFERROR(__xludf.DUMMYFUNCTION("REGEXREPLACE(LOWER(F2499),""[^a-z\s]"","""")"),"customer service responds quickly very helpful  courteous a pleasure to do business with")</f>
        <v>customer service responds quickly very helpful  courteous a pleasure to do business with</v>
      </c>
      <c r="H2499" s="4" t="str">
        <f t="shared" si="1"/>
        <v>customer service responds quickly very helpful courteous a pleasure do business with</v>
      </c>
      <c r="I2499" s="6">
        <f t="shared" si="2"/>
        <v>12</v>
      </c>
      <c r="J2499" s="6">
        <f>IFERROR(__xludf.DUMMYFUNCTION("IF(H2499="""","""",
SUM(
ARRAYFORMULA(
IF(
REGEXMATCH(
"" ""&amp;H2499&amp;"" "",
"" ""&amp;Sentiment_Words!A$2:A3730&amp;"" ""
),
1,
0
)
)
)
)"),2.0)</f>
        <v>2</v>
      </c>
      <c r="K2499" s="4">
        <f>IFERROR(__xludf.DUMMYFUNCTION("IF(H2499="""","""",
SUM(
ARRAYFORMULA(
IF(
REGEXMATCH(
"" ""&amp;H2499&amp;"" "",
"" ""&amp;Sentiment_Words!B$2:B3730&amp;"" ""
),
1,
0
)
)
)
)"),1.0)</f>
        <v>1</v>
      </c>
      <c r="L2499" s="7" t="str">
        <f t="shared" si="3"/>
        <v>Customer Support</v>
      </c>
      <c r="M2499" s="7" t="str">
        <f t="shared" si="4"/>
        <v>Positive</v>
      </c>
      <c r="N2499" s="7" t="str">
        <f>IFERROR(__xludf.DUMMYFUNCTION("LOWER(
TRIM(
REGEXREPLACE(B2499,""[^a-zA-Z\s]"","""")
)
)
"),"doris s")</f>
        <v>doris s</v>
      </c>
      <c r="O2499" s="7">
        <f t="shared" si="5"/>
        <v>1</v>
      </c>
      <c r="P2499" s="8" t="str">
        <f t="shared" si="6"/>
        <v>No</v>
      </c>
    </row>
    <row r="2500">
      <c r="A2500" s="4" t="s">
        <v>16</v>
      </c>
      <c r="B2500" s="4" t="s">
        <v>6986</v>
      </c>
      <c r="C2500" s="5">
        <v>44672.0</v>
      </c>
      <c r="D2500" s="10">
        <v>44672.0</v>
      </c>
      <c r="E2500" s="4" t="s">
        <v>6987</v>
      </c>
      <c r="F2500" s="4" t="s">
        <v>6988</v>
      </c>
      <c r="G2500" s="6" t="str">
        <f>IFERROR(__xludf.DUMMYFUNCTION("REGEXREPLACE(LOWER(F2500),""[^a-z\s]"","""")"),"the item i ordered was  and still is  shown as stock on the website it is not in stock had it been out of stock i would not have placed the order when i called petflow to see if they had inventory they told me they could not check because the prescription"&amp;" diet was inventoried in another location this is bad business practice i tried to cancel my automatic delivery online and it will not allow me to do so i guess i will have to call to cancel done with petflow")</f>
        <v>the item i ordered was  and still is  shown as stock on the website it is not in stock had it been out of stock i would not have placed the order when i called petflow to see if they had inventory they told me they could not check because the prescription diet was inventoried in another location this is bad business practice i tried to cancel my automatic delivery online and it will not allow me to do so i guess i will have to call to cancel done with petflow</v>
      </c>
      <c r="H2500" s="4" t="str">
        <f t="shared" si="1"/>
        <v>item i ordered was still shown as stock on website it not in stock had it been out of stock i would not have placed order when i called petflow see if they had inventory they told me they could not check because prescription diet was inventoried in another location this bad business practice i tried cancel my automatic delivery online it will not allow me do so i guess i will have call cancel done with petflow</v>
      </c>
      <c r="I2500" s="6">
        <f t="shared" si="2"/>
        <v>78</v>
      </c>
      <c r="J2500" s="6">
        <f>IFERROR(__xludf.DUMMYFUNCTION("IF(H2500="""","""",
SUM(
ARRAYFORMULA(
IF(
REGEXMATCH(
"" ""&amp;H2500&amp;"" "",
"" ""&amp;Sentiment_Words!A$2:A3730&amp;"" ""
),
1,
0
)
)
)
)"),0.0)</f>
        <v>0</v>
      </c>
      <c r="K2500" s="4">
        <f>IFERROR(__xludf.DUMMYFUNCTION("IF(H2500="""","""",
SUM(
ARRAYFORMULA(
IF(
REGEXMATCH(
"" ""&amp;H2500&amp;"" "",
"" ""&amp;Sentiment_Words!B$2:B3730&amp;"" ""
),
1,
0
)
)
)
)"),1.0)</f>
        <v>1</v>
      </c>
      <c r="L2500" s="7" t="str">
        <f t="shared" si="3"/>
        <v>Availability</v>
      </c>
      <c r="M2500" s="7" t="str">
        <f t="shared" si="4"/>
        <v>Negative</v>
      </c>
      <c r="N2500" s="7" t="str">
        <f>IFERROR(__xludf.DUMMYFUNCTION("LOWER(
TRIM(
REGEXREPLACE(B2500,""[^a-zA-Z\s]"","""")
)
)
"),"lotsokats")</f>
        <v>lotsokats</v>
      </c>
      <c r="O2500" s="7">
        <f t="shared" si="5"/>
        <v>1</v>
      </c>
      <c r="P2500" s="8" t="str">
        <f t="shared" si="6"/>
        <v>No</v>
      </c>
    </row>
    <row r="2501">
      <c r="A2501" s="4" t="s">
        <v>16</v>
      </c>
      <c r="B2501" s="4" t="s">
        <v>6989</v>
      </c>
      <c r="C2501" s="5">
        <v>44672.0</v>
      </c>
      <c r="D2501" s="4" t="s">
        <v>6990</v>
      </c>
      <c r="E2501" s="4" t="s">
        <v>6991</v>
      </c>
      <c r="F2501" s="4" t="s">
        <v>6992</v>
      </c>
      <c r="G2501" s="6" t="str">
        <f>IFERROR(__xludf.DUMMYFUNCTION("REGEXREPLACE(LOWER(F2501),""[^a-z\s]"","""")"),"mostly all my goods are damaged cans are bent and creased and half the treats are in the bottom of the bag for my rabbit treat sticks")</f>
        <v>mostly all my goods are damaged cans are bent and creased and half the treats are in the bottom of the bag for my rabbit treat sticks</v>
      </c>
      <c r="H2501" s="4" t="str">
        <f t="shared" si="1"/>
        <v>mostly all my goods are damaged cans are bent creased half treats are in bottom of bag my rabbit treat sticks</v>
      </c>
      <c r="I2501" s="6">
        <f t="shared" si="2"/>
        <v>21</v>
      </c>
      <c r="J2501" s="6">
        <f>IFERROR(__xludf.DUMMYFUNCTION("IF(H2501="""","""",
SUM(
ARRAYFORMULA(
IF(
REGEXMATCH(
"" ""&amp;H2501&amp;"" "",
"" ""&amp;Sentiment_Words!A$2:A3730&amp;"" ""
),
1,
0
)
)
)
)"),0.0)</f>
        <v>0</v>
      </c>
      <c r="K2501" s="4">
        <f>IFERROR(__xludf.DUMMYFUNCTION("IF(H2501="""","""",
SUM(
ARRAYFORMULA(
IF(
REGEXMATCH(
"" ""&amp;H2501&amp;"" "",
"" ""&amp;Sentiment_Words!B$2:B3730&amp;"" ""
),
1,
0
)
)
)
)"),0.0)</f>
        <v>0</v>
      </c>
      <c r="L2501" s="7" t="str">
        <f t="shared" si="3"/>
        <v>Other</v>
      </c>
      <c r="M2501" s="7" t="str">
        <f t="shared" si="4"/>
        <v>Neutral</v>
      </c>
      <c r="N2501" s="7" t="str">
        <f>IFERROR(__xludf.DUMMYFUNCTION("LOWER(
TRIM(
REGEXREPLACE(B2501,""[^a-zA-Z\s]"","""")
)
)
"),"michelle ramdeholl")</f>
        <v>michelle ramdeholl</v>
      </c>
      <c r="O2501" s="7">
        <f t="shared" si="5"/>
        <v>1</v>
      </c>
      <c r="P2501" s="8" t="str">
        <f t="shared" si="6"/>
        <v>No</v>
      </c>
    </row>
    <row r="2502">
      <c r="A2502" s="4" t="s">
        <v>16</v>
      </c>
      <c r="B2502" s="4" t="s">
        <v>6993</v>
      </c>
      <c r="C2502" s="5">
        <v>44672.0</v>
      </c>
      <c r="D2502" s="10">
        <v>44672.0</v>
      </c>
      <c r="E2502" s="4" t="s">
        <v>6994</v>
      </c>
      <c r="F2502" s="4" t="s">
        <v>6995</v>
      </c>
      <c r="G2502" s="6" t="str">
        <f>IFERROR(__xludf.DUMMYFUNCTION("REGEXREPLACE(LOWER(F2502),""[^a-z\s]"","""")"),"i am aware no one can predict the weather but this particular order was important on two separate occasions i was informed my order would arrive  as it is i am still waiting below is the time frame which honestly is ridiculous
your package is
on its way
s"&amp;"hipping historyhide shipping history
tuesday april 
 am
weather delay
sunday april 
 am  seattle wa
in transit
saturday april 
 am  odessa wa
in transit
 am  browning mt
in transit
friday april 
 pm  stanley nd
in transit
 am  st paul mn
in transit
"&amp;"thursday april 
 pm  cicero il
in transit
wednesday april 
 pm  east chicago in
in transit
 am  alliance oh
in transit
tuesday april 
 pm  susquehanna twp pa
in transit
 am  keasbey nj
shipment arriving early
 am  keasbey nj
departed fedex location
"&amp;"monday april 
 pm  keasbey nj
shipment arriving early
 pm  keasbey nj
arrived at fedex location
 pm
shipment information sent to fedex
 am  dayton nj
picked up
for starters there are now weather delays in seattle i live an hour from seattle wa so yes "&amp;"i am disappointed with this delivery if i would have know this i would have bought locally sorry petflow someone has messed up and it was not mu puppy
peter o")</f>
        <v>i am aware no one can predict the weather but this particular order was important on two separate occasions i was informed my order would arrive  as it is i am still waiting below is the time frame which honestly is ridiculous
your package is
on its way
shipping historyhide shipping history
tuesday april 
 am
weather delay
sunday april 
 am  seattle wa
in transit
saturday april 
 am  odessa wa
in transit
 am  browning mt
in transit
friday april 
 pm  stanley nd
in transit
 am  st paul mn
in transit
thursday april 
 pm  cicero il
in transit
wednesday april 
 pm  east chicago in
in transit
 am  alliance oh
in transit
tuesday april 
 pm  susquehanna twp pa
in transit
 am  keasbey nj
shipment arriving early
 am  keasbey nj
departed fedex location
monday april 
 pm  keasbey nj
shipment arriving early
 pm  keasbey nj
arrived at fedex location
 pm
shipment information sent to fedex
 am  dayton nj
picked up
for starters there are now weather delays in seattle i live an hour from seattle wa so yes i am disappointed with this delivery if i would have know this i would have bought locally sorry petflow someone has messed up and it was not mu puppy
peter o</v>
      </c>
      <c r="H2502" s="4" t="str">
        <f t="shared" si="1"/>
        <v>i am aware no one can predict weather but this particular order was important on two separate occasions i was informed my order would arrive as it i am still waiting below time frame which honestly ridiculous
your package is
on its way
shipping historyhide shipping history
tuesday april 
 am
weather delay
sunday april 
 am seattle wa
in transit
saturday april 
 am odessa wa
in transit
 am browning mt
in transit
friday april 
 pm stanley nd
in transit
 am st paul mn
in transit
thursday april 
 pm cicero il
in transit
wednesday april 
 pm east chicago in
in transit
 am alliance oh
in transit
tuesday april 
 pm susquehanna twp pa
in transit
 am keasbey nj
shipment arriving early
 am keasbey nj
departed fedex location
monday april 
 pm keasbey nj
shipment arriving early
 pm keasbey nj
arrived at fedex location
 pm
shipment information sent fedex
 am dayton nj
picked up
for starters there are now weather delays in seattle i live an hour from seattle wa so yes i am disappointed with this delivery if i would have know this i would have bought locally sorry petflow someone has messed up it was not mu puppy
peter o</v>
      </c>
      <c r="I2502" s="6">
        <f t="shared" si="2"/>
        <v>176</v>
      </c>
      <c r="J2502" s="6">
        <f>IFERROR(__xludf.DUMMYFUNCTION("IF(H2502="""","""",
SUM(
ARRAYFORMULA(
IF(
REGEXMATCH(
"" ""&amp;H2502&amp;"" "",
"" ""&amp;Sentiment_Words!A$2:A3730&amp;"" ""
),
1,
0
)
)
)
)"),0.0)</f>
        <v>0</v>
      </c>
      <c r="K2502" s="4">
        <f>IFERROR(__xludf.DUMMYFUNCTION("IF(H2502="""","""",
SUM(
ARRAYFORMULA(
IF(
REGEXMATCH(
"" ""&amp;H2502&amp;"" "",
"" ""&amp;Sentiment_Words!B$2:B3730&amp;"" ""
),
1,
0
)
)
)
)"),0.0)</f>
        <v>0</v>
      </c>
      <c r="L2502" s="7" t="str">
        <f t="shared" si="3"/>
        <v>Fulfillment &amp; Shipping</v>
      </c>
      <c r="M2502" s="7" t="str">
        <f t="shared" si="4"/>
        <v>Neutral</v>
      </c>
      <c r="N2502" s="7" t="str">
        <f>IFERROR(__xludf.DUMMYFUNCTION("LOWER(
TRIM(
REGEXREPLACE(B2502,""[^a-zA-Z\s]"","""")
)
)
"),"peter oneil")</f>
        <v>peter oneil</v>
      </c>
      <c r="O2502" s="7">
        <f t="shared" si="5"/>
        <v>1</v>
      </c>
      <c r="P2502" s="8" t="str">
        <f t="shared" si="6"/>
        <v>No</v>
      </c>
    </row>
    <row r="2503">
      <c r="A2503" s="4" t="s">
        <v>16</v>
      </c>
      <c r="B2503" s="4" t="s">
        <v>6996</v>
      </c>
      <c r="C2503" s="5">
        <v>44672.0</v>
      </c>
      <c r="D2503" s="10">
        <v>44672.0</v>
      </c>
      <c r="E2503" s="4" t="s">
        <v>6997</v>
      </c>
      <c r="F2503" s="4" t="s">
        <v>6998</v>
      </c>
      <c r="G2503" s="6" t="str">
        <f>IFERROR(__xludf.DUMMYFUNCTION("REGEXREPLACE(LOWER(F2503),""[^a-z\s]"","""")"),"i am very satisfied with petflo and the customer service i had to call to make a change with special instructions before my delivery and the representative was able to take care of that for me promptly without any hesitation or any issues i would definite"&amp;"ly order from them again")</f>
        <v>i am very satisfied with petflo and the customer service i had to call to make a change with special instructions before my delivery and the representative was able to take care of that for me promptly without any hesitation or any issues i would definitely order from them again</v>
      </c>
      <c r="H2503" s="4" t="str">
        <f t="shared" si="1"/>
        <v>i am very satisfied with petflo customer service i had call make a change with special instructions before my delivery representative was able take care of that me promptly without any hesitation or any issues i would definitely order from them again</v>
      </c>
      <c r="I2503" s="6">
        <f t="shared" si="2"/>
        <v>42</v>
      </c>
      <c r="J2503" s="6">
        <f>IFERROR(__xludf.DUMMYFUNCTION("IF(H2503="""","""",
SUM(
ARRAYFORMULA(
IF(
REGEXMATCH(
"" ""&amp;H2503&amp;"" "",
"" ""&amp;Sentiment_Words!A$2:A3730&amp;"" ""
),
1,
0
)
)
)
)"),2.0)</f>
        <v>2</v>
      </c>
      <c r="K2503" s="4">
        <f>IFERROR(__xludf.DUMMYFUNCTION("IF(H2503="""","""",
SUM(
ARRAYFORMULA(
IF(
REGEXMATCH(
"" ""&amp;H2503&amp;"" "",
"" ""&amp;Sentiment_Words!B$2:B3730&amp;"" ""
),
1,
0
)
)
)
)"),1.0)</f>
        <v>1</v>
      </c>
      <c r="L2503" s="7" t="str">
        <f t="shared" si="3"/>
        <v>Customer Support</v>
      </c>
      <c r="M2503" s="7" t="str">
        <f t="shared" si="4"/>
        <v>Positive</v>
      </c>
      <c r="N2503" s="7" t="str">
        <f>IFERROR(__xludf.DUMMYFUNCTION("LOWER(
TRIM(
REGEXREPLACE(B2503,""[^a-zA-Z\s]"","""")
)
)
"),"laura como")</f>
        <v>laura como</v>
      </c>
      <c r="O2503" s="7">
        <f t="shared" si="5"/>
        <v>1</v>
      </c>
      <c r="P2503" s="8" t="str">
        <f t="shared" si="6"/>
        <v>No</v>
      </c>
    </row>
    <row r="2504">
      <c r="A2504" s="4" t="s">
        <v>16</v>
      </c>
      <c r="B2504" s="4" t="s">
        <v>6999</v>
      </c>
      <c r="C2504" s="5">
        <v>44672.0</v>
      </c>
      <c r="D2504" s="10">
        <v>44672.0</v>
      </c>
      <c r="E2504" s="4" t="s">
        <v>7000</v>
      </c>
      <c r="F2504" s="4" t="s">
        <v>7001</v>
      </c>
      <c r="G2504" s="6" t="str">
        <f>IFERROR(__xludf.DUMMYFUNCTION("REGEXREPLACE(LOWER(F2504),""[^a-z\s]"","""")"),"i will start by saying they always have what i need in stock which is a huge plus my two main issues are longer shipping times and the last time i ordered i accidentally ordered the wrong size can of food because the picture was of a smaller can it was my"&amp;" fault but the picture was very misleading ")</f>
        <v>i will start by saying they always have what i need in stock which is a huge plus my two main issues are longer shipping times and the last time i ordered i accidentally ordered the wrong size can of food because the picture was of a smaller can it was my fault but the picture was very misleading </v>
      </c>
      <c r="H2504" s="4" t="str">
        <f t="shared" si="1"/>
        <v>i will start by saying they always have what i need in stock which a huge plus my two main issues are longer shipping times last time i ordered i accidentally ordered wrong size can of food because picture was of a smaller can it was my fault but picture was very misleading</v>
      </c>
      <c r="I2504" s="6">
        <f t="shared" si="2"/>
        <v>53</v>
      </c>
      <c r="J2504" s="6">
        <f>IFERROR(__xludf.DUMMYFUNCTION("IF(H2504="""","""",
SUM(
ARRAYFORMULA(
IF(
REGEXMATCH(
"" ""&amp;H2504&amp;"" "",
"" ""&amp;Sentiment_Words!A$2:A3730&amp;"" ""
),
1,
0
)
)
)
)"),0.0)</f>
        <v>0</v>
      </c>
      <c r="K2504" s="4">
        <f>IFERROR(__xludf.DUMMYFUNCTION("IF(H2504="""","""",
SUM(
ARRAYFORMULA(
IF(
REGEXMATCH(
"" ""&amp;H2504&amp;"" "",
"" ""&amp;Sentiment_Words!B$2:B3730&amp;"" ""
),
1,
0
)
)
)
)"),1.0)</f>
        <v>1</v>
      </c>
      <c r="L2504" s="7" t="str">
        <f t="shared" si="3"/>
        <v>Fulfillment &amp; Shipping</v>
      </c>
      <c r="M2504" s="7" t="str">
        <f t="shared" si="4"/>
        <v>Negative</v>
      </c>
      <c r="N2504" s="7" t="str">
        <f>IFERROR(__xludf.DUMMYFUNCTION("LOWER(
TRIM(
REGEXREPLACE(B2504,""[^a-zA-Z\s]"","""")
)
)
"),"hayley s")</f>
        <v>hayley s</v>
      </c>
      <c r="O2504" s="7">
        <f t="shared" si="5"/>
        <v>1</v>
      </c>
      <c r="P2504" s="8" t="str">
        <f t="shared" si="6"/>
        <v>No</v>
      </c>
    </row>
    <row r="2505">
      <c r="A2505" s="4" t="s">
        <v>16</v>
      </c>
      <c r="B2505" s="4" t="s">
        <v>7002</v>
      </c>
      <c r="C2505" s="5">
        <v>44672.0</v>
      </c>
      <c r="D2505" s="10">
        <v>44672.0</v>
      </c>
      <c r="E2505" s="4" t="s">
        <v>7003</v>
      </c>
      <c r="F2505" s="4" t="s">
        <v>7004</v>
      </c>
      <c r="G2505" s="6" t="str">
        <f>IFERROR(__xludf.DUMMYFUNCTION("REGEXREPLACE(LOWER(F2505),""[^a-z\s]"","""")"),"high quality difficult to find dog food at reasonable prices fast delivery with free shipping with minimum purchase of  i believe is the current threshold been ordering fromms gold dry dog food from them for years and it is always fresh and genuine its th"&amp;"e only food i feed my  lb dog he loves it and has absolutely thrived on it since we rescued him as a skinny unwanted yearold over  years ago")</f>
        <v>high quality difficult to find dog food at reasonable prices fast delivery with free shipping with minimum purchase of  i believe is the current threshold been ordering fromms gold dry dog food from them for years and it is always fresh and genuine its the only food i feed my  lb dog he loves it and has absolutely thrived on it since we rescued him as a skinny unwanted yearold over  years ago</v>
      </c>
      <c r="H2505" s="4" t="str">
        <f t="shared" si="1"/>
        <v>high quality difficult find dog food at reasonable prices fast delivery with free shipping with minimum purchase of i believe current threshold been ordering fromms gold dry dog food from them years it always fresh genuine its only food i feed my lb dog he loves it has absolutely thrived on it since we rescued him as a skinny unwanted yearold over years ago</v>
      </c>
      <c r="I2505" s="6">
        <f t="shared" si="2"/>
        <v>64</v>
      </c>
      <c r="J2505" s="6">
        <f>IFERROR(__xludf.DUMMYFUNCTION("IF(H2505="""","""",
SUM(
ARRAYFORMULA(
IF(
REGEXMATCH(
"" ""&amp;H2505&amp;"" "",
"" ""&amp;Sentiment_Words!A$2:A3730&amp;"" ""
),
1,
0
)
)
)
)"),2.0)</f>
        <v>2</v>
      </c>
      <c r="K2505" s="4">
        <f>IFERROR(__xludf.DUMMYFUNCTION("IF(H2505="""","""",
SUM(
ARRAYFORMULA(
IF(
REGEXMATCH(
"" ""&amp;H2505&amp;"" "",
"" ""&amp;Sentiment_Words!B$2:B3730&amp;"" ""
),
1,
0
)
)
)
)"),0.0)</f>
        <v>0</v>
      </c>
      <c r="L2505" s="7" t="str">
        <f t="shared" si="3"/>
        <v>Other</v>
      </c>
      <c r="M2505" s="7" t="str">
        <f t="shared" si="4"/>
        <v>Positive</v>
      </c>
      <c r="N2505" s="7" t="str">
        <f>IFERROR(__xludf.DUMMYFUNCTION("LOWER(
TRIM(
REGEXREPLACE(B2505,""[^a-zA-Z\s]"","""")
)
)
"),"susan d")</f>
        <v>susan d</v>
      </c>
      <c r="O2505" s="7">
        <f t="shared" si="5"/>
        <v>1</v>
      </c>
      <c r="P2505" s="8" t="str">
        <f t="shared" si="6"/>
        <v>No</v>
      </c>
    </row>
    <row r="2506">
      <c r="A2506" s="4" t="s">
        <v>16</v>
      </c>
      <c r="B2506" s="4" t="s">
        <v>7005</v>
      </c>
      <c r="C2506" s="5">
        <v>44671.0</v>
      </c>
      <c r="D2506" s="10">
        <v>44672.0</v>
      </c>
      <c r="E2506" s="4" t="s">
        <v>7006</v>
      </c>
      <c r="F2506" s="4" t="s">
        <v>7007</v>
      </c>
      <c r="G2506" s="6" t="str">
        <f>IFERROR(__xludf.DUMMYFUNCTION("REGEXREPLACE(LOWER(F2506),""[^a-z\s]"","""")"),"i love petflow the site is very userfriendly and customizable
i dont like shopping and their home delivery makes getting my pets food a breeze
and they carry my preferred brands")</f>
        <v>i love petflow the site is very userfriendly and customizable
i dont like shopping and their home delivery makes getting my pets food a breeze
and they carry my preferred brands</v>
      </c>
      <c r="H2506" s="4" t="str">
        <f t="shared" si="1"/>
        <v>i love petflow site very userfriendly customizable
i dont like shopping their home delivery makes getting my pets food a breeze
and they carry my preferred brands</v>
      </c>
      <c r="I2506" s="6">
        <f t="shared" si="2"/>
        <v>25</v>
      </c>
      <c r="J2506" s="6">
        <f>IFERROR(__xludf.DUMMYFUNCTION("IF(H2506="""","""",
SUM(
ARRAYFORMULA(
IF(
REGEXMATCH(
"" ""&amp;H2506&amp;"" "",
"" ""&amp;Sentiment_Words!A$2:A3730&amp;"" ""
),
1,
0
)
)
)
)"),1.0)</f>
        <v>1</v>
      </c>
      <c r="K2506" s="4">
        <f>IFERROR(__xludf.DUMMYFUNCTION("IF(H2506="""","""",
SUM(
ARRAYFORMULA(
IF(
REGEXMATCH(
"" ""&amp;H2506&amp;"" "",
"" ""&amp;Sentiment_Words!B$2:B3730&amp;"" ""
),
1,
0
)
)
)
)"),0.0)</f>
        <v>0</v>
      </c>
      <c r="L2506" s="7" t="str">
        <f t="shared" si="3"/>
        <v>Other</v>
      </c>
      <c r="M2506" s="7" t="str">
        <f t="shared" si="4"/>
        <v>Positive</v>
      </c>
      <c r="N2506" s="7" t="str">
        <f>IFERROR(__xludf.DUMMYFUNCTION("LOWER(
TRIM(
REGEXREPLACE(B2506,""[^a-zA-Z\s]"","""")
)
)
"),"debby")</f>
        <v>debby</v>
      </c>
      <c r="O2506" s="7">
        <f t="shared" si="5"/>
        <v>1</v>
      </c>
      <c r="P2506" s="8" t="str">
        <f t="shared" si="6"/>
        <v>No</v>
      </c>
    </row>
    <row r="2507">
      <c r="A2507" s="4" t="s">
        <v>16</v>
      </c>
      <c r="B2507" s="4" t="s">
        <v>7008</v>
      </c>
      <c r="C2507" s="5">
        <v>44671.0</v>
      </c>
      <c r="D2507" s="10">
        <v>44672.0</v>
      </c>
      <c r="E2507" s="4" t="s">
        <v>4876</v>
      </c>
      <c r="F2507" s="4" t="s">
        <v>7009</v>
      </c>
      <c r="G2507" s="6" t="str">
        <f>IFERROR(__xludf.DUMMYFUNCTION("REGEXREPLACE(LOWER(F2507),""[^a-z\s]"","""")"),"i looked everywhere for this particular hills science diet adult tender chicken dinner canned cat food  to  yrsand you folks were the only online business that carried this product for my cat it arrived safely at my frontgate i live in a very rural area o"&amp;"f southern californias upper desert chaparrals of llano ca most times online places will not deliver to us because we are not registered with the postal service with a mailbox  we have never had a home mailbox due to transits stealing our mail  destroying"&amp;" the mailboxes  plus other online places wont deliver to our mailing address at a po box at all  i do not understand why it is much safer for me and my hubby so i thank you for having my cat food  for descent delivery service sincerely leola adcock")</f>
        <v>i looked everywhere for this particular hills science diet adult tender chicken dinner canned cat food  to  yrsand you folks were the only online business that carried this product for my cat it arrived safely at my frontgate i live in a very rural area of southern californias upper desert chaparrals of llano ca most times online places will not deliver to us because we are not registered with the postal service with a mailbox  we have never had a home mailbox due to transits stealing our mail  destroying the mailboxes  plus other online places wont deliver to our mailing address at a po box at all  i do not understand why it is much safer for me and my hubby so i thank you for having my cat food  for descent delivery service sincerely leola adcock</v>
      </c>
      <c r="H2507" s="4" t="str">
        <f t="shared" si="1"/>
        <v>i looked everywhere this particular hills science diet adult tender chicken dinner canned cat food yrsand you folks were only online business that carried this product my cat it arrived safely at my frontgate i live in a very rural area of southern californias upper desert chaparrals of llano ca most times online places will not deliver us because we are not registered with postal service with a mailbox we have never had a home mailbox due transits stealing our mail destroying mailboxes plus other online places wont deliver our mailing address at a po box at all i do not understand why it much safer me my hubby so i thank you having my cat food descent delivery service sincerely leola adcock</v>
      </c>
      <c r="I2507" s="6">
        <f t="shared" si="2"/>
        <v>123</v>
      </c>
      <c r="J2507" s="6">
        <f>IFERROR(__xludf.DUMMYFUNCTION("IF(H2507="""","""",
SUM(
ARRAYFORMULA(
IF(
REGEXMATCH(
"" ""&amp;H2507&amp;"" "",
"" ""&amp;Sentiment_Words!A$2:A3730&amp;"" ""
),
1,
0
)
)
)
)"),0.0)</f>
        <v>0</v>
      </c>
      <c r="K2507" s="4">
        <f>IFERROR(__xludf.DUMMYFUNCTION("IF(H2507="""","""",
SUM(
ARRAYFORMULA(
IF(
REGEXMATCH(
"" ""&amp;H2507&amp;"" "",
"" ""&amp;Sentiment_Words!B$2:B3730&amp;"" ""
),
1,
0
)
)
)
)"),0.0)</f>
        <v>0</v>
      </c>
      <c r="L2507" s="7" t="str">
        <f t="shared" si="3"/>
        <v>Customer Support</v>
      </c>
      <c r="M2507" s="7" t="str">
        <f t="shared" si="4"/>
        <v>Neutral</v>
      </c>
      <c r="N2507" s="7" t="str">
        <f>IFERROR(__xludf.DUMMYFUNCTION("LOWER(
TRIM(
REGEXREPLACE(B2507,""[^a-zA-Z\s]"","""")
)
)
"),"jen")</f>
        <v>jen</v>
      </c>
      <c r="O2507" s="7">
        <f t="shared" si="5"/>
        <v>1</v>
      </c>
      <c r="P2507" s="8" t="str">
        <f t="shared" si="6"/>
        <v>No</v>
      </c>
    </row>
    <row r="2508">
      <c r="A2508" s="4" t="s">
        <v>16</v>
      </c>
      <c r="B2508" s="4" t="s">
        <v>7010</v>
      </c>
      <c r="C2508" s="5">
        <v>44671.0</v>
      </c>
      <c r="D2508" s="10">
        <v>44672.0</v>
      </c>
      <c r="E2508" s="4" t="s">
        <v>7011</v>
      </c>
      <c r="F2508" s="4" t="s">
        <v>7012</v>
      </c>
      <c r="G2508" s="6" t="str">
        <f>IFERROR(__xludf.DUMMYFUNCTION("REGEXREPLACE(LOWER(F2508),""[^a-z\s]"","""")"),"i have used pet flow foe about  years they have any thing you want
relative to dogs and deliver it quickly they can put you on a program for delivery so you dont have to call them they also can deliver to other addresses if you happen to be out of town fo"&amp;"r a period they accurately charge
your credit card and keep it secret")</f>
        <v>i have used pet flow foe about  years they have any thing you want
relative to dogs and deliver it quickly they can put you on a program for delivery so you dont have to call them they also can deliver to other addresses if you happen to be out of town for a period they accurately charge
your credit card and keep it secret</v>
      </c>
      <c r="H2508" s="4" t="str">
        <f t="shared" si="1"/>
        <v>i have used pet flow foe about years they have any thing you want
relative dogs deliver it quickly they can put you on a program delivery so you dont have call them they also can deliver other addresses if you happen be out of town a period they accurately charge
your credit card keep it secret</v>
      </c>
      <c r="I2508" s="6">
        <f t="shared" si="2"/>
        <v>55</v>
      </c>
      <c r="J2508" s="6">
        <f>IFERROR(__xludf.DUMMYFUNCTION("IF(H2508="""","""",
SUM(
ARRAYFORMULA(
IF(
REGEXMATCH(
"" ""&amp;H2508&amp;"" "",
"" ""&amp;Sentiment_Words!A$2:A3730&amp;"" ""
),
1,
0
)
)
)
)"),0.0)</f>
        <v>0</v>
      </c>
      <c r="K2508" s="4">
        <f>IFERROR(__xludf.DUMMYFUNCTION("IF(H2508="""","""",
SUM(
ARRAYFORMULA(
IF(
REGEXMATCH(
"" ""&amp;H2508&amp;"" "",
"" ""&amp;Sentiment_Words!B$2:B3730&amp;"" ""
),
1,
0
)
)
)
)"),0.0)</f>
        <v>0</v>
      </c>
      <c r="L2508" s="7" t="str">
        <f t="shared" si="3"/>
        <v>Other</v>
      </c>
      <c r="M2508" s="7" t="str">
        <f t="shared" si="4"/>
        <v>Neutral</v>
      </c>
      <c r="N2508" s="7" t="str">
        <f>IFERROR(__xludf.DUMMYFUNCTION("LOWER(
TRIM(
REGEXREPLACE(B2508,""[^a-zA-Z\s]"","""")
)
)
"),"leola adcock")</f>
        <v>leola adcock</v>
      </c>
      <c r="O2508" s="7">
        <f t="shared" si="5"/>
        <v>1</v>
      </c>
      <c r="P2508" s="8" t="str">
        <f t="shared" si="6"/>
        <v>No</v>
      </c>
    </row>
    <row r="2509">
      <c r="A2509" s="4" t="s">
        <v>16</v>
      </c>
      <c r="B2509" s="4" t="s">
        <v>1041</v>
      </c>
      <c r="C2509" s="5">
        <v>44671.0</v>
      </c>
      <c r="D2509" s="10">
        <v>44671.0</v>
      </c>
      <c r="E2509" s="4" t="s">
        <v>7013</v>
      </c>
      <c r="F2509" s="4" t="s">
        <v>7014</v>
      </c>
      <c r="G2509" s="6" t="str">
        <f>IFERROR(__xludf.DUMMYFUNCTION("REGEXREPLACE(LOWER(F2509),""[^a-z\s]"","""")"),"they kept messing my order up double charged
and one of the phone operators was very aggravating")</f>
        <v>they kept messing my order up double charged
and one of the phone operators was very aggravating</v>
      </c>
      <c r="H2509" s="4" t="str">
        <f t="shared" si="1"/>
        <v>they kept messing my order up double charged
and one of phone operators was very aggravating</v>
      </c>
      <c r="I2509" s="6">
        <f t="shared" si="2"/>
        <v>15</v>
      </c>
      <c r="J2509" s="6">
        <f>IFERROR(__xludf.DUMMYFUNCTION("IF(H2509="""","""",
SUM(
ARRAYFORMULA(
IF(
REGEXMATCH(
"" ""&amp;H2509&amp;"" "",
"" ""&amp;Sentiment_Words!A$2:A3730&amp;"" ""
),
1,
0
)
)
)
)"),0.0)</f>
        <v>0</v>
      </c>
      <c r="K2509" s="4">
        <f>IFERROR(__xludf.DUMMYFUNCTION("IF(H2509="""","""",
SUM(
ARRAYFORMULA(
IF(
REGEXMATCH(
"" ""&amp;H2509&amp;"" "",
"" ""&amp;Sentiment_Words!B$2:B3730&amp;"" ""
),
1,
0
)
)
)
)"),0.0)</f>
        <v>0</v>
      </c>
      <c r="L2509" s="7" t="str">
        <f t="shared" si="3"/>
        <v>Other</v>
      </c>
      <c r="M2509" s="7" t="str">
        <f t="shared" si="4"/>
        <v>Neutral</v>
      </c>
      <c r="N2509" s="7" t="str">
        <f>IFERROR(__xludf.DUMMYFUNCTION("LOWER(
TRIM(
REGEXREPLACE(B2509,""[^a-zA-Z\s]"","""")
)
)
"),"harold")</f>
        <v>harold</v>
      </c>
      <c r="O2509" s="7">
        <f t="shared" si="5"/>
        <v>2</v>
      </c>
      <c r="P2509" s="8" t="str">
        <f t="shared" si="6"/>
        <v>Yes</v>
      </c>
    </row>
    <row r="2510">
      <c r="A2510" s="4" t="s">
        <v>16</v>
      </c>
      <c r="B2510" s="4" t="s">
        <v>7015</v>
      </c>
      <c r="C2510" s="5">
        <v>44671.0</v>
      </c>
      <c r="D2510" s="10">
        <v>44671.0</v>
      </c>
      <c r="E2510" s="4" t="s">
        <v>7016</v>
      </c>
      <c r="F2510" s="4" t="s">
        <v>7017</v>
      </c>
      <c r="G2510" s="6" t="str">
        <f>IFERROR(__xludf.DUMMYFUNCTION("REGEXREPLACE(LOWER(F2510),""[^a-z\s]"","""")"),"on my first order i ordered one small bag of dog food my dog has a few food allergies and this was a new flavor so a  pound bag would do upon arrival i always check the expiration date on all food i order and noticed this bag was about to expire i wasnt c"&amp;"omfortable feeding it to my boy and i sent a note off to pet flow that this food was soon to expire they were very sorry about this and stated that were now out of stock on this item and they refunded my credit card i was impressed and will definitely ord"&amp;"er again soon")</f>
        <v>on my first order i ordered one small bag of dog food my dog has a few food allergies and this was a new flavor so a  pound bag would do upon arrival i always check the expiration date on all food i order and noticed this bag was about to expire i wasnt comfortable feeding it to my boy and i sent a note off to pet flow that this food was soon to expire they were very sorry about this and stated that were now out of stock on this item and they refunded my credit card i was impressed and will definitely order again soon</v>
      </c>
      <c r="H2510" s="4" t="str">
        <f t="shared" si="1"/>
        <v>on my first order i ordered one small bag of dog food my dog has a few food allergies this was a new flavor so a pound bag would do upon arrival i always check expiration date on all food i order noticed this bag was about expire i wasnt comfortable feeding it my boy i sent a note off pet flow that this food was soon expire they were very sorry about this stated that were now out of stock on this item they refunded my credit card i was impressed will definitely order again soon</v>
      </c>
      <c r="I2510" s="6">
        <f t="shared" si="2"/>
        <v>97</v>
      </c>
      <c r="J2510" s="6">
        <f>IFERROR(__xludf.DUMMYFUNCTION("IF(H2510="""","""",
SUM(
ARRAYFORMULA(
IF(
REGEXMATCH(
"" ""&amp;H2510&amp;"" "",
"" ""&amp;Sentiment_Words!A$2:A3730&amp;"" ""
),
1,
0
)
)
)
)"),1.0)</f>
        <v>1</v>
      </c>
      <c r="K2510" s="4">
        <f>IFERROR(__xludf.DUMMYFUNCTION("IF(H2510="""","""",
SUM(
ARRAYFORMULA(
IF(
REGEXMATCH(
"" ""&amp;H2510&amp;"" "",
"" ""&amp;Sentiment_Words!B$2:B3730&amp;"" ""
),
1,
0
)
)
)
)"),1.0)</f>
        <v>1</v>
      </c>
      <c r="L2510" s="7" t="str">
        <f t="shared" si="3"/>
        <v>Availability</v>
      </c>
      <c r="M2510" s="7" t="str">
        <f t="shared" si="4"/>
        <v>Neutral</v>
      </c>
      <c r="N2510" s="7" t="str">
        <f>IFERROR(__xludf.DUMMYFUNCTION("LOWER(
TRIM(
REGEXREPLACE(B2510,""[^a-zA-Z\s]"","""")
)
)
"),"john dean")</f>
        <v>john dean</v>
      </c>
      <c r="O2510" s="7">
        <f t="shared" si="5"/>
        <v>1</v>
      </c>
      <c r="P2510" s="8" t="str">
        <f t="shared" si="6"/>
        <v>No</v>
      </c>
    </row>
    <row r="2511">
      <c r="A2511" s="4" t="s">
        <v>16</v>
      </c>
      <c r="B2511" s="4" t="s">
        <v>7018</v>
      </c>
      <c r="C2511" s="5">
        <v>44671.0</v>
      </c>
      <c r="D2511" s="10">
        <v>44671.0</v>
      </c>
      <c r="E2511" s="4" t="s">
        <v>7019</v>
      </c>
      <c r="F2511" s="4" t="s">
        <v>7020</v>
      </c>
      <c r="G2511" s="6" t="str">
        <f>IFERROR(__xludf.DUMMYFUNCTION("REGEXREPLACE(LOWER(F2511),""[^a-z\s]"","""")"),"shipping was not as quick as it said but once i called them they looked into it they made sure it went out that day")</f>
        <v>shipping was not as quick as it said but once i called them they looked into it they made sure it went out that day</v>
      </c>
      <c r="H2511" s="4" t="str">
        <f t="shared" si="1"/>
        <v>shipping was not as quick as it said but once i called them they looked into it they made sure it went out that day</v>
      </c>
      <c r="I2511" s="6">
        <f t="shared" si="2"/>
        <v>25</v>
      </c>
      <c r="J2511" s="6">
        <f>IFERROR(__xludf.DUMMYFUNCTION("IF(H2511="""","""",
SUM(
ARRAYFORMULA(
IF(
REGEXMATCH(
"" ""&amp;H2511&amp;"" "",
"" ""&amp;Sentiment_Words!A$2:A3730&amp;"" ""
),
1,
0
)
)
)
)"),0.0)</f>
        <v>0</v>
      </c>
      <c r="K2511" s="4">
        <f>IFERROR(__xludf.DUMMYFUNCTION("IF(H2511="""","""",
SUM(
ARRAYFORMULA(
IF(
REGEXMATCH(
"" ""&amp;H2511&amp;"" "",
"" ""&amp;Sentiment_Words!B$2:B3730&amp;"" ""
),
1,
0
)
)
)
)"),0.0)</f>
        <v>0</v>
      </c>
      <c r="L2511" s="7" t="str">
        <f t="shared" si="3"/>
        <v>Other</v>
      </c>
      <c r="M2511" s="7" t="str">
        <f t="shared" si="4"/>
        <v>Neutral</v>
      </c>
      <c r="N2511" s="7" t="str">
        <f>IFERROR(__xludf.DUMMYFUNCTION("LOWER(
TRIM(
REGEXREPLACE(B2511,""[^a-zA-Z\s]"","""")
)
)
"),"bonnie brock")</f>
        <v>bonnie brock</v>
      </c>
      <c r="O2511" s="7">
        <f t="shared" si="5"/>
        <v>1</v>
      </c>
      <c r="P2511" s="8" t="str">
        <f t="shared" si="6"/>
        <v>No</v>
      </c>
    </row>
    <row r="2512">
      <c r="A2512" s="4" t="s">
        <v>16</v>
      </c>
      <c r="B2512" s="4" t="s">
        <v>7021</v>
      </c>
      <c r="C2512" s="5">
        <v>44671.0</v>
      </c>
      <c r="D2512" s="10">
        <v>44671.0</v>
      </c>
      <c r="E2512" s="4" t="s">
        <v>7022</v>
      </c>
      <c r="F2512" s="4" t="s">
        <v>7023</v>
      </c>
      <c r="G2512" s="6" t="str">
        <f>IFERROR(__xludf.DUMMYFUNCTION("REGEXREPLACE(LOWER(F2512),""[^a-z\s]"","""")"),"shipping is fast and dog food is fresh")</f>
        <v>shipping is fast and dog food is fresh</v>
      </c>
      <c r="H2512" s="4" t="str">
        <f t="shared" si="1"/>
        <v>shipping fast dog food fresh</v>
      </c>
      <c r="I2512" s="6">
        <f t="shared" si="2"/>
        <v>5</v>
      </c>
      <c r="J2512" s="6">
        <f>IFERROR(__xludf.DUMMYFUNCTION("IF(H2512="""","""",
SUM(
ARRAYFORMULA(
IF(
REGEXMATCH(
"" ""&amp;H2512&amp;"" "",
"" ""&amp;Sentiment_Words!A$2:A3730&amp;"" ""
),
1,
0
)
)
)
)"),1.0)</f>
        <v>1</v>
      </c>
      <c r="K2512" s="4">
        <f>IFERROR(__xludf.DUMMYFUNCTION("IF(H2512="""","""",
SUM(
ARRAYFORMULA(
IF(
REGEXMATCH(
"" ""&amp;H2512&amp;"" "",
"" ""&amp;Sentiment_Words!B$2:B3730&amp;"" ""
),
1,
0
)
)
)
)"),0.0)</f>
        <v>0</v>
      </c>
      <c r="L2512" s="7" t="str">
        <f t="shared" si="3"/>
        <v>Other</v>
      </c>
      <c r="M2512" s="7" t="str">
        <f t="shared" si="4"/>
        <v>Positive</v>
      </c>
      <c r="N2512" s="7" t="str">
        <f>IFERROR(__xludf.DUMMYFUNCTION("LOWER(
TRIM(
REGEXREPLACE(B2512,""[^a-zA-Z\s]"","""")
)
)
"),"leyla kocaoglu")</f>
        <v>leyla kocaoglu</v>
      </c>
      <c r="O2512" s="7">
        <f t="shared" si="5"/>
        <v>1</v>
      </c>
      <c r="P2512" s="8" t="str">
        <f t="shared" si="6"/>
        <v>No</v>
      </c>
    </row>
    <row r="2513">
      <c r="A2513" s="4" t="s">
        <v>16</v>
      </c>
      <c r="B2513" s="4" t="s">
        <v>7024</v>
      </c>
      <c r="C2513" s="5">
        <v>44671.0</v>
      </c>
      <c r="D2513" s="10">
        <v>44671.0</v>
      </c>
      <c r="E2513" s="4" t="s">
        <v>7025</v>
      </c>
      <c r="F2513" s="4" t="s">
        <v>7026</v>
      </c>
      <c r="G2513" s="6" t="str">
        <f>IFERROR(__xludf.DUMMYFUNCTION("REGEXREPLACE(LOWER(F2513),""[^a-z\s]"","""")"),"quite frankly my disappointment is because i really didnt order this time my order was processed without me hitting the accept button it was sent any way")</f>
        <v>quite frankly my disappointment is because i really didnt order this time my order was processed without me hitting the accept button it was sent any way</v>
      </c>
      <c r="H2513" s="4" t="str">
        <f t="shared" si="1"/>
        <v>quite frankly my disappointment because i really didnt order this time my order was processed without me hitting accept button it was sent any way</v>
      </c>
      <c r="I2513" s="6">
        <f t="shared" si="2"/>
        <v>25</v>
      </c>
      <c r="J2513" s="6">
        <f>IFERROR(__xludf.DUMMYFUNCTION("IF(H2513="""","""",
SUM(
ARRAYFORMULA(
IF(
REGEXMATCH(
"" ""&amp;H2513&amp;"" "",
"" ""&amp;Sentiment_Words!A$2:A3730&amp;"" ""
),
1,
0
)
)
)
)"),0.0)</f>
        <v>0</v>
      </c>
      <c r="K2513" s="4">
        <f>IFERROR(__xludf.DUMMYFUNCTION("IF(H2513="""","""",
SUM(
ARRAYFORMULA(
IF(
REGEXMATCH(
"" ""&amp;H2513&amp;"" "",
"" ""&amp;Sentiment_Words!B$2:B3730&amp;"" ""
),
1,
0
)
)
)
)"),0.0)</f>
        <v>0</v>
      </c>
      <c r="L2513" s="7" t="str">
        <f t="shared" si="3"/>
        <v>Other</v>
      </c>
      <c r="M2513" s="7" t="str">
        <f t="shared" si="4"/>
        <v>Neutral</v>
      </c>
      <c r="N2513" s="7" t="str">
        <f>IFERROR(__xludf.DUMMYFUNCTION("LOWER(
TRIM(
REGEXREPLACE(B2513,""[^a-zA-Z\s]"","""")
)
)
"),"tammi berto")</f>
        <v>tammi berto</v>
      </c>
      <c r="O2513" s="7">
        <f t="shared" si="5"/>
        <v>1</v>
      </c>
      <c r="P2513" s="8" t="str">
        <f t="shared" si="6"/>
        <v>No</v>
      </c>
    </row>
    <row r="2514">
      <c r="A2514" s="4" t="s">
        <v>16</v>
      </c>
      <c r="B2514" s="4" t="s">
        <v>7027</v>
      </c>
      <c r="C2514" s="5">
        <v>44671.0</v>
      </c>
      <c r="D2514" s="10">
        <v>44671.0</v>
      </c>
      <c r="E2514" s="4" t="s">
        <v>7028</v>
      </c>
      <c r="F2514" s="4" t="s">
        <v>7029</v>
      </c>
      <c r="G2514" s="6" t="str">
        <f>IFERROR(__xludf.DUMMYFUNCTION("REGEXREPLACE(LOWER(F2514),""[^a-z\s]"","""")"),"i chatted with a rep to see if petflow carried taste of the wild wet food it was out of stock and rep asked if id like and email when the product came in they emailed me it was in stock i ordered it and it was delivered my dog is a very happy pup now
than"&amp;"k you for your prompt service")</f>
        <v>i chatted with a rep to see if petflow carried taste of the wild wet food it was out of stock and rep asked if id like and email when the product came in they emailed me it was in stock i ordered it and it was delivered my dog is a very happy pup now
thank you for your prompt service</v>
      </c>
      <c r="H2514" s="4" t="str">
        <f t="shared" si="1"/>
        <v>i chatted with a rep see if petflow carried taste of wild wet food it was out of stock rep asked if id like email when product came in they emailed me it was in stock i ordered it it was delivered my dog a very happy pup now
thank you your prompt service</v>
      </c>
      <c r="I2514" s="6">
        <f t="shared" si="2"/>
        <v>53</v>
      </c>
      <c r="J2514" s="6">
        <f>IFERROR(__xludf.DUMMYFUNCTION("IF(H2514="""","""",
SUM(
ARRAYFORMULA(
IF(
REGEXMATCH(
"" ""&amp;H2514&amp;"" "",
"" ""&amp;Sentiment_Words!A$2:A3730&amp;"" ""
),
1,
0
)
)
)
)"),3.0)</f>
        <v>3</v>
      </c>
      <c r="K2514" s="4">
        <f>IFERROR(__xludf.DUMMYFUNCTION("IF(H2514="""","""",
SUM(
ARRAYFORMULA(
IF(
REGEXMATCH(
"" ""&amp;H2514&amp;"" "",
"" ""&amp;Sentiment_Words!B$2:B3730&amp;"" ""
),
1,
0
)
)
)
)"),1.0)</f>
        <v>1</v>
      </c>
      <c r="L2514" s="7" t="str">
        <f t="shared" si="3"/>
        <v>Customer Support</v>
      </c>
      <c r="M2514" s="7" t="str">
        <f t="shared" si="4"/>
        <v>Positive</v>
      </c>
      <c r="N2514" s="7" t="str">
        <f>IFERROR(__xludf.DUMMYFUNCTION("LOWER(
TRIM(
REGEXREPLACE(B2514,""[^a-zA-Z\s]"","""")
)
)
"),"laurie douthit")</f>
        <v>laurie douthit</v>
      </c>
      <c r="O2514" s="7">
        <f t="shared" si="5"/>
        <v>1</v>
      </c>
      <c r="P2514" s="8" t="str">
        <f t="shared" si="6"/>
        <v>No</v>
      </c>
    </row>
    <row r="2515">
      <c r="A2515" s="4" t="s">
        <v>16</v>
      </c>
      <c r="B2515" s="4">
        <v>988091.0</v>
      </c>
      <c r="C2515" s="5">
        <v>44671.0</v>
      </c>
      <c r="D2515" s="10">
        <v>44671.0</v>
      </c>
      <c r="E2515" s="4" t="s">
        <v>7030</v>
      </c>
      <c r="F2515" s="4" t="s">
        <v>7031</v>
      </c>
      <c r="G2515" s="6" t="str">
        <f>IFERROR(__xludf.DUMMYFUNCTION("REGEXREPLACE(LOWER(F2515),""[^a-z\s]"","""")"),"had a difficult time find the dog food and found it here quick delivery")</f>
        <v>had a difficult time find the dog food and found it here quick delivery</v>
      </c>
      <c r="H2515" s="4" t="str">
        <f t="shared" si="1"/>
        <v>had a difficult time find dog food found it here quick delivery</v>
      </c>
      <c r="I2515" s="6">
        <f t="shared" si="2"/>
        <v>12</v>
      </c>
      <c r="J2515" s="6">
        <f>IFERROR(__xludf.DUMMYFUNCTION("IF(H2515="""","""",
SUM(
ARRAYFORMULA(
IF(
REGEXMATCH(
"" ""&amp;H2515&amp;"" "",
"" ""&amp;Sentiment_Words!A$2:A3730&amp;"" ""
),
1,
0
)
)
)
)"),2.0)</f>
        <v>2</v>
      </c>
      <c r="K2515" s="4">
        <f>IFERROR(__xludf.DUMMYFUNCTION("IF(H2515="""","""",
SUM(
ARRAYFORMULA(
IF(
REGEXMATCH(
"" ""&amp;H2515&amp;"" "",
"" ""&amp;Sentiment_Words!B$2:B3730&amp;"" ""
),
1,
0
)
)
)
)"),0.0)</f>
        <v>0</v>
      </c>
      <c r="L2515" s="7" t="str">
        <f t="shared" si="3"/>
        <v>Other</v>
      </c>
      <c r="M2515" s="7" t="str">
        <f t="shared" si="4"/>
        <v>Positive</v>
      </c>
      <c r="N2515" s="7" t="str">
        <f>IFERROR(__xludf.DUMMYFUNCTION("LOWER(
TRIM(
REGEXREPLACE(B2515,""[^a-zA-Z\s]"","""")
)
)
"),"#VALUE!")</f>
        <v>#VALUE!</v>
      </c>
      <c r="O2515" s="7">
        <f t="shared" si="5"/>
        <v>1</v>
      </c>
      <c r="P2515" s="8" t="str">
        <f t="shared" si="6"/>
        <v>No</v>
      </c>
    </row>
    <row r="2516">
      <c r="A2516" s="4" t="s">
        <v>16</v>
      </c>
      <c r="B2516" s="4" t="s">
        <v>7032</v>
      </c>
      <c r="C2516" s="5">
        <v>44671.0</v>
      </c>
      <c r="D2516" s="10">
        <v>44671.0</v>
      </c>
      <c r="E2516" s="4" t="s">
        <v>7033</v>
      </c>
      <c r="F2516" s="4" t="s">
        <v>331</v>
      </c>
      <c r="G2516" s="6" t="str">
        <f>IFERROR(__xludf.DUMMYFUNCTION("REGEXREPLACE(LOWER(F2516),""[^a-z\s]"","""")"),"none")</f>
        <v>none</v>
      </c>
      <c r="H2516" s="4" t="str">
        <f t="shared" si="1"/>
        <v>none</v>
      </c>
      <c r="I2516" s="6">
        <f t="shared" si="2"/>
        <v>1</v>
      </c>
      <c r="J2516" s="6">
        <f>IFERROR(__xludf.DUMMYFUNCTION("IF(H2516="""","""",
SUM(
ARRAYFORMULA(
IF(
REGEXMATCH(
"" ""&amp;H2516&amp;"" "",
"" ""&amp;Sentiment_Words!A$2:A3730&amp;"" ""
),
1,
0
)
)
)
)"),0.0)</f>
        <v>0</v>
      </c>
      <c r="K2516" s="4">
        <f>IFERROR(__xludf.DUMMYFUNCTION("IF(H2516="""","""",
SUM(
ARRAYFORMULA(
IF(
REGEXMATCH(
"" ""&amp;H2516&amp;"" "",
"" ""&amp;Sentiment_Words!B$2:B3730&amp;"" ""
),
1,
0
)
)
)
)"),0.0)</f>
        <v>0</v>
      </c>
      <c r="L2516" s="7" t="str">
        <f t="shared" si="3"/>
        <v>Other</v>
      </c>
      <c r="M2516" s="7" t="str">
        <f t="shared" si="4"/>
        <v>Neutral</v>
      </c>
      <c r="N2516" s="7" t="str">
        <f>IFERROR(__xludf.DUMMYFUNCTION("LOWER(
TRIM(
REGEXREPLACE(B2516,""[^a-zA-Z\s]"","""")
)
)
"),"denise sierputowski")</f>
        <v>denise sierputowski</v>
      </c>
      <c r="O2516" s="7">
        <f t="shared" si="5"/>
        <v>1</v>
      </c>
      <c r="P2516" s="8" t="str">
        <f t="shared" si="6"/>
        <v>No</v>
      </c>
    </row>
    <row r="2517">
      <c r="A2517" s="4" t="s">
        <v>16</v>
      </c>
      <c r="B2517" s="4" t="s">
        <v>7034</v>
      </c>
      <c r="C2517" s="5">
        <v>44671.0</v>
      </c>
      <c r="D2517" s="10">
        <v>44671.0</v>
      </c>
      <c r="E2517" s="4" t="s">
        <v>7035</v>
      </c>
      <c r="F2517" s="4" t="s">
        <v>331</v>
      </c>
      <c r="G2517" s="6" t="str">
        <f>IFERROR(__xludf.DUMMYFUNCTION("REGEXREPLACE(LOWER(F2517),""[^a-z\s]"","""")"),"none")</f>
        <v>none</v>
      </c>
      <c r="H2517" s="4" t="str">
        <f t="shared" si="1"/>
        <v>none</v>
      </c>
      <c r="I2517" s="6">
        <f t="shared" si="2"/>
        <v>1</v>
      </c>
      <c r="J2517" s="6">
        <f>IFERROR(__xludf.DUMMYFUNCTION("IF(H2517="""","""",
SUM(
ARRAYFORMULA(
IF(
REGEXMATCH(
"" ""&amp;H2517&amp;"" "",
"" ""&amp;Sentiment_Words!A$2:A3730&amp;"" ""
),
1,
0
)
)
)
)"),0.0)</f>
        <v>0</v>
      </c>
      <c r="K2517" s="4">
        <f>IFERROR(__xludf.DUMMYFUNCTION("IF(H2517="""","""",
SUM(
ARRAYFORMULA(
IF(
REGEXMATCH(
"" ""&amp;H2517&amp;"" "",
"" ""&amp;Sentiment_Words!B$2:B3730&amp;"" ""
),
1,
0
)
)
)
)"),0.0)</f>
        <v>0</v>
      </c>
      <c r="L2517" s="7" t="str">
        <f t="shared" si="3"/>
        <v>Other</v>
      </c>
      <c r="M2517" s="7" t="str">
        <f t="shared" si="4"/>
        <v>Neutral</v>
      </c>
      <c r="N2517" s="7" t="str">
        <f>IFERROR(__xludf.DUMMYFUNCTION("LOWER(
TRIM(
REGEXREPLACE(B2517,""[^a-zA-Z\s]"","""")
)
)
"),"s mcg")</f>
        <v>s mcg</v>
      </c>
      <c r="O2517" s="7">
        <f t="shared" si="5"/>
        <v>1</v>
      </c>
      <c r="P2517" s="8" t="str">
        <f t="shared" si="6"/>
        <v>No</v>
      </c>
    </row>
    <row r="2518">
      <c r="A2518" s="4" t="s">
        <v>16</v>
      </c>
      <c r="B2518" s="4" t="s">
        <v>7036</v>
      </c>
      <c r="C2518" s="5">
        <v>44669.0</v>
      </c>
      <c r="D2518" s="10">
        <v>44669.0</v>
      </c>
      <c r="E2518" s="4" t="s">
        <v>7037</v>
      </c>
      <c r="F2518" s="4" t="s">
        <v>7038</v>
      </c>
      <c r="G2518" s="6" t="str">
        <f>IFERROR(__xludf.DUMMYFUNCTION("REGEXREPLACE(LOWER(F2518),""[^a-z\s]"","""")"),"you charged me for prescription cat food and for non prescription cat food but only delivered the nonprescription cat food")</f>
        <v>you charged me for prescription cat food and for non prescription cat food but only delivered the nonprescription cat food</v>
      </c>
      <c r="H2518" s="4" t="str">
        <f t="shared" si="1"/>
        <v>you charged me prescription cat food non prescription cat food but only delivered nonprescription cat food</v>
      </c>
      <c r="I2518" s="6">
        <f t="shared" si="2"/>
        <v>16</v>
      </c>
      <c r="J2518" s="6">
        <f>IFERROR(__xludf.DUMMYFUNCTION("IF(H2518="""","""",
SUM(
ARRAYFORMULA(
IF(
REGEXMATCH(
"" ""&amp;H2518&amp;"" "",
"" ""&amp;Sentiment_Words!A$2:A3730&amp;"" ""
),
1,
0
)
)
)
)"),1.0)</f>
        <v>1</v>
      </c>
      <c r="K2518" s="4">
        <f>IFERROR(__xludf.DUMMYFUNCTION("IF(H2518="""","""",
SUM(
ARRAYFORMULA(
IF(
REGEXMATCH(
"" ""&amp;H2518&amp;"" "",
"" ""&amp;Sentiment_Words!B$2:B3730&amp;"" ""
),
1,
0
)
)
)
)"),0.0)</f>
        <v>0</v>
      </c>
      <c r="L2518" s="7" t="str">
        <f t="shared" si="3"/>
        <v>Other</v>
      </c>
      <c r="M2518" s="7" t="str">
        <f t="shared" si="4"/>
        <v>Positive</v>
      </c>
      <c r="N2518" s="7" t="str">
        <f>IFERROR(__xludf.DUMMYFUNCTION("LOWER(
TRIM(
REGEXREPLACE(B2518,""[^a-zA-Z\s]"","""")
)
)
"),"lori williams")</f>
        <v>lori williams</v>
      </c>
      <c r="O2518" s="7">
        <f t="shared" si="5"/>
        <v>1</v>
      </c>
      <c r="P2518" s="8" t="str">
        <f t="shared" si="6"/>
        <v>No</v>
      </c>
    </row>
    <row r="2519">
      <c r="A2519" s="4" t="s">
        <v>16</v>
      </c>
      <c r="B2519" s="4" t="s">
        <v>7039</v>
      </c>
      <c r="C2519" s="5">
        <v>44669.0</v>
      </c>
      <c r="D2519" s="10">
        <v>44669.0</v>
      </c>
      <c r="E2519" s="4" t="s">
        <v>7040</v>
      </c>
      <c r="F2519" s="4" t="s">
        <v>7041</v>
      </c>
      <c r="G2519" s="6" t="str">
        <f>IFERROR(__xludf.DUMMYFUNCTION("REGEXREPLACE(LOWER(F2519),""[^a-z\s]"","""")"),"one of the few sites that has fromm dog food quick free delivery i also like your give back to the pet community policy")</f>
        <v>one of the few sites that has fromm dog food quick free delivery i also like your give back to the pet community policy</v>
      </c>
      <c r="H2519" s="4" t="str">
        <f t="shared" si="1"/>
        <v>one of few sites that has fromm dog food quick free delivery i also like your give back pet community policy</v>
      </c>
      <c r="I2519" s="6">
        <f t="shared" si="2"/>
        <v>21</v>
      </c>
      <c r="J2519" s="6">
        <f>IFERROR(__xludf.DUMMYFUNCTION("IF(H2519="""","""",
SUM(
ARRAYFORMULA(
IF(
REGEXMATCH(
"" ""&amp;H2519&amp;"" "",
"" ""&amp;Sentiment_Words!A$2:A3730&amp;"" ""
),
1,
0
)
)
)
)"),0.0)</f>
        <v>0</v>
      </c>
      <c r="K2519" s="4">
        <f>IFERROR(__xludf.DUMMYFUNCTION("IF(H2519="""","""",
SUM(
ARRAYFORMULA(
IF(
REGEXMATCH(
"" ""&amp;H2519&amp;"" "",
"" ""&amp;Sentiment_Words!B$2:B3730&amp;"" ""
),
1,
0
)
)
)
)"),0.0)</f>
        <v>0</v>
      </c>
      <c r="L2519" s="7" t="str">
        <f t="shared" si="3"/>
        <v>Other</v>
      </c>
      <c r="M2519" s="7" t="str">
        <f t="shared" si="4"/>
        <v>Neutral</v>
      </c>
      <c r="N2519" s="7" t="str">
        <f>IFERROR(__xludf.DUMMYFUNCTION("LOWER(
TRIM(
REGEXREPLACE(B2519,""[^a-zA-Z\s]"","""")
)
)
"),"shark")</f>
        <v>shark</v>
      </c>
      <c r="O2519" s="7">
        <f t="shared" si="5"/>
        <v>1</v>
      </c>
      <c r="P2519" s="8" t="str">
        <f t="shared" si="6"/>
        <v>No</v>
      </c>
    </row>
    <row r="2520">
      <c r="A2520" s="4" t="s">
        <v>16</v>
      </c>
      <c r="B2520" s="4" t="s">
        <v>7042</v>
      </c>
      <c r="C2520" s="5">
        <v>44669.0</v>
      </c>
      <c r="D2520" s="10">
        <v>44669.0</v>
      </c>
      <c r="E2520" s="4" t="s">
        <v>7043</v>
      </c>
      <c r="F2520" s="4" t="s">
        <v>7044</v>
      </c>
      <c r="G2520" s="6" t="str">
        <f>IFERROR(__xludf.DUMMYFUNCTION("REGEXREPLACE(LOWER(F2520),""[^a-z\s]"","""")"),"fair prices and very fast free shipping i will shop here again")</f>
        <v>fair prices and very fast free shipping i will shop here again</v>
      </c>
      <c r="H2520" s="4" t="str">
        <f t="shared" si="1"/>
        <v>fair prices very fast free shipping i will shop here again</v>
      </c>
      <c r="I2520" s="6">
        <f t="shared" si="2"/>
        <v>11</v>
      </c>
      <c r="J2520" s="6">
        <f>IFERROR(__xludf.DUMMYFUNCTION("IF(H2520="""","""",
SUM(
ARRAYFORMULA(
IF(
REGEXMATCH(
"" ""&amp;H2520&amp;"" "",
"" ""&amp;Sentiment_Words!A$2:A3730&amp;"" ""
),
1,
0
)
)
)
)"),1.0)</f>
        <v>1</v>
      </c>
      <c r="K2520" s="4">
        <f>IFERROR(__xludf.DUMMYFUNCTION("IF(H2520="""","""",
SUM(
ARRAYFORMULA(
IF(
REGEXMATCH(
"" ""&amp;H2520&amp;"" "",
"" ""&amp;Sentiment_Words!B$2:B3730&amp;"" ""
),
1,
0
)
)
)
)"),0.0)</f>
        <v>0</v>
      </c>
      <c r="L2520" s="7" t="str">
        <f t="shared" si="3"/>
        <v>Other</v>
      </c>
      <c r="M2520" s="7" t="str">
        <f t="shared" si="4"/>
        <v>Positive</v>
      </c>
      <c r="N2520" s="7" t="str">
        <f>IFERROR(__xludf.DUMMYFUNCTION("LOWER(
TRIM(
REGEXREPLACE(B2520,""[^a-zA-Z\s]"","""")
)
)
"),"tom h")</f>
        <v>tom h</v>
      </c>
      <c r="O2520" s="7">
        <f t="shared" si="5"/>
        <v>1</v>
      </c>
      <c r="P2520" s="8" t="str">
        <f t="shared" si="6"/>
        <v>No</v>
      </c>
    </row>
    <row r="2521">
      <c r="A2521" s="4" t="s">
        <v>16</v>
      </c>
      <c r="B2521" s="4" t="s">
        <v>7045</v>
      </c>
      <c r="C2521" s="5">
        <v>44668.0</v>
      </c>
      <c r="D2521" s="10">
        <v>44669.0</v>
      </c>
      <c r="E2521" s="4" t="s">
        <v>7046</v>
      </c>
      <c r="F2521" s="4" t="s">
        <v>7047</v>
      </c>
      <c r="G2521" s="6" t="str">
        <f>IFERROR(__xludf.DUMMYFUNCTION("REGEXREPLACE(LOWER(F2521),""[^a-z\s]"","""")"),"fair prices fast shipping large assortment of products")</f>
        <v>fair prices fast shipping large assortment of products</v>
      </c>
      <c r="H2521" s="4" t="str">
        <f t="shared" si="1"/>
        <v>fair prices fast shipping large assortment of products</v>
      </c>
      <c r="I2521" s="6">
        <f t="shared" si="2"/>
        <v>8</v>
      </c>
      <c r="J2521" s="6">
        <f>IFERROR(__xludf.DUMMYFUNCTION("IF(H2521="""","""",
SUM(
ARRAYFORMULA(
IF(
REGEXMATCH(
"" ""&amp;H2521&amp;"" "",
"" ""&amp;Sentiment_Words!A$2:A3730&amp;"" ""
),
1,
0
)
)
)
)"),1.0)</f>
        <v>1</v>
      </c>
      <c r="K2521" s="4">
        <f>IFERROR(__xludf.DUMMYFUNCTION("IF(H2521="""","""",
SUM(
ARRAYFORMULA(
IF(
REGEXMATCH(
"" ""&amp;H2521&amp;"" "",
"" ""&amp;Sentiment_Words!B$2:B3730&amp;"" ""
),
1,
0
)
)
)
)"),0.0)</f>
        <v>0</v>
      </c>
      <c r="L2521" s="7" t="str">
        <f t="shared" si="3"/>
        <v>Other</v>
      </c>
      <c r="M2521" s="7" t="str">
        <f t="shared" si="4"/>
        <v>Positive</v>
      </c>
      <c r="N2521" s="7" t="str">
        <f>IFERROR(__xludf.DUMMYFUNCTION("LOWER(
TRIM(
REGEXREPLACE(B2521,""[^a-zA-Z\s]"","""")
)
)
"),"lynn fletcher")</f>
        <v>lynn fletcher</v>
      </c>
      <c r="O2521" s="7">
        <f t="shared" si="5"/>
        <v>1</v>
      </c>
      <c r="P2521" s="8" t="str">
        <f t="shared" si="6"/>
        <v>No</v>
      </c>
    </row>
    <row r="2522">
      <c r="A2522" s="4" t="s">
        <v>16</v>
      </c>
      <c r="B2522" s="4" t="s">
        <v>7048</v>
      </c>
      <c r="C2522" s="5">
        <v>44668.0</v>
      </c>
      <c r="D2522" s="10">
        <v>44668.0</v>
      </c>
      <c r="E2522" s="4" t="s">
        <v>7049</v>
      </c>
      <c r="F2522" s="4" t="s">
        <v>7050</v>
      </c>
      <c r="G2522" s="6" t="str">
        <f>IFERROR(__xludf.DUMMYFUNCTION("REGEXREPLACE(LOWER(F2522),""[^a-z\s]"","""")"),"i ordered a prescription dog food that was listed as available then wasted time and attention coordinating with our busy veterinarian was never advised the item was on back order and had to reach out to the company to find out the dog food hadnt been sent")</f>
        <v>i ordered a prescription dog food that was listed as available then wasted time and attention coordinating with our busy veterinarian was never advised the item was on back order and had to reach out to the company to find out the dog food hadnt been sent</v>
      </c>
      <c r="H2522" s="4" t="str">
        <f t="shared" si="1"/>
        <v>i ordered a prescription dog food that was listed as available then wasted time attention coordinating with our busy veterinarian was never advised item was on back order had reach out company find out dog food hadnt been sent</v>
      </c>
      <c r="I2522" s="6">
        <f t="shared" si="2"/>
        <v>39</v>
      </c>
      <c r="J2522" s="6">
        <f>IFERROR(__xludf.DUMMYFUNCTION("IF(H2522="""","""",
SUM(
ARRAYFORMULA(
IF(
REGEXMATCH(
"" ""&amp;H2522&amp;"" "",
"" ""&amp;Sentiment_Words!A$2:A3730&amp;"" ""
),
1,
0
)
)
)
)"),1.0)</f>
        <v>1</v>
      </c>
      <c r="K2522" s="4">
        <f>IFERROR(__xludf.DUMMYFUNCTION("IF(H2522="""","""",
SUM(
ARRAYFORMULA(
IF(
REGEXMATCH(
"" ""&amp;H2522&amp;"" "",
"" ""&amp;Sentiment_Words!B$2:B3730&amp;"" ""
),
1,
0
)
)
)
)"),0.0)</f>
        <v>0</v>
      </c>
      <c r="L2522" s="7" t="str">
        <f t="shared" si="3"/>
        <v>Other</v>
      </c>
      <c r="M2522" s="7" t="str">
        <f t="shared" si="4"/>
        <v>Positive</v>
      </c>
      <c r="N2522" s="7" t="str">
        <f>IFERROR(__xludf.DUMMYFUNCTION("LOWER(
TRIM(
REGEXREPLACE(B2522,""[^a-zA-Z\s]"","""")
)
)
"),"carol tschida")</f>
        <v>carol tschida</v>
      </c>
      <c r="O2522" s="7">
        <f t="shared" si="5"/>
        <v>1</v>
      </c>
      <c r="P2522" s="8" t="str">
        <f t="shared" si="6"/>
        <v>No</v>
      </c>
    </row>
    <row r="2523">
      <c r="A2523" s="4" t="s">
        <v>16</v>
      </c>
      <c r="B2523" s="4" t="s">
        <v>7051</v>
      </c>
      <c r="C2523" s="5">
        <v>44668.0</v>
      </c>
      <c r="D2523" s="10">
        <v>44668.0</v>
      </c>
      <c r="E2523" s="4" t="s">
        <v>5912</v>
      </c>
      <c r="F2523" s="4" t="s">
        <v>7052</v>
      </c>
      <c r="G2523" s="6" t="str">
        <f>IFERROR(__xludf.DUMMYFUNCTION("REGEXREPLACE(LOWER(F2523),""[^a-z\s]"","""")"),"easy online ordering usually has what i need but doesnt ship as fast as other companies")</f>
        <v>easy online ordering usually has what i need but doesnt ship as fast as other companies</v>
      </c>
      <c r="H2523" s="4" t="str">
        <f t="shared" si="1"/>
        <v>easy online ordering usually has what i need but doesnt ship as fast as other companies</v>
      </c>
      <c r="I2523" s="6">
        <f t="shared" si="2"/>
        <v>16</v>
      </c>
      <c r="J2523" s="6">
        <f>IFERROR(__xludf.DUMMYFUNCTION("IF(H2523="""","""",
SUM(
ARRAYFORMULA(
IF(
REGEXMATCH(
"" ""&amp;H2523&amp;"" "",
"" ""&amp;Sentiment_Words!A$2:A3730&amp;"" ""
),
1,
0
)
)
)
)"),2.0)</f>
        <v>2</v>
      </c>
      <c r="K2523" s="4">
        <f>IFERROR(__xludf.DUMMYFUNCTION("IF(H2523="""","""",
SUM(
ARRAYFORMULA(
IF(
REGEXMATCH(
"" ""&amp;H2523&amp;"" "",
"" ""&amp;Sentiment_Words!B$2:B3730&amp;"" ""
),
1,
0
)
)
)
)"),0.0)</f>
        <v>0</v>
      </c>
      <c r="L2523" s="7" t="str">
        <f t="shared" si="3"/>
        <v>Other</v>
      </c>
      <c r="M2523" s="7" t="str">
        <f t="shared" si="4"/>
        <v>Positive</v>
      </c>
      <c r="N2523" s="7" t="str">
        <f>IFERROR(__xludf.DUMMYFUNCTION("LOWER(
TRIM(
REGEXREPLACE(B2523,""[^a-zA-Z\s]"","""")
)
)
"),"david schmitz")</f>
        <v>david schmitz</v>
      </c>
      <c r="O2523" s="7">
        <f t="shared" si="5"/>
        <v>1</v>
      </c>
      <c r="P2523" s="8" t="str">
        <f t="shared" si="6"/>
        <v>No</v>
      </c>
    </row>
    <row r="2524">
      <c r="A2524" s="4" t="s">
        <v>16</v>
      </c>
      <c r="B2524" s="4" t="s">
        <v>7053</v>
      </c>
      <c r="C2524" s="5">
        <v>44668.0</v>
      </c>
      <c r="D2524" s="10">
        <v>44668.0</v>
      </c>
      <c r="E2524" s="4" t="s">
        <v>7054</v>
      </c>
      <c r="F2524" s="4" t="s">
        <v>7055</v>
      </c>
      <c r="G2524" s="6" t="str">
        <f>IFERROR(__xludf.DUMMYFUNCTION("REGEXREPLACE(LOWER(F2524),""[^a-z\s]"","""")"),"it has been almost two weeks and i have not received my order i called to inquire where it might bei was told to call fed ex the folks at fed ex told me they couldnt deliver my package because the road was to muddyalthough the mail has been delivered ever"&amp;"y daythe school bus has run every week day and there have been ups trucks occasionally
you might want to try a different delivery service")</f>
        <v>it has been almost two weeks and i have not received my order i called to inquire where it might bei was told to call fed ex the folks at fed ex told me they couldnt deliver my package because the road was to muddyalthough the mail has been delivered every daythe school bus has run every week day and there have been ups trucks occasionally
you might want to try a different delivery service</v>
      </c>
      <c r="H2524" s="4" t="str">
        <f t="shared" si="1"/>
        <v>it has been almost two weeks i have not received my order i called inquire where it might bei was told call fed ex folks at fed ex told me they couldnt deliver my package because road was muddyalthough mail has been delivered every daythe school bus has run every week day there have been ups trucks occasionally
you might want try a different delivery service</v>
      </c>
      <c r="I2524" s="6">
        <f t="shared" si="2"/>
        <v>65</v>
      </c>
      <c r="J2524" s="6">
        <f>IFERROR(__xludf.DUMMYFUNCTION("IF(H2524="""","""",
SUM(
ARRAYFORMULA(
IF(
REGEXMATCH(
"" ""&amp;H2524&amp;"" "",
"" ""&amp;Sentiment_Words!A$2:A3730&amp;"" ""
),
1,
0
)
)
)
)"),1.0)</f>
        <v>1</v>
      </c>
      <c r="K2524" s="4">
        <f>IFERROR(__xludf.DUMMYFUNCTION("IF(H2524="""","""",
SUM(
ARRAYFORMULA(
IF(
REGEXMATCH(
"" ""&amp;H2524&amp;"" "",
"" ""&amp;Sentiment_Words!B$2:B3730&amp;"" ""
),
1,
0
)
)
)
)"),0.0)</f>
        <v>0</v>
      </c>
      <c r="L2524" s="7" t="str">
        <f t="shared" si="3"/>
        <v>Customer Support</v>
      </c>
      <c r="M2524" s="7" t="str">
        <f t="shared" si="4"/>
        <v>Positive</v>
      </c>
      <c r="N2524" s="7" t="str">
        <f>IFERROR(__xludf.DUMMYFUNCTION("LOWER(
TRIM(
REGEXREPLACE(B2524,""[^a-zA-Z\s]"","""")
)
)
"),"dobermom")</f>
        <v>dobermom</v>
      </c>
      <c r="O2524" s="7">
        <f t="shared" si="5"/>
        <v>1</v>
      </c>
      <c r="P2524" s="8" t="str">
        <f t="shared" si="6"/>
        <v>No</v>
      </c>
    </row>
    <row r="2525">
      <c r="A2525" s="4" t="s">
        <v>16</v>
      </c>
      <c r="B2525" s="4" t="s">
        <v>7056</v>
      </c>
      <c r="C2525" s="5">
        <v>44668.0</v>
      </c>
      <c r="D2525" s="10">
        <v>44668.0</v>
      </c>
      <c r="E2525" s="4" t="s">
        <v>7057</v>
      </c>
      <c r="F2525" s="4" t="s">
        <v>7058</v>
      </c>
      <c r="G2525" s="6" t="str">
        <f>IFERROR(__xludf.DUMMYFUNCTION("REGEXREPLACE(LOWER(F2525),""[^a-z\s]"","""")"),"ordered two items but only one was available real time inventory to indicate whether stock is available for purchase would help the customer")</f>
        <v>ordered two items but only one was available real time inventory to indicate whether stock is available for purchase would help the customer</v>
      </c>
      <c r="H2525" s="4" t="str">
        <f t="shared" si="1"/>
        <v>ordered two items but only one was available real time inventory indicate whether stock available purchase would help customer</v>
      </c>
      <c r="I2525" s="6">
        <f t="shared" si="2"/>
        <v>19</v>
      </c>
      <c r="J2525" s="6">
        <f>IFERROR(__xludf.DUMMYFUNCTION("IF(H2525="""","""",
SUM(
ARRAYFORMULA(
IF(
REGEXMATCH(
"" ""&amp;H2525&amp;"" "",
"" ""&amp;Sentiment_Words!A$2:A3730&amp;"" ""
),
1,
0
)
)
)
)"),1.0)</f>
        <v>1</v>
      </c>
      <c r="K2525" s="4">
        <f>IFERROR(__xludf.DUMMYFUNCTION("IF(H2525="""","""",
SUM(
ARRAYFORMULA(
IF(
REGEXMATCH(
"" ""&amp;H2525&amp;"" "",
"" ""&amp;Sentiment_Words!B$2:B3730&amp;"" ""
),
1,
0
)
)
)
)"),0.0)</f>
        <v>0</v>
      </c>
      <c r="L2525" s="7" t="str">
        <f t="shared" si="3"/>
        <v>Other</v>
      </c>
      <c r="M2525" s="7" t="str">
        <f t="shared" si="4"/>
        <v>Positive</v>
      </c>
      <c r="N2525" s="7" t="str">
        <f>IFERROR(__xludf.DUMMYFUNCTION("LOWER(
TRIM(
REGEXREPLACE(B2525,""[^a-zA-Z\s]"","""")
)
)
"),"bob sordyl")</f>
        <v>bob sordyl</v>
      </c>
      <c r="O2525" s="7">
        <f t="shared" si="5"/>
        <v>1</v>
      </c>
      <c r="P2525" s="8" t="str">
        <f t="shared" si="6"/>
        <v>No</v>
      </c>
    </row>
    <row r="2526">
      <c r="A2526" s="4" t="s">
        <v>16</v>
      </c>
      <c r="B2526" s="4" t="s">
        <v>7059</v>
      </c>
      <c r="C2526" s="5">
        <v>44668.0</v>
      </c>
      <c r="D2526" s="10">
        <v>44668.0</v>
      </c>
      <c r="E2526" s="4" t="s">
        <v>7060</v>
      </c>
      <c r="F2526" s="4" t="s">
        <v>7061</v>
      </c>
      <c r="G2526" s="6" t="str">
        <f>IFERROR(__xludf.DUMMYFUNCTION("REGEXREPLACE(LOWER(F2526),""[^a-z\s]"","""")"),"great selection great prices great service")</f>
        <v>great selection great prices great service</v>
      </c>
      <c r="H2526" s="4" t="str">
        <f t="shared" si="1"/>
        <v>great selection great prices great service</v>
      </c>
      <c r="I2526" s="6">
        <f t="shared" si="2"/>
        <v>6</v>
      </c>
      <c r="J2526" s="6">
        <f>IFERROR(__xludf.DUMMYFUNCTION("IF(H2526="""","""",
SUM(
ARRAYFORMULA(
IF(
REGEXMATCH(
"" ""&amp;H2526&amp;"" "",
"" ""&amp;Sentiment_Words!A$2:A3730&amp;"" ""
),
1,
0
)
)
)
)"),1.0)</f>
        <v>1</v>
      </c>
      <c r="K2526" s="4">
        <f>IFERROR(__xludf.DUMMYFUNCTION("IF(H2526="""","""",
SUM(
ARRAYFORMULA(
IF(
REGEXMATCH(
"" ""&amp;H2526&amp;"" "",
"" ""&amp;Sentiment_Words!B$2:B3730&amp;"" ""
),
1,
0
)
)
)
)"),0.0)</f>
        <v>0</v>
      </c>
      <c r="L2526" s="7" t="str">
        <f t="shared" si="3"/>
        <v>Customer Support</v>
      </c>
      <c r="M2526" s="7" t="str">
        <f t="shared" si="4"/>
        <v>Positive</v>
      </c>
      <c r="N2526" s="7" t="str">
        <f>IFERROR(__xludf.DUMMYFUNCTION("LOWER(
TRIM(
REGEXREPLACE(B2526,""[^a-zA-Z\s]"","""")
)
)
"),"michael novak")</f>
        <v>michael novak</v>
      </c>
      <c r="O2526" s="7">
        <f t="shared" si="5"/>
        <v>1</v>
      </c>
      <c r="P2526" s="8" t="str">
        <f t="shared" si="6"/>
        <v>No</v>
      </c>
    </row>
    <row r="2527">
      <c r="A2527" s="4" t="s">
        <v>16</v>
      </c>
      <c r="B2527" s="4" t="s">
        <v>7062</v>
      </c>
      <c r="C2527" s="5">
        <v>44668.0</v>
      </c>
      <c r="D2527" s="10">
        <v>44668.0</v>
      </c>
      <c r="E2527" s="4" t="s">
        <v>1686</v>
      </c>
      <c r="F2527" s="4" t="s">
        <v>7063</v>
      </c>
      <c r="G2527" s="6" t="str">
        <f>IFERROR(__xludf.DUMMYFUNCTION("REGEXREPLACE(LOWER(F2527),""[^a-z\s]"","""")"),"i am unable to cancel my automatic shipment why is it so difficult")</f>
        <v>i am unable to cancel my automatic shipment why is it so difficult</v>
      </c>
      <c r="H2527" s="4" t="str">
        <f t="shared" si="1"/>
        <v>i am unable cancel my automatic shipment why it so difficult</v>
      </c>
      <c r="I2527" s="6">
        <f t="shared" si="2"/>
        <v>11</v>
      </c>
      <c r="J2527" s="6">
        <f>IFERROR(__xludf.DUMMYFUNCTION("IF(H2527="""","""",
SUM(
ARRAYFORMULA(
IF(
REGEXMATCH(
"" ""&amp;H2527&amp;"" "",
"" ""&amp;Sentiment_Words!A$2:A3730&amp;"" ""
),
1,
0
)
)
)
)"),0.0)</f>
        <v>0</v>
      </c>
      <c r="K2527" s="4">
        <f>IFERROR(__xludf.DUMMYFUNCTION("IF(H2527="""","""",
SUM(
ARRAYFORMULA(
IF(
REGEXMATCH(
"" ""&amp;H2527&amp;"" "",
"" ""&amp;Sentiment_Words!B$2:B3730&amp;"" ""
),
1,
0
)
)
)
)"),0.0)</f>
        <v>0</v>
      </c>
      <c r="L2527" s="7" t="str">
        <f t="shared" si="3"/>
        <v>Other</v>
      </c>
      <c r="M2527" s="7" t="str">
        <f t="shared" si="4"/>
        <v>Neutral</v>
      </c>
      <c r="N2527" s="7" t="str">
        <f>IFERROR(__xludf.DUMMYFUNCTION("LOWER(
TRIM(
REGEXREPLACE(B2527,""[^a-zA-Z\s]"","""")
)
)
"),"charles macdonald")</f>
        <v>charles macdonald</v>
      </c>
      <c r="O2527" s="7">
        <f t="shared" si="5"/>
        <v>1</v>
      </c>
      <c r="P2527" s="8" t="str">
        <f t="shared" si="6"/>
        <v>No</v>
      </c>
    </row>
    <row r="2528">
      <c r="A2528" s="4" t="s">
        <v>16</v>
      </c>
      <c r="B2528" s="4" t="s">
        <v>7064</v>
      </c>
      <c r="C2528" s="5">
        <v>44668.0</v>
      </c>
      <c r="D2528" s="10">
        <v>44668.0</v>
      </c>
      <c r="E2528" s="4" t="s">
        <v>7065</v>
      </c>
      <c r="F2528" s="4" t="s">
        <v>7066</v>
      </c>
      <c r="G2528" s="6" t="str">
        <f>IFERROR(__xludf.DUMMYFUNCTION("REGEXREPLACE(LOWER(F2528),""[^a-z\s]"","""")"),"i was able to purchase cat food here that i couldnt find anywhere else delivery was quick")</f>
        <v>i was able to purchase cat food here that i couldnt find anywhere else delivery was quick</v>
      </c>
      <c r="H2528" s="4" t="str">
        <f t="shared" si="1"/>
        <v>i was able purchase cat food here that i couldnt find anywhere else delivery was quick</v>
      </c>
      <c r="I2528" s="6">
        <f t="shared" si="2"/>
        <v>16</v>
      </c>
      <c r="J2528" s="6">
        <f>IFERROR(__xludf.DUMMYFUNCTION("IF(H2528="""","""",
SUM(
ARRAYFORMULA(
IF(
REGEXMATCH(
"" ""&amp;H2528&amp;"" "",
"" ""&amp;Sentiment_Words!A$2:A3730&amp;"" ""
),
1,
0
)
)
)
)"),1.0)</f>
        <v>1</v>
      </c>
      <c r="K2528" s="4">
        <f>IFERROR(__xludf.DUMMYFUNCTION("IF(H2528="""","""",
SUM(
ARRAYFORMULA(
IF(
REGEXMATCH(
"" ""&amp;H2528&amp;"" "",
"" ""&amp;Sentiment_Words!B$2:B3730&amp;"" ""
),
1,
0
)
)
)
)"),0.0)</f>
        <v>0</v>
      </c>
      <c r="L2528" s="7" t="str">
        <f t="shared" si="3"/>
        <v>Other</v>
      </c>
      <c r="M2528" s="7" t="str">
        <f t="shared" si="4"/>
        <v>Positive</v>
      </c>
      <c r="N2528" s="7" t="str">
        <f>IFERROR(__xludf.DUMMYFUNCTION("LOWER(
TRIM(
REGEXREPLACE(B2528,""[^a-zA-Z\s]"","""")
)
)
"),"karen riveros")</f>
        <v>karen riveros</v>
      </c>
      <c r="O2528" s="7">
        <f t="shared" si="5"/>
        <v>1</v>
      </c>
      <c r="P2528" s="8" t="str">
        <f t="shared" si="6"/>
        <v>No</v>
      </c>
    </row>
    <row r="2529">
      <c r="A2529" s="4" t="s">
        <v>16</v>
      </c>
      <c r="B2529" s="4" t="s">
        <v>7067</v>
      </c>
      <c r="C2529" s="5">
        <v>44667.0</v>
      </c>
      <c r="D2529" s="10">
        <v>44667.0</v>
      </c>
      <c r="E2529" s="4" t="s">
        <v>7068</v>
      </c>
      <c r="F2529" s="4" t="s">
        <v>7069</v>
      </c>
      <c r="G2529" s="6" t="str">
        <f>IFERROR(__xludf.DUMMYFUNCTION("REGEXREPLACE(LOWER(F2529),""[^a-z\s]"","""")"),"my order did not arrive on time and my puppy was getting low on food but their customer service was friendly and willing to do whatever to make it right i appreciate the customer service and how easy it was to connect with someone through text to explain "&amp;"the issue")</f>
        <v>my order did not arrive on time and my puppy was getting low on food but their customer service was friendly and willing to do whatever to make it right i appreciate the customer service and how easy it was to connect with someone through text to explain the issue</v>
      </c>
      <c r="H2529" s="4" t="str">
        <f t="shared" si="1"/>
        <v>my order did not arrive on time my puppy was getting low on food but their customer service was friendly willing do whatever make it right i appreciate customer service how easy it was connect with someone through text explain issue</v>
      </c>
      <c r="I2529" s="6">
        <f t="shared" si="2"/>
        <v>41</v>
      </c>
      <c r="J2529" s="6">
        <f>IFERROR(__xludf.DUMMYFUNCTION("IF(H2529="""","""",
SUM(
ARRAYFORMULA(
IF(
REGEXMATCH(
"" ""&amp;H2529&amp;"" "",
"" ""&amp;Sentiment_Words!A$2:A3730&amp;"" ""
),
1,
0
)
)
)
)"),2.0)</f>
        <v>2</v>
      </c>
      <c r="K2529" s="4">
        <f>IFERROR(__xludf.DUMMYFUNCTION("IF(H2529="""","""",
SUM(
ARRAYFORMULA(
IF(
REGEXMATCH(
"" ""&amp;H2529&amp;"" "",
"" ""&amp;Sentiment_Words!B$2:B3730&amp;"" ""
),
1,
0
)
)
)
)"),2.0)</f>
        <v>2</v>
      </c>
      <c r="L2529" s="7" t="str">
        <f t="shared" si="3"/>
        <v>Customer Support</v>
      </c>
      <c r="M2529" s="7" t="str">
        <f t="shared" si="4"/>
        <v>Neutral</v>
      </c>
      <c r="N2529" s="7" t="str">
        <f>IFERROR(__xludf.DUMMYFUNCTION("LOWER(
TRIM(
REGEXREPLACE(B2529,""[^a-zA-Z\s]"","""")
)
)
"),"susan barton")</f>
        <v>susan barton</v>
      </c>
      <c r="O2529" s="7">
        <f t="shared" si="5"/>
        <v>1</v>
      </c>
      <c r="P2529" s="8" t="str">
        <f t="shared" si="6"/>
        <v>No</v>
      </c>
    </row>
    <row r="2530">
      <c r="A2530" s="4" t="s">
        <v>16</v>
      </c>
      <c r="B2530" s="4" t="s">
        <v>7070</v>
      </c>
      <c r="C2530" s="5">
        <v>44667.0</v>
      </c>
      <c r="D2530" s="10">
        <v>44667.0</v>
      </c>
      <c r="E2530" s="4" t="s">
        <v>7071</v>
      </c>
      <c r="F2530" s="4" t="s">
        <v>7072</v>
      </c>
      <c r="G2530" s="6" t="str">
        <f>IFERROR(__xludf.DUMMYFUNCTION("REGEXREPLACE(LOWER(F2530),""[^a-z\s]"","""")"),"the canned cat food i ordered from petflow was out of stock at other major online pet supply retailers for extended periods of time this special food was less expensive at petflow and arrived quick my order was packed in a sturdy box with adequate packing"&amp;" material and the cat food was not short dated the best by dates were  years in the future thank you petflow for making your order process easy as well as providing package tracking during the shipping process")</f>
        <v>the canned cat food i ordered from petflow was out of stock at other major online pet supply retailers for extended periods of time this special food was less expensive at petflow and arrived quick my order was packed in a sturdy box with adequate packing material and the cat food was not short dated the best by dates were  years in the future thank you petflow for making your order process easy as well as providing package tracking during the shipping process</v>
      </c>
      <c r="H2530" s="4" t="str">
        <f t="shared" si="1"/>
        <v>canned cat food i ordered from petflow was out of stock at other major online pet supply retailers extended periods of time this special food was less expensive at petflow arrived quick my order was packed in a sturdy box with adequate packing material cat food was not short dated best by dates were years in future thank you petflow making your order process easy as well as providing package tracking during shipping process</v>
      </c>
      <c r="I2530" s="6">
        <f t="shared" si="2"/>
        <v>74</v>
      </c>
      <c r="J2530" s="6">
        <f>IFERROR(__xludf.DUMMYFUNCTION("IF(H2530="""","""",
SUM(
ARRAYFORMULA(
IF(
REGEXMATCH(
"" ""&amp;H2530&amp;"" "",
"" ""&amp;Sentiment_Words!A$2:A3730&amp;"" ""
),
1,
0
)
)
)
)"),1.0)</f>
        <v>1</v>
      </c>
      <c r="K2530" s="4">
        <f>IFERROR(__xludf.DUMMYFUNCTION("IF(H2530="""","""",
SUM(
ARRAYFORMULA(
IF(
REGEXMATCH(
"" ""&amp;H2530&amp;"" "",
"" ""&amp;Sentiment_Words!B$2:B3730&amp;"" ""
),
1,
0
)
)
)
)"),1.0)</f>
        <v>1</v>
      </c>
      <c r="L2530" s="7" t="str">
        <f t="shared" si="3"/>
        <v>Availability</v>
      </c>
      <c r="M2530" s="7" t="str">
        <f t="shared" si="4"/>
        <v>Neutral</v>
      </c>
      <c r="N2530" s="7" t="str">
        <f>IFERROR(__xludf.DUMMYFUNCTION("LOWER(
TRIM(
REGEXREPLACE(B2530,""[^a-zA-Z\s]"","""")
)
)
"),"a customer")</f>
        <v>a customer</v>
      </c>
      <c r="O2530" s="7">
        <f t="shared" si="5"/>
        <v>1</v>
      </c>
      <c r="P2530" s="8" t="str">
        <f t="shared" si="6"/>
        <v>No</v>
      </c>
    </row>
    <row r="2531">
      <c r="A2531" s="4" t="s">
        <v>16</v>
      </c>
      <c r="B2531" s="4" t="s">
        <v>7073</v>
      </c>
      <c r="C2531" s="5">
        <v>44667.0</v>
      </c>
      <c r="D2531" s="10">
        <v>44667.0</v>
      </c>
      <c r="E2531" s="4" t="s">
        <v>7074</v>
      </c>
      <c r="F2531" s="4" t="s">
        <v>7075</v>
      </c>
      <c r="G2531" s="6" t="str">
        <f>IFERROR(__xludf.DUMMYFUNCTION("REGEXREPLACE(LOWER(F2531),""[^a-z\s]"","""")"),"i have been trusting my pets needs to petflow for several years now my food is on auto delivery and can be changed as needed with no problems the customer service has been excellent i have had a small issue here and there and they take care of it right aw"&amp;"ay i also use petflow to send gifts to other dog owners i highly recommend this company great prices too")</f>
        <v>i have been trusting my pets needs to petflow for several years now my food is on auto delivery and can be changed as needed with no problems the customer service has been excellent i have had a small issue here and there and they take care of it right away i also use petflow to send gifts to other dog owners i highly recommend this company great prices too</v>
      </c>
      <c r="H2531" s="4" t="str">
        <f t="shared" si="1"/>
        <v>i have been trusting my pets needs petflow several years now my food on auto delivery can be changed as needed with no problems customer service has been excellent i have had a small issue here there they take care of it right away i also use petflow send gifts other dog owners i highly recommend this company great prices too</v>
      </c>
      <c r="I2531" s="6">
        <f t="shared" si="2"/>
        <v>61</v>
      </c>
      <c r="J2531" s="6">
        <f>IFERROR(__xludf.DUMMYFUNCTION("IF(H2531="""","""",
SUM(
ARRAYFORMULA(
IF(
REGEXMATCH(
"" ""&amp;H2531&amp;"" "",
"" ""&amp;Sentiment_Words!A$2:A3730&amp;"" ""
),
1,
0
)
)
)
)"),2.0)</f>
        <v>2</v>
      </c>
      <c r="K2531" s="4">
        <f>IFERROR(__xludf.DUMMYFUNCTION("IF(H2531="""","""",
SUM(
ARRAYFORMULA(
IF(
REGEXMATCH(
"" ""&amp;H2531&amp;"" "",
"" ""&amp;Sentiment_Words!B$2:B3730&amp;"" ""
),
1,
0
)
)
)
)"),2.0)</f>
        <v>2</v>
      </c>
      <c r="L2531" s="7" t="str">
        <f t="shared" si="3"/>
        <v>Customer Support</v>
      </c>
      <c r="M2531" s="7" t="str">
        <f t="shared" si="4"/>
        <v>Neutral</v>
      </c>
      <c r="N2531" s="7" t="str">
        <f>IFERROR(__xludf.DUMMYFUNCTION("LOWER(
TRIM(
REGEXREPLACE(B2531,""[^a-zA-Z\s]"","""")
)
)
"),"yvonne")</f>
        <v>yvonne</v>
      </c>
      <c r="O2531" s="7">
        <f t="shared" si="5"/>
        <v>1</v>
      </c>
      <c r="P2531" s="8" t="str">
        <f t="shared" si="6"/>
        <v>No</v>
      </c>
    </row>
    <row r="2532">
      <c r="A2532" s="4" t="s">
        <v>16</v>
      </c>
      <c r="B2532" s="4" t="s">
        <v>7076</v>
      </c>
      <c r="C2532" s="5">
        <v>44667.0</v>
      </c>
      <c r="D2532" s="10">
        <v>44667.0</v>
      </c>
      <c r="E2532" s="4" t="s">
        <v>7077</v>
      </c>
      <c r="F2532" s="4" t="s">
        <v>7078</v>
      </c>
      <c r="G2532" s="6" t="str">
        <f>IFERROR(__xludf.DUMMYFUNCTION("REGEXREPLACE(LOWER(F2532),""[^a-z\s]"","""")"),"right in time delivery fresh food my gsp thanks yall")</f>
        <v>right in time delivery fresh food my gsp thanks yall</v>
      </c>
      <c r="H2532" s="4" t="str">
        <f t="shared" si="1"/>
        <v>right in time delivery fresh food my gsp thanks yall</v>
      </c>
      <c r="I2532" s="6">
        <f t="shared" si="2"/>
        <v>10</v>
      </c>
      <c r="J2532" s="6">
        <f>IFERROR(__xludf.DUMMYFUNCTION("IF(H2532="""","""",
SUM(
ARRAYFORMULA(
IF(
REGEXMATCH(
"" ""&amp;H2532&amp;"" "",
"" ""&amp;Sentiment_Words!A$2:A3730&amp;"" ""
),
1,
0
)
)
)
)"),0.0)</f>
        <v>0</v>
      </c>
      <c r="K2532" s="4">
        <f>IFERROR(__xludf.DUMMYFUNCTION("IF(H2532="""","""",
SUM(
ARRAYFORMULA(
IF(
REGEXMATCH(
"" ""&amp;H2532&amp;"" "",
"" ""&amp;Sentiment_Words!B$2:B3730&amp;"" ""
),
1,
0
)
)
)
)"),0.0)</f>
        <v>0</v>
      </c>
      <c r="L2532" s="7" t="str">
        <f t="shared" si="3"/>
        <v>Other</v>
      </c>
      <c r="M2532" s="7" t="str">
        <f t="shared" si="4"/>
        <v>Neutral</v>
      </c>
      <c r="N2532" s="7" t="str">
        <f>IFERROR(__xludf.DUMMYFUNCTION("LOWER(
TRIM(
REGEXREPLACE(B2532,""[^a-zA-Z\s]"","""")
)
)
"),"barbara granger")</f>
        <v>barbara granger</v>
      </c>
      <c r="O2532" s="7">
        <f t="shared" si="5"/>
        <v>1</v>
      </c>
      <c r="P2532" s="8" t="str">
        <f t="shared" si="6"/>
        <v>No</v>
      </c>
    </row>
    <row r="2533">
      <c r="A2533" s="4" t="s">
        <v>16</v>
      </c>
      <c r="B2533" s="4" t="s">
        <v>4404</v>
      </c>
      <c r="C2533" s="5">
        <v>44667.0</v>
      </c>
      <c r="D2533" s="10">
        <v>44667.0</v>
      </c>
      <c r="E2533" s="4" t="s">
        <v>7079</v>
      </c>
      <c r="F2533" s="4" t="s">
        <v>7080</v>
      </c>
      <c r="G2533" s="6" t="str">
        <f>IFERROR(__xludf.DUMMYFUNCTION("REGEXREPLACE(LOWER(F2533),""[^a-z\s]"","""")"),"good company to deal with")</f>
        <v>good company to deal with</v>
      </c>
      <c r="H2533" s="4" t="str">
        <f t="shared" si="1"/>
        <v>good company deal with</v>
      </c>
      <c r="I2533" s="6">
        <f t="shared" si="2"/>
        <v>4</v>
      </c>
      <c r="J2533" s="6">
        <f>IFERROR(__xludf.DUMMYFUNCTION("IF(H2533="""","""",
SUM(
ARRAYFORMULA(
IF(
REGEXMATCH(
"" ""&amp;H2533&amp;"" "",
"" ""&amp;Sentiment_Words!A$2:A3730&amp;"" ""
),
1,
0
)
)
)
)"),1.0)</f>
        <v>1</v>
      </c>
      <c r="K2533" s="4">
        <f>IFERROR(__xludf.DUMMYFUNCTION("IF(H2533="""","""",
SUM(
ARRAYFORMULA(
IF(
REGEXMATCH(
"" ""&amp;H2533&amp;"" "",
"" ""&amp;Sentiment_Words!B$2:B3730&amp;"" ""
),
1,
0
)
)
)
)"),0.0)</f>
        <v>0</v>
      </c>
      <c r="L2533" s="7" t="str">
        <f t="shared" si="3"/>
        <v>Other</v>
      </c>
      <c r="M2533" s="7" t="str">
        <f t="shared" si="4"/>
        <v>Positive</v>
      </c>
      <c r="N2533" s="7" t="str">
        <f>IFERROR(__xludf.DUMMYFUNCTION("LOWER(
TRIM(
REGEXREPLACE(B2533,""[^a-zA-Z\s]"","""")
)
)
"),"eric")</f>
        <v>eric</v>
      </c>
      <c r="O2533" s="7">
        <f t="shared" si="5"/>
        <v>2</v>
      </c>
      <c r="P2533" s="8" t="str">
        <f t="shared" si="6"/>
        <v>Yes</v>
      </c>
    </row>
    <row r="2534">
      <c r="A2534" s="4" t="s">
        <v>16</v>
      </c>
      <c r="B2534" s="4" t="s">
        <v>7081</v>
      </c>
      <c r="C2534" s="5">
        <v>44667.0</v>
      </c>
      <c r="D2534" s="10">
        <v>44667.0</v>
      </c>
      <c r="E2534" s="4" t="s">
        <v>773</v>
      </c>
      <c r="F2534" s="4" t="s">
        <v>7082</v>
      </c>
      <c r="G2534" s="6" t="str">
        <f>IFERROR(__xludf.DUMMYFUNCTION("REGEXREPLACE(LOWER(F2534),""[^a-z\s]"","""")"),"great user friendly site delivery has been fairly quick too i appreciate the auto order program")</f>
        <v>great user friendly site delivery has been fairly quick too i appreciate the auto order program</v>
      </c>
      <c r="H2534" s="4" t="str">
        <f t="shared" si="1"/>
        <v>great user friendly site delivery has been fairly quick too i appreciate auto order program</v>
      </c>
      <c r="I2534" s="6">
        <f t="shared" si="2"/>
        <v>15</v>
      </c>
      <c r="J2534" s="6">
        <f>IFERROR(__xludf.DUMMYFUNCTION("IF(H2534="""","""",
SUM(
ARRAYFORMULA(
IF(
REGEXMATCH(
"" ""&amp;H2534&amp;"" "",
"" ""&amp;Sentiment_Words!A$2:A3730&amp;"" ""
),
1,
0
)
)
)
)"),1.0)</f>
        <v>1</v>
      </c>
      <c r="K2534" s="4">
        <f>IFERROR(__xludf.DUMMYFUNCTION("IF(H2534="""","""",
SUM(
ARRAYFORMULA(
IF(
REGEXMATCH(
"" ""&amp;H2534&amp;"" "",
"" ""&amp;Sentiment_Words!B$2:B3730&amp;"" ""
),
1,
0
)
)
)
)"),0.0)</f>
        <v>0</v>
      </c>
      <c r="L2534" s="7" t="str">
        <f t="shared" si="3"/>
        <v>Other</v>
      </c>
      <c r="M2534" s="7" t="str">
        <f t="shared" si="4"/>
        <v>Positive</v>
      </c>
      <c r="N2534" s="7" t="str">
        <f>IFERROR(__xludf.DUMMYFUNCTION("LOWER(
TRIM(
REGEXREPLACE(B2534,""[^a-zA-Z\s]"","""")
)
)
"),"victoria")</f>
        <v>victoria</v>
      </c>
      <c r="O2534" s="7">
        <f t="shared" si="5"/>
        <v>3</v>
      </c>
      <c r="P2534" s="8" t="str">
        <f t="shared" si="6"/>
        <v>Yes</v>
      </c>
    </row>
    <row r="2535">
      <c r="A2535" s="4" t="s">
        <v>16</v>
      </c>
      <c r="B2535" s="4" t="s">
        <v>4282</v>
      </c>
      <c r="C2535" s="5">
        <v>44667.0</v>
      </c>
      <c r="D2535" s="10">
        <v>44667.0</v>
      </c>
      <c r="E2535" s="4" t="s">
        <v>7083</v>
      </c>
      <c r="F2535" s="4" t="s">
        <v>7084</v>
      </c>
      <c r="G2535" s="6" t="str">
        <f>IFERROR(__xludf.DUMMYFUNCTION("REGEXREPLACE(LOWER(F2535),""[^a-z\s]"","""")"),"i placed my order for my dogs kibble it arrived in  days amazing so happy with petflow")</f>
        <v>i placed my order for my dogs kibble it arrived in  days amazing so happy with petflow</v>
      </c>
      <c r="H2535" s="4" t="str">
        <f t="shared" si="1"/>
        <v>i placed my order my dogs kibble it arrived in days amazing so happy with petflow</v>
      </c>
      <c r="I2535" s="6">
        <f t="shared" si="2"/>
        <v>16</v>
      </c>
      <c r="J2535" s="6">
        <f>IFERROR(__xludf.DUMMYFUNCTION("IF(H2535="""","""",
SUM(
ARRAYFORMULA(
IF(
REGEXMATCH(
"" ""&amp;H2535&amp;"" "",
"" ""&amp;Sentiment_Words!A$2:A3730&amp;"" ""
),
1,
0
)
)
)
)"),1.0)</f>
        <v>1</v>
      </c>
      <c r="K2535" s="4">
        <f>IFERROR(__xludf.DUMMYFUNCTION("IF(H2535="""","""",
SUM(
ARRAYFORMULA(
IF(
REGEXMATCH(
"" ""&amp;H2535&amp;"" "",
"" ""&amp;Sentiment_Words!B$2:B3730&amp;"" ""
),
1,
0
)
)
)
)"),0.0)</f>
        <v>0</v>
      </c>
      <c r="L2535" s="7" t="str">
        <f t="shared" si="3"/>
        <v>Other</v>
      </c>
      <c r="M2535" s="7" t="str">
        <f t="shared" si="4"/>
        <v>Positive</v>
      </c>
      <c r="N2535" s="7" t="str">
        <f>IFERROR(__xludf.DUMMYFUNCTION("LOWER(
TRIM(
REGEXREPLACE(B2535,""[^a-zA-Z\s]"","""")
)
)
"),"laura")</f>
        <v>laura</v>
      </c>
      <c r="O2535" s="7">
        <f t="shared" si="5"/>
        <v>3</v>
      </c>
      <c r="P2535" s="8" t="str">
        <f t="shared" si="6"/>
        <v>Yes</v>
      </c>
    </row>
    <row r="2536">
      <c r="A2536" s="4" t="s">
        <v>16</v>
      </c>
      <c r="B2536" s="4" t="s">
        <v>7085</v>
      </c>
      <c r="C2536" s="5">
        <v>44667.0</v>
      </c>
      <c r="D2536" s="10">
        <v>44667.0</v>
      </c>
      <c r="E2536" s="4" t="s">
        <v>7086</v>
      </c>
      <c r="F2536" s="4" t="s">
        <v>7087</v>
      </c>
      <c r="G2536" s="6" t="str">
        <f>IFERROR(__xludf.DUMMYFUNCTION("REGEXREPLACE(LOWER(F2536),""[^a-z\s]"","""")"),"petflow makes it easy to use their autoship easily change the datesthey let you know when its getting ready so you can speed it up or slow it down and the dog food prices are very competitive plus its delivered to my door")</f>
        <v>petflow makes it easy to use their autoship easily change the datesthey let you know when its getting ready so you can speed it up or slow it down and the dog food prices are very competitive plus its delivered to my door</v>
      </c>
      <c r="H2536" s="4" t="str">
        <f t="shared" si="1"/>
        <v>petflow makes it easy use their autoship easily change datesthey let you know when its getting ready so you can speed it up or slow it down dog food prices are very competitive plus its delivered my door</v>
      </c>
      <c r="I2536" s="6">
        <f t="shared" si="2"/>
        <v>38</v>
      </c>
      <c r="J2536" s="6">
        <f>IFERROR(__xludf.DUMMYFUNCTION("IF(H2536="""","""",
SUM(
ARRAYFORMULA(
IF(
REGEXMATCH(
"" ""&amp;H2536&amp;"" "",
"" ""&amp;Sentiment_Words!A$2:A3730&amp;"" ""
),
1,
0
)
)
)
)"),2.0)</f>
        <v>2</v>
      </c>
      <c r="K2536" s="4">
        <f>IFERROR(__xludf.DUMMYFUNCTION("IF(H2536="""","""",
SUM(
ARRAYFORMULA(
IF(
REGEXMATCH(
"" ""&amp;H2536&amp;"" "",
"" ""&amp;Sentiment_Words!B$2:B3730&amp;"" ""
),
1,
0
)
)
)
)"),0.0)</f>
        <v>0</v>
      </c>
      <c r="L2536" s="7" t="str">
        <f t="shared" si="3"/>
        <v>Other</v>
      </c>
      <c r="M2536" s="7" t="str">
        <f t="shared" si="4"/>
        <v>Positive</v>
      </c>
      <c r="N2536" s="7" t="str">
        <f>IFERROR(__xludf.DUMMYFUNCTION("LOWER(
TRIM(
REGEXREPLACE(B2536,""[^a-zA-Z\s]"","""")
)
)
"),"tamyie wilson")</f>
        <v>tamyie wilson</v>
      </c>
      <c r="O2536" s="7">
        <f t="shared" si="5"/>
        <v>1</v>
      </c>
      <c r="P2536" s="8" t="str">
        <f t="shared" si="6"/>
        <v>No</v>
      </c>
    </row>
    <row r="2537">
      <c r="A2537" s="4" t="s">
        <v>16</v>
      </c>
      <c r="B2537" s="4" t="s">
        <v>6042</v>
      </c>
      <c r="C2537" s="5">
        <v>44667.0</v>
      </c>
      <c r="D2537" s="10">
        <v>44667.0</v>
      </c>
      <c r="E2537" s="4" t="s">
        <v>7088</v>
      </c>
      <c r="F2537" s="4" t="s">
        <v>331</v>
      </c>
      <c r="G2537" s="6" t="str">
        <f>IFERROR(__xludf.DUMMYFUNCTION("REGEXREPLACE(LOWER(F2537),""[^a-z\s]"","""")"),"none")</f>
        <v>none</v>
      </c>
      <c r="H2537" s="4" t="str">
        <f t="shared" si="1"/>
        <v>none</v>
      </c>
      <c r="I2537" s="6">
        <f t="shared" si="2"/>
        <v>1</v>
      </c>
      <c r="J2537" s="6">
        <f>IFERROR(__xludf.DUMMYFUNCTION("IF(H2537="""","""",
SUM(
ARRAYFORMULA(
IF(
REGEXMATCH(
"" ""&amp;H2537&amp;"" "",
"" ""&amp;Sentiment_Words!A$2:A3730&amp;"" ""
),
1,
0
)
)
)
)"),0.0)</f>
        <v>0</v>
      </c>
      <c r="K2537" s="4">
        <f>IFERROR(__xludf.DUMMYFUNCTION("IF(H2537="""","""",
SUM(
ARRAYFORMULA(
IF(
REGEXMATCH(
"" ""&amp;H2537&amp;"" "",
"" ""&amp;Sentiment_Words!B$2:B3730&amp;"" ""
),
1,
0
)
)
)
)"),0.0)</f>
        <v>0</v>
      </c>
      <c r="L2537" s="7" t="str">
        <f t="shared" si="3"/>
        <v>Other</v>
      </c>
      <c r="M2537" s="7" t="str">
        <f t="shared" si="4"/>
        <v>Neutral</v>
      </c>
      <c r="N2537" s="7" t="str">
        <f>IFERROR(__xludf.DUMMYFUNCTION("LOWER(
TRIM(
REGEXREPLACE(B2537,""[^a-zA-Z\s]"","""")
)
)
"),"robert")</f>
        <v>robert</v>
      </c>
      <c r="O2537" s="7">
        <f t="shared" si="5"/>
        <v>5</v>
      </c>
      <c r="P2537" s="8" t="str">
        <f t="shared" si="6"/>
        <v>Yes</v>
      </c>
    </row>
    <row r="2538">
      <c r="A2538" s="4" t="s">
        <v>16</v>
      </c>
      <c r="B2538" s="4" t="s">
        <v>7089</v>
      </c>
      <c r="C2538" s="5">
        <v>44666.0</v>
      </c>
      <c r="D2538" s="10">
        <v>44667.0</v>
      </c>
      <c r="E2538" s="4" t="s">
        <v>1319</v>
      </c>
      <c r="F2538" s="4" t="s">
        <v>7090</v>
      </c>
      <c r="G2538" s="6" t="str">
        <f>IFERROR(__xludf.DUMMYFUNCTION("REGEXREPLACE(LOWER(F2538),""[^a-z\s]"","""")"),"excellent service quick delivery")</f>
        <v>excellent service quick delivery</v>
      </c>
      <c r="H2538" s="4" t="str">
        <f t="shared" si="1"/>
        <v>excellent service quick delivery</v>
      </c>
      <c r="I2538" s="6">
        <f t="shared" si="2"/>
        <v>4</v>
      </c>
      <c r="J2538" s="6">
        <f>IFERROR(__xludf.DUMMYFUNCTION("IF(H2538="""","""",
SUM(
ARRAYFORMULA(
IF(
REGEXMATCH(
"" ""&amp;H2538&amp;"" "",
"" ""&amp;Sentiment_Words!A$2:A3730&amp;"" ""
),
1,
0
)
)
)
)"),1.0)</f>
        <v>1</v>
      </c>
      <c r="K2538" s="4">
        <f>IFERROR(__xludf.DUMMYFUNCTION("IF(H2538="""","""",
SUM(
ARRAYFORMULA(
IF(
REGEXMATCH(
"" ""&amp;H2538&amp;"" "",
"" ""&amp;Sentiment_Words!B$2:B3730&amp;"" ""
),
1,
0
)
)
)
)"),0.0)</f>
        <v>0</v>
      </c>
      <c r="L2538" s="7" t="str">
        <f t="shared" si="3"/>
        <v>Customer Support</v>
      </c>
      <c r="M2538" s="7" t="str">
        <f t="shared" si="4"/>
        <v>Positive</v>
      </c>
      <c r="N2538" s="7" t="str">
        <f>IFERROR(__xludf.DUMMYFUNCTION("LOWER(
TRIM(
REGEXREPLACE(B2538,""[^a-zA-Z\s]"","""")
)
)
"),"ian sealey")</f>
        <v>ian sealey</v>
      </c>
      <c r="O2538" s="7">
        <f t="shared" si="5"/>
        <v>1</v>
      </c>
      <c r="P2538" s="8" t="str">
        <f t="shared" si="6"/>
        <v>No</v>
      </c>
    </row>
    <row r="2539">
      <c r="A2539" s="4" t="s">
        <v>16</v>
      </c>
      <c r="B2539" s="4" t="s">
        <v>7091</v>
      </c>
      <c r="C2539" s="5">
        <v>44666.0</v>
      </c>
      <c r="D2539" s="10">
        <v>44666.0</v>
      </c>
      <c r="E2539" s="4" t="s">
        <v>7092</v>
      </c>
      <c r="F2539" s="4" t="s">
        <v>7093</v>
      </c>
      <c r="G2539" s="6" t="str">
        <f>IFERROR(__xludf.DUMMYFUNCTION("REGEXREPLACE(LOWER(F2539),""[^a-z\s]"","""")"),"i received the wrong size canned dog food they could not help")</f>
        <v>i received the wrong size canned dog food they could not help</v>
      </c>
      <c r="H2539" s="4" t="str">
        <f t="shared" si="1"/>
        <v>i received wrong size canned dog food they could not help</v>
      </c>
      <c r="I2539" s="6">
        <f t="shared" si="2"/>
        <v>11</v>
      </c>
      <c r="J2539" s="6">
        <f>IFERROR(__xludf.DUMMYFUNCTION("IF(H2539="""","""",
SUM(
ARRAYFORMULA(
IF(
REGEXMATCH(
"" ""&amp;H2539&amp;"" "",
"" ""&amp;Sentiment_Words!A$2:A3730&amp;"" ""
),
1,
0
)
)
)
)"),0.0)</f>
        <v>0</v>
      </c>
      <c r="K2539" s="4">
        <f>IFERROR(__xludf.DUMMYFUNCTION("IF(H2539="""","""",
SUM(
ARRAYFORMULA(
IF(
REGEXMATCH(
"" ""&amp;H2539&amp;"" "",
"" ""&amp;Sentiment_Words!B$2:B3730&amp;"" ""
),
1,
0
)
)
)
)"),1.0)</f>
        <v>1</v>
      </c>
      <c r="L2539" s="7" t="str">
        <f t="shared" si="3"/>
        <v>Fulfillment &amp; Shipping</v>
      </c>
      <c r="M2539" s="7" t="str">
        <f t="shared" si="4"/>
        <v>Negative</v>
      </c>
      <c r="N2539" s="7" t="str">
        <f>IFERROR(__xludf.DUMMYFUNCTION("LOWER(
TRIM(
REGEXREPLACE(B2539,""[^a-zA-Z\s]"","""")
)
)
"),"nancy mcdonald")</f>
        <v>nancy mcdonald</v>
      </c>
      <c r="O2539" s="7">
        <f t="shared" si="5"/>
        <v>1</v>
      </c>
      <c r="P2539" s="8" t="str">
        <f t="shared" si="6"/>
        <v>No</v>
      </c>
    </row>
    <row r="2540">
      <c r="A2540" s="4" t="s">
        <v>16</v>
      </c>
      <c r="B2540" s="4" t="s">
        <v>7094</v>
      </c>
      <c r="C2540" s="5">
        <v>44666.0</v>
      </c>
      <c r="D2540" s="10">
        <v>44666.0</v>
      </c>
      <c r="E2540" s="4" t="s">
        <v>7095</v>
      </c>
      <c r="F2540" s="4" t="s">
        <v>7096</v>
      </c>
      <c r="G2540" s="6" t="str">
        <f>IFERROR(__xludf.DUMMYFUNCTION("REGEXREPLACE(LOWER(F2540),""[^a-z\s]"","""")"),"do not buy first order wrong canned food then didnt have inventory to send correct food with no time line then requested refund after i returned wrong food next day to them and still one week later no refund")</f>
        <v>do not buy first order wrong canned food then didnt have inventory to send correct food with no time line then requested refund after i returned wrong food next day to them and still one week later no refund</v>
      </c>
      <c r="H2540" s="4" t="str">
        <f t="shared" si="1"/>
        <v>do not buy first order wrong canned food then didnt have inventory send correct food with no time line then requested refund after i returned wrong food next day them still one week later no refund</v>
      </c>
      <c r="I2540" s="6">
        <f t="shared" si="2"/>
        <v>36</v>
      </c>
      <c r="J2540" s="6">
        <f>IFERROR(__xludf.DUMMYFUNCTION("IF(H2540="""","""",
SUM(
ARRAYFORMULA(
IF(
REGEXMATCH(
"" ""&amp;H2540&amp;"" "",
"" ""&amp;Sentiment_Words!A$2:A3730&amp;"" ""
),
1,
0
)
)
)
)"),0.0)</f>
        <v>0</v>
      </c>
      <c r="K2540" s="4">
        <f>IFERROR(__xludf.DUMMYFUNCTION("IF(H2540="""","""",
SUM(
ARRAYFORMULA(
IF(
REGEXMATCH(
"" ""&amp;H2540&amp;"" "",
"" ""&amp;Sentiment_Words!B$2:B3730&amp;"" ""
),
1,
0
)
)
)
)"),3.0)</f>
        <v>3</v>
      </c>
      <c r="L2540" s="7" t="str">
        <f t="shared" si="3"/>
        <v>Fulfillment &amp; Shipping</v>
      </c>
      <c r="M2540" s="7" t="str">
        <f t="shared" si="4"/>
        <v>Negative</v>
      </c>
      <c r="N2540" s="7" t="str">
        <f>IFERROR(__xludf.DUMMYFUNCTION("LOWER(
TRIM(
REGEXREPLACE(B2540,""[^a-zA-Z\s]"","""")
)
)
"),"deborah nutting")</f>
        <v>deborah nutting</v>
      </c>
      <c r="O2540" s="7">
        <f t="shared" si="5"/>
        <v>1</v>
      </c>
      <c r="P2540" s="8" t="str">
        <f t="shared" si="6"/>
        <v>No</v>
      </c>
    </row>
    <row r="2541">
      <c r="A2541" s="4" t="s">
        <v>16</v>
      </c>
      <c r="B2541" s="4" t="s">
        <v>7097</v>
      </c>
      <c r="C2541" s="5">
        <v>44666.0</v>
      </c>
      <c r="D2541" s="10">
        <v>44666.0</v>
      </c>
      <c r="E2541" s="4" t="s">
        <v>7098</v>
      </c>
      <c r="F2541" s="4" t="s">
        <v>7099</v>
      </c>
      <c r="G2541" s="6" t="str">
        <f>IFERROR(__xludf.DUMMYFUNCTION("REGEXREPLACE(LOWER(F2541),""[^a-z\s]"","""")"),"quick and efficient delivery of prescription dog food that was out of stock at other online retailers petflow contacted my veterinarian right away for approval after i placed my order very happy with the customer service")</f>
        <v>quick and efficient delivery of prescription dog food that was out of stock at other online retailers petflow contacted my veterinarian right away for approval after i placed my order very happy with the customer service</v>
      </c>
      <c r="H2541" s="4" t="str">
        <f t="shared" si="1"/>
        <v>quick efficient delivery of prescription dog food that was out of stock at other online retailers petflow contacted my veterinarian right away approval after i placed my order very happy with customer service</v>
      </c>
      <c r="I2541" s="6">
        <f t="shared" si="2"/>
        <v>33</v>
      </c>
      <c r="J2541" s="6">
        <f>IFERROR(__xludf.DUMMYFUNCTION("IF(H2541="""","""",
SUM(
ARRAYFORMULA(
IF(
REGEXMATCH(
"" ""&amp;H2541&amp;"" "",
"" ""&amp;Sentiment_Words!A$2:A3730&amp;"" ""
),
1,
0
)
)
)
)"),2.0)</f>
        <v>2</v>
      </c>
      <c r="K2541" s="4">
        <f>IFERROR(__xludf.DUMMYFUNCTION("IF(H2541="""","""",
SUM(
ARRAYFORMULA(
IF(
REGEXMATCH(
"" ""&amp;H2541&amp;"" "",
"" ""&amp;Sentiment_Words!B$2:B3730&amp;"" ""
),
1,
0
)
)
)
)"),2.0)</f>
        <v>2</v>
      </c>
      <c r="L2541" s="7" t="str">
        <f t="shared" si="3"/>
        <v>Customer Support</v>
      </c>
      <c r="M2541" s="7" t="str">
        <f t="shared" si="4"/>
        <v>Neutral</v>
      </c>
      <c r="N2541" s="7" t="str">
        <f>IFERROR(__xludf.DUMMYFUNCTION("LOWER(
TRIM(
REGEXREPLACE(B2541,""[^a-zA-Z\s]"","""")
)
)
"),"nuni")</f>
        <v>nuni</v>
      </c>
      <c r="O2541" s="7">
        <f t="shared" si="5"/>
        <v>1</v>
      </c>
      <c r="P2541" s="8" t="str">
        <f t="shared" si="6"/>
        <v>No</v>
      </c>
    </row>
    <row r="2542">
      <c r="A2542" s="4" t="s">
        <v>16</v>
      </c>
      <c r="B2542" s="4" t="s">
        <v>7100</v>
      </c>
      <c r="C2542" s="5">
        <v>44666.0</v>
      </c>
      <c r="D2542" s="10">
        <v>44666.0</v>
      </c>
      <c r="E2542" s="4" t="s">
        <v>7101</v>
      </c>
      <c r="F2542" s="4" t="s">
        <v>7102</v>
      </c>
      <c r="G2542" s="6" t="str">
        <f>IFERROR(__xludf.DUMMYFUNCTION("REGEXREPLACE(LOWER(F2542),""[^a-z\s]"","""")"),"excellent customer service and lightning fast shipping the fromms crunchy os are my dogs favorite treats and i couldnt locate them while traveling on our rv i found petflow and stocked up")</f>
        <v>excellent customer service and lightning fast shipping the fromms crunchy os are my dogs favorite treats and i couldnt locate them while traveling on our rv i found petflow and stocked up</v>
      </c>
      <c r="H2542" s="4" t="str">
        <f t="shared" si="1"/>
        <v>excellent customer service lightning fast shipping fromms crunchy os are my dogs favorite treats i couldnt locate them while traveling on our rv i found petflow stocked up</v>
      </c>
      <c r="I2542" s="6">
        <f t="shared" si="2"/>
        <v>28</v>
      </c>
      <c r="J2542" s="6">
        <f>IFERROR(__xludf.DUMMYFUNCTION("IF(H2542="""","""",
SUM(
ARRAYFORMULA(
IF(
REGEXMATCH(
"" ""&amp;H2542&amp;"" "",
"" ""&amp;Sentiment_Words!A$2:A3730&amp;"" ""
),
1,
0
)
)
)
)"),2.0)</f>
        <v>2</v>
      </c>
      <c r="K2542" s="4">
        <f>IFERROR(__xludf.DUMMYFUNCTION("IF(H2542="""","""",
SUM(
ARRAYFORMULA(
IF(
REGEXMATCH(
"" ""&amp;H2542&amp;"" "",
"" ""&amp;Sentiment_Words!B$2:B3730&amp;"" ""
),
1,
0
)
)
)
)"),1.0)</f>
        <v>1</v>
      </c>
      <c r="L2542" s="7" t="str">
        <f t="shared" si="3"/>
        <v>Customer Support</v>
      </c>
      <c r="M2542" s="7" t="str">
        <f t="shared" si="4"/>
        <v>Positive</v>
      </c>
      <c r="N2542" s="7" t="str">
        <f>IFERROR(__xludf.DUMMYFUNCTION("LOWER(
TRIM(
REGEXREPLACE(B2542,""[^a-zA-Z\s]"","""")
)
)
"),"amy james")</f>
        <v>amy james</v>
      </c>
      <c r="O2542" s="7">
        <f t="shared" si="5"/>
        <v>1</v>
      </c>
      <c r="P2542" s="8" t="str">
        <f t="shared" si="6"/>
        <v>No</v>
      </c>
    </row>
    <row r="2543">
      <c r="A2543" s="4" t="s">
        <v>16</v>
      </c>
      <c r="B2543" s="4" t="s">
        <v>7103</v>
      </c>
      <c r="C2543" s="5">
        <v>44666.0</v>
      </c>
      <c r="D2543" s="10">
        <v>44666.0</v>
      </c>
      <c r="E2543" s="4" t="s">
        <v>626</v>
      </c>
      <c r="F2543" s="4" t="s">
        <v>7104</v>
      </c>
      <c r="G2543" s="6" t="str">
        <f>IFERROR(__xludf.DUMMYFUNCTION("REGEXREPLACE(LOWER(F2543),""[^a-z\s]"","""")"),"excellent customer service and amazing shipping thanks for making it so easy to order")</f>
        <v>excellent customer service and amazing shipping thanks for making it so easy to order</v>
      </c>
      <c r="H2543" s="4" t="str">
        <f t="shared" si="1"/>
        <v>excellent customer service amazing shipping thanks making it so easy order</v>
      </c>
      <c r="I2543" s="6">
        <f t="shared" si="2"/>
        <v>11</v>
      </c>
      <c r="J2543" s="6">
        <f>IFERROR(__xludf.DUMMYFUNCTION("IF(H2543="""","""",
SUM(
ARRAYFORMULA(
IF(
REGEXMATCH(
"" ""&amp;H2543&amp;"" "",
"" ""&amp;Sentiment_Words!A$2:A3730&amp;"" ""
),
1,
0
)
)
)
)"),1.0)</f>
        <v>1</v>
      </c>
      <c r="K2543" s="4">
        <f>IFERROR(__xludf.DUMMYFUNCTION("IF(H2543="""","""",
SUM(
ARRAYFORMULA(
IF(
REGEXMATCH(
"" ""&amp;H2543&amp;"" "",
"" ""&amp;Sentiment_Words!B$2:B3730&amp;"" ""
),
1,
0
)
)
)
)"),1.0)</f>
        <v>1</v>
      </c>
      <c r="L2543" s="7" t="str">
        <f t="shared" si="3"/>
        <v>Customer Support</v>
      </c>
      <c r="M2543" s="7" t="str">
        <f t="shared" si="4"/>
        <v>Neutral</v>
      </c>
      <c r="N2543" s="7" t="str">
        <f>IFERROR(__xludf.DUMMYFUNCTION("LOWER(
TRIM(
REGEXREPLACE(B2543,""[^a-zA-Z\s]"","""")
)
)
"),"karen heroy")</f>
        <v>karen heroy</v>
      </c>
      <c r="O2543" s="7">
        <f t="shared" si="5"/>
        <v>1</v>
      </c>
      <c r="P2543" s="8" t="str">
        <f t="shared" si="6"/>
        <v>No</v>
      </c>
    </row>
    <row r="2544">
      <c r="A2544" s="4" t="s">
        <v>16</v>
      </c>
      <c r="B2544" s="4" t="s">
        <v>7105</v>
      </c>
      <c r="C2544" s="5">
        <v>44665.0</v>
      </c>
      <c r="D2544" s="10">
        <v>44666.0</v>
      </c>
      <c r="E2544" s="4" t="s">
        <v>3622</v>
      </c>
      <c r="F2544" s="4" t="s">
        <v>7106</v>
      </c>
      <c r="G2544" s="6" t="str">
        <f>IFERROR(__xludf.DUMMYFUNCTION("REGEXREPLACE(LOWER(F2544),""[^a-z\s]"","""")"),"great shipping")</f>
        <v>great shipping</v>
      </c>
      <c r="H2544" s="4" t="str">
        <f t="shared" si="1"/>
        <v>great shipping</v>
      </c>
      <c r="I2544" s="6">
        <f t="shared" si="2"/>
        <v>2</v>
      </c>
      <c r="J2544" s="6">
        <f>IFERROR(__xludf.DUMMYFUNCTION("IF(H2544="""","""",
SUM(
ARRAYFORMULA(
IF(
REGEXMATCH(
"" ""&amp;H2544&amp;"" "",
"" ""&amp;Sentiment_Words!A$2:A3730&amp;"" ""
),
1,
0
)
)
)
)"),1.0)</f>
        <v>1</v>
      </c>
      <c r="K2544" s="4">
        <f>IFERROR(__xludf.DUMMYFUNCTION("IF(H2544="""","""",
SUM(
ARRAYFORMULA(
IF(
REGEXMATCH(
"" ""&amp;H2544&amp;"" "",
"" ""&amp;Sentiment_Words!B$2:B3730&amp;"" ""
),
1,
0
)
)
)
)"),0.0)</f>
        <v>0</v>
      </c>
      <c r="L2544" s="7" t="str">
        <f t="shared" si="3"/>
        <v>Other</v>
      </c>
      <c r="M2544" s="7" t="str">
        <f t="shared" si="4"/>
        <v>Positive</v>
      </c>
      <c r="N2544" s="7" t="str">
        <f>IFERROR(__xludf.DUMMYFUNCTION("LOWER(
TRIM(
REGEXREPLACE(B2544,""[^a-zA-Z\s]"","""")
)
)
"),"jeanette bartram")</f>
        <v>jeanette bartram</v>
      </c>
      <c r="O2544" s="7">
        <f t="shared" si="5"/>
        <v>1</v>
      </c>
      <c r="P2544" s="8" t="str">
        <f t="shared" si="6"/>
        <v>No</v>
      </c>
    </row>
    <row r="2545">
      <c r="A2545" s="4" t="s">
        <v>16</v>
      </c>
      <c r="B2545" s="4" t="s">
        <v>7107</v>
      </c>
      <c r="C2545" s="5">
        <v>44665.0</v>
      </c>
      <c r="D2545" s="10">
        <v>44665.0</v>
      </c>
      <c r="E2545" s="4" t="s">
        <v>6395</v>
      </c>
      <c r="F2545" s="4" t="s">
        <v>7108</v>
      </c>
      <c r="G2545" s="6" t="str">
        <f>IFERROR(__xludf.DUMMYFUNCTION("REGEXREPLACE(LOWER(F2545),""[^a-z\s]"","""")"),"excellent service fast and friendly")</f>
        <v>excellent service fast and friendly</v>
      </c>
      <c r="H2545" s="4" t="str">
        <f t="shared" si="1"/>
        <v>excellent service fast friendly</v>
      </c>
      <c r="I2545" s="6">
        <f t="shared" si="2"/>
        <v>4</v>
      </c>
      <c r="J2545" s="6">
        <f>IFERROR(__xludf.DUMMYFUNCTION("IF(H2545="""","""",
SUM(
ARRAYFORMULA(
IF(
REGEXMATCH(
"" ""&amp;H2545&amp;"" "",
"" ""&amp;Sentiment_Words!A$2:A3730&amp;"" ""
),
1,
0
)
)
)
)"),1.0)</f>
        <v>1</v>
      </c>
      <c r="K2545" s="4">
        <f>IFERROR(__xludf.DUMMYFUNCTION("IF(H2545="""","""",
SUM(
ARRAYFORMULA(
IF(
REGEXMATCH(
"" ""&amp;H2545&amp;"" "",
"" ""&amp;Sentiment_Words!B$2:B3730&amp;"" ""
),
1,
0
)
)
)
)"),0.0)</f>
        <v>0</v>
      </c>
      <c r="L2545" s="7" t="str">
        <f t="shared" si="3"/>
        <v>Customer Support</v>
      </c>
      <c r="M2545" s="7" t="str">
        <f t="shared" si="4"/>
        <v>Positive</v>
      </c>
      <c r="N2545" s="7" t="str">
        <f>IFERROR(__xludf.DUMMYFUNCTION("LOWER(
TRIM(
REGEXREPLACE(B2545,""[^a-zA-Z\s]"","""")
)
)
"),"thomas mauro")</f>
        <v>thomas mauro</v>
      </c>
      <c r="O2545" s="7">
        <f t="shared" si="5"/>
        <v>1</v>
      </c>
      <c r="P2545" s="8" t="str">
        <f t="shared" si="6"/>
        <v>No</v>
      </c>
    </row>
    <row r="2546">
      <c r="A2546" s="4" t="s">
        <v>16</v>
      </c>
      <c r="B2546" s="4" t="s">
        <v>7109</v>
      </c>
      <c r="C2546" s="5">
        <v>44664.0</v>
      </c>
      <c r="D2546" s="10">
        <v>44664.0</v>
      </c>
      <c r="E2546" s="4" t="s">
        <v>7110</v>
      </c>
      <c r="F2546" s="4" t="s">
        <v>7111</v>
      </c>
      <c r="G2546" s="6" t="str">
        <f>IFERROR(__xludf.DUMMYFUNCTION("REGEXREPLACE(LOWER(F2546),""[^a-z\s]"","""")"),"the order was shipped quickly and with no problems an easy smooth transaction")</f>
        <v>the order was shipped quickly and with no problems an easy smooth transaction</v>
      </c>
      <c r="H2546" s="4" t="str">
        <f t="shared" si="1"/>
        <v>order was shipped quickly with no problems an easy smooth transaction</v>
      </c>
      <c r="I2546" s="6">
        <f t="shared" si="2"/>
        <v>11</v>
      </c>
      <c r="J2546" s="6">
        <f>IFERROR(__xludf.DUMMYFUNCTION("IF(H2546="""","""",
SUM(
ARRAYFORMULA(
IF(
REGEXMATCH(
"" ""&amp;H2546&amp;"" "",
"" ""&amp;Sentiment_Words!A$2:A3730&amp;"" ""
),
1,
0
)
)
)
)"),3.0)</f>
        <v>3</v>
      </c>
      <c r="K2546" s="4">
        <f>IFERROR(__xludf.DUMMYFUNCTION("IF(H2546="""","""",
SUM(
ARRAYFORMULA(
IF(
REGEXMATCH(
"" ""&amp;H2546&amp;"" "",
"" ""&amp;Sentiment_Words!B$2:B3730&amp;"" ""
),
1,
0
)
)
)
)"),0.0)</f>
        <v>0</v>
      </c>
      <c r="L2546" s="7" t="str">
        <f t="shared" si="3"/>
        <v>Other</v>
      </c>
      <c r="M2546" s="7" t="str">
        <f t="shared" si="4"/>
        <v>Positive</v>
      </c>
      <c r="N2546" s="7" t="str">
        <f>IFERROR(__xludf.DUMMYFUNCTION("LOWER(
TRIM(
REGEXREPLACE(B2546,""[^a-zA-Z\s]"","""")
)
)
"),"betty")</f>
        <v>betty</v>
      </c>
      <c r="O2546" s="7">
        <f t="shared" si="5"/>
        <v>1</v>
      </c>
      <c r="P2546" s="8" t="str">
        <f t="shared" si="6"/>
        <v>No</v>
      </c>
    </row>
    <row r="2547">
      <c r="A2547" s="4" t="s">
        <v>16</v>
      </c>
      <c r="B2547" s="4" t="s">
        <v>7112</v>
      </c>
      <c r="C2547" s="5">
        <v>44664.0</v>
      </c>
      <c r="D2547" s="10">
        <v>44664.0</v>
      </c>
      <c r="E2547" s="4" t="s">
        <v>7113</v>
      </c>
      <c r="F2547" s="4" t="s">
        <v>7114</v>
      </c>
      <c r="G2547" s="6" t="str">
        <f>IFERROR(__xludf.DUMMYFUNCTION("REGEXREPLACE(LOWER(F2547),""[^a-z\s]"","""")"),"made the switch from the other options out there about  months ago and could not be more impressed from the selection freshness of product speed of shipping that puts the others to shame  not to mention arriving very securely packed without the dented can"&amp;"s that have become the norm at amzn the prices are the same or lower a fantastic and easy recurring shipment program coupon codes and deals offered often and to top it off they give a portion of sales to help shelters and the animals they are working to s"&amp;"ave never going back to any of the other online choices and you wont either of you give petflow a try")</f>
        <v>made the switch from the other options out there about  months ago and could not be more impressed from the selection freshness of product speed of shipping that puts the others to shame  not to mention arriving very securely packed without the dented cans that have become the norm at amzn the prices are the same or lower a fantastic and easy recurring shipment program coupon codes and deals offered often and to top it off they give a portion of sales to help shelters and the animals they are working to save never going back to any of the other online choices and you wont either of you give petflow a try</v>
      </c>
      <c r="H2547" s="4" t="str">
        <f t="shared" si="1"/>
        <v>made switch from other options out there about months ago could not be more impressed from selection freshness of product speed of shipping that puts others shame not mention arriving very securely packed without dented cans that have become norm at amzn prices are same or lower a fantastic easy recurring shipment program coupon codes deals offered often top it off they give a portion of sales help shelters animals they are working save never going back any of other online choices you wont either of you give petflow a try</v>
      </c>
      <c r="I2547" s="6">
        <f t="shared" si="2"/>
        <v>91</v>
      </c>
      <c r="J2547" s="6">
        <f>IFERROR(__xludf.DUMMYFUNCTION("IF(H2547="""","""",
SUM(
ARRAYFORMULA(
IF(
REGEXMATCH(
"" ""&amp;H2547&amp;"" "",
"" ""&amp;Sentiment_Words!A$2:A3730&amp;"" ""
),
1,
0
)
)
)
)"),3.0)</f>
        <v>3</v>
      </c>
      <c r="K2547" s="4">
        <f>IFERROR(__xludf.DUMMYFUNCTION("IF(H2547="""","""",
SUM(
ARRAYFORMULA(
IF(
REGEXMATCH(
"" ""&amp;H2547&amp;"" "",
"" ""&amp;Sentiment_Words!B$2:B3730&amp;"" ""
),
1,
0
)
)
)
)"),0.0)</f>
        <v>0</v>
      </c>
      <c r="L2547" s="7" t="str">
        <f t="shared" si="3"/>
        <v>Account &amp; Website</v>
      </c>
      <c r="M2547" s="7" t="str">
        <f t="shared" si="4"/>
        <v>Positive</v>
      </c>
      <c r="N2547" s="7" t="str">
        <f>IFERROR(__xludf.DUMMYFUNCTION("LOWER(
TRIM(
REGEXREPLACE(B2547,""[^a-zA-Z\s]"","""")
)
)
"),"jyen")</f>
        <v>jyen</v>
      </c>
      <c r="O2547" s="7">
        <f t="shared" si="5"/>
        <v>1</v>
      </c>
      <c r="P2547" s="8" t="str">
        <f t="shared" si="6"/>
        <v>No</v>
      </c>
    </row>
    <row r="2548">
      <c r="A2548" s="4" t="s">
        <v>16</v>
      </c>
      <c r="B2548" s="4" t="s">
        <v>7115</v>
      </c>
      <c r="C2548" s="5">
        <v>44664.0</v>
      </c>
      <c r="D2548" s="10">
        <v>44664.0</v>
      </c>
      <c r="E2548" s="4" t="s">
        <v>7116</v>
      </c>
      <c r="F2548" s="4" t="s">
        <v>7117</v>
      </c>
      <c r="G2548" s="6" t="str">
        <f>IFERROR(__xludf.DUMMYFUNCTION("REGEXREPLACE(LOWER(F2548),""[^a-z\s]"","""")"),"i needed an addition to my regular order and it was taken care of efficiently and expeditiously")</f>
        <v>i needed an addition to my regular order and it was taken care of efficiently and expeditiously</v>
      </c>
      <c r="H2548" s="4" t="str">
        <f t="shared" si="1"/>
        <v>i needed an addition my regular order it was taken care of efficiently expeditiously</v>
      </c>
      <c r="I2548" s="6">
        <f t="shared" si="2"/>
        <v>14</v>
      </c>
      <c r="J2548" s="6">
        <f>IFERROR(__xludf.DUMMYFUNCTION("IF(H2548="""","""",
SUM(
ARRAYFORMULA(
IF(
REGEXMATCH(
"" ""&amp;H2548&amp;"" "",
"" ""&amp;Sentiment_Words!A$2:A3730&amp;"" ""
),
1,
0
)
)
)
)"),0.0)</f>
        <v>0</v>
      </c>
      <c r="K2548" s="4">
        <f>IFERROR(__xludf.DUMMYFUNCTION("IF(H2548="""","""",
SUM(
ARRAYFORMULA(
IF(
REGEXMATCH(
"" ""&amp;H2548&amp;"" "",
"" ""&amp;Sentiment_Words!B$2:B3730&amp;"" ""
),
1,
0
)
)
)
)"),0.0)</f>
        <v>0</v>
      </c>
      <c r="L2548" s="7" t="str">
        <f t="shared" si="3"/>
        <v>Other</v>
      </c>
      <c r="M2548" s="7" t="str">
        <f t="shared" si="4"/>
        <v>Neutral</v>
      </c>
      <c r="N2548" s="7" t="str">
        <f>IFERROR(__xludf.DUMMYFUNCTION("LOWER(
TRIM(
REGEXREPLACE(B2548,""[^a-zA-Z\s]"","""")
)
)
"),"wendy")</f>
        <v>wendy</v>
      </c>
      <c r="O2548" s="7">
        <f t="shared" si="5"/>
        <v>1</v>
      </c>
      <c r="P2548" s="8" t="str">
        <f t="shared" si="6"/>
        <v>No</v>
      </c>
    </row>
    <row r="2549">
      <c r="A2549" s="4" t="s">
        <v>16</v>
      </c>
      <c r="B2549" s="4" t="s">
        <v>7118</v>
      </c>
      <c r="C2549" s="5">
        <v>44664.0</v>
      </c>
      <c r="D2549" s="10">
        <v>44664.0</v>
      </c>
      <c r="E2549" s="4" t="s">
        <v>7119</v>
      </c>
      <c r="F2549" s="4" t="s">
        <v>7120</v>
      </c>
      <c r="G2549" s="6" t="str">
        <f>IFERROR(__xludf.DUMMYFUNCTION("REGEXREPLACE(LOWER(F2549),""[^a-z\s]"","""")"),"ive been a customer of petflow for  years and they are an excellent reliable company i rarely have an issue and when i have its usually not on their end but more so on the shipping and delivery end nevertheless petflow customer service always makes it rig"&amp;"ht")</f>
        <v>ive been a customer of petflow for  years and they are an excellent reliable company i rarely have an issue and when i have its usually not on their end but more so on the shipping and delivery end nevertheless petflow customer service always makes it right</v>
      </c>
      <c r="H2549" s="4" t="str">
        <f t="shared" si="1"/>
        <v>ive been a customer of petflow years they are an excellent reliable company i rarely have an issue when i have its usually not on their end but more so on shipping delivery end nevertheless petflow customer service always makes it right</v>
      </c>
      <c r="I2549" s="6">
        <f t="shared" si="2"/>
        <v>42</v>
      </c>
      <c r="J2549" s="6">
        <f>IFERROR(__xludf.DUMMYFUNCTION("IF(H2549="""","""",
SUM(
ARRAYFORMULA(
IF(
REGEXMATCH(
"" ""&amp;H2549&amp;"" "",
"" ""&amp;Sentiment_Words!A$2:A3730&amp;"" ""
),
1,
0
)
)
)
)"),1.0)</f>
        <v>1</v>
      </c>
      <c r="K2549" s="4">
        <f>IFERROR(__xludf.DUMMYFUNCTION("IF(H2549="""","""",
SUM(
ARRAYFORMULA(
IF(
REGEXMATCH(
"" ""&amp;H2549&amp;"" "",
"" ""&amp;Sentiment_Words!B$2:B3730&amp;"" ""
),
1,
0
)
)
)
)"),2.0)</f>
        <v>2</v>
      </c>
      <c r="L2549" s="7" t="str">
        <f t="shared" si="3"/>
        <v>Customer Support</v>
      </c>
      <c r="M2549" s="7" t="str">
        <f t="shared" si="4"/>
        <v>Negative</v>
      </c>
      <c r="N2549" s="7" t="str">
        <f>IFERROR(__xludf.DUMMYFUNCTION("LOWER(
TRIM(
REGEXREPLACE(B2549,""[^a-zA-Z\s]"","""")
)
)
"),"sarah williams")</f>
        <v>sarah williams</v>
      </c>
      <c r="O2549" s="7">
        <f t="shared" si="5"/>
        <v>1</v>
      </c>
      <c r="P2549" s="8" t="str">
        <f t="shared" si="6"/>
        <v>No</v>
      </c>
    </row>
    <row r="2550">
      <c r="A2550" s="4" t="s">
        <v>16</v>
      </c>
      <c r="B2550" s="4" t="s">
        <v>7121</v>
      </c>
      <c r="C2550" s="5">
        <v>44664.0</v>
      </c>
      <c r="D2550" s="10">
        <v>44664.0</v>
      </c>
      <c r="E2550" s="4" t="s">
        <v>7122</v>
      </c>
      <c r="F2550" s="4" t="s">
        <v>7123</v>
      </c>
      <c r="G2550" s="6" t="str">
        <f>IFERROR(__xludf.DUMMYFUNCTION("REGEXREPLACE(LOWER(F2550),""[^a-z\s]"","""")"),"best company to deal with unbelievable customer service")</f>
        <v>best company to deal with unbelievable customer service</v>
      </c>
      <c r="H2550" s="4" t="str">
        <f t="shared" si="1"/>
        <v>best company deal with unbelievable customer service</v>
      </c>
      <c r="I2550" s="6">
        <f t="shared" si="2"/>
        <v>7</v>
      </c>
      <c r="J2550" s="6">
        <f>IFERROR(__xludf.DUMMYFUNCTION("IF(H2550="""","""",
SUM(
ARRAYFORMULA(
IF(
REGEXMATCH(
"" ""&amp;H2550&amp;"" "",
"" ""&amp;Sentiment_Words!A$2:A3730&amp;"" ""
),
1,
0
)
)
)
)"),0.0)</f>
        <v>0</v>
      </c>
      <c r="K2550" s="4">
        <f>IFERROR(__xludf.DUMMYFUNCTION("IF(H2550="""","""",
SUM(
ARRAYFORMULA(
IF(
REGEXMATCH(
"" ""&amp;H2550&amp;"" "",
"" ""&amp;Sentiment_Words!B$2:B3730&amp;"" ""
),
1,
0
)
)
)
)"),1.0)</f>
        <v>1</v>
      </c>
      <c r="L2550" s="7" t="str">
        <f t="shared" si="3"/>
        <v>Customer Support</v>
      </c>
      <c r="M2550" s="7" t="str">
        <f t="shared" si="4"/>
        <v>Negative</v>
      </c>
      <c r="N2550" s="7" t="str">
        <f>IFERROR(__xludf.DUMMYFUNCTION("LOWER(
TRIM(
REGEXREPLACE(B2550,""[^a-zA-Z\s]"","""")
)
)
"),"stephanie barnard")</f>
        <v>stephanie barnard</v>
      </c>
      <c r="O2550" s="7">
        <f t="shared" si="5"/>
        <v>1</v>
      </c>
      <c r="P2550" s="8" t="str">
        <f t="shared" si="6"/>
        <v>No</v>
      </c>
    </row>
    <row r="2551">
      <c r="A2551" s="4" t="s">
        <v>16</v>
      </c>
      <c r="B2551" s="4" t="s">
        <v>7124</v>
      </c>
      <c r="C2551" s="5">
        <v>44664.0</v>
      </c>
      <c r="D2551" s="10">
        <v>44664.0</v>
      </c>
      <c r="E2551" s="4" t="s">
        <v>7125</v>
      </c>
      <c r="F2551" s="4" t="s">
        <v>7126</v>
      </c>
      <c r="G2551" s="6" t="str">
        <f>IFERROR(__xludf.DUMMYFUNCTION("REGEXREPLACE(LOWER(F2551),""[^a-z\s]"","""")"),"love buying from petflow prices are great and shipping is super fast am a repeat customer")</f>
        <v>love buying from petflow prices are great and shipping is super fast am a repeat customer</v>
      </c>
      <c r="H2551" s="4" t="str">
        <f t="shared" si="1"/>
        <v>love buying from petflow prices are great shipping super fast am a repeat customer</v>
      </c>
      <c r="I2551" s="6">
        <f t="shared" si="2"/>
        <v>14</v>
      </c>
      <c r="J2551" s="6">
        <f>IFERROR(__xludf.DUMMYFUNCTION("IF(H2551="""","""",
SUM(
ARRAYFORMULA(
IF(
REGEXMATCH(
"" ""&amp;H2551&amp;"" "",
"" ""&amp;Sentiment_Words!A$2:A3730&amp;"" ""
),
1,
0
)
)
)
)"),3.0)</f>
        <v>3</v>
      </c>
      <c r="K2551" s="4">
        <f>IFERROR(__xludf.DUMMYFUNCTION("IF(H2551="""","""",
SUM(
ARRAYFORMULA(
IF(
REGEXMATCH(
"" ""&amp;H2551&amp;"" "",
"" ""&amp;Sentiment_Words!B$2:B3730&amp;"" ""
),
1,
0
)
)
)
)"),0.0)</f>
        <v>0</v>
      </c>
      <c r="L2551" s="7" t="str">
        <f t="shared" si="3"/>
        <v>Other</v>
      </c>
      <c r="M2551" s="7" t="str">
        <f t="shared" si="4"/>
        <v>Positive</v>
      </c>
      <c r="N2551" s="7" t="str">
        <f>IFERROR(__xludf.DUMMYFUNCTION("LOWER(
TRIM(
REGEXREPLACE(B2551,""[^a-zA-Z\s]"","""")
)
)
"),"kathleen rapp")</f>
        <v>kathleen rapp</v>
      </c>
      <c r="O2551" s="7">
        <f t="shared" si="5"/>
        <v>1</v>
      </c>
      <c r="P2551" s="8" t="str">
        <f t="shared" si="6"/>
        <v>No</v>
      </c>
    </row>
    <row r="2552">
      <c r="A2552" s="4" t="s">
        <v>16</v>
      </c>
      <c r="B2552" s="4" t="s">
        <v>7127</v>
      </c>
      <c r="C2552" s="5">
        <v>44664.0</v>
      </c>
      <c r="D2552" s="10">
        <v>44664.0</v>
      </c>
      <c r="E2552" s="4" t="s">
        <v>7128</v>
      </c>
      <c r="F2552" s="4" t="s">
        <v>7129</v>
      </c>
      <c r="G2552" s="6" t="str">
        <f>IFERROR(__xludf.DUMMYFUNCTION("REGEXREPLACE(LOWER(F2552),""[^a-z\s]"","""")"),"great online store
lots of products good prices
and excellent customer service support team")</f>
        <v>great online store
lots of products good prices
and excellent customer service support team</v>
      </c>
      <c r="H2552" s="4" t="str">
        <f t="shared" si="1"/>
        <v>great online store
lots of products good prices
and excellent customer service support team</v>
      </c>
      <c r="I2552" s="6">
        <f t="shared" si="2"/>
        <v>12</v>
      </c>
      <c r="J2552" s="6">
        <f>IFERROR(__xludf.DUMMYFUNCTION("IF(H2552="""","""",
SUM(
ARRAYFORMULA(
IF(
REGEXMATCH(
"" ""&amp;H2552&amp;"" "",
"" ""&amp;Sentiment_Words!A$2:A3730&amp;"" ""
),
1,
0
)
)
)
)"),2.0)</f>
        <v>2</v>
      </c>
      <c r="K2552" s="4">
        <f>IFERROR(__xludf.DUMMYFUNCTION("IF(H2552="""","""",
SUM(
ARRAYFORMULA(
IF(
REGEXMATCH(
"" ""&amp;H2552&amp;"" "",
"" ""&amp;Sentiment_Words!B$2:B3730&amp;"" ""
),
1,
0
)
)
)
)"),1.0)</f>
        <v>1</v>
      </c>
      <c r="L2552" s="7" t="str">
        <f t="shared" si="3"/>
        <v>Customer Support</v>
      </c>
      <c r="M2552" s="7" t="str">
        <f t="shared" si="4"/>
        <v>Positive</v>
      </c>
      <c r="N2552" s="7" t="str">
        <f>IFERROR(__xludf.DUMMYFUNCTION("LOWER(
TRIM(
REGEXREPLACE(B2552,""[^a-zA-Z\s]"","""")
)
)
"),"lnz business company llc")</f>
        <v>lnz business company llc</v>
      </c>
      <c r="O2552" s="7">
        <f t="shared" si="5"/>
        <v>1</v>
      </c>
      <c r="P2552" s="8" t="str">
        <f t="shared" si="6"/>
        <v>No</v>
      </c>
    </row>
    <row r="2553">
      <c r="A2553" s="4" t="s">
        <v>16</v>
      </c>
      <c r="B2553" s="4" t="s">
        <v>7130</v>
      </c>
      <c r="C2553" s="5">
        <v>44663.0</v>
      </c>
      <c r="D2553" s="10">
        <v>44663.0</v>
      </c>
      <c r="E2553" s="4" t="s">
        <v>7131</v>
      </c>
      <c r="F2553" s="4" t="s">
        <v>7132</v>
      </c>
      <c r="G2553" s="6" t="str">
        <f>IFERROR(__xludf.DUMMYFUNCTION("REGEXREPLACE(LOWER(F2553),""[^a-z\s]"","""")"),"i give one star because i never actually received the dog food i ordered i placed an order for prescription dog food received notice there was an issue with the prescription so i called the vet but was told the issue was not on their end then petflow canc"&amp;"elled my order so i placed another order and made sure the vet info was correct and also contacted my vet to make sure all was fine it took petflow a week to once again cancel my order stating issues with the prescription a day later i received an email t"&amp;"hat the order was canceled because the item was actually not in stock the problem is why am i allowed to put an item in my cart and check out if you dont even have the item in stock to begin with")</f>
        <v>i give one star because i never actually received the dog food i ordered i placed an order for prescription dog food received notice there was an issue with the prescription so i called the vet but was told the issue was not on their end then petflow cancelled my order so i placed another order and made sure the vet info was correct and also contacted my vet to make sure all was fine it took petflow a week to once again cancel my order stating issues with the prescription a day later i received an email that the order was canceled because the item was actually not in stock the problem is why am i allowed to put an item in my cart and check out if you dont even have the item in stock to begin with</v>
      </c>
      <c r="H2553" s="4" t="str">
        <f t="shared" si="1"/>
        <v>i give one star because i never actually received dog food i ordered i placed an order prescription dog food received notice there was an issue with prescription so i called vet but was told issue was not on their end then petflow cancelled my order so i placed another order made sure vet info was correct also contacted my vet make sure all was fine it took petflow a week once again cancel my order stating issues with prescription a day later i received an email that order was canceled because item was actually not in stock problem why am i allowed put an item in my cart check out if you dont even have item in stock begin with</v>
      </c>
      <c r="I2553" s="6">
        <f t="shared" si="2"/>
        <v>121</v>
      </c>
      <c r="J2553" s="6">
        <f>IFERROR(__xludf.DUMMYFUNCTION("IF(H2553="""","""",
SUM(
ARRAYFORMULA(
IF(
REGEXMATCH(
"" ""&amp;H2553&amp;"" "",
"" ""&amp;Sentiment_Words!A$2:A3730&amp;"" ""
),
1,
0
)
)
)
)"),0.0)</f>
        <v>0</v>
      </c>
      <c r="K2553" s="4">
        <f>IFERROR(__xludf.DUMMYFUNCTION("IF(H2553="""","""",
SUM(
ARRAYFORMULA(
IF(
REGEXMATCH(
"" ""&amp;H2553&amp;"" "",
"" ""&amp;Sentiment_Words!B$2:B3730&amp;"" ""
),
1,
0
)
)
)
)"),3.0)</f>
        <v>3</v>
      </c>
      <c r="L2553" s="7" t="str">
        <f t="shared" si="3"/>
        <v>Fulfillment &amp; Shipping</v>
      </c>
      <c r="M2553" s="7" t="str">
        <f t="shared" si="4"/>
        <v>Negative</v>
      </c>
      <c r="N2553" s="7" t="str">
        <f>IFERROR(__xludf.DUMMYFUNCTION("LOWER(
TRIM(
REGEXREPLACE(B2553,""[^a-zA-Z\s]"","""")
)
)
"),"elizabeth alvarezchan")</f>
        <v>elizabeth alvarezchan</v>
      </c>
      <c r="O2553" s="7">
        <f t="shared" si="5"/>
        <v>1</v>
      </c>
      <c r="P2553" s="8" t="str">
        <f t="shared" si="6"/>
        <v>No</v>
      </c>
    </row>
    <row r="2554">
      <c r="A2554" s="4" t="s">
        <v>16</v>
      </c>
      <c r="B2554" s="4" t="s">
        <v>7133</v>
      </c>
      <c r="C2554" s="5">
        <v>44663.0</v>
      </c>
      <c r="D2554" s="10">
        <v>44663.0</v>
      </c>
      <c r="E2554" s="4" t="s">
        <v>7134</v>
      </c>
      <c r="F2554" s="4" t="s">
        <v>7135</v>
      </c>
      <c r="G2554" s="6" t="str">
        <f>IFERROR(__xludf.DUMMYFUNCTION("REGEXREPLACE(LOWER(F2554),""[^a-z\s]"","""")"),"i have a legged cat that was shot before i adopted him willie is a special guy on a special diet i was running low several pet food outlets said they had none and werent expecting to get any maybe it was discontinued
i should look for a replacement
i foun"&amp;"d pet flow online and they took the food order without hesitation i expected to hear that they couldnt get it either but i got the food just as promised willie knows i would do anything for him")</f>
        <v>i have a legged cat that was shot before i adopted him willie is a special guy on a special diet i was running low several pet food outlets said they had none and werent expecting to get any maybe it was discontinued
i should look for a replacement
i found pet flow online and they took the food order without hesitation i expected to hear that they couldnt get it either but i got the food just as promised willie knows i would do anything for him</v>
      </c>
      <c r="H2554" s="4" t="str">
        <f t="shared" si="1"/>
        <v>i have a legged cat that was shot before i adopted him willie a special guy on a special diet i was running low several pet food outlets said they had none werent expecting get any maybe it was discontinued
i should look a replacement
i found pet flow online they took food order without hesitation i expected hear that they couldnt get it either but i got food just as promised willie knows i would do anything him</v>
      </c>
      <c r="I2554" s="6">
        <f t="shared" si="2"/>
        <v>77</v>
      </c>
      <c r="J2554" s="6">
        <f>IFERROR(__xludf.DUMMYFUNCTION("IF(H2554="""","""",
SUM(
ARRAYFORMULA(
IF(
REGEXMATCH(
"" ""&amp;H2554&amp;"" "",
"" ""&amp;Sentiment_Words!A$2:A3730&amp;"" ""
),
1,
0
)
)
)
)"),1.0)</f>
        <v>1</v>
      </c>
      <c r="K2554" s="4">
        <f>IFERROR(__xludf.DUMMYFUNCTION("IF(H2554="""","""",
SUM(
ARRAYFORMULA(
IF(
REGEXMATCH(
"" ""&amp;H2554&amp;"" "",
"" ""&amp;Sentiment_Words!B$2:B3730&amp;"" ""
),
1,
0
)
)
)
)"),0.0)</f>
        <v>0</v>
      </c>
      <c r="L2554" s="7" t="str">
        <f t="shared" si="3"/>
        <v>Other</v>
      </c>
      <c r="M2554" s="7" t="str">
        <f t="shared" si="4"/>
        <v>Positive</v>
      </c>
      <c r="N2554" s="7" t="str">
        <f>IFERROR(__xludf.DUMMYFUNCTION("LOWER(
TRIM(
REGEXREPLACE(B2554,""[^a-zA-Z\s]"","""")
)
)
"),"susan carson")</f>
        <v>susan carson</v>
      </c>
      <c r="O2554" s="7">
        <f t="shared" si="5"/>
        <v>1</v>
      </c>
      <c r="P2554" s="8" t="str">
        <f t="shared" si="6"/>
        <v>No</v>
      </c>
    </row>
    <row r="2555">
      <c r="A2555" s="4" t="s">
        <v>16</v>
      </c>
      <c r="B2555" s="4" t="s">
        <v>7136</v>
      </c>
      <c r="C2555" s="5">
        <v>44663.0</v>
      </c>
      <c r="D2555" s="10">
        <v>44663.0</v>
      </c>
      <c r="E2555" s="4" t="s">
        <v>7137</v>
      </c>
      <c r="F2555" s="4" t="s">
        <v>7138</v>
      </c>
      <c r="G2555" s="6" t="str">
        <f>IFERROR(__xludf.DUMMYFUNCTION("REGEXREPLACE(LOWER(F2555),""[^a-z\s]"","""")"),"products have always been delivered on time website for updatingcanceling orders has had glitches on several occasions")</f>
        <v>products have always been delivered on time website for updatingcanceling orders has had glitches on several occasions</v>
      </c>
      <c r="H2555" s="4" t="str">
        <f t="shared" si="1"/>
        <v>products have always been delivered on time website updatingcanceling orders has had glitches on several occasions</v>
      </c>
      <c r="I2555" s="6">
        <f t="shared" si="2"/>
        <v>16</v>
      </c>
      <c r="J2555" s="6">
        <f>IFERROR(__xludf.DUMMYFUNCTION("IF(H2555="""","""",
SUM(
ARRAYFORMULA(
IF(
REGEXMATCH(
"" ""&amp;H2555&amp;"" "",
"" ""&amp;Sentiment_Words!A$2:A3730&amp;"" ""
),
1,
0
)
)
)
)"),2.0)</f>
        <v>2</v>
      </c>
      <c r="K2555" s="4">
        <f>IFERROR(__xludf.DUMMYFUNCTION("IF(H2555="""","""",
SUM(
ARRAYFORMULA(
IF(
REGEXMATCH(
"" ""&amp;H2555&amp;"" "",
"" ""&amp;Sentiment_Words!B$2:B3730&amp;"" ""
),
1,
0
)
)
)
)"),0.0)</f>
        <v>0</v>
      </c>
      <c r="L2555" s="7" t="str">
        <f t="shared" si="3"/>
        <v>Account &amp; Website</v>
      </c>
      <c r="M2555" s="7" t="str">
        <f t="shared" si="4"/>
        <v>Positive</v>
      </c>
      <c r="N2555" s="7" t="str">
        <f>IFERROR(__xludf.DUMMYFUNCTION("LOWER(
TRIM(
REGEXREPLACE(B2555,""[^a-zA-Z\s]"","""")
)
)
"),"wanda caseydicks")</f>
        <v>wanda caseydicks</v>
      </c>
      <c r="O2555" s="7">
        <f t="shared" si="5"/>
        <v>1</v>
      </c>
      <c r="P2555" s="8" t="str">
        <f t="shared" si="6"/>
        <v>No</v>
      </c>
    </row>
    <row r="2556">
      <c r="A2556" s="4" t="s">
        <v>16</v>
      </c>
      <c r="B2556" s="4" t="s">
        <v>7139</v>
      </c>
      <c r="C2556" s="5">
        <v>44663.0</v>
      </c>
      <c r="D2556" s="10">
        <v>44663.0</v>
      </c>
      <c r="E2556" s="4" t="s">
        <v>7140</v>
      </c>
      <c r="F2556" s="4" t="s">
        <v>7141</v>
      </c>
      <c r="G2556" s="6" t="str">
        <f>IFERROR(__xludf.DUMMYFUNCTION("REGEXREPLACE(LOWER(F2556),""[^a-z\s]"","""")"),"i thought it took to long to receive my order")</f>
        <v>i thought it took to long to receive my order</v>
      </c>
      <c r="H2556" s="4" t="str">
        <f t="shared" si="1"/>
        <v>i thought it took long receive my order</v>
      </c>
      <c r="I2556" s="6">
        <f t="shared" si="2"/>
        <v>8</v>
      </c>
      <c r="J2556" s="6">
        <f>IFERROR(__xludf.DUMMYFUNCTION("IF(H2556="""","""",
SUM(
ARRAYFORMULA(
IF(
REGEXMATCH(
"" ""&amp;H2556&amp;"" "",
"" ""&amp;Sentiment_Words!A$2:A3730&amp;"" ""
),
1,
0
)
)
)
)"),0.0)</f>
        <v>0</v>
      </c>
      <c r="K2556" s="4">
        <f>IFERROR(__xludf.DUMMYFUNCTION("IF(H2556="""","""",
SUM(
ARRAYFORMULA(
IF(
REGEXMATCH(
"" ""&amp;H2556&amp;"" "",
"" ""&amp;Sentiment_Words!B$2:B3730&amp;"" ""
),
1,
0
)
)
)
)"),0.0)</f>
        <v>0</v>
      </c>
      <c r="L2556" s="7" t="str">
        <f t="shared" si="3"/>
        <v>Other</v>
      </c>
      <c r="M2556" s="7" t="str">
        <f t="shared" si="4"/>
        <v>Neutral</v>
      </c>
      <c r="N2556" s="7" t="str">
        <f>IFERROR(__xludf.DUMMYFUNCTION("LOWER(
TRIM(
REGEXREPLACE(B2556,""[^a-zA-Z\s]"","""")
)
)
"),"nancy steinbach")</f>
        <v>nancy steinbach</v>
      </c>
      <c r="O2556" s="7">
        <f t="shared" si="5"/>
        <v>1</v>
      </c>
      <c r="P2556" s="8" t="str">
        <f t="shared" si="6"/>
        <v>No</v>
      </c>
    </row>
    <row r="2557">
      <c r="A2557" s="4" t="s">
        <v>16</v>
      </c>
      <c r="B2557" s="4" t="s">
        <v>3002</v>
      </c>
      <c r="C2557" s="5">
        <v>44663.0</v>
      </c>
      <c r="D2557" s="10">
        <v>44663.0</v>
      </c>
      <c r="E2557" s="4" t="s">
        <v>7142</v>
      </c>
      <c r="F2557" s="4" t="s">
        <v>7143</v>
      </c>
      <c r="G2557" s="6" t="str">
        <f>IFERROR(__xludf.DUMMYFUNCTION("REGEXREPLACE(LOWER(F2557),""[^a-z\s]"","""")"),"hands down the best price in bulk cow ears for my dog a local shop wanted twice as much for the exact same product customer for life here")</f>
        <v>hands down the best price in bulk cow ears for my dog a local shop wanted twice as much for the exact same product customer for life here</v>
      </c>
      <c r="H2557" s="4" t="str">
        <f t="shared" si="1"/>
        <v>hands down best price in bulk cow ears my dog a local shop wanted twice as much exact same product customer life here</v>
      </c>
      <c r="I2557" s="6">
        <f t="shared" si="2"/>
        <v>23</v>
      </c>
      <c r="J2557" s="6">
        <f>IFERROR(__xludf.DUMMYFUNCTION("IF(H2557="""","""",
SUM(
ARRAYFORMULA(
IF(
REGEXMATCH(
"" ""&amp;H2557&amp;"" "",
"" ""&amp;Sentiment_Words!A$2:A3730&amp;"" ""
),
1,
0
)
)
)
)"),0.0)</f>
        <v>0</v>
      </c>
      <c r="K2557" s="4">
        <f>IFERROR(__xludf.DUMMYFUNCTION("IF(H2557="""","""",
SUM(
ARRAYFORMULA(
IF(
REGEXMATCH(
"" ""&amp;H2557&amp;"" "",
"" ""&amp;Sentiment_Words!B$2:B3730&amp;"" ""
),
1,
0
)
)
)
)"),0.0)</f>
        <v>0</v>
      </c>
      <c r="L2557" s="7" t="str">
        <f t="shared" si="3"/>
        <v>Other</v>
      </c>
      <c r="M2557" s="7" t="str">
        <f t="shared" si="4"/>
        <v>Neutral</v>
      </c>
      <c r="N2557" s="7" t="str">
        <f>IFERROR(__xludf.DUMMYFUNCTION("LOWER(
TRIM(
REGEXREPLACE(B2557,""[^a-zA-Z\s]"","""")
)
)
"),"gretchen")</f>
        <v>gretchen</v>
      </c>
      <c r="O2557" s="7">
        <f t="shared" si="5"/>
        <v>2</v>
      </c>
      <c r="P2557" s="8" t="str">
        <f t="shared" si="6"/>
        <v>Yes</v>
      </c>
    </row>
    <row r="2558">
      <c r="A2558" s="4" t="s">
        <v>16</v>
      </c>
      <c r="B2558" s="4" t="s">
        <v>7144</v>
      </c>
      <c r="C2558" s="5">
        <v>44662.0</v>
      </c>
      <c r="D2558" s="10">
        <v>44663.0</v>
      </c>
      <c r="E2558" s="4" t="s">
        <v>7145</v>
      </c>
      <c r="F2558" s="4" t="s">
        <v>7146</v>
      </c>
      <c r="G2558" s="6" t="str">
        <f>IFERROR(__xludf.DUMMYFUNCTION("REGEXREPLACE(LOWER(F2558),""[^a-z\s]"","""")"),"i was looking for a place that sold the food i need for my dogs at a good price and i have found it")</f>
        <v>i was looking for a place that sold the food i need for my dogs at a good price and i have found it</v>
      </c>
      <c r="H2558" s="4" t="str">
        <f t="shared" si="1"/>
        <v>i was looking a place that sold food i need my dogs at a good price i have found it</v>
      </c>
      <c r="I2558" s="6">
        <f t="shared" si="2"/>
        <v>20</v>
      </c>
      <c r="J2558" s="6">
        <f>IFERROR(__xludf.DUMMYFUNCTION("IF(H2558="""","""",
SUM(
ARRAYFORMULA(
IF(
REGEXMATCH(
"" ""&amp;H2558&amp;"" "",
"" ""&amp;Sentiment_Words!A$2:A3730&amp;"" ""
),
1,
0
)
)
)
)"),2.0)</f>
        <v>2</v>
      </c>
      <c r="K2558" s="4">
        <f>IFERROR(__xludf.DUMMYFUNCTION("IF(H2558="""","""",
SUM(
ARRAYFORMULA(
IF(
REGEXMATCH(
"" ""&amp;H2558&amp;"" "",
"" ""&amp;Sentiment_Words!B$2:B3730&amp;"" ""
),
1,
0
)
)
)
)"),0.0)</f>
        <v>0</v>
      </c>
      <c r="L2558" s="7" t="str">
        <f t="shared" si="3"/>
        <v>Other</v>
      </c>
      <c r="M2558" s="7" t="str">
        <f t="shared" si="4"/>
        <v>Positive</v>
      </c>
      <c r="N2558" s="7" t="str">
        <f>IFERROR(__xludf.DUMMYFUNCTION("LOWER(
TRIM(
REGEXREPLACE(B2558,""[^a-zA-Z\s]"","""")
)
)
"),"mary ann leibowitz")</f>
        <v>mary ann leibowitz</v>
      </c>
      <c r="O2558" s="7">
        <f t="shared" si="5"/>
        <v>1</v>
      </c>
      <c r="P2558" s="8" t="str">
        <f t="shared" si="6"/>
        <v>No</v>
      </c>
    </row>
    <row r="2559">
      <c r="A2559" s="4" t="s">
        <v>16</v>
      </c>
      <c r="B2559" s="4" t="s">
        <v>7147</v>
      </c>
      <c r="C2559" s="5">
        <v>44662.0</v>
      </c>
      <c r="D2559" s="10">
        <v>44662.0</v>
      </c>
      <c r="E2559" s="4" t="s">
        <v>7148</v>
      </c>
      <c r="F2559" s="4" t="s">
        <v>7149</v>
      </c>
      <c r="G2559" s="6" t="str">
        <f>IFERROR(__xludf.DUMMYFUNCTION("REGEXREPLACE(LOWER(F2559),""[^a-z\s]"","""")"),"i have been trying to find a prescription food for my cat and was delighted when petflows website said they had it in stock unfortunately it turns out that its probably not in stock the website should be updated appropriately responses to my emails were q"&amp;"uick but were canned responses")</f>
        <v>i have been trying to find a prescription food for my cat and was delighted when petflows website said they had it in stock unfortunately it turns out that its probably not in stock the website should be updated appropriately responses to my emails were quick but were canned responses</v>
      </c>
      <c r="H2559" s="4" t="str">
        <f t="shared" si="1"/>
        <v>i have been trying find a prescription food my cat was delighted when petflows website said they had it in stock unfortunately it turns out that its probably not in stock website should be updated appropriately responses my emails were quick but were canned responses</v>
      </c>
      <c r="I2559" s="6">
        <f t="shared" si="2"/>
        <v>45</v>
      </c>
      <c r="J2559" s="6">
        <f>IFERROR(__xludf.DUMMYFUNCTION("IF(H2559="""","""",
SUM(
ARRAYFORMULA(
IF(
REGEXMATCH(
"" ""&amp;H2559&amp;"" "",
"" ""&amp;Sentiment_Words!A$2:A3730&amp;"" ""
),
1,
0
)
)
)
)"),0.0)</f>
        <v>0</v>
      </c>
      <c r="K2559" s="4">
        <f>IFERROR(__xludf.DUMMYFUNCTION("IF(H2559="""","""",
SUM(
ARRAYFORMULA(
IF(
REGEXMATCH(
"" ""&amp;H2559&amp;"" "",
"" ""&amp;Sentiment_Words!B$2:B3730&amp;"" ""
),
1,
0
)
)
)
)"),0.0)</f>
        <v>0</v>
      </c>
      <c r="L2559" s="7" t="str">
        <f t="shared" si="3"/>
        <v>Account &amp; Website</v>
      </c>
      <c r="M2559" s="7" t="str">
        <f t="shared" si="4"/>
        <v>Neutral</v>
      </c>
      <c r="N2559" s="7" t="str">
        <f>IFERROR(__xludf.DUMMYFUNCTION("LOWER(
TRIM(
REGEXREPLACE(B2559,""[^a-zA-Z\s]"","""")
)
)
"),"brandee")</f>
        <v>brandee</v>
      </c>
      <c r="O2559" s="7">
        <f t="shared" si="5"/>
        <v>1</v>
      </c>
      <c r="P2559" s="8" t="str">
        <f t="shared" si="6"/>
        <v>No</v>
      </c>
    </row>
    <row r="2560">
      <c r="A2560" s="4" t="s">
        <v>16</v>
      </c>
      <c r="B2560" s="4" t="s">
        <v>7150</v>
      </c>
      <c r="C2560" s="5">
        <v>44662.0</v>
      </c>
      <c r="D2560" s="10">
        <v>44662.0</v>
      </c>
      <c r="E2560" s="4" t="s">
        <v>7151</v>
      </c>
      <c r="F2560" s="4" t="s">
        <v>7152</v>
      </c>
      <c r="G2560" s="6" t="str">
        <f>IFERROR(__xludf.DUMMYFUNCTION("REGEXREPLACE(LOWER(F2560),""[^a-z\s]"","""")"),"easy to navigate web site fast and efficient online ordering and delivery")</f>
        <v>easy to navigate web site fast and efficient online ordering and delivery</v>
      </c>
      <c r="H2560" s="4" t="str">
        <f t="shared" si="1"/>
        <v>easy navigate web site fast efficient online ordering delivery</v>
      </c>
      <c r="I2560" s="6">
        <f t="shared" si="2"/>
        <v>9</v>
      </c>
      <c r="J2560" s="6">
        <f>IFERROR(__xludf.DUMMYFUNCTION("IF(H2560="""","""",
SUM(
ARRAYFORMULA(
IF(
REGEXMATCH(
"" ""&amp;H2560&amp;"" "",
"" ""&amp;Sentiment_Words!A$2:A3730&amp;"" ""
),
1,
0
)
)
)
)"),3.0)</f>
        <v>3</v>
      </c>
      <c r="K2560" s="4">
        <f>IFERROR(__xludf.DUMMYFUNCTION("IF(H2560="""","""",
SUM(
ARRAYFORMULA(
IF(
REGEXMATCH(
"" ""&amp;H2560&amp;"" "",
"" ""&amp;Sentiment_Words!B$2:B3730&amp;"" ""
),
1,
0
)
)
)
)"),0.0)</f>
        <v>0</v>
      </c>
      <c r="L2560" s="7" t="str">
        <f t="shared" si="3"/>
        <v>Other</v>
      </c>
      <c r="M2560" s="7" t="str">
        <f t="shared" si="4"/>
        <v>Positive</v>
      </c>
      <c r="N2560" s="7" t="str">
        <f>IFERROR(__xludf.DUMMYFUNCTION("LOWER(
TRIM(
REGEXREPLACE(B2560,""[^a-zA-Z\s]"","""")
)
)
"),"lrs")</f>
        <v>lrs</v>
      </c>
      <c r="O2560" s="7">
        <f t="shared" si="5"/>
        <v>1</v>
      </c>
      <c r="P2560" s="8" t="str">
        <f t="shared" si="6"/>
        <v>No</v>
      </c>
    </row>
    <row r="2561">
      <c r="A2561" s="4" t="s">
        <v>16</v>
      </c>
      <c r="B2561" s="4" t="s">
        <v>7153</v>
      </c>
      <c r="C2561" s="5">
        <v>44662.0</v>
      </c>
      <c r="D2561" s="10">
        <v>44662.0</v>
      </c>
      <c r="E2561" s="4" t="s">
        <v>7154</v>
      </c>
      <c r="F2561" s="4" t="s">
        <v>7155</v>
      </c>
      <c r="G2561" s="6" t="str">
        <f>IFERROR(__xludf.DUMMYFUNCTION("REGEXREPLACE(LOWER(F2561),""[^a-z\s]"","""")"),"the shelves were bare for the cat food that i have been feeding my cat and i couldnt find her food anywhere i called the company that makes her food they were out too but i was told of a place to call low and behold they had her food so i bought a case an"&amp;"d it would be shipped asap we are starting on the second case that we just got a few days ago")</f>
        <v>the shelves were bare for the cat food that i have been feeding my cat and i couldnt find her food anywhere i called the company that makes her food they were out too but i was told of a place to call low and behold they had her food so i bought a case and it would be shipped asap we are starting on the second case that we just got a few days ago</v>
      </c>
      <c r="H2561" s="4" t="str">
        <f t="shared" si="1"/>
        <v>shelves were bare cat food that i have been feeding my cat i couldnt find her food anywhere i called company that makes her food they were out too but i was told of a place call low behold they had her food so i bought a case it would be shipped asap we are starting on second case that we just got a few days ago</v>
      </c>
      <c r="I2561" s="6">
        <f t="shared" si="2"/>
        <v>67</v>
      </c>
      <c r="J2561" s="6">
        <f>IFERROR(__xludf.DUMMYFUNCTION("IF(H2561="""","""",
SUM(
ARRAYFORMULA(
IF(
REGEXMATCH(
"" ""&amp;H2561&amp;"" "",
"" ""&amp;Sentiment_Words!A$2:A3730&amp;"" ""
),
1,
0
)
)
)
)"),0.0)</f>
        <v>0</v>
      </c>
      <c r="K2561" s="4">
        <f>IFERROR(__xludf.DUMMYFUNCTION("IF(H2561="""","""",
SUM(
ARRAYFORMULA(
IF(
REGEXMATCH(
"" ""&amp;H2561&amp;"" "",
"" ""&amp;Sentiment_Words!B$2:B3730&amp;"" ""
),
1,
0
)
)
)
)"),0.0)</f>
        <v>0</v>
      </c>
      <c r="L2561" s="7" t="str">
        <f t="shared" si="3"/>
        <v>Other</v>
      </c>
      <c r="M2561" s="7" t="str">
        <f t="shared" si="4"/>
        <v>Neutral</v>
      </c>
      <c r="N2561" s="7" t="str">
        <f>IFERROR(__xludf.DUMMYFUNCTION("LOWER(
TRIM(
REGEXREPLACE(B2561,""[^a-zA-Z\s]"","""")
)
)
"),"donna ostler")</f>
        <v>donna ostler</v>
      </c>
      <c r="O2561" s="7">
        <f t="shared" si="5"/>
        <v>1</v>
      </c>
      <c r="P2561" s="8" t="str">
        <f t="shared" si="6"/>
        <v>No</v>
      </c>
    </row>
    <row r="2562">
      <c r="A2562" s="4" t="s">
        <v>16</v>
      </c>
      <c r="B2562" s="4" t="s">
        <v>7156</v>
      </c>
      <c r="C2562" s="5">
        <v>44662.0</v>
      </c>
      <c r="D2562" s="10">
        <v>44662.0</v>
      </c>
      <c r="E2562" s="4" t="s">
        <v>7157</v>
      </c>
      <c r="F2562" s="4" t="s">
        <v>7158</v>
      </c>
      <c r="G2562" s="6" t="str">
        <f>IFERROR(__xludf.DUMMYFUNCTION("REGEXREPLACE(LOWER(F2562),""[^a-z\s]"","""")"),"treats almost expired in a very recent order i purchased multiple bags of merrick dog treats  i just realized they all expired already")</f>
        <v>treats almost expired in a very recent order i purchased multiple bags of merrick dog treats  i just realized they all expired already</v>
      </c>
      <c r="H2562" s="4" t="str">
        <f t="shared" si="1"/>
        <v>treats almost expired in a very recent order i purchased multiple bags of merrick dog treats i just realized they all expired already</v>
      </c>
      <c r="I2562" s="6">
        <f t="shared" si="2"/>
        <v>23</v>
      </c>
      <c r="J2562" s="6">
        <f>IFERROR(__xludf.DUMMYFUNCTION("IF(H2562="""","""",
SUM(
ARRAYFORMULA(
IF(
REGEXMATCH(
"" ""&amp;H2562&amp;"" "",
"" ""&amp;Sentiment_Words!A$2:A3730&amp;"" ""
),
1,
0
)
)
)
)"),0.0)</f>
        <v>0</v>
      </c>
      <c r="K2562" s="4">
        <f>IFERROR(__xludf.DUMMYFUNCTION("IF(H2562="""","""",
SUM(
ARRAYFORMULA(
IF(
REGEXMATCH(
"" ""&amp;H2562&amp;"" "",
"" ""&amp;Sentiment_Words!B$2:B3730&amp;"" ""
),
1,
0
)
)
)
)"),1.0)</f>
        <v>1</v>
      </c>
      <c r="L2562" s="7" t="str">
        <f t="shared" si="3"/>
        <v>Food Safety</v>
      </c>
      <c r="M2562" s="7" t="str">
        <f t="shared" si="4"/>
        <v>Negative</v>
      </c>
      <c r="N2562" s="7" t="str">
        <f>IFERROR(__xludf.DUMMYFUNCTION("LOWER(
TRIM(
REGEXREPLACE(B2562,""[^a-zA-Z\s]"","""")
)
)
"),"karen diehl")</f>
        <v>karen diehl</v>
      </c>
      <c r="O2562" s="7">
        <f t="shared" si="5"/>
        <v>1</v>
      </c>
      <c r="P2562" s="8" t="str">
        <f t="shared" si="6"/>
        <v>No</v>
      </c>
    </row>
    <row r="2563">
      <c r="A2563" s="4" t="s">
        <v>16</v>
      </c>
      <c r="B2563" s="4" t="s">
        <v>7159</v>
      </c>
      <c r="C2563" s="5">
        <v>44662.0</v>
      </c>
      <c r="D2563" s="10">
        <v>44662.0</v>
      </c>
      <c r="E2563" s="4" t="s">
        <v>7160</v>
      </c>
      <c r="F2563" s="4" t="s">
        <v>7161</v>
      </c>
      <c r="G2563" s="6" t="str">
        <f>IFERROR(__xludf.DUMMYFUNCTION("REGEXREPLACE(LOWER(F2563),""[^a-z\s]"","""")"),"no other supplier had this cat food and my cat really needed it fast delivery and service ill buy again")</f>
        <v>no other supplier had this cat food and my cat really needed it fast delivery and service ill buy again</v>
      </c>
      <c r="H2563" s="4" t="str">
        <f t="shared" si="1"/>
        <v>no other supplier had this cat food my cat really needed it fast delivery service ill buy again</v>
      </c>
      <c r="I2563" s="6">
        <f t="shared" si="2"/>
        <v>18</v>
      </c>
      <c r="J2563" s="6">
        <f>IFERROR(__xludf.DUMMYFUNCTION("IF(H2563="""","""",
SUM(
ARRAYFORMULA(
IF(
REGEXMATCH(
"" ""&amp;H2563&amp;"" "",
"" ""&amp;Sentiment_Words!A$2:A3730&amp;"" ""
),
1,
0
)
)
)
)"),2.0)</f>
        <v>2</v>
      </c>
      <c r="K2563" s="4">
        <f>IFERROR(__xludf.DUMMYFUNCTION("IF(H2563="""","""",
SUM(
ARRAYFORMULA(
IF(
REGEXMATCH(
"" ""&amp;H2563&amp;"" "",
"" ""&amp;Sentiment_Words!B$2:B3730&amp;"" ""
),
1,
0
)
)
)
)"),0.0)</f>
        <v>0</v>
      </c>
      <c r="L2563" s="7" t="str">
        <f t="shared" si="3"/>
        <v>Customer Support</v>
      </c>
      <c r="M2563" s="7" t="str">
        <f t="shared" si="4"/>
        <v>Positive</v>
      </c>
      <c r="N2563" s="7" t="str">
        <f>IFERROR(__xludf.DUMMYFUNCTION("LOWER(
TRIM(
REGEXREPLACE(B2563,""[^a-zA-Z\s]"","""")
)
)
"),"margaret")</f>
        <v>margaret</v>
      </c>
      <c r="O2563" s="7">
        <f t="shared" si="5"/>
        <v>2</v>
      </c>
      <c r="P2563" s="8" t="str">
        <f t="shared" si="6"/>
        <v>Yes</v>
      </c>
    </row>
    <row r="2564">
      <c r="A2564" s="4" t="s">
        <v>16</v>
      </c>
      <c r="B2564" s="4" t="s">
        <v>7162</v>
      </c>
      <c r="C2564" s="5">
        <v>44661.0</v>
      </c>
      <c r="D2564" s="10">
        <v>44662.0</v>
      </c>
      <c r="E2564" s="4" t="s">
        <v>7163</v>
      </c>
      <c r="F2564" s="4" t="s">
        <v>7164</v>
      </c>
      <c r="G2564" s="6" t="str">
        <f>IFERROR(__xludf.DUMMYFUNCTION("REGEXREPLACE(LOWER(F2564),""[^a-z\s]"","""")"),"i am a returning customer pet flows prices and their customers service are exceptional i will not shop anywhere else for my doggie food")</f>
        <v>i am a returning customer pet flows prices and their customers service are exceptional i will not shop anywhere else for my doggie food</v>
      </c>
      <c r="H2564" s="4" t="str">
        <f t="shared" si="1"/>
        <v>i am a returning customer pet flows prices their customers service are exceptional i will not shop anywhere else my doggie food</v>
      </c>
      <c r="I2564" s="6">
        <f t="shared" si="2"/>
        <v>22</v>
      </c>
      <c r="J2564" s="6">
        <f>IFERROR(__xludf.DUMMYFUNCTION("IF(H2564="""","""",
SUM(
ARRAYFORMULA(
IF(
REGEXMATCH(
"" ""&amp;H2564&amp;"" "",
"" ""&amp;Sentiment_Words!A$2:A3730&amp;"" ""
),
1,
0
)
)
)
)"),0.0)</f>
        <v>0</v>
      </c>
      <c r="K2564" s="4">
        <f>IFERROR(__xludf.DUMMYFUNCTION("IF(H2564="""","""",
SUM(
ARRAYFORMULA(
IF(
REGEXMATCH(
"" ""&amp;H2564&amp;"" "",
"" ""&amp;Sentiment_Words!B$2:B3730&amp;"" ""
),
1,
0
)
)
)
)"),0.0)</f>
        <v>0</v>
      </c>
      <c r="L2564" s="7" t="str">
        <f t="shared" si="3"/>
        <v>Customer Support</v>
      </c>
      <c r="M2564" s="7" t="str">
        <f t="shared" si="4"/>
        <v>Neutral</v>
      </c>
      <c r="N2564" s="7" t="str">
        <f>IFERROR(__xludf.DUMMYFUNCTION("LOWER(
TRIM(
REGEXREPLACE(B2564,""[^a-zA-Z\s]"","""")
)
)
"),"lisamarie bernardo")</f>
        <v>lisamarie bernardo</v>
      </c>
      <c r="O2564" s="7">
        <f t="shared" si="5"/>
        <v>1</v>
      </c>
      <c r="P2564" s="8" t="str">
        <f t="shared" si="6"/>
        <v>No</v>
      </c>
    </row>
    <row r="2565">
      <c r="A2565" s="4" t="s">
        <v>16</v>
      </c>
      <c r="B2565" s="4" t="s">
        <v>7165</v>
      </c>
      <c r="C2565" s="5">
        <v>44661.0</v>
      </c>
      <c r="D2565" s="10">
        <v>44661.0</v>
      </c>
      <c r="E2565" s="4" t="s">
        <v>7166</v>
      </c>
      <c r="F2565" s="4" t="s">
        <v>7167</v>
      </c>
      <c r="G2565" s="6" t="str">
        <f>IFERROR(__xludf.DUMMYFUNCTION("REGEXREPLACE(LOWER(F2565),""[^a-z\s]"","""")"),"i couldnt find my yellow lab her food anywhere  im used to it being delivered on a regular basis my vet found you online and let me know thanks to you she has her regular diet ")</f>
        <v>i couldnt find my yellow lab her food anywhere  im used to it being delivered on a regular basis my vet found you online and let me know thanks to you she has her regular diet </v>
      </c>
      <c r="H2565" s="4" t="str">
        <f t="shared" si="1"/>
        <v>i couldnt find my yellow lab her food anywhere im used it being delivered on a regular basis my vet found you online let me know thanks you she has her regular diet</v>
      </c>
      <c r="I2565" s="6">
        <f t="shared" si="2"/>
        <v>33</v>
      </c>
      <c r="J2565" s="6">
        <f>IFERROR(__xludf.DUMMYFUNCTION("IF(H2565="""","""",
SUM(
ARRAYFORMULA(
IF(
REGEXMATCH(
"" ""&amp;H2565&amp;"" "",
"" ""&amp;Sentiment_Words!A$2:A3730&amp;"" ""
),
1,
0
)
)
)
)"),2.0)</f>
        <v>2</v>
      </c>
      <c r="K2565" s="4">
        <f>IFERROR(__xludf.DUMMYFUNCTION("IF(H2565="""","""",
SUM(
ARRAYFORMULA(
IF(
REGEXMATCH(
"" ""&amp;H2565&amp;"" "",
"" ""&amp;Sentiment_Words!B$2:B3730&amp;"" ""
),
1,
0
)
)
)
)"),0.0)</f>
        <v>0</v>
      </c>
      <c r="L2565" s="7" t="str">
        <f t="shared" si="3"/>
        <v>Other</v>
      </c>
      <c r="M2565" s="7" t="str">
        <f t="shared" si="4"/>
        <v>Positive</v>
      </c>
      <c r="N2565" s="7" t="str">
        <f>IFERROR(__xludf.DUMMYFUNCTION("LOWER(
TRIM(
REGEXREPLACE(B2565,""[^a-zA-Z\s]"","""")
)
)
"),"nancy bellia")</f>
        <v>nancy bellia</v>
      </c>
      <c r="O2565" s="7">
        <f t="shared" si="5"/>
        <v>1</v>
      </c>
      <c r="P2565" s="8" t="str">
        <f t="shared" si="6"/>
        <v>No</v>
      </c>
    </row>
    <row r="2566">
      <c r="A2566" s="4" t="s">
        <v>16</v>
      </c>
      <c r="B2566" s="4" t="s">
        <v>7168</v>
      </c>
      <c r="C2566" s="5">
        <v>44661.0</v>
      </c>
      <c r="D2566" s="10">
        <v>44661.0</v>
      </c>
      <c r="E2566" s="4" t="s">
        <v>7169</v>
      </c>
      <c r="F2566" s="4" t="s">
        <v>7170</v>
      </c>
      <c r="G2566" s="6" t="str">
        <f>IFERROR(__xludf.DUMMYFUNCTION("REGEXREPLACE(LOWER(F2566),""[^a-z\s]"","""")"),"petflow provides and delivers product as expected the fourstar rating is because of their return policy which is stricter than the other online pet sites")</f>
        <v>petflow provides and delivers product as expected the fourstar rating is because of their return policy which is stricter than the other online pet sites</v>
      </c>
      <c r="H2566" s="4" t="str">
        <f t="shared" si="1"/>
        <v>petflow provides delivers product as expected fourstar rating because of their return policy which stricter than other online pet sites</v>
      </c>
      <c r="I2566" s="6">
        <f t="shared" si="2"/>
        <v>20</v>
      </c>
      <c r="J2566" s="6">
        <f>IFERROR(__xludf.DUMMYFUNCTION("IF(H2566="""","""",
SUM(
ARRAYFORMULA(
IF(
REGEXMATCH(
"" ""&amp;H2566&amp;"" "",
"" ""&amp;Sentiment_Words!A$2:A3730&amp;"" ""
),
1,
0
)
)
)
)"),0.0)</f>
        <v>0</v>
      </c>
      <c r="K2566" s="4">
        <f>IFERROR(__xludf.DUMMYFUNCTION("IF(H2566="""","""",
SUM(
ARRAYFORMULA(
IF(
REGEXMATCH(
"" ""&amp;H2566&amp;"" "",
"" ""&amp;Sentiment_Words!B$2:B3730&amp;"" ""
),
1,
0
)
)
)
)"),0.0)</f>
        <v>0</v>
      </c>
      <c r="L2566" s="7" t="str">
        <f t="shared" si="3"/>
        <v>Other</v>
      </c>
      <c r="M2566" s="7" t="str">
        <f t="shared" si="4"/>
        <v>Neutral</v>
      </c>
      <c r="N2566" s="7" t="str">
        <f>IFERROR(__xludf.DUMMYFUNCTION("LOWER(
TRIM(
REGEXREPLACE(B2566,""[^a-zA-Z\s]"","""")
)
)
"),"pam whitehead")</f>
        <v>pam whitehead</v>
      </c>
      <c r="O2566" s="7">
        <f t="shared" si="5"/>
        <v>1</v>
      </c>
      <c r="P2566" s="8" t="str">
        <f t="shared" si="6"/>
        <v>No</v>
      </c>
    </row>
    <row r="2567">
      <c r="A2567" s="4" t="s">
        <v>16</v>
      </c>
      <c r="B2567" s="4" t="s">
        <v>7171</v>
      </c>
      <c r="C2567" s="5">
        <v>44661.0</v>
      </c>
      <c r="D2567" s="10">
        <v>44661.0</v>
      </c>
      <c r="E2567" s="4" t="s">
        <v>7172</v>
      </c>
      <c r="F2567" s="4" t="s">
        <v>7173</v>
      </c>
      <c r="G2567" s="6" t="str">
        <f>IFERROR(__xludf.DUMMYFUNCTION("REGEXREPLACE(LOWER(F2567),""[^a-z\s]"","""")"),"great customer service and very fast delivery thanks")</f>
        <v>great customer service and very fast delivery thanks</v>
      </c>
      <c r="H2567" s="4" t="str">
        <f t="shared" si="1"/>
        <v>great customer service very fast delivery thanks</v>
      </c>
      <c r="I2567" s="6">
        <f t="shared" si="2"/>
        <v>7</v>
      </c>
      <c r="J2567" s="6">
        <f>IFERROR(__xludf.DUMMYFUNCTION("IF(H2567="""","""",
SUM(
ARRAYFORMULA(
IF(
REGEXMATCH(
"" ""&amp;H2567&amp;"" "",
"" ""&amp;Sentiment_Words!A$2:A3730&amp;"" ""
),
1,
0
)
)
)
)"),4.0)</f>
        <v>4</v>
      </c>
      <c r="K2567" s="4">
        <f>IFERROR(__xludf.DUMMYFUNCTION("IF(H2567="""","""",
SUM(
ARRAYFORMULA(
IF(
REGEXMATCH(
"" ""&amp;H2567&amp;"" "",
"" ""&amp;Sentiment_Words!B$2:B3730&amp;"" ""
),
1,
0
)
)
)
)"),1.0)</f>
        <v>1</v>
      </c>
      <c r="L2567" s="7" t="str">
        <f t="shared" si="3"/>
        <v>Customer Support</v>
      </c>
      <c r="M2567" s="7" t="str">
        <f t="shared" si="4"/>
        <v>Positive</v>
      </c>
      <c r="N2567" s="7" t="str">
        <f>IFERROR(__xludf.DUMMYFUNCTION("LOWER(
TRIM(
REGEXREPLACE(B2567,""[^a-zA-Z\s]"","""")
)
)
"),"wayne reux")</f>
        <v>wayne reux</v>
      </c>
      <c r="O2567" s="7">
        <f t="shared" si="5"/>
        <v>1</v>
      </c>
      <c r="P2567" s="8" t="str">
        <f t="shared" si="6"/>
        <v>No</v>
      </c>
    </row>
    <row r="2568">
      <c r="A2568" s="4" t="s">
        <v>16</v>
      </c>
      <c r="B2568" s="4" t="s">
        <v>7174</v>
      </c>
      <c r="C2568" s="5">
        <v>44661.0</v>
      </c>
      <c r="D2568" s="10">
        <v>44661.0</v>
      </c>
      <c r="E2568" s="4" t="s">
        <v>7175</v>
      </c>
      <c r="F2568" s="4" t="s">
        <v>7176</v>
      </c>
      <c r="G2568" s="6" t="str">
        <f>IFERROR(__xludf.DUMMYFUNCTION("REGEXREPLACE(LOWER(F2568),""[^a-z\s]"","""")"),"petflow has always come through on my orders delivery is prompt only issue is every so often delivery service is a little rough with the package  but thats on them not petflow only once damage was excessive called petflow and they took care of it")</f>
        <v>petflow has always come through on my orders delivery is prompt only issue is every so often delivery service is a little rough with the package  but thats on them not petflow only once damage was excessive called petflow and they took care of it</v>
      </c>
      <c r="H2568" s="4" t="str">
        <f t="shared" si="1"/>
        <v>petflow has always come through on my orders delivery prompt only issue every so often delivery service a little rough with package but thats on them not petflow only once damage was excessive called petflow they took care of it</v>
      </c>
      <c r="I2568" s="6">
        <f t="shared" si="2"/>
        <v>40</v>
      </c>
      <c r="J2568" s="6">
        <f>IFERROR(__xludf.DUMMYFUNCTION("IF(H2568="""","""",
SUM(
ARRAYFORMULA(
IF(
REGEXMATCH(
"" ""&amp;H2568&amp;"" "",
"" ""&amp;Sentiment_Words!A$2:A3730&amp;"" ""
),
1,
0
)
)
)
)"),1.0)</f>
        <v>1</v>
      </c>
      <c r="K2568" s="4">
        <f>IFERROR(__xludf.DUMMYFUNCTION("IF(H2568="""","""",
SUM(
ARRAYFORMULA(
IF(
REGEXMATCH(
"" ""&amp;H2568&amp;"" "",
"" ""&amp;Sentiment_Words!B$2:B3730&amp;"" ""
),
1,
0
)
)
)
)"),1.0)</f>
        <v>1</v>
      </c>
      <c r="L2568" s="7" t="str">
        <f t="shared" si="3"/>
        <v>Customer Support</v>
      </c>
      <c r="M2568" s="7" t="str">
        <f t="shared" si="4"/>
        <v>Neutral</v>
      </c>
      <c r="N2568" s="7" t="str">
        <f>IFERROR(__xludf.DUMMYFUNCTION("LOWER(
TRIM(
REGEXREPLACE(B2568,""[^a-zA-Z\s]"","""")
)
)
"),"nek")</f>
        <v>nek</v>
      </c>
      <c r="O2568" s="7">
        <f t="shared" si="5"/>
        <v>1</v>
      </c>
      <c r="P2568" s="8" t="str">
        <f t="shared" si="6"/>
        <v>No</v>
      </c>
    </row>
    <row r="2569">
      <c r="A2569" s="4" t="s">
        <v>16</v>
      </c>
      <c r="B2569" s="4" t="s">
        <v>7177</v>
      </c>
      <c r="C2569" s="5">
        <v>44661.0</v>
      </c>
      <c r="D2569" s="10">
        <v>44661.0</v>
      </c>
      <c r="E2569" s="4" t="s">
        <v>7178</v>
      </c>
      <c r="F2569" s="4" t="s">
        <v>7179</v>
      </c>
      <c r="G2569" s="6" t="str">
        <f>IFERROR(__xludf.DUMMYFUNCTION("REGEXREPLACE(LOWER(F2569),""[^a-z\s]"","""")"),"our cats require a prescription food petflow has always had it in stock when others have been out of stock a real life saver weve never had any issues with petflow")</f>
        <v>our cats require a prescription food petflow has always had it in stock when others have been out of stock a real life saver weve never had any issues with petflow</v>
      </c>
      <c r="H2569" s="4" t="str">
        <f t="shared" si="1"/>
        <v>our cats require a prescription food petflow has always had it in stock when others have been out of stock a real life saver weve never had any issues with petflow</v>
      </c>
      <c r="I2569" s="6">
        <f t="shared" si="2"/>
        <v>31</v>
      </c>
      <c r="J2569" s="6">
        <f>IFERROR(__xludf.DUMMYFUNCTION("IF(H2569="""","""",
SUM(
ARRAYFORMULA(
IF(
REGEXMATCH(
"" ""&amp;H2569&amp;"" "",
"" ""&amp;Sentiment_Words!A$2:A3730&amp;"" ""
),
1,
0
)
)
)
)"),0.0)</f>
        <v>0</v>
      </c>
      <c r="K2569" s="4">
        <f>IFERROR(__xludf.DUMMYFUNCTION("IF(H2569="""","""",
SUM(
ARRAYFORMULA(
IF(
REGEXMATCH(
"" ""&amp;H2569&amp;"" "",
"" ""&amp;Sentiment_Words!B$2:B3730&amp;"" ""
),
1,
0
)
)
)
)"),1.0)</f>
        <v>1</v>
      </c>
      <c r="L2569" s="7" t="str">
        <f t="shared" si="3"/>
        <v>Availability</v>
      </c>
      <c r="M2569" s="7" t="str">
        <f t="shared" si="4"/>
        <v>Negative</v>
      </c>
      <c r="N2569" s="7" t="str">
        <f>IFERROR(__xludf.DUMMYFUNCTION("LOWER(
TRIM(
REGEXREPLACE(B2569,""[^a-zA-Z\s]"","""")
)
)
"),"carol levin")</f>
        <v>carol levin</v>
      </c>
      <c r="O2569" s="7">
        <f t="shared" si="5"/>
        <v>1</v>
      </c>
      <c r="P2569" s="8" t="str">
        <f t="shared" si="6"/>
        <v>No</v>
      </c>
    </row>
    <row r="2570">
      <c r="A2570" s="4" t="s">
        <v>16</v>
      </c>
      <c r="B2570" s="4" t="s">
        <v>7180</v>
      </c>
      <c r="C2570" s="5">
        <v>44661.0</v>
      </c>
      <c r="D2570" s="10">
        <v>44661.0</v>
      </c>
      <c r="E2570" s="4" t="s">
        <v>7181</v>
      </c>
      <c r="F2570" s="4" t="s">
        <v>7182</v>
      </c>
      <c r="G2570" s="6" t="str">
        <f>IFERROR(__xludf.DUMMYFUNCTION("REGEXREPLACE(LOWER(F2570),""[^a-z\s]"","""")"),"our order shipped so fast very happy with you")</f>
        <v>our order shipped so fast very happy with you</v>
      </c>
      <c r="H2570" s="4" t="str">
        <f t="shared" si="1"/>
        <v>our order shipped so fast very happy with you</v>
      </c>
      <c r="I2570" s="6">
        <f t="shared" si="2"/>
        <v>9</v>
      </c>
      <c r="J2570" s="6">
        <f>IFERROR(__xludf.DUMMYFUNCTION("IF(H2570="""","""",
SUM(
ARRAYFORMULA(
IF(
REGEXMATCH(
"" ""&amp;H2570&amp;"" "",
"" ""&amp;Sentiment_Words!A$2:A3730&amp;"" ""
),
1,
0
)
)
)
)"),2.0)</f>
        <v>2</v>
      </c>
      <c r="K2570" s="4">
        <f>IFERROR(__xludf.DUMMYFUNCTION("IF(H2570="""","""",
SUM(
ARRAYFORMULA(
IF(
REGEXMATCH(
"" ""&amp;H2570&amp;"" "",
"" ""&amp;Sentiment_Words!B$2:B3730&amp;"" ""
),
1,
0
)
)
)
)"),0.0)</f>
        <v>0</v>
      </c>
      <c r="L2570" s="7" t="str">
        <f t="shared" si="3"/>
        <v>Other</v>
      </c>
      <c r="M2570" s="7" t="str">
        <f t="shared" si="4"/>
        <v>Positive</v>
      </c>
      <c r="N2570" s="7" t="str">
        <f>IFERROR(__xludf.DUMMYFUNCTION("LOWER(
TRIM(
REGEXREPLACE(B2570,""[^a-zA-Z\s]"","""")
)
)
"),"john shaw")</f>
        <v>john shaw</v>
      </c>
      <c r="O2570" s="7">
        <f t="shared" si="5"/>
        <v>1</v>
      </c>
      <c r="P2570" s="8" t="str">
        <f t="shared" si="6"/>
        <v>No</v>
      </c>
    </row>
    <row r="2571">
      <c r="A2571" s="4" t="s">
        <v>16</v>
      </c>
      <c r="B2571" s="4" t="s">
        <v>3299</v>
      </c>
      <c r="C2571" s="5">
        <v>44661.0</v>
      </c>
      <c r="D2571" s="10">
        <v>44661.0</v>
      </c>
      <c r="E2571" s="4" t="s">
        <v>7183</v>
      </c>
      <c r="F2571" s="4" t="s">
        <v>7184</v>
      </c>
      <c r="G2571" s="6" t="str">
        <f>IFERROR(__xludf.DUMMYFUNCTION("REGEXREPLACE(LOWER(F2571),""[^a-z\s]"","""")"),"i ordered  cases of canned dog food one case turned out to be something different so i called petflow and they gave me a credit for the wrong food
i donated the case to a local animal shelter and i was happy with their service")</f>
        <v>i ordered  cases of canned dog food one case turned out to be something different so i called petflow and they gave me a credit for the wrong food
i donated the case to a local animal shelter and i was happy with their service</v>
      </c>
      <c r="H2571" s="4" t="str">
        <f t="shared" si="1"/>
        <v>i ordered cases of canned dog food one case turned out be something different so i called petflow they gave me a credit wrong food
i donated case a local animal shelter i was happy with their service</v>
      </c>
      <c r="I2571" s="6">
        <f t="shared" si="2"/>
        <v>37</v>
      </c>
      <c r="J2571" s="6">
        <f>IFERROR(__xludf.DUMMYFUNCTION("IF(H2571="""","""",
SUM(
ARRAYFORMULA(
IF(
REGEXMATCH(
"" ""&amp;H2571&amp;"" "",
"" ""&amp;Sentiment_Words!A$2:A3730&amp;"" ""
),
1,
0
)
)
)
)"),1.0)</f>
        <v>1</v>
      </c>
      <c r="K2571" s="4">
        <f>IFERROR(__xludf.DUMMYFUNCTION("IF(H2571="""","""",
SUM(
ARRAYFORMULA(
IF(
REGEXMATCH(
"" ""&amp;H2571&amp;"" "",
"" ""&amp;Sentiment_Words!B$2:B3730&amp;"" ""
),
1,
0
)
)
)
)"),1.0)</f>
        <v>1</v>
      </c>
      <c r="L2571" s="7" t="str">
        <f t="shared" si="3"/>
        <v>Customer Support</v>
      </c>
      <c r="M2571" s="7" t="str">
        <f t="shared" si="4"/>
        <v>Neutral</v>
      </c>
      <c r="N2571" s="7" t="str">
        <f>IFERROR(__xludf.DUMMYFUNCTION("LOWER(
TRIM(
REGEXREPLACE(B2571,""[^a-zA-Z\s]"","""")
)
)
"),"brian")</f>
        <v>brian</v>
      </c>
      <c r="O2571" s="7">
        <f t="shared" si="5"/>
        <v>2</v>
      </c>
      <c r="P2571" s="8" t="str">
        <f t="shared" si="6"/>
        <v>Yes</v>
      </c>
    </row>
    <row r="2572">
      <c r="A2572" s="4" t="s">
        <v>16</v>
      </c>
      <c r="B2572" s="4" t="s">
        <v>7185</v>
      </c>
      <c r="C2572" s="9">
        <v>44660.0</v>
      </c>
      <c r="D2572" s="10">
        <v>44660.0</v>
      </c>
      <c r="E2572" s="4" t="s">
        <v>7186</v>
      </c>
      <c r="F2572" s="4" t="s">
        <v>7187</v>
      </c>
      <c r="G2572" s="6" t="str">
        <f>IFERROR(__xludf.DUMMYFUNCTION("REGEXREPLACE(LOWER(F2572),""[^a-z\s]"","""")"),"great price on the right product when i needed help with the order telephone help was easy and effective with no wait time")</f>
        <v>great price on the right product when i needed help with the order telephone help was easy and effective with no wait time</v>
      </c>
      <c r="H2572" s="4" t="str">
        <f t="shared" si="1"/>
        <v>great price on right product when i needed help with order telephone help was easy effective with no wait time</v>
      </c>
      <c r="I2572" s="6">
        <f t="shared" si="2"/>
        <v>20</v>
      </c>
      <c r="J2572" s="6">
        <f>IFERROR(__xludf.DUMMYFUNCTION("IF(H2572="""","""",
SUM(
ARRAYFORMULA(
IF(
REGEXMATCH(
"" ""&amp;H2572&amp;"" "",
"" ""&amp;Sentiment_Words!A$2:A3730&amp;"" ""
),
1,
0
)
)
)
)"),2.0)</f>
        <v>2</v>
      </c>
      <c r="K2572" s="4">
        <f>IFERROR(__xludf.DUMMYFUNCTION("IF(H2572="""","""",
SUM(
ARRAYFORMULA(
IF(
REGEXMATCH(
"" ""&amp;H2572&amp;"" "",
"" ""&amp;Sentiment_Words!B$2:B3730&amp;"" ""
),
1,
0
)
)
)
)"),0.0)</f>
        <v>0</v>
      </c>
      <c r="L2572" s="7" t="str">
        <f t="shared" si="3"/>
        <v>Other</v>
      </c>
      <c r="M2572" s="7" t="str">
        <f t="shared" si="4"/>
        <v>Positive</v>
      </c>
      <c r="N2572" s="7" t="str">
        <f>IFERROR(__xludf.DUMMYFUNCTION("LOWER(
TRIM(
REGEXREPLACE(B2572,""[^a-zA-Z\s]"","""")
)
)
"),"lenore newsom")</f>
        <v>lenore newsom</v>
      </c>
      <c r="O2572" s="7">
        <f t="shared" si="5"/>
        <v>1</v>
      </c>
      <c r="P2572" s="8" t="str">
        <f t="shared" si="6"/>
        <v>No</v>
      </c>
    </row>
    <row r="2573">
      <c r="A2573" s="4" t="s">
        <v>16</v>
      </c>
      <c r="B2573" s="4" t="s">
        <v>7188</v>
      </c>
      <c r="C2573" s="9">
        <v>44660.0</v>
      </c>
      <c r="D2573" s="10">
        <v>44660.0</v>
      </c>
      <c r="E2573" s="4" t="s">
        <v>7189</v>
      </c>
      <c r="F2573" s="4" t="s">
        <v>7190</v>
      </c>
      <c r="G2573" s="6" t="str">
        <f>IFERROR(__xludf.DUMMYFUNCTION("REGEXREPLACE(LOWER(F2573),""[^a-z\s]"","""")"),"petflow has the products i want at a reasonable price delivery is great")</f>
        <v>petflow has the products i want at a reasonable price delivery is great</v>
      </c>
      <c r="H2573" s="4" t="str">
        <f t="shared" si="1"/>
        <v>petflow has products i want at a reasonable price delivery great</v>
      </c>
      <c r="I2573" s="6">
        <f t="shared" si="2"/>
        <v>11</v>
      </c>
      <c r="J2573" s="6">
        <f>IFERROR(__xludf.DUMMYFUNCTION("IF(H2573="""","""",
SUM(
ARRAYFORMULA(
IF(
REGEXMATCH(
"" ""&amp;H2573&amp;"" "",
"" ""&amp;Sentiment_Words!A$2:A3730&amp;"" ""
),
1,
0
)
)
)
)"),1.0)</f>
        <v>1</v>
      </c>
      <c r="K2573" s="4">
        <f>IFERROR(__xludf.DUMMYFUNCTION("IF(H2573="""","""",
SUM(
ARRAYFORMULA(
IF(
REGEXMATCH(
"" ""&amp;H2573&amp;"" "",
"" ""&amp;Sentiment_Words!B$2:B3730&amp;"" ""
),
1,
0
)
)
)
)"),0.0)</f>
        <v>0</v>
      </c>
      <c r="L2573" s="7" t="str">
        <f t="shared" si="3"/>
        <v>Other</v>
      </c>
      <c r="M2573" s="7" t="str">
        <f t="shared" si="4"/>
        <v>Positive</v>
      </c>
      <c r="N2573" s="7" t="str">
        <f>IFERROR(__xludf.DUMMYFUNCTION("LOWER(
TRIM(
REGEXREPLACE(B2573,""[^a-zA-Z\s]"","""")
)
)
"),"r neil wolford jr")</f>
        <v>r neil wolford jr</v>
      </c>
      <c r="O2573" s="7">
        <f t="shared" si="5"/>
        <v>1</v>
      </c>
      <c r="P2573" s="8" t="str">
        <f t="shared" si="6"/>
        <v>No</v>
      </c>
    </row>
    <row r="2574">
      <c r="A2574" s="4" t="s">
        <v>16</v>
      </c>
      <c r="B2574" s="4" t="s">
        <v>7191</v>
      </c>
      <c r="C2574" s="9">
        <v>44660.0</v>
      </c>
      <c r="D2574" s="10">
        <v>44660.0</v>
      </c>
      <c r="E2574" s="4" t="s">
        <v>7192</v>
      </c>
      <c r="F2574" s="4" t="s">
        <v>7193</v>
      </c>
      <c r="G2574" s="6" t="str">
        <f>IFERROR(__xludf.DUMMYFUNCTION("REGEXREPLACE(LOWER(F2574),""[^a-z\s]"","""")"),"very hard to find my dogs prescription food but you had it and sent it to me quickly thanks so much")</f>
        <v>very hard to find my dogs prescription food but you had it and sent it to me quickly thanks so much</v>
      </c>
      <c r="H2574" s="4" t="str">
        <f t="shared" si="1"/>
        <v>very hard find my dogs prescription food but you had it sent it me quickly thanks so much</v>
      </c>
      <c r="I2574" s="6">
        <f t="shared" si="2"/>
        <v>18</v>
      </c>
      <c r="J2574" s="6">
        <f>IFERROR(__xludf.DUMMYFUNCTION("IF(H2574="""","""",
SUM(
ARRAYFORMULA(
IF(
REGEXMATCH(
"" ""&amp;H2574&amp;"" "",
"" ""&amp;Sentiment_Words!A$2:A3730&amp;"" ""
),
1,
0
)
)
)
)"),0.0)</f>
        <v>0</v>
      </c>
      <c r="K2574" s="4">
        <f>IFERROR(__xludf.DUMMYFUNCTION("IF(H2574="""","""",
SUM(
ARRAYFORMULA(
IF(
REGEXMATCH(
"" ""&amp;H2574&amp;"" "",
"" ""&amp;Sentiment_Words!B$2:B3730&amp;"" ""
),
1,
0
)
)
)
)"),0.0)</f>
        <v>0</v>
      </c>
      <c r="L2574" s="7" t="str">
        <f t="shared" si="3"/>
        <v>Other</v>
      </c>
      <c r="M2574" s="7" t="str">
        <f t="shared" si="4"/>
        <v>Neutral</v>
      </c>
      <c r="N2574" s="7" t="str">
        <f>IFERROR(__xludf.DUMMYFUNCTION("LOWER(
TRIM(
REGEXREPLACE(B2574,""[^a-zA-Z\s]"","""")
)
)
"),"bob n")</f>
        <v>bob n</v>
      </c>
      <c r="O2574" s="7">
        <f t="shared" si="5"/>
        <v>1</v>
      </c>
      <c r="P2574" s="8" t="str">
        <f t="shared" si="6"/>
        <v>No</v>
      </c>
    </row>
    <row r="2575">
      <c r="A2575" s="4" t="s">
        <v>16</v>
      </c>
      <c r="B2575" s="4" t="s">
        <v>4659</v>
      </c>
      <c r="C2575" s="9">
        <v>44660.0</v>
      </c>
      <c r="D2575" s="10">
        <v>44660.0</v>
      </c>
      <c r="E2575" s="4" t="s">
        <v>431</v>
      </c>
      <c r="F2575" s="4" t="s">
        <v>7194</v>
      </c>
      <c r="G2575" s="6" t="str">
        <f>IFERROR(__xludf.DUMMYFUNCTION("REGEXREPLACE(LOWER(F2575),""[^a-z\s]"","""")"),"i truly love all the products my dog ginger loves them too you are an excellent company i really love doing business with you you are fast and i have never
had a problem with you thanks connie sower")</f>
        <v>i truly love all the products my dog ginger loves them too you are an excellent company i really love doing business with you you are fast and i have never
had a problem with you thanks connie sower</v>
      </c>
      <c r="H2575" s="4" t="str">
        <f t="shared" si="1"/>
        <v>i truly love all products my dog ginger loves them too you are an excellent company i really love doing business with you you are fast i have never
had a problem with you thanks connie sower</v>
      </c>
      <c r="I2575" s="6">
        <f t="shared" si="2"/>
        <v>36</v>
      </c>
      <c r="J2575" s="6">
        <f>IFERROR(__xludf.DUMMYFUNCTION("IF(H2575="""","""",
SUM(
ARRAYFORMULA(
IF(
REGEXMATCH(
"" ""&amp;H2575&amp;"" "",
"" ""&amp;Sentiment_Words!A$2:A3730&amp;"" ""
),
1,
0
)
)
)
)"),2.0)</f>
        <v>2</v>
      </c>
      <c r="K2575" s="4">
        <f>IFERROR(__xludf.DUMMYFUNCTION("IF(H2575="""","""",
SUM(
ARRAYFORMULA(
IF(
REGEXMATCH(
"" ""&amp;H2575&amp;"" "",
"" ""&amp;Sentiment_Words!B$2:B3730&amp;"" ""
),
1,
0
)
)
)
)"),1.0)</f>
        <v>1</v>
      </c>
      <c r="L2575" s="7" t="str">
        <f t="shared" si="3"/>
        <v>Other</v>
      </c>
      <c r="M2575" s="7" t="str">
        <f t="shared" si="4"/>
        <v>Positive</v>
      </c>
      <c r="N2575" s="7" t="str">
        <f>IFERROR(__xludf.DUMMYFUNCTION("LOWER(
TRIM(
REGEXREPLACE(B2575,""[^a-zA-Z\s]"","""")
)
)
"),"carol")</f>
        <v>carol</v>
      </c>
      <c r="O2575" s="7">
        <f t="shared" si="5"/>
        <v>8</v>
      </c>
      <c r="P2575" s="8" t="str">
        <f t="shared" si="6"/>
        <v>Yes</v>
      </c>
    </row>
    <row r="2576">
      <c r="A2576" s="4" t="s">
        <v>16</v>
      </c>
      <c r="B2576" s="4" t="s">
        <v>7195</v>
      </c>
      <c r="C2576" s="9">
        <v>44659.0</v>
      </c>
      <c r="D2576" s="10">
        <v>44660.0</v>
      </c>
      <c r="E2576" s="4" t="s">
        <v>7196</v>
      </c>
      <c r="F2576" s="4" t="s">
        <v>331</v>
      </c>
      <c r="G2576" s="6" t="str">
        <f>IFERROR(__xludf.DUMMYFUNCTION("REGEXREPLACE(LOWER(F2576),""[^a-z\s]"","""")"),"none")</f>
        <v>none</v>
      </c>
      <c r="H2576" s="4" t="str">
        <f t="shared" si="1"/>
        <v>none</v>
      </c>
      <c r="I2576" s="6">
        <f t="shared" si="2"/>
        <v>1</v>
      </c>
      <c r="J2576" s="6">
        <f>IFERROR(__xludf.DUMMYFUNCTION("IF(H2576="""","""",
SUM(
ARRAYFORMULA(
IF(
REGEXMATCH(
"" ""&amp;H2576&amp;"" "",
"" ""&amp;Sentiment_Words!A$2:A3730&amp;"" ""
),
1,
0
)
)
)
)"),0.0)</f>
        <v>0</v>
      </c>
      <c r="K2576" s="4">
        <f>IFERROR(__xludf.DUMMYFUNCTION("IF(H2576="""","""",
SUM(
ARRAYFORMULA(
IF(
REGEXMATCH(
"" ""&amp;H2576&amp;"" "",
"" ""&amp;Sentiment_Words!B$2:B3730&amp;"" ""
),
1,
0
)
)
)
)"),0.0)</f>
        <v>0</v>
      </c>
      <c r="L2576" s="7" t="str">
        <f t="shared" si="3"/>
        <v>Other</v>
      </c>
      <c r="M2576" s="7" t="str">
        <f t="shared" si="4"/>
        <v>Neutral</v>
      </c>
      <c r="N2576" s="7" t="str">
        <f>IFERROR(__xludf.DUMMYFUNCTION("LOWER(
TRIM(
REGEXREPLACE(B2576,""[^a-zA-Z\s]"","""")
)
)
"),"alvin boyd")</f>
        <v>alvin boyd</v>
      </c>
      <c r="O2576" s="7">
        <f t="shared" si="5"/>
        <v>1</v>
      </c>
      <c r="P2576" s="8" t="str">
        <f t="shared" si="6"/>
        <v>No</v>
      </c>
    </row>
    <row r="2577">
      <c r="A2577" s="4" t="s">
        <v>16</v>
      </c>
      <c r="B2577" s="4" t="s">
        <v>7197</v>
      </c>
      <c r="C2577" s="9">
        <v>44659.0</v>
      </c>
      <c r="D2577" s="10">
        <v>44659.0</v>
      </c>
      <c r="E2577" s="4" t="s">
        <v>7198</v>
      </c>
      <c r="F2577" s="4" t="s">
        <v>331</v>
      </c>
      <c r="G2577" s="6" t="str">
        <f>IFERROR(__xludf.DUMMYFUNCTION("REGEXREPLACE(LOWER(F2577),""[^a-z\s]"","""")"),"none")</f>
        <v>none</v>
      </c>
      <c r="H2577" s="4" t="str">
        <f t="shared" si="1"/>
        <v>none</v>
      </c>
      <c r="I2577" s="6">
        <f t="shared" si="2"/>
        <v>1</v>
      </c>
      <c r="J2577" s="6">
        <f>IFERROR(__xludf.DUMMYFUNCTION("IF(H2577="""","""",
SUM(
ARRAYFORMULA(
IF(
REGEXMATCH(
"" ""&amp;H2577&amp;"" "",
"" ""&amp;Sentiment_Words!A$2:A3730&amp;"" ""
),
1,
0
)
)
)
)"),0.0)</f>
        <v>0</v>
      </c>
      <c r="K2577" s="4">
        <f>IFERROR(__xludf.DUMMYFUNCTION("IF(H2577="""","""",
SUM(
ARRAYFORMULA(
IF(
REGEXMATCH(
"" ""&amp;H2577&amp;"" "",
"" ""&amp;Sentiment_Words!B$2:B3730&amp;"" ""
),
1,
0
)
)
)
)"),0.0)</f>
        <v>0</v>
      </c>
      <c r="L2577" s="7" t="str">
        <f t="shared" si="3"/>
        <v>Other</v>
      </c>
      <c r="M2577" s="7" t="str">
        <f t="shared" si="4"/>
        <v>Neutral</v>
      </c>
      <c r="N2577" s="7" t="str">
        <f>IFERROR(__xludf.DUMMYFUNCTION("LOWER(
TRIM(
REGEXREPLACE(B2577,""[^a-zA-Z\s]"","""")
)
)
"),"connie")</f>
        <v>connie</v>
      </c>
      <c r="O2577" s="7">
        <f t="shared" si="5"/>
        <v>1</v>
      </c>
      <c r="P2577" s="8" t="str">
        <f t="shared" si="6"/>
        <v>No</v>
      </c>
    </row>
    <row r="2578">
      <c r="A2578" s="4" t="s">
        <v>16</v>
      </c>
      <c r="B2578" s="4" t="s">
        <v>7199</v>
      </c>
      <c r="C2578" s="9">
        <v>44659.0</v>
      </c>
      <c r="D2578" s="10">
        <v>44659.0</v>
      </c>
      <c r="E2578" s="4" t="s">
        <v>7200</v>
      </c>
      <c r="F2578" s="4" t="s">
        <v>7201</v>
      </c>
      <c r="G2578" s="6" t="str">
        <f>IFERROR(__xludf.DUMMYFUNCTION("REGEXREPLACE(LOWER(F2578),""[^a-z\s]"","""")"),"great company to work with provides excellent customer service")</f>
        <v>great company to work with provides excellent customer service</v>
      </c>
      <c r="H2578" s="4" t="str">
        <f t="shared" si="1"/>
        <v>great company work with provides excellent customer service</v>
      </c>
      <c r="I2578" s="6">
        <f t="shared" si="2"/>
        <v>8</v>
      </c>
      <c r="J2578" s="6">
        <f>IFERROR(__xludf.DUMMYFUNCTION("IF(H2578="""","""",
SUM(
ARRAYFORMULA(
IF(
REGEXMATCH(
"" ""&amp;H2578&amp;"" "",
"" ""&amp;Sentiment_Words!A$2:A3730&amp;"" ""
),
1,
0
)
)
)
)"),1.0)</f>
        <v>1</v>
      </c>
      <c r="K2578" s="4">
        <f>IFERROR(__xludf.DUMMYFUNCTION("IF(H2578="""","""",
SUM(
ARRAYFORMULA(
IF(
REGEXMATCH(
"" ""&amp;H2578&amp;"" "",
"" ""&amp;Sentiment_Words!B$2:B3730&amp;"" ""
),
1,
0
)
)
)
)"),1.0)</f>
        <v>1</v>
      </c>
      <c r="L2578" s="7" t="str">
        <f t="shared" si="3"/>
        <v>Customer Support</v>
      </c>
      <c r="M2578" s="7" t="str">
        <f t="shared" si="4"/>
        <v>Neutral</v>
      </c>
      <c r="N2578" s="7" t="str">
        <f>IFERROR(__xludf.DUMMYFUNCTION("LOWER(
TRIM(
REGEXREPLACE(B2578,""[^a-zA-Z\s]"","""")
)
)
"),"kimberly senackerib")</f>
        <v>kimberly senackerib</v>
      </c>
      <c r="O2578" s="7">
        <f t="shared" si="5"/>
        <v>1</v>
      </c>
      <c r="P2578" s="8" t="str">
        <f t="shared" si="6"/>
        <v>No</v>
      </c>
    </row>
    <row r="2579">
      <c r="A2579" s="4" t="s">
        <v>16</v>
      </c>
      <c r="B2579" s="4" t="s">
        <v>7202</v>
      </c>
      <c r="C2579" s="9">
        <v>44659.0</v>
      </c>
      <c r="D2579" s="10">
        <v>44659.0</v>
      </c>
      <c r="E2579" s="4" t="s">
        <v>7203</v>
      </c>
      <c r="F2579" s="4" t="s">
        <v>7204</v>
      </c>
      <c r="G2579" s="6" t="str">
        <f>IFERROR(__xludf.DUMMYFUNCTION("REGEXREPLACE(LOWER(F2579),""[^a-z\s]"","""")"),"been very happy with the price i pay for my dog food good selection of other items for my dog fast delivery")</f>
        <v>been very happy with the price i pay for my dog food good selection of other items for my dog fast delivery</v>
      </c>
      <c r="H2579" s="4" t="str">
        <f t="shared" si="1"/>
        <v>been very happy with price i pay my dog food good selection of other items my dog fast delivery</v>
      </c>
      <c r="I2579" s="6">
        <f t="shared" si="2"/>
        <v>19</v>
      </c>
      <c r="J2579" s="6">
        <f>IFERROR(__xludf.DUMMYFUNCTION("IF(H2579="""","""",
SUM(
ARRAYFORMULA(
IF(
REGEXMATCH(
"" ""&amp;H2579&amp;"" "",
"" ""&amp;Sentiment_Words!A$2:A3730&amp;"" ""
),
1,
0
)
)
)
)"),4.0)</f>
        <v>4</v>
      </c>
      <c r="K2579" s="4">
        <f>IFERROR(__xludf.DUMMYFUNCTION("IF(H2579="""","""",
SUM(
ARRAYFORMULA(
IF(
REGEXMATCH(
"" ""&amp;H2579&amp;"" "",
"" ""&amp;Sentiment_Words!B$2:B3730&amp;"" ""
),
1,
0
)
)
)
)"),0.0)</f>
        <v>0</v>
      </c>
      <c r="L2579" s="7" t="str">
        <f t="shared" si="3"/>
        <v>Other</v>
      </c>
      <c r="M2579" s="7" t="str">
        <f t="shared" si="4"/>
        <v>Positive</v>
      </c>
      <c r="N2579" s="7" t="str">
        <f>IFERROR(__xludf.DUMMYFUNCTION("LOWER(
TRIM(
REGEXREPLACE(B2579,""[^a-zA-Z\s]"","""")
)
)
"),"linda willey")</f>
        <v>linda willey</v>
      </c>
      <c r="O2579" s="7">
        <f t="shared" si="5"/>
        <v>1</v>
      </c>
      <c r="P2579" s="8" t="str">
        <f t="shared" si="6"/>
        <v>No</v>
      </c>
    </row>
    <row r="2580">
      <c r="A2580" s="4" t="s">
        <v>16</v>
      </c>
      <c r="B2580" s="4" t="s">
        <v>7205</v>
      </c>
      <c r="C2580" s="9">
        <v>44659.0</v>
      </c>
      <c r="D2580" s="10">
        <v>44659.0</v>
      </c>
      <c r="E2580" s="4" t="s">
        <v>7206</v>
      </c>
      <c r="F2580" s="4" t="s">
        <v>7207</v>
      </c>
      <c r="G2580" s="6" t="str">
        <f>IFERROR(__xludf.DUMMYFUNCTION("REGEXREPLACE(LOWER(F2580),""[^a-z\s]"","""")"),"best customer service calls are actually answered quickly by humans that are always helpful and resolve issues")</f>
        <v>best customer service calls are actually answered quickly by humans that are always helpful and resolve issues</v>
      </c>
      <c r="H2580" s="4" t="str">
        <f t="shared" si="1"/>
        <v>best customer service calls are actually answered quickly by humans that are always helpful resolve issues</v>
      </c>
      <c r="I2580" s="6">
        <f t="shared" si="2"/>
        <v>16</v>
      </c>
      <c r="J2580" s="6">
        <f>IFERROR(__xludf.DUMMYFUNCTION("IF(H2580="""","""",
SUM(
ARRAYFORMULA(
IF(
REGEXMATCH(
"" ""&amp;H2580&amp;"" "",
"" ""&amp;Sentiment_Words!A$2:A3730&amp;"" ""
),
1,
0
)
)
)
)"),1.0)</f>
        <v>1</v>
      </c>
      <c r="K2580" s="4">
        <f>IFERROR(__xludf.DUMMYFUNCTION("IF(H2580="""","""",
SUM(
ARRAYFORMULA(
IF(
REGEXMATCH(
"" ""&amp;H2580&amp;"" "",
"" ""&amp;Sentiment_Words!B$2:B3730&amp;"" ""
),
1,
0
)
)
)
)"),1.0)</f>
        <v>1</v>
      </c>
      <c r="L2580" s="7" t="str">
        <f t="shared" si="3"/>
        <v>Customer Support</v>
      </c>
      <c r="M2580" s="7" t="str">
        <f t="shared" si="4"/>
        <v>Neutral</v>
      </c>
      <c r="N2580" s="7" t="str">
        <f>IFERROR(__xludf.DUMMYFUNCTION("LOWER(
TRIM(
REGEXREPLACE(B2580,""[^a-zA-Z\s]"","""")
)
)
"),"marcia randazzo")</f>
        <v>marcia randazzo</v>
      </c>
      <c r="O2580" s="7">
        <f t="shared" si="5"/>
        <v>1</v>
      </c>
      <c r="P2580" s="8" t="str">
        <f t="shared" si="6"/>
        <v>No</v>
      </c>
    </row>
    <row r="2581">
      <c r="A2581" s="4" t="s">
        <v>16</v>
      </c>
      <c r="B2581" s="4" t="s">
        <v>7208</v>
      </c>
      <c r="C2581" s="9">
        <v>44659.0</v>
      </c>
      <c r="D2581" s="10">
        <v>44659.0</v>
      </c>
      <c r="E2581" s="4" t="s">
        <v>7209</v>
      </c>
      <c r="F2581" s="4" t="s">
        <v>7210</v>
      </c>
      <c r="G2581" s="6" t="str">
        <f>IFERROR(__xludf.DUMMYFUNCTION("REGEXREPLACE(LOWER(F2581),""[^a-z\s]"","""")"),"my last order was supposed to be  canine caviar buffalo toothpick dog treats  i was sent one in a box so i was  short not the first time that has happened either the most frustrating part about this time was that when i called customer service they said t"&amp;"hey were going to send me a box out immediately and i then got an email notification saying they had run out so i would be given a refund the first time this happened i chalked it up as a processing mistake second time plus other shipping issues ive had m"&amp;"ade me realize there are definitely some order processing problems at the warehouses its very frustrating because i like the prices in the speed in which orders are handled but seems to be a lot of mistakes made with orders that shouldnt happen i doubt th"&amp;"ere are a lot of people that would pay  for one buffalo toothpick treat but you would think that might catch someones eye when theyre filling the order on the positive side every time i call customer service they are excellent to deal with")</f>
        <v>my last order was supposed to be  canine caviar buffalo toothpick dog treats  i was sent one in a box so i was  short not the first time that has happened either the most frustrating part about this time was that when i called customer service they said they were going to send me a box out immediately and i then got an email notification saying they had run out so i would be given a refund the first time this happened i chalked it up as a processing mistake second time plus other shipping issues ive had made me realize there are definitely some order processing problems at the warehouses its very frustrating because i like the prices in the speed in which orders are handled but seems to be a lot of mistakes made with orders that shouldnt happen i doubt there are a lot of people that would pay  for one buffalo toothpick treat but you would think that might catch someones eye when theyre filling the order on the positive side every time i call customer service they are excellent to deal with</v>
      </c>
      <c r="H2581" s="4" t="str">
        <f t="shared" si="1"/>
        <v>my last order was supposed be canine caviar buffalo toothpick dog treats i was sent one in a box so i was short not first time that has happened either most frustrating part about this time was that when i called customer service they said they were going send me a box out immediately i then got an email notification saying they had run out so i would be given a refund first time this happened i chalked it up as a processing mistake second time plus other shipping issues ive had made me realize there are definitely some order processing problems at warehouses its very frustrating because i like prices in speed in which orders are handled but seems be a lot of mistakes made with orders that shouldnt happen i doubt there are a lot of people that would pay one buffalo toothpick treat but you would think that might catch someones eye when theyre filling order on positive side every time i call customer service they are excellent deal with</v>
      </c>
      <c r="I2581" s="6">
        <f t="shared" si="2"/>
        <v>173</v>
      </c>
      <c r="J2581" s="6">
        <f>IFERROR(__xludf.DUMMYFUNCTION("IF(H2581="""","""",
SUM(
ARRAYFORMULA(
IF(
REGEXMATCH(
"" ""&amp;H2581&amp;"" "",
"" ""&amp;Sentiment_Words!A$2:A3730&amp;"" ""
),
1,
0
)
)
)
)"),1.0)</f>
        <v>1</v>
      </c>
      <c r="K2581" s="4">
        <f>IFERROR(__xludf.DUMMYFUNCTION("IF(H2581="""","""",
SUM(
ARRAYFORMULA(
IF(
REGEXMATCH(
"" ""&amp;H2581&amp;"" "",
"" ""&amp;Sentiment_Words!B$2:B3730&amp;"" ""
),
1,
0
)
)
)
)"),4.0)</f>
        <v>4</v>
      </c>
      <c r="L2581" s="7" t="str">
        <f t="shared" si="3"/>
        <v>Customer Support</v>
      </c>
      <c r="M2581" s="7" t="str">
        <f t="shared" si="4"/>
        <v>Negative</v>
      </c>
      <c r="N2581" s="7" t="str">
        <f>IFERROR(__xludf.DUMMYFUNCTION("LOWER(
TRIM(
REGEXREPLACE(B2581,""[^a-zA-Z\s]"","""")
)
)
"),"christine b")</f>
        <v>christine b</v>
      </c>
      <c r="O2581" s="7">
        <f t="shared" si="5"/>
        <v>2</v>
      </c>
      <c r="P2581" s="8" t="str">
        <f t="shared" si="6"/>
        <v>Yes</v>
      </c>
    </row>
    <row r="2582">
      <c r="A2582" s="4" t="s">
        <v>16</v>
      </c>
      <c r="B2582" s="4" t="s">
        <v>7211</v>
      </c>
      <c r="C2582" s="9">
        <v>44659.0</v>
      </c>
      <c r="D2582" s="10">
        <v>44659.0</v>
      </c>
      <c r="E2582" s="4" t="s">
        <v>7212</v>
      </c>
      <c r="F2582" s="4" t="s">
        <v>7213</v>
      </c>
      <c r="G2582" s="6" t="str">
        <f>IFERROR(__xludf.DUMMYFUNCTION("REGEXREPLACE(LOWER(F2582),""[^a-z\s]"","""")"),"vet approved and im a vet ")</f>
        <v>vet approved and im a vet </v>
      </c>
      <c r="H2582" s="4" t="str">
        <f t="shared" si="1"/>
        <v>vet approved im a vet</v>
      </c>
      <c r="I2582" s="6">
        <f t="shared" si="2"/>
        <v>5</v>
      </c>
      <c r="J2582" s="6">
        <f>IFERROR(__xludf.DUMMYFUNCTION("IF(H2582="""","""",
SUM(
ARRAYFORMULA(
IF(
REGEXMATCH(
"" ""&amp;H2582&amp;"" "",
"" ""&amp;Sentiment_Words!A$2:A3730&amp;"" ""
),
1,
0
)
)
)
)"),0.0)</f>
        <v>0</v>
      </c>
      <c r="K2582" s="4">
        <f>IFERROR(__xludf.DUMMYFUNCTION("IF(H2582="""","""",
SUM(
ARRAYFORMULA(
IF(
REGEXMATCH(
"" ""&amp;H2582&amp;"" "",
"" ""&amp;Sentiment_Words!B$2:B3730&amp;"" ""
),
1,
0
)
)
)
)"),0.0)</f>
        <v>0</v>
      </c>
      <c r="L2582" s="7" t="str">
        <f t="shared" si="3"/>
        <v>Other</v>
      </c>
      <c r="M2582" s="7" t="str">
        <f t="shared" si="4"/>
        <v>Neutral</v>
      </c>
      <c r="N2582" s="7" t="str">
        <f>IFERROR(__xludf.DUMMYFUNCTION("LOWER(
TRIM(
REGEXREPLACE(B2582,""[^a-zA-Z\s]"","""")
)
)
"),"sara")</f>
        <v>sara</v>
      </c>
      <c r="O2582" s="7">
        <f t="shared" si="5"/>
        <v>3</v>
      </c>
      <c r="P2582" s="8" t="str">
        <f t="shared" si="6"/>
        <v>Yes</v>
      </c>
    </row>
    <row r="2583">
      <c r="A2583" s="4" t="s">
        <v>16</v>
      </c>
      <c r="B2583" s="4" t="s">
        <v>7214</v>
      </c>
      <c r="C2583" s="9">
        <v>44659.0</v>
      </c>
      <c r="D2583" s="10">
        <v>44659.0</v>
      </c>
      <c r="E2583" s="4" t="s">
        <v>7215</v>
      </c>
      <c r="F2583" s="4" t="s">
        <v>7216</v>
      </c>
      <c r="G2583" s="6" t="str">
        <f>IFERROR(__xludf.DUMMYFUNCTION("REGEXREPLACE(LOWER(F2583),""[^a-z\s]"","""")"),"i never received my order told my credit card was not valid it was a good credit card there was nothing i could do to correct any info so as a result i will not be using your website sorry i like convenience of shopping on line")</f>
        <v>i never received my order told my credit card was not valid it was a good credit card there was nothing i could do to correct any info so as a result i will not be using your website sorry i like convenience of shopping on line</v>
      </c>
      <c r="H2583" s="4" t="str">
        <f t="shared" si="1"/>
        <v>i never received my order told my credit card was not valid it was a good credit card there was nothing i could do correct any info so as a result i will not be using your website sorry i like convenience of shopping on line</v>
      </c>
      <c r="I2583" s="6">
        <f t="shared" si="2"/>
        <v>46</v>
      </c>
      <c r="J2583" s="6">
        <f>IFERROR(__xludf.DUMMYFUNCTION("IF(H2583="""","""",
SUM(
ARRAYFORMULA(
IF(
REGEXMATCH(
"" ""&amp;H2583&amp;"" "",
"" ""&amp;Sentiment_Words!A$2:A3730&amp;"" ""
),
1,
0
)
)
)
)"),1.0)</f>
        <v>1</v>
      </c>
      <c r="K2583" s="4">
        <f>IFERROR(__xludf.DUMMYFUNCTION("IF(H2583="""","""",
SUM(
ARRAYFORMULA(
IF(
REGEXMATCH(
"" ""&amp;H2583&amp;"" "",
"" ""&amp;Sentiment_Words!B$2:B3730&amp;"" ""
),
1,
0
)
)
)
)"),0.0)</f>
        <v>0</v>
      </c>
      <c r="L2583" s="7" t="str">
        <f t="shared" si="3"/>
        <v>Account &amp; Website</v>
      </c>
      <c r="M2583" s="7" t="str">
        <f t="shared" si="4"/>
        <v>Positive</v>
      </c>
      <c r="N2583" s="7" t="str">
        <f>IFERROR(__xludf.DUMMYFUNCTION("LOWER(
TRIM(
REGEXREPLACE(B2583,""[^a-zA-Z\s]"","""")
)
)
"),"laura clark")</f>
        <v>laura clark</v>
      </c>
      <c r="O2583" s="7">
        <f t="shared" si="5"/>
        <v>1</v>
      </c>
      <c r="P2583" s="8" t="str">
        <f t="shared" si="6"/>
        <v>No</v>
      </c>
    </row>
    <row r="2584">
      <c r="A2584" s="4" t="s">
        <v>16</v>
      </c>
      <c r="B2584" s="4" t="s">
        <v>7217</v>
      </c>
      <c r="C2584" s="9">
        <v>44658.0</v>
      </c>
      <c r="D2584" s="10">
        <v>44659.0</v>
      </c>
      <c r="E2584" s="4" t="s">
        <v>7218</v>
      </c>
      <c r="F2584" s="4" t="s">
        <v>7219</v>
      </c>
      <c r="G2584" s="6" t="str">
        <f>IFERROR(__xludf.DUMMYFUNCTION("REGEXREPLACE(LOWER(F2584),""[^a-z\s]"","""")"),"the entire process of getting my dogs prescription liver support dog food was quick and easy")</f>
        <v>the entire process of getting my dogs prescription liver support dog food was quick and easy</v>
      </c>
      <c r="H2584" s="4" t="str">
        <f t="shared" si="1"/>
        <v>entire process of getting my dogs prescription liver support dog food was quick easy</v>
      </c>
      <c r="I2584" s="6">
        <f t="shared" si="2"/>
        <v>14</v>
      </c>
      <c r="J2584" s="6">
        <f>IFERROR(__xludf.DUMMYFUNCTION("IF(H2584="""","""",
SUM(
ARRAYFORMULA(
IF(
REGEXMATCH(
"" ""&amp;H2584&amp;"" "",
"" ""&amp;Sentiment_Words!A$2:A3730&amp;"" ""
),
1,
0
)
)
)
)"),1.0)</f>
        <v>1</v>
      </c>
      <c r="K2584" s="4">
        <f>IFERROR(__xludf.DUMMYFUNCTION("IF(H2584="""","""",
SUM(
ARRAYFORMULA(
IF(
REGEXMATCH(
"" ""&amp;H2584&amp;"" "",
"" ""&amp;Sentiment_Words!B$2:B3730&amp;"" ""
),
1,
0
)
)
)
)"),0.0)</f>
        <v>0</v>
      </c>
      <c r="L2584" s="7" t="str">
        <f t="shared" si="3"/>
        <v>Customer Support</v>
      </c>
      <c r="M2584" s="7" t="str">
        <f t="shared" si="4"/>
        <v>Positive</v>
      </c>
      <c r="N2584" s="7" t="str">
        <f>IFERROR(__xludf.DUMMYFUNCTION("LOWER(
TRIM(
REGEXREPLACE(B2584,""[^a-zA-Z\s]"","""")
)
)
"),"jana dickey")</f>
        <v>jana dickey</v>
      </c>
      <c r="O2584" s="7">
        <f t="shared" si="5"/>
        <v>1</v>
      </c>
      <c r="P2584" s="8" t="str">
        <f t="shared" si="6"/>
        <v>No</v>
      </c>
    </row>
    <row r="2585">
      <c r="A2585" s="4" t="s">
        <v>16</v>
      </c>
      <c r="B2585" s="4" t="s">
        <v>7220</v>
      </c>
      <c r="C2585" s="9">
        <v>44658.0</v>
      </c>
      <c r="D2585" s="10">
        <v>44658.0</v>
      </c>
      <c r="E2585" s="4" t="s">
        <v>7221</v>
      </c>
      <c r="F2585" s="4" t="s">
        <v>7222</v>
      </c>
      <c r="G2585" s="6" t="str">
        <f>IFERROR(__xludf.DUMMYFUNCTION("REGEXREPLACE(LOWER(F2585),""[^a-z\s]"","""")"),"great prices fast shipping and easy to use website whats not to love my new goto place for everything my maltipoo puppy needs")</f>
        <v>great prices fast shipping and easy to use website whats not to love my new goto place for everything my maltipoo puppy needs</v>
      </c>
      <c r="H2585" s="4" t="str">
        <f t="shared" si="1"/>
        <v>great prices fast shipping easy use website whats not love my new goto place everything my maltipoo puppy needs</v>
      </c>
      <c r="I2585" s="6">
        <f t="shared" si="2"/>
        <v>19</v>
      </c>
      <c r="J2585" s="6">
        <f>IFERROR(__xludf.DUMMYFUNCTION("IF(H2585="""","""",
SUM(
ARRAYFORMULA(
IF(
REGEXMATCH(
"" ""&amp;H2585&amp;"" "",
"" ""&amp;Sentiment_Words!A$2:A3730&amp;"" ""
),
1,
0
)
)
)
)"),4.0)</f>
        <v>4</v>
      </c>
      <c r="K2585" s="4">
        <f>IFERROR(__xludf.DUMMYFUNCTION("IF(H2585="""","""",
SUM(
ARRAYFORMULA(
IF(
REGEXMATCH(
"" ""&amp;H2585&amp;"" "",
"" ""&amp;Sentiment_Words!B$2:B3730&amp;"" ""
),
1,
0
)
)
)
)"),0.0)</f>
        <v>0</v>
      </c>
      <c r="L2585" s="7" t="str">
        <f t="shared" si="3"/>
        <v>Account &amp; Website</v>
      </c>
      <c r="M2585" s="7" t="str">
        <f t="shared" si="4"/>
        <v>Positive</v>
      </c>
      <c r="N2585" s="7" t="str">
        <f>IFERROR(__xludf.DUMMYFUNCTION("LOWER(
TRIM(
REGEXREPLACE(B2585,""[^a-zA-Z\s]"","""")
)
)
"),"patricia bowman")</f>
        <v>patricia bowman</v>
      </c>
      <c r="O2585" s="7">
        <f t="shared" si="5"/>
        <v>1</v>
      </c>
      <c r="P2585" s="8" t="str">
        <f t="shared" si="6"/>
        <v>No</v>
      </c>
    </row>
    <row r="2586">
      <c r="A2586" s="4" t="s">
        <v>16</v>
      </c>
      <c r="B2586" s="4" t="s">
        <v>7223</v>
      </c>
      <c r="C2586" s="9">
        <v>44658.0</v>
      </c>
      <c r="D2586" s="10">
        <v>44658.0</v>
      </c>
      <c r="E2586" s="4" t="s">
        <v>7224</v>
      </c>
      <c r="F2586" s="4" t="s">
        <v>7225</v>
      </c>
      <c r="G2586" s="6" t="str">
        <f>IFERROR(__xludf.DUMMYFUNCTION("REGEXREPLACE(LOWER(F2586),""[^a-z\s]"","""")"),"your customer service team is fast efficient and respectful thank you for hiring outstanding people")</f>
        <v>your customer service team is fast efficient and respectful thank you for hiring outstanding people</v>
      </c>
      <c r="H2586" s="4" t="str">
        <f t="shared" si="1"/>
        <v>your customer service team fast efficient respectful thank you hiring outstanding people</v>
      </c>
      <c r="I2586" s="6">
        <f t="shared" si="2"/>
        <v>12</v>
      </c>
      <c r="J2586" s="6">
        <f>IFERROR(__xludf.DUMMYFUNCTION("IF(H2586="""","""",
SUM(
ARRAYFORMULA(
IF(
REGEXMATCH(
"" ""&amp;H2586&amp;"" "",
"" ""&amp;Sentiment_Words!A$2:A3730&amp;"" ""
),
1,
0
)
)
)
)"),2.0)</f>
        <v>2</v>
      </c>
      <c r="K2586" s="4">
        <f>IFERROR(__xludf.DUMMYFUNCTION("IF(H2586="""","""",
SUM(
ARRAYFORMULA(
IF(
REGEXMATCH(
"" ""&amp;H2586&amp;"" "",
"" ""&amp;Sentiment_Words!B$2:B3730&amp;"" ""
),
1,
0
)
)
)
)"),1.0)</f>
        <v>1</v>
      </c>
      <c r="L2586" s="7" t="str">
        <f t="shared" si="3"/>
        <v>Customer Support</v>
      </c>
      <c r="M2586" s="7" t="str">
        <f t="shared" si="4"/>
        <v>Positive</v>
      </c>
      <c r="N2586" s="7" t="str">
        <f>IFERROR(__xludf.DUMMYFUNCTION("LOWER(
TRIM(
REGEXREPLACE(B2586,""[^a-zA-Z\s]"","""")
)
)
"),"david lease")</f>
        <v>david lease</v>
      </c>
      <c r="O2586" s="7">
        <f t="shared" si="5"/>
        <v>1</v>
      </c>
      <c r="P2586" s="8" t="str">
        <f t="shared" si="6"/>
        <v>No</v>
      </c>
    </row>
    <row r="2587">
      <c r="A2587" s="4" t="s">
        <v>16</v>
      </c>
      <c r="B2587" s="4" t="s">
        <v>7226</v>
      </c>
      <c r="C2587" s="9">
        <v>44658.0</v>
      </c>
      <c r="D2587" s="10">
        <v>44658.0</v>
      </c>
      <c r="E2587" s="4" t="s">
        <v>7227</v>
      </c>
      <c r="F2587" s="4" t="s">
        <v>7228</v>
      </c>
      <c r="G2587" s="6" t="str">
        <f>IFERROR(__xludf.DUMMYFUNCTION("REGEXREPLACE(LOWER(F2587),""[^a-z\s]"","""")"),"whenever ive contacted customer service they have always been very helpful and so nice their pricing is great and shipping is fast")</f>
        <v>whenever ive contacted customer service they have always been very helpful and so nice their pricing is great and shipping is fast</v>
      </c>
      <c r="H2587" s="4" t="str">
        <f t="shared" si="1"/>
        <v>whenever ive contacted customer service they have always been very helpful so nice their pricing great shipping fast</v>
      </c>
      <c r="I2587" s="6">
        <f t="shared" si="2"/>
        <v>18</v>
      </c>
      <c r="J2587" s="6">
        <f>IFERROR(__xludf.DUMMYFUNCTION("IF(H2587="""","""",
SUM(
ARRAYFORMULA(
IF(
REGEXMATCH(
"" ""&amp;H2587&amp;"" "",
"" ""&amp;Sentiment_Words!A$2:A3730&amp;"" ""
),
1,
0
)
)
)
)"),3.0)</f>
        <v>3</v>
      </c>
      <c r="K2587" s="4">
        <f>IFERROR(__xludf.DUMMYFUNCTION("IF(H2587="""","""",
SUM(
ARRAYFORMULA(
IF(
REGEXMATCH(
"" ""&amp;H2587&amp;"" "",
"" ""&amp;Sentiment_Words!B$2:B3730&amp;"" ""
),
1,
0
)
)
)
)"),1.0)</f>
        <v>1</v>
      </c>
      <c r="L2587" s="7" t="str">
        <f t="shared" si="3"/>
        <v>Customer Support</v>
      </c>
      <c r="M2587" s="7" t="str">
        <f t="shared" si="4"/>
        <v>Positive</v>
      </c>
      <c r="N2587" s="7" t="str">
        <f>IFERROR(__xludf.DUMMYFUNCTION("LOWER(
TRIM(
REGEXREPLACE(B2587,""[^a-zA-Z\s]"","""")
)
)
"),"eileen k")</f>
        <v>eileen k</v>
      </c>
      <c r="O2587" s="7">
        <f t="shared" si="5"/>
        <v>1</v>
      </c>
      <c r="P2587" s="8" t="str">
        <f t="shared" si="6"/>
        <v>No</v>
      </c>
    </row>
    <row r="2588">
      <c r="A2588" s="4" t="s">
        <v>16</v>
      </c>
      <c r="B2588" s="4" t="s">
        <v>7229</v>
      </c>
      <c r="C2588" s="9">
        <v>44658.0</v>
      </c>
      <c r="D2588" s="10">
        <v>44658.0</v>
      </c>
      <c r="E2588" s="4" t="s">
        <v>7230</v>
      </c>
      <c r="F2588" s="4" t="s">
        <v>7231</v>
      </c>
      <c r="G2588" s="6" t="str">
        <f>IFERROR(__xludf.DUMMYFUNCTION("REGEXREPLACE(LOWER(F2588),""[^a-z\s]"","""")"),"i am very satisfied with petflow feed products i find this company dependable while trying to keep costs within reason for the consumer i like the convenience of many products available for dogs as well as cats free shipping is appreciated with prompt and"&amp;" reliable service i find the web site easy to navigate thank you petflow and associates for your appreciated service")</f>
        <v>i am very satisfied with petflow feed products i find this company dependable while trying to keep costs within reason for the consumer i like the convenience of many products available for dogs as well as cats free shipping is appreciated with prompt and reliable service i find the web site easy to navigate thank you petflow and associates for your appreciated service</v>
      </c>
      <c r="H2588" s="4" t="str">
        <f t="shared" si="1"/>
        <v>i am very satisfied with petflow feed products i find this company dependable while trying keep costs within reason consumer i like convenience of many products available dogs as well as cats free shipping appreciated with prompt reliable service i find web site easy navigate thank you petflow associates your appreciated service</v>
      </c>
      <c r="I2588" s="6">
        <f t="shared" si="2"/>
        <v>52</v>
      </c>
      <c r="J2588" s="6">
        <f>IFERROR(__xludf.DUMMYFUNCTION("IF(H2588="""","""",
SUM(
ARRAYFORMULA(
IF(
REGEXMATCH(
"" ""&amp;H2588&amp;"" "",
"" ""&amp;Sentiment_Words!A$2:A3730&amp;"" ""
),
1,
0
)
)
)
)"),5.0)</f>
        <v>5</v>
      </c>
      <c r="K2588" s="4">
        <f>IFERROR(__xludf.DUMMYFUNCTION("IF(H2588="""","""",
SUM(
ARRAYFORMULA(
IF(
REGEXMATCH(
"" ""&amp;H2588&amp;"" "",
"" ""&amp;Sentiment_Words!B$2:B3730&amp;"" ""
),
1,
0
)
)
)
)"),0.0)</f>
        <v>0</v>
      </c>
      <c r="L2588" s="7" t="str">
        <f t="shared" si="3"/>
        <v>Customer Support</v>
      </c>
      <c r="M2588" s="7" t="str">
        <f t="shared" si="4"/>
        <v>Positive</v>
      </c>
      <c r="N2588" s="7" t="str">
        <f>IFERROR(__xludf.DUMMYFUNCTION("LOWER(
TRIM(
REGEXREPLACE(B2588,""[^a-zA-Z\s]"","""")
)
)
"),"tone thorstenson")</f>
        <v>tone thorstenson</v>
      </c>
      <c r="O2588" s="7">
        <f t="shared" si="5"/>
        <v>1</v>
      </c>
      <c r="P2588" s="8" t="str">
        <f t="shared" si="6"/>
        <v>No</v>
      </c>
    </row>
    <row r="2589">
      <c r="A2589" s="4" t="s">
        <v>16</v>
      </c>
      <c r="B2589" s="4" t="s">
        <v>6961</v>
      </c>
      <c r="C2589" s="9">
        <v>44657.0</v>
      </c>
      <c r="D2589" s="10">
        <v>44657.0</v>
      </c>
      <c r="E2589" s="4" t="s">
        <v>7232</v>
      </c>
      <c r="F2589" s="4" t="s">
        <v>7233</v>
      </c>
      <c r="G2589" s="6" t="str">
        <f>IFERROR(__xludf.DUMMYFUNCTION("REGEXREPLACE(LOWER(F2589),""[^a-z\s]"","""")"),"my order was accurate prompt and a good competitive price so thankful we found you we will be reordering for our sweet pups and kitties")</f>
        <v>my order was accurate prompt and a good competitive price so thankful we found you we will be reordering for our sweet pups and kitties</v>
      </c>
      <c r="H2589" s="4" t="str">
        <f t="shared" si="1"/>
        <v>my order was accurate prompt a good competitive price so thankful we found you we will be reordering our sweet pups kitties</v>
      </c>
      <c r="I2589" s="6">
        <f t="shared" si="2"/>
        <v>22</v>
      </c>
      <c r="J2589" s="6">
        <f>IFERROR(__xludf.DUMMYFUNCTION("IF(H2589="""","""",
SUM(
ARRAYFORMULA(
IF(
REGEXMATCH(
"" ""&amp;H2589&amp;"" "",
"" ""&amp;Sentiment_Words!A$2:A3730&amp;"" ""
),
1,
0
)
)
)
)"),3.0)</f>
        <v>3</v>
      </c>
      <c r="K2589" s="4">
        <f>IFERROR(__xludf.DUMMYFUNCTION("IF(H2589="""","""",
SUM(
ARRAYFORMULA(
IF(
REGEXMATCH(
"" ""&amp;H2589&amp;"" "",
"" ""&amp;Sentiment_Words!B$2:B3730&amp;"" ""
),
1,
0
)
)
)
)"),0.0)</f>
        <v>0</v>
      </c>
      <c r="L2589" s="7" t="str">
        <f t="shared" si="3"/>
        <v>Other</v>
      </c>
      <c r="M2589" s="7" t="str">
        <f t="shared" si="4"/>
        <v>Positive</v>
      </c>
      <c r="N2589" s="7" t="str">
        <f>IFERROR(__xludf.DUMMYFUNCTION("LOWER(
TRIM(
REGEXREPLACE(B2589,""[^a-zA-Z\s]"","""")
)
)
"),"shirley")</f>
        <v>shirley</v>
      </c>
      <c r="O2589" s="7">
        <f t="shared" si="5"/>
        <v>4</v>
      </c>
      <c r="P2589" s="8" t="str">
        <f t="shared" si="6"/>
        <v>Yes</v>
      </c>
    </row>
    <row r="2590">
      <c r="A2590" s="4" t="s">
        <v>16</v>
      </c>
      <c r="B2590" s="4" t="s">
        <v>7234</v>
      </c>
      <c r="C2590" s="9">
        <v>44657.0</v>
      </c>
      <c r="D2590" s="10">
        <v>44657.0</v>
      </c>
      <c r="E2590" s="4" t="s">
        <v>725</v>
      </c>
      <c r="F2590" s="4" t="s">
        <v>7235</v>
      </c>
      <c r="G2590" s="6" t="str">
        <f>IFERROR(__xludf.DUMMYFUNCTION("REGEXREPLACE(LOWER(F2590),""[^a-z\s]"","""")"),"first shipment of dog food was good second shipment had the wrong food shipped")</f>
        <v>first shipment of dog food was good second shipment had the wrong food shipped</v>
      </c>
      <c r="H2590" s="4" t="str">
        <f t="shared" si="1"/>
        <v>first shipment of dog food was good second shipment had wrong food shipped</v>
      </c>
      <c r="I2590" s="6">
        <f t="shared" si="2"/>
        <v>13</v>
      </c>
      <c r="J2590" s="6">
        <f>IFERROR(__xludf.DUMMYFUNCTION("IF(H2590="""","""",
SUM(
ARRAYFORMULA(
IF(
REGEXMATCH(
"" ""&amp;H2590&amp;"" "",
"" ""&amp;Sentiment_Words!A$2:A3730&amp;"" ""
),
1,
0
)
)
)
)"),1.0)</f>
        <v>1</v>
      </c>
      <c r="K2590" s="4">
        <f>IFERROR(__xludf.DUMMYFUNCTION("IF(H2590="""","""",
SUM(
ARRAYFORMULA(
IF(
REGEXMATCH(
"" ""&amp;H2590&amp;"" "",
"" ""&amp;Sentiment_Words!B$2:B3730&amp;"" ""
),
1,
0
)
)
)
)"),1.0)</f>
        <v>1</v>
      </c>
      <c r="L2590" s="7" t="str">
        <f t="shared" si="3"/>
        <v>Fulfillment &amp; Shipping</v>
      </c>
      <c r="M2590" s="7" t="str">
        <f t="shared" si="4"/>
        <v>Neutral</v>
      </c>
      <c r="N2590" s="7" t="str">
        <f>IFERROR(__xludf.DUMMYFUNCTION("LOWER(
TRIM(
REGEXREPLACE(B2590,""[^a-zA-Z\s]"","""")
)
)
"),"linda stimson")</f>
        <v>linda stimson</v>
      </c>
      <c r="O2590" s="7">
        <f t="shared" si="5"/>
        <v>1</v>
      </c>
      <c r="P2590" s="8" t="str">
        <f t="shared" si="6"/>
        <v>No</v>
      </c>
    </row>
    <row r="2591">
      <c r="A2591" s="4" t="s">
        <v>16</v>
      </c>
      <c r="B2591" s="4" t="s">
        <v>7236</v>
      </c>
      <c r="C2591" s="9">
        <v>44657.0</v>
      </c>
      <c r="D2591" s="10">
        <v>44657.0</v>
      </c>
      <c r="E2591" s="4" t="s">
        <v>7237</v>
      </c>
      <c r="F2591" s="4" t="s">
        <v>7238</v>
      </c>
      <c r="G2591" s="6" t="str">
        <f>IFERROR(__xludf.DUMMYFUNCTION("REGEXREPLACE(LOWER(F2591),""[^a-z\s]"","""")"),"they had what i was looking for  delivery was quick and easy")</f>
        <v>they had what i was looking for  delivery was quick and easy</v>
      </c>
      <c r="H2591" s="4" t="str">
        <f t="shared" si="1"/>
        <v>they had what i was looking delivery was quick easy</v>
      </c>
      <c r="I2591" s="6">
        <f t="shared" si="2"/>
        <v>10</v>
      </c>
      <c r="J2591" s="6">
        <f>IFERROR(__xludf.DUMMYFUNCTION("IF(H2591="""","""",
SUM(
ARRAYFORMULA(
IF(
REGEXMATCH(
"" ""&amp;H2591&amp;"" "",
"" ""&amp;Sentiment_Words!A$2:A3730&amp;"" ""
),
1,
0
)
)
)
)"),1.0)</f>
        <v>1</v>
      </c>
      <c r="K2591" s="4">
        <f>IFERROR(__xludf.DUMMYFUNCTION("IF(H2591="""","""",
SUM(
ARRAYFORMULA(
IF(
REGEXMATCH(
"" ""&amp;H2591&amp;"" "",
"" ""&amp;Sentiment_Words!B$2:B3730&amp;"" ""
),
1,
0
)
)
)
)"),0.0)</f>
        <v>0</v>
      </c>
      <c r="L2591" s="7" t="str">
        <f t="shared" si="3"/>
        <v>Other</v>
      </c>
      <c r="M2591" s="7" t="str">
        <f t="shared" si="4"/>
        <v>Positive</v>
      </c>
      <c r="N2591" s="7" t="str">
        <f>IFERROR(__xludf.DUMMYFUNCTION("LOWER(
TRIM(
REGEXREPLACE(B2591,""[^a-zA-Z\s]"","""")
)
)
"),"jacqueline hunter")</f>
        <v>jacqueline hunter</v>
      </c>
      <c r="O2591" s="7">
        <f t="shared" si="5"/>
        <v>1</v>
      </c>
      <c r="P2591" s="8" t="str">
        <f t="shared" si="6"/>
        <v>No</v>
      </c>
    </row>
    <row r="2592">
      <c r="A2592" s="4" t="s">
        <v>16</v>
      </c>
      <c r="B2592" s="4" t="s">
        <v>7239</v>
      </c>
      <c r="C2592" s="9">
        <v>44657.0</v>
      </c>
      <c r="D2592" s="10">
        <v>44657.0</v>
      </c>
      <c r="E2592" s="4" t="s">
        <v>7240</v>
      </c>
      <c r="F2592" s="4" t="s">
        <v>7241</v>
      </c>
      <c r="G2592" s="6" t="str">
        <f>IFERROR(__xludf.DUMMYFUNCTION("REGEXREPLACE(LOWER(F2592),""[^a-z\s]"","""")"),"love the selection and the speedy delivery")</f>
        <v>love the selection and the speedy delivery</v>
      </c>
      <c r="H2592" s="4" t="str">
        <f t="shared" si="1"/>
        <v>love selection speedy delivery</v>
      </c>
      <c r="I2592" s="6">
        <f t="shared" si="2"/>
        <v>4</v>
      </c>
      <c r="J2592" s="6">
        <f>IFERROR(__xludf.DUMMYFUNCTION("IF(H2592="""","""",
SUM(
ARRAYFORMULA(
IF(
REGEXMATCH(
"" ""&amp;H2592&amp;"" "",
"" ""&amp;Sentiment_Words!A$2:A3730&amp;"" ""
),
1,
0
)
)
)
)"),1.0)</f>
        <v>1</v>
      </c>
      <c r="K2592" s="4">
        <f>IFERROR(__xludf.DUMMYFUNCTION("IF(H2592="""","""",
SUM(
ARRAYFORMULA(
IF(
REGEXMATCH(
"" ""&amp;H2592&amp;"" "",
"" ""&amp;Sentiment_Words!B$2:B3730&amp;"" ""
),
1,
0
)
)
)
)"),0.0)</f>
        <v>0</v>
      </c>
      <c r="L2592" s="7" t="str">
        <f t="shared" si="3"/>
        <v>Other</v>
      </c>
      <c r="M2592" s="7" t="str">
        <f t="shared" si="4"/>
        <v>Positive</v>
      </c>
      <c r="N2592" s="7" t="str">
        <f>IFERROR(__xludf.DUMMYFUNCTION("LOWER(
TRIM(
REGEXREPLACE(B2592,""[^a-zA-Z\s]"","""")
)
)
"),"becky sparks")</f>
        <v>becky sparks</v>
      </c>
      <c r="O2592" s="7">
        <f t="shared" si="5"/>
        <v>1</v>
      </c>
      <c r="P2592" s="8" t="str">
        <f t="shared" si="6"/>
        <v>No</v>
      </c>
    </row>
    <row r="2593">
      <c r="A2593" s="4" t="s">
        <v>16</v>
      </c>
      <c r="B2593" s="4" t="s">
        <v>7242</v>
      </c>
      <c r="C2593" s="9">
        <v>44657.0</v>
      </c>
      <c r="D2593" s="10">
        <v>44657.0</v>
      </c>
      <c r="E2593" s="4" t="s">
        <v>7243</v>
      </c>
      <c r="F2593" s="4" t="s">
        <v>7244</v>
      </c>
      <c r="G2593" s="6" t="str">
        <f>IFERROR(__xludf.DUMMYFUNCTION("REGEXREPLACE(LOWER(F2593),""[^a-z\s]"","""")"),"i used amazon subscribe  save for years but in the last couple of years it either is not in stock or shipping takes  days petflow has no supply issues ships immediately and is cheaper needless to say i have switched both subscriptions to petflow")</f>
        <v>i used amazon subscribe  save for years but in the last couple of years it either is not in stock or shipping takes  days petflow has no supply issues ships immediately and is cheaper needless to say i have switched both subscriptions to petflow</v>
      </c>
      <c r="H2593" s="4" t="str">
        <f t="shared" si="1"/>
        <v>i used amazon subscribe save years but in last couple of years it either not in stock or shipping takes days petflow has no supply issues ships immediately cheaper needless say i have switched both subscriptions petflow</v>
      </c>
      <c r="I2593" s="6">
        <f t="shared" si="2"/>
        <v>37</v>
      </c>
      <c r="J2593" s="6">
        <f>IFERROR(__xludf.DUMMYFUNCTION("IF(H2593="""","""",
SUM(
ARRAYFORMULA(
IF(
REGEXMATCH(
"" ""&amp;H2593&amp;"" "",
"" ""&amp;Sentiment_Words!A$2:A3730&amp;"" ""
),
1,
0
)
)
)
)"),2.0)</f>
        <v>2</v>
      </c>
      <c r="K2593" s="4">
        <f>IFERROR(__xludf.DUMMYFUNCTION("IF(H2593="""","""",
SUM(
ARRAYFORMULA(
IF(
REGEXMATCH(
"" ""&amp;H2593&amp;"" "",
"" ""&amp;Sentiment_Words!B$2:B3730&amp;"" ""
),
1,
0
)
)
)
)"),0.0)</f>
        <v>0</v>
      </c>
      <c r="L2593" s="7" t="str">
        <f t="shared" si="3"/>
        <v>Value &amp; Convenience</v>
      </c>
      <c r="M2593" s="7" t="str">
        <f t="shared" si="4"/>
        <v>Positive</v>
      </c>
      <c r="N2593" s="7" t="str">
        <f>IFERROR(__xludf.DUMMYFUNCTION("LOWER(
TRIM(
REGEXREPLACE(B2593,""[^a-zA-Z\s]"","""")
)
)
"),"james d")</f>
        <v>james d</v>
      </c>
      <c r="O2593" s="7">
        <f t="shared" si="5"/>
        <v>1</v>
      </c>
      <c r="P2593" s="8" t="str">
        <f t="shared" si="6"/>
        <v>No</v>
      </c>
    </row>
    <row r="2594">
      <c r="A2594" s="4" t="s">
        <v>16</v>
      </c>
      <c r="B2594" s="4" t="s">
        <v>7245</v>
      </c>
      <c r="C2594" s="9">
        <v>44657.0</v>
      </c>
      <c r="D2594" s="10">
        <v>44657.0</v>
      </c>
      <c r="E2594" s="4" t="s">
        <v>7246</v>
      </c>
      <c r="F2594" s="4" t="s">
        <v>7247</v>
      </c>
      <c r="G2594" s="6" t="str">
        <f>IFERROR(__xludf.DUMMYFUNCTION("REGEXREPLACE(LOWER(F2594),""[^a-z\s]"","""")"),"my dog needed her prescription dog food my normal supplier had been out for sometime i was in a panic reached out to petflow explained the situation how most pet suppliers were out of stock of the hills id small bites food petflow reassured me that they h"&amp;"as the product in stock and all they needed was a prescription from my vet since i was a new customer my vet supplied a prescription right away  days later i received a email from petflow saying they are temporary out of stock very unhappy with petflow")</f>
        <v>my dog needed her prescription dog food my normal supplier had been out for sometime i was in a panic reached out to petflow explained the situation how most pet suppliers were out of stock of the hills id small bites food petflow reassured me that they has the product in stock and all they needed was a prescription from my vet since i was a new customer my vet supplied a prescription right away  days later i received a email from petflow saying they are temporary out of stock very unhappy with petflow</v>
      </c>
      <c r="H2594" s="4" t="str">
        <f t="shared" si="1"/>
        <v>my dog needed her prescription dog food my normal supplier had been out sometime i was in a panic reached out petflow explained situation how most pet suppliers were out of stock of hills id small bites food petflow reassured me that they has product in stock all they needed was a prescription from my vet since i was a new customer my vet supplied a prescription right away days later i received a email from petflow saying they are temporary out of stock very unhappy with petflow</v>
      </c>
      <c r="I2594" s="6">
        <f t="shared" si="2"/>
        <v>88</v>
      </c>
      <c r="J2594" s="6">
        <f>IFERROR(__xludf.DUMMYFUNCTION("IF(H2594="""","""",
SUM(
ARRAYFORMULA(
IF(
REGEXMATCH(
"" ""&amp;H2594&amp;"" "",
"" ""&amp;Sentiment_Words!A$2:A3730&amp;"" ""
),
1,
0
)
)
)
)"),0.0)</f>
        <v>0</v>
      </c>
      <c r="K2594" s="4">
        <f>IFERROR(__xludf.DUMMYFUNCTION("IF(H2594="""","""",
SUM(
ARRAYFORMULA(
IF(
REGEXMATCH(
"" ""&amp;H2594&amp;"" "",
"" ""&amp;Sentiment_Words!B$2:B3730&amp;"" ""
),
1,
0
)
)
)
)"),1.0)</f>
        <v>1</v>
      </c>
      <c r="L2594" s="7" t="str">
        <f t="shared" si="3"/>
        <v>Fulfillment &amp; Shipping</v>
      </c>
      <c r="M2594" s="7" t="str">
        <f t="shared" si="4"/>
        <v>Negative</v>
      </c>
      <c r="N2594" s="7" t="str">
        <f>IFERROR(__xludf.DUMMYFUNCTION("LOWER(
TRIM(
REGEXREPLACE(B2594,""[^a-zA-Z\s]"","""")
)
)
"),"rhina perea")</f>
        <v>rhina perea</v>
      </c>
      <c r="O2594" s="7">
        <f t="shared" si="5"/>
        <v>1</v>
      </c>
      <c r="P2594" s="8" t="str">
        <f t="shared" si="6"/>
        <v>No</v>
      </c>
    </row>
    <row r="2595">
      <c r="A2595" s="4" t="s">
        <v>16</v>
      </c>
      <c r="B2595" s="4" t="s">
        <v>7248</v>
      </c>
      <c r="C2595" s="9">
        <v>44657.0</v>
      </c>
      <c r="D2595" s="10">
        <v>44657.0</v>
      </c>
      <c r="E2595" s="4" t="s">
        <v>7249</v>
      </c>
      <c r="F2595" s="4" t="s">
        <v>331</v>
      </c>
      <c r="G2595" s="6" t="str">
        <f>IFERROR(__xludf.DUMMYFUNCTION("REGEXREPLACE(LOWER(F2595),""[^a-z\s]"","""")"),"none")</f>
        <v>none</v>
      </c>
      <c r="H2595" s="4" t="str">
        <f t="shared" si="1"/>
        <v>none</v>
      </c>
      <c r="I2595" s="6">
        <f t="shared" si="2"/>
        <v>1</v>
      </c>
      <c r="J2595" s="6">
        <f>IFERROR(__xludf.DUMMYFUNCTION("IF(H2595="""","""",
SUM(
ARRAYFORMULA(
IF(
REGEXMATCH(
"" ""&amp;H2595&amp;"" "",
"" ""&amp;Sentiment_Words!A$2:A3730&amp;"" ""
),
1,
0
)
)
)
)"),0.0)</f>
        <v>0</v>
      </c>
      <c r="K2595" s="4">
        <f>IFERROR(__xludf.DUMMYFUNCTION("IF(H2595="""","""",
SUM(
ARRAYFORMULA(
IF(
REGEXMATCH(
"" ""&amp;H2595&amp;"" "",
"" ""&amp;Sentiment_Words!B$2:B3730&amp;"" ""
),
1,
0
)
)
)
)"),0.0)</f>
        <v>0</v>
      </c>
      <c r="L2595" s="7" t="str">
        <f t="shared" si="3"/>
        <v>Other</v>
      </c>
      <c r="M2595" s="7" t="str">
        <f t="shared" si="4"/>
        <v>Neutral</v>
      </c>
      <c r="N2595" s="7" t="str">
        <f>IFERROR(__xludf.DUMMYFUNCTION("LOWER(
TRIM(
REGEXREPLACE(B2595,""[^a-zA-Z\s]"","""")
)
)
"),"ardath albizo")</f>
        <v>ardath albizo</v>
      </c>
      <c r="O2595" s="7">
        <f t="shared" si="5"/>
        <v>1</v>
      </c>
      <c r="P2595" s="8" t="str">
        <f t="shared" si="6"/>
        <v>No</v>
      </c>
    </row>
    <row r="2596">
      <c r="A2596" s="4" t="s">
        <v>16</v>
      </c>
      <c r="B2596" s="4" t="s">
        <v>7250</v>
      </c>
      <c r="C2596" s="9">
        <v>44657.0</v>
      </c>
      <c r="D2596" s="10">
        <v>44657.0</v>
      </c>
      <c r="E2596" s="4" t="s">
        <v>623</v>
      </c>
      <c r="F2596" s="4" t="s">
        <v>331</v>
      </c>
      <c r="G2596" s="6" t="str">
        <f>IFERROR(__xludf.DUMMYFUNCTION("REGEXREPLACE(LOWER(F2596),""[^a-z\s]"","""")"),"none")</f>
        <v>none</v>
      </c>
      <c r="H2596" s="4" t="str">
        <f t="shared" si="1"/>
        <v>none</v>
      </c>
      <c r="I2596" s="6">
        <f t="shared" si="2"/>
        <v>1</v>
      </c>
      <c r="J2596" s="6">
        <f>IFERROR(__xludf.DUMMYFUNCTION("IF(H2596="""","""",
SUM(
ARRAYFORMULA(
IF(
REGEXMATCH(
"" ""&amp;H2596&amp;"" "",
"" ""&amp;Sentiment_Words!A$2:A3730&amp;"" ""
),
1,
0
)
)
)
)"),0.0)</f>
        <v>0</v>
      </c>
      <c r="K2596" s="4">
        <f>IFERROR(__xludf.DUMMYFUNCTION("IF(H2596="""","""",
SUM(
ARRAYFORMULA(
IF(
REGEXMATCH(
"" ""&amp;H2596&amp;"" "",
"" ""&amp;Sentiment_Words!B$2:B3730&amp;"" ""
),
1,
0
)
)
)
)"),0.0)</f>
        <v>0</v>
      </c>
      <c r="L2596" s="7" t="str">
        <f t="shared" si="3"/>
        <v>Other</v>
      </c>
      <c r="M2596" s="7" t="str">
        <f t="shared" si="4"/>
        <v>Neutral</v>
      </c>
      <c r="N2596" s="7" t="str">
        <f>IFERROR(__xludf.DUMMYFUNCTION("LOWER(
TRIM(
REGEXREPLACE(B2596,""[^a-zA-Z\s]"","""")
)
)
"),"cathy thomas")</f>
        <v>cathy thomas</v>
      </c>
      <c r="O2596" s="7">
        <f t="shared" si="5"/>
        <v>1</v>
      </c>
      <c r="P2596" s="8" t="str">
        <f t="shared" si="6"/>
        <v>No</v>
      </c>
    </row>
    <row r="2597">
      <c r="A2597" s="4" t="s">
        <v>16</v>
      </c>
      <c r="B2597" s="4" t="s">
        <v>7251</v>
      </c>
      <c r="C2597" s="9">
        <v>44657.0</v>
      </c>
      <c r="D2597" s="10">
        <v>44657.0</v>
      </c>
      <c r="E2597" s="4" t="s">
        <v>7252</v>
      </c>
      <c r="F2597" s="4" t="s">
        <v>331</v>
      </c>
      <c r="G2597" s="6" t="str">
        <f>IFERROR(__xludf.DUMMYFUNCTION("REGEXREPLACE(LOWER(F2597),""[^a-z\s]"","""")"),"none")</f>
        <v>none</v>
      </c>
      <c r="H2597" s="4" t="str">
        <f t="shared" si="1"/>
        <v>none</v>
      </c>
      <c r="I2597" s="6">
        <f t="shared" si="2"/>
        <v>1</v>
      </c>
      <c r="J2597" s="6">
        <f>IFERROR(__xludf.DUMMYFUNCTION("IF(H2597="""","""",
SUM(
ARRAYFORMULA(
IF(
REGEXMATCH(
"" ""&amp;H2597&amp;"" "",
"" ""&amp;Sentiment_Words!A$2:A3730&amp;"" ""
),
1,
0
)
)
)
)"),0.0)</f>
        <v>0</v>
      </c>
      <c r="K2597" s="4">
        <f>IFERROR(__xludf.DUMMYFUNCTION("IF(H2597="""","""",
SUM(
ARRAYFORMULA(
IF(
REGEXMATCH(
"" ""&amp;H2597&amp;"" "",
"" ""&amp;Sentiment_Words!B$2:B3730&amp;"" ""
),
1,
0
)
)
)
)"),0.0)</f>
        <v>0</v>
      </c>
      <c r="L2597" s="7" t="str">
        <f t="shared" si="3"/>
        <v>Other</v>
      </c>
      <c r="M2597" s="7" t="str">
        <f t="shared" si="4"/>
        <v>Neutral</v>
      </c>
      <c r="N2597" s="7" t="str">
        <f>IFERROR(__xludf.DUMMYFUNCTION("LOWER(
TRIM(
REGEXREPLACE(B2597,""[^a-zA-Z\s]"","""")
)
)
"),"hope payan")</f>
        <v>hope payan</v>
      </c>
      <c r="O2597" s="7">
        <f t="shared" si="5"/>
        <v>1</v>
      </c>
      <c r="P2597" s="8" t="str">
        <f t="shared" si="6"/>
        <v>No</v>
      </c>
    </row>
    <row r="2598">
      <c r="A2598" s="4" t="s">
        <v>16</v>
      </c>
      <c r="B2598" s="4" t="s">
        <v>7253</v>
      </c>
      <c r="C2598" s="9">
        <v>44657.0</v>
      </c>
      <c r="D2598" s="10">
        <v>44657.0</v>
      </c>
      <c r="E2598" s="4" t="s">
        <v>7254</v>
      </c>
      <c r="F2598" s="4" t="s">
        <v>7255</v>
      </c>
      <c r="G2598" s="6" t="str">
        <f>IFERROR(__xludf.DUMMYFUNCTION("REGEXREPLACE(LOWER(F2598),""[^a-z\s]"","""")"),"petflow never fails to provide quick turnaround times and has the food thats best for my dog their customer service folks are the best")</f>
        <v>petflow never fails to provide quick turnaround times and has the food thats best for my dog their customer service folks are the best</v>
      </c>
      <c r="H2598" s="4" t="str">
        <f t="shared" si="1"/>
        <v>petflow never fails provide quick turnaround times has food thats best my dog their customer service folks are best</v>
      </c>
      <c r="I2598" s="6">
        <f t="shared" si="2"/>
        <v>19</v>
      </c>
      <c r="J2598" s="6">
        <f>IFERROR(__xludf.DUMMYFUNCTION("IF(H2598="""","""",
SUM(
ARRAYFORMULA(
IF(
REGEXMATCH(
"" ""&amp;H2598&amp;"" "",
"" ""&amp;Sentiment_Words!A$2:A3730&amp;"" ""
),
1,
0
)
)
)
)"),0.0)</f>
        <v>0</v>
      </c>
      <c r="K2598" s="4">
        <f>IFERROR(__xludf.DUMMYFUNCTION("IF(H2598="""","""",
SUM(
ARRAYFORMULA(
IF(
REGEXMATCH(
"" ""&amp;H2598&amp;"" "",
"" ""&amp;Sentiment_Words!B$2:B3730&amp;"" ""
),
1,
0
)
)
)
)"),1.0)</f>
        <v>1</v>
      </c>
      <c r="L2598" s="7" t="str">
        <f t="shared" si="3"/>
        <v>Customer Support</v>
      </c>
      <c r="M2598" s="7" t="str">
        <f t="shared" si="4"/>
        <v>Negative</v>
      </c>
      <c r="N2598" s="7" t="str">
        <f>IFERROR(__xludf.DUMMYFUNCTION("LOWER(
TRIM(
REGEXREPLACE(B2598,""[^a-zA-Z\s]"","""")
)
)
"),"debra patterson")</f>
        <v>debra patterson</v>
      </c>
      <c r="O2598" s="7">
        <f t="shared" si="5"/>
        <v>1</v>
      </c>
      <c r="P2598" s="8" t="str">
        <f t="shared" si="6"/>
        <v>No</v>
      </c>
    </row>
    <row r="2599">
      <c r="A2599" s="4" t="s">
        <v>16</v>
      </c>
      <c r="B2599" s="4" t="s">
        <v>7256</v>
      </c>
      <c r="C2599" s="9">
        <v>44656.0</v>
      </c>
      <c r="D2599" s="10">
        <v>44657.0</v>
      </c>
      <c r="E2599" s="4" t="s">
        <v>7257</v>
      </c>
      <c r="F2599" s="4" t="s">
        <v>7258</v>
      </c>
      <c r="G2599" s="6" t="str">
        <f>IFERROR(__xludf.DUMMYFUNCTION("REGEXREPLACE(LOWER(F2599),""[^a-z\s]"","""")"),"they have the dog food i want at a price i like")</f>
        <v>they have the dog food i want at a price i like</v>
      </c>
      <c r="H2599" s="4" t="str">
        <f t="shared" si="1"/>
        <v>they have dog food i want at a price i like</v>
      </c>
      <c r="I2599" s="6">
        <f t="shared" si="2"/>
        <v>11</v>
      </c>
      <c r="J2599" s="6">
        <f>IFERROR(__xludf.DUMMYFUNCTION("IF(H2599="""","""",
SUM(
ARRAYFORMULA(
IF(
REGEXMATCH(
"" ""&amp;H2599&amp;"" "",
"" ""&amp;Sentiment_Words!A$2:A3730&amp;"" ""
),
1,
0
)
)
)
)"),0.0)</f>
        <v>0</v>
      </c>
      <c r="K2599" s="4">
        <f>IFERROR(__xludf.DUMMYFUNCTION("IF(H2599="""","""",
SUM(
ARRAYFORMULA(
IF(
REGEXMATCH(
"" ""&amp;H2599&amp;"" "",
"" ""&amp;Sentiment_Words!B$2:B3730&amp;"" ""
),
1,
0
)
)
)
)"),0.0)</f>
        <v>0</v>
      </c>
      <c r="L2599" s="7" t="str">
        <f t="shared" si="3"/>
        <v>Other</v>
      </c>
      <c r="M2599" s="7" t="str">
        <f t="shared" si="4"/>
        <v>Neutral</v>
      </c>
      <c r="N2599" s="7" t="str">
        <f>IFERROR(__xludf.DUMMYFUNCTION("LOWER(
TRIM(
REGEXREPLACE(B2599,""[^a-zA-Z\s]"","""")
)
)
"),"denise russell")</f>
        <v>denise russell</v>
      </c>
      <c r="O2599" s="7">
        <f t="shared" si="5"/>
        <v>1</v>
      </c>
      <c r="P2599" s="8" t="str">
        <f t="shared" si="6"/>
        <v>No</v>
      </c>
    </row>
    <row r="2600">
      <c r="A2600" s="4" t="s">
        <v>16</v>
      </c>
      <c r="B2600" s="4" t="s">
        <v>2713</v>
      </c>
      <c r="C2600" s="9">
        <v>44656.0</v>
      </c>
      <c r="D2600" s="10">
        <v>44656.0</v>
      </c>
      <c r="E2600" s="4" t="s">
        <v>7259</v>
      </c>
      <c r="F2600" s="4" t="s">
        <v>7260</v>
      </c>
      <c r="G2600" s="6" t="str">
        <f>IFERROR(__xludf.DUMMYFUNCTION("REGEXREPLACE(LOWER(F2600),""[^a-z\s]"","""")"),"ordered little stinker pads received in record time good price")</f>
        <v>ordered little stinker pads received in record time good price</v>
      </c>
      <c r="H2600" s="4" t="str">
        <f t="shared" si="1"/>
        <v>ordered little stinker pads received in record time good price</v>
      </c>
      <c r="I2600" s="6">
        <f t="shared" si="2"/>
        <v>10</v>
      </c>
      <c r="J2600" s="6">
        <f>IFERROR(__xludf.DUMMYFUNCTION("IF(H2600="""","""",
SUM(
ARRAYFORMULA(
IF(
REGEXMATCH(
"" ""&amp;H2600&amp;"" "",
"" ""&amp;Sentiment_Words!A$2:A3730&amp;"" ""
),
1,
0
)
)
)
)"),1.0)</f>
        <v>1</v>
      </c>
      <c r="K2600" s="4">
        <f>IFERROR(__xludf.DUMMYFUNCTION("IF(H2600="""","""",
SUM(
ARRAYFORMULA(
IF(
REGEXMATCH(
"" ""&amp;H2600&amp;"" "",
"" ""&amp;Sentiment_Words!B$2:B3730&amp;"" ""
),
1,
0
)
)
)
)"),0.0)</f>
        <v>0</v>
      </c>
      <c r="L2600" s="7" t="str">
        <f t="shared" si="3"/>
        <v>Other</v>
      </c>
      <c r="M2600" s="7" t="str">
        <f t="shared" si="4"/>
        <v>Positive</v>
      </c>
      <c r="N2600" s="7" t="str">
        <f>IFERROR(__xludf.DUMMYFUNCTION("LOWER(
TRIM(
REGEXREPLACE(B2600,""[^a-zA-Z\s]"","""")
)
)
"),"richard")</f>
        <v>richard</v>
      </c>
      <c r="O2600" s="7">
        <f t="shared" si="5"/>
        <v>3</v>
      </c>
      <c r="P2600" s="8" t="str">
        <f t="shared" si="6"/>
        <v>Yes</v>
      </c>
    </row>
    <row r="2601">
      <c r="A2601" s="4" t="s">
        <v>16</v>
      </c>
      <c r="B2601" s="4" t="s">
        <v>7261</v>
      </c>
      <c r="C2601" s="9">
        <v>44656.0</v>
      </c>
      <c r="D2601" s="10">
        <v>44656.0</v>
      </c>
      <c r="E2601" s="4" t="s">
        <v>7262</v>
      </c>
      <c r="F2601" s="4" t="s">
        <v>7263</v>
      </c>
      <c r="G2601" s="6" t="str">
        <f>IFERROR(__xludf.DUMMYFUNCTION("REGEXREPLACE(LOWER(F2601),""[^a-z\s]"","""")"),"fast ship
great product line")</f>
        <v>fast ship
great product line</v>
      </c>
      <c r="H2601" s="4" t="str">
        <f t="shared" si="1"/>
        <v>fast ship
great product line</v>
      </c>
      <c r="I2601" s="6">
        <f t="shared" si="2"/>
        <v>4</v>
      </c>
      <c r="J2601" s="6">
        <f>IFERROR(__xludf.DUMMYFUNCTION("IF(H2601="""","""",
SUM(
ARRAYFORMULA(
IF(
REGEXMATCH(
"" ""&amp;H2601&amp;"" "",
"" ""&amp;Sentiment_Words!A$2:A3730&amp;"" ""
),
1,
0
)
)
)
)"),1.0)</f>
        <v>1</v>
      </c>
      <c r="K2601" s="4">
        <f>IFERROR(__xludf.DUMMYFUNCTION("IF(H2601="""","""",
SUM(
ARRAYFORMULA(
IF(
REGEXMATCH(
"" ""&amp;H2601&amp;"" "",
"" ""&amp;Sentiment_Words!B$2:B3730&amp;"" ""
),
1,
0
)
)
)
)"),0.0)</f>
        <v>0</v>
      </c>
      <c r="L2601" s="7" t="str">
        <f t="shared" si="3"/>
        <v>Other</v>
      </c>
      <c r="M2601" s="7" t="str">
        <f t="shared" si="4"/>
        <v>Positive</v>
      </c>
      <c r="N2601" s="7" t="str">
        <f>IFERROR(__xludf.DUMMYFUNCTION("LOWER(
TRIM(
REGEXREPLACE(B2601,""[^a-zA-Z\s]"","""")
)
)
"),"carol stewart")</f>
        <v>carol stewart</v>
      </c>
      <c r="O2601" s="7">
        <f t="shared" si="5"/>
        <v>1</v>
      </c>
      <c r="P2601" s="8" t="str">
        <f t="shared" si="6"/>
        <v>No</v>
      </c>
    </row>
    <row r="2602">
      <c r="A2602" s="4" t="s">
        <v>16</v>
      </c>
      <c r="B2602" s="4" t="s">
        <v>7264</v>
      </c>
      <c r="C2602" s="9">
        <v>44656.0</v>
      </c>
      <c r="D2602" s="10">
        <v>44656.0</v>
      </c>
      <c r="E2602" s="4" t="s">
        <v>7265</v>
      </c>
      <c r="F2602" s="4" t="s">
        <v>7266</v>
      </c>
      <c r="G2602" s="6" t="str">
        <f>IFERROR(__xludf.DUMMYFUNCTION("REGEXREPLACE(LOWER(F2602),""[^a-z\s]"","""")"),"i was excited to find petflow i ordered my cat food on march  it is now april   i have yet to receive my order i am waiting and hoping it will come soon")</f>
        <v>i was excited to find petflow i ordered my cat food on march  it is now april   i have yet to receive my order i am waiting and hoping it will come soon</v>
      </c>
      <c r="H2602" s="4" t="str">
        <f t="shared" si="1"/>
        <v>i was excited find petflow i ordered my cat food on march it now april i have yet receive my order i am waiting hoping it will come soon</v>
      </c>
      <c r="I2602" s="6">
        <f t="shared" si="2"/>
        <v>29</v>
      </c>
      <c r="J2602" s="6">
        <f>IFERROR(__xludf.DUMMYFUNCTION("IF(H2602="""","""",
SUM(
ARRAYFORMULA(
IF(
REGEXMATCH(
"" ""&amp;H2602&amp;"" "",
"" ""&amp;Sentiment_Words!A$2:A3730&amp;"" ""
),
1,
0
)
)
)
)"),0.0)</f>
        <v>0</v>
      </c>
      <c r="K2602" s="4">
        <f>IFERROR(__xludf.DUMMYFUNCTION("IF(H2602="""","""",
SUM(
ARRAYFORMULA(
IF(
REGEXMATCH(
"" ""&amp;H2602&amp;"" "",
"" ""&amp;Sentiment_Words!B$2:B3730&amp;"" ""
),
1,
0
)
)
)
)"),0.0)</f>
        <v>0</v>
      </c>
      <c r="L2602" s="7" t="str">
        <f t="shared" si="3"/>
        <v>Other</v>
      </c>
      <c r="M2602" s="7" t="str">
        <f t="shared" si="4"/>
        <v>Neutral</v>
      </c>
      <c r="N2602" s="7" t="str">
        <f>IFERROR(__xludf.DUMMYFUNCTION("LOWER(
TRIM(
REGEXREPLACE(B2602,""[^a-zA-Z\s]"","""")
)
)
"),"jw")</f>
        <v>jw</v>
      </c>
      <c r="O2602" s="7">
        <f t="shared" si="5"/>
        <v>1</v>
      </c>
      <c r="P2602" s="8" t="str">
        <f t="shared" si="6"/>
        <v>No</v>
      </c>
    </row>
    <row r="2603">
      <c r="A2603" s="4" t="s">
        <v>16</v>
      </c>
      <c r="B2603" s="4" t="s">
        <v>7267</v>
      </c>
      <c r="C2603" s="9">
        <v>44656.0</v>
      </c>
      <c r="D2603" s="10">
        <v>44656.0</v>
      </c>
      <c r="E2603" s="4" t="s">
        <v>7268</v>
      </c>
      <c r="F2603" s="4" t="s">
        <v>7269</v>
      </c>
      <c r="G2603" s="6" t="str">
        <f>IFERROR(__xludf.DUMMYFUNCTION("REGEXREPLACE(LOWER(F2603),""[^a-z\s]"","""")"),"petflow had my hard to find dog food in stock ordering was easy and shipping was very fast  days second time ive used them and will continue to do so in the future")</f>
        <v>petflow had my hard to find dog food in stock ordering was easy and shipping was very fast  days second time ive used them and will continue to do so in the future</v>
      </c>
      <c r="H2603" s="4" t="str">
        <f t="shared" si="1"/>
        <v>petflow had my hard find dog food in stock ordering was easy shipping was very fast days second time ive used them will continue do so in future</v>
      </c>
      <c r="I2603" s="6">
        <f t="shared" si="2"/>
        <v>28</v>
      </c>
      <c r="J2603" s="6">
        <f>IFERROR(__xludf.DUMMYFUNCTION("IF(H2603="""","""",
SUM(
ARRAYFORMULA(
IF(
REGEXMATCH(
"" ""&amp;H2603&amp;"" "",
"" ""&amp;Sentiment_Words!A$2:A3730&amp;"" ""
),
1,
0
)
)
)
)"),2.0)</f>
        <v>2</v>
      </c>
      <c r="K2603" s="4">
        <f>IFERROR(__xludf.DUMMYFUNCTION("IF(H2603="""","""",
SUM(
ARRAYFORMULA(
IF(
REGEXMATCH(
"" ""&amp;H2603&amp;"" "",
"" ""&amp;Sentiment_Words!B$2:B3730&amp;"" ""
),
1,
0
)
)
)
)"),1.0)</f>
        <v>1</v>
      </c>
      <c r="L2603" s="7" t="str">
        <f t="shared" si="3"/>
        <v>Other</v>
      </c>
      <c r="M2603" s="7" t="str">
        <f t="shared" si="4"/>
        <v>Positive</v>
      </c>
      <c r="N2603" s="7" t="str">
        <f>IFERROR(__xludf.DUMMYFUNCTION("LOWER(
TRIM(
REGEXREPLACE(B2603,""[^a-zA-Z\s]"","""")
)
)
"),"sarah litchfield")</f>
        <v>sarah litchfield</v>
      </c>
      <c r="O2603" s="7">
        <f t="shared" si="5"/>
        <v>1</v>
      </c>
      <c r="P2603" s="8" t="str">
        <f t="shared" si="6"/>
        <v>No</v>
      </c>
    </row>
    <row r="2604">
      <c r="A2604" s="4" t="s">
        <v>16</v>
      </c>
      <c r="B2604" s="4" t="s">
        <v>7270</v>
      </c>
      <c r="C2604" s="9">
        <v>44656.0</v>
      </c>
      <c r="D2604" s="10">
        <v>44656.0</v>
      </c>
      <c r="E2604" s="4" t="s">
        <v>623</v>
      </c>
      <c r="F2604" s="4" t="s">
        <v>7271</v>
      </c>
      <c r="G2604" s="6" t="str">
        <f>IFERROR(__xludf.DUMMYFUNCTION("REGEXREPLACE(LOWER(F2604),""[^a-z\s]"","""")"),"easy ordering quick delivery great customer service")</f>
        <v>easy ordering quick delivery great customer service</v>
      </c>
      <c r="H2604" s="4" t="str">
        <f t="shared" si="1"/>
        <v>easy ordering quick delivery great customer service</v>
      </c>
      <c r="I2604" s="6">
        <f t="shared" si="2"/>
        <v>7</v>
      </c>
      <c r="J2604" s="6">
        <f>IFERROR(__xludf.DUMMYFUNCTION("IF(H2604="""","""",
SUM(
ARRAYFORMULA(
IF(
REGEXMATCH(
"" ""&amp;H2604&amp;"" "",
"" ""&amp;Sentiment_Words!A$2:A3730&amp;"" ""
),
1,
0
)
)
)
)"),4.0)</f>
        <v>4</v>
      </c>
      <c r="K2604" s="4">
        <f>IFERROR(__xludf.DUMMYFUNCTION("IF(H2604="""","""",
SUM(
ARRAYFORMULA(
IF(
REGEXMATCH(
"" ""&amp;H2604&amp;"" "",
"" ""&amp;Sentiment_Words!B$2:B3730&amp;"" ""
),
1,
0
)
)
)
)"),1.0)</f>
        <v>1</v>
      </c>
      <c r="L2604" s="7" t="str">
        <f t="shared" si="3"/>
        <v>Customer Support</v>
      </c>
      <c r="M2604" s="7" t="str">
        <f t="shared" si="4"/>
        <v>Positive</v>
      </c>
      <c r="N2604" s="7" t="str">
        <f>IFERROR(__xludf.DUMMYFUNCTION("LOWER(
TRIM(
REGEXREPLACE(B2604,""[^a-zA-Z\s]"","""")
)
)
"),"dave")</f>
        <v>dave</v>
      </c>
      <c r="O2604" s="7">
        <f t="shared" si="5"/>
        <v>1</v>
      </c>
      <c r="P2604" s="8" t="str">
        <f t="shared" si="6"/>
        <v>No</v>
      </c>
    </row>
    <row r="2605">
      <c r="A2605" s="4" t="s">
        <v>16</v>
      </c>
      <c r="B2605" s="4" t="s">
        <v>7272</v>
      </c>
      <c r="C2605" s="9">
        <v>44656.0</v>
      </c>
      <c r="D2605" s="10">
        <v>44656.0</v>
      </c>
      <c r="E2605" s="4" t="s">
        <v>1780</v>
      </c>
      <c r="F2605" s="4" t="s">
        <v>7273</v>
      </c>
      <c r="G2605" s="6" t="str">
        <f>IFERROR(__xludf.DUMMYFUNCTION("REGEXREPLACE(LOWER(F2605),""[^a-z\s]"","""")"),"i am pleased with the ease of ordering ive found quick delivery on canned food but the large bags of dry food usually take a lot longer to receive")</f>
        <v>i am pleased with the ease of ordering ive found quick delivery on canned food but the large bags of dry food usually take a lot longer to receive</v>
      </c>
      <c r="H2605" s="4" t="str">
        <f t="shared" si="1"/>
        <v>i am pleased with ease of ordering ive found quick delivery on canned food but large bags of dry food usually take a lot longer receive</v>
      </c>
      <c r="I2605" s="6">
        <f t="shared" si="2"/>
        <v>26</v>
      </c>
      <c r="J2605" s="6">
        <f>IFERROR(__xludf.DUMMYFUNCTION("IF(H2605="""","""",
SUM(
ARRAYFORMULA(
IF(
REGEXMATCH(
"" ""&amp;H2605&amp;"" "",
"" ""&amp;Sentiment_Words!A$2:A3730&amp;"" ""
),
1,
0
)
)
)
)"),2.0)</f>
        <v>2</v>
      </c>
      <c r="K2605" s="4">
        <f>IFERROR(__xludf.DUMMYFUNCTION("IF(H2605="""","""",
SUM(
ARRAYFORMULA(
IF(
REGEXMATCH(
"" ""&amp;H2605&amp;"" "",
"" ""&amp;Sentiment_Words!B$2:B3730&amp;"" ""
),
1,
0
)
)
)
)"),0.0)</f>
        <v>0</v>
      </c>
      <c r="L2605" s="7" t="str">
        <f t="shared" si="3"/>
        <v>Other</v>
      </c>
      <c r="M2605" s="7" t="str">
        <f t="shared" si="4"/>
        <v>Positive</v>
      </c>
      <c r="N2605" s="7" t="str">
        <f>IFERROR(__xludf.DUMMYFUNCTION("LOWER(
TRIM(
REGEXREPLACE(B2605,""[^a-zA-Z\s]"","""")
)
)
"),"mary jo moor")</f>
        <v>mary jo moor</v>
      </c>
      <c r="O2605" s="7">
        <f t="shared" si="5"/>
        <v>1</v>
      </c>
      <c r="P2605" s="8" t="str">
        <f t="shared" si="6"/>
        <v>No</v>
      </c>
    </row>
    <row r="2606">
      <c r="A2606" s="4" t="s">
        <v>16</v>
      </c>
      <c r="B2606" s="4" t="s">
        <v>7274</v>
      </c>
      <c r="C2606" s="9">
        <v>44656.0</v>
      </c>
      <c r="D2606" s="10">
        <v>44656.0</v>
      </c>
      <c r="E2606" s="4" t="s">
        <v>7275</v>
      </c>
      <c r="F2606" s="4" t="s">
        <v>7276</v>
      </c>
      <c r="G2606" s="6" t="str">
        <f>IFERROR(__xludf.DUMMYFUNCTION("REGEXREPLACE(LOWER(F2606),""[^a-z\s]"","""")"),"everything went very well
thanks for thst")</f>
        <v>everything went very well
thanks for thst</v>
      </c>
      <c r="H2606" s="4" t="str">
        <f t="shared" si="1"/>
        <v>everything went very well
thanks thst</v>
      </c>
      <c r="I2606" s="6">
        <f t="shared" si="2"/>
        <v>5</v>
      </c>
      <c r="J2606" s="6">
        <f>IFERROR(__xludf.DUMMYFUNCTION("IF(H2606="""","""",
SUM(
ARRAYFORMULA(
IF(
REGEXMATCH(
"" ""&amp;H2606&amp;"" "",
"" ""&amp;Sentiment_Words!A$2:A3730&amp;"" ""
),
1,
0
)
)
)
)"),0.0)</f>
        <v>0</v>
      </c>
      <c r="K2606" s="4">
        <f>IFERROR(__xludf.DUMMYFUNCTION("IF(H2606="""","""",
SUM(
ARRAYFORMULA(
IF(
REGEXMATCH(
"" ""&amp;H2606&amp;"" "",
"" ""&amp;Sentiment_Words!B$2:B3730&amp;"" ""
),
1,
0
)
)
)
)"),0.0)</f>
        <v>0</v>
      </c>
      <c r="L2606" s="7" t="str">
        <f t="shared" si="3"/>
        <v>Other</v>
      </c>
      <c r="M2606" s="7" t="str">
        <f t="shared" si="4"/>
        <v>Neutral</v>
      </c>
      <c r="N2606" s="7" t="str">
        <f>IFERROR(__xludf.DUMMYFUNCTION("LOWER(
TRIM(
REGEXREPLACE(B2606,""[^a-zA-Z\s]"","""")
)
)
"),"dolores")</f>
        <v>dolores</v>
      </c>
      <c r="O2606" s="7">
        <f t="shared" si="5"/>
        <v>1</v>
      </c>
      <c r="P2606" s="8" t="str">
        <f t="shared" si="6"/>
        <v>No</v>
      </c>
    </row>
    <row r="2607">
      <c r="A2607" s="4" t="s">
        <v>16</v>
      </c>
      <c r="B2607" s="4" t="s">
        <v>7277</v>
      </c>
      <c r="C2607" s="9">
        <v>44656.0</v>
      </c>
      <c r="D2607" s="10">
        <v>44656.0</v>
      </c>
      <c r="E2607" s="4" t="s">
        <v>7278</v>
      </c>
      <c r="F2607" s="4" t="s">
        <v>7279</v>
      </c>
      <c r="G2607" s="6" t="str">
        <f>IFERROR(__xludf.DUMMYFUNCTION("REGEXREPLACE(LOWER(F2607),""[^a-z\s]"","""")"),"although their losing me as a customer is out of their control im unable to give them a better review
perhaps if their leadership would utilize a more reliable carrier than fedex theyd get my business back
they do have excellent customer service and i lik"&amp;"e the fact they donate food to animal shelters but i still had to go to a brick and mortar store because fedex is unreliable")</f>
        <v>although their losing me as a customer is out of their control im unable to give them a better review
perhaps if their leadership would utilize a more reliable carrier than fedex theyd get my business back
they do have excellent customer service and i like the fact they donate food to animal shelters but i still had to go to a brick and mortar store because fedex is unreliable</v>
      </c>
      <c r="H2607" s="4" t="str">
        <f t="shared" si="1"/>
        <v>although their losing me as a customer out of their control im unable give them a better review
perhaps if their leadership would utilize a more reliable carrier than fedex theyd get my business back
they do have excellent customer service i like fact they donate food animal shelters but i still had go a brick mortar store because fedex unreliable</v>
      </c>
      <c r="I2607" s="6">
        <f t="shared" si="2"/>
        <v>59</v>
      </c>
      <c r="J2607" s="6">
        <f>IFERROR(__xludf.DUMMYFUNCTION("IF(H2607="""","""",
SUM(
ARRAYFORMULA(
IF(
REGEXMATCH(
"" ""&amp;H2607&amp;"" "",
"" ""&amp;Sentiment_Words!A$2:A3730&amp;"" ""
),
1,
0
)
)
)
)"),1.0)</f>
        <v>1</v>
      </c>
      <c r="K2607" s="4">
        <f>IFERROR(__xludf.DUMMYFUNCTION("IF(H2607="""","""",
SUM(
ARRAYFORMULA(
IF(
REGEXMATCH(
"" ""&amp;H2607&amp;"" "",
"" ""&amp;Sentiment_Words!B$2:B3730&amp;"" ""
),
1,
0
)
)
)
)"),1.0)</f>
        <v>1</v>
      </c>
      <c r="L2607" s="7" t="str">
        <f t="shared" si="3"/>
        <v>Customer Support</v>
      </c>
      <c r="M2607" s="7" t="str">
        <f t="shared" si="4"/>
        <v>Neutral</v>
      </c>
      <c r="N2607" s="7" t="str">
        <f>IFERROR(__xludf.DUMMYFUNCTION("LOWER(
TRIM(
REGEXREPLACE(B2607,""[^a-zA-Z\s]"","""")
)
)
"),"pamf")</f>
        <v>pamf</v>
      </c>
      <c r="O2607" s="7">
        <f t="shared" si="5"/>
        <v>1</v>
      </c>
      <c r="P2607" s="8" t="str">
        <f t="shared" si="6"/>
        <v>No</v>
      </c>
    </row>
    <row r="2608">
      <c r="A2608" s="4" t="s">
        <v>16</v>
      </c>
      <c r="B2608" s="4" t="s">
        <v>7280</v>
      </c>
      <c r="C2608" s="9">
        <v>44656.0</v>
      </c>
      <c r="D2608" s="4" t="s">
        <v>7281</v>
      </c>
      <c r="E2608" s="4" t="s">
        <v>7282</v>
      </c>
      <c r="F2608" s="4" t="s">
        <v>7283</v>
      </c>
      <c r="G2608" s="6" t="str">
        <f>IFERROR(__xludf.DUMMYFUNCTION("REGEXREPLACE(LOWER(F2608),""[^a-z\s]"","""")"),"ordered hills rx dog food item was shown as in stock with anticipated shipping date order was accepted days later i received an email stating food was out of stocki thought good was on its way and it wasnt even in stock not a good experiencefirst and last"&amp;" time i will deal with petflow")</f>
        <v>ordered hills rx dog food item was shown as in stock with anticipated shipping date order was accepted days later i received an email stating food was out of stocki thought good was on its way and it wasnt even in stock not a good experiencefirst and last time i will deal with petflow</v>
      </c>
      <c r="H2608" s="4" t="str">
        <f t="shared" si="1"/>
        <v>ordered hills rx dog food item was shown as in stock with anticipated shipping date order was accepted days later i received an email stating food was out of stocki thought good was on its way it wasnt even in stock not a good experiencefirst last time i will deal with petflow</v>
      </c>
      <c r="I2608" s="6">
        <f t="shared" si="2"/>
        <v>52</v>
      </c>
      <c r="J2608" s="6">
        <f>IFERROR(__xludf.DUMMYFUNCTION("IF(H2608="""","""",
SUM(
ARRAYFORMULA(
IF(
REGEXMATCH(
"" ""&amp;H2608&amp;"" "",
"" ""&amp;Sentiment_Words!A$2:A3730&amp;"" ""
),
1,
0
)
)
)
)"),1.0)</f>
        <v>1</v>
      </c>
      <c r="K2608" s="4">
        <f>IFERROR(__xludf.DUMMYFUNCTION("IF(H2608="""","""",
SUM(
ARRAYFORMULA(
IF(
REGEXMATCH(
"" ""&amp;H2608&amp;"" "",
"" ""&amp;Sentiment_Words!B$2:B3730&amp;"" ""
),
1,
0
)
)
)
)"),0.0)</f>
        <v>0</v>
      </c>
      <c r="L2608" s="7" t="str">
        <f t="shared" si="3"/>
        <v>Fulfillment &amp; Shipping</v>
      </c>
      <c r="M2608" s="7" t="str">
        <f t="shared" si="4"/>
        <v>Positive</v>
      </c>
      <c r="N2608" s="7" t="str">
        <f>IFERROR(__xludf.DUMMYFUNCTION("LOWER(
TRIM(
REGEXREPLACE(B2608,""[^a-zA-Z\s]"","""")
)
)
"),"beth mirsky")</f>
        <v>beth mirsky</v>
      </c>
      <c r="O2608" s="7">
        <f t="shared" si="5"/>
        <v>1</v>
      </c>
      <c r="P2608" s="8" t="str">
        <f t="shared" si="6"/>
        <v>No</v>
      </c>
    </row>
    <row r="2609">
      <c r="A2609" s="4" t="s">
        <v>16</v>
      </c>
      <c r="B2609" s="4" t="s">
        <v>7284</v>
      </c>
      <c r="C2609" s="9">
        <v>44656.0</v>
      </c>
      <c r="D2609" s="10">
        <v>44656.0</v>
      </c>
      <c r="E2609" s="4" t="s">
        <v>7285</v>
      </c>
      <c r="F2609" s="4" t="s">
        <v>7286</v>
      </c>
      <c r="G2609" s="6" t="str">
        <f>IFERROR(__xludf.DUMMYFUNCTION("REGEXREPLACE(LOWER(F2609),""[^a-z\s]"","""")"),"excellent website that makes ordering pet products a snap especially repeat orders really appreciate the fair prices and reasonable shipping rates")</f>
        <v>excellent website that makes ordering pet products a snap especially repeat orders really appreciate the fair prices and reasonable shipping rates</v>
      </c>
      <c r="H2609" s="4" t="str">
        <f t="shared" si="1"/>
        <v>excellent website that makes ordering pet products a snap especially repeat orders really appreciate fair prices reasonable shipping rates</v>
      </c>
      <c r="I2609" s="6">
        <f t="shared" si="2"/>
        <v>19</v>
      </c>
      <c r="J2609" s="6">
        <f>IFERROR(__xludf.DUMMYFUNCTION("IF(H2609="""","""",
SUM(
ARRAYFORMULA(
IF(
REGEXMATCH(
"" ""&amp;H2609&amp;"" "",
"" ""&amp;Sentiment_Words!A$2:A3730&amp;"" ""
),
1,
0
)
)
)
)"),0.0)</f>
        <v>0</v>
      </c>
      <c r="K2609" s="4">
        <f>IFERROR(__xludf.DUMMYFUNCTION("IF(H2609="""","""",
SUM(
ARRAYFORMULA(
IF(
REGEXMATCH(
"" ""&amp;H2609&amp;"" "",
"" ""&amp;Sentiment_Words!B$2:B3730&amp;"" ""
),
1,
0
)
)
)
)"),0.0)</f>
        <v>0</v>
      </c>
      <c r="L2609" s="7" t="str">
        <f t="shared" si="3"/>
        <v>Account &amp; Website</v>
      </c>
      <c r="M2609" s="7" t="str">
        <f t="shared" si="4"/>
        <v>Neutral</v>
      </c>
      <c r="N2609" s="7" t="str">
        <f>IFERROR(__xludf.DUMMYFUNCTION("LOWER(
TRIM(
REGEXREPLACE(B2609,""[^a-zA-Z\s]"","""")
)
)
"),"susan mondie")</f>
        <v>susan mondie</v>
      </c>
      <c r="O2609" s="7">
        <f t="shared" si="5"/>
        <v>1</v>
      </c>
      <c r="P2609" s="8" t="str">
        <f t="shared" si="6"/>
        <v>No</v>
      </c>
    </row>
    <row r="2610">
      <c r="A2610" s="4" t="s">
        <v>16</v>
      </c>
      <c r="B2610" s="4" t="s">
        <v>7287</v>
      </c>
      <c r="C2610" s="9">
        <v>44656.0</v>
      </c>
      <c r="D2610" s="10">
        <v>44656.0</v>
      </c>
      <c r="E2610" s="4" t="s">
        <v>7288</v>
      </c>
      <c r="F2610" s="4" t="s">
        <v>7289</v>
      </c>
      <c r="G2610" s="6" t="str">
        <f>IFERROR(__xludf.DUMMYFUNCTION("REGEXREPLACE(LOWER(F2610),""[^a-z\s]"","""")"),"web site shows product prescription pet food in stock we ordered it and were charged called to check on order and told it will ship next monday several days later i get an email saying the product is out of stock and my order is being cancelled so now im "&amp;"a week closer to running out of the food foolishly relying on petflow web site still shows product in stock altough call to petflow now tells us they are out with no idea when it will be back in stock so some other poor dupe will get stung too by ordering"&amp;" the product and getting a longdelayed outofstock email")</f>
        <v>web site shows product prescription pet food in stock we ordered it and were charged called to check on order and told it will ship next monday several days later i get an email saying the product is out of stock and my order is being cancelled so now im a week closer to running out of the food foolishly relying on petflow web site still shows product in stock altough call to petflow now tells us they are out with no idea when it will be back in stock so some other poor dupe will get stung too by ordering the product and getting a longdelayed outofstock email</v>
      </c>
      <c r="H2610" s="4" t="str">
        <f t="shared" si="1"/>
        <v>web site shows product prescription pet food in stock we ordered it were charged called check on order told it will ship next monday several days later i get an email saying product out of stock my order being cancelled so now im a week closer running out of food foolishly relying on petflow web site still shows product in stock altough call petflow now tells us they are out with no idea when it will be back in stock so some other poor dupe will get stung too by ordering product getting a longdelayed outofstock email</v>
      </c>
      <c r="I2610" s="6">
        <f t="shared" si="2"/>
        <v>97</v>
      </c>
      <c r="J2610" s="6">
        <f>IFERROR(__xludf.DUMMYFUNCTION("IF(H2610="""","""",
SUM(
ARRAYFORMULA(
IF(
REGEXMATCH(
"" ""&amp;H2610&amp;"" "",
"" ""&amp;Sentiment_Words!A$2:A3730&amp;"" ""
),
1,
0
)
)
)
)"),0.0)</f>
        <v>0</v>
      </c>
      <c r="K2610" s="4">
        <f>IFERROR(__xludf.DUMMYFUNCTION("IF(H2610="""","""",
SUM(
ARRAYFORMULA(
IF(
REGEXMATCH(
"" ""&amp;H2610&amp;"" "",
"" ""&amp;Sentiment_Words!B$2:B3730&amp;"" ""
),
1,
0
)
)
)
)"),2.0)</f>
        <v>2</v>
      </c>
      <c r="L2610" s="7" t="str">
        <f t="shared" si="3"/>
        <v>Fulfillment &amp; Shipping</v>
      </c>
      <c r="M2610" s="7" t="str">
        <f t="shared" si="4"/>
        <v>Negative</v>
      </c>
      <c r="N2610" s="7" t="str">
        <f>IFERROR(__xludf.DUMMYFUNCTION("LOWER(
TRIM(
REGEXREPLACE(B2610,""[^a-zA-Z\s]"","""")
)
)
"),"andrew")</f>
        <v>andrew</v>
      </c>
      <c r="O2610" s="7">
        <f t="shared" si="5"/>
        <v>3</v>
      </c>
      <c r="P2610" s="8" t="str">
        <f t="shared" si="6"/>
        <v>Yes</v>
      </c>
    </row>
    <row r="2611">
      <c r="A2611" s="4" t="s">
        <v>16</v>
      </c>
      <c r="B2611" s="4" t="s">
        <v>7290</v>
      </c>
      <c r="C2611" s="9">
        <v>44655.0</v>
      </c>
      <c r="D2611" s="10">
        <v>44655.0</v>
      </c>
      <c r="E2611" s="4" t="s">
        <v>7291</v>
      </c>
      <c r="F2611" s="4" t="s">
        <v>7292</v>
      </c>
      <c r="G2611" s="6" t="str">
        <f>IFERROR(__xludf.DUMMYFUNCTION("REGEXREPLACE(LOWER(F2611),""[^a-z\s]"","""")"),"purchased a cat harness sizing was accurate and quick delivery")</f>
        <v>purchased a cat harness sizing was accurate and quick delivery</v>
      </c>
      <c r="H2611" s="4" t="str">
        <f t="shared" si="1"/>
        <v>purchased a cat harness sizing was accurate quick delivery</v>
      </c>
      <c r="I2611" s="6">
        <f t="shared" si="2"/>
        <v>9</v>
      </c>
      <c r="J2611" s="6">
        <f>IFERROR(__xludf.DUMMYFUNCTION("IF(H2611="""","""",
SUM(
ARRAYFORMULA(
IF(
REGEXMATCH(
"" ""&amp;H2611&amp;"" "",
"" ""&amp;Sentiment_Words!A$2:A3730&amp;"" ""
),
1,
0
)
)
)
)"),1.0)</f>
        <v>1</v>
      </c>
      <c r="K2611" s="4">
        <f>IFERROR(__xludf.DUMMYFUNCTION("IF(H2611="""","""",
SUM(
ARRAYFORMULA(
IF(
REGEXMATCH(
"" ""&amp;H2611&amp;"" "",
"" ""&amp;Sentiment_Words!B$2:B3730&amp;"" ""
),
1,
0
)
)
)
)"),0.0)</f>
        <v>0</v>
      </c>
      <c r="L2611" s="7" t="str">
        <f t="shared" si="3"/>
        <v>Other</v>
      </c>
      <c r="M2611" s="7" t="str">
        <f t="shared" si="4"/>
        <v>Positive</v>
      </c>
      <c r="N2611" s="7" t="str">
        <f>IFERROR(__xludf.DUMMYFUNCTION("LOWER(
TRIM(
REGEXREPLACE(B2611,""[^a-zA-Z\s]"","""")
)
)
"),"mickey")</f>
        <v>mickey</v>
      </c>
      <c r="O2611" s="7">
        <f t="shared" si="5"/>
        <v>1</v>
      </c>
      <c r="P2611" s="8" t="str">
        <f t="shared" si="6"/>
        <v>No</v>
      </c>
    </row>
    <row r="2612">
      <c r="A2612" s="4" t="s">
        <v>16</v>
      </c>
      <c r="B2612" s="4" t="s">
        <v>7293</v>
      </c>
      <c r="C2612" s="9">
        <v>44655.0</v>
      </c>
      <c r="D2612" s="10">
        <v>44655.0</v>
      </c>
      <c r="E2612" s="4" t="s">
        <v>7294</v>
      </c>
      <c r="F2612" s="4" t="s">
        <v>7295</v>
      </c>
      <c r="G2612" s="6" t="str">
        <f>IFERROR(__xludf.DUMMYFUNCTION("REGEXREPLACE(LOWER(F2612),""[^a-z\s]"","""")"),"i like the great service with petflow alot time and time again they have what i need for my pup")</f>
        <v>i like the great service with petflow alot time and time again they have what i need for my pup</v>
      </c>
      <c r="H2612" s="4" t="str">
        <f t="shared" si="1"/>
        <v>i like great service with petflow alot time time again they have what i need my pup</v>
      </c>
      <c r="I2612" s="6">
        <f t="shared" si="2"/>
        <v>17</v>
      </c>
      <c r="J2612" s="6">
        <f>IFERROR(__xludf.DUMMYFUNCTION("IF(H2612="""","""",
SUM(
ARRAYFORMULA(
IF(
REGEXMATCH(
"" ""&amp;H2612&amp;"" "",
"" ""&amp;Sentiment_Words!A$2:A3730&amp;"" ""
),
1,
0
)
)
)
)"),1.0)</f>
        <v>1</v>
      </c>
      <c r="K2612" s="4">
        <f>IFERROR(__xludf.DUMMYFUNCTION("IF(H2612="""","""",
SUM(
ARRAYFORMULA(
IF(
REGEXMATCH(
"" ""&amp;H2612&amp;"" "",
"" ""&amp;Sentiment_Words!B$2:B3730&amp;"" ""
),
1,
0
)
)
)
)"),0.0)</f>
        <v>0</v>
      </c>
      <c r="L2612" s="7" t="str">
        <f t="shared" si="3"/>
        <v>Customer Support</v>
      </c>
      <c r="M2612" s="7" t="str">
        <f t="shared" si="4"/>
        <v>Positive</v>
      </c>
      <c r="N2612" s="7" t="str">
        <f>IFERROR(__xludf.DUMMYFUNCTION("LOWER(
TRIM(
REGEXREPLACE(B2612,""[^a-zA-Z\s]"","""")
)
)
"),"donna")</f>
        <v>donna</v>
      </c>
      <c r="O2612" s="7">
        <f t="shared" si="5"/>
        <v>5</v>
      </c>
      <c r="P2612" s="8" t="str">
        <f t="shared" si="6"/>
        <v>Yes</v>
      </c>
    </row>
    <row r="2613">
      <c r="A2613" s="4" t="s">
        <v>16</v>
      </c>
      <c r="B2613" s="4" t="s">
        <v>7296</v>
      </c>
      <c r="C2613" s="9">
        <v>44655.0</v>
      </c>
      <c r="D2613" s="10">
        <v>44655.0</v>
      </c>
      <c r="E2613" s="4" t="s">
        <v>7297</v>
      </c>
      <c r="F2613" s="4" t="s">
        <v>7298</v>
      </c>
      <c r="G2613" s="6" t="str">
        <f>IFERROR(__xludf.DUMMYFUNCTION("REGEXREPLACE(LOWER(F2613),""[^a-z\s]"","""")"),"all went well thank you")</f>
        <v>all went well thank you</v>
      </c>
      <c r="H2613" s="4" t="str">
        <f t="shared" si="1"/>
        <v>all went well thank you</v>
      </c>
      <c r="I2613" s="6">
        <f t="shared" si="2"/>
        <v>5</v>
      </c>
      <c r="J2613" s="6">
        <f>IFERROR(__xludf.DUMMYFUNCTION("IF(H2613="""","""",
SUM(
ARRAYFORMULA(
IF(
REGEXMATCH(
"" ""&amp;H2613&amp;"" "",
"" ""&amp;Sentiment_Words!A$2:A3730&amp;"" ""
),
1,
0
)
)
)
)"),0.0)</f>
        <v>0</v>
      </c>
      <c r="K2613" s="4">
        <f>IFERROR(__xludf.DUMMYFUNCTION("IF(H2613="""","""",
SUM(
ARRAYFORMULA(
IF(
REGEXMATCH(
"" ""&amp;H2613&amp;"" "",
"" ""&amp;Sentiment_Words!B$2:B3730&amp;"" ""
),
1,
0
)
)
)
)"),0.0)</f>
        <v>0</v>
      </c>
      <c r="L2613" s="7" t="str">
        <f t="shared" si="3"/>
        <v>Other</v>
      </c>
      <c r="M2613" s="7" t="str">
        <f t="shared" si="4"/>
        <v>Neutral</v>
      </c>
      <c r="N2613" s="7" t="str">
        <f>IFERROR(__xludf.DUMMYFUNCTION("LOWER(
TRIM(
REGEXREPLACE(B2613,""[^a-zA-Z\s]"","""")
)
)
"),"james smith")</f>
        <v>james smith</v>
      </c>
      <c r="O2613" s="7">
        <f t="shared" si="5"/>
        <v>1</v>
      </c>
      <c r="P2613" s="8" t="str">
        <f t="shared" si="6"/>
        <v>No</v>
      </c>
    </row>
    <row r="2614">
      <c r="A2614" s="4" t="s">
        <v>16</v>
      </c>
      <c r="B2614" s="4" t="s">
        <v>7299</v>
      </c>
      <c r="C2614" s="9">
        <v>44655.0</v>
      </c>
      <c r="D2614" s="10">
        <v>44655.0</v>
      </c>
      <c r="E2614" s="4" t="s">
        <v>7300</v>
      </c>
      <c r="F2614" s="4" t="s">
        <v>7301</v>
      </c>
      <c r="G2614" s="6" t="str">
        <f>IFERROR(__xludf.DUMMYFUNCTION("REGEXREPLACE(LOWER(F2614),""[^a-z\s]"","""")"),"these ppl are so dumb dont bother with a third party place was with chewy for five years never had a problem had to switch to these  for prescription food been with them for  months and had to call  times in one wk bc they couldnt get anything right its n"&amp;"ot like i can get a prescription diet from a store they didnt have the large bag that was in my auto ship in stock for four weeks and didnt even bother to send me a smaller size bag of the same food or even inform me they had one thats not even the start "&amp;"of it they proceeded to charge my card without sending the food  times chewy is soo much better bye bye")</f>
        <v>these ppl are so dumb dont bother with a third party place was with chewy for five years never had a problem had to switch to these  for prescription food been with them for  months and had to call  times in one wk bc they couldnt get anything right its not like i can get a prescription diet from a store they didnt have the large bag that was in my auto ship in stock for four weeks and didnt even bother to send me a smaller size bag of the same food or even inform me they had one thats not even the start of it they proceeded to charge my card without sending the food  times chewy is soo much better bye bye</v>
      </c>
      <c r="H2614" s="4" t="str">
        <f t="shared" si="1"/>
        <v>these ppl are so dumb dont bother with a third party place was with chewy five years never had a problem had switch these prescription food been with them months had call times in one wk bc they couldnt get anything right its not like i can get a prescription diet from a store they didnt have large bag that was in my auto ship in stock four weeks didnt even bother send me a smaller size bag of same food or even inform me they had one thats not even start of it they proceeded charge my card without sending food times chewy soo much better bye bye</v>
      </c>
      <c r="I2614" s="6">
        <f t="shared" si="2"/>
        <v>109</v>
      </c>
      <c r="J2614" s="6">
        <f>IFERROR(__xludf.DUMMYFUNCTION("IF(H2614="""","""",
SUM(
ARRAYFORMULA(
IF(
REGEXMATCH(
"" ""&amp;H2614&amp;"" "",
"" ""&amp;Sentiment_Words!A$2:A3730&amp;"" ""
),
1,
0
)
)
)
)"),1.0)</f>
        <v>1</v>
      </c>
      <c r="K2614" s="4">
        <f>IFERROR(__xludf.DUMMYFUNCTION("IF(H2614="""","""",
SUM(
ARRAYFORMULA(
IF(
REGEXMATCH(
"" ""&amp;H2614&amp;"" "",
"" ""&amp;Sentiment_Words!B$2:B3730&amp;"" ""
),
1,
0
)
)
)
)"),1.0)</f>
        <v>1</v>
      </c>
      <c r="L2614" s="7" t="str">
        <f t="shared" si="3"/>
        <v>Other</v>
      </c>
      <c r="M2614" s="7" t="str">
        <f t="shared" si="4"/>
        <v>Neutral</v>
      </c>
      <c r="N2614" s="7" t="str">
        <f>IFERROR(__xludf.DUMMYFUNCTION("LOWER(
TRIM(
REGEXREPLACE(B2614,""[^a-zA-Z\s]"","""")
)
)
"),"lani nolan")</f>
        <v>lani nolan</v>
      </c>
      <c r="O2614" s="7">
        <f t="shared" si="5"/>
        <v>1</v>
      </c>
      <c r="P2614" s="8" t="str">
        <f t="shared" si="6"/>
        <v>No</v>
      </c>
    </row>
    <row r="2615">
      <c r="A2615" s="4" t="s">
        <v>16</v>
      </c>
      <c r="B2615" s="4" t="s">
        <v>7302</v>
      </c>
      <c r="C2615" s="9">
        <v>44655.0</v>
      </c>
      <c r="D2615" s="10">
        <v>44655.0</v>
      </c>
      <c r="E2615" s="4" t="s">
        <v>7303</v>
      </c>
      <c r="F2615" s="4" t="s">
        <v>7304</v>
      </c>
      <c r="G2615" s="6" t="str">
        <f>IFERROR(__xludf.DUMMYFUNCTION("REGEXREPLACE(LOWER(F2615),""[^a-z\s]"","""")"),"quick service company had product not available at other sites")</f>
        <v>quick service company had product not available at other sites</v>
      </c>
      <c r="H2615" s="4" t="str">
        <f t="shared" si="1"/>
        <v>quick service company had product not available at other sites</v>
      </c>
      <c r="I2615" s="6">
        <f t="shared" si="2"/>
        <v>10</v>
      </c>
      <c r="J2615" s="6">
        <f>IFERROR(__xludf.DUMMYFUNCTION("IF(H2615="""","""",
SUM(
ARRAYFORMULA(
IF(
REGEXMATCH(
"" ""&amp;H2615&amp;"" "",
"" ""&amp;Sentiment_Words!A$2:A3730&amp;"" ""
),
1,
0
)
)
)
)"),1.0)</f>
        <v>1</v>
      </c>
      <c r="K2615" s="4">
        <f>IFERROR(__xludf.DUMMYFUNCTION("IF(H2615="""","""",
SUM(
ARRAYFORMULA(
IF(
REGEXMATCH(
"" ""&amp;H2615&amp;"" "",
"" ""&amp;Sentiment_Words!B$2:B3730&amp;"" ""
),
1,
0
)
)
)
)"),0.0)</f>
        <v>0</v>
      </c>
      <c r="L2615" s="7" t="str">
        <f t="shared" si="3"/>
        <v>Customer Support</v>
      </c>
      <c r="M2615" s="7" t="str">
        <f t="shared" si="4"/>
        <v>Positive</v>
      </c>
      <c r="N2615" s="7" t="str">
        <f>IFERROR(__xludf.DUMMYFUNCTION("LOWER(
TRIM(
REGEXREPLACE(B2615,""[^a-zA-Z\s]"","""")
)
)
"),"tracy west")</f>
        <v>tracy west</v>
      </c>
      <c r="O2615" s="7">
        <f t="shared" si="5"/>
        <v>1</v>
      </c>
      <c r="P2615" s="8" t="str">
        <f t="shared" si="6"/>
        <v>No</v>
      </c>
    </row>
    <row r="2616">
      <c r="A2616" s="4" t="s">
        <v>16</v>
      </c>
      <c r="B2616" s="4" t="s">
        <v>7305</v>
      </c>
      <c r="C2616" s="9">
        <v>44655.0</v>
      </c>
      <c r="D2616" s="10">
        <v>44655.0</v>
      </c>
      <c r="E2616" s="4" t="s">
        <v>2581</v>
      </c>
      <c r="F2616" s="4" t="s">
        <v>7306</v>
      </c>
      <c r="G2616" s="6" t="str">
        <f>IFERROR(__xludf.DUMMYFUNCTION("REGEXREPLACE(LOWER(F2616),""[^a-z\s]"","""")"),"petflow was the only store i could find that had the cat food i needed in stock their price was competitive and they had free shipping the case of food arrived right on time")</f>
        <v>petflow was the only store i could find that had the cat food i needed in stock their price was competitive and they had free shipping the case of food arrived right on time</v>
      </c>
      <c r="H2616" s="4" t="str">
        <f t="shared" si="1"/>
        <v>petflow was only store i could find that had cat food i needed in stock their price was competitive they had free shipping case of food arrived right on time</v>
      </c>
      <c r="I2616" s="6">
        <f t="shared" si="2"/>
        <v>30</v>
      </c>
      <c r="J2616" s="6">
        <f>IFERROR(__xludf.DUMMYFUNCTION("IF(H2616="""","""",
SUM(
ARRAYFORMULA(
IF(
REGEXMATCH(
"" ""&amp;H2616&amp;"" "",
"" ""&amp;Sentiment_Words!A$2:A3730&amp;"" ""
),
1,
0
)
)
)
)"),1.0)</f>
        <v>1</v>
      </c>
      <c r="K2616" s="4">
        <f>IFERROR(__xludf.DUMMYFUNCTION("IF(H2616="""","""",
SUM(
ARRAYFORMULA(
IF(
REGEXMATCH(
"" ""&amp;H2616&amp;"" "",
"" ""&amp;Sentiment_Words!B$2:B3730&amp;"" ""
),
1,
0
)
)
)
)"),0.0)</f>
        <v>0</v>
      </c>
      <c r="L2616" s="7" t="str">
        <f t="shared" si="3"/>
        <v>Other</v>
      </c>
      <c r="M2616" s="7" t="str">
        <f t="shared" si="4"/>
        <v>Positive</v>
      </c>
      <c r="N2616" s="7" t="str">
        <f>IFERROR(__xludf.DUMMYFUNCTION("LOWER(
TRIM(
REGEXREPLACE(B2616,""[^a-zA-Z\s]"","""")
)
)
"),"sugar")</f>
        <v>sugar</v>
      </c>
      <c r="O2616" s="7">
        <f t="shared" si="5"/>
        <v>1</v>
      </c>
      <c r="P2616" s="8" t="str">
        <f t="shared" si="6"/>
        <v>No</v>
      </c>
    </row>
    <row r="2617">
      <c r="A2617" s="4" t="s">
        <v>16</v>
      </c>
      <c r="B2617" s="4" t="s">
        <v>7307</v>
      </c>
      <c r="C2617" s="9">
        <v>44654.0</v>
      </c>
      <c r="D2617" s="10">
        <v>44655.0</v>
      </c>
      <c r="E2617" s="4" t="s">
        <v>7308</v>
      </c>
      <c r="F2617" s="4" t="s">
        <v>331</v>
      </c>
      <c r="G2617" s="6" t="str">
        <f>IFERROR(__xludf.DUMMYFUNCTION("REGEXREPLACE(LOWER(F2617),""[^a-z\s]"","""")"),"none")</f>
        <v>none</v>
      </c>
      <c r="H2617" s="4" t="str">
        <f t="shared" si="1"/>
        <v>none</v>
      </c>
      <c r="I2617" s="6">
        <f t="shared" si="2"/>
        <v>1</v>
      </c>
      <c r="J2617" s="6">
        <f>IFERROR(__xludf.DUMMYFUNCTION("IF(H2617="""","""",
SUM(
ARRAYFORMULA(
IF(
REGEXMATCH(
"" ""&amp;H2617&amp;"" "",
"" ""&amp;Sentiment_Words!A$2:A3730&amp;"" ""
),
1,
0
)
)
)
)"),0.0)</f>
        <v>0</v>
      </c>
      <c r="K2617" s="4">
        <f>IFERROR(__xludf.DUMMYFUNCTION("IF(H2617="""","""",
SUM(
ARRAYFORMULA(
IF(
REGEXMATCH(
"" ""&amp;H2617&amp;"" "",
"" ""&amp;Sentiment_Words!B$2:B3730&amp;"" ""
),
1,
0
)
)
)
)"),0.0)</f>
        <v>0</v>
      </c>
      <c r="L2617" s="7" t="str">
        <f t="shared" si="3"/>
        <v>Other</v>
      </c>
      <c r="M2617" s="7" t="str">
        <f t="shared" si="4"/>
        <v>Neutral</v>
      </c>
      <c r="N2617" s="7" t="str">
        <f>IFERROR(__xludf.DUMMYFUNCTION("LOWER(
TRIM(
REGEXREPLACE(B2617,""[^a-zA-Z\s]"","""")
)
)
"),"e thomas")</f>
        <v>e thomas</v>
      </c>
      <c r="O2617" s="7">
        <f t="shared" si="5"/>
        <v>1</v>
      </c>
      <c r="P2617" s="8" t="str">
        <f t="shared" si="6"/>
        <v>No</v>
      </c>
    </row>
    <row r="2618">
      <c r="A2618" s="4" t="s">
        <v>16</v>
      </c>
      <c r="B2618" s="4" t="s">
        <v>7309</v>
      </c>
      <c r="C2618" s="9">
        <v>44654.0</v>
      </c>
      <c r="D2618" s="10">
        <v>44654.0</v>
      </c>
      <c r="E2618" s="4" t="s">
        <v>423</v>
      </c>
      <c r="F2618" s="4" t="s">
        <v>7310</v>
      </c>
      <c r="G2618" s="6" t="str">
        <f>IFERROR(__xludf.DUMMYFUNCTION("REGEXREPLACE(LOWER(F2618),""[^a-z\s]"","""")"),"fast shipping good communication ")</f>
        <v>fast shipping good communication </v>
      </c>
      <c r="H2618" s="4" t="str">
        <f t="shared" si="1"/>
        <v>fast shipping good communication</v>
      </c>
      <c r="I2618" s="6">
        <f t="shared" si="2"/>
        <v>4</v>
      </c>
      <c r="J2618" s="6">
        <f>IFERROR(__xludf.DUMMYFUNCTION("IF(H2618="""","""",
SUM(
ARRAYFORMULA(
IF(
REGEXMATCH(
"" ""&amp;H2618&amp;"" "",
"" ""&amp;Sentiment_Words!A$2:A3730&amp;"" ""
),
1,
0
)
)
)
)"),2.0)</f>
        <v>2</v>
      </c>
      <c r="K2618" s="4">
        <f>IFERROR(__xludf.DUMMYFUNCTION("IF(H2618="""","""",
SUM(
ARRAYFORMULA(
IF(
REGEXMATCH(
"" ""&amp;H2618&amp;"" "",
"" ""&amp;Sentiment_Words!B$2:B3730&amp;"" ""
),
1,
0
)
)
)
)"),0.0)</f>
        <v>0</v>
      </c>
      <c r="L2618" s="7" t="str">
        <f t="shared" si="3"/>
        <v>Other</v>
      </c>
      <c r="M2618" s="7" t="str">
        <f t="shared" si="4"/>
        <v>Positive</v>
      </c>
      <c r="N2618" s="7" t="str">
        <f>IFERROR(__xludf.DUMMYFUNCTION("LOWER(
TRIM(
REGEXREPLACE(B2618,""[^a-zA-Z\s]"","""")
)
)
"),"cinda davis")</f>
        <v>cinda davis</v>
      </c>
      <c r="O2618" s="7">
        <f t="shared" si="5"/>
        <v>1</v>
      </c>
      <c r="P2618" s="8" t="str">
        <f t="shared" si="6"/>
        <v>No</v>
      </c>
    </row>
    <row r="2619">
      <c r="A2619" s="4" t="s">
        <v>16</v>
      </c>
      <c r="B2619" s="4" t="s">
        <v>7311</v>
      </c>
      <c r="C2619" s="9">
        <v>44654.0</v>
      </c>
      <c r="D2619" s="10">
        <v>44654.0</v>
      </c>
      <c r="E2619" s="4" t="s">
        <v>7312</v>
      </c>
      <c r="F2619" s="4" t="s">
        <v>7313</v>
      </c>
      <c r="G2619" s="6" t="str">
        <f>IFERROR(__xludf.DUMMYFUNCTION("REGEXREPLACE(LOWER(F2619),""[^a-z\s]"","""")"),"great quick service always reliable")</f>
        <v>great quick service always reliable</v>
      </c>
      <c r="H2619" s="4" t="str">
        <f t="shared" si="1"/>
        <v>great quick service always reliable</v>
      </c>
      <c r="I2619" s="6">
        <f t="shared" si="2"/>
        <v>5</v>
      </c>
      <c r="J2619" s="6">
        <f>IFERROR(__xludf.DUMMYFUNCTION("IF(H2619="""","""",
SUM(
ARRAYFORMULA(
IF(
REGEXMATCH(
"" ""&amp;H2619&amp;"" "",
"" ""&amp;Sentiment_Words!A$2:A3730&amp;"" ""
),
1,
0
)
)
)
)"),2.0)</f>
        <v>2</v>
      </c>
      <c r="K2619" s="4">
        <f>IFERROR(__xludf.DUMMYFUNCTION("IF(H2619="""","""",
SUM(
ARRAYFORMULA(
IF(
REGEXMATCH(
"" ""&amp;H2619&amp;"" "",
"" ""&amp;Sentiment_Words!B$2:B3730&amp;"" ""
),
1,
0
)
)
)
)"),0.0)</f>
        <v>0</v>
      </c>
      <c r="L2619" s="7" t="str">
        <f t="shared" si="3"/>
        <v>Customer Support</v>
      </c>
      <c r="M2619" s="7" t="str">
        <f t="shared" si="4"/>
        <v>Positive</v>
      </c>
      <c r="N2619" s="7" t="str">
        <f>IFERROR(__xludf.DUMMYFUNCTION("LOWER(
TRIM(
REGEXREPLACE(B2619,""[^a-zA-Z\s]"","""")
)
)
"),"joe")</f>
        <v>joe</v>
      </c>
      <c r="O2619" s="7">
        <f t="shared" si="5"/>
        <v>3</v>
      </c>
      <c r="P2619" s="8" t="str">
        <f t="shared" si="6"/>
        <v>Yes</v>
      </c>
    </row>
    <row r="2620">
      <c r="A2620" s="4" t="s">
        <v>16</v>
      </c>
      <c r="B2620" s="4" t="s">
        <v>7314</v>
      </c>
      <c r="C2620" s="9">
        <v>44654.0</v>
      </c>
      <c r="D2620" s="10">
        <v>44654.0</v>
      </c>
      <c r="E2620" s="4" t="s">
        <v>7315</v>
      </c>
      <c r="F2620" s="4" t="s">
        <v>7316</v>
      </c>
      <c r="G2620" s="6" t="str">
        <f>IFERROR(__xludf.DUMMYFUNCTION("REGEXREPLACE(LOWER(F2620),""[^a-z\s]"","""")"),"excellent customer service i had a problem with one of the items in my order but the issue was quickly resolved i highly recommend pet flow")</f>
        <v>excellent customer service i had a problem with one of the items in my order but the issue was quickly resolved i highly recommend pet flow</v>
      </c>
      <c r="H2620" s="4" t="str">
        <f t="shared" si="1"/>
        <v>excellent customer service i had a problem with one of items in my order but issue was quickly resolved i highly recommend pet flow</v>
      </c>
      <c r="I2620" s="6">
        <f t="shared" si="2"/>
        <v>24</v>
      </c>
      <c r="J2620" s="6">
        <f>IFERROR(__xludf.DUMMYFUNCTION("IF(H2620="""","""",
SUM(
ARRAYFORMULA(
IF(
REGEXMATCH(
"" ""&amp;H2620&amp;"" "",
"" ""&amp;Sentiment_Words!A$2:A3730&amp;"" ""
),
1,
0
)
)
)
)"),1.0)</f>
        <v>1</v>
      </c>
      <c r="K2620" s="4">
        <f>IFERROR(__xludf.DUMMYFUNCTION("IF(H2620="""","""",
SUM(
ARRAYFORMULA(
IF(
REGEXMATCH(
"" ""&amp;H2620&amp;"" "",
"" ""&amp;Sentiment_Words!B$2:B3730&amp;"" ""
),
1,
0
)
)
)
)"),3.0)</f>
        <v>3</v>
      </c>
      <c r="L2620" s="7" t="str">
        <f t="shared" si="3"/>
        <v>Customer Support</v>
      </c>
      <c r="M2620" s="7" t="str">
        <f t="shared" si="4"/>
        <v>Negative</v>
      </c>
      <c r="N2620" s="7" t="str">
        <f>IFERROR(__xludf.DUMMYFUNCTION("LOWER(
TRIM(
REGEXREPLACE(B2620,""[^a-zA-Z\s]"","""")
)
)
"),"cilia lopez")</f>
        <v>cilia lopez</v>
      </c>
      <c r="O2620" s="7">
        <f t="shared" si="5"/>
        <v>1</v>
      </c>
      <c r="P2620" s="8" t="str">
        <f t="shared" si="6"/>
        <v>No</v>
      </c>
    </row>
    <row r="2621">
      <c r="A2621" s="4" t="s">
        <v>16</v>
      </c>
      <c r="B2621" s="4" t="s">
        <v>7317</v>
      </c>
      <c r="C2621" s="9">
        <v>44654.0</v>
      </c>
      <c r="D2621" s="10">
        <v>44654.0</v>
      </c>
      <c r="E2621" s="4" t="s">
        <v>7318</v>
      </c>
      <c r="F2621" s="4" t="s">
        <v>7319</v>
      </c>
      <c r="G2621" s="6" t="str">
        <f>IFERROR(__xludf.DUMMYFUNCTION("REGEXREPLACE(LOWER(F2621),""[^a-z\s]"","""")"),"you showed  oz cans in the photo and sent me  oz cans
very misleading")</f>
        <v>you showed  oz cans in the photo and sent me  oz cans
very misleading</v>
      </c>
      <c r="H2621" s="4" t="str">
        <f t="shared" si="1"/>
        <v>you showed oz cans in photo sent me oz cans
very misleading</v>
      </c>
      <c r="I2621" s="6">
        <f t="shared" si="2"/>
        <v>11</v>
      </c>
      <c r="J2621" s="6">
        <f>IFERROR(__xludf.DUMMYFUNCTION("IF(H2621="""","""",
SUM(
ARRAYFORMULA(
IF(
REGEXMATCH(
"" ""&amp;H2621&amp;"" "",
"" ""&amp;Sentiment_Words!A$2:A3730&amp;"" ""
),
1,
0
)
)
)
)"),0.0)</f>
        <v>0</v>
      </c>
      <c r="K2621" s="4">
        <f>IFERROR(__xludf.DUMMYFUNCTION("IF(H2621="""","""",
SUM(
ARRAYFORMULA(
IF(
REGEXMATCH(
"" ""&amp;H2621&amp;"" "",
"" ""&amp;Sentiment_Words!B$2:B3730&amp;"" ""
),
1,
0
)
)
)
)"),0.0)</f>
        <v>0</v>
      </c>
      <c r="L2621" s="7" t="str">
        <f t="shared" si="3"/>
        <v>Trust &amp; Experience</v>
      </c>
      <c r="M2621" s="7" t="str">
        <f t="shared" si="4"/>
        <v>Neutral</v>
      </c>
      <c r="N2621" s="7" t="str">
        <f>IFERROR(__xludf.DUMMYFUNCTION("LOWER(
TRIM(
REGEXREPLACE(B2621,""[^a-zA-Z\s]"","""")
)
)
"),"barbara trapasso")</f>
        <v>barbara trapasso</v>
      </c>
      <c r="O2621" s="7">
        <f t="shared" si="5"/>
        <v>1</v>
      </c>
      <c r="P2621" s="8" t="str">
        <f t="shared" si="6"/>
        <v>No</v>
      </c>
    </row>
    <row r="2622">
      <c r="A2622" s="4" t="s">
        <v>16</v>
      </c>
      <c r="B2622" s="4" t="s">
        <v>7320</v>
      </c>
      <c r="C2622" s="9">
        <v>44654.0</v>
      </c>
      <c r="D2622" s="10">
        <v>44654.0</v>
      </c>
      <c r="E2622" s="4" t="s">
        <v>623</v>
      </c>
      <c r="F2622" s="4" t="s">
        <v>7321</v>
      </c>
      <c r="G2622" s="6" t="str">
        <f>IFERROR(__xludf.DUMMYFUNCTION("REGEXREPLACE(LOWER(F2622),""[^a-z\s]"","""")"),"this company took my order for prescription dog food and sat on it over a week before canceling my order because it wasnt in stock by then my sick dog had run out of food and i had to order from somewhere else")</f>
        <v>this company took my order for prescription dog food and sat on it over a week before canceling my order because it wasnt in stock by then my sick dog had run out of food and i had to order from somewhere else</v>
      </c>
      <c r="H2622" s="4" t="str">
        <f t="shared" si="1"/>
        <v>this company took my order prescription dog food sat on it over a week before canceling my order because it wasnt in stock by then my sick dog had run out of food i had order from somewhere else</v>
      </c>
      <c r="I2622" s="6">
        <f t="shared" si="2"/>
        <v>39</v>
      </c>
      <c r="J2622" s="6">
        <f>IFERROR(__xludf.DUMMYFUNCTION("IF(H2622="""","""",
SUM(
ARRAYFORMULA(
IF(
REGEXMATCH(
"" ""&amp;H2622&amp;"" "",
"" ""&amp;Sentiment_Words!A$2:A3730&amp;"" ""
),
1,
0
)
)
)
)"),0.0)</f>
        <v>0</v>
      </c>
      <c r="K2622" s="4">
        <f>IFERROR(__xludf.DUMMYFUNCTION("IF(H2622="""","""",
SUM(
ARRAYFORMULA(
IF(
REGEXMATCH(
"" ""&amp;H2622&amp;"" "",
"" ""&amp;Sentiment_Words!B$2:B3730&amp;"" ""
),
1,
0
)
)
)
)"),0.0)</f>
        <v>0</v>
      </c>
      <c r="L2622" s="7" t="str">
        <f t="shared" si="3"/>
        <v>Other</v>
      </c>
      <c r="M2622" s="7" t="str">
        <f t="shared" si="4"/>
        <v>Neutral</v>
      </c>
      <c r="N2622" s="7" t="str">
        <f>IFERROR(__xludf.DUMMYFUNCTION("LOWER(
TRIM(
REGEXREPLACE(B2622,""[^a-zA-Z\s]"","""")
)
)
"),"edmund dibenedetto")</f>
        <v>edmund dibenedetto</v>
      </c>
      <c r="O2622" s="7">
        <f t="shared" si="5"/>
        <v>1</v>
      </c>
      <c r="P2622" s="8" t="str">
        <f t="shared" si="6"/>
        <v>No</v>
      </c>
    </row>
    <row r="2623">
      <c r="A2623" s="4" t="s">
        <v>16</v>
      </c>
      <c r="B2623" s="4" t="s">
        <v>7322</v>
      </c>
      <c r="C2623" s="9">
        <v>44653.0</v>
      </c>
      <c r="D2623" s="10">
        <v>44654.0</v>
      </c>
      <c r="E2623" s="4" t="s">
        <v>7323</v>
      </c>
      <c r="F2623" s="4" t="s">
        <v>7324</v>
      </c>
      <c r="G2623" s="6" t="str">
        <f>IFERROR(__xludf.DUMMYFUNCTION("REGEXREPLACE(LOWER(F2623),""[^a-z\s]"","""")"),"not much to add to the  stars i had to call them about my billing address and they were great to work with  friendly attentive and very helpful")</f>
        <v>not much to add to the  stars i had to call them about my billing address and they were great to work with  friendly attentive and very helpful</v>
      </c>
      <c r="H2623" s="4" t="str">
        <f t="shared" si="1"/>
        <v>not much add stars i had call them about my billing address they were great work with friendly attentive very helpful</v>
      </c>
      <c r="I2623" s="6">
        <f t="shared" si="2"/>
        <v>21</v>
      </c>
      <c r="J2623" s="6">
        <f>IFERROR(__xludf.DUMMYFUNCTION("IF(H2623="""","""",
SUM(
ARRAYFORMULA(
IF(
REGEXMATCH(
"" ""&amp;H2623&amp;"" "",
"" ""&amp;Sentiment_Words!A$2:A3730&amp;"" ""
),
1,
0
)
)
)
)"),2.0)</f>
        <v>2</v>
      </c>
      <c r="K2623" s="4">
        <f>IFERROR(__xludf.DUMMYFUNCTION("IF(H2623="""","""",
SUM(
ARRAYFORMULA(
IF(
REGEXMATCH(
"" ""&amp;H2623&amp;"" "",
"" ""&amp;Sentiment_Words!B$2:B3730&amp;"" ""
),
1,
0
)
)
)
)"),0.0)</f>
        <v>0</v>
      </c>
      <c r="L2623" s="7" t="str">
        <f t="shared" si="3"/>
        <v>Other</v>
      </c>
      <c r="M2623" s="7" t="str">
        <f t="shared" si="4"/>
        <v>Positive</v>
      </c>
      <c r="N2623" s="7" t="str">
        <f>IFERROR(__xludf.DUMMYFUNCTION("LOWER(
TRIM(
REGEXREPLACE(B2623,""[^a-zA-Z\s]"","""")
)
)
"),"susanne")</f>
        <v>susanne</v>
      </c>
      <c r="O2623" s="7">
        <f t="shared" si="5"/>
        <v>1</v>
      </c>
      <c r="P2623" s="8" t="str">
        <f t="shared" si="6"/>
        <v>No</v>
      </c>
    </row>
    <row r="2624">
      <c r="A2624" s="4" t="s">
        <v>16</v>
      </c>
      <c r="B2624" s="4" t="s">
        <v>7325</v>
      </c>
      <c r="C2624" s="9">
        <v>44653.0</v>
      </c>
      <c r="D2624" s="10">
        <v>44653.0</v>
      </c>
      <c r="E2624" s="4" t="s">
        <v>7326</v>
      </c>
      <c r="F2624" s="4" t="s">
        <v>7327</v>
      </c>
      <c r="G2624" s="6" t="str">
        <f>IFERROR(__xludf.DUMMYFUNCTION("REGEXREPLACE(LOWER(F2624),""[^a-z\s]"","""")"),"i have only done  set of purchases so far but am very pleased petflow had cat food that pretty much all other sites and stores do not and delivered as quickly as chewycom would have")</f>
        <v>i have only done  set of purchases so far but am very pleased petflow had cat food that pretty much all other sites and stores do not and delivered as quickly as chewycom would have</v>
      </c>
      <c r="H2624" s="4" t="str">
        <f t="shared" si="1"/>
        <v>i have only done set of purchases so far but am very pleased petflow had cat food that pretty much all other sites stores do not delivered as quickly as chewycom would have</v>
      </c>
      <c r="I2624" s="6">
        <f t="shared" si="2"/>
        <v>33</v>
      </c>
      <c r="J2624" s="6">
        <f>IFERROR(__xludf.DUMMYFUNCTION("IF(H2624="""","""",
SUM(
ARRAYFORMULA(
IF(
REGEXMATCH(
"" ""&amp;H2624&amp;"" "",
"" ""&amp;Sentiment_Words!A$2:A3730&amp;"" ""
),
1,
0
)
)
)
)"),1.0)</f>
        <v>1</v>
      </c>
      <c r="K2624" s="4">
        <f>IFERROR(__xludf.DUMMYFUNCTION("IF(H2624="""","""",
SUM(
ARRAYFORMULA(
IF(
REGEXMATCH(
"" ""&amp;H2624&amp;"" "",
"" ""&amp;Sentiment_Words!B$2:B3730&amp;"" ""
),
1,
0
)
)
)
)"),0.0)</f>
        <v>0</v>
      </c>
      <c r="L2624" s="7" t="str">
        <f t="shared" si="3"/>
        <v>Other</v>
      </c>
      <c r="M2624" s="7" t="str">
        <f t="shared" si="4"/>
        <v>Positive</v>
      </c>
      <c r="N2624" s="7" t="str">
        <f>IFERROR(__xludf.DUMMYFUNCTION("LOWER(
TRIM(
REGEXREPLACE(B2624,""[^a-zA-Z\s]"","""")
)
)
"),"carolyn")</f>
        <v>carolyn</v>
      </c>
      <c r="O2624" s="7">
        <f t="shared" si="5"/>
        <v>2</v>
      </c>
      <c r="P2624" s="8" t="str">
        <f t="shared" si="6"/>
        <v>Yes</v>
      </c>
    </row>
    <row r="2625">
      <c r="A2625" s="4" t="s">
        <v>16</v>
      </c>
      <c r="B2625" s="4" t="s">
        <v>7328</v>
      </c>
      <c r="C2625" s="9">
        <v>44653.0</v>
      </c>
      <c r="D2625" s="10">
        <v>44653.0</v>
      </c>
      <c r="E2625" s="4" t="s">
        <v>7329</v>
      </c>
      <c r="F2625" s="4" t="s">
        <v>7330</v>
      </c>
      <c r="G2625" s="6" t="str">
        <f>IFERROR(__xludf.DUMMYFUNCTION("REGEXREPLACE(LOWER(F2625),""[^a-z\s]"","""")"),"petflow had our hills prescription food in stock and shipped it to us in j just a few dayschewy stopped stocking our food a while agothank you petflow")</f>
        <v>petflow had our hills prescription food in stock and shipped it to us in j just a few dayschewy stopped stocking our food a while agothank you petflow</v>
      </c>
      <c r="H2625" s="4" t="str">
        <f t="shared" si="1"/>
        <v>petflow had our hills prescription food in stock shipped it us in j just a few dayschewy stopped stocking our food a while agothank you petflow</v>
      </c>
      <c r="I2625" s="6">
        <f t="shared" si="2"/>
        <v>26</v>
      </c>
      <c r="J2625" s="6">
        <f>IFERROR(__xludf.DUMMYFUNCTION("IF(H2625="""","""",
SUM(
ARRAYFORMULA(
IF(
REGEXMATCH(
"" ""&amp;H2625&amp;"" "",
"" ""&amp;Sentiment_Words!A$2:A3730&amp;"" ""
),
1,
0
)
)
)
)"),0.0)</f>
        <v>0</v>
      </c>
      <c r="K2625" s="4">
        <f>IFERROR(__xludf.DUMMYFUNCTION("IF(H2625="""","""",
SUM(
ARRAYFORMULA(
IF(
REGEXMATCH(
"" ""&amp;H2625&amp;"" "",
"" ""&amp;Sentiment_Words!B$2:B3730&amp;"" ""
),
1,
0
)
)
)
)"),0.0)</f>
        <v>0</v>
      </c>
      <c r="L2625" s="7" t="str">
        <f t="shared" si="3"/>
        <v>Other</v>
      </c>
      <c r="M2625" s="7" t="str">
        <f t="shared" si="4"/>
        <v>Neutral</v>
      </c>
      <c r="N2625" s="7" t="str">
        <f>IFERROR(__xludf.DUMMYFUNCTION("LOWER(
TRIM(
REGEXREPLACE(B2625,""[^a-zA-Z\s]"","""")
)
)
"),"mary wachenheim")</f>
        <v>mary wachenheim</v>
      </c>
      <c r="O2625" s="7">
        <f t="shared" si="5"/>
        <v>1</v>
      </c>
      <c r="P2625" s="8" t="str">
        <f t="shared" si="6"/>
        <v>No</v>
      </c>
    </row>
    <row r="2626">
      <c r="A2626" s="4" t="s">
        <v>16</v>
      </c>
      <c r="B2626" s="4" t="s">
        <v>7331</v>
      </c>
      <c r="C2626" s="9">
        <v>44653.0</v>
      </c>
      <c r="D2626" s="10">
        <v>44653.0</v>
      </c>
      <c r="E2626" s="4" t="s">
        <v>7332</v>
      </c>
      <c r="F2626" s="4" t="s">
        <v>7333</v>
      </c>
      <c r="G2626" s="6" t="str">
        <f>IFERROR(__xludf.DUMMYFUNCTION("REGEXREPLACE(LOWER(F2626),""[^a-z\s]"","""")"),"product in stock as needed and always shipped promptly")</f>
        <v>product in stock as needed and always shipped promptly</v>
      </c>
      <c r="H2626" s="4" t="str">
        <f t="shared" si="1"/>
        <v>product in stock as needed always shipped promptly</v>
      </c>
      <c r="I2626" s="6">
        <f t="shared" si="2"/>
        <v>8</v>
      </c>
      <c r="J2626" s="6">
        <f>IFERROR(__xludf.DUMMYFUNCTION("IF(H2626="""","""",
SUM(
ARRAYFORMULA(
IF(
REGEXMATCH(
"" ""&amp;H2626&amp;"" "",
"" ""&amp;Sentiment_Words!A$2:A3730&amp;"" ""
),
1,
0
)
)
)
)"),0.0)</f>
        <v>0</v>
      </c>
      <c r="K2626" s="4">
        <f>IFERROR(__xludf.DUMMYFUNCTION("IF(H2626="""","""",
SUM(
ARRAYFORMULA(
IF(
REGEXMATCH(
"" ""&amp;H2626&amp;"" "",
"" ""&amp;Sentiment_Words!B$2:B3730&amp;"" ""
),
1,
0
)
)
)
)"),0.0)</f>
        <v>0</v>
      </c>
      <c r="L2626" s="7" t="str">
        <f t="shared" si="3"/>
        <v>Other</v>
      </c>
      <c r="M2626" s="7" t="str">
        <f t="shared" si="4"/>
        <v>Neutral</v>
      </c>
      <c r="N2626" s="7" t="str">
        <f>IFERROR(__xludf.DUMMYFUNCTION("LOWER(
TRIM(
REGEXREPLACE(B2626,""[^a-zA-Z\s]"","""")
)
)
"),"ronald izzo")</f>
        <v>ronald izzo</v>
      </c>
      <c r="O2626" s="7">
        <f t="shared" si="5"/>
        <v>1</v>
      </c>
      <c r="P2626" s="8" t="str">
        <f t="shared" si="6"/>
        <v>No</v>
      </c>
    </row>
    <row r="2627">
      <c r="A2627" s="4" t="s">
        <v>16</v>
      </c>
      <c r="B2627" s="4" t="s">
        <v>7334</v>
      </c>
      <c r="C2627" s="9">
        <v>44653.0</v>
      </c>
      <c r="D2627" s="10">
        <v>44653.0</v>
      </c>
      <c r="E2627" s="4" t="s">
        <v>7335</v>
      </c>
      <c r="F2627" s="4" t="s">
        <v>7336</v>
      </c>
      <c r="G2627" s="6" t="str">
        <f>IFERROR(__xludf.DUMMYFUNCTION("REGEXREPLACE(LOWER(F2627),""[^a-z\s]"","""")"),"we are elderly wonderful that the heavy dog food bags are delivered to our front door")</f>
        <v>we are elderly wonderful that the heavy dog food bags are delivered to our front door</v>
      </c>
      <c r="H2627" s="4" t="str">
        <f t="shared" si="1"/>
        <v>we are elderly wonderful that heavy dog food bags are delivered our front door</v>
      </c>
      <c r="I2627" s="6">
        <f t="shared" si="2"/>
        <v>14</v>
      </c>
      <c r="J2627" s="6">
        <f>IFERROR(__xludf.DUMMYFUNCTION("IF(H2627="""","""",
SUM(
ARRAYFORMULA(
IF(
REGEXMATCH(
"" ""&amp;H2627&amp;"" "",
"" ""&amp;Sentiment_Words!A$2:A3730&amp;"" ""
),
1,
0
)
)
)
)"),2.0)</f>
        <v>2</v>
      </c>
      <c r="K2627" s="4">
        <f>IFERROR(__xludf.DUMMYFUNCTION("IF(H2627="""","""",
SUM(
ARRAYFORMULA(
IF(
REGEXMATCH(
"" ""&amp;H2627&amp;"" "",
"" ""&amp;Sentiment_Words!B$2:B3730&amp;"" ""
),
1,
0
)
)
)
)"),0.0)</f>
        <v>0</v>
      </c>
      <c r="L2627" s="7" t="str">
        <f t="shared" si="3"/>
        <v>Other</v>
      </c>
      <c r="M2627" s="7" t="str">
        <f t="shared" si="4"/>
        <v>Positive</v>
      </c>
      <c r="N2627" s="7" t="str">
        <f>IFERROR(__xludf.DUMMYFUNCTION("LOWER(
TRIM(
REGEXREPLACE(B2627,""[^a-zA-Z\s]"","""")
)
)
"),"jean hirsch")</f>
        <v>jean hirsch</v>
      </c>
      <c r="O2627" s="7">
        <f t="shared" si="5"/>
        <v>1</v>
      </c>
      <c r="P2627" s="8" t="str">
        <f t="shared" si="6"/>
        <v>No</v>
      </c>
    </row>
    <row r="2628">
      <c r="A2628" s="4" t="s">
        <v>16</v>
      </c>
      <c r="B2628" s="4" t="s">
        <v>7337</v>
      </c>
      <c r="C2628" s="9">
        <v>44653.0</v>
      </c>
      <c r="D2628" s="10">
        <v>44653.0</v>
      </c>
      <c r="E2628" s="4" t="s">
        <v>7338</v>
      </c>
      <c r="F2628" s="4" t="s">
        <v>7339</v>
      </c>
      <c r="G2628" s="6" t="str">
        <f>IFERROR(__xludf.DUMMYFUNCTION("REGEXREPLACE(LOWER(F2628),""[^a-z\s]"","""")"),"you keep on accepting my order and then you later say it is out of stock why not refuse to accept the order that you do not have in stock")</f>
        <v>you keep on accepting my order and then you later say it is out of stock why not refuse to accept the order that you do not have in stock</v>
      </c>
      <c r="H2628" s="4" t="str">
        <f t="shared" si="1"/>
        <v>you keep on accepting my order then you later say it out of stock why not refuse accept order that you do not have in stock</v>
      </c>
      <c r="I2628" s="6">
        <f t="shared" si="2"/>
        <v>26</v>
      </c>
      <c r="J2628" s="6">
        <f>IFERROR(__xludf.DUMMYFUNCTION("IF(H2628="""","""",
SUM(
ARRAYFORMULA(
IF(
REGEXMATCH(
"" ""&amp;H2628&amp;"" "",
"" ""&amp;Sentiment_Words!A$2:A3730&amp;"" ""
),
1,
0
)
)
)
)"),0.0)</f>
        <v>0</v>
      </c>
      <c r="K2628" s="4">
        <f>IFERROR(__xludf.DUMMYFUNCTION("IF(H2628="""","""",
SUM(
ARRAYFORMULA(
IF(
REGEXMATCH(
"" ""&amp;H2628&amp;"" "",
"" ""&amp;Sentiment_Words!B$2:B3730&amp;"" ""
),
1,
0
)
)
)
)"),1.0)</f>
        <v>1</v>
      </c>
      <c r="L2628" s="7" t="str">
        <f t="shared" si="3"/>
        <v>Fulfillment &amp; Shipping</v>
      </c>
      <c r="M2628" s="7" t="str">
        <f t="shared" si="4"/>
        <v>Negative</v>
      </c>
      <c r="N2628" s="7" t="str">
        <f>IFERROR(__xludf.DUMMYFUNCTION("LOWER(
TRIM(
REGEXREPLACE(B2628,""[^a-zA-Z\s]"","""")
)
)
"),"s lucas")</f>
        <v>s lucas</v>
      </c>
      <c r="O2628" s="7">
        <f t="shared" si="5"/>
        <v>1</v>
      </c>
      <c r="P2628" s="8" t="str">
        <f t="shared" si="6"/>
        <v>No</v>
      </c>
    </row>
    <row r="2629">
      <c r="A2629" s="4" t="s">
        <v>16</v>
      </c>
      <c r="B2629" s="4" t="s">
        <v>7340</v>
      </c>
      <c r="C2629" s="9">
        <v>44653.0</v>
      </c>
      <c r="D2629" s="10">
        <v>44653.0</v>
      </c>
      <c r="E2629" s="4" t="s">
        <v>7341</v>
      </c>
      <c r="F2629" s="4" t="s">
        <v>7342</v>
      </c>
      <c r="G2629" s="6" t="str">
        <f>IFERROR(__xludf.DUMMYFUNCTION("REGEXREPLACE(LOWER(F2629),""[^a-z\s]"","""")"),"you asked so even though i know it is horrid times to expect our shipments to to be filled  because it was my dogs only source of food and not to be notified until shipment day you didnt have it wasnt what i would have expected notification so i could fin"&amp;"d it elsewhere ahead of time is what i except you still didnt have it the next  auto shipments so i have discontinued your services for his food")</f>
        <v>you asked so even though i know it is horrid times to expect our shipments to to be filled  because it was my dogs only source of food and not to be notified until shipment day you didnt have it wasnt what i would have expected notification so i could find it elsewhere ahead of time is what i except you still didnt have it the next  auto shipments so i have discontinued your services for his food</v>
      </c>
      <c r="H2629" s="4" t="str">
        <f t="shared" si="1"/>
        <v>you asked so even though i know it horrid times expect our shipments to be filled because it was my dogs only source of food not be notified until shipment day you didnt have it wasnt what i would have expected notification so i could find it elsewhere ahead of time what i except you still didnt have it next auto shipments so i have discontinued your services his food</v>
      </c>
      <c r="I2629" s="6">
        <f t="shared" si="2"/>
        <v>70</v>
      </c>
      <c r="J2629" s="6">
        <f>IFERROR(__xludf.DUMMYFUNCTION("IF(H2629="""","""",
SUM(
ARRAYFORMULA(
IF(
REGEXMATCH(
"" ""&amp;H2629&amp;"" "",
"" ""&amp;Sentiment_Words!A$2:A3730&amp;"" ""
),
1,
0
)
)
)
)"),0.0)</f>
        <v>0</v>
      </c>
      <c r="K2629" s="4">
        <f>IFERROR(__xludf.DUMMYFUNCTION("IF(H2629="""","""",
SUM(
ARRAYFORMULA(
IF(
REGEXMATCH(
"" ""&amp;H2629&amp;"" "",
"" ""&amp;Sentiment_Words!B$2:B3730&amp;"" ""
),
1,
0
)
)
)
)"),0.0)</f>
        <v>0</v>
      </c>
      <c r="L2629" s="7" t="str">
        <f t="shared" si="3"/>
        <v>Customer Support</v>
      </c>
      <c r="M2629" s="7" t="str">
        <f t="shared" si="4"/>
        <v>Neutral</v>
      </c>
      <c r="N2629" s="7" t="str">
        <f>IFERROR(__xludf.DUMMYFUNCTION("LOWER(
TRIM(
REGEXREPLACE(B2629,""[^a-zA-Z\s]"","""")
)
)
"),"antony mercer")</f>
        <v>antony mercer</v>
      </c>
      <c r="O2629" s="7">
        <f t="shared" si="5"/>
        <v>1</v>
      </c>
      <c r="P2629" s="8" t="str">
        <f t="shared" si="6"/>
        <v>No</v>
      </c>
    </row>
    <row r="2630">
      <c r="A2630" s="4" t="s">
        <v>16</v>
      </c>
      <c r="B2630" s="4" t="s">
        <v>7343</v>
      </c>
      <c r="C2630" s="9">
        <v>44652.0</v>
      </c>
      <c r="D2630" s="10">
        <v>44652.0</v>
      </c>
      <c r="E2630" s="4" t="s">
        <v>7344</v>
      </c>
      <c r="F2630" s="4" t="s">
        <v>7345</v>
      </c>
      <c r="G2630" s="6" t="str">
        <f>IFERROR(__xludf.DUMMYFUNCTION("REGEXREPLACE(LOWER(F2630),""[^a-z\s]"","""")"),"service was awesome wrote an email asking about my order and it was not even an hour and i heard a response i am a customer for good now")</f>
        <v>service was awesome wrote an email asking about my order and it was not even an hour and i heard a response i am a customer for good now</v>
      </c>
      <c r="H2630" s="4" t="str">
        <f t="shared" si="1"/>
        <v>service was awesome wrote an email asking about my order it was not even an hour i heard a response i am a customer good now</v>
      </c>
      <c r="I2630" s="6">
        <f t="shared" si="2"/>
        <v>26</v>
      </c>
      <c r="J2630" s="6">
        <f>IFERROR(__xludf.DUMMYFUNCTION("IF(H2630="""","""",
SUM(
ARRAYFORMULA(
IF(
REGEXMATCH(
"" ""&amp;H2630&amp;"" "",
"" ""&amp;Sentiment_Words!A$2:A3730&amp;"" ""
),
1,
0
)
)
)
)"),1.0)</f>
        <v>1</v>
      </c>
      <c r="K2630" s="4">
        <f>IFERROR(__xludf.DUMMYFUNCTION("IF(H2630="""","""",
SUM(
ARRAYFORMULA(
IF(
REGEXMATCH(
"" ""&amp;H2630&amp;"" "",
"" ""&amp;Sentiment_Words!B$2:B3730&amp;"" ""
),
1,
0
)
)
)
)"),0.0)</f>
        <v>0</v>
      </c>
      <c r="L2630" s="7" t="str">
        <f t="shared" si="3"/>
        <v>Customer Support</v>
      </c>
      <c r="M2630" s="7" t="str">
        <f t="shared" si="4"/>
        <v>Positive</v>
      </c>
      <c r="N2630" s="7" t="str">
        <f>IFERROR(__xludf.DUMMYFUNCTION("LOWER(
TRIM(
REGEXREPLACE(B2630,""[^a-zA-Z\s]"","""")
)
)
"),"lar")</f>
        <v>lar</v>
      </c>
      <c r="O2630" s="7">
        <f t="shared" si="5"/>
        <v>1</v>
      </c>
      <c r="P2630" s="8" t="str">
        <f t="shared" si="6"/>
        <v>No</v>
      </c>
    </row>
    <row r="2631">
      <c r="A2631" s="4" t="s">
        <v>16</v>
      </c>
      <c r="B2631" s="4" t="s">
        <v>7346</v>
      </c>
      <c r="C2631" s="9">
        <v>44652.0</v>
      </c>
      <c r="D2631" s="10">
        <v>44652.0</v>
      </c>
      <c r="E2631" s="4" t="s">
        <v>7347</v>
      </c>
      <c r="F2631" s="4" t="s">
        <v>7348</v>
      </c>
      <c r="G2631" s="6" t="str">
        <f>IFERROR(__xludf.DUMMYFUNCTION("REGEXREPLACE(LOWER(F2631),""[^a-z\s]"","""")"),"i have a cat who has no teeth
finding squeeze treats he likes has been a challenge
my cat loves these treats
plus they are healthy treats")</f>
        <v>i have a cat who has no teeth
finding squeeze treats he likes has been a challenge
my cat loves these treats
plus they are healthy treats</v>
      </c>
      <c r="H2631" s="4" t="str">
        <f t="shared" si="1"/>
        <v>i have a cat who has no teeth
finding squeeze treats he likes has been a challenge
my cat loves these treats
plus they are healthy treats</v>
      </c>
      <c r="I2631" s="6">
        <f t="shared" si="2"/>
        <v>24</v>
      </c>
      <c r="J2631" s="6">
        <f>IFERROR(__xludf.DUMMYFUNCTION("IF(H2631="""","""",
SUM(
ARRAYFORMULA(
IF(
REGEXMATCH(
"" ""&amp;H2631&amp;"" "",
"" ""&amp;Sentiment_Words!A$2:A3730&amp;"" ""
),
1,
0
)
)
)
)"),0.0)</f>
        <v>0</v>
      </c>
      <c r="K2631" s="4">
        <f>IFERROR(__xludf.DUMMYFUNCTION("IF(H2631="""","""",
SUM(
ARRAYFORMULA(
IF(
REGEXMATCH(
"" ""&amp;H2631&amp;"" "",
"" ""&amp;Sentiment_Words!B$2:B3730&amp;"" ""
),
1,
0
)
)
)
)"),0.0)</f>
        <v>0</v>
      </c>
      <c r="L2631" s="7" t="str">
        <f t="shared" si="3"/>
        <v>Other</v>
      </c>
      <c r="M2631" s="7" t="str">
        <f t="shared" si="4"/>
        <v>Neutral</v>
      </c>
      <c r="N2631" s="7" t="str">
        <f>IFERROR(__xludf.DUMMYFUNCTION("LOWER(
TRIM(
REGEXREPLACE(B2631,""[^a-zA-Z\s]"","""")
)
)
"),"otiss mom")</f>
        <v>otiss mom</v>
      </c>
      <c r="O2631" s="7">
        <f t="shared" si="5"/>
        <v>1</v>
      </c>
      <c r="P2631" s="8" t="str">
        <f t="shared" si="6"/>
        <v>No</v>
      </c>
    </row>
    <row r="2632">
      <c r="A2632" s="4" t="s">
        <v>16</v>
      </c>
      <c r="B2632" s="4" t="s">
        <v>7349</v>
      </c>
      <c r="C2632" s="9">
        <v>44652.0</v>
      </c>
      <c r="D2632" s="10">
        <v>44652.0</v>
      </c>
      <c r="E2632" s="4" t="s">
        <v>7350</v>
      </c>
      <c r="F2632" s="4" t="s">
        <v>7351</v>
      </c>
      <c r="G2632" s="6" t="str">
        <f>IFERROR(__xludf.DUMMYFUNCTION("REGEXREPLACE(LOWER(F2632),""[^a-z\s]"","""")"),"good fast service good prices")</f>
        <v>good fast service good prices</v>
      </c>
      <c r="H2632" s="4" t="str">
        <f t="shared" si="1"/>
        <v>good fast service good prices</v>
      </c>
      <c r="I2632" s="6">
        <f t="shared" si="2"/>
        <v>5</v>
      </c>
      <c r="J2632" s="6">
        <f>IFERROR(__xludf.DUMMYFUNCTION("IF(H2632="""","""",
SUM(
ARRAYFORMULA(
IF(
REGEXMATCH(
"" ""&amp;H2632&amp;"" "",
"" ""&amp;Sentiment_Words!A$2:A3730&amp;"" ""
),
1,
0
)
)
)
)"),2.0)</f>
        <v>2</v>
      </c>
      <c r="K2632" s="4">
        <f>IFERROR(__xludf.DUMMYFUNCTION("IF(H2632="""","""",
SUM(
ARRAYFORMULA(
IF(
REGEXMATCH(
"" ""&amp;H2632&amp;"" "",
"" ""&amp;Sentiment_Words!B$2:B3730&amp;"" ""
),
1,
0
)
)
)
)"),0.0)</f>
        <v>0</v>
      </c>
      <c r="L2632" s="7" t="str">
        <f t="shared" si="3"/>
        <v>Customer Support</v>
      </c>
      <c r="M2632" s="7" t="str">
        <f t="shared" si="4"/>
        <v>Positive</v>
      </c>
      <c r="N2632" s="7" t="str">
        <f>IFERROR(__xludf.DUMMYFUNCTION("LOWER(
TRIM(
REGEXREPLACE(B2632,""[^a-zA-Z\s]"","""")
)
)
"),"karenfrongello san diego ca")</f>
        <v>karenfrongello san diego ca</v>
      </c>
      <c r="O2632" s="7">
        <f t="shared" si="5"/>
        <v>1</v>
      </c>
      <c r="P2632" s="8" t="str">
        <f t="shared" si="6"/>
        <v>No</v>
      </c>
    </row>
    <row r="2633">
      <c r="A2633" s="4" t="s">
        <v>16</v>
      </c>
      <c r="B2633" s="4" t="s">
        <v>7352</v>
      </c>
      <c r="C2633" s="9">
        <v>44652.0</v>
      </c>
      <c r="D2633" s="10">
        <v>44652.0</v>
      </c>
      <c r="E2633" s="4" t="s">
        <v>555</v>
      </c>
      <c r="F2633" s="4" t="s">
        <v>7353</v>
      </c>
      <c r="G2633" s="6" t="str">
        <f>IFERROR(__xludf.DUMMYFUNCTION("REGEXREPLACE(LOWER(F2633),""[^a-z\s]"","""")"),"im very satisfied with my order from petflow due to the product i ordered petflow had to notify my pets veterinarian  they did this quickly
therefore i received my order within days
i will definitely be ordering from them again")</f>
        <v>im very satisfied with my order from petflow due to the product i ordered petflow had to notify my pets veterinarian  they did this quickly
therefore i received my order within days
i will definitely be ordering from them again</v>
      </c>
      <c r="H2633" s="4" t="str">
        <f t="shared" si="1"/>
        <v>im very satisfied with my order from petflow due product i ordered petflow had notify my pets veterinarian they did this quickly
therefore i received my order within days
i will definitely be ordering from them again</v>
      </c>
      <c r="I2633" s="6">
        <f t="shared" si="2"/>
        <v>35</v>
      </c>
      <c r="J2633" s="6">
        <f>IFERROR(__xludf.DUMMYFUNCTION("IF(H2633="""","""",
SUM(
ARRAYFORMULA(
IF(
REGEXMATCH(
"" ""&amp;H2633&amp;"" "",
"" ""&amp;Sentiment_Words!A$2:A3730&amp;"" ""
),
1,
0
)
)
)
)"),1.0)</f>
        <v>1</v>
      </c>
      <c r="K2633" s="4">
        <f>IFERROR(__xludf.DUMMYFUNCTION("IF(H2633="""","""",
SUM(
ARRAYFORMULA(
IF(
REGEXMATCH(
"" ""&amp;H2633&amp;"" "",
"" ""&amp;Sentiment_Words!B$2:B3730&amp;"" ""
),
1,
0
)
)
)
)"),0.0)</f>
        <v>0</v>
      </c>
      <c r="L2633" s="7" t="str">
        <f t="shared" si="3"/>
        <v>Other</v>
      </c>
      <c r="M2633" s="7" t="str">
        <f t="shared" si="4"/>
        <v>Positive</v>
      </c>
      <c r="N2633" s="7" t="str">
        <f>IFERROR(__xludf.DUMMYFUNCTION("LOWER(
TRIM(
REGEXREPLACE(B2633,""[^a-zA-Z\s]"","""")
)
)
"),"glenda ledford")</f>
        <v>glenda ledford</v>
      </c>
      <c r="O2633" s="7">
        <f t="shared" si="5"/>
        <v>1</v>
      </c>
      <c r="P2633" s="8" t="str">
        <f t="shared" si="6"/>
        <v>No</v>
      </c>
    </row>
    <row r="2634">
      <c r="A2634" s="4" t="s">
        <v>16</v>
      </c>
      <c r="B2634" s="4" t="s">
        <v>7354</v>
      </c>
      <c r="C2634" s="9">
        <v>44652.0</v>
      </c>
      <c r="D2634" s="10">
        <v>44652.0</v>
      </c>
      <c r="E2634" s="4" t="s">
        <v>7355</v>
      </c>
      <c r="F2634" s="4" t="s">
        <v>7356</v>
      </c>
      <c r="G2634" s="6" t="str">
        <f>IFERROR(__xludf.DUMMYFUNCTION("REGEXREPLACE(LOWER(F2634),""[^a-z\s]"","""")"),"you had what we were searching everywhere for unfortunately  days afterwards the quantity was cut in half  stars for a full order but only  for taking away a bag of rabbit cookies")</f>
        <v>you had what we were searching everywhere for unfortunately  days afterwards the quantity was cut in half  stars for a full order but only  for taking away a bag of rabbit cookies</v>
      </c>
      <c r="H2634" s="4" t="str">
        <f t="shared" si="1"/>
        <v>you had what we were searching everywhere unfortunately days afterwards quantity was cut in half stars a full order but only taking away a bag of rabbit cookies</v>
      </c>
      <c r="I2634" s="6">
        <f t="shared" si="2"/>
        <v>28</v>
      </c>
      <c r="J2634" s="6">
        <f>IFERROR(__xludf.DUMMYFUNCTION("IF(H2634="""","""",
SUM(
ARRAYFORMULA(
IF(
REGEXMATCH(
"" ""&amp;H2634&amp;"" "",
"" ""&amp;Sentiment_Words!A$2:A3730&amp;"" ""
),
1,
0
)
)
)
)"),0.0)</f>
        <v>0</v>
      </c>
      <c r="K2634" s="4">
        <f>IFERROR(__xludf.DUMMYFUNCTION("IF(H2634="""","""",
SUM(
ARRAYFORMULA(
IF(
REGEXMATCH(
"" ""&amp;H2634&amp;"" "",
"" ""&amp;Sentiment_Words!B$2:B3730&amp;"" ""
),
1,
0
)
)
)
)"),0.0)</f>
        <v>0</v>
      </c>
      <c r="L2634" s="7" t="str">
        <f t="shared" si="3"/>
        <v>Other</v>
      </c>
      <c r="M2634" s="7" t="str">
        <f t="shared" si="4"/>
        <v>Neutral</v>
      </c>
      <c r="N2634" s="7" t="str">
        <f>IFERROR(__xludf.DUMMYFUNCTION("LOWER(
TRIM(
REGEXREPLACE(B2634,""[^a-zA-Z\s]"","""")
)
)
"),"nancygreen")</f>
        <v>nancygreen</v>
      </c>
      <c r="O2634" s="7">
        <f t="shared" si="5"/>
        <v>1</v>
      </c>
      <c r="P2634" s="8" t="str">
        <f t="shared" si="6"/>
        <v>No</v>
      </c>
    </row>
    <row r="2635">
      <c r="A2635" s="4" t="s">
        <v>16</v>
      </c>
      <c r="B2635" s="4" t="s">
        <v>7357</v>
      </c>
      <c r="C2635" s="9">
        <v>44652.0</v>
      </c>
      <c r="D2635" s="10">
        <v>44652.0</v>
      </c>
      <c r="E2635" s="4" t="s">
        <v>7358</v>
      </c>
      <c r="F2635" s="4" t="s">
        <v>7359</v>
      </c>
      <c r="G2635" s="6" t="str">
        <f>IFERROR(__xludf.DUMMYFUNCTION("REGEXREPLACE(LOWER(F2635),""[^a-z\s]"","""")"),"horrible the lack of communication with the company and warehouse i called and was told i would receive a call back and never did they had me counting on a shipment for over a week and canceled it  days later due to no product  and for me to find outi cal"&amp;"led them")</f>
        <v>horrible the lack of communication with the company and warehouse i called and was told i would receive a call back and never did they had me counting on a shipment for over a week and canceled it  days later due to no product  and for me to find outi called them</v>
      </c>
      <c r="H2635" s="4" t="str">
        <f t="shared" si="1"/>
        <v>horrible lack of communication with company warehouse i called was told i would receive a call back never did they had me counting on a shipment over a week canceled it days later due no product me find outi called them</v>
      </c>
      <c r="I2635" s="6">
        <f t="shared" si="2"/>
        <v>41</v>
      </c>
      <c r="J2635" s="6">
        <f>IFERROR(__xludf.DUMMYFUNCTION("IF(H2635="""","""",
SUM(
ARRAYFORMULA(
IF(
REGEXMATCH(
"" ""&amp;H2635&amp;"" "",
"" ""&amp;Sentiment_Words!A$2:A3730&amp;"" ""
),
1,
0
)
)
)
)"),0.0)</f>
        <v>0</v>
      </c>
      <c r="K2635" s="4">
        <f>IFERROR(__xludf.DUMMYFUNCTION("IF(H2635="""","""",
SUM(
ARRAYFORMULA(
IF(
REGEXMATCH(
"" ""&amp;H2635&amp;"" "",
"" ""&amp;Sentiment_Words!B$2:B3730&amp;"" ""
),
1,
0
)
)
)
)"),0.0)</f>
        <v>0</v>
      </c>
      <c r="L2635" s="7" t="str">
        <f t="shared" si="3"/>
        <v>Fulfillment &amp; Shipping</v>
      </c>
      <c r="M2635" s="7" t="str">
        <f t="shared" si="4"/>
        <v>Neutral</v>
      </c>
      <c r="N2635" s="7" t="str">
        <f>IFERROR(__xludf.DUMMYFUNCTION("LOWER(
TRIM(
REGEXREPLACE(B2635,""[^a-zA-Z\s]"","""")
)
)
"),"nancy baldwin")</f>
        <v>nancy baldwin</v>
      </c>
      <c r="O2635" s="7">
        <f t="shared" si="5"/>
        <v>1</v>
      </c>
      <c r="P2635" s="8" t="str">
        <f t="shared" si="6"/>
        <v>No</v>
      </c>
    </row>
    <row r="2636">
      <c r="A2636" s="4" t="s">
        <v>16</v>
      </c>
      <c r="B2636" s="4" t="s">
        <v>7360</v>
      </c>
      <c r="C2636" s="5">
        <v>44651.0</v>
      </c>
      <c r="D2636" s="10">
        <v>44652.0</v>
      </c>
      <c r="E2636" s="4" t="s">
        <v>7361</v>
      </c>
      <c r="F2636" s="4" t="s">
        <v>7362</v>
      </c>
      <c r="G2636" s="6" t="str">
        <f>IFERROR(__xludf.DUMMYFUNCTION("REGEXREPLACE(LOWER(F2636),""[^a-z\s]"","""")"),"excellent service of our favorite dog food fromm is the best food")</f>
        <v>excellent service of our favorite dog food fromm is the best food</v>
      </c>
      <c r="H2636" s="4" t="str">
        <f t="shared" si="1"/>
        <v>excellent service of our favorite dog food fromm best food</v>
      </c>
      <c r="I2636" s="6">
        <f t="shared" si="2"/>
        <v>10</v>
      </c>
      <c r="J2636" s="6">
        <f>IFERROR(__xludf.DUMMYFUNCTION("IF(H2636="""","""",
SUM(
ARRAYFORMULA(
IF(
REGEXMATCH(
"" ""&amp;H2636&amp;"" "",
"" ""&amp;Sentiment_Words!A$2:A3730&amp;"" ""
),
1,
0
)
)
)
)"),0.0)</f>
        <v>0</v>
      </c>
      <c r="K2636" s="4">
        <f>IFERROR(__xludf.DUMMYFUNCTION("IF(H2636="""","""",
SUM(
ARRAYFORMULA(
IF(
REGEXMATCH(
"" ""&amp;H2636&amp;"" "",
"" ""&amp;Sentiment_Words!B$2:B3730&amp;"" ""
),
1,
0
)
)
)
)"),0.0)</f>
        <v>0</v>
      </c>
      <c r="L2636" s="7" t="str">
        <f t="shared" si="3"/>
        <v>Customer Support</v>
      </c>
      <c r="M2636" s="7" t="str">
        <f t="shared" si="4"/>
        <v>Neutral</v>
      </c>
      <c r="N2636" s="7" t="str">
        <f>IFERROR(__xludf.DUMMYFUNCTION("LOWER(
TRIM(
REGEXREPLACE(B2636,""[^a-zA-Z\s]"","""")
)
)
"),"jenn alling")</f>
        <v>jenn alling</v>
      </c>
      <c r="O2636" s="7">
        <f t="shared" si="5"/>
        <v>1</v>
      </c>
      <c r="P2636" s="8" t="str">
        <f t="shared" si="6"/>
        <v>No</v>
      </c>
    </row>
    <row r="2637">
      <c r="A2637" s="4" t="s">
        <v>16</v>
      </c>
      <c r="B2637" s="4" t="s">
        <v>7363</v>
      </c>
      <c r="C2637" s="5">
        <v>44651.0</v>
      </c>
      <c r="D2637" s="10">
        <v>44651.0</v>
      </c>
      <c r="E2637" s="4" t="s">
        <v>1319</v>
      </c>
      <c r="F2637" s="4" t="s">
        <v>331</v>
      </c>
      <c r="G2637" s="6" t="str">
        <f>IFERROR(__xludf.DUMMYFUNCTION("REGEXREPLACE(LOWER(F2637),""[^a-z\s]"","""")"),"none")</f>
        <v>none</v>
      </c>
      <c r="H2637" s="4" t="str">
        <f t="shared" si="1"/>
        <v>none</v>
      </c>
      <c r="I2637" s="6">
        <f t="shared" si="2"/>
        <v>1</v>
      </c>
      <c r="J2637" s="6">
        <f>IFERROR(__xludf.DUMMYFUNCTION("IF(H2637="""","""",
SUM(
ARRAYFORMULA(
IF(
REGEXMATCH(
"" ""&amp;H2637&amp;"" "",
"" ""&amp;Sentiment_Words!A$2:A3730&amp;"" ""
),
1,
0
)
)
)
)"),0.0)</f>
        <v>0</v>
      </c>
      <c r="K2637" s="4">
        <f>IFERROR(__xludf.DUMMYFUNCTION("IF(H2637="""","""",
SUM(
ARRAYFORMULA(
IF(
REGEXMATCH(
"" ""&amp;H2637&amp;"" "",
"" ""&amp;Sentiment_Words!B$2:B3730&amp;"" ""
),
1,
0
)
)
)
)"),0.0)</f>
        <v>0</v>
      </c>
      <c r="L2637" s="7" t="str">
        <f t="shared" si="3"/>
        <v>Other</v>
      </c>
      <c r="M2637" s="7" t="str">
        <f t="shared" si="4"/>
        <v>Neutral</v>
      </c>
      <c r="N2637" s="7" t="str">
        <f>IFERROR(__xludf.DUMMYFUNCTION("LOWER(
TRIM(
REGEXREPLACE(B2637,""[^a-zA-Z\s]"","""")
)
)
"),"peggy")</f>
        <v>peggy</v>
      </c>
      <c r="O2637" s="7">
        <f t="shared" si="5"/>
        <v>1</v>
      </c>
      <c r="P2637" s="8" t="str">
        <f t="shared" si="6"/>
        <v>No</v>
      </c>
    </row>
    <row r="2638">
      <c r="A2638" s="4" t="s">
        <v>16</v>
      </c>
      <c r="B2638" s="4" t="s">
        <v>7364</v>
      </c>
      <c r="C2638" s="5">
        <v>44651.0</v>
      </c>
      <c r="D2638" s="10">
        <v>44651.0</v>
      </c>
      <c r="E2638" s="4" t="s">
        <v>7365</v>
      </c>
      <c r="F2638" s="4" t="s">
        <v>7366</v>
      </c>
      <c r="G2638" s="6" t="str">
        <f>IFERROR(__xludf.DUMMYFUNCTION("REGEXREPLACE(LOWER(F2638),""[^a-z\s]"","""")"),"website is easy to navigate great pricing and orders ship out quicklyautoship makes it simple to ensure ms hunter always has her favorite food in her bowl")</f>
        <v>website is easy to navigate great pricing and orders ship out quicklyautoship makes it simple to ensure ms hunter always has her favorite food in her bowl</v>
      </c>
      <c r="H2638" s="4" t="str">
        <f t="shared" si="1"/>
        <v>website easy navigate great pricing orders ship out quicklyautoship makes it simple ensure ms hunter always has her favorite food in her bowl</v>
      </c>
      <c r="I2638" s="6">
        <f t="shared" si="2"/>
        <v>23</v>
      </c>
      <c r="J2638" s="6">
        <f>IFERROR(__xludf.DUMMYFUNCTION("IF(H2638="""","""",
SUM(
ARRAYFORMULA(
IF(
REGEXMATCH(
"" ""&amp;H2638&amp;"" "",
"" ""&amp;Sentiment_Words!A$2:A3730&amp;"" ""
),
1,
0
)
)
)
)"),2.0)</f>
        <v>2</v>
      </c>
      <c r="K2638" s="4">
        <f>IFERROR(__xludf.DUMMYFUNCTION("IF(H2638="""","""",
SUM(
ARRAYFORMULA(
IF(
REGEXMATCH(
"" ""&amp;H2638&amp;"" "",
"" ""&amp;Sentiment_Words!B$2:B3730&amp;"" ""
),
1,
0
)
)
)
)"),0.0)</f>
        <v>0</v>
      </c>
      <c r="L2638" s="7" t="str">
        <f t="shared" si="3"/>
        <v>Account &amp; Website</v>
      </c>
      <c r="M2638" s="7" t="str">
        <f t="shared" si="4"/>
        <v>Positive</v>
      </c>
      <c r="N2638" s="7" t="str">
        <f>IFERROR(__xludf.DUMMYFUNCTION("LOWER(
TRIM(
REGEXREPLACE(B2638,""[^a-zA-Z\s]"","""")
)
)
"),"dustee copenhaver")</f>
        <v>dustee copenhaver</v>
      </c>
      <c r="O2638" s="7">
        <f t="shared" si="5"/>
        <v>1</v>
      </c>
      <c r="P2638" s="8" t="str">
        <f t="shared" si="6"/>
        <v>No</v>
      </c>
    </row>
    <row r="2639">
      <c r="A2639" s="4" t="s">
        <v>16</v>
      </c>
      <c r="B2639" s="4" t="s">
        <v>7367</v>
      </c>
      <c r="C2639" s="5">
        <v>44651.0</v>
      </c>
      <c r="D2639" s="10">
        <v>44651.0</v>
      </c>
      <c r="E2639" s="4" t="s">
        <v>7368</v>
      </c>
      <c r="F2639" s="4" t="s">
        <v>7369</v>
      </c>
      <c r="G2639" s="6" t="str">
        <f>IFERROR(__xludf.DUMMYFUNCTION("REGEXREPLACE(LOWER(F2639),""[^a-z\s]"","""")"),"glad i found you shipped order right away you made my dog very happy")</f>
        <v>glad i found you shipped order right away you made my dog very happy</v>
      </c>
      <c r="H2639" s="4" t="str">
        <f t="shared" si="1"/>
        <v>glad i found you shipped order right away you made my dog very happy</v>
      </c>
      <c r="I2639" s="6">
        <f t="shared" si="2"/>
        <v>14</v>
      </c>
      <c r="J2639" s="6">
        <f>IFERROR(__xludf.DUMMYFUNCTION("IF(H2639="""","""",
SUM(
ARRAYFORMULA(
IF(
REGEXMATCH(
"" ""&amp;H2639&amp;"" "",
"" ""&amp;Sentiment_Words!A$2:A3730&amp;"" ""
),
1,
0
)
)
)
)"),2.0)</f>
        <v>2</v>
      </c>
      <c r="K2639" s="4">
        <f>IFERROR(__xludf.DUMMYFUNCTION("IF(H2639="""","""",
SUM(
ARRAYFORMULA(
IF(
REGEXMATCH(
"" ""&amp;H2639&amp;"" "",
"" ""&amp;Sentiment_Words!B$2:B3730&amp;"" ""
),
1,
0
)
)
)
)"),0.0)</f>
        <v>0</v>
      </c>
      <c r="L2639" s="7" t="str">
        <f t="shared" si="3"/>
        <v>Other</v>
      </c>
      <c r="M2639" s="7" t="str">
        <f t="shared" si="4"/>
        <v>Positive</v>
      </c>
      <c r="N2639" s="7" t="str">
        <f>IFERROR(__xludf.DUMMYFUNCTION("LOWER(
TRIM(
REGEXREPLACE(B2639,""[^a-zA-Z\s]"","""")
)
)
"),"aw")</f>
        <v>aw</v>
      </c>
      <c r="O2639" s="7">
        <f t="shared" si="5"/>
        <v>1</v>
      </c>
      <c r="P2639" s="8" t="str">
        <f t="shared" si="6"/>
        <v>No</v>
      </c>
    </row>
    <row r="2640">
      <c r="A2640" s="4" t="s">
        <v>16</v>
      </c>
      <c r="B2640" s="4" t="s">
        <v>7370</v>
      </c>
      <c r="C2640" s="5">
        <v>44651.0</v>
      </c>
      <c r="D2640" s="10">
        <v>44651.0</v>
      </c>
      <c r="E2640" s="4" t="s">
        <v>7371</v>
      </c>
      <c r="F2640" s="4" t="s">
        <v>7372</v>
      </c>
      <c r="G2640" s="6" t="str">
        <f>IFERROR(__xludf.DUMMYFUNCTION("REGEXREPLACE(LOWER(F2640),""[^a-z\s]"","""")"),"my  year old diabetic cat was out on a diet of royal canin pv diet absolutely no one had this food i found petflow while surfing the web one night and saw that they had the food i needed i ordered the food there was a bit of a delay with my prescription a"&amp;"nd its readability but i eventually got the food my cat needed i contacted customer service several times and they were always polite and professional")</f>
        <v>my  year old diabetic cat was out on a diet of royal canin pv diet absolutely no one had this food i found petflow while surfing the web one night and saw that they had the food i needed i ordered the food there was a bit of a delay with my prescription and its readability but i eventually got the food my cat needed i contacted customer service several times and they were always polite and professional</v>
      </c>
      <c r="H2640" s="4" t="str">
        <f t="shared" si="1"/>
        <v>my year old diabetic cat was out on a diet of royal canin pv diet absolutely no one had this food i found petflow while surfing web one night saw that they had food i needed i ordered food there was a bit of a delay with my prescription its readability but i eventually got food my cat needed i contacted customer service several times they were always polite professional</v>
      </c>
      <c r="I2640" s="6">
        <f t="shared" si="2"/>
        <v>70</v>
      </c>
      <c r="J2640" s="6">
        <f>IFERROR(__xludf.DUMMYFUNCTION("IF(H2640="""","""",
SUM(
ARRAYFORMULA(
IF(
REGEXMATCH(
"" ""&amp;H2640&amp;"" "",
"" ""&amp;Sentiment_Words!A$2:A3730&amp;"" ""
),
1,
0
)
)
)
)"),1.0)</f>
        <v>1</v>
      </c>
      <c r="K2640" s="4">
        <f>IFERROR(__xludf.DUMMYFUNCTION("IF(H2640="""","""",
SUM(
ARRAYFORMULA(
IF(
REGEXMATCH(
"" ""&amp;H2640&amp;"" "",
"" ""&amp;Sentiment_Words!B$2:B3730&amp;"" ""
),
1,
0
)
)
)
)"),2.0)</f>
        <v>2</v>
      </c>
      <c r="L2640" s="7" t="str">
        <f t="shared" si="3"/>
        <v>Customer Support</v>
      </c>
      <c r="M2640" s="7" t="str">
        <f t="shared" si="4"/>
        <v>Negative</v>
      </c>
      <c r="N2640" s="7" t="str">
        <f>IFERROR(__xludf.DUMMYFUNCTION("LOWER(
TRIM(
REGEXREPLACE(B2640,""[^a-zA-Z\s]"","""")
)
)
"),"patricia netzer")</f>
        <v>patricia netzer</v>
      </c>
      <c r="O2640" s="7">
        <f t="shared" si="5"/>
        <v>1</v>
      </c>
      <c r="P2640" s="8" t="str">
        <f t="shared" si="6"/>
        <v>No</v>
      </c>
    </row>
    <row r="2641">
      <c r="A2641" s="4" t="s">
        <v>16</v>
      </c>
      <c r="B2641" s="4" t="s">
        <v>7373</v>
      </c>
      <c r="C2641" s="5">
        <v>44651.0</v>
      </c>
      <c r="D2641" s="10">
        <v>44651.0</v>
      </c>
      <c r="E2641" s="4" t="s">
        <v>7374</v>
      </c>
      <c r="F2641" s="4" t="s">
        <v>7375</v>
      </c>
      <c r="G2641" s="6" t="str">
        <f>IFERROR(__xludf.DUMMYFUNCTION("REGEXREPLACE(LOWER(F2641),""[^a-z\s]"","""")"),"petflow is awesome great customer service")</f>
        <v>petflow is awesome great customer service</v>
      </c>
      <c r="H2641" s="4" t="str">
        <f t="shared" si="1"/>
        <v>petflow awesome great customer service</v>
      </c>
      <c r="I2641" s="6">
        <f t="shared" si="2"/>
        <v>5</v>
      </c>
      <c r="J2641" s="6">
        <f>IFERROR(__xludf.DUMMYFUNCTION("IF(H2641="""","""",
SUM(
ARRAYFORMULA(
IF(
REGEXMATCH(
"" ""&amp;H2641&amp;"" "",
"" ""&amp;Sentiment_Words!A$2:A3730&amp;"" ""
),
1,
0
)
)
)
)"),2.0)</f>
        <v>2</v>
      </c>
      <c r="K2641" s="4">
        <f>IFERROR(__xludf.DUMMYFUNCTION("IF(H2641="""","""",
SUM(
ARRAYFORMULA(
IF(
REGEXMATCH(
"" ""&amp;H2641&amp;"" "",
"" ""&amp;Sentiment_Words!B$2:B3730&amp;"" ""
),
1,
0
)
)
)
)"),1.0)</f>
        <v>1</v>
      </c>
      <c r="L2641" s="7" t="str">
        <f t="shared" si="3"/>
        <v>Customer Support</v>
      </c>
      <c r="M2641" s="7" t="str">
        <f t="shared" si="4"/>
        <v>Positive</v>
      </c>
      <c r="N2641" s="7" t="str">
        <f>IFERROR(__xludf.DUMMYFUNCTION("LOWER(
TRIM(
REGEXREPLACE(B2641,""[^a-zA-Z\s]"","""")
)
)
"),"haley metzler")</f>
        <v>haley metzler</v>
      </c>
      <c r="O2641" s="7">
        <f t="shared" si="5"/>
        <v>1</v>
      </c>
      <c r="P2641" s="8" t="str">
        <f t="shared" si="6"/>
        <v>No</v>
      </c>
    </row>
    <row r="2642">
      <c r="A2642" s="4" t="s">
        <v>16</v>
      </c>
      <c r="B2642" s="4" t="s">
        <v>7376</v>
      </c>
      <c r="C2642" s="5">
        <v>44650.0</v>
      </c>
      <c r="D2642" s="10">
        <v>44650.0</v>
      </c>
      <c r="E2642" s="4" t="s">
        <v>7377</v>
      </c>
      <c r="F2642" s="4" t="s">
        <v>7378</v>
      </c>
      <c r="G2642" s="6" t="str">
        <f>IFERROR(__xludf.DUMMYFUNCTION("REGEXREPLACE(LOWER(F2642),""[^a-z\s]"","""")"),"fantastic customer service great prices fast shipping i am trying to purchase less from large retails like you know who and havent had to for any pet food or most pet supplies since finding petflow")</f>
        <v>fantastic customer service great prices fast shipping i am trying to purchase less from large retails like you know who and havent had to for any pet food or most pet supplies since finding petflow</v>
      </c>
      <c r="H2642" s="4" t="str">
        <f t="shared" si="1"/>
        <v>fantastic customer service great prices fast shipping i am trying purchase less from large retails like you know who havent had any pet food or most pet supplies since finding petflow</v>
      </c>
      <c r="I2642" s="6">
        <f t="shared" si="2"/>
        <v>31</v>
      </c>
      <c r="J2642" s="6">
        <f>IFERROR(__xludf.DUMMYFUNCTION("IF(H2642="""","""",
SUM(
ARRAYFORMULA(
IF(
REGEXMATCH(
"" ""&amp;H2642&amp;"" "",
"" ""&amp;Sentiment_Words!A$2:A3730&amp;"" ""
),
1,
0
)
)
)
)"),2.0)</f>
        <v>2</v>
      </c>
      <c r="K2642" s="4">
        <f>IFERROR(__xludf.DUMMYFUNCTION("IF(H2642="""","""",
SUM(
ARRAYFORMULA(
IF(
REGEXMATCH(
"" ""&amp;H2642&amp;"" "",
"" ""&amp;Sentiment_Words!B$2:B3730&amp;"" ""
),
1,
0
)
)
)
)"),1.0)</f>
        <v>1</v>
      </c>
      <c r="L2642" s="7" t="str">
        <f t="shared" si="3"/>
        <v>Customer Support</v>
      </c>
      <c r="M2642" s="7" t="str">
        <f t="shared" si="4"/>
        <v>Positive</v>
      </c>
      <c r="N2642" s="7" t="str">
        <f>IFERROR(__xludf.DUMMYFUNCTION("LOWER(
TRIM(
REGEXREPLACE(B2642,""[^a-zA-Z\s]"","""")
)
)
"),"rob galanakis")</f>
        <v>rob galanakis</v>
      </c>
      <c r="O2642" s="7">
        <f t="shared" si="5"/>
        <v>1</v>
      </c>
      <c r="P2642" s="8" t="str">
        <f t="shared" si="6"/>
        <v>No</v>
      </c>
    </row>
    <row r="2643">
      <c r="A2643" s="4" t="s">
        <v>16</v>
      </c>
      <c r="B2643" s="4" t="s">
        <v>440</v>
      </c>
      <c r="C2643" s="5">
        <v>44650.0</v>
      </c>
      <c r="D2643" s="10">
        <v>44650.0</v>
      </c>
      <c r="E2643" s="4" t="s">
        <v>7379</v>
      </c>
      <c r="F2643" s="4" t="s">
        <v>7380</v>
      </c>
      <c r="G2643" s="6" t="str">
        <f>IFERROR(__xludf.DUMMYFUNCTION("REGEXREPLACE(LOWER(F2643),""[^a-z\s]"","""")"),"dog wont eat the food is so stiff if wont come out of can")</f>
        <v>dog wont eat the food is so stiff if wont come out of can</v>
      </c>
      <c r="H2643" s="4" t="str">
        <f t="shared" si="1"/>
        <v>dog wont eat food so stiff if wont come out of can</v>
      </c>
      <c r="I2643" s="6">
        <f t="shared" si="2"/>
        <v>12</v>
      </c>
      <c r="J2643" s="6">
        <f>IFERROR(__xludf.DUMMYFUNCTION("IF(H2643="""","""",
SUM(
ARRAYFORMULA(
IF(
REGEXMATCH(
"" ""&amp;H2643&amp;"" "",
"" ""&amp;Sentiment_Words!A$2:A3730&amp;"" ""
),
1,
0
)
)
)
)"),0.0)</f>
        <v>0</v>
      </c>
      <c r="K2643" s="4">
        <f>IFERROR(__xludf.DUMMYFUNCTION("IF(H2643="""","""",
SUM(
ARRAYFORMULA(
IF(
REGEXMATCH(
"" ""&amp;H2643&amp;"" "",
"" ""&amp;Sentiment_Words!B$2:B3730&amp;"" ""
),
1,
0
)
)
)
)"),0.0)</f>
        <v>0</v>
      </c>
      <c r="L2643" s="7" t="str">
        <f t="shared" si="3"/>
        <v>Other</v>
      </c>
      <c r="M2643" s="7" t="str">
        <f t="shared" si="4"/>
        <v>Neutral</v>
      </c>
      <c r="N2643" s="7" t="str">
        <f>IFERROR(__xludf.DUMMYFUNCTION("LOWER(
TRIM(
REGEXREPLACE(B2643,""[^a-zA-Z\s]"","""")
)
)
"),"jean")</f>
        <v>jean</v>
      </c>
      <c r="O2643" s="7">
        <f t="shared" si="5"/>
        <v>5</v>
      </c>
      <c r="P2643" s="8" t="str">
        <f t="shared" si="6"/>
        <v>Yes</v>
      </c>
    </row>
    <row r="2644">
      <c r="A2644" s="4" t="s">
        <v>16</v>
      </c>
      <c r="B2644" s="4" t="s">
        <v>7381</v>
      </c>
      <c r="C2644" s="5">
        <v>44650.0</v>
      </c>
      <c r="D2644" s="10">
        <v>44650.0</v>
      </c>
      <c r="E2644" s="4" t="s">
        <v>7382</v>
      </c>
      <c r="F2644" s="4" t="s">
        <v>7383</v>
      </c>
      <c r="G2644" s="6" t="str">
        <f>IFERROR(__xludf.DUMMYFUNCTION("REGEXREPLACE(LOWER(F2644),""[^a-z\s]"","""")"),"my second time buying my pet food at petflow  what i like the most is the possibilito buy two packs with a better price the delivery is free and is ok  not to fast but ok  is good to know that it took to  days to delivery than you need to buy in advance")</f>
        <v>my second time buying my pet food at petflow  what i like the most is the possibilito buy two packs with a better price the delivery is free and is ok  not to fast but ok  is good to know that it took to  days to delivery than you need to buy in advance</v>
      </c>
      <c r="H2644" s="4" t="str">
        <f t="shared" si="1"/>
        <v>my second time buying my pet food at petflow what i like most possibilito buy two packs with a better price delivery free ok not fast but ok good know that it took days delivery than you need buy in advance</v>
      </c>
      <c r="I2644" s="6">
        <f t="shared" si="2"/>
        <v>41</v>
      </c>
      <c r="J2644" s="6">
        <f>IFERROR(__xludf.DUMMYFUNCTION("IF(H2644="""","""",
SUM(
ARRAYFORMULA(
IF(
REGEXMATCH(
"" ""&amp;H2644&amp;"" "",
"" ""&amp;Sentiment_Words!A$2:A3730&amp;"" ""
),
1,
0
)
)
)
)"),2.0)</f>
        <v>2</v>
      </c>
      <c r="K2644" s="4">
        <f>IFERROR(__xludf.DUMMYFUNCTION("IF(H2644="""","""",
SUM(
ARRAYFORMULA(
IF(
REGEXMATCH(
"" ""&amp;H2644&amp;"" "",
"" ""&amp;Sentiment_Words!B$2:B3730&amp;"" ""
),
1,
0
)
)
)
)"),1.0)</f>
        <v>1</v>
      </c>
      <c r="L2644" s="7" t="str">
        <f t="shared" si="3"/>
        <v>Other</v>
      </c>
      <c r="M2644" s="7" t="str">
        <f t="shared" si="4"/>
        <v>Positive</v>
      </c>
      <c r="N2644" s="7" t="str">
        <f>IFERROR(__xludf.DUMMYFUNCTION("LOWER(
TRIM(
REGEXREPLACE(B2644,""[^a-zA-Z\s]"","""")
)
)
"),"lorene perotti")</f>
        <v>lorene perotti</v>
      </c>
      <c r="O2644" s="7">
        <f t="shared" si="5"/>
        <v>1</v>
      </c>
      <c r="P2644" s="8" t="str">
        <f t="shared" si="6"/>
        <v>No</v>
      </c>
    </row>
    <row r="2645">
      <c r="A2645" s="4" t="s">
        <v>16</v>
      </c>
      <c r="B2645" s="4" t="s">
        <v>5472</v>
      </c>
      <c r="C2645" s="5">
        <v>44650.0</v>
      </c>
      <c r="D2645" s="10">
        <v>44650.0</v>
      </c>
      <c r="E2645" s="4" t="s">
        <v>7384</v>
      </c>
      <c r="F2645" s="4" t="s">
        <v>7385</v>
      </c>
      <c r="G2645" s="6" t="str">
        <f>IFERROR(__xludf.DUMMYFUNCTION("REGEXREPLACE(LOWER(F2645),""[^a-z\s]"","""")"),"the process to order a prescription food is ridiculous the instructions on how to handle the prescription are incredibly unclear and the expected timeline of when your order will be delivered even more confusing i placed my order immediately emailed the p"&amp;"rescription and almost a week late they still had not even sent me an email with any updates i reached out to them twice and while their chat reps are very nice they provided no help i tried to cancel the order again after no notification that the order h"&amp;"ad been processed the rep told me she would send the request to cancel but that the foods were processed by another company three days later they shipped the order you cant tell me they cant cancel an order  days before its processed
i only used petflow b"&amp;"ecause there was a nationwide shortage of my pets food but in the time they took to process my order my primary provider of the food was able to get it back in stock and i was able to place and receive the order before petflow even processed the order
hor"&amp;"rible experience all around")</f>
        <v>the process to order a prescription food is ridiculous the instructions on how to handle the prescription are incredibly unclear and the expected timeline of when your order will be delivered even more confusing i placed my order immediately emailed the prescription and almost a week late they still had not even sent me an email with any updates i reached out to them twice and while their chat reps are very nice they provided no help i tried to cancel the order again after no notification that the order had been processed the rep told me she would send the request to cancel but that the foods were processed by another company three days later they shipped the order you cant tell me they cant cancel an order  days before its processed
i only used petflow because there was a nationwide shortage of my pets food but in the time they took to process my order my primary provider of the food was able to get it back in stock and i was able to place and receive the order before petflow even processed the order
horrible experience all around</v>
      </c>
      <c r="H2645" s="4" t="str">
        <f t="shared" si="1"/>
        <v>process order a prescription food ridiculous instructions on how handle prescription are incredibly unclear expected timeline of when your order will be delivered even more confusing i placed my order immediately emailed prescription almost a week late they still had not even sent me an email with any updates i reached out them twice while their chat reps are very nice they provided no help i tried cancel order again after no notification that order had been processed rep told me she would send request cancel but that foods were processed by another company three days later they shipped order you cant tell me they cant cancel an order days before its processed
i only used petflow because there was a nationwide shortage of my pets food but in time they took process my order my primary provider of food was able get it back in stock i was able place receive order before petflow even processed order
horrible experience all around</v>
      </c>
      <c r="I2645" s="6">
        <f t="shared" si="2"/>
        <v>160</v>
      </c>
      <c r="J2645" s="6">
        <f>IFERROR(__xludf.DUMMYFUNCTION("IF(H2645="""","""",
SUM(
ARRAYFORMULA(
IF(
REGEXMATCH(
"" ""&amp;H2645&amp;"" "",
"" ""&amp;Sentiment_Words!A$2:A3730&amp;"" ""
),
1,
0
)
)
)
)"),3.0)</f>
        <v>3</v>
      </c>
      <c r="K2645" s="4">
        <f>IFERROR(__xludf.DUMMYFUNCTION("IF(H2645="""","""",
SUM(
ARRAYFORMULA(
IF(
REGEXMATCH(
"" ""&amp;H2645&amp;"" "",
"" ""&amp;Sentiment_Words!B$2:B3730&amp;"" ""
),
1,
0
)
)
)
)"),0.0)</f>
        <v>0</v>
      </c>
      <c r="L2645" s="7" t="str">
        <f t="shared" si="3"/>
        <v>Fulfillment &amp; Shipping</v>
      </c>
      <c r="M2645" s="7" t="str">
        <f t="shared" si="4"/>
        <v>Positive</v>
      </c>
      <c r="N2645" s="7" t="str">
        <f>IFERROR(__xludf.DUMMYFUNCTION("LOWER(
TRIM(
REGEXREPLACE(B2645,""[^a-zA-Z\s]"","""")
)
)
"),"mr")</f>
        <v>mr</v>
      </c>
      <c r="O2645" s="7">
        <f t="shared" si="5"/>
        <v>2</v>
      </c>
      <c r="P2645" s="8" t="str">
        <f t="shared" si="6"/>
        <v>Yes</v>
      </c>
    </row>
    <row r="2646">
      <c r="A2646" s="4" t="s">
        <v>16</v>
      </c>
      <c r="B2646" s="4" t="s">
        <v>7386</v>
      </c>
      <c r="C2646" s="5">
        <v>44649.0</v>
      </c>
      <c r="D2646" s="10">
        <v>44649.0</v>
      </c>
      <c r="E2646" s="4" t="s">
        <v>623</v>
      </c>
      <c r="F2646" s="4" t="s">
        <v>7387</v>
      </c>
      <c r="G2646" s="6" t="str">
        <f>IFERROR(__xludf.DUMMYFUNCTION("REGEXREPLACE(LOWER(F2646),""[^a-z\s]"","""")"),"great service you had the cat food i needed when every other place was out of stock prompt delivery thanks so much")</f>
        <v>great service you had the cat food i needed when every other place was out of stock prompt delivery thanks so much</v>
      </c>
      <c r="H2646" s="4" t="str">
        <f t="shared" si="1"/>
        <v>great service you had cat food i needed when every other place was out of stock prompt delivery thanks so much</v>
      </c>
      <c r="I2646" s="6">
        <f t="shared" si="2"/>
        <v>21</v>
      </c>
      <c r="J2646" s="6">
        <f>IFERROR(__xludf.DUMMYFUNCTION("IF(H2646="""","""",
SUM(
ARRAYFORMULA(
IF(
REGEXMATCH(
"" ""&amp;H2646&amp;"" "",
"" ""&amp;Sentiment_Words!A$2:A3730&amp;"" ""
),
1,
0
)
)
)
)"),2.0)</f>
        <v>2</v>
      </c>
      <c r="K2646" s="4">
        <f>IFERROR(__xludf.DUMMYFUNCTION("IF(H2646="""","""",
SUM(
ARRAYFORMULA(
IF(
REGEXMATCH(
"" ""&amp;H2646&amp;"" "",
"" ""&amp;Sentiment_Words!B$2:B3730&amp;"" ""
),
1,
0
)
)
)
)"),1.0)</f>
        <v>1</v>
      </c>
      <c r="L2646" s="7" t="str">
        <f t="shared" si="3"/>
        <v>Customer Support</v>
      </c>
      <c r="M2646" s="7" t="str">
        <f t="shared" si="4"/>
        <v>Positive</v>
      </c>
      <c r="N2646" s="7" t="str">
        <f>IFERROR(__xludf.DUMMYFUNCTION("LOWER(
TRIM(
REGEXREPLACE(B2646,""[^a-zA-Z\s]"","""")
)
)
"),"meaghan v")</f>
        <v>meaghan v</v>
      </c>
      <c r="O2646" s="7">
        <f t="shared" si="5"/>
        <v>1</v>
      </c>
      <c r="P2646" s="8" t="str">
        <f t="shared" si="6"/>
        <v>No</v>
      </c>
    </row>
    <row r="2647">
      <c r="A2647" s="4" t="s">
        <v>16</v>
      </c>
      <c r="B2647" s="4" t="s">
        <v>2144</v>
      </c>
      <c r="C2647" s="5">
        <v>44649.0</v>
      </c>
      <c r="D2647" s="10">
        <v>44649.0</v>
      </c>
      <c r="E2647" s="4" t="s">
        <v>84</v>
      </c>
      <c r="F2647" s="4" t="s">
        <v>7388</v>
      </c>
      <c r="G2647" s="6" t="str">
        <f>IFERROR(__xludf.DUMMYFUNCTION("REGEXREPLACE(LOWER(F2647),""[^a-z\s]"","""")"),"availability of special diet and fast friendly customer service")</f>
        <v>availability of special diet and fast friendly customer service</v>
      </c>
      <c r="H2647" s="4" t="str">
        <f t="shared" si="1"/>
        <v>availability of special diet fast friendly customer service</v>
      </c>
      <c r="I2647" s="6">
        <f t="shared" si="2"/>
        <v>8</v>
      </c>
      <c r="J2647" s="6">
        <f>IFERROR(__xludf.DUMMYFUNCTION("IF(H2647="""","""",
SUM(
ARRAYFORMULA(
IF(
REGEXMATCH(
"" ""&amp;H2647&amp;"" "",
"" ""&amp;Sentiment_Words!A$2:A3730&amp;"" ""
),
1,
0
)
)
)
)"),1.0)</f>
        <v>1</v>
      </c>
      <c r="K2647" s="4">
        <f>IFERROR(__xludf.DUMMYFUNCTION("IF(H2647="""","""",
SUM(
ARRAYFORMULA(
IF(
REGEXMATCH(
"" ""&amp;H2647&amp;"" "",
"" ""&amp;Sentiment_Words!B$2:B3730&amp;"" ""
),
1,
0
)
)
)
)"),1.0)</f>
        <v>1</v>
      </c>
      <c r="L2647" s="7" t="str">
        <f t="shared" si="3"/>
        <v>Customer Support</v>
      </c>
      <c r="M2647" s="7" t="str">
        <f t="shared" si="4"/>
        <v>Neutral</v>
      </c>
      <c r="N2647" s="7" t="str">
        <f>IFERROR(__xludf.DUMMYFUNCTION("LOWER(
TRIM(
REGEXREPLACE(B2647,""[^a-zA-Z\s]"","""")
)
)
"),"terri")</f>
        <v>terri</v>
      </c>
      <c r="O2647" s="7">
        <f t="shared" si="5"/>
        <v>5</v>
      </c>
      <c r="P2647" s="8" t="str">
        <f t="shared" si="6"/>
        <v>Yes</v>
      </c>
    </row>
    <row r="2648">
      <c r="A2648" s="4" t="s">
        <v>16</v>
      </c>
      <c r="B2648" s="4" t="s">
        <v>7389</v>
      </c>
      <c r="C2648" s="5">
        <v>44649.0</v>
      </c>
      <c r="D2648" s="10">
        <v>44649.0</v>
      </c>
      <c r="E2648" s="4" t="s">
        <v>938</v>
      </c>
      <c r="F2648" s="4" t="s">
        <v>7390</v>
      </c>
      <c r="G2648" s="6" t="str">
        <f>IFERROR(__xludf.DUMMYFUNCTION("REGEXREPLACE(LOWER(F2648),""[^a-z\s]"","""")"),"no problems quick and efficient")</f>
        <v>no problems quick and efficient</v>
      </c>
      <c r="H2648" s="4" t="str">
        <f t="shared" si="1"/>
        <v>no problems quick efficient</v>
      </c>
      <c r="I2648" s="6">
        <f t="shared" si="2"/>
        <v>4</v>
      </c>
      <c r="J2648" s="6">
        <f>IFERROR(__xludf.DUMMYFUNCTION("IF(H2648="""","""",
SUM(
ARRAYFORMULA(
IF(
REGEXMATCH(
"" ""&amp;H2648&amp;"" "",
"" ""&amp;Sentiment_Words!A$2:A3730&amp;"" ""
),
1,
0
)
)
)
)"),2.0)</f>
        <v>2</v>
      </c>
      <c r="K2648" s="4">
        <f>IFERROR(__xludf.DUMMYFUNCTION("IF(H2648="""","""",
SUM(
ARRAYFORMULA(
IF(
REGEXMATCH(
"" ""&amp;H2648&amp;"" "",
"" ""&amp;Sentiment_Words!B$2:B3730&amp;"" ""
),
1,
0
)
)
)
)"),0.0)</f>
        <v>0</v>
      </c>
      <c r="L2648" s="7" t="str">
        <f t="shared" si="3"/>
        <v>Other</v>
      </c>
      <c r="M2648" s="7" t="str">
        <f t="shared" si="4"/>
        <v>Positive</v>
      </c>
      <c r="N2648" s="7" t="str">
        <f>IFERROR(__xludf.DUMMYFUNCTION("LOWER(
TRIM(
REGEXREPLACE(B2648,""[^a-zA-Z\s]"","""")
)
)
"),"thomas oswald")</f>
        <v>thomas oswald</v>
      </c>
      <c r="O2648" s="7">
        <f t="shared" si="5"/>
        <v>1</v>
      </c>
      <c r="P2648" s="8" t="str">
        <f t="shared" si="6"/>
        <v>No</v>
      </c>
    </row>
    <row r="2649">
      <c r="A2649" s="4" t="s">
        <v>16</v>
      </c>
      <c r="B2649" s="4" t="s">
        <v>252</v>
      </c>
      <c r="C2649" s="5">
        <v>44649.0</v>
      </c>
      <c r="D2649" s="10">
        <v>44649.0</v>
      </c>
      <c r="E2649" s="4" t="s">
        <v>7391</v>
      </c>
      <c r="F2649" s="4" t="s">
        <v>7392</v>
      </c>
      <c r="G2649" s="6" t="str">
        <f>IFERROR(__xludf.DUMMYFUNCTION("REGEXREPLACE(LOWER(F2649),""[^a-z\s]"","""")"),"great customer service always have the products that i need when i need them thank you petflow")</f>
        <v>great customer service always have the products that i need when i need them thank you petflow</v>
      </c>
      <c r="H2649" s="4" t="str">
        <f t="shared" si="1"/>
        <v>great customer service always have products that i need when i need them thank you petflow</v>
      </c>
      <c r="I2649" s="6">
        <f t="shared" si="2"/>
        <v>16</v>
      </c>
      <c r="J2649" s="6">
        <f>IFERROR(__xludf.DUMMYFUNCTION("IF(H2649="""","""",
SUM(
ARRAYFORMULA(
IF(
REGEXMATCH(
"" ""&amp;H2649&amp;"" "",
"" ""&amp;Sentiment_Words!A$2:A3730&amp;"" ""
),
1,
0
)
)
)
)"),2.0)</f>
        <v>2</v>
      </c>
      <c r="K2649" s="4">
        <f>IFERROR(__xludf.DUMMYFUNCTION("IF(H2649="""","""",
SUM(
ARRAYFORMULA(
IF(
REGEXMATCH(
"" ""&amp;H2649&amp;"" "",
"" ""&amp;Sentiment_Words!B$2:B3730&amp;"" ""
),
1,
0
)
)
)
)"),1.0)</f>
        <v>1</v>
      </c>
      <c r="L2649" s="7" t="str">
        <f t="shared" si="3"/>
        <v>Customer Support</v>
      </c>
      <c r="M2649" s="7" t="str">
        <f t="shared" si="4"/>
        <v>Positive</v>
      </c>
      <c r="N2649" s="7" t="str">
        <f>IFERROR(__xludf.DUMMYFUNCTION("LOWER(
TRIM(
REGEXREPLACE(B2649,""[^a-zA-Z\s]"","""")
)
)
"),"lisa")</f>
        <v>lisa</v>
      </c>
      <c r="O2649" s="7">
        <f t="shared" si="5"/>
        <v>8</v>
      </c>
      <c r="P2649" s="8" t="str">
        <f t="shared" si="6"/>
        <v>Yes</v>
      </c>
    </row>
    <row r="2650">
      <c r="A2650" s="4" t="s">
        <v>16</v>
      </c>
      <c r="B2650" s="4" t="s">
        <v>7393</v>
      </c>
      <c r="C2650" s="5">
        <v>44649.0</v>
      </c>
      <c r="D2650" s="10">
        <v>44649.0</v>
      </c>
      <c r="E2650" s="4" t="s">
        <v>190</v>
      </c>
      <c r="F2650" s="4" t="s">
        <v>7394</v>
      </c>
      <c r="G2650" s="6" t="str">
        <f>IFERROR(__xludf.DUMMYFUNCTION("REGEXREPLACE(LOWER(F2650),""[^a-z\s]"","""")"),"i have been ordering from petflow for sometime now and i truly love it  its hard to find certain brands like fromm from your local pet stores so i airways shop here did i mention shipping is pretty fast i am happy customer")</f>
        <v>i have been ordering from petflow for sometime now and i truly love it  its hard to find certain brands like fromm from your local pet stores so i airways shop here did i mention shipping is pretty fast i am happy customer</v>
      </c>
      <c r="H2650" s="4" t="str">
        <f t="shared" si="1"/>
        <v>i have been ordering from petflow sometime now i truly love it its hard find certain brands like fromm from your local pet stores so i airways shop here did i mention shipping pretty fast i am happy customer</v>
      </c>
      <c r="I2650" s="6">
        <f t="shared" si="2"/>
        <v>39</v>
      </c>
      <c r="J2650" s="6">
        <f>IFERROR(__xludf.DUMMYFUNCTION("IF(H2650="""","""",
SUM(
ARRAYFORMULA(
IF(
REGEXMATCH(
"" ""&amp;H2650&amp;"" "",
"" ""&amp;Sentiment_Words!A$2:A3730&amp;"" ""
),
1,
0
)
)
)
)"),3.0)</f>
        <v>3</v>
      </c>
      <c r="K2650" s="4">
        <f>IFERROR(__xludf.DUMMYFUNCTION("IF(H2650="""","""",
SUM(
ARRAYFORMULA(
IF(
REGEXMATCH(
"" ""&amp;H2650&amp;"" "",
"" ""&amp;Sentiment_Words!B$2:B3730&amp;"" ""
),
1,
0
)
)
)
)"),0.0)</f>
        <v>0</v>
      </c>
      <c r="L2650" s="7" t="str">
        <f t="shared" si="3"/>
        <v>Other</v>
      </c>
      <c r="M2650" s="7" t="str">
        <f t="shared" si="4"/>
        <v>Positive</v>
      </c>
      <c r="N2650" s="7" t="str">
        <f>IFERROR(__xludf.DUMMYFUNCTION("LOWER(
TRIM(
REGEXREPLACE(B2650,""[^a-zA-Z\s]"","""")
)
)
"),"lynn erickson")</f>
        <v>lynn erickson</v>
      </c>
      <c r="O2650" s="7">
        <f t="shared" si="5"/>
        <v>1</v>
      </c>
      <c r="P2650" s="8" t="str">
        <f t="shared" si="6"/>
        <v>No</v>
      </c>
    </row>
    <row r="2651">
      <c r="A2651" s="4" t="s">
        <v>16</v>
      </c>
      <c r="B2651" s="4" t="s">
        <v>1288</v>
      </c>
      <c r="C2651" s="5">
        <v>44649.0</v>
      </c>
      <c r="D2651" s="10">
        <v>44649.0</v>
      </c>
      <c r="E2651" s="4" t="s">
        <v>7395</v>
      </c>
      <c r="F2651" s="4" t="s">
        <v>7396</v>
      </c>
      <c r="G2651" s="6" t="str">
        <f>IFERROR(__xludf.DUMMYFUNCTION("REGEXREPLACE(LOWER(F2651),""[^a-z\s]"","""")"),"i was able to find the food for my cat herehe has ibd and can only eat certain foods these kind people give great service answered all my questions im very pleased with pet flows service")</f>
        <v>i was able to find the food for my cat herehe has ibd and can only eat certain foods these kind people give great service answered all my questions im very pleased with pet flows service</v>
      </c>
      <c r="H2651" s="4" t="str">
        <f t="shared" si="1"/>
        <v>i was able find food my cat herehe has ibd can only eat certain foods these kind people give great service answered all my questions im very pleased with pet flows service</v>
      </c>
      <c r="I2651" s="6">
        <f t="shared" si="2"/>
        <v>32</v>
      </c>
      <c r="J2651" s="6">
        <f>IFERROR(__xludf.DUMMYFUNCTION("IF(H2651="""","""",
SUM(
ARRAYFORMULA(
IF(
REGEXMATCH(
"" ""&amp;H2651&amp;"" "",
"" ""&amp;Sentiment_Words!A$2:A3730&amp;"" ""
),
1,
0
)
)
)
)"),2.0)</f>
        <v>2</v>
      </c>
      <c r="K2651" s="4">
        <f>IFERROR(__xludf.DUMMYFUNCTION("IF(H2651="""","""",
SUM(
ARRAYFORMULA(
IF(
REGEXMATCH(
"" ""&amp;H2651&amp;"" "",
"" ""&amp;Sentiment_Words!B$2:B3730&amp;"" ""
),
1,
0
)
)
)
)"),0.0)</f>
        <v>0</v>
      </c>
      <c r="L2651" s="7" t="str">
        <f t="shared" si="3"/>
        <v>Customer Support</v>
      </c>
      <c r="M2651" s="7" t="str">
        <f t="shared" si="4"/>
        <v>Positive</v>
      </c>
      <c r="N2651" s="7" t="str">
        <f>IFERROR(__xludf.DUMMYFUNCTION("LOWER(
TRIM(
REGEXREPLACE(B2651,""[^a-zA-Z\s]"","""")
)
)
"),"heather")</f>
        <v>heather</v>
      </c>
      <c r="O2651" s="7">
        <f t="shared" si="5"/>
        <v>2</v>
      </c>
      <c r="P2651" s="8" t="str">
        <f t="shared" si="6"/>
        <v>Yes</v>
      </c>
    </row>
    <row r="2652">
      <c r="A2652" s="4" t="s">
        <v>16</v>
      </c>
      <c r="B2652" s="4" t="s">
        <v>56</v>
      </c>
      <c r="C2652" s="5">
        <v>44649.0</v>
      </c>
      <c r="D2652" s="4" t="s">
        <v>7397</v>
      </c>
      <c r="E2652" s="4" t="s">
        <v>7398</v>
      </c>
      <c r="F2652" s="4" t="s">
        <v>7399</v>
      </c>
      <c r="G2652" s="6" t="str">
        <f>IFERROR(__xludf.DUMMYFUNCTION("REGEXREPLACE(LOWER(F2652),""[^a-z\s]"","""")"),"i buy crickets very often i got  and  were dead usually always there are some dead but this time the number was higher not good")</f>
        <v>i buy crickets very often i got  and  were dead usually always there are some dead but this time the number was higher not good</v>
      </c>
      <c r="H2652" s="4" t="str">
        <f t="shared" si="1"/>
        <v>i buy crickets very often i got were dead usually always there are some dead but this time number was higher not good</v>
      </c>
      <c r="I2652" s="6">
        <f t="shared" si="2"/>
        <v>23</v>
      </c>
      <c r="J2652" s="6">
        <f>IFERROR(__xludf.DUMMYFUNCTION("IF(H2652="""","""",
SUM(
ARRAYFORMULA(
IF(
REGEXMATCH(
"" ""&amp;H2652&amp;"" "",
"" ""&amp;Sentiment_Words!A$2:A3730&amp;"" ""
),
1,
0
)
)
)
)"),1.0)</f>
        <v>1</v>
      </c>
      <c r="K2652" s="4">
        <f>IFERROR(__xludf.DUMMYFUNCTION("IF(H2652="""","""",
SUM(
ARRAYFORMULA(
IF(
REGEXMATCH(
"" ""&amp;H2652&amp;"" "",
"" ""&amp;Sentiment_Words!B$2:B3730&amp;"" ""
),
1,
0
)
)
)
)"),0.0)</f>
        <v>0</v>
      </c>
      <c r="L2652" s="7" t="str">
        <f t="shared" si="3"/>
        <v>Other</v>
      </c>
      <c r="M2652" s="7" t="str">
        <f t="shared" si="4"/>
        <v>Positive</v>
      </c>
      <c r="N2652" s="7" t="str">
        <f>IFERROR(__xludf.DUMMYFUNCTION("LOWER(
TRIM(
REGEXREPLACE(B2652,""[^a-zA-Z\s]"","""")
)
)
"),"customer")</f>
        <v>customer</v>
      </c>
      <c r="O2652" s="7">
        <f t="shared" si="5"/>
        <v>54</v>
      </c>
      <c r="P2652" s="8" t="str">
        <f t="shared" si="6"/>
        <v>Yes</v>
      </c>
    </row>
    <row r="2653">
      <c r="A2653" s="4" t="s">
        <v>16</v>
      </c>
      <c r="B2653" s="4" t="s">
        <v>7400</v>
      </c>
      <c r="C2653" s="5">
        <v>44649.0</v>
      </c>
      <c r="D2653" s="10">
        <v>44649.0</v>
      </c>
      <c r="E2653" s="4" t="s">
        <v>7401</v>
      </c>
      <c r="F2653" s="4" t="s">
        <v>7402</v>
      </c>
      <c r="G2653" s="6" t="str">
        <f>IFERROR(__xludf.DUMMYFUNCTION("REGEXREPLACE(LOWER(F2653),""[^a-z\s]"","""")"),"very satisfied with my order i was notified when the treats my dog eats were available they contacted her vets for the prescription information  sent out immediately")</f>
        <v>very satisfied with my order i was notified when the treats my dog eats were available they contacted her vets for the prescription information  sent out immediately</v>
      </c>
      <c r="H2653" s="4" t="str">
        <f t="shared" si="1"/>
        <v>very satisfied with my order i was notified when treats my dog eats were available they contacted her vets prescription information sent out immediately</v>
      </c>
      <c r="I2653" s="6">
        <f t="shared" si="2"/>
        <v>24</v>
      </c>
      <c r="J2653" s="6">
        <f>IFERROR(__xludf.DUMMYFUNCTION("IF(H2653="""","""",
SUM(
ARRAYFORMULA(
IF(
REGEXMATCH(
"" ""&amp;H2653&amp;"" "",
"" ""&amp;Sentiment_Words!A$2:A3730&amp;"" ""
),
1,
0
)
)
)
)"),3.0)</f>
        <v>3</v>
      </c>
      <c r="K2653" s="4">
        <f>IFERROR(__xludf.DUMMYFUNCTION("IF(H2653="""","""",
SUM(
ARRAYFORMULA(
IF(
REGEXMATCH(
"" ""&amp;H2653&amp;"" "",
"" ""&amp;Sentiment_Words!B$2:B3730&amp;"" ""
),
1,
0
)
)
)
)"),0.0)</f>
        <v>0</v>
      </c>
      <c r="L2653" s="7" t="str">
        <f t="shared" si="3"/>
        <v>Other</v>
      </c>
      <c r="M2653" s="7" t="str">
        <f t="shared" si="4"/>
        <v>Positive</v>
      </c>
      <c r="N2653" s="7" t="str">
        <f>IFERROR(__xludf.DUMMYFUNCTION("LOWER(
TRIM(
REGEXREPLACE(B2653,""[^a-zA-Z\s]"","""")
)
)
"),"esther freeman")</f>
        <v>esther freeman</v>
      </c>
      <c r="O2653" s="7">
        <f t="shared" si="5"/>
        <v>1</v>
      </c>
      <c r="P2653" s="8" t="str">
        <f t="shared" si="6"/>
        <v>No</v>
      </c>
    </row>
    <row r="2654">
      <c r="A2654" s="4" t="s">
        <v>16</v>
      </c>
      <c r="B2654" s="4" t="s">
        <v>739</v>
      </c>
      <c r="C2654" s="5">
        <v>44649.0</v>
      </c>
      <c r="D2654" s="10">
        <v>44649.0</v>
      </c>
      <c r="E2654" s="4" t="s">
        <v>7403</v>
      </c>
      <c r="F2654" s="4" t="s">
        <v>7404</v>
      </c>
      <c r="G2654" s="6" t="str">
        <f>IFERROR(__xludf.DUMMYFUNCTION("REGEXREPLACE(LOWER(F2654),""[^a-z\s]"","""")"),"ordered prescription food on a time crunch confided x with customer service it was ordered confirmed and waiting to ship and then finally cancelled after a week horrible service")</f>
        <v>ordered prescription food on a time crunch confided x with customer service it was ordered confirmed and waiting to ship and then finally cancelled after a week horrible service</v>
      </c>
      <c r="H2654" s="4" t="str">
        <f t="shared" si="1"/>
        <v>ordered prescription food on a time crunch confided x with customer service it was ordered confirmed waiting ship then finally cancelled after a week horrible service</v>
      </c>
      <c r="I2654" s="6">
        <f t="shared" si="2"/>
        <v>26</v>
      </c>
      <c r="J2654" s="6">
        <f>IFERROR(__xludf.DUMMYFUNCTION("IF(H2654="""","""",
SUM(
ARRAYFORMULA(
IF(
REGEXMATCH(
"" ""&amp;H2654&amp;"" "",
"" ""&amp;Sentiment_Words!A$2:A3730&amp;"" ""
),
1,
0
)
)
)
)"),0.0)</f>
        <v>0</v>
      </c>
      <c r="K2654" s="4">
        <f>IFERROR(__xludf.DUMMYFUNCTION("IF(H2654="""","""",
SUM(
ARRAYFORMULA(
IF(
REGEXMATCH(
"" ""&amp;H2654&amp;"" "",
"" ""&amp;Sentiment_Words!B$2:B3730&amp;"" ""
),
1,
0
)
)
)
)"),2.0)</f>
        <v>2</v>
      </c>
      <c r="L2654" s="7" t="str">
        <f t="shared" si="3"/>
        <v>Customer Support</v>
      </c>
      <c r="M2654" s="7" t="str">
        <f t="shared" si="4"/>
        <v>Negative</v>
      </c>
      <c r="N2654" s="7" t="str">
        <f>IFERROR(__xludf.DUMMYFUNCTION("LOWER(
TRIM(
REGEXREPLACE(B2654,""[^a-zA-Z\s]"","""")
)
)
"),"customer")</f>
        <v>customer</v>
      </c>
      <c r="O2654" s="7">
        <f t="shared" si="5"/>
        <v>54</v>
      </c>
      <c r="P2654" s="8" t="str">
        <f t="shared" si="6"/>
        <v>Yes</v>
      </c>
    </row>
    <row r="2655">
      <c r="A2655" s="4" t="s">
        <v>16</v>
      </c>
      <c r="B2655" s="4" t="s">
        <v>7405</v>
      </c>
      <c r="C2655" s="5">
        <v>44649.0</v>
      </c>
      <c r="D2655" s="10">
        <v>44649.0</v>
      </c>
      <c r="E2655" s="4" t="s">
        <v>7406</v>
      </c>
      <c r="F2655" s="4" t="s">
        <v>7407</v>
      </c>
      <c r="G2655" s="6" t="str">
        <f>IFERROR(__xludf.DUMMYFUNCTION("REGEXREPLACE(LOWER(F2655),""[^a-z\s]"","""")"),"my dogs love the buffalo treats great value and service")</f>
        <v>my dogs love the buffalo treats great value and service</v>
      </c>
      <c r="H2655" s="4" t="str">
        <f t="shared" si="1"/>
        <v>my dogs love buffalo treats great value service</v>
      </c>
      <c r="I2655" s="6">
        <f t="shared" si="2"/>
        <v>8</v>
      </c>
      <c r="J2655" s="6">
        <f>IFERROR(__xludf.DUMMYFUNCTION("IF(H2655="""","""",
SUM(
ARRAYFORMULA(
IF(
REGEXMATCH(
"" ""&amp;H2655&amp;"" "",
"" ""&amp;Sentiment_Words!A$2:A3730&amp;"" ""
),
1,
0
)
)
)
)"),3.0)</f>
        <v>3</v>
      </c>
      <c r="K2655" s="4">
        <f>IFERROR(__xludf.DUMMYFUNCTION("IF(H2655="""","""",
SUM(
ARRAYFORMULA(
IF(
REGEXMATCH(
"" ""&amp;H2655&amp;"" "",
"" ""&amp;Sentiment_Words!B$2:B3730&amp;"" ""
),
1,
0
)
)
)
)"),0.0)</f>
        <v>0</v>
      </c>
      <c r="L2655" s="7" t="str">
        <f t="shared" si="3"/>
        <v>Customer Support</v>
      </c>
      <c r="M2655" s="7" t="str">
        <f t="shared" si="4"/>
        <v>Positive</v>
      </c>
      <c r="N2655" s="7" t="str">
        <f>IFERROR(__xludf.DUMMYFUNCTION("LOWER(
TRIM(
REGEXREPLACE(B2655,""[^a-zA-Z\s]"","""")
)
)
"),"jay hankin")</f>
        <v>jay hankin</v>
      </c>
      <c r="O2655" s="7">
        <f t="shared" si="5"/>
        <v>1</v>
      </c>
      <c r="P2655" s="8" t="str">
        <f t="shared" si="6"/>
        <v>No</v>
      </c>
    </row>
    <row r="2656">
      <c r="A2656" s="4" t="s">
        <v>16</v>
      </c>
      <c r="B2656" s="4" t="s">
        <v>7408</v>
      </c>
      <c r="C2656" s="5">
        <v>44649.0</v>
      </c>
      <c r="D2656" s="10">
        <v>44649.0</v>
      </c>
      <c r="E2656" s="4" t="s">
        <v>7409</v>
      </c>
      <c r="F2656" s="4" t="s">
        <v>7410</v>
      </c>
      <c r="G2656" s="6" t="str">
        <f>IFERROR(__xludf.DUMMYFUNCTION("REGEXREPLACE(LOWER(F2656),""[^a-z\s]"","""")"),"they always have what my parrots need and everything is fairly priced")</f>
        <v>they always have what my parrots need and everything is fairly priced</v>
      </c>
      <c r="H2656" s="4" t="str">
        <f t="shared" si="1"/>
        <v>they always have what my parrots need everything fairly priced</v>
      </c>
      <c r="I2656" s="6">
        <f t="shared" si="2"/>
        <v>10</v>
      </c>
      <c r="J2656" s="6">
        <f>IFERROR(__xludf.DUMMYFUNCTION("IF(H2656="""","""",
SUM(
ARRAYFORMULA(
IF(
REGEXMATCH(
"" ""&amp;H2656&amp;"" "",
"" ""&amp;Sentiment_Words!A$2:A3730&amp;"" ""
),
1,
0
)
)
)
)"),0.0)</f>
        <v>0</v>
      </c>
      <c r="K2656" s="4">
        <f>IFERROR(__xludf.DUMMYFUNCTION("IF(H2656="""","""",
SUM(
ARRAYFORMULA(
IF(
REGEXMATCH(
"" ""&amp;H2656&amp;"" "",
"" ""&amp;Sentiment_Words!B$2:B3730&amp;"" ""
),
1,
0
)
)
)
)"),0.0)</f>
        <v>0</v>
      </c>
      <c r="L2656" s="7" t="str">
        <f t="shared" si="3"/>
        <v>Other</v>
      </c>
      <c r="M2656" s="7" t="str">
        <f t="shared" si="4"/>
        <v>Neutral</v>
      </c>
      <c r="N2656" s="7" t="str">
        <f>IFERROR(__xludf.DUMMYFUNCTION("LOWER(
TRIM(
REGEXREPLACE(B2656,""[^a-zA-Z\s]"","""")
)
)
"),"pam beltz")</f>
        <v>pam beltz</v>
      </c>
      <c r="O2656" s="7">
        <f t="shared" si="5"/>
        <v>1</v>
      </c>
      <c r="P2656" s="8" t="str">
        <f t="shared" si="6"/>
        <v>No</v>
      </c>
    </row>
    <row r="2657">
      <c r="A2657" s="4" t="s">
        <v>16</v>
      </c>
      <c r="B2657" s="4" t="s">
        <v>7411</v>
      </c>
      <c r="C2657" s="5">
        <v>44649.0</v>
      </c>
      <c r="D2657" s="10">
        <v>44649.0</v>
      </c>
      <c r="E2657" s="4" t="s">
        <v>7412</v>
      </c>
      <c r="F2657" s="4" t="s">
        <v>331</v>
      </c>
      <c r="G2657" s="6" t="str">
        <f>IFERROR(__xludf.DUMMYFUNCTION("REGEXREPLACE(LOWER(F2657),""[^a-z\s]"","""")"),"none")</f>
        <v>none</v>
      </c>
      <c r="H2657" s="4" t="str">
        <f t="shared" si="1"/>
        <v>none</v>
      </c>
      <c r="I2657" s="6">
        <f t="shared" si="2"/>
        <v>1</v>
      </c>
      <c r="J2657" s="6">
        <f>IFERROR(__xludf.DUMMYFUNCTION("IF(H2657="""","""",
SUM(
ARRAYFORMULA(
IF(
REGEXMATCH(
"" ""&amp;H2657&amp;"" "",
"" ""&amp;Sentiment_Words!A$2:A3730&amp;"" ""
),
1,
0
)
)
)
)"),0.0)</f>
        <v>0</v>
      </c>
      <c r="K2657" s="4">
        <f>IFERROR(__xludf.DUMMYFUNCTION("IF(H2657="""","""",
SUM(
ARRAYFORMULA(
IF(
REGEXMATCH(
"" ""&amp;H2657&amp;"" "",
"" ""&amp;Sentiment_Words!B$2:B3730&amp;"" ""
),
1,
0
)
)
)
)"),0.0)</f>
        <v>0</v>
      </c>
      <c r="L2657" s="7" t="str">
        <f t="shared" si="3"/>
        <v>Other</v>
      </c>
      <c r="M2657" s="7" t="str">
        <f t="shared" si="4"/>
        <v>Neutral</v>
      </c>
      <c r="N2657" s="7" t="str">
        <f>IFERROR(__xludf.DUMMYFUNCTION("LOWER(
TRIM(
REGEXREPLACE(B2657,""[^a-zA-Z\s]"","""")
)
)
"),"carrie mclaughlin")</f>
        <v>carrie mclaughlin</v>
      </c>
      <c r="O2657" s="7">
        <f t="shared" si="5"/>
        <v>1</v>
      </c>
      <c r="P2657" s="8" t="str">
        <f t="shared" si="6"/>
        <v>No</v>
      </c>
    </row>
    <row r="2658">
      <c r="A2658" s="4" t="s">
        <v>16</v>
      </c>
      <c r="B2658" s="4" t="s">
        <v>7413</v>
      </c>
      <c r="C2658" s="5">
        <v>44649.0</v>
      </c>
      <c r="D2658" s="10">
        <v>44649.0</v>
      </c>
      <c r="E2658" s="4" t="s">
        <v>7414</v>
      </c>
      <c r="F2658" s="4" t="s">
        <v>7415</v>
      </c>
      <c r="G2658" s="6" t="str">
        <f>IFERROR(__xludf.DUMMYFUNCTION("REGEXREPLACE(LOWER(F2658),""[^a-z\s]"","""")"),"i was able to connect with customer service about issues with my prescription and they took care of it and i received my cat food thank you")</f>
        <v>i was able to connect with customer service about issues with my prescription and they took care of it and i received my cat food thank you</v>
      </c>
      <c r="H2658" s="4" t="str">
        <f t="shared" si="1"/>
        <v>i was able connect with customer service about issues with my prescription they took care of it i received my cat food thank you</v>
      </c>
      <c r="I2658" s="6">
        <f t="shared" si="2"/>
        <v>24</v>
      </c>
      <c r="J2658" s="6">
        <f>IFERROR(__xludf.DUMMYFUNCTION("IF(H2658="""","""",
SUM(
ARRAYFORMULA(
IF(
REGEXMATCH(
"" ""&amp;H2658&amp;"" "",
"" ""&amp;Sentiment_Words!A$2:A3730&amp;"" ""
),
1,
0
)
)
)
)"),1.0)</f>
        <v>1</v>
      </c>
      <c r="K2658" s="4">
        <f>IFERROR(__xludf.DUMMYFUNCTION("IF(H2658="""","""",
SUM(
ARRAYFORMULA(
IF(
REGEXMATCH(
"" ""&amp;H2658&amp;"" "",
"" ""&amp;Sentiment_Words!B$2:B3730&amp;"" ""
),
1,
0
)
)
)
)"),1.0)</f>
        <v>1</v>
      </c>
      <c r="L2658" s="7" t="str">
        <f t="shared" si="3"/>
        <v>Customer Support</v>
      </c>
      <c r="M2658" s="7" t="str">
        <f t="shared" si="4"/>
        <v>Neutral</v>
      </c>
      <c r="N2658" s="7" t="str">
        <f>IFERROR(__xludf.DUMMYFUNCTION("LOWER(
TRIM(
REGEXREPLACE(B2658,""[^a-zA-Z\s]"","""")
)
)
"),"jennifer smithlum")</f>
        <v>jennifer smithlum</v>
      </c>
      <c r="O2658" s="7">
        <f t="shared" si="5"/>
        <v>1</v>
      </c>
      <c r="P2658" s="8" t="str">
        <f t="shared" si="6"/>
        <v>No</v>
      </c>
    </row>
    <row r="2659">
      <c r="A2659" s="4" t="s">
        <v>16</v>
      </c>
      <c r="B2659" s="4" t="s">
        <v>7416</v>
      </c>
      <c r="C2659" s="5">
        <v>44648.0</v>
      </c>
      <c r="D2659" s="10">
        <v>44648.0</v>
      </c>
      <c r="E2659" s="4" t="s">
        <v>7417</v>
      </c>
      <c r="F2659" s="4" t="s">
        <v>7418</v>
      </c>
      <c r="G2659" s="6" t="str">
        <f>IFERROR(__xludf.DUMMYFUNCTION("REGEXREPLACE(LOWER(F2659),""[^a-z\s]"","""")"),"very user friendly process good variety of product reasonable prices love the free shipping with orders over  keep up the great work")</f>
        <v>very user friendly process good variety of product reasonable prices love the free shipping with orders over  keep up the great work</v>
      </c>
      <c r="H2659" s="4" t="str">
        <f t="shared" si="1"/>
        <v>very user friendly process good variety of product reasonable prices love free shipping with orders over keep up great work</v>
      </c>
      <c r="I2659" s="6">
        <f t="shared" si="2"/>
        <v>20</v>
      </c>
      <c r="J2659" s="6">
        <f>IFERROR(__xludf.DUMMYFUNCTION("IF(H2659="""","""",
SUM(
ARRAYFORMULA(
IF(
REGEXMATCH(
"" ""&amp;H2659&amp;"" "",
"" ""&amp;Sentiment_Words!A$2:A3730&amp;"" ""
),
1,
0
)
)
)
)"),3.0)</f>
        <v>3</v>
      </c>
      <c r="K2659" s="4">
        <f>IFERROR(__xludf.DUMMYFUNCTION("IF(H2659="""","""",
SUM(
ARRAYFORMULA(
IF(
REGEXMATCH(
"" ""&amp;H2659&amp;"" "",
"" ""&amp;Sentiment_Words!B$2:B3730&amp;"" ""
),
1,
0
)
)
)
)"),0.0)</f>
        <v>0</v>
      </c>
      <c r="L2659" s="7" t="str">
        <f t="shared" si="3"/>
        <v>Other</v>
      </c>
      <c r="M2659" s="7" t="str">
        <f t="shared" si="4"/>
        <v>Positive</v>
      </c>
      <c r="N2659" s="7" t="str">
        <f>IFERROR(__xludf.DUMMYFUNCTION("LOWER(
TRIM(
REGEXREPLACE(B2659,""[^a-zA-Z\s]"","""")
)
)
"),"bruce white")</f>
        <v>bruce white</v>
      </c>
      <c r="O2659" s="7">
        <f t="shared" si="5"/>
        <v>1</v>
      </c>
      <c r="P2659" s="8" t="str">
        <f t="shared" si="6"/>
        <v>No</v>
      </c>
    </row>
    <row r="2660">
      <c r="A2660" s="4" t="s">
        <v>16</v>
      </c>
      <c r="B2660" s="4" t="s">
        <v>7419</v>
      </c>
      <c r="C2660" s="5">
        <v>44648.0</v>
      </c>
      <c r="D2660" s="10">
        <v>44648.0</v>
      </c>
      <c r="E2660" s="4" t="s">
        <v>7420</v>
      </c>
      <c r="F2660" s="4" t="s">
        <v>7421</v>
      </c>
      <c r="G2660" s="6" t="str">
        <f>IFERROR(__xludf.DUMMYFUNCTION("REGEXREPLACE(LOWER(F2660),""[^a-z\s]"","""")"),"good products and good service and delivery")</f>
        <v>good products and good service and delivery</v>
      </c>
      <c r="H2660" s="4" t="str">
        <f t="shared" si="1"/>
        <v>good products good service delivery</v>
      </c>
      <c r="I2660" s="6">
        <f t="shared" si="2"/>
        <v>5</v>
      </c>
      <c r="J2660" s="6">
        <f>IFERROR(__xludf.DUMMYFUNCTION("IF(H2660="""","""",
SUM(
ARRAYFORMULA(
IF(
REGEXMATCH(
"" ""&amp;H2660&amp;"" "",
"" ""&amp;Sentiment_Words!A$2:A3730&amp;"" ""
),
1,
0
)
)
)
)"),1.0)</f>
        <v>1</v>
      </c>
      <c r="K2660" s="4">
        <f>IFERROR(__xludf.DUMMYFUNCTION("IF(H2660="""","""",
SUM(
ARRAYFORMULA(
IF(
REGEXMATCH(
"" ""&amp;H2660&amp;"" "",
"" ""&amp;Sentiment_Words!B$2:B3730&amp;"" ""
),
1,
0
)
)
)
)"),0.0)</f>
        <v>0</v>
      </c>
      <c r="L2660" s="7" t="str">
        <f t="shared" si="3"/>
        <v>Customer Support</v>
      </c>
      <c r="M2660" s="7" t="str">
        <f t="shared" si="4"/>
        <v>Positive</v>
      </c>
      <c r="N2660" s="7" t="str">
        <f>IFERROR(__xludf.DUMMYFUNCTION("LOWER(
TRIM(
REGEXREPLACE(B2660,""[^a-zA-Z\s]"","""")
)
)
"),"maria anaya")</f>
        <v>maria anaya</v>
      </c>
      <c r="O2660" s="7">
        <f t="shared" si="5"/>
        <v>1</v>
      </c>
      <c r="P2660" s="8" t="str">
        <f t="shared" si="6"/>
        <v>No</v>
      </c>
    </row>
    <row r="2661">
      <c r="A2661" s="4" t="s">
        <v>16</v>
      </c>
      <c r="B2661" s="4" t="s">
        <v>7422</v>
      </c>
      <c r="C2661" s="5">
        <v>44648.0</v>
      </c>
      <c r="D2661" s="10">
        <v>44648.0</v>
      </c>
      <c r="E2661" s="4" t="s">
        <v>7423</v>
      </c>
      <c r="F2661" s="4" t="s">
        <v>7424</v>
      </c>
      <c r="G2661" s="6" t="str">
        <f>IFERROR(__xludf.DUMMYFUNCTION("REGEXREPLACE(LOWER(F2661),""[^a-z\s]"","""")"),"my dogs food was not available where i usually purchase it so i tried petflow they had the food and i received it the next day i was so pleased to find a company that stocks the dog food i use and sends it quickly and efficiently i have since used petflow"&amp;" for treats and other doggie goodies and have come to see they must be my goto for all my dogs needs i have  pups and knowing petflow has their food and can get it to me quickly is exactly where i need to buy their food thank you petflow")</f>
        <v>my dogs food was not available where i usually purchase it so i tried petflow they had the food and i received it the next day i was so pleased to find a company that stocks the dog food i use and sends it quickly and efficiently i have since used petflow for treats and other doggie goodies and have come to see they must be my goto for all my dogs needs i have  pups and knowing petflow has their food and can get it to me quickly is exactly where i need to buy their food thank you petflow</v>
      </c>
      <c r="H2661" s="4" t="str">
        <f t="shared" si="1"/>
        <v>my dogs food was not available where i usually purchase it so i tried petflow they had food i received it next day i was so pleased find a company that stocks dog food i use sends it quickly efficiently i have since used petflow treats other doggie goodies have come see they must be my goto all my dogs needs i have pups knowing petflow has their food can get it me quickly exactly where i need buy their food thank you petflow</v>
      </c>
      <c r="I2661" s="6">
        <f t="shared" si="2"/>
        <v>84</v>
      </c>
      <c r="J2661" s="6">
        <f>IFERROR(__xludf.DUMMYFUNCTION("IF(H2661="""","""",
SUM(
ARRAYFORMULA(
IF(
REGEXMATCH(
"" ""&amp;H2661&amp;"" "",
"" ""&amp;Sentiment_Words!A$2:A3730&amp;"" ""
),
1,
0
)
)
)
)"),1.0)</f>
        <v>1</v>
      </c>
      <c r="K2661" s="4">
        <f>IFERROR(__xludf.DUMMYFUNCTION("IF(H2661="""","""",
SUM(
ARRAYFORMULA(
IF(
REGEXMATCH(
"" ""&amp;H2661&amp;"" "",
"" ""&amp;Sentiment_Words!B$2:B3730&amp;"" ""
),
1,
0
)
)
)
)"),0.0)</f>
        <v>0</v>
      </c>
      <c r="L2661" s="7" t="str">
        <f t="shared" si="3"/>
        <v>Other</v>
      </c>
      <c r="M2661" s="7" t="str">
        <f t="shared" si="4"/>
        <v>Positive</v>
      </c>
      <c r="N2661" s="7" t="str">
        <f>IFERROR(__xludf.DUMMYFUNCTION("LOWER(
TRIM(
REGEXREPLACE(B2661,""[^a-zA-Z\s]"","""")
)
)
"),"david guldenstern")</f>
        <v>david guldenstern</v>
      </c>
      <c r="O2661" s="7">
        <f t="shared" si="5"/>
        <v>1</v>
      </c>
      <c r="P2661" s="8" t="str">
        <f t="shared" si="6"/>
        <v>No</v>
      </c>
    </row>
    <row r="2662">
      <c r="A2662" s="4" t="s">
        <v>16</v>
      </c>
      <c r="B2662" s="4" t="s">
        <v>7425</v>
      </c>
      <c r="C2662" s="5">
        <v>44648.0</v>
      </c>
      <c r="D2662" s="10">
        <v>44648.0</v>
      </c>
      <c r="E2662" s="4" t="s">
        <v>6395</v>
      </c>
      <c r="F2662" s="4" t="s">
        <v>7426</v>
      </c>
      <c r="G2662" s="6" t="str">
        <f>IFERROR(__xludf.DUMMYFUNCTION("REGEXREPLACE(LOWER(F2662),""[^a-z\s]"","""")"),"after being informed in the th hour from another site that my auto ship dog food was not in stock and the order could not be filled i went to the pet flow site they had the food i needed and it arrived as promised i was very impressed and grateful")</f>
        <v>after being informed in the th hour from another site that my auto ship dog food was not in stock and the order could not be filled i went to the pet flow site they had the food i needed and it arrived as promised i was very impressed and grateful</v>
      </c>
      <c r="H2662" s="4" t="str">
        <f t="shared" si="1"/>
        <v>after being informed in th hour from another site that my auto ship dog food was not in stock order could not be filled i went pet flow site they had food i needed it arrived as promised i was very impressed grateful</v>
      </c>
      <c r="I2662" s="6">
        <f t="shared" si="2"/>
        <v>43</v>
      </c>
      <c r="J2662" s="6">
        <f>IFERROR(__xludf.DUMMYFUNCTION("IF(H2662="""","""",
SUM(
ARRAYFORMULA(
IF(
REGEXMATCH(
"" ""&amp;H2662&amp;"" "",
"" ""&amp;Sentiment_Words!A$2:A3730&amp;"" ""
),
1,
0
)
)
)
)"),2.0)</f>
        <v>2</v>
      </c>
      <c r="K2662" s="4">
        <f>IFERROR(__xludf.DUMMYFUNCTION("IF(H2662="""","""",
SUM(
ARRAYFORMULA(
IF(
REGEXMATCH(
"" ""&amp;H2662&amp;"" "",
"" ""&amp;Sentiment_Words!B$2:B3730&amp;"" ""
),
1,
0
)
)
)
)"),0.0)</f>
        <v>0</v>
      </c>
      <c r="L2662" s="7" t="str">
        <f t="shared" si="3"/>
        <v>Service Recovery</v>
      </c>
      <c r="M2662" s="7" t="str">
        <f t="shared" si="4"/>
        <v>Positive</v>
      </c>
      <c r="N2662" s="7" t="str">
        <f>IFERROR(__xludf.DUMMYFUNCTION("LOWER(
TRIM(
REGEXREPLACE(B2662,""[^a-zA-Z\s]"","""")
)
)
"),"renee")</f>
        <v>renee</v>
      </c>
      <c r="O2662" s="7">
        <f t="shared" si="5"/>
        <v>1</v>
      </c>
      <c r="P2662" s="8" t="str">
        <f t="shared" si="6"/>
        <v>No</v>
      </c>
    </row>
    <row r="2663">
      <c r="A2663" s="4" t="s">
        <v>16</v>
      </c>
      <c r="B2663" s="4" t="s">
        <v>6283</v>
      </c>
      <c r="C2663" s="5">
        <v>44648.0</v>
      </c>
      <c r="D2663" s="10">
        <v>44648.0</v>
      </c>
      <c r="E2663" s="4" t="s">
        <v>7427</v>
      </c>
      <c r="F2663" s="4" t="s">
        <v>7428</v>
      </c>
      <c r="G2663" s="6" t="str">
        <f>IFERROR(__xludf.DUMMYFUNCTION("REGEXREPLACE(LOWER(F2663),""[^a-z\s]"","""")"),"first shipment was short contacted customer service via email and a replacement item was shipped immediately great customer service")</f>
        <v>first shipment was short contacted customer service via email and a replacement item was shipped immediately great customer service</v>
      </c>
      <c r="H2663" s="4" t="str">
        <f t="shared" si="1"/>
        <v>first shipment was short contacted customer service via email a replacement item was shipped immediately great customer service</v>
      </c>
      <c r="I2663" s="6">
        <f t="shared" si="2"/>
        <v>18</v>
      </c>
      <c r="J2663" s="6">
        <f>IFERROR(__xludf.DUMMYFUNCTION("IF(H2663="""","""",
SUM(
ARRAYFORMULA(
IF(
REGEXMATCH(
"" ""&amp;H2663&amp;"" "",
"" ""&amp;Sentiment_Words!A$2:A3730&amp;"" ""
),
1,
0
)
)
)
)"),3.0)</f>
        <v>3</v>
      </c>
      <c r="K2663" s="4">
        <f>IFERROR(__xludf.DUMMYFUNCTION("IF(H2663="""","""",
SUM(
ARRAYFORMULA(
IF(
REGEXMATCH(
"" ""&amp;H2663&amp;"" "",
"" ""&amp;Sentiment_Words!B$2:B3730&amp;"" ""
),
1,
0
)
)
)
)"),1.0)</f>
        <v>1</v>
      </c>
      <c r="L2663" s="7" t="str">
        <f t="shared" si="3"/>
        <v>Customer Support</v>
      </c>
      <c r="M2663" s="7" t="str">
        <f t="shared" si="4"/>
        <v>Positive</v>
      </c>
      <c r="N2663" s="7" t="str">
        <f>IFERROR(__xludf.DUMMYFUNCTION("LOWER(
TRIM(
REGEXREPLACE(B2663,""[^a-zA-Z\s]"","""")
)
)
"),"patti")</f>
        <v>patti</v>
      </c>
      <c r="O2663" s="7">
        <f t="shared" si="5"/>
        <v>2</v>
      </c>
      <c r="P2663" s="8" t="str">
        <f t="shared" si="6"/>
        <v>Yes</v>
      </c>
    </row>
    <row r="2664">
      <c r="A2664" s="4" t="s">
        <v>16</v>
      </c>
      <c r="B2664" s="4" t="s">
        <v>7429</v>
      </c>
      <c r="C2664" s="5">
        <v>44648.0</v>
      </c>
      <c r="D2664" s="10">
        <v>44648.0</v>
      </c>
      <c r="E2664" s="4" t="s">
        <v>7430</v>
      </c>
      <c r="F2664" s="4" t="s">
        <v>7431</v>
      </c>
      <c r="G2664" s="6" t="str">
        <f>IFERROR(__xludf.DUMMYFUNCTION("REGEXREPLACE(LOWER(F2664),""[^a-z\s]"","""")"),"very happy you carry verus delivery is quick
thank you")</f>
        <v>very happy you carry verus delivery is quick
thank you</v>
      </c>
      <c r="H2664" s="4" t="str">
        <f t="shared" si="1"/>
        <v>very happy you carry verus delivery quick
thank you</v>
      </c>
      <c r="I2664" s="6">
        <f t="shared" si="2"/>
        <v>8</v>
      </c>
      <c r="J2664" s="6">
        <f>IFERROR(__xludf.DUMMYFUNCTION("IF(H2664="""","""",
SUM(
ARRAYFORMULA(
IF(
REGEXMATCH(
"" ""&amp;H2664&amp;"" "",
"" ""&amp;Sentiment_Words!A$2:A3730&amp;"" ""
),
1,
0
)
)
)
)"),1.0)</f>
        <v>1</v>
      </c>
      <c r="K2664" s="4">
        <f>IFERROR(__xludf.DUMMYFUNCTION("IF(H2664="""","""",
SUM(
ARRAYFORMULA(
IF(
REGEXMATCH(
"" ""&amp;H2664&amp;"" "",
"" ""&amp;Sentiment_Words!B$2:B3730&amp;"" ""
),
1,
0
)
)
)
)"),0.0)</f>
        <v>0</v>
      </c>
      <c r="L2664" s="7" t="str">
        <f t="shared" si="3"/>
        <v>Other</v>
      </c>
      <c r="M2664" s="7" t="str">
        <f t="shared" si="4"/>
        <v>Positive</v>
      </c>
      <c r="N2664" s="7" t="str">
        <f>IFERROR(__xludf.DUMMYFUNCTION("LOWER(
TRIM(
REGEXREPLACE(B2664,""[^a-zA-Z\s]"","""")
)
)
"),"william phee")</f>
        <v>william phee</v>
      </c>
      <c r="O2664" s="7">
        <f t="shared" si="5"/>
        <v>1</v>
      </c>
      <c r="P2664" s="8" t="str">
        <f t="shared" si="6"/>
        <v>No</v>
      </c>
    </row>
    <row r="2665">
      <c r="A2665" s="4" t="s">
        <v>16</v>
      </c>
      <c r="B2665" s="4" t="s">
        <v>7432</v>
      </c>
      <c r="C2665" s="5">
        <v>44648.0</v>
      </c>
      <c r="D2665" s="10">
        <v>44648.0</v>
      </c>
      <c r="E2665" s="4" t="s">
        <v>7433</v>
      </c>
      <c r="F2665" s="4" t="s">
        <v>7434</v>
      </c>
      <c r="G2665" s="6" t="str">
        <f>IFERROR(__xludf.DUMMYFUNCTION("REGEXREPLACE(LOWER(F2665),""[^a-z\s]"","""")"),"petflow was fantastic food was in stock at a great price  even though bigger companies did not have it claiming supply chain problems delivery was super speedy customer service prompt and friendly highly recommend")</f>
        <v>petflow was fantastic food was in stock at a great price  even though bigger companies did not have it claiming supply chain problems delivery was super speedy customer service prompt and friendly highly recommend</v>
      </c>
      <c r="H2665" s="4" t="str">
        <f t="shared" si="1"/>
        <v>petflow was fantastic food was in stock at a great price even though bigger companies did not have it claiming supply chain problems delivery was super speedy customer service prompt friendly highly recommend</v>
      </c>
      <c r="I2665" s="6">
        <f t="shared" si="2"/>
        <v>33</v>
      </c>
      <c r="J2665" s="6">
        <f>IFERROR(__xludf.DUMMYFUNCTION("IF(H2665="""","""",
SUM(
ARRAYFORMULA(
IF(
REGEXMATCH(
"" ""&amp;H2665&amp;"" "",
"" ""&amp;Sentiment_Words!A$2:A3730&amp;"" ""
),
1,
0
)
)
)
)"),2.0)</f>
        <v>2</v>
      </c>
      <c r="K2665" s="4">
        <f>IFERROR(__xludf.DUMMYFUNCTION("IF(H2665="""","""",
SUM(
ARRAYFORMULA(
IF(
REGEXMATCH(
"" ""&amp;H2665&amp;"" "",
"" ""&amp;Sentiment_Words!B$2:B3730&amp;"" ""
),
1,
0
)
)
)
)"),1.0)</f>
        <v>1</v>
      </c>
      <c r="L2665" s="7" t="str">
        <f t="shared" si="3"/>
        <v>Customer Support</v>
      </c>
      <c r="M2665" s="7" t="str">
        <f t="shared" si="4"/>
        <v>Positive</v>
      </c>
      <c r="N2665" s="7" t="str">
        <f>IFERROR(__xludf.DUMMYFUNCTION("LOWER(
TRIM(
REGEXREPLACE(B2665,""[^a-zA-Z\s]"","""")
)
)
"),"katherine decker")</f>
        <v>katherine decker</v>
      </c>
      <c r="O2665" s="7">
        <f t="shared" si="5"/>
        <v>1</v>
      </c>
      <c r="P2665" s="8" t="str">
        <f t="shared" si="6"/>
        <v>No</v>
      </c>
    </row>
    <row r="2666">
      <c r="A2666" s="4" t="s">
        <v>16</v>
      </c>
      <c r="B2666" s="4" t="s">
        <v>7435</v>
      </c>
      <c r="C2666" s="5">
        <v>44648.0</v>
      </c>
      <c r="D2666" s="10">
        <v>44648.0</v>
      </c>
      <c r="E2666" s="4" t="s">
        <v>7436</v>
      </c>
      <c r="F2666" s="4" t="s">
        <v>7437</v>
      </c>
      <c r="G2666" s="6" t="str">
        <f>IFERROR(__xludf.DUMMYFUNCTION("REGEXREPLACE(LOWER(F2666),""[^a-z\s]"","""")"),"i was relieved that petflow had the urinary diet food for my cat when other big name pet suppliers were sold out ordering ease and timely shipping were other plus factors")</f>
        <v>i was relieved that petflow had the urinary diet food for my cat when other big name pet suppliers were sold out ordering ease and timely shipping were other plus factors</v>
      </c>
      <c r="H2666" s="4" t="str">
        <f t="shared" si="1"/>
        <v>i was relieved that petflow had urinary diet food my cat when other big name pet suppliers were sold out ordering ease timely shipping were other plus factors</v>
      </c>
      <c r="I2666" s="6">
        <f t="shared" si="2"/>
        <v>28</v>
      </c>
      <c r="J2666" s="6">
        <f>IFERROR(__xludf.DUMMYFUNCTION("IF(H2666="""","""",
SUM(
ARRAYFORMULA(
IF(
REGEXMATCH(
"" ""&amp;H2666&amp;"" "",
"" ""&amp;Sentiment_Words!A$2:A3730&amp;"" ""
),
1,
0
)
)
)
)"),0.0)</f>
        <v>0</v>
      </c>
      <c r="K2666" s="4">
        <f>IFERROR(__xludf.DUMMYFUNCTION("IF(H2666="""","""",
SUM(
ARRAYFORMULA(
IF(
REGEXMATCH(
"" ""&amp;H2666&amp;"" "",
"" ""&amp;Sentiment_Words!B$2:B3730&amp;"" ""
),
1,
0
)
)
)
)"),0.0)</f>
        <v>0</v>
      </c>
      <c r="L2666" s="7" t="str">
        <f t="shared" si="3"/>
        <v>Other</v>
      </c>
      <c r="M2666" s="7" t="str">
        <f t="shared" si="4"/>
        <v>Neutral</v>
      </c>
      <c r="N2666" s="7" t="str">
        <f>IFERROR(__xludf.DUMMYFUNCTION("LOWER(
TRIM(
REGEXREPLACE(B2666,""[^a-zA-Z\s]"","""")
)
)
"),"hc")</f>
        <v>hc</v>
      </c>
      <c r="O2666" s="7">
        <f t="shared" si="5"/>
        <v>1</v>
      </c>
      <c r="P2666" s="8" t="str">
        <f t="shared" si="6"/>
        <v>No</v>
      </c>
    </row>
    <row r="2667">
      <c r="A2667" s="4" t="s">
        <v>16</v>
      </c>
      <c r="B2667" s="4" t="s">
        <v>7438</v>
      </c>
      <c r="C2667" s="5">
        <v>44648.0</v>
      </c>
      <c r="D2667" s="10">
        <v>44648.0</v>
      </c>
      <c r="E2667" s="4" t="s">
        <v>7439</v>
      </c>
      <c r="F2667" s="4" t="s">
        <v>7440</v>
      </c>
      <c r="G2667" s="6" t="str">
        <f>IFERROR(__xludf.DUMMYFUNCTION("REGEXREPLACE(LOWER(F2667),""[^a-z\s]"","""")"),"my vet recommended this website for my prescription cat food i enjoy the fact that you can add promo codes when they arise for online auto ship orders i am also able to get my cat litter
the only issue i have is that petflow does not sell multicat tidyca"&amp;"t breeze pee pads which sucks because i would love to just have everything all in one order at the same time every month
the original pee pads dont work for me because i have two cats and  litter box so i would end up going through  a day")</f>
        <v>my vet recommended this website for my prescription cat food i enjoy the fact that you can add promo codes when they arise for online auto ship orders i am also able to get my cat litter
the only issue i have is that petflow does not sell multicat tidycat breeze pee pads which sucks because i would love to just have everything all in one order at the same time every month
the original pee pads dont work for me because i have two cats and  litter box so i would end up going through  a day</v>
      </c>
      <c r="H2667" s="4" t="str">
        <f t="shared" si="1"/>
        <v>my vet recommended this website my prescription cat food i enjoy fact that you can add promo codes when they arise online auto ship orders i am also able get my cat litter
the only issue i have that petflow does not sell multicat tidycat breeze pee pads which sucks because i would love just have everything all in one order at same time every month
the original pee pads dont work me because i have two cats litter box so i would end up going through a day</v>
      </c>
      <c r="I2667" s="6">
        <f t="shared" si="2"/>
        <v>87</v>
      </c>
      <c r="J2667" s="6">
        <f>IFERROR(__xludf.DUMMYFUNCTION("IF(H2667="""","""",
SUM(
ARRAYFORMULA(
IF(
REGEXMATCH(
"" ""&amp;H2667&amp;"" "",
"" ""&amp;Sentiment_Words!A$2:A3730&amp;"" ""
),
1,
0
)
)
)
)"),3.0)</f>
        <v>3</v>
      </c>
      <c r="K2667" s="4">
        <f>IFERROR(__xludf.DUMMYFUNCTION("IF(H2667="""","""",
SUM(
ARRAYFORMULA(
IF(
REGEXMATCH(
"" ""&amp;H2667&amp;"" "",
"" ""&amp;Sentiment_Words!B$2:B3730&amp;"" ""
),
1,
0
)
)
)
)"),1.0)</f>
        <v>1</v>
      </c>
      <c r="L2667" s="7" t="str">
        <f t="shared" si="3"/>
        <v>Account &amp; Website</v>
      </c>
      <c r="M2667" s="7" t="str">
        <f t="shared" si="4"/>
        <v>Positive</v>
      </c>
      <c r="N2667" s="7" t="str">
        <f>IFERROR(__xludf.DUMMYFUNCTION("LOWER(
TRIM(
REGEXREPLACE(B2667,""[^a-zA-Z\s]"","""")
)
)
"),"brian drinkwine")</f>
        <v>brian drinkwine</v>
      </c>
      <c r="O2667" s="7">
        <f t="shared" si="5"/>
        <v>1</v>
      </c>
      <c r="P2667" s="8" t="str">
        <f t="shared" si="6"/>
        <v>No</v>
      </c>
    </row>
    <row r="2668">
      <c r="A2668" s="4" t="s">
        <v>16</v>
      </c>
      <c r="B2668" s="4" t="s">
        <v>1142</v>
      </c>
      <c r="C2668" s="5">
        <v>44648.0</v>
      </c>
      <c r="D2668" s="10">
        <v>44648.0</v>
      </c>
      <c r="E2668" s="4" t="s">
        <v>7441</v>
      </c>
      <c r="F2668" s="4" t="s">
        <v>7442</v>
      </c>
      <c r="G2668" s="6" t="str">
        <f>IFERROR(__xludf.DUMMYFUNCTION("REGEXREPLACE(LOWER(F2668),""[^a-z\s]"","""")"),"have been a satisfied customer for a while with pet flow
more importantly our dog gets excited when his box with his favorite treats arrive
pet flow has acceptable prices and prompt service on their high quality products")</f>
        <v>have been a satisfied customer for a while with pet flow
more importantly our dog gets excited when his box with his favorite treats arrive
pet flow has acceptable prices and prompt service on their high quality products</v>
      </c>
      <c r="H2668" s="4" t="str">
        <f t="shared" si="1"/>
        <v>have been a satisfied customer a while with pet flow
more importantly our dog gets excited when his box with his favorite treats arrive
pet flow has acceptable prices prompt service on their high quality products</v>
      </c>
      <c r="I2668" s="6">
        <f t="shared" si="2"/>
        <v>34</v>
      </c>
      <c r="J2668" s="6">
        <f>IFERROR(__xludf.DUMMYFUNCTION("IF(H2668="""","""",
SUM(
ARRAYFORMULA(
IF(
REGEXMATCH(
"" ""&amp;H2668&amp;"" "",
"" ""&amp;Sentiment_Words!A$2:A3730&amp;"" ""
),
1,
0
)
)
)
)"),2.0)</f>
        <v>2</v>
      </c>
      <c r="K2668" s="4">
        <f>IFERROR(__xludf.DUMMYFUNCTION("IF(H2668="""","""",
SUM(
ARRAYFORMULA(
IF(
REGEXMATCH(
"" ""&amp;H2668&amp;"" "",
"" ""&amp;Sentiment_Words!B$2:B3730&amp;"" ""
),
1,
0
)
)
)
)"),0.0)</f>
        <v>0</v>
      </c>
      <c r="L2668" s="7" t="str">
        <f t="shared" si="3"/>
        <v>Customer Support</v>
      </c>
      <c r="M2668" s="7" t="str">
        <f t="shared" si="4"/>
        <v>Positive</v>
      </c>
      <c r="N2668" s="7" t="str">
        <f>IFERROR(__xludf.DUMMYFUNCTION("LOWER(
TRIM(
REGEXREPLACE(B2668,""[^a-zA-Z\s]"","""")
)
)
"),"karen")</f>
        <v>karen</v>
      </c>
      <c r="O2668" s="7">
        <f t="shared" si="5"/>
        <v>8</v>
      </c>
      <c r="P2668" s="8" t="str">
        <f t="shared" si="6"/>
        <v>Yes</v>
      </c>
    </row>
    <row r="2669">
      <c r="A2669" s="4" t="s">
        <v>16</v>
      </c>
      <c r="B2669" s="4" t="s">
        <v>7443</v>
      </c>
      <c r="C2669" s="5">
        <v>44648.0</v>
      </c>
      <c r="D2669" s="10">
        <v>44648.0</v>
      </c>
      <c r="E2669" s="4" t="s">
        <v>7444</v>
      </c>
      <c r="F2669" s="4" t="s">
        <v>7445</v>
      </c>
      <c r="G2669" s="6" t="str">
        <f>IFERROR(__xludf.DUMMYFUNCTION("REGEXREPLACE(LOWER(F2669),""[^a-z\s]"","""")"),"they were fast with the shipping and awesome prices")</f>
        <v>they were fast with the shipping and awesome prices</v>
      </c>
      <c r="H2669" s="4" t="str">
        <f t="shared" si="1"/>
        <v>they were fast with shipping awesome prices</v>
      </c>
      <c r="I2669" s="6">
        <f t="shared" si="2"/>
        <v>7</v>
      </c>
      <c r="J2669" s="6">
        <f>IFERROR(__xludf.DUMMYFUNCTION("IF(H2669="""","""",
SUM(
ARRAYFORMULA(
IF(
REGEXMATCH(
"" ""&amp;H2669&amp;"" "",
"" ""&amp;Sentiment_Words!A$2:A3730&amp;"" ""
),
1,
0
)
)
)
)"),1.0)</f>
        <v>1</v>
      </c>
      <c r="K2669" s="4">
        <f>IFERROR(__xludf.DUMMYFUNCTION("IF(H2669="""","""",
SUM(
ARRAYFORMULA(
IF(
REGEXMATCH(
"" ""&amp;H2669&amp;"" "",
"" ""&amp;Sentiment_Words!B$2:B3730&amp;"" ""
),
1,
0
)
)
)
)"),0.0)</f>
        <v>0</v>
      </c>
      <c r="L2669" s="7" t="str">
        <f t="shared" si="3"/>
        <v>Other</v>
      </c>
      <c r="M2669" s="7" t="str">
        <f t="shared" si="4"/>
        <v>Positive</v>
      </c>
      <c r="N2669" s="7" t="str">
        <f>IFERROR(__xludf.DUMMYFUNCTION("LOWER(
TRIM(
REGEXREPLACE(B2669,""[^a-zA-Z\s]"","""")
)
)
"),"destiny w")</f>
        <v>destiny w</v>
      </c>
      <c r="O2669" s="7">
        <f t="shared" si="5"/>
        <v>1</v>
      </c>
      <c r="P2669" s="8" t="str">
        <f t="shared" si="6"/>
        <v>No</v>
      </c>
    </row>
    <row r="2670">
      <c r="A2670" s="4" t="s">
        <v>16</v>
      </c>
      <c r="B2670" s="4" t="s">
        <v>7446</v>
      </c>
      <c r="C2670" s="5">
        <v>44647.0</v>
      </c>
      <c r="D2670" s="10">
        <v>44648.0</v>
      </c>
      <c r="E2670" s="4" t="s">
        <v>7447</v>
      </c>
      <c r="F2670" s="4" t="s">
        <v>7448</v>
      </c>
      <c r="G2670" s="6" t="str">
        <f>IFERROR(__xludf.DUMMYFUNCTION("REGEXREPLACE(LOWER(F2670),""[^a-z\s]"","""")"),"i have never had to wait so long for an order from pet flow my poor cat has run out of his special diet food and we have been waiting for i order both canned and dry food for him and his canned food is in back order im disappointed on how long ive had to "&amp;"wait for my cats food")</f>
        <v>i have never had to wait so long for an order from pet flow my poor cat has run out of his special diet food and we have been waiting for i order both canned and dry food for him and his canned food is in back order im disappointed on how long ive had to wait for my cats food</v>
      </c>
      <c r="H2670" s="4" t="str">
        <f t="shared" si="1"/>
        <v>i have never had wait so long an order from pet flow my poor cat has run out of his special diet food we have been waiting i order both canned dry food him his canned food in back order im disappointed on how long ive had wait my cats food</v>
      </c>
      <c r="I2670" s="6">
        <f t="shared" si="2"/>
        <v>51</v>
      </c>
      <c r="J2670" s="6">
        <f>IFERROR(__xludf.DUMMYFUNCTION("IF(H2670="""","""",
SUM(
ARRAYFORMULA(
IF(
REGEXMATCH(
"" ""&amp;H2670&amp;"" "",
"" ""&amp;Sentiment_Words!A$2:A3730&amp;"" ""
),
1,
0
)
)
)
)"),0.0)</f>
        <v>0</v>
      </c>
      <c r="K2670" s="4">
        <f>IFERROR(__xludf.DUMMYFUNCTION("IF(H2670="""","""",
SUM(
ARRAYFORMULA(
IF(
REGEXMATCH(
"" ""&amp;H2670&amp;"" "",
"" ""&amp;Sentiment_Words!B$2:B3730&amp;"" ""
),
1,
0
)
)
)
)"),0.0)</f>
        <v>0</v>
      </c>
      <c r="L2670" s="7" t="str">
        <f t="shared" si="3"/>
        <v>Trust &amp; Experience</v>
      </c>
      <c r="M2670" s="7" t="str">
        <f t="shared" si="4"/>
        <v>Neutral</v>
      </c>
      <c r="N2670" s="7" t="str">
        <f>IFERROR(__xludf.DUMMYFUNCTION("LOWER(
TRIM(
REGEXREPLACE(B2670,""[^a-zA-Z\s]"","""")
)
)
"),"doggie")</f>
        <v>doggie</v>
      </c>
      <c r="O2670" s="7">
        <f t="shared" si="5"/>
        <v>1</v>
      </c>
      <c r="P2670" s="8" t="str">
        <f t="shared" si="6"/>
        <v>No</v>
      </c>
    </row>
    <row r="2671">
      <c r="A2671" s="4" t="s">
        <v>16</v>
      </c>
      <c r="B2671" s="4" t="s">
        <v>7449</v>
      </c>
      <c r="C2671" s="5">
        <v>44647.0</v>
      </c>
      <c r="D2671" s="10">
        <v>44647.0</v>
      </c>
      <c r="E2671" s="4" t="s">
        <v>7450</v>
      </c>
      <c r="F2671" s="4" t="s">
        <v>7451</v>
      </c>
      <c r="G2671" s="6" t="str">
        <f>IFERROR(__xludf.DUMMYFUNCTION("REGEXREPLACE(LOWER(F2671),""[^a-z\s]"","""")"),"i do like pet flow as my go to food delivery system sometimes the products are a day or two late one of my deliveries actually contained two  lb bags in one box which i was not happy with also i would appreciate some packing like paper or something to cov"&amp;"er the dog food bag because when i have to cut the box open at the taped area i accidently slice the bag but if it were protected that wouldve been helpful all in all a great company and the individuals on the other end of the phone are always very pleasa"&amp;"nt and helpful")</f>
        <v>i do like pet flow as my go to food delivery system sometimes the products are a day or two late one of my deliveries actually contained two  lb bags in one box which i was not happy with also i would appreciate some packing like paper or something to cover the dog food bag because when i have to cut the box open at the taped area i accidently slice the bag but if it were protected that wouldve been helpful all in all a great company and the individuals on the other end of the phone are always very pleasant and helpful</v>
      </c>
      <c r="H2671" s="4" t="str">
        <f t="shared" si="1"/>
        <v>i do like pet flow as my go food delivery system sometimes products are a day or two late one of my deliveries actually contained two lb bags in one box which i was not happy with also i would appreciate some packing like paper or something cover dog food bag because when i have cut box open at taped area i accidently slice bag but if it were protected that wouldve been helpful all in all a great company individuals on other end of phone are always very pleasant helpful</v>
      </c>
      <c r="I2671" s="6">
        <f t="shared" si="2"/>
        <v>91</v>
      </c>
      <c r="J2671" s="6">
        <f>IFERROR(__xludf.DUMMYFUNCTION("IF(H2671="""","""",
SUM(
ARRAYFORMULA(
IF(
REGEXMATCH(
"" ""&amp;H2671&amp;"" "",
"" ""&amp;Sentiment_Words!A$2:A3730&amp;"" ""
),
1,
0
)
)
)
)"),3.0)</f>
        <v>3</v>
      </c>
      <c r="K2671" s="4">
        <f>IFERROR(__xludf.DUMMYFUNCTION("IF(H2671="""","""",
SUM(
ARRAYFORMULA(
IF(
REGEXMATCH(
"" ""&amp;H2671&amp;"" "",
"" ""&amp;Sentiment_Words!B$2:B3730&amp;"" ""
),
1,
0
)
)
)
)"),0.0)</f>
        <v>0</v>
      </c>
      <c r="L2671" s="7" t="str">
        <f t="shared" si="3"/>
        <v>Fulfillment &amp; Shipping</v>
      </c>
      <c r="M2671" s="7" t="str">
        <f t="shared" si="4"/>
        <v>Positive</v>
      </c>
      <c r="N2671" s="7" t="str">
        <f>IFERROR(__xludf.DUMMYFUNCTION("LOWER(
TRIM(
REGEXREPLACE(B2671,""[^a-zA-Z\s]"","""")
)
)
"),"angie")</f>
        <v>angie</v>
      </c>
      <c r="O2671" s="7">
        <f t="shared" si="5"/>
        <v>1</v>
      </c>
      <c r="P2671" s="8" t="str">
        <f t="shared" si="6"/>
        <v>No</v>
      </c>
    </row>
    <row r="2672">
      <c r="A2672" s="4" t="s">
        <v>16</v>
      </c>
      <c r="B2672" s="4" t="s">
        <v>7452</v>
      </c>
      <c r="C2672" s="5">
        <v>44647.0</v>
      </c>
      <c r="D2672" s="10">
        <v>44647.0</v>
      </c>
      <c r="E2672" s="4" t="s">
        <v>7453</v>
      </c>
      <c r="F2672" s="4" t="s">
        <v>7454</v>
      </c>
      <c r="G2672" s="6" t="str">
        <f>IFERROR(__xludf.DUMMYFUNCTION("REGEXREPLACE(LOWER(F2672),""[^a-z\s]"","""")"),"fast shipping great price and the dog food we needed we couldnt be happier with the transaction thanks petflow")</f>
        <v>fast shipping great price and the dog food we needed we couldnt be happier with the transaction thanks petflow</v>
      </c>
      <c r="H2672" s="4" t="str">
        <f t="shared" si="1"/>
        <v>fast shipping great price dog food we needed we couldnt be happier with transaction thanks petflow</v>
      </c>
      <c r="I2672" s="6">
        <f t="shared" si="2"/>
        <v>16</v>
      </c>
      <c r="J2672" s="6">
        <f>IFERROR(__xludf.DUMMYFUNCTION("IF(H2672="""","""",
SUM(
ARRAYFORMULA(
IF(
REGEXMATCH(
"" ""&amp;H2672&amp;"" "",
"" ""&amp;Sentiment_Words!A$2:A3730&amp;"" ""
),
1,
0
)
)
)
)"),2.0)</f>
        <v>2</v>
      </c>
      <c r="K2672" s="4">
        <f>IFERROR(__xludf.DUMMYFUNCTION("IF(H2672="""","""",
SUM(
ARRAYFORMULA(
IF(
REGEXMATCH(
"" ""&amp;H2672&amp;"" "",
"" ""&amp;Sentiment_Words!B$2:B3730&amp;"" ""
),
1,
0
)
)
)
)"),0.0)</f>
        <v>0</v>
      </c>
      <c r="L2672" s="7" t="str">
        <f t="shared" si="3"/>
        <v>Other</v>
      </c>
      <c r="M2672" s="7" t="str">
        <f t="shared" si="4"/>
        <v>Positive</v>
      </c>
      <c r="N2672" s="7" t="str">
        <f>IFERROR(__xludf.DUMMYFUNCTION("LOWER(
TRIM(
REGEXREPLACE(B2672,""[^a-zA-Z\s]"","""")
)
)
"),"maryann lewis")</f>
        <v>maryann lewis</v>
      </c>
      <c r="O2672" s="7">
        <f t="shared" si="5"/>
        <v>1</v>
      </c>
      <c r="P2672" s="8" t="str">
        <f t="shared" si="6"/>
        <v>No</v>
      </c>
    </row>
    <row r="2673">
      <c r="A2673" s="4" t="s">
        <v>16</v>
      </c>
      <c r="B2673" s="4" t="s">
        <v>7455</v>
      </c>
      <c r="C2673" s="5">
        <v>44647.0</v>
      </c>
      <c r="D2673" s="10">
        <v>44647.0</v>
      </c>
      <c r="E2673" s="4" t="s">
        <v>7456</v>
      </c>
      <c r="F2673" s="4" t="s">
        <v>7457</v>
      </c>
      <c r="G2673" s="6" t="str">
        <f>IFERROR(__xludf.DUMMYFUNCTION("REGEXREPLACE(LOWER(F2673),""[^a-z\s]"","""")"),"i have purchased the oxbow organic hay before and oxbow is a great company the products were fine and the time it took to get the order out was fast however fedex lost the first order not unusual the customer service rep at your company was kind enough to"&amp;" replace the order i like your company but i cant deal with fedex and thats the only shipper you use so ill be sad to go back to amazon")</f>
        <v>i have purchased the oxbow organic hay before and oxbow is a great company the products were fine and the time it took to get the order out was fast however fedex lost the first order not unusual the customer service rep at your company was kind enough to replace the order i like your company but i cant deal with fedex and thats the only shipper you use so ill be sad to go back to amazon</v>
      </c>
      <c r="H2673" s="4" t="str">
        <f t="shared" si="1"/>
        <v>i have purchased oxbow organic hay before oxbow a great company products were fine time it took get order out was fast however fedex lost first order not unusual customer service rep at your company was kind enough replace order i like your company but i cant deal with fedex thats only shipper you use so ill be sad go back amazon</v>
      </c>
      <c r="I2673" s="6">
        <f t="shared" si="2"/>
        <v>62</v>
      </c>
      <c r="J2673" s="6">
        <f>IFERROR(__xludf.DUMMYFUNCTION("IF(H2673="""","""",
SUM(
ARRAYFORMULA(
IF(
REGEXMATCH(
"" ""&amp;H2673&amp;"" "",
"" ""&amp;Sentiment_Words!A$2:A3730&amp;"" ""
),
1,
0
)
)
)
)"),2.0)</f>
        <v>2</v>
      </c>
      <c r="K2673" s="4">
        <f>IFERROR(__xludf.DUMMYFUNCTION("IF(H2673="""","""",
SUM(
ARRAYFORMULA(
IF(
REGEXMATCH(
"" ""&amp;H2673&amp;"" "",
"" ""&amp;Sentiment_Words!B$2:B3730&amp;"" ""
),
1,
0
)
)
)
)"),1.0)</f>
        <v>1</v>
      </c>
      <c r="L2673" s="7" t="str">
        <f t="shared" si="3"/>
        <v>Customer Support</v>
      </c>
      <c r="M2673" s="7" t="str">
        <f t="shared" si="4"/>
        <v>Positive</v>
      </c>
      <c r="N2673" s="7" t="str">
        <f>IFERROR(__xludf.DUMMYFUNCTION("LOWER(
TRIM(
REGEXREPLACE(B2673,""[^a-zA-Z\s]"","""")
)
)
"),"sharon macdermott")</f>
        <v>sharon macdermott</v>
      </c>
      <c r="O2673" s="7">
        <f t="shared" si="5"/>
        <v>1</v>
      </c>
      <c r="P2673" s="8" t="str">
        <f t="shared" si="6"/>
        <v>No</v>
      </c>
    </row>
    <row r="2674">
      <c r="A2674" s="4" t="s">
        <v>16</v>
      </c>
      <c r="B2674" s="4" t="s">
        <v>7458</v>
      </c>
      <c r="C2674" s="5">
        <v>44647.0</v>
      </c>
      <c r="D2674" s="10">
        <v>44647.0</v>
      </c>
      <c r="E2674" s="4" t="s">
        <v>423</v>
      </c>
      <c r="F2674" s="4" t="s">
        <v>7459</v>
      </c>
      <c r="G2674" s="6" t="str">
        <f>IFERROR(__xludf.DUMMYFUNCTION("REGEXREPLACE(LOWER(F2674),""[^a-z\s]"","""")"),"there is obviously a shortage on royal canin cat food and i called royal canaan and they recommended this site so i ordered a case and when they were filling my order they didnt have any so that was that and and i still dont have any food ordered for her "&amp;"i dont know whats going on but you dont say on your website that you have it and then order it and then be told that you dont have any it was a huge disappointment i dont know if ill try them again sometime but they should make sure they have the stock an"&amp;"d when they dont immediately change the website thats a bad way of doing business not keeping up with your website and saying you have something when you dont thank you mr morgan")</f>
        <v>there is obviously a shortage on royal canin cat food and i called royal canaan and they recommended this site so i ordered a case and when they were filling my order they didnt have any so that was that and and i still dont have any food ordered for her i dont know whats going on but you dont say on your website that you have it and then order it and then be told that you dont have any it was a huge disappointment i dont know if ill try them again sometime but they should make sure they have the stock and when they dont immediately change the website thats a bad way of doing business not keeping up with your website and saying you have something when you dont thank you mr morgan</v>
      </c>
      <c r="H2674" s="4" t="str">
        <f t="shared" si="1"/>
        <v>there obviously a shortage on royal canin cat food i called royal canaan they recommended this site so i ordered a case when they were filling my order they didnt have any so that was that and i still dont have any food ordered her i dont know whats going on but you dont say on your website that you have it then order it then be told that you dont have any it was a huge disappointment i dont know if ill try them again sometime but they should make sure they have stock when they dont immediately change website thats a bad way of doing business not keeping up with your website saying you have something when you dont thank you mr morgan</v>
      </c>
      <c r="I2674" s="6">
        <f t="shared" si="2"/>
        <v>125</v>
      </c>
      <c r="J2674" s="6">
        <f>IFERROR(__xludf.DUMMYFUNCTION("IF(H2674="""","""",
SUM(
ARRAYFORMULA(
IF(
REGEXMATCH(
"" ""&amp;H2674&amp;"" "",
"" ""&amp;Sentiment_Words!A$2:A3730&amp;"" ""
),
1,
0
)
)
)
)"),1.0)</f>
        <v>1</v>
      </c>
      <c r="K2674" s="4">
        <f>IFERROR(__xludf.DUMMYFUNCTION("IF(H2674="""","""",
SUM(
ARRAYFORMULA(
IF(
REGEXMATCH(
"" ""&amp;H2674&amp;"" "",
"" ""&amp;Sentiment_Words!B$2:B3730&amp;"" ""
),
1,
0
)
)
)
)"),0.0)</f>
        <v>0</v>
      </c>
      <c r="L2674" s="7" t="str">
        <f t="shared" si="3"/>
        <v>Account &amp; Website</v>
      </c>
      <c r="M2674" s="7" t="str">
        <f t="shared" si="4"/>
        <v>Positive</v>
      </c>
      <c r="N2674" s="7" t="str">
        <f>IFERROR(__xludf.DUMMYFUNCTION("LOWER(
TRIM(
REGEXREPLACE(B2674,""[^a-zA-Z\s]"","""")
)
)
"),"oscar")</f>
        <v>oscar</v>
      </c>
      <c r="O2674" s="7">
        <f t="shared" si="5"/>
        <v>1</v>
      </c>
      <c r="P2674" s="8" t="str">
        <f t="shared" si="6"/>
        <v>No</v>
      </c>
    </row>
    <row r="2675">
      <c r="A2675" s="4" t="s">
        <v>16</v>
      </c>
      <c r="B2675" s="4" t="s">
        <v>7460</v>
      </c>
      <c r="C2675" s="5">
        <v>44647.0</v>
      </c>
      <c r="D2675" s="10">
        <v>44647.0</v>
      </c>
      <c r="E2675" s="4" t="s">
        <v>7461</v>
      </c>
      <c r="F2675" s="4" t="s">
        <v>7462</v>
      </c>
      <c r="G2675" s="6" t="str">
        <f>IFERROR(__xludf.DUMMYFUNCTION("REGEXREPLACE(LOWER(F2675),""[^a-z\s]"","""")"),"i have used pet flow for years and theyve always done a good job and provided what i needed this time they didnt have what i needed and they were a little late in letting me know but other than that i have no complaints")</f>
        <v>i have used pet flow for years and theyve always done a good job and provided what i needed this time they didnt have what i needed and they were a little late in letting me know but other than that i have no complaints</v>
      </c>
      <c r="H2675" s="4" t="str">
        <f t="shared" si="1"/>
        <v>i have used pet flow years theyve always done a good job provided what i needed this time they didnt have what i needed they were a little late in letting me know but other than that i have no complaints</v>
      </c>
      <c r="I2675" s="6">
        <f t="shared" si="2"/>
        <v>41</v>
      </c>
      <c r="J2675" s="6">
        <f>IFERROR(__xludf.DUMMYFUNCTION("IF(H2675="""","""",
SUM(
ARRAYFORMULA(
IF(
REGEXMATCH(
"" ""&amp;H2675&amp;"" "",
"" ""&amp;Sentiment_Words!A$2:A3730&amp;"" ""
),
1,
0
)
)
)
)"),1.0)</f>
        <v>1</v>
      </c>
      <c r="K2675" s="4">
        <f>IFERROR(__xludf.DUMMYFUNCTION("IF(H2675="""","""",
SUM(
ARRAYFORMULA(
IF(
REGEXMATCH(
"" ""&amp;H2675&amp;"" "",
"" ""&amp;Sentiment_Words!B$2:B3730&amp;"" ""
),
1,
0
)
)
)
)"),0.0)</f>
        <v>0</v>
      </c>
      <c r="L2675" s="7" t="str">
        <f t="shared" si="3"/>
        <v>Fulfillment &amp; Shipping</v>
      </c>
      <c r="M2675" s="7" t="str">
        <f t="shared" si="4"/>
        <v>Positive</v>
      </c>
      <c r="N2675" s="7" t="str">
        <f>IFERROR(__xludf.DUMMYFUNCTION("LOWER(
TRIM(
REGEXREPLACE(B2675,""[^a-zA-Z\s]"","""")
)
)
"),"debi")</f>
        <v>debi</v>
      </c>
      <c r="O2675" s="7">
        <f t="shared" si="5"/>
        <v>3</v>
      </c>
      <c r="P2675" s="8" t="str">
        <f t="shared" si="6"/>
        <v>Yes</v>
      </c>
    </row>
    <row r="2676">
      <c r="A2676" s="4" t="s">
        <v>16</v>
      </c>
      <c r="B2676" s="4" t="s">
        <v>7463</v>
      </c>
      <c r="C2676" s="5">
        <v>44647.0</v>
      </c>
      <c r="D2676" s="10">
        <v>44647.0</v>
      </c>
      <c r="E2676" s="4" t="s">
        <v>7464</v>
      </c>
      <c r="F2676" s="4" t="s">
        <v>331</v>
      </c>
      <c r="G2676" s="6" t="str">
        <f>IFERROR(__xludf.DUMMYFUNCTION("REGEXREPLACE(LOWER(F2676),""[^a-z\s]"","""")"),"none")</f>
        <v>none</v>
      </c>
      <c r="H2676" s="4" t="str">
        <f t="shared" si="1"/>
        <v>none</v>
      </c>
      <c r="I2676" s="6">
        <f t="shared" si="2"/>
        <v>1</v>
      </c>
      <c r="J2676" s="6">
        <f>IFERROR(__xludf.DUMMYFUNCTION("IF(H2676="""","""",
SUM(
ARRAYFORMULA(
IF(
REGEXMATCH(
"" ""&amp;H2676&amp;"" "",
"" ""&amp;Sentiment_Words!A$2:A3730&amp;"" ""
),
1,
0
)
)
)
)"),0.0)</f>
        <v>0</v>
      </c>
      <c r="K2676" s="4">
        <f>IFERROR(__xludf.DUMMYFUNCTION("IF(H2676="""","""",
SUM(
ARRAYFORMULA(
IF(
REGEXMATCH(
"" ""&amp;H2676&amp;"" "",
"" ""&amp;Sentiment_Words!B$2:B3730&amp;"" ""
),
1,
0
)
)
)
)"),0.0)</f>
        <v>0</v>
      </c>
      <c r="L2676" s="7" t="str">
        <f t="shared" si="3"/>
        <v>Other</v>
      </c>
      <c r="M2676" s="7" t="str">
        <f t="shared" si="4"/>
        <v>Neutral</v>
      </c>
      <c r="N2676" s="7" t="str">
        <f>IFERROR(__xludf.DUMMYFUNCTION("LOWER(
TRIM(
REGEXREPLACE(B2676,""[^a-zA-Z\s]"","""")
)
)
"),"keith morgan")</f>
        <v>keith morgan</v>
      </c>
      <c r="O2676" s="7">
        <f t="shared" si="5"/>
        <v>1</v>
      </c>
      <c r="P2676" s="8" t="str">
        <f t="shared" si="6"/>
        <v>No</v>
      </c>
    </row>
    <row r="2677">
      <c r="A2677" s="4" t="s">
        <v>16</v>
      </c>
      <c r="B2677" s="4" t="s">
        <v>6040</v>
      </c>
      <c r="C2677" s="5">
        <v>44647.0</v>
      </c>
      <c r="D2677" s="10">
        <v>44647.0</v>
      </c>
      <c r="E2677" s="4" t="s">
        <v>7465</v>
      </c>
      <c r="F2677" s="4" t="s">
        <v>331</v>
      </c>
      <c r="G2677" s="6" t="str">
        <f>IFERROR(__xludf.DUMMYFUNCTION("REGEXREPLACE(LOWER(F2677),""[^a-z\s]"","""")"),"none")</f>
        <v>none</v>
      </c>
      <c r="H2677" s="4" t="str">
        <f t="shared" si="1"/>
        <v>none</v>
      </c>
      <c r="I2677" s="6">
        <f t="shared" si="2"/>
        <v>1</v>
      </c>
      <c r="J2677" s="6">
        <f>IFERROR(__xludf.DUMMYFUNCTION("IF(H2677="""","""",
SUM(
ARRAYFORMULA(
IF(
REGEXMATCH(
"" ""&amp;H2677&amp;"" "",
"" ""&amp;Sentiment_Words!A$2:A3730&amp;"" ""
),
1,
0
)
)
)
)"),0.0)</f>
        <v>0</v>
      </c>
      <c r="K2677" s="4">
        <f>IFERROR(__xludf.DUMMYFUNCTION("IF(H2677="""","""",
SUM(
ARRAYFORMULA(
IF(
REGEXMATCH(
"" ""&amp;H2677&amp;"" "",
"" ""&amp;Sentiment_Words!B$2:B3730&amp;"" ""
),
1,
0
)
)
)
)"),0.0)</f>
        <v>0</v>
      </c>
      <c r="L2677" s="7" t="str">
        <f t="shared" si="3"/>
        <v>Other</v>
      </c>
      <c r="M2677" s="7" t="str">
        <f t="shared" si="4"/>
        <v>Neutral</v>
      </c>
      <c r="N2677" s="7" t="str">
        <f>IFERROR(__xludf.DUMMYFUNCTION("LOWER(
TRIM(
REGEXREPLACE(B2677,""[^a-zA-Z\s]"","""")
)
)
"),"mary")</f>
        <v>mary</v>
      </c>
      <c r="O2677" s="7">
        <f t="shared" si="5"/>
        <v>8</v>
      </c>
      <c r="P2677" s="8" t="str">
        <f t="shared" si="6"/>
        <v>Yes</v>
      </c>
    </row>
    <row r="2678">
      <c r="A2678" s="4" t="s">
        <v>16</v>
      </c>
      <c r="B2678" s="4" t="s">
        <v>7466</v>
      </c>
      <c r="C2678" s="5">
        <v>44646.0</v>
      </c>
      <c r="D2678" s="10">
        <v>44646.0</v>
      </c>
      <c r="E2678" s="4" t="s">
        <v>3362</v>
      </c>
      <c r="F2678" s="4" t="s">
        <v>7467</v>
      </c>
      <c r="G2678" s="6" t="str">
        <f>IFERROR(__xludf.DUMMYFUNCTION("REGEXREPLACE(LOWER(F2678),""[^a-z\s]"","""")"),"i placed my  order for prescription dog food on a sunday night received someone elses order on thursday called customer service and advised of issue asked that they ship correct order at no charge with overnight delivery was told they wont ship overnight "&amp;"on friday i did receive a poop shovel i ordered it was in a huge box with a hole cut in it for the handle to stick out with cardboard wrapped around it i then looked at what else had shipped from the replacement order found the dry food was shipping recei"&amp;"ved it the following saturday so it took  weeks to receive part of my order when i called and asked about the canned food i was told it was out of stock why was i not told this when the order was placed or by email a day later i needed to request a credit"&amp;" be issued i will never order from this company again")</f>
        <v>i placed my  order for prescription dog food on a sunday night received someone elses order on thursday called customer service and advised of issue asked that they ship correct order at no charge with overnight delivery was told they wont ship overnight on friday i did receive a poop shovel i ordered it was in a huge box with a hole cut in it for the handle to stick out with cardboard wrapped around it i then looked at what else had shipped from the replacement order found the dry food was shipping received it the following saturday so it took  weeks to receive part of my order when i called and asked about the canned food i was told it was out of stock why was i not told this when the order was placed or by email a day later i needed to request a credit be issued i will never order from this company again</v>
      </c>
      <c r="H2678" s="4" t="str">
        <f t="shared" si="1"/>
        <v>i placed my order prescription dog food on a sunday night received someone elses order on thursday called customer service advised of issue asked that they ship correct order at no charge with overnight delivery was told they wont ship overnight on friday i did receive a poop shovel i ordered it was in a huge box with a hole cut in it handle stick out with cardboard wrapped around it i then looked at what else had shipped from replacement order found dry food was shipping received it following saturday so it took weeks receive part of my order when i called asked about canned food i was told it was out of stock why was i not told this when order was placed or by email a day later i needed request a credit be issued i will never order from this company again</v>
      </c>
      <c r="I2678" s="6">
        <f t="shared" si="2"/>
        <v>146</v>
      </c>
      <c r="J2678" s="6">
        <f>IFERROR(__xludf.DUMMYFUNCTION("IF(H2678="""","""",
SUM(
ARRAYFORMULA(
IF(
REGEXMATCH(
"" ""&amp;H2678&amp;"" "",
"" ""&amp;Sentiment_Words!A$2:A3730&amp;"" ""
),
1,
0
)
)
)
)"),1.0)</f>
        <v>1</v>
      </c>
      <c r="K2678" s="4">
        <f>IFERROR(__xludf.DUMMYFUNCTION("IF(H2678="""","""",
SUM(
ARRAYFORMULA(
IF(
REGEXMATCH(
"" ""&amp;H2678&amp;"" "",
"" ""&amp;Sentiment_Words!B$2:B3730&amp;"" ""
),
1,
0
)
)
)
)"),3.0)</f>
        <v>3</v>
      </c>
      <c r="L2678" s="7" t="str">
        <f t="shared" si="3"/>
        <v>Customer Support</v>
      </c>
      <c r="M2678" s="7" t="str">
        <f t="shared" si="4"/>
        <v>Negative</v>
      </c>
      <c r="N2678" s="7" t="str">
        <f>IFERROR(__xludf.DUMMYFUNCTION("LOWER(
TRIM(
REGEXREPLACE(B2678,""[^a-zA-Z\s]"","""")
)
)
"),"camille bartczak")</f>
        <v>camille bartczak</v>
      </c>
      <c r="O2678" s="7">
        <f t="shared" si="5"/>
        <v>1</v>
      </c>
      <c r="P2678" s="8" t="str">
        <f t="shared" si="6"/>
        <v>No</v>
      </c>
    </row>
    <row r="2679">
      <c r="A2679" s="4" t="s">
        <v>16</v>
      </c>
      <c r="B2679" s="4" t="s">
        <v>7468</v>
      </c>
      <c r="C2679" s="5">
        <v>44646.0</v>
      </c>
      <c r="D2679" s="10">
        <v>44646.0</v>
      </c>
      <c r="E2679" s="4" t="s">
        <v>7469</v>
      </c>
      <c r="F2679" s="4" t="s">
        <v>7470</v>
      </c>
      <c r="G2679" s="6" t="str">
        <f>IFERROR(__xludf.DUMMYFUNCTION("REGEXREPLACE(LOWER(F2679),""[^a-z\s]"","""")"),"excellent service fast delivery")</f>
        <v>excellent service fast delivery</v>
      </c>
      <c r="H2679" s="4" t="str">
        <f t="shared" si="1"/>
        <v>excellent service fast delivery</v>
      </c>
      <c r="I2679" s="6">
        <f t="shared" si="2"/>
        <v>4</v>
      </c>
      <c r="J2679" s="6">
        <f>IFERROR(__xludf.DUMMYFUNCTION("IF(H2679="""","""",
SUM(
ARRAYFORMULA(
IF(
REGEXMATCH(
"" ""&amp;H2679&amp;"" "",
"" ""&amp;Sentiment_Words!A$2:A3730&amp;"" ""
),
1,
0
)
)
)
)"),2.0)</f>
        <v>2</v>
      </c>
      <c r="K2679" s="4">
        <f>IFERROR(__xludf.DUMMYFUNCTION("IF(H2679="""","""",
SUM(
ARRAYFORMULA(
IF(
REGEXMATCH(
"" ""&amp;H2679&amp;"" "",
"" ""&amp;Sentiment_Words!B$2:B3730&amp;"" ""
),
1,
0
)
)
)
)"),0.0)</f>
        <v>0</v>
      </c>
      <c r="L2679" s="7" t="str">
        <f t="shared" si="3"/>
        <v>Customer Support</v>
      </c>
      <c r="M2679" s="7" t="str">
        <f t="shared" si="4"/>
        <v>Positive</v>
      </c>
      <c r="N2679" s="7" t="str">
        <f>IFERROR(__xludf.DUMMYFUNCTION("LOWER(
TRIM(
REGEXREPLACE(B2679,""[^a-zA-Z\s]"","""")
)
)
"),"ahmad abudiab")</f>
        <v>ahmad abudiab</v>
      </c>
      <c r="O2679" s="7">
        <f t="shared" si="5"/>
        <v>1</v>
      </c>
      <c r="P2679" s="8" t="str">
        <f t="shared" si="6"/>
        <v>No</v>
      </c>
    </row>
    <row r="2680">
      <c r="A2680" s="4" t="s">
        <v>16</v>
      </c>
      <c r="B2680" s="4" t="s">
        <v>7471</v>
      </c>
      <c r="C2680" s="5">
        <v>44646.0</v>
      </c>
      <c r="D2680" s="10">
        <v>44646.0</v>
      </c>
      <c r="E2680" s="4" t="s">
        <v>7472</v>
      </c>
      <c r="F2680" s="4" t="s">
        <v>7473</v>
      </c>
      <c r="G2680" s="6" t="str">
        <f>IFERROR(__xludf.DUMMYFUNCTION("REGEXREPLACE(LOWER(F2680),""[^a-z\s]"","""")"),"impressed the dog food arrived in perfect condition in a box that fit the bag something that doesnt happen with other companies")</f>
        <v>impressed the dog food arrived in perfect condition in a box that fit the bag something that doesnt happen with other companies</v>
      </c>
      <c r="H2680" s="4" t="str">
        <f t="shared" si="1"/>
        <v>impressed dog food arrived in perfect condition in a box that fit bag something that doesnt happen with other companies</v>
      </c>
      <c r="I2680" s="6">
        <f t="shared" si="2"/>
        <v>20</v>
      </c>
      <c r="J2680" s="6">
        <f>IFERROR(__xludf.DUMMYFUNCTION("IF(H2680="""","""",
SUM(
ARRAYFORMULA(
IF(
REGEXMATCH(
"" ""&amp;H2680&amp;"" "",
"" ""&amp;Sentiment_Words!A$2:A3730&amp;"" ""
),
1,
0
)
)
)
)"),1.0)</f>
        <v>1</v>
      </c>
      <c r="K2680" s="4">
        <f>IFERROR(__xludf.DUMMYFUNCTION("IF(H2680="""","""",
SUM(
ARRAYFORMULA(
IF(
REGEXMATCH(
"" ""&amp;H2680&amp;"" "",
"" ""&amp;Sentiment_Words!B$2:B3730&amp;"" ""
),
1,
0
)
)
)
)"),0.0)</f>
        <v>0</v>
      </c>
      <c r="L2680" s="7" t="str">
        <f t="shared" si="3"/>
        <v>Service Recovery</v>
      </c>
      <c r="M2680" s="7" t="str">
        <f t="shared" si="4"/>
        <v>Positive</v>
      </c>
      <c r="N2680" s="7" t="str">
        <f>IFERROR(__xludf.DUMMYFUNCTION("LOWER(
TRIM(
REGEXREPLACE(B2680,""[^a-zA-Z\s]"","""")
)
)
"),"happy shopper")</f>
        <v>happy shopper</v>
      </c>
      <c r="O2680" s="7">
        <f t="shared" si="5"/>
        <v>1</v>
      </c>
      <c r="P2680" s="8" t="str">
        <f t="shared" si="6"/>
        <v>No</v>
      </c>
    </row>
    <row r="2681">
      <c r="A2681" s="4" t="s">
        <v>16</v>
      </c>
      <c r="B2681" s="4" t="s">
        <v>7474</v>
      </c>
      <c r="C2681" s="5">
        <v>44646.0</v>
      </c>
      <c r="D2681" s="10">
        <v>44646.0</v>
      </c>
      <c r="E2681" s="4" t="s">
        <v>7475</v>
      </c>
      <c r="F2681" s="4" t="s">
        <v>7476</v>
      </c>
      <c r="G2681" s="6" t="str">
        <f>IFERROR(__xludf.DUMMYFUNCTION("REGEXREPLACE(LOWER(F2681),""[^a-z\s]"","""")"),"i love petflow for great customer service fast and reliable service great dog food for my babies in great price
im petflow customer since i became doggy mommy almost  years ago my  golden retrievers are doing amazing on farmina food")</f>
        <v>i love petflow for great customer service fast and reliable service great dog food for my babies in great price
im petflow customer since i became doggy mommy almost  years ago my  golden retrievers are doing amazing on farmina food</v>
      </c>
      <c r="H2681" s="4" t="str">
        <f t="shared" si="1"/>
        <v>i love petflow great customer service fast reliable service great dog food my babies in great price
im petflow customer since i became doggy mommy almost years ago my golden retrievers are doing amazing on farmina food</v>
      </c>
      <c r="I2681" s="6">
        <f t="shared" si="2"/>
        <v>36</v>
      </c>
      <c r="J2681" s="6">
        <f>IFERROR(__xludf.DUMMYFUNCTION("IF(H2681="""","""",
SUM(
ARRAYFORMULA(
IF(
REGEXMATCH(
"" ""&amp;H2681&amp;"" "",
"" ""&amp;Sentiment_Words!A$2:A3730&amp;"" ""
),
1,
0
)
)
)
)"),5.0)</f>
        <v>5</v>
      </c>
      <c r="K2681" s="4">
        <f>IFERROR(__xludf.DUMMYFUNCTION("IF(H2681="""","""",
SUM(
ARRAYFORMULA(
IF(
REGEXMATCH(
"" ""&amp;H2681&amp;"" "",
"" ""&amp;Sentiment_Words!B$2:B3730&amp;"" ""
),
1,
0
)
)
)
)"),1.0)</f>
        <v>1</v>
      </c>
      <c r="L2681" s="7" t="str">
        <f t="shared" si="3"/>
        <v>Customer Support</v>
      </c>
      <c r="M2681" s="7" t="str">
        <f t="shared" si="4"/>
        <v>Positive</v>
      </c>
      <c r="N2681" s="7" t="str">
        <f>IFERROR(__xludf.DUMMYFUNCTION("LOWER(
TRIM(
REGEXREPLACE(B2681,""[^a-zA-Z\s]"","""")
)
)
"),"szeleziatko")</f>
        <v>szeleziatko</v>
      </c>
      <c r="O2681" s="7">
        <f t="shared" si="5"/>
        <v>1</v>
      </c>
      <c r="P2681" s="8" t="str">
        <f t="shared" si="6"/>
        <v>No</v>
      </c>
    </row>
    <row r="2682">
      <c r="A2682" s="4" t="s">
        <v>16</v>
      </c>
      <c r="B2682" s="4" t="s">
        <v>7477</v>
      </c>
      <c r="C2682" s="5">
        <v>44646.0</v>
      </c>
      <c r="D2682" s="4" t="s">
        <v>7478</v>
      </c>
      <c r="E2682" s="4" t="s">
        <v>7479</v>
      </c>
      <c r="F2682" s="4" t="s">
        <v>7480</v>
      </c>
      <c r="G2682" s="6" t="str">
        <f>IFERROR(__xludf.DUMMYFUNCTION("REGEXREPLACE(LOWER(F2682),""[^a-z\s]"","""")"),"i adore petflow i love what the company is and stands for and the donations they make unfortunately they just dont have everything i buy for my pets so i find myself going through other companies to get them i would love to see them grow though and offer "&amp;"more what i can find or even find a replacement for i go here first never had an issue and my orders get here within a day or two")</f>
        <v>i adore petflow i love what the company is and stands for and the donations they make unfortunately they just dont have everything i buy for my pets so i find myself going through other companies to get them i would love to see them grow though and offer more what i can find or even find a replacement for i go here first never had an issue and my orders get here within a day or two</v>
      </c>
      <c r="H2682" s="4" t="str">
        <f t="shared" si="1"/>
        <v>i adore petflow i love what company stands donations they make unfortunately they just dont have everything i buy my pets so i find myself going through other companies get them i would love see them grow though offer more what i can find or even find a replacement i go here first never had an issue my orders get here within a day or two</v>
      </c>
      <c r="I2682" s="6">
        <f t="shared" si="2"/>
        <v>66</v>
      </c>
      <c r="J2682" s="6">
        <f>IFERROR(__xludf.DUMMYFUNCTION("IF(H2682="""","""",
SUM(
ARRAYFORMULA(
IF(
REGEXMATCH(
"" ""&amp;H2682&amp;"" "",
"" ""&amp;Sentiment_Words!A$2:A3730&amp;"" ""
),
1,
0
)
)
)
)"),1.0)</f>
        <v>1</v>
      </c>
      <c r="K2682" s="4">
        <f>IFERROR(__xludf.DUMMYFUNCTION("IF(H2682="""","""",
SUM(
ARRAYFORMULA(
IF(
REGEXMATCH(
"" ""&amp;H2682&amp;"" "",
"" ""&amp;Sentiment_Words!B$2:B3730&amp;"" ""
),
1,
0
)
)
)
)"),1.0)</f>
        <v>1</v>
      </c>
      <c r="L2682" s="7" t="str">
        <f t="shared" si="3"/>
        <v>Other</v>
      </c>
      <c r="M2682" s="7" t="str">
        <f t="shared" si="4"/>
        <v>Neutral</v>
      </c>
      <c r="N2682" s="7" t="str">
        <f>IFERROR(__xludf.DUMMYFUNCTION("LOWER(
TRIM(
REGEXREPLACE(B2682,""[^a-zA-Z\s]"","""")
)
)
"),"nichole")</f>
        <v>nichole</v>
      </c>
      <c r="O2682" s="7">
        <f t="shared" si="5"/>
        <v>1</v>
      </c>
      <c r="P2682" s="8" t="str">
        <f t="shared" si="6"/>
        <v>No</v>
      </c>
    </row>
    <row r="2683">
      <c r="A2683" s="4" t="s">
        <v>16</v>
      </c>
      <c r="B2683" s="4" t="s">
        <v>7481</v>
      </c>
      <c r="C2683" s="5">
        <v>44645.0</v>
      </c>
      <c r="D2683" s="10">
        <v>44645.0</v>
      </c>
      <c r="E2683" s="4" t="s">
        <v>7482</v>
      </c>
      <c r="F2683" s="4" t="s">
        <v>7483</v>
      </c>
      <c r="G2683" s="6" t="str">
        <f>IFERROR(__xludf.DUMMYFUNCTION("REGEXREPLACE(LOWER(F2683),""[^a-z\s]"","""")"),"good service although a bit slower than our other service which may have been due to the vet not responding promptly")</f>
        <v>good service although a bit slower than our other service which may have been due to the vet not responding promptly</v>
      </c>
      <c r="H2683" s="4" t="str">
        <f t="shared" si="1"/>
        <v>good service although a bit slower than our other service which may have been due vet not responding promptly</v>
      </c>
      <c r="I2683" s="6">
        <f t="shared" si="2"/>
        <v>19</v>
      </c>
      <c r="J2683" s="6">
        <f>IFERROR(__xludf.DUMMYFUNCTION("IF(H2683="""","""",
SUM(
ARRAYFORMULA(
IF(
REGEXMATCH(
"" ""&amp;H2683&amp;"" "",
"" ""&amp;Sentiment_Words!A$2:A3730&amp;"" ""
),
1,
0
)
)
)
)"),1.0)</f>
        <v>1</v>
      </c>
      <c r="K2683" s="4">
        <f>IFERROR(__xludf.DUMMYFUNCTION("IF(H2683="""","""",
SUM(
ARRAYFORMULA(
IF(
REGEXMATCH(
"" ""&amp;H2683&amp;"" "",
"" ""&amp;Sentiment_Words!B$2:B3730&amp;"" ""
),
1,
0
)
)
)
)"),0.0)</f>
        <v>0</v>
      </c>
      <c r="L2683" s="7" t="str">
        <f t="shared" si="3"/>
        <v>Customer Support</v>
      </c>
      <c r="M2683" s="7" t="str">
        <f t="shared" si="4"/>
        <v>Positive</v>
      </c>
      <c r="N2683" s="7" t="str">
        <f>IFERROR(__xludf.DUMMYFUNCTION("LOWER(
TRIM(
REGEXREPLACE(B2683,""[^a-zA-Z\s]"","""")
)
)
"),"molly anderson")</f>
        <v>molly anderson</v>
      </c>
      <c r="O2683" s="7">
        <f t="shared" si="5"/>
        <v>1</v>
      </c>
      <c r="P2683" s="8" t="str">
        <f t="shared" si="6"/>
        <v>No</v>
      </c>
    </row>
    <row r="2684">
      <c r="A2684" s="4" t="s">
        <v>16</v>
      </c>
      <c r="B2684" s="4" t="s">
        <v>7484</v>
      </c>
      <c r="C2684" s="5">
        <v>44645.0</v>
      </c>
      <c r="D2684" s="10">
        <v>44645.0</v>
      </c>
      <c r="E2684" s="4" t="s">
        <v>7485</v>
      </c>
      <c r="F2684" s="4" t="s">
        <v>7486</v>
      </c>
      <c r="G2684" s="6" t="str">
        <f>IFERROR(__xludf.DUMMYFUNCTION("REGEXREPLACE(LOWER(F2684),""[^a-z\s]"","""")"),"this was my first time ordering with petflow and i must say it was great it was a prescription food it was faster than ordering with chewy would highly recommend")</f>
        <v>this was my first time ordering with petflow and i must say it was great it was a prescription food it was faster than ordering with chewy would highly recommend</v>
      </c>
      <c r="H2684" s="4" t="str">
        <f t="shared" si="1"/>
        <v>this was my first time ordering with petflow i must say it was great it was a prescription food it was faster than ordering with chewy would highly recommend</v>
      </c>
      <c r="I2684" s="6">
        <f t="shared" si="2"/>
        <v>29</v>
      </c>
      <c r="J2684" s="6">
        <f>IFERROR(__xludf.DUMMYFUNCTION("IF(H2684="""","""",
SUM(
ARRAYFORMULA(
IF(
REGEXMATCH(
"" ""&amp;H2684&amp;"" "",
"" ""&amp;Sentiment_Words!A$2:A3730&amp;"" ""
),
1,
0
)
)
)
)"),1.0)</f>
        <v>1</v>
      </c>
      <c r="K2684" s="4">
        <f>IFERROR(__xludf.DUMMYFUNCTION("IF(H2684="""","""",
SUM(
ARRAYFORMULA(
IF(
REGEXMATCH(
"" ""&amp;H2684&amp;"" "",
"" ""&amp;Sentiment_Words!B$2:B3730&amp;"" ""
),
1,
0
)
)
)
)"),0.0)</f>
        <v>0</v>
      </c>
      <c r="L2684" s="7" t="str">
        <f t="shared" si="3"/>
        <v>Other</v>
      </c>
      <c r="M2684" s="7" t="str">
        <f t="shared" si="4"/>
        <v>Positive</v>
      </c>
      <c r="N2684" s="7" t="str">
        <f>IFERROR(__xludf.DUMMYFUNCTION("LOWER(
TRIM(
REGEXREPLACE(B2684,""[^a-zA-Z\s]"","""")
)
)
"),"christine cinaglia")</f>
        <v>christine cinaglia</v>
      </c>
      <c r="O2684" s="7">
        <f t="shared" si="5"/>
        <v>1</v>
      </c>
      <c r="P2684" s="8" t="str">
        <f t="shared" si="6"/>
        <v>No</v>
      </c>
    </row>
    <row r="2685">
      <c r="A2685" s="4" t="s">
        <v>16</v>
      </c>
      <c r="B2685" s="4" t="s">
        <v>7487</v>
      </c>
      <c r="C2685" s="5">
        <v>44645.0</v>
      </c>
      <c r="D2685" s="10">
        <v>44645.0</v>
      </c>
      <c r="E2685" s="4" t="s">
        <v>7488</v>
      </c>
      <c r="F2685" s="4" t="s">
        <v>7489</v>
      </c>
      <c r="G2685" s="6" t="str">
        <f>IFERROR(__xludf.DUMMYFUNCTION("REGEXREPLACE(LOWER(F2685),""[^a-z\s]"","""")"),"had the product my babies needed when everyone else was out fast and easy checkout and fast shipping")</f>
        <v>had the product my babies needed when everyone else was out fast and easy checkout and fast shipping</v>
      </c>
      <c r="H2685" s="4" t="str">
        <f t="shared" si="1"/>
        <v>had product my babies needed when everyone else was out fast easy checkout fast shipping</v>
      </c>
      <c r="I2685" s="6">
        <f t="shared" si="2"/>
        <v>15</v>
      </c>
      <c r="J2685" s="6">
        <f>IFERROR(__xludf.DUMMYFUNCTION("IF(H2685="""","""",
SUM(
ARRAYFORMULA(
IF(
REGEXMATCH(
"" ""&amp;H2685&amp;"" "",
"" ""&amp;Sentiment_Words!A$2:A3730&amp;"" ""
),
1,
0
)
)
)
)"),2.0)</f>
        <v>2</v>
      </c>
      <c r="K2685" s="4">
        <f>IFERROR(__xludf.DUMMYFUNCTION("IF(H2685="""","""",
SUM(
ARRAYFORMULA(
IF(
REGEXMATCH(
"" ""&amp;H2685&amp;"" "",
"" ""&amp;Sentiment_Words!B$2:B3730&amp;"" ""
),
1,
0
)
)
)
)"),0.0)</f>
        <v>0</v>
      </c>
      <c r="L2685" s="7" t="str">
        <f t="shared" si="3"/>
        <v>Other</v>
      </c>
      <c r="M2685" s="7" t="str">
        <f t="shared" si="4"/>
        <v>Positive</v>
      </c>
      <c r="N2685" s="7" t="str">
        <f>IFERROR(__xludf.DUMMYFUNCTION("LOWER(
TRIM(
REGEXREPLACE(B2685,""[^a-zA-Z\s]"","""")
)
)
"),"madelaine sutphin")</f>
        <v>madelaine sutphin</v>
      </c>
      <c r="O2685" s="7">
        <f t="shared" si="5"/>
        <v>1</v>
      </c>
      <c r="P2685" s="8" t="str">
        <f t="shared" si="6"/>
        <v>No</v>
      </c>
    </row>
    <row r="2686">
      <c r="A2686" s="4" t="s">
        <v>16</v>
      </c>
      <c r="B2686" s="4" t="s">
        <v>1634</v>
      </c>
      <c r="C2686" s="5">
        <v>44645.0</v>
      </c>
      <c r="D2686" s="10">
        <v>44645.0</v>
      </c>
      <c r="E2686" s="4" t="s">
        <v>129</v>
      </c>
      <c r="F2686" s="4" t="s">
        <v>7490</v>
      </c>
      <c r="G2686" s="6" t="str">
        <f>IFERROR(__xludf.DUMMYFUNCTION("REGEXREPLACE(LOWER(F2686),""[^a-z\s]"","""")"),"quickly received ill be back ")</f>
        <v>quickly received ill be back </v>
      </c>
      <c r="H2686" s="4" t="str">
        <f t="shared" si="1"/>
        <v>quickly received ill be back</v>
      </c>
      <c r="I2686" s="6">
        <f t="shared" si="2"/>
        <v>5</v>
      </c>
      <c r="J2686" s="6">
        <f>IFERROR(__xludf.DUMMYFUNCTION("IF(H2686="""","""",
SUM(
ARRAYFORMULA(
IF(
REGEXMATCH(
"" ""&amp;H2686&amp;"" "",
"" ""&amp;Sentiment_Words!A$2:A3730&amp;"" ""
),
1,
0
)
)
)
)"),0.0)</f>
        <v>0</v>
      </c>
      <c r="K2686" s="4">
        <f>IFERROR(__xludf.DUMMYFUNCTION("IF(H2686="""","""",
SUM(
ARRAYFORMULA(
IF(
REGEXMATCH(
"" ""&amp;H2686&amp;"" "",
"" ""&amp;Sentiment_Words!B$2:B3730&amp;"" ""
),
1,
0
)
)
)
)"),0.0)</f>
        <v>0</v>
      </c>
      <c r="L2686" s="7" t="str">
        <f t="shared" si="3"/>
        <v>Other</v>
      </c>
      <c r="M2686" s="7" t="str">
        <f t="shared" si="4"/>
        <v>Neutral</v>
      </c>
      <c r="N2686" s="7" t="str">
        <f>IFERROR(__xludf.DUMMYFUNCTION("LOWER(
TRIM(
REGEXREPLACE(B2686,""[^a-zA-Z\s]"","""")
)
)
"),"deborah")</f>
        <v>deborah</v>
      </c>
      <c r="O2686" s="7">
        <f t="shared" si="5"/>
        <v>4</v>
      </c>
      <c r="P2686" s="8" t="str">
        <f t="shared" si="6"/>
        <v>Yes</v>
      </c>
    </row>
    <row r="2687">
      <c r="A2687" s="4" t="s">
        <v>16</v>
      </c>
      <c r="B2687" s="4" t="s">
        <v>7491</v>
      </c>
      <c r="C2687" s="5">
        <v>44645.0</v>
      </c>
      <c r="D2687" s="10">
        <v>44645.0</v>
      </c>
      <c r="E2687" s="4" t="s">
        <v>623</v>
      </c>
      <c r="F2687" s="4" t="s">
        <v>7492</v>
      </c>
      <c r="G2687" s="6" t="str">
        <f>IFERROR(__xludf.DUMMYFUNCTION("REGEXREPLACE(LOWER(F2687),""[^a-z\s]"","""")"),"great service had the items i needed and i love the giving back to needy animals")</f>
        <v>great service had the items i needed and i love the giving back to needy animals</v>
      </c>
      <c r="H2687" s="4" t="str">
        <f t="shared" si="1"/>
        <v>great service had items i needed i love giving back needy animals</v>
      </c>
      <c r="I2687" s="6">
        <f t="shared" si="2"/>
        <v>12</v>
      </c>
      <c r="J2687" s="6">
        <f>IFERROR(__xludf.DUMMYFUNCTION("IF(H2687="""","""",
SUM(
ARRAYFORMULA(
IF(
REGEXMATCH(
"" ""&amp;H2687&amp;"" "",
"" ""&amp;Sentiment_Words!A$2:A3730&amp;"" ""
),
1,
0
)
)
)
)"),2.0)</f>
        <v>2</v>
      </c>
      <c r="K2687" s="4">
        <f>IFERROR(__xludf.DUMMYFUNCTION("IF(H2687="""","""",
SUM(
ARRAYFORMULA(
IF(
REGEXMATCH(
"" ""&amp;H2687&amp;"" "",
"" ""&amp;Sentiment_Words!B$2:B3730&amp;"" ""
),
1,
0
)
)
)
)"),0.0)</f>
        <v>0</v>
      </c>
      <c r="L2687" s="7" t="str">
        <f t="shared" si="3"/>
        <v>Customer Support</v>
      </c>
      <c r="M2687" s="7" t="str">
        <f t="shared" si="4"/>
        <v>Positive</v>
      </c>
      <c r="N2687" s="7" t="str">
        <f>IFERROR(__xludf.DUMMYFUNCTION("LOWER(
TRIM(
REGEXREPLACE(B2687,""[^a-zA-Z\s]"","""")
)
)
"),"nishat hossain")</f>
        <v>nishat hossain</v>
      </c>
      <c r="O2687" s="7">
        <f t="shared" si="5"/>
        <v>1</v>
      </c>
      <c r="P2687" s="8" t="str">
        <f t="shared" si="6"/>
        <v>No</v>
      </c>
    </row>
    <row r="2688">
      <c r="A2688" s="4" t="s">
        <v>16</v>
      </c>
      <c r="B2688" s="4" t="s">
        <v>7493</v>
      </c>
      <c r="C2688" s="5">
        <v>44645.0</v>
      </c>
      <c r="D2688" s="10">
        <v>44645.0</v>
      </c>
      <c r="E2688" s="4" t="s">
        <v>7494</v>
      </c>
      <c r="F2688" s="4" t="s">
        <v>7495</v>
      </c>
      <c r="G2688" s="6" t="str">
        <f>IFERROR(__xludf.DUMMYFUNCTION("REGEXREPLACE(LOWER(F2688),""[^a-z\s]"","""")"),"i get the same dog food every time last time i ordered it took longer than expected to receive it but this time it was tracked and arrived earlier than expected totally satisfied")</f>
        <v>i get the same dog food every time last time i ordered it took longer than expected to receive it but this time it was tracked and arrived earlier than expected totally satisfied</v>
      </c>
      <c r="H2688" s="4" t="str">
        <f t="shared" si="1"/>
        <v>i get same dog food every time last time i ordered it took longer than expected receive it but this time it was tracked arrived earlier than expected totally satisfied</v>
      </c>
      <c r="I2688" s="6">
        <f t="shared" si="2"/>
        <v>30</v>
      </c>
      <c r="J2688" s="6">
        <f>IFERROR(__xludf.DUMMYFUNCTION("IF(H2688="""","""",
SUM(
ARRAYFORMULA(
IF(
REGEXMATCH(
"" ""&amp;H2688&amp;"" "",
"" ""&amp;Sentiment_Words!A$2:A3730&amp;"" ""
),
1,
0
)
)
)
)"),1.0)</f>
        <v>1</v>
      </c>
      <c r="K2688" s="4">
        <f>IFERROR(__xludf.DUMMYFUNCTION("IF(H2688="""","""",
SUM(
ARRAYFORMULA(
IF(
REGEXMATCH(
"" ""&amp;H2688&amp;"" "",
"" ""&amp;Sentiment_Words!B$2:B3730&amp;"" ""
),
1,
0
)
)
)
)"),0.0)</f>
        <v>0</v>
      </c>
      <c r="L2688" s="7" t="str">
        <f t="shared" si="3"/>
        <v>Other</v>
      </c>
      <c r="M2688" s="7" t="str">
        <f t="shared" si="4"/>
        <v>Positive</v>
      </c>
      <c r="N2688" s="7" t="str">
        <f>IFERROR(__xludf.DUMMYFUNCTION("LOWER(
TRIM(
REGEXREPLACE(B2688,""[^a-zA-Z\s]"","""")
)
)
"),"trudy bauer")</f>
        <v>trudy bauer</v>
      </c>
      <c r="O2688" s="7">
        <f t="shared" si="5"/>
        <v>1</v>
      </c>
      <c r="P2688" s="8" t="str">
        <f t="shared" si="6"/>
        <v>No</v>
      </c>
    </row>
    <row r="2689">
      <c r="A2689" s="4" t="s">
        <v>16</v>
      </c>
      <c r="B2689" s="4" t="s">
        <v>7496</v>
      </c>
      <c r="C2689" s="5">
        <v>44644.0</v>
      </c>
      <c r="D2689" s="10">
        <v>44645.0</v>
      </c>
      <c r="E2689" s="4" t="s">
        <v>623</v>
      </c>
      <c r="F2689" s="4" t="s">
        <v>7497</v>
      </c>
      <c r="G2689" s="6" t="str">
        <f>IFERROR(__xludf.DUMMYFUNCTION("REGEXREPLACE(LOWER(F2689),""[^a-z\s]"","""")"),"great service good prices")</f>
        <v>great service good prices</v>
      </c>
      <c r="H2689" s="4" t="str">
        <f t="shared" si="1"/>
        <v>great service good prices</v>
      </c>
      <c r="I2689" s="6">
        <f t="shared" si="2"/>
        <v>4</v>
      </c>
      <c r="J2689" s="6">
        <f>IFERROR(__xludf.DUMMYFUNCTION("IF(H2689="""","""",
SUM(
ARRAYFORMULA(
IF(
REGEXMATCH(
"" ""&amp;H2689&amp;"" "",
"" ""&amp;Sentiment_Words!A$2:A3730&amp;"" ""
),
1,
0
)
)
)
)"),2.0)</f>
        <v>2</v>
      </c>
      <c r="K2689" s="4">
        <f>IFERROR(__xludf.DUMMYFUNCTION("IF(H2689="""","""",
SUM(
ARRAYFORMULA(
IF(
REGEXMATCH(
"" ""&amp;H2689&amp;"" "",
"" ""&amp;Sentiment_Words!B$2:B3730&amp;"" ""
),
1,
0
)
)
)
)"),0.0)</f>
        <v>0</v>
      </c>
      <c r="L2689" s="7" t="str">
        <f t="shared" si="3"/>
        <v>Customer Support</v>
      </c>
      <c r="M2689" s="7" t="str">
        <f t="shared" si="4"/>
        <v>Positive</v>
      </c>
      <c r="N2689" s="7" t="str">
        <f>IFERROR(__xludf.DUMMYFUNCTION("LOWER(
TRIM(
REGEXREPLACE(B2689,""[^a-zA-Z\s]"","""")
)
)
"),"rene")</f>
        <v>rene</v>
      </c>
      <c r="O2689" s="7">
        <f t="shared" si="5"/>
        <v>1</v>
      </c>
      <c r="P2689" s="8" t="str">
        <f t="shared" si="6"/>
        <v>No</v>
      </c>
    </row>
    <row r="2690">
      <c r="A2690" s="4" t="s">
        <v>16</v>
      </c>
      <c r="B2690" s="4" t="s">
        <v>1142</v>
      </c>
      <c r="C2690" s="5">
        <v>44644.0</v>
      </c>
      <c r="D2690" s="10">
        <v>44644.0</v>
      </c>
      <c r="E2690" s="4" t="s">
        <v>7498</v>
      </c>
      <c r="F2690" s="4" t="s">
        <v>7499</v>
      </c>
      <c r="G2690" s="6" t="str">
        <f>IFERROR(__xludf.DUMMYFUNCTION("REGEXREPLACE(LOWER(F2690),""[^a-z\s]"","""")"),"normally i am very happy with petflow with the exception of some packaging missteps this time it just took too long to get here but everything else was good not sure if that was due to the shipping issues the country is having now or if it was internal by"&amp;" shipping out later than usual otherwise good")</f>
        <v>normally i am very happy with petflow with the exception of some packaging missteps this time it just took too long to get here but everything else was good not sure if that was due to the shipping issues the country is having now or if it was internal by shipping out later than usual otherwise good</v>
      </c>
      <c r="H2690" s="4" t="str">
        <f t="shared" si="1"/>
        <v>normally i am very happy with petflow with exception of some packaging missteps this time it just took too long get here but everything else was good not sure if that was due shipping issues country having now or if it was internal by shipping out later than usual otherwise good</v>
      </c>
      <c r="I2690" s="6">
        <f t="shared" si="2"/>
        <v>51</v>
      </c>
      <c r="J2690" s="6">
        <f>IFERROR(__xludf.DUMMYFUNCTION("IF(H2690="""","""",
SUM(
ARRAYFORMULA(
IF(
REGEXMATCH(
"" ""&amp;H2690&amp;"" "",
"" ""&amp;Sentiment_Words!A$2:A3730&amp;"" ""
),
1,
0
)
)
)
)"),2.0)</f>
        <v>2</v>
      </c>
      <c r="K2690" s="4">
        <f>IFERROR(__xludf.DUMMYFUNCTION("IF(H2690="""","""",
SUM(
ARRAYFORMULA(
IF(
REGEXMATCH(
"" ""&amp;H2690&amp;"" "",
"" ""&amp;Sentiment_Words!B$2:B3730&amp;"" ""
),
1,
0
)
)
)
)"),0.0)</f>
        <v>0</v>
      </c>
      <c r="L2690" s="7" t="str">
        <f t="shared" si="3"/>
        <v>Fulfillment &amp; Shipping</v>
      </c>
      <c r="M2690" s="7" t="str">
        <f t="shared" si="4"/>
        <v>Positive</v>
      </c>
      <c r="N2690" s="7" t="str">
        <f>IFERROR(__xludf.DUMMYFUNCTION("LOWER(
TRIM(
REGEXREPLACE(B2690,""[^a-zA-Z\s]"","""")
)
)
"),"karen")</f>
        <v>karen</v>
      </c>
      <c r="O2690" s="7">
        <f t="shared" si="5"/>
        <v>8</v>
      </c>
      <c r="P2690" s="8" t="str">
        <f t="shared" si="6"/>
        <v>Yes</v>
      </c>
    </row>
    <row r="2691">
      <c r="A2691" s="4" t="s">
        <v>16</v>
      </c>
      <c r="B2691" s="4" t="s">
        <v>7500</v>
      </c>
      <c r="C2691" s="5">
        <v>44644.0</v>
      </c>
      <c r="D2691" s="10">
        <v>44644.0</v>
      </c>
      <c r="E2691" s="4" t="s">
        <v>7501</v>
      </c>
      <c r="F2691" s="4" t="s">
        <v>7502</v>
      </c>
      <c r="G2691" s="6" t="str">
        <f>IFERROR(__xludf.DUMMYFUNCTION("REGEXREPLACE(LOWER(F2691),""[^a-z\s]"","""")"),"i received a substitute product that would not work in my household of pets i called and immediately the product i had ordered was sent to me from a different warehouse")</f>
        <v>i received a substitute product that would not work in my household of pets i called and immediately the product i had ordered was sent to me from a different warehouse</v>
      </c>
      <c r="H2691" s="4" t="str">
        <f t="shared" si="1"/>
        <v>i received a substitute product that would not work in my household of pets i called immediately product i had ordered was sent me from a different warehouse</v>
      </c>
      <c r="I2691" s="6">
        <f t="shared" si="2"/>
        <v>28</v>
      </c>
      <c r="J2691" s="6">
        <f>IFERROR(__xludf.DUMMYFUNCTION("IF(H2691="""","""",
SUM(
ARRAYFORMULA(
IF(
REGEXMATCH(
"" ""&amp;H2691&amp;"" "",
"" ""&amp;Sentiment_Words!A$2:A3730&amp;"" ""
),
1,
0
)
)
)
)"),1.0)</f>
        <v>1</v>
      </c>
      <c r="K2691" s="4">
        <f>IFERROR(__xludf.DUMMYFUNCTION("IF(H2691="""","""",
SUM(
ARRAYFORMULA(
IF(
REGEXMATCH(
"" ""&amp;H2691&amp;"" "",
"" ""&amp;Sentiment_Words!B$2:B3730&amp;"" ""
),
1,
0
)
)
)
)"),0.0)</f>
        <v>0</v>
      </c>
      <c r="L2691" s="7" t="str">
        <f t="shared" si="3"/>
        <v>Other</v>
      </c>
      <c r="M2691" s="7" t="str">
        <f t="shared" si="4"/>
        <v>Positive</v>
      </c>
      <c r="N2691" s="7" t="str">
        <f>IFERROR(__xludf.DUMMYFUNCTION("LOWER(
TRIM(
REGEXREPLACE(B2691,""[^a-zA-Z\s]"","""")
)
)
"),"lynn agosti")</f>
        <v>lynn agosti</v>
      </c>
      <c r="O2691" s="7">
        <f t="shared" si="5"/>
        <v>1</v>
      </c>
      <c r="P2691" s="8" t="str">
        <f t="shared" si="6"/>
        <v>No</v>
      </c>
    </row>
    <row r="2692">
      <c r="A2692" s="4" t="s">
        <v>16</v>
      </c>
      <c r="B2692" s="4" t="s">
        <v>7503</v>
      </c>
      <c r="C2692" s="5">
        <v>44644.0</v>
      </c>
      <c r="D2692" s="10">
        <v>44644.0</v>
      </c>
      <c r="E2692" s="4" t="s">
        <v>5161</v>
      </c>
      <c r="F2692" s="4" t="s">
        <v>7504</v>
      </c>
      <c r="G2692" s="6" t="str">
        <f>IFERROR(__xludf.DUMMYFUNCTION("REGEXREPLACE(LOWER(F2692),""[^a-z\s]"","""")"),"great to deal with fast shipping highly recommend")</f>
        <v>great to deal with fast shipping highly recommend</v>
      </c>
      <c r="H2692" s="4" t="str">
        <f t="shared" si="1"/>
        <v>great deal with fast shipping highly recommend</v>
      </c>
      <c r="I2692" s="6">
        <f t="shared" si="2"/>
        <v>7</v>
      </c>
      <c r="J2692" s="6">
        <f>IFERROR(__xludf.DUMMYFUNCTION("IF(H2692="""","""",
SUM(
ARRAYFORMULA(
IF(
REGEXMATCH(
"" ""&amp;H2692&amp;"" "",
"" ""&amp;Sentiment_Words!A$2:A3730&amp;"" ""
),
1,
0
)
)
)
)"),2.0)</f>
        <v>2</v>
      </c>
      <c r="K2692" s="4">
        <f>IFERROR(__xludf.DUMMYFUNCTION("IF(H2692="""","""",
SUM(
ARRAYFORMULA(
IF(
REGEXMATCH(
"" ""&amp;H2692&amp;"" "",
"" ""&amp;Sentiment_Words!B$2:B3730&amp;"" ""
),
1,
0
)
)
)
)"),0.0)</f>
        <v>0</v>
      </c>
      <c r="L2692" s="7" t="str">
        <f t="shared" si="3"/>
        <v>Other</v>
      </c>
      <c r="M2692" s="7" t="str">
        <f t="shared" si="4"/>
        <v>Positive</v>
      </c>
      <c r="N2692" s="7" t="str">
        <f>IFERROR(__xludf.DUMMYFUNCTION("LOWER(
TRIM(
REGEXREPLACE(B2692,""[^a-zA-Z\s]"","""")
)
)
"),"sharman casey")</f>
        <v>sharman casey</v>
      </c>
      <c r="O2692" s="7">
        <f t="shared" si="5"/>
        <v>1</v>
      </c>
      <c r="P2692" s="8" t="str">
        <f t="shared" si="6"/>
        <v>No</v>
      </c>
    </row>
    <row r="2693">
      <c r="A2693" s="4" t="s">
        <v>16</v>
      </c>
      <c r="B2693" s="4" t="s">
        <v>7505</v>
      </c>
      <c r="C2693" s="5">
        <v>44644.0</v>
      </c>
      <c r="D2693" s="10">
        <v>44644.0</v>
      </c>
      <c r="E2693" s="4" t="s">
        <v>7506</v>
      </c>
      <c r="F2693" s="4" t="s">
        <v>7507</v>
      </c>
      <c r="G2693" s="6" t="str">
        <f>IFERROR(__xludf.DUMMYFUNCTION("REGEXREPLACE(LOWER(F2693),""[^a-z\s]"","""")"),"fast shipping not a big selection of fish products but what they do carry have very good prices")</f>
        <v>fast shipping not a big selection of fish products but what they do carry have very good prices</v>
      </c>
      <c r="H2693" s="4" t="str">
        <f t="shared" si="1"/>
        <v>fast shipping not a big selection of fish products but what they do carry have very good prices</v>
      </c>
      <c r="I2693" s="6">
        <f t="shared" si="2"/>
        <v>18</v>
      </c>
      <c r="J2693" s="6">
        <f>IFERROR(__xludf.DUMMYFUNCTION("IF(H2693="""","""",
SUM(
ARRAYFORMULA(
IF(
REGEXMATCH(
"" ""&amp;H2693&amp;"" "",
"" ""&amp;Sentiment_Words!A$2:A3730&amp;"" ""
),
1,
0
)
)
)
)"),2.0)</f>
        <v>2</v>
      </c>
      <c r="K2693" s="4">
        <f>IFERROR(__xludf.DUMMYFUNCTION("IF(H2693="""","""",
SUM(
ARRAYFORMULA(
IF(
REGEXMATCH(
"" ""&amp;H2693&amp;"" "",
"" ""&amp;Sentiment_Words!B$2:B3730&amp;"" ""
),
1,
0
)
)
)
)"),0.0)</f>
        <v>0</v>
      </c>
      <c r="L2693" s="7" t="str">
        <f t="shared" si="3"/>
        <v>Other</v>
      </c>
      <c r="M2693" s="7" t="str">
        <f t="shared" si="4"/>
        <v>Positive</v>
      </c>
      <c r="N2693" s="7" t="str">
        <f>IFERROR(__xludf.DUMMYFUNCTION("LOWER(
TRIM(
REGEXREPLACE(B2693,""[^a-zA-Z\s]"","""")
)
)
"),"ronald b reid")</f>
        <v>ronald b reid</v>
      </c>
      <c r="O2693" s="7">
        <f t="shared" si="5"/>
        <v>1</v>
      </c>
      <c r="P2693" s="8" t="str">
        <f t="shared" si="6"/>
        <v>No</v>
      </c>
    </row>
    <row r="2694">
      <c r="A2694" s="4" t="s">
        <v>16</v>
      </c>
      <c r="B2694" s="4" t="s">
        <v>7508</v>
      </c>
      <c r="C2694" s="5">
        <v>44644.0</v>
      </c>
      <c r="D2694" s="10">
        <v>44644.0</v>
      </c>
      <c r="E2694" s="4" t="s">
        <v>7509</v>
      </c>
      <c r="F2694" s="4" t="s">
        <v>7510</v>
      </c>
      <c r="G2694" s="6" t="str">
        <f>IFERROR(__xludf.DUMMYFUNCTION("REGEXREPLACE(LOWER(F2694),""[^a-z\s]"","""")"),"all of my normal vendors were out of my babys food but i was able to order via petflow and it arrived within  days thank you")</f>
        <v>all of my normal vendors were out of my babys food but i was able to order via petflow and it arrived within  days thank you</v>
      </c>
      <c r="H2694" s="4" t="str">
        <f t="shared" si="1"/>
        <v>all of my normal vendors were out of my babys food but i was able order via petflow it arrived within days thank you</v>
      </c>
      <c r="I2694" s="6">
        <f t="shared" si="2"/>
        <v>24</v>
      </c>
      <c r="J2694" s="6">
        <f>IFERROR(__xludf.DUMMYFUNCTION("IF(H2694="""","""",
SUM(
ARRAYFORMULA(
IF(
REGEXMATCH(
"" ""&amp;H2694&amp;"" "",
"" ""&amp;Sentiment_Words!A$2:A3730&amp;"" ""
),
1,
0
)
)
)
)"),1.0)</f>
        <v>1</v>
      </c>
      <c r="K2694" s="4">
        <f>IFERROR(__xludf.DUMMYFUNCTION("IF(H2694="""","""",
SUM(
ARRAYFORMULA(
IF(
REGEXMATCH(
"" ""&amp;H2694&amp;"" "",
"" ""&amp;Sentiment_Words!B$2:B3730&amp;"" ""
),
1,
0
)
)
)
)"),0.0)</f>
        <v>0</v>
      </c>
      <c r="L2694" s="7" t="str">
        <f t="shared" si="3"/>
        <v>Other</v>
      </c>
      <c r="M2694" s="7" t="str">
        <f t="shared" si="4"/>
        <v>Positive</v>
      </c>
      <c r="N2694" s="7" t="str">
        <f>IFERROR(__xludf.DUMMYFUNCTION("LOWER(
TRIM(
REGEXREPLACE(B2694,""[^a-zA-Z\s]"","""")
)
)
"),"heather spruill")</f>
        <v>heather spruill</v>
      </c>
      <c r="O2694" s="7">
        <f t="shared" si="5"/>
        <v>1</v>
      </c>
      <c r="P2694" s="8" t="str">
        <f t="shared" si="6"/>
        <v>No</v>
      </c>
    </row>
    <row r="2695">
      <c r="A2695" s="4" t="s">
        <v>16</v>
      </c>
      <c r="B2695" s="4" t="s">
        <v>7511</v>
      </c>
      <c r="C2695" s="5">
        <v>44644.0</v>
      </c>
      <c r="D2695" s="10">
        <v>44644.0</v>
      </c>
      <c r="E2695" s="4" t="s">
        <v>7512</v>
      </c>
      <c r="F2695" s="4" t="s">
        <v>7513</v>
      </c>
      <c r="G2695" s="6" t="str">
        <f>IFERROR(__xludf.DUMMYFUNCTION("REGEXREPLACE(LOWER(F2695),""[^a-z\s]"","""")"),"i am very happy to have found petflow i run a neonatal kitten rescue and it is vital i am able to find the same productsfood i use on a daily basis not being able to find and purchase certain foods is critical for some kittens i only leave one star off be"&amp;"cause of the amount of time it takes to shipreceive my order")</f>
        <v>i am very happy to have found petflow i run a neonatal kitten rescue and it is vital i am able to find the same productsfood i use on a daily basis not being able to find and purchase certain foods is critical for some kittens i only leave one star off because of the amount of time it takes to shipreceive my order</v>
      </c>
      <c r="H2695" s="4" t="str">
        <f t="shared" si="1"/>
        <v>i am very happy have found petflow i run a neonatal kitten rescue it vital i am able find same productsfood i use on a daily basis not being able find purchase certain foods critical some kittens i only leave one star off because of amount of time it takes shipreceive my order</v>
      </c>
      <c r="I2695" s="6">
        <f t="shared" si="2"/>
        <v>53</v>
      </c>
      <c r="J2695" s="6">
        <f>IFERROR(__xludf.DUMMYFUNCTION("IF(H2695="""","""",
SUM(
ARRAYFORMULA(
IF(
REGEXMATCH(
"" ""&amp;H2695&amp;"" "",
"" ""&amp;Sentiment_Words!A$2:A3730&amp;"" ""
),
1,
0
)
)
)
)"),3.0)</f>
        <v>3</v>
      </c>
      <c r="K2695" s="4">
        <f>IFERROR(__xludf.DUMMYFUNCTION("IF(H2695="""","""",
SUM(
ARRAYFORMULA(
IF(
REGEXMATCH(
"" ""&amp;H2695&amp;"" "",
"" ""&amp;Sentiment_Words!B$2:B3730&amp;"" ""
),
1,
0
)
)
)
)"),0.0)</f>
        <v>0</v>
      </c>
      <c r="L2695" s="7" t="str">
        <f t="shared" si="3"/>
        <v>Other</v>
      </c>
      <c r="M2695" s="7" t="str">
        <f t="shared" si="4"/>
        <v>Positive</v>
      </c>
      <c r="N2695" s="7" t="str">
        <f>IFERROR(__xludf.DUMMYFUNCTION("LOWER(
TRIM(
REGEXREPLACE(B2695,""[^a-zA-Z\s]"","""")
)
)
"),"tamara eisele")</f>
        <v>tamara eisele</v>
      </c>
      <c r="O2695" s="7">
        <f t="shared" si="5"/>
        <v>1</v>
      </c>
      <c r="P2695" s="8" t="str">
        <f t="shared" si="6"/>
        <v>No</v>
      </c>
    </row>
    <row r="2696">
      <c r="A2696" s="4" t="s">
        <v>16</v>
      </c>
      <c r="B2696" s="4" t="s">
        <v>7514</v>
      </c>
      <c r="C2696" s="5">
        <v>44644.0</v>
      </c>
      <c r="D2696" s="10">
        <v>44644.0</v>
      </c>
      <c r="E2696" s="4" t="s">
        <v>7515</v>
      </c>
      <c r="F2696" s="4" t="s">
        <v>7516</v>
      </c>
      <c r="G2696" s="6" t="str">
        <f>IFERROR(__xludf.DUMMYFUNCTION("REGEXREPLACE(LOWER(F2696),""[^a-z\s]"","""")"),"petflow was the only location i could find the prescription food i needed for my cat everybody else was out of stock it took  business days to get the vet approval and to receive the order longer than other vendors but at least they had what i needed over"&amp;"all pleased with this purchase")</f>
        <v>petflow was the only location i could find the prescription food i needed for my cat everybody else was out of stock it took  business days to get the vet approval and to receive the order longer than other vendors but at least they had what i needed overall pleased with this purchase</v>
      </c>
      <c r="H2696" s="4" t="str">
        <f t="shared" si="1"/>
        <v>petflow was only location i could find prescription food i needed my cat everybody else was out of stock it took business days get vet approval receive order longer than other vendors but at least they had what i needed overall pleased with this purchase</v>
      </c>
      <c r="I2696" s="6">
        <f t="shared" si="2"/>
        <v>45</v>
      </c>
      <c r="J2696" s="6">
        <f>IFERROR(__xludf.DUMMYFUNCTION("IF(H2696="""","""",
SUM(
ARRAYFORMULA(
IF(
REGEXMATCH(
"" ""&amp;H2696&amp;"" "",
"" ""&amp;Sentiment_Words!A$2:A3730&amp;"" ""
),
1,
0
)
)
)
)"),0.0)</f>
        <v>0</v>
      </c>
      <c r="K2696" s="4">
        <f>IFERROR(__xludf.DUMMYFUNCTION("IF(H2696="""","""",
SUM(
ARRAYFORMULA(
IF(
REGEXMATCH(
"" ""&amp;H2696&amp;"" "",
"" ""&amp;Sentiment_Words!B$2:B3730&amp;"" ""
),
1,
0
)
)
)
)"),1.0)</f>
        <v>1</v>
      </c>
      <c r="L2696" s="7" t="str">
        <f t="shared" si="3"/>
        <v>Availability</v>
      </c>
      <c r="M2696" s="7" t="str">
        <f t="shared" si="4"/>
        <v>Negative</v>
      </c>
      <c r="N2696" s="7" t="str">
        <f>IFERROR(__xludf.DUMMYFUNCTION("LOWER(
TRIM(
REGEXREPLACE(B2696,""[^a-zA-Z\s]"","""")
)
)
"),"edgar mckenney")</f>
        <v>edgar mckenney</v>
      </c>
      <c r="O2696" s="7">
        <f t="shared" si="5"/>
        <v>1</v>
      </c>
      <c r="P2696" s="8" t="str">
        <f t="shared" si="6"/>
        <v>No</v>
      </c>
    </row>
    <row r="2697">
      <c r="A2697" s="4" t="s">
        <v>16</v>
      </c>
      <c r="B2697" s="4" t="s">
        <v>7517</v>
      </c>
      <c r="C2697" s="5">
        <v>44643.0</v>
      </c>
      <c r="D2697" s="10">
        <v>44644.0</v>
      </c>
      <c r="E2697" s="4" t="s">
        <v>7518</v>
      </c>
      <c r="F2697" s="4" t="s">
        <v>7519</v>
      </c>
      <c r="G2697" s="6" t="str">
        <f>IFERROR(__xludf.DUMMYFUNCTION("REGEXREPLACE(LOWER(F2697),""[^a-z\s]"","""")"),"after i gave my credit card info and counted on receiving the shipment i was then told later on that it was out of stock")</f>
        <v>after i gave my credit card info and counted on receiving the shipment i was then told later on that it was out of stock</v>
      </c>
      <c r="H2697" s="4" t="str">
        <f t="shared" si="1"/>
        <v>after i gave my credit card info counted on receiving shipment i was then told later on that it was out of stock</v>
      </c>
      <c r="I2697" s="6">
        <f t="shared" si="2"/>
        <v>23</v>
      </c>
      <c r="J2697" s="6">
        <f>IFERROR(__xludf.DUMMYFUNCTION("IF(H2697="""","""",
SUM(
ARRAYFORMULA(
IF(
REGEXMATCH(
"" ""&amp;H2697&amp;"" "",
"" ""&amp;Sentiment_Words!A$2:A3730&amp;"" ""
),
1,
0
)
)
)
)"),0.0)</f>
        <v>0</v>
      </c>
      <c r="K2697" s="4">
        <f>IFERROR(__xludf.DUMMYFUNCTION("IF(H2697="""","""",
SUM(
ARRAYFORMULA(
IF(
REGEXMATCH(
"" ""&amp;H2697&amp;"" "",
"" ""&amp;Sentiment_Words!B$2:B3730&amp;"" ""
),
1,
0
)
)
)
)"),1.0)</f>
        <v>1</v>
      </c>
      <c r="L2697" s="7" t="str">
        <f t="shared" si="3"/>
        <v>Fulfillment &amp; Shipping</v>
      </c>
      <c r="M2697" s="7" t="str">
        <f t="shared" si="4"/>
        <v>Negative</v>
      </c>
      <c r="N2697" s="7" t="str">
        <f>IFERROR(__xludf.DUMMYFUNCTION("LOWER(
TRIM(
REGEXREPLACE(B2697,""[^a-zA-Z\s]"","""")
)
)
"),"janet resseguiesahl")</f>
        <v>janet resseguiesahl</v>
      </c>
      <c r="O2697" s="7">
        <f t="shared" si="5"/>
        <v>1</v>
      </c>
      <c r="P2697" s="8" t="str">
        <f t="shared" si="6"/>
        <v>No</v>
      </c>
    </row>
    <row r="2698">
      <c r="A2698" s="4" t="s">
        <v>16</v>
      </c>
      <c r="B2698" s="4" t="s">
        <v>7520</v>
      </c>
      <c r="C2698" s="5">
        <v>44643.0</v>
      </c>
      <c r="D2698" s="10">
        <v>44643.0</v>
      </c>
      <c r="E2698" s="4" t="s">
        <v>7521</v>
      </c>
      <c r="F2698" s="4" t="s">
        <v>7522</v>
      </c>
      <c r="G2698" s="6" t="str">
        <f>IFERROR(__xludf.DUMMYFUNCTION("REGEXREPLACE(LOWER(F2698),""[^a-z\s]"","""")"),"the order process was great as wellas the returns my dog food that i ordered came in a package all tore up delivery by fedex which i have issues with with other shipments from now on i will not be buying anything on line from companys that use fedex")</f>
        <v>the order process was great as wellas the returns my dog food that i ordered came in a package all tore up delivery by fedex which i have issues with with other shipments from now on i will not be buying anything on line from companys that use fedex</v>
      </c>
      <c r="H2698" s="4" t="str">
        <f t="shared" si="1"/>
        <v>order process was great as wellas returns my dog food that i ordered came in a package all tore up delivery by fedex which i have issues with with other shipments from now on i will not be buying anything on line from companys that use fedex</v>
      </c>
      <c r="I2698" s="6">
        <f t="shared" si="2"/>
        <v>47</v>
      </c>
      <c r="J2698" s="6">
        <f>IFERROR(__xludf.DUMMYFUNCTION("IF(H2698="""","""",
SUM(
ARRAYFORMULA(
IF(
REGEXMATCH(
"" ""&amp;H2698&amp;"" "",
"" ""&amp;Sentiment_Words!A$2:A3730&amp;"" ""
),
1,
0
)
)
)
)"),1.0)</f>
        <v>1</v>
      </c>
      <c r="K2698" s="4">
        <f>IFERROR(__xludf.DUMMYFUNCTION("IF(H2698="""","""",
SUM(
ARRAYFORMULA(
IF(
REGEXMATCH(
"" ""&amp;H2698&amp;"" "",
"" ""&amp;Sentiment_Words!B$2:B3730&amp;"" ""
),
1,
0
)
)
)
)"),0.0)</f>
        <v>0</v>
      </c>
      <c r="L2698" s="7" t="str">
        <f t="shared" si="3"/>
        <v>Other</v>
      </c>
      <c r="M2698" s="7" t="str">
        <f t="shared" si="4"/>
        <v>Positive</v>
      </c>
      <c r="N2698" s="7" t="str">
        <f>IFERROR(__xludf.DUMMYFUNCTION("LOWER(
TRIM(
REGEXREPLACE(B2698,""[^a-zA-Z\s]"","""")
)
)
"),"preston adams")</f>
        <v>preston adams</v>
      </c>
      <c r="O2698" s="7">
        <f t="shared" si="5"/>
        <v>1</v>
      </c>
      <c r="P2698" s="8" t="str">
        <f t="shared" si="6"/>
        <v>No</v>
      </c>
    </row>
    <row r="2699">
      <c r="A2699" s="4" t="s">
        <v>16</v>
      </c>
      <c r="B2699" s="4" t="s">
        <v>2144</v>
      </c>
      <c r="C2699" s="5">
        <v>44643.0</v>
      </c>
      <c r="D2699" s="10">
        <v>44643.0</v>
      </c>
      <c r="E2699" s="4" t="s">
        <v>7523</v>
      </c>
      <c r="F2699" s="4" t="s">
        <v>7524</v>
      </c>
      <c r="G2699" s="6" t="str">
        <f>IFERROR(__xludf.DUMMYFUNCTION("REGEXREPLACE(LOWER(F2699),""[^a-z\s]"","""")"),"waited  months for my cats favorite wet canned food to come in finally got a notification that it was in and would be shipped to me i noticed the address was incorrect  old address so i corrected it after another week i got a notification that it would be"&amp;" delivered tomorrow and saw that it was still the incorrect address i called pet flow and was told it would be corrected waited another week only to get another notification that it was still going to the old address i called and was told that this time i"&amp;"t would be taken care of correctly  days later i have still not received my product")</f>
        <v>waited  months for my cats favorite wet canned food to come in finally got a notification that it was in and would be shipped to me i noticed the address was incorrect  old address so i corrected it after another week i got a notification that it would be delivered tomorrow and saw that it was still the incorrect address i called pet flow and was told it would be corrected waited another week only to get another notification that it was still going to the old address i called and was told that this time it would be taken care of correctly  days later i have still not received my product</v>
      </c>
      <c r="H2699" s="4" t="str">
        <f t="shared" si="1"/>
        <v>waited months my cats favorite wet canned food come in finally got a notification that it was in would be shipped me i noticed address was incorrect old address so i corrected it after another week i got a notification that it would be delivered tomorrow saw that it was still incorrect address i called pet flow was told it would be corrected waited another week only get another notification that it was still going old address i called was told that this time it would be taken care of correctly days later i have still not received my product</v>
      </c>
      <c r="I2699" s="6">
        <f t="shared" si="2"/>
        <v>100</v>
      </c>
      <c r="J2699" s="6">
        <f>IFERROR(__xludf.DUMMYFUNCTION("IF(H2699="""","""",
SUM(
ARRAYFORMULA(
IF(
REGEXMATCH(
"" ""&amp;H2699&amp;"" "",
"" ""&amp;Sentiment_Words!A$2:A3730&amp;"" ""
),
1,
0
)
)
)
)"),1.0)</f>
        <v>1</v>
      </c>
      <c r="K2699" s="4">
        <f>IFERROR(__xludf.DUMMYFUNCTION("IF(H2699="""","""",
SUM(
ARRAYFORMULA(
IF(
REGEXMATCH(
"" ""&amp;H2699&amp;"" "",
"" ""&amp;Sentiment_Words!B$2:B3730&amp;"" ""
),
1,
0
)
)
)
)"),1.0)</f>
        <v>1</v>
      </c>
      <c r="L2699" s="7" t="str">
        <f t="shared" si="3"/>
        <v>Fulfillment &amp; Shipping</v>
      </c>
      <c r="M2699" s="7" t="str">
        <f t="shared" si="4"/>
        <v>Neutral</v>
      </c>
      <c r="N2699" s="7" t="str">
        <f>IFERROR(__xludf.DUMMYFUNCTION("LOWER(
TRIM(
REGEXREPLACE(B2699,""[^a-zA-Z\s]"","""")
)
)
"),"terri")</f>
        <v>terri</v>
      </c>
      <c r="O2699" s="7">
        <f t="shared" si="5"/>
        <v>5</v>
      </c>
      <c r="P2699" s="8" t="str">
        <f t="shared" si="6"/>
        <v>Yes</v>
      </c>
    </row>
    <row r="2700">
      <c r="A2700" s="4" t="s">
        <v>16</v>
      </c>
      <c r="B2700" s="4" t="s">
        <v>7525</v>
      </c>
      <c r="C2700" s="5">
        <v>44643.0</v>
      </c>
      <c r="D2700" s="10">
        <v>44643.0</v>
      </c>
      <c r="E2700" s="4" t="s">
        <v>7526</v>
      </c>
      <c r="F2700" s="4" t="s">
        <v>7527</v>
      </c>
      <c r="G2700" s="6" t="str">
        <f>IFERROR(__xludf.DUMMYFUNCTION("REGEXREPLACE(LOWER(F2700),""[^a-z\s]"","""")"),"i just ordered from petflow for the first time and had a great experience the food i needed was in stock and i was able to get a discount as a firsttimer the package arrived promptly i have no complaints")</f>
        <v>i just ordered from petflow for the first time and had a great experience the food i needed was in stock and i was able to get a discount as a firsttimer the package arrived promptly i have no complaints</v>
      </c>
      <c r="H2700" s="4" t="str">
        <f t="shared" si="1"/>
        <v>i just ordered from petflow first time had a great experience food i needed was in stock i was able get a discount as a firsttimer package arrived promptly i have no complaints</v>
      </c>
      <c r="I2700" s="6">
        <f t="shared" si="2"/>
        <v>33</v>
      </c>
      <c r="J2700" s="6">
        <f>IFERROR(__xludf.DUMMYFUNCTION("IF(H2700="""","""",
SUM(
ARRAYFORMULA(
IF(
REGEXMATCH(
"" ""&amp;H2700&amp;"" "",
"" ""&amp;Sentiment_Words!A$2:A3730&amp;"" ""
),
1,
0
)
)
)
)"),2.0)</f>
        <v>2</v>
      </c>
      <c r="K2700" s="4">
        <f>IFERROR(__xludf.DUMMYFUNCTION("IF(H2700="""","""",
SUM(
ARRAYFORMULA(
IF(
REGEXMATCH(
"" ""&amp;H2700&amp;"" "",
"" ""&amp;Sentiment_Words!B$2:B3730&amp;"" ""
),
1,
0
)
)
)
)"),0.0)</f>
        <v>0</v>
      </c>
      <c r="L2700" s="7" t="str">
        <f t="shared" si="3"/>
        <v>Other</v>
      </c>
      <c r="M2700" s="7" t="str">
        <f t="shared" si="4"/>
        <v>Positive</v>
      </c>
      <c r="N2700" s="7" t="str">
        <f>IFERROR(__xludf.DUMMYFUNCTION("LOWER(
TRIM(
REGEXREPLACE(B2700,""[^a-zA-Z\s]"","""")
)
)
"),"margret c")</f>
        <v>margret c</v>
      </c>
      <c r="O2700" s="7">
        <f t="shared" si="5"/>
        <v>1</v>
      </c>
      <c r="P2700" s="8" t="str">
        <f t="shared" si="6"/>
        <v>No</v>
      </c>
    </row>
    <row r="2701">
      <c r="A2701" s="4" t="s">
        <v>16</v>
      </c>
      <c r="B2701" s="4" t="s">
        <v>7528</v>
      </c>
      <c r="C2701" s="5">
        <v>44643.0</v>
      </c>
      <c r="D2701" s="10">
        <v>44643.0</v>
      </c>
      <c r="E2701" s="4" t="s">
        <v>7529</v>
      </c>
      <c r="F2701" s="4" t="s">
        <v>7530</v>
      </c>
      <c r="G2701" s="6" t="str">
        <f>IFERROR(__xludf.DUMMYFUNCTION("REGEXREPLACE(LOWER(F2701),""[^a-z\s]"","""")"),"good selection prices and delivery")</f>
        <v>good selection prices and delivery</v>
      </c>
      <c r="H2701" s="4" t="str">
        <f t="shared" si="1"/>
        <v>good selection prices delivery</v>
      </c>
      <c r="I2701" s="6">
        <f t="shared" si="2"/>
        <v>4</v>
      </c>
      <c r="J2701" s="6">
        <f>IFERROR(__xludf.DUMMYFUNCTION("IF(H2701="""","""",
SUM(
ARRAYFORMULA(
IF(
REGEXMATCH(
"" ""&amp;H2701&amp;"" "",
"" ""&amp;Sentiment_Words!A$2:A3730&amp;"" ""
),
1,
0
)
)
)
)"),1.0)</f>
        <v>1</v>
      </c>
      <c r="K2701" s="4">
        <f>IFERROR(__xludf.DUMMYFUNCTION("IF(H2701="""","""",
SUM(
ARRAYFORMULA(
IF(
REGEXMATCH(
"" ""&amp;H2701&amp;"" "",
"" ""&amp;Sentiment_Words!B$2:B3730&amp;"" ""
),
1,
0
)
)
)
)"),0.0)</f>
        <v>0</v>
      </c>
      <c r="L2701" s="7" t="str">
        <f t="shared" si="3"/>
        <v>Other</v>
      </c>
      <c r="M2701" s="7" t="str">
        <f t="shared" si="4"/>
        <v>Positive</v>
      </c>
      <c r="N2701" s="7" t="str">
        <f>IFERROR(__xludf.DUMMYFUNCTION("LOWER(
TRIM(
REGEXREPLACE(B2701,""[^a-zA-Z\s]"","""")
)
)
"),"ed cilumbrello")</f>
        <v>ed cilumbrello</v>
      </c>
      <c r="O2701" s="7">
        <f t="shared" si="5"/>
        <v>1</v>
      </c>
      <c r="P2701" s="8" t="str">
        <f t="shared" si="6"/>
        <v>No</v>
      </c>
    </row>
    <row r="2702">
      <c r="A2702" s="4" t="s">
        <v>16</v>
      </c>
      <c r="B2702" s="4" t="s">
        <v>7531</v>
      </c>
      <c r="C2702" s="5">
        <v>44643.0</v>
      </c>
      <c r="D2702" s="10">
        <v>44643.0</v>
      </c>
      <c r="E2702" s="4" t="s">
        <v>7532</v>
      </c>
      <c r="F2702" s="4" t="s">
        <v>7533</v>
      </c>
      <c r="G2702" s="6" t="str">
        <f>IFERROR(__xludf.DUMMYFUNCTION("REGEXREPLACE(LOWER(F2702),""[^a-z\s]"","""")"),"love love petflow they had my cats food in stock when no another vendors have it and shipping is fast thanks again petflow for keeping my cat happy")</f>
        <v>love love petflow they had my cats food in stock when no another vendors have it and shipping is fast thanks again petflow for keeping my cat happy</v>
      </c>
      <c r="H2702" s="4" t="str">
        <f t="shared" si="1"/>
        <v>love love petflow they had my cats food in stock when no another vendors have it shipping fast thanks again petflow keeping my cat happy</v>
      </c>
      <c r="I2702" s="6">
        <f t="shared" si="2"/>
        <v>25</v>
      </c>
      <c r="J2702" s="6">
        <f>IFERROR(__xludf.DUMMYFUNCTION("IF(H2702="""","""",
SUM(
ARRAYFORMULA(
IF(
REGEXMATCH(
"" ""&amp;H2702&amp;"" "",
"" ""&amp;Sentiment_Words!A$2:A3730&amp;"" ""
),
1,
0
)
)
)
)"),3.0)</f>
        <v>3</v>
      </c>
      <c r="K2702" s="4">
        <f>IFERROR(__xludf.DUMMYFUNCTION("IF(H2702="""","""",
SUM(
ARRAYFORMULA(
IF(
REGEXMATCH(
"" ""&amp;H2702&amp;"" "",
"" ""&amp;Sentiment_Words!B$2:B3730&amp;"" ""
),
1,
0
)
)
)
)"),0.0)</f>
        <v>0</v>
      </c>
      <c r="L2702" s="7" t="str">
        <f t="shared" si="3"/>
        <v>Other</v>
      </c>
      <c r="M2702" s="7" t="str">
        <f t="shared" si="4"/>
        <v>Positive</v>
      </c>
      <c r="N2702" s="7" t="str">
        <f>IFERROR(__xludf.DUMMYFUNCTION("LOWER(
TRIM(
REGEXREPLACE(B2702,""[^a-zA-Z\s]"","""")
)
)
"),"wendy b")</f>
        <v>wendy b</v>
      </c>
      <c r="O2702" s="7">
        <f t="shared" si="5"/>
        <v>1</v>
      </c>
      <c r="P2702" s="8" t="str">
        <f t="shared" si="6"/>
        <v>No</v>
      </c>
    </row>
    <row r="2703">
      <c r="A2703" s="4" t="s">
        <v>16</v>
      </c>
      <c r="B2703" s="4" t="s">
        <v>7534</v>
      </c>
      <c r="C2703" s="5">
        <v>44643.0</v>
      </c>
      <c r="D2703" s="10">
        <v>44643.0</v>
      </c>
      <c r="E2703" s="4" t="s">
        <v>7535</v>
      </c>
      <c r="F2703" s="4" t="s">
        <v>7536</v>
      </c>
      <c r="G2703" s="6" t="str">
        <f>IFERROR(__xludf.DUMMYFUNCTION("REGEXREPLACE(LOWER(F2703),""[^a-z\s]"","""")"),"i was grateful to find petflow because they were the only company online or in store that had stock of my furboys prescription food as a pet parent i was panicking they handled contacting our vet for the prescription  had the food to us within a week than"&amp;"k you petflow")</f>
        <v>i was grateful to find petflow because they were the only company online or in store that had stock of my furboys prescription food as a pet parent i was panicking they handled contacting our vet for the prescription  had the food to us within a week thank you petflow</v>
      </c>
      <c r="H2703" s="4" t="str">
        <f t="shared" si="1"/>
        <v>i was grateful find petflow because they were only company online or in store that had stock of my furboys prescription food as a pet parent i was panicking they handled contacting our vet prescription had food us within a week thank you petflow</v>
      </c>
      <c r="I2703" s="6">
        <f t="shared" si="2"/>
        <v>44</v>
      </c>
      <c r="J2703" s="6">
        <f>IFERROR(__xludf.DUMMYFUNCTION("IF(H2703="""","""",
SUM(
ARRAYFORMULA(
IF(
REGEXMATCH(
"" ""&amp;H2703&amp;"" "",
"" ""&amp;Sentiment_Words!A$2:A3730&amp;"" ""
),
1,
0
)
)
)
)"),0.0)</f>
        <v>0</v>
      </c>
      <c r="K2703" s="4">
        <f>IFERROR(__xludf.DUMMYFUNCTION("IF(H2703="""","""",
SUM(
ARRAYFORMULA(
IF(
REGEXMATCH(
"" ""&amp;H2703&amp;"" "",
"" ""&amp;Sentiment_Words!B$2:B3730&amp;"" ""
),
1,
0
)
)
)
)"),0.0)</f>
        <v>0</v>
      </c>
      <c r="L2703" s="7" t="str">
        <f t="shared" si="3"/>
        <v>Service Recovery</v>
      </c>
      <c r="M2703" s="7" t="str">
        <f t="shared" si="4"/>
        <v>Neutral</v>
      </c>
      <c r="N2703" s="7" t="str">
        <f>IFERROR(__xludf.DUMMYFUNCTION("LOWER(
TRIM(
REGEXREPLACE(B2703,""[^a-zA-Z\s]"","""")
)
)
"),"sheila sherok dandurandwilliams")</f>
        <v>sheila sherok dandurandwilliams</v>
      </c>
      <c r="O2703" s="7">
        <f t="shared" si="5"/>
        <v>1</v>
      </c>
      <c r="P2703" s="8" t="str">
        <f t="shared" si="6"/>
        <v>No</v>
      </c>
    </row>
    <row r="2704">
      <c r="A2704" s="4" t="s">
        <v>16</v>
      </c>
      <c r="B2704" s="4" t="s">
        <v>7537</v>
      </c>
      <c r="C2704" s="5">
        <v>44643.0</v>
      </c>
      <c r="D2704" s="10">
        <v>44643.0</v>
      </c>
      <c r="E2704" s="4" t="s">
        <v>7538</v>
      </c>
      <c r="F2704" s="4" t="s">
        <v>7539</v>
      </c>
      <c r="G2704" s="6" t="str">
        <f>IFERROR(__xludf.DUMMYFUNCTION("REGEXREPLACE(LOWER(F2704),""[^a-z\s]"","""")"),"well considering i only got part of my order and nobody knew where the rest of it went and they had to reissue it as well as it being prescription food and first time ordering with company id say it didnt go well")</f>
        <v>well considering i only got part of my order and nobody knew where the rest of it went and they had to reissue it as well as it being prescription food and first time ordering with company id say it didnt go well</v>
      </c>
      <c r="H2704" s="4" t="str">
        <f t="shared" si="1"/>
        <v>well considering i only got part of my order nobody knew where rest of it went they had reissue it as well as it being prescription food first time ordering with company id say it didnt go well</v>
      </c>
      <c r="I2704" s="6">
        <f t="shared" si="2"/>
        <v>38</v>
      </c>
      <c r="J2704" s="6">
        <f>IFERROR(__xludf.DUMMYFUNCTION("IF(H2704="""","""",
SUM(
ARRAYFORMULA(
IF(
REGEXMATCH(
"" ""&amp;H2704&amp;"" "",
"" ""&amp;Sentiment_Words!A$2:A3730&amp;"" ""
),
1,
0
)
)
)
)"),0.0)</f>
        <v>0</v>
      </c>
      <c r="K2704" s="4">
        <f>IFERROR(__xludf.DUMMYFUNCTION("IF(H2704="""","""",
SUM(
ARRAYFORMULA(
IF(
REGEXMATCH(
"" ""&amp;H2704&amp;"" "",
"" ""&amp;Sentiment_Words!B$2:B3730&amp;"" ""
),
1,
0
)
)
)
)"),0.0)</f>
        <v>0</v>
      </c>
      <c r="L2704" s="7" t="str">
        <f t="shared" si="3"/>
        <v>Other</v>
      </c>
      <c r="M2704" s="7" t="str">
        <f t="shared" si="4"/>
        <v>Neutral</v>
      </c>
      <c r="N2704" s="7" t="str">
        <f>IFERROR(__xludf.DUMMYFUNCTION("LOWER(
TRIM(
REGEXREPLACE(B2704,""[^a-zA-Z\s]"","""")
)
)
"),"cassidy")</f>
        <v>cassidy</v>
      </c>
      <c r="O2704" s="7">
        <f t="shared" si="5"/>
        <v>1</v>
      </c>
      <c r="P2704" s="8" t="str">
        <f t="shared" si="6"/>
        <v>No</v>
      </c>
    </row>
    <row r="2705">
      <c r="A2705" s="4" t="s">
        <v>16</v>
      </c>
      <c r="B2705" s="4" t="s">
        <v>7540</v>
      </c>
      <c r="C2705" s="5">
        <v>44643.0</v>
      </c>
      <c r="D2705" s="10">
        <v>44643.0</v>
      </c>
      <c r="E2705" s="4" t="s">
        <v>7541</v>
      </c>
      <c r="F2705" s="4" t="s">
        <v>7542</v>
      </c>
      <c r="G2705" s="6" t="str">
        <f>IFERROR(__xludf.DUMMYFUNCTION("REGEXREPLACE(LOWER(F2705),""[^a-z\s]"","""")"),"had competitive prices with other online retailers customer service prompt and pleasant when i called with a question fast shipping all as expected had products when other online retailers were out of stock")</f>
        <v>had competitive prices with other online retailers customer service prompt and pleasant when i called with a question fast shipping all as expected had products when other online retailers were out of stock</v>
      </c>
      <c r="H2705" s="4" t="str">
        <f t="shared" si="1"/>
        <v>had competitive prices with other online retailers customer service prompt pleasant when i called with a question fast shipping all as expected had products when other online retailers were out of stock</v>
      </c>
      <c r="I2705" s="6">
        <f t="shared" si="2"/>
        <v>32</v>
      </c>
      <c r="J2705" s="6">
        <f>IFERROR(__xludf.DUMMYFUNCTION("IF(H2705="""","""",
SUM(
ARRAYFORMULA(
IF(
REGEXMATCH(
"" ""&amp;H2705&amp;"" "",
"" ""&amp;Sentiment_Words!A$2:A3730&amp;"" ""
),
1,
0
)
)
)
)"),2.0)</f>
        <v>2</v>
      </c>
      <c r="K2705" s="4">
        <f>IFERROR(__xludf.DUMMYFUNCTION("IF(H2705="""","""",
SUM(
ARRAYFORMULA(
IF(
REGEXMATCH(
"" ""&amp;H2705&amp;"" "",
"" ""&amp;Sentiment_Words!B$2:B3730&amp;"" ""
),
1,
0
)
)
)
)"),2.0)</f>
        <v>2</v>
      </c>
      <c r="L2705" s="7" t="str">
        <f t="shared" si="3"/>
        <v>Customer Support</v>
      </c>
      <c r="M2705" s="7" t="str">
        <f t="shared" si="4"/>
        <v>Neutral</v>
      </c>
      <c r="N2705" s="7" t="str">
        <f>IFERROR(__xludf.DUMMYFUNCTION("LOWER(
TRIM(
REGEXREPLACE(B2705,""[^a-zA-Z\s]"","""")
)
)
"),"dolores lewiswellman")</f>
        <v>dolores lewiswellman</v>
      </c>
      <c r="O2705" s="7">
        <f t="shared" si="5"/>
        <v>1</v>
      </c>
      <c r="P2705" s="8" t="str">
        <f t="shared" si="6"/>
        <v>No</v>
      </c>
    </row>
    <row r="2706">
      <c r="A2706" s="4" t="s">
        <v>16</v>
      </c>
      <c r="B2706" s="4" t="s">
        <v>7543</v>
      </c>
      <c r="C2706" s="5">
        <v>44642.0</v>
      </c>
      <c r="D2706" s="10">
        <v>44642.0</v>
      </c>
      <c r="E2706" s="4" t="s">
        <v>7544</v>
      </c>
      <c r="F2706" s="4" t="s">
        <v>7545</v>
      </c>
      <c r="G2706" s="6" t="str">
        <f>IFERROR(__xludf.DUMMYFUNCTION("REGEXREPLACE(LOWER(F2706),""[^a-z\s]"","""")"),"easy orderinglove getting the discount  really helps in this day and time please continue offering more higher discounts and customers will choose you every time shipping was quick great packaging thanks")</f>
        <v>easy orderinglove getting the discount  really helps in this day and time please continue offering more higher discounts and customers will choose you every time shipping was quick great packaging thanks</v>
      </c>
      <c r="H2706" s="4" t="str">
        <f t="shared" si="1"/>
        <v>easy orderinglove getting discount really helps in this day time please continue offering more higher discounts customers will choose you every time shipping was quick great packaging thanks</v>
      </c>
      <c r="I2706" s="6">
        <f t="shared" si="2"/>
        <v>28</v>
      </c>
      <c r="J2706" s="6">
        <f>IFERROR(__xludf.DUMMYFUNCTION("IF(H2706="""","""",
SUM(
ARRAYFORMULA(
IF(
REGEXMATCH(
"" ""&amp;H2706&amp;"" "",
"" ""&amp;Sentiment_Words!A$2:A3730&amp;"" ""
),
1,
0
)
)
)
)"),2.0)</f>
        <v>2</v>
      </c>
      <c r="K2706" s="4">
        <f>IFERROR(__xludf.DUMMYFUNCTION("IF(H2706="""","""",
SUM(
ARRAYFORMULA(
IF(
REGEXMATCH(
"" ""&amp;H2706&amp;"" "",
"" ""&amp;Sentiment_Words!B$2:B3730&amp;"" ""
),
1,
0
)
)
)
)"),0.0)</f>
        <v>0</v>
      </c>
      <c r="L2706" s="7" t="str">
        <f t="shared" si="3"/>
        <v>Other</v>
      </c>
      <c r="M2706" s="7" t="str">
        <f t="shared" si="4"/>
        <v>Positive</v>
      </c>
      <c r="N2706" s="7" t="str">
        <f>IFERROR(__xludf.DUMMYFUNCTION("LOWER(
TRIM(
REGEXREPLACE(B2706,""[^a-zA-Z\s]"","""")
)
)
"),"baxter")</f>
        <v>baxter</v>
      </c>
      <c r="O2706" s="7">
        <f t="shared" si="5"/>
        <v>1</v>
      </c>
      <c r="P2706" s="8" t="str">
        <f t="shared" si="6"/>
        <v>No</v>
      </c>
    </row>
    <row r="2707">
      <c r="A2707" s="4" t="s">
        <v>16</v>
      </c>
      <c r="B2707" s="4" t="s">
        <v>7546</v>
      </c>
      <c r="C2707" s="5">
        <v>44642.0</v>
      </c>
      <c r="D2707" s="10">
        <v>44642.0</v>
      </c>
      <c r="E2707" s="4" t="s">
        <v>7547</v>
      </c>
      <c r="F2707" s="4" t="s">
        <v>7548</v>
      </c>
      <c r="G2707" s="6" t="str">
        <f>IFERROR(__xludf.DUMMYFUNCTION("REGEXREPLACE(LOWER(F2707),""[^a-z\s]"","""")"),"great prices on fromm dog food fast delivery on a great product")</f>
        <v>great prices on fromm dog food fast delivery on a great product</v>
      </c>
      <c r="H2707" s="4" t="str">
        <f t="shared" si="1"/>
        <v>great prices on fromm dog food fast delivery on a great product</v>
      </c>
      <c r="I2707" s="6">
        <f t="shared" si="2"/>
        <v>12</v>
      </c>
      <c r="J2707" s="6">
        <f>IFERROR(__xludf.DUMMYFUNCTION("IF(H2707="""","""",
SUM(
ARRAYFORMULA(
IF(
REGEXMATCH(
"" ""&amp;H2707&amp;"" "",
"" ""&amp;Sentiment_Words!A$2:A3730&amp;"" ""
),
1,
0
)
)
)
)"),3.0)</f>
        <v>3</v>
      </c>
      <c r="K2707" s="4">
        <f>IFERROR(__xludf.DUMMYFUNCTION("IF(H2707="""","""",
SUM(
ARRAYFORMULA(
IF(
REGEXMATCH(
"" ""&amp;H2707&amp;"" "",
"" ""&amp;Sentiment_Words!B$2:B3730&amp;"" ""
),
1,
0
)
)
)
)"),0.0)</f>
        <v>0</v>
      </c>
      <c r="L2707" s="7" t="str">
        <f t="shared" si="3"/>
        <v>Other</v>
      </c>
      <c r="M2707" s="7" t="str">
        <f t="shared" si="4"/>
        <v>Positive</v>
      </c>
      <c r="N2707" s="7" t="str">
        <f>IFERROR(__xludf.DUMMYFUNCTION("LOWER(
TRIM(
REGEXREPLACE(B2707,""[^a-zA-Z\s]"","""")
)
)
"),"howard warden")</f>
        <v>howard warden</v>
      </c>
      <c r="O2707" s="7">
        <f t="shared" si="5"/>
        <v>1</v>
      </c>
      <c r="P2707" s="8" t="str">
        <f t="shared" si="6"/>
        <v>No</v>
      </c>
    </row>
    <row r="2708">
      <c r="A2708" s="4" t="s">
        <v>16</v>
      </c>
      <c r="B2708" s="4" t="s">
        <v>911</v>
      </c>
      <c r="C2708" s="5">
        <v>44642.0</v>
      </c>
      <c r="D2708" s="10">
        <v>44642.0</v>
      </c>
      <c r="E2708" s="4" t="s">
        <v>7549</v>
      </c>
      <c r="F2708" s="4" t="s">
        <v>7550</v>
      </c>
      <c r="G2708" s="6" t="str">
        <f>IFERROR(__xludf.DUMMYFUNCTION("REGEXREPLACE(LOWER(F2708),""[^a-z\s]"","""")"),"i have shopped petflow for years and have always gotten accurate orders fast shipping and very good pricesespecially with autoship")</f>
        <v>i have shopped petflow for years and have always gotten accurate orders fast shipping and very good pricesespecially with autoship</v>
      </c>
      <c r="H2708" s="4" t="str">
        <f t="shared" si="1"/>
        <v>i have shopped petflow years have always gotten accurate orders fast shipping very good pricesespecially with autoship</v>
      </c>
      <c r="I2708" s="6">
        <f t="shared" si="2"/>
        <v>17</v>
      </c>
      <c r="J2708" s="6">
        <f>IFERROR(__xludf.DUMMYFUNCTION("IF(H2708="""","""",
SUM(
ARRAYFORMULA(
IF(
REGEXMATCH(
"" ""&amp;H2708&amp;"" "",
"" ""&amp;Sentiment_Words!A$2:A3730&amp;"" ""
),
1,
0
)
)
)
)"),2.0)</f>
        <v>2</v>
      </c>
      <c r="K2708" s="4">
        <f>IFERROR(__xludf.DUMMYFUNCTION("IF(H2708="""","""",
SUM(
ARRAYFORMULA(
IF(
REGEXMATCH(
"" ""&amp;H2708&amp;"" "",
"" ""&amp;Sentiment_Words!B$2:B3730&amp;"" ""
),
1,
0
)
)
)
)"),0.0)</f>
        <v>0</v>
      </c>
      <c r="L2708" s="7" t="str">
        <f t="shared" si="3"/>
        <v>Other</v>
      </c>
      <c r="M2708" s="7" t="str">
        <f t="shared" si="4"/>
        <v>Positive</v>
      </c>
      <c r="N2708" s="7" t="str">
        <f>IFERROR(__xludf.DUMMYFUNCTION("LOWER(
TRIM(
REGEXREPLACE(B2708,""[^a-zA-Z\s]"","""")
)
)
"),"donna s")</f>
        <v>donna s</v>
      </c>
      <c r="O2708" s="7">
        <f t="shared" si="5"/>
        <v>2</v>
      </c>
      <c r="P2708" s="8" t="str">
        <f t="shared" si="6"/>
        <v>Yes</v>
      </c>
    </row>
    <row r="2709">
      <c r="A2709" s="4" t="s">
        <v>16</v>
      </c>
      <c r="B2709" s="4" t="s">
        <v>7551</v>
      </c>
      <c r="C2709" s="5">
        <v>44642.0</v>
      </c>
      <c r="D2709" s="10">
        <v>44642.0</v>
      </c>
      <c r="E2709" s="4" t="s">
        <v>7552</v>
      </c>
      <c r="F2709" s="4" t="s">
        <v>7553</v>
      </c>
      <c r="G2709" s="6" t="str">
        <f>IFERROR(__xludf.DUMMYFUNCTION("REGEXREPLACE(LOWER(F2709),""[^a-z\s]"","""")"),"i didnt get the flavor cat food i ordered  its my cats favorite and the reason i ordered from you")</f>
        <v>i didnt get the flavor cat food i ordered  its my cats favorite and the reason i ordered from you</v>
      </c>
      <c r="H2709" s="4" t="str">
        <f t="shared" si="1"/>
        <v>i didnt get flavor cat food i ordered its my cats favorite reason i ordered from you</v>
      </c>
      <c r="I2709" s="6">
        <f t="shared" si="2"/>
        <v>17</v>
      </c>
      <c r="J2709" s="6">
        <f>IFERROR(__xludf.DUMMYFUNCTION("IF(H2709="""","""",
SUM(
ARRAYFORMULA(
IF(
REGEXMATCH(
"" ""&amp;H2709&amp;"" "",
"" ""&amp;Sentiment_Words!A$2:A3730&amp;"" ""
),
1,
0
)
)
)
)"),0.0)</f>
        <v>0</v>
      </c>
      <c r="K2709" s="4">
        <f>IFERROR(__xludf.DUMMYFUNCTION("IF(H2709="""","""",
SUM(
ARRAYFORMULA(
IF(
REGEXMATCH(
"" ""&amp;H2709&amp;"" "",
"" ""&amp;Sentiment_Words!B$2:B3730&amp;"" ""
),
1,
0
)
)
)
)"),0.0)</f>
        <v>0</v>
      </c>
      <c r="L2709" s="7" t="str">
        <f t="shared" si="3"/>
        <v>Other</v>
      </c>
      <c r="M2709" s="7" t="str">
        <f t="shared" si="4"/>
        <v>Neutral</v>
      </c>
      <c r="N2709" s="7" t="str">
        <f>IFERROR(__xludf.DUMMYFUNCTION("LOWER(
TRIM(
REGEXREPLACE(B2709,""[^a-zA-Z\s]"","""")
)
)
"),"saffrons catmom")</f>
        <v>saffrons catmom</v>
      </c>
      <c r="O2709" s="7">
        <f t="shared" si="5"/>
        <v>1</v>
      </c>
      <c r="P2709" s="8" t="str">
        <f t="shared" si="6"/>
        <v>No</v>
      </c>
    </row>
    <row r="2710">
      <c r="A2710" s="4" t="s">
        <v>16</v>
      </c>
      <c r="B2710" s="4" t="s">
        <v>778</v>
      </c>
      <c r="C2710" s="5">
        <v>44642.0</v>
      </c>
      <c r="D2710" s="10">
        <v>44642.0</v>
      </c>
      <c r="E2710" s="4" t="s">
        <v>7554</v>
      </c>
      <c r="F2710" s="4" t="s">
        <v>7555</v>
      </c>
      <c r="G2710" s="6" t="str">
        <f>IFERROR(__xludf.DUMMYFUNCTION("REGEXREPLACE(LOWER(F2710),""[^a-z\s]"","""")"),"i have ordered from them only a couple of times but i received good service and a timely delivery")</f>
        <v>i have ordered from them only a couple of times but i received good service and a timely delivery</v>
      </c>
      <c r="H2710" s="4" t="str">
        <f t="shared" si="1"/>
        <v>i have ordered from them only a couple of times but i received good service a timely delivery</v>
      </c>
      <c r="I2710" s="6">
        <f t="shared" si="2"/>
        <v>18</v>
      </c>
      <c r="J2710" s="6">
        <f>IFERROR(__xludf.DUMMYFUNCTION("IF(H2710="""","""",
SUM(
ARRAYFORMULA(
IF(
REGEXMATCH(
"" ""&amp;H2710&amp;"" "",
"" ""&amp;Sentiment_Words!A$2:A3730&amp;"" ""
),
1,
0
)
)
)
)"),1.0)</f>
        <v>1</v>
      </c>
      <c r="K2710" s="4">
        <f>IFERROR(__xludf.DUMMYFUNCTION("IF(H2710="""","""",
SUM(
ARRAYFORMULA(
IF(
REGEXMATCH(
"" ""&amp;H2710&amp;"" "",
"" ""&amp;Sentiment_Words!B$2:B3730&amp;"" ""
),
1,
0
)
)
)
)"),0.0)</f>
        <v>0</v>
      </c>
      <c r="L2710" s="7" t="str">
        <f t="shared" si="3"/>
        <v>Customer Support</v>
      </c>
      <c r="M2710" s="7" t="str">
        <f t="shared" si="4"/>
        <v>Positive</v>
      </c>
      <c r="N2710" s="7" t="str">
        <f>IFERROR(__xludf.DUMMYFUNCTION("LOWER(
TRIM(
REGEXREPLACE(B2710,""[^a-zA-Z\s]"","""")
)
)
"),"jim")</f>
        <v>jim</v>
      </c>
      <c r="O2710" s="7">
        <f t="shared" si="5"/>
        <v>4</v>
      </c>
      <c r="P2710" s="8" t="str">
        <f t="shared" si="6"/>
        <v>Yes</v>
      </c>
    </row>
    <row r="2711">
      <c r="A2711" s="4" t="s">
        <v>16</v>
      </c>
      <c r="B2711" s="4" t="s">
        <v>7556</v>
      </c>
      <c r="C2711" s="5">
        <v>44642.0</v>
      </c>
      <c r="D2711" s="10">
        <v>44642.0</v>
      </c>
      <c r="E2711" s="4" t="s">
        <v>7557</v>
      </c>
      <c r="F2711" s="4" t="s">
        <v>7558</v>
      </c>
      <c r="G2711" s="6" t="str">
        <f>IFERROR(__xludf.DUMMYFUNCTION("REGEXREPLACE(LOWER(F2711),""[^a-z\s]"","""")"),"great service fast delivery ")</f>
        <v>great service fast delivery </v>
      </c>
      <c r="H2711" s="4" t="str">
        <f t="shared" si="1"/>
        <v>great service fast delivery</v>
      </c>
      <c r="I2711" s="6">
        <f t="shared" si="2"/>
        <v>4</v>
      </c>
      <c r="J2711" s="6">
        <f>IFERROR(__xludf.DUMMYFUNCTION("IF(H2711="""","""",
SUM(
ARRAYFORMULA(
IF(
REGEXMATCH(
"" ""&amp;H2711&amp;"" "",
"" ""&amp;Sentiment_Words!A$2:A3730&amp;"" ""
),
1,
0
)
)
)
)"),3.0)</f>
        <v>3</v>
      </c>
      <c r="K2711" s="4">
        <f>IFERROR(__xludf.DUMMYFUNCTION("IF(H2711="""","""",
SUM(
ARRAYFORMULA(
IF(
REGEXMATCH(
"" ""&amp;H2711&amp;"" "",
"" ""&amp;Sentiment_Words!B$2:B3730&amp;"" ""
),
1,
0
)
)
)
)"),0.0)</f>
        <v>0</v>
      </c>
      <c r="L2711" s="7" t="str">
        <f t="shared" si="3"/>
        <v>Customer Support</v>
      </c>
      <c r="M2711" s="7" t="str">
        <f t="shared" si="4"/>
        <v>Positive</v>
      </c>
      <c r="N2711" s="7" t="str">
        <f>IFERROR(__xludf.DUMMYFUNCTION("LOWER(
TRIM(
REGEXREPLACE(B2711,""[^a-zA-Z\s]"","""")
)
)
"),"lucila cedron")</f>
        <v>lucila cedron</v>
      </c>
      <c r="O2711" s="7">
        <f t="shared" si="5"/>
        <v>1</v>
      </c>
      <c r="P2711" s="8" t="str">
        <f t="shared" si="6"/>
        <v>No</v>
      </c>
    </row>
    <row r="2712">
      <c r="A2712" s="4" t="s">
        <v>16</v>
      </c>
      <c r="B2712" s="4" t="s">
        <v>7559</v>
      </c>
      <c r="C2712" s="5">
        <v>44642.0</v>
      </c>
      <c r="D2712" s="10">
        <v>44642.0</v>
      </c>
      <c r="E2712" s="4" t="s">
        <v>7560</v>
      </c>
      <c r="F2712" s="4" t="s">
        <v>7561</v>
      </c>
      <c r="G2712" s="6" t="str">
        <f>IFERROR(__xludf.DUMMYFUNCTION("REGEXREPLACE(LOWER(F2712),""[^a-z\s]"","""")"),"petflow shipments are always late will not be ordering from petflow anymore")</f>
        <v>petflow shipments are always late will not be ordering from petflow anymore</v>
      </c>
      <c r="H2712" s="4" t="str">
        <f t="shared" si="1"/>
        <v>petflow shipments are always late will not be ordering from petflow anymore</v>
      </c>
      <c r="I2712" s="6">
        <f t="shared" si="2"/>
        <v>12</v>
      </c>
      <c r="J2712" s="6">
        <f>IFERROR(__xludf.DUMMYFUNCTION("IF(H2712="""","""",
SUM(
ARRAYFORMULA(
IF(
REGEXMATCH(
"" ""&amp;H2712&amp;"" "",
"" ""&amp;Sentiment_Words!A$2:A3730&amp;"" ""
),
1,
0
)
)
)
)"),0.0)</f>
        <v>0</v>
      </c>
      <c r="K2712" s="4">
        <f>IFERROR(__xludf.DUMMYFUNCTION("IF(H2712="""","""",
SUM(
ARRAYFORMULA(
IF(
REGEXMATCH(
"" ""&amp;H2712&amp;"" "",
"" ""&amp;Sentiment_Words!B$2:B3730&amp;"" ""
),
1,
0
)
)
)
)"),0.0)</f>
        <v>0</v>
      </c>
      <c r="L2712" s="7" t="str">
        <f t="shared" si="3"/>
        <v>Fulfillment &amp; Shipping</v>
      </c>
      <c r="M2712" s="7" t="str">
        <f t="shared" si="4"/>
        <v>Neutral</v>
      </c>
      <c r="N2712" s="7" t="str">
        <f>IFERROR(__xludf.DUMMYFUNCTION("LOWER(
TRIM(
REGEXREPLACE(B2712,""[^a-zA-Z\s]"","""")
)
)
"),"colleen martin")</f>
        <v>colleen martin</v>
      </c>
      <c r="O2712" s="7">
        <f t="shared" si="5"/>
        <v>1</v>
      </c>
      <c r="P2712" s="8" t="str">
        <f t="shared" si="6"/>
        <v>No</v>
      </c>
    </row>
    <row r="2713">
      <c r="A2713" s="4" t="s">
        <v>16</v>
      </c>
      <c r="B2713" s="4" t="s">
        <v>7562</v>
      </c>
      <c r="C2713" s="5">
        <v>44641.0</v>
      </c>
      <c r="D2713" s="10">
        <v>44642.0</v>
      </c>
      <c r="E2713" s="4" t="s">
        <v>7563</v>
      </c>
      <c r="F2713" s="4" t="s">
        <v>7564</v>
      </c>
      <c r="G2713" s="6" t="str">
        <f>IFERROR(__xludf.DUMMYFUNCTION("REGEXREPLACE(LOWER(F2713),""[^a-z\s]"","""")"),"always helpful customer service ive been with them for more than ten years much easier than schlepping to the store every month to buy their food i have five doggies")</f>
        <v>always helpful customer service ive been with them for more than ten years much easier than schlepping to the store every month to buy their food i have five doggies</v>
      </c>
      <c r="H2713" s="4" t="str">
        <f t="shared" si="1"/>
        <v>always helpful customer service ive been with them more than ten years much easier than schlepping store every month buy their food i have five doggies</v>
      </c>
      <c r="I2713" s="6">
        <f t="shared" si="2"/>
        <v>26</v>
      </c>
      <c r="J2713" s="6">
        <f>IFERROR(__xludf.DUMMYFUNCTION("IF(H2713="""","""",
SUM(
ARRAYFORMULA(
IF(
REGEXMATCH(
"" ""&amp;H2713&amp;"" "",
"" ""&amp;Sentiment_Words!A$2:A3730&amp;"" ""
),
1,
0
)
)
)
)"),1.0)</f>
        <v>1</v>
      </c>
      <c r="K2713" s="4">
        <f>IFERROR(__xludf.DUMMYFUNCTION("IF(H2713="""","""",
SUM(
ARRAYFORMULA(
IF(
REGEXMATCH(
"" ""&amp;H2713&amp;"" "",
"" ""&amp;Sentiment_Words!B$2:B3730&amp;"" ""
),
1,
0
)
)
)
)"),1.0)</f>
        <v>1</v>
      </c>
      <c r="L2713" s="7" t="str">
        <f t="shared" si="3"/>
        <v>Customer Support</v>
      </c>
      <c r="M2713" s="7" t="str">
        <f t="shared" si="4"/>
        <v>Neutral</v>
      </c>
      <c r="N2713" s="7" t="str">
        <f>IFERROR(__xludf.DUMMYFUNCTION("LOWER(
TRIM(
REGEXREPLACE(B2713,""[^a-zA-Z\s]"","""")
)
)
"),"james aden")</f>
        <v>james aden</v>
      </c>
      <c r="O2713" s="7">
        <f t="shared" si="5"/>
        <v>1</v>
      </c>
      <c r="P2713" s="8" t="str">
        <f t="shared" si="6"/>
        <v>No</v>
      </c>
    </row>
    <row r="2714">
      <c r="A2714" s="4" t="s">
        <v>16</v>
      </c>
      <c r="B2714" s="4" t="s">
        <v>7565</v>
      </c>
      <c r="C2714" s="5">
        <v>44641.0</v>
      </c>
      <c r="D2714" s="10">
        <v>44641.0</v>
      </c>
      <c r="E2714" s="4" t="s">
        <v>7566</v>
      </c>
      <c r="F2714" s="4" t="s">
        <v>7567</v>
      </c>
      <c r="G2714" s="6" t="str">
        <f>IFERROR(__xludf.DUMMYFUNCTION("REGEXREPLACE(LOWER(F2714),""[^a-z\s]"","""")"),"price is reasonable slow on shipping and several of the cans were dented and caved in so will check careful for leaks before i feed my dogs")</f>
        <v>price is reasonable slow on shipping and several of the cans were dented and caved in so will check careful for leaks before i feed my dogs</v>
      </c>
      <c r="H2714" s="4" t="str">
        <f t="shared" si="1"/>
        <v>price reasonable slow on shipping several of cans were dented caved in so will check careful leaks before i feed my dogs</v>
      </c>
      <c r="I2714" s="6">
        <f t="shared" si="2"/>
        <v>22</v>
      </c>
      <c r="J2714" s="6">
        <f>IFERROR(__xludf.DUMMYFUNCTION("IF(H2714="""","""",
SUM(
ARRAYFORMULA(
IF(
REGEXMATCH(
"" ""&amp;H2714&amp;"" "",
"" ""&amp;Sentiment_Words!A$2:A3730&amp;"" ""
),
1,
0
)
)
)
)"),0.0)</f>
        <v>0</v>
      </c>
      <c r="K2714" s="4">
        <f>IFERROR(__xludf.DUMMYFUNCTION("IF(H2714="""","""",
SUM(
ARRAYFORMULA(
IF(
REGEXMATCH(
"" ""&amp;H2714&amp;"" "",
"" ""&amp;Sentiment_Words!B$2:B3730&amp;"" ""
),
1,
0
)
)
)
)"),0.0)</f>
        <v>0</v>
      </c>
      <c r="L2714" s="7" t="str">
        <f t="shared" si="3"/>
        <v>Other</v>
      </c>
      <c r="M2714" s="7" t="str">
        <f t="shared" si="4"/>
        <v>Neutral</v>
      </c>
      <c r="N2714" s="7" t="str">
        <f>IFERROR(__xludf.DUMMYFUNCTION("LOWER(
TRIM(
REGEXREPLACE(B2714,""[^a-zA-Z\s]"","""")
)
)
"),"steve k")</f>
        <v>steve k</v>
      </c>
      <c r="O2714" s="7">
        <f t="shared" si="5"/>
        <v>1</v>
      </c>
      <c r="P2714" s="8" t="str">
        <f t="shared" si="6"/>
        <v>No</v>
      </c>
    </row>
    <row r="2715">
      <c r="A2715" s="4" t="s">
        <v>16</v>
      </c>
      <c r="B2715" s="4" t="s">
        <v>7568</v>
      </c>
      <c r="C2715" s="5">
        <v>44641.0</v>
      </c>
      <c r="D2715" s="10">
        <v>44641.0</v>
      </c>
      <c r="E2715" s="4" t="s">
        <v>7569</v>
      </c>
      <c r="F2715" s="4" t="s">
        <v>7570</v>
      </c>
      <c r="G2715" s="6" t="str">
        <f>IFERROR(__xludf.DUMMYFUNCTION("REGEXREPLACE(LOWER(F2715),""[^a-z\s]"","""")"),"i love the service its so quick and every order is always correct")</f>
        <v>i love the service its so quick and every order is always correct</v>
      </c>
      <c r="H2715" s="4" t="str">
        <f t="shared" si="1"/>
        <v>i love service its so quick every order always correct</v>
      </c>
      <c r="I2715" s="6">
        <f t="shared" si="2"/>
        <v>10</v>
      </c>
      <c r="J2715" s="6">
        <f>IFERROR(__xludf.DUMMYFUNCTION("IF(H2715="""","""",
SUM(
ARRAYFORMULA(
IF(
REGEXMATCH(
"" ""&amp;H2715&amp;"" "",
"" ""&amp;Sentiment_Words!A$2:A3730&amp;"" ""
),
1,
0
)
)
)
)"),1.0)</f>
        <v>1</v>
      </c>
      <c r="K2715" s="4">
        <f>IFERROR(__xludf.DUMMYFUNCTION("IF(H2715="""","""",
SUM(
ARRAYFORMULA(
IF(
REGEXMATCH(
"" ""&amp;H2715&amp;"" "",
"" ""&amp;Sentiment_Words!B$2:B3730&amp;"" ""
),
1,
0
)
)
)
)"),0.0)</f>
        <v>0</v>
      </c>
      <c r="L2715" s="7" t="str">
        <f t="shared" si="3"/>
        <v>Customer Support</v>
      </c>
      <c r="M2715" s="7" t="str">
        <f t="shared" si="4"/>
        <v>Positive</v>
      </c>
      <c r="N2715" s="7" t="str">
        <f>IFERROR(__xludf.DUMMYFUNCTION("LOWER(
TRIM(
REGEXREPLACE(B2715,""[^a-zA-Z\s]"","""")
)
)
"),"donna page")</f>
        <v>donna page</v>
      </c>
      <c r="O2715" s="7">
        <f t="shared" si="5"/>
        <v>1</v>
      </c>
      <c r="P2715" s="8" t="str">
        <f t="shared" si="6"/>
        <v>No</v>
      </c>
    </row>
    <row r="2716">
      <c r="A2716" s="4" t="s">
        <v>16</v>
      </c>
      <c r="B2716" s="4" t="s">
        <v>7571</v>
      </c>
      <c r="C2716" s="5">
        <v>44641.0</v>
      </c>
      <c r="D2716" s="10">
        <v>44641.0</v>
      </c>
      <c r="E2716" s="4" t="s">
        <v>7572</v>
      </c>
      <c r="F2716" s="4" t="s">
        <v>7573</v>
      </c>
      <c r="G2716" s="6" t="str">
        <f>IFERROR(__xludf.DUMMYFUNCTION("REGEXREPLACE(LOWER(F2716),""[^a-z\s]"","""")"),"petflow since they came online has been an important part of my supply chain
reliable  good prices  helping animals
thank you")</f>
        <v>petflow since they came online has been an important part of my supply chain
reliable  good prices  helping animals
thank you</v>
      </c>
      <c r="H2716" s="4" t="str">
        <f t="shared" si="1"/>
        <v>petflow since they came online has been an important part of my supply chain
reliable good prices helping animals
thank you</v>
      </c>
      <c r="I2716" s="6">
        <f t="shared" si="2"/>
        <v>19</v>
      </c>
      <c r="J2716" s="6">
        <f>IFERROR(__xludf.DUMMYFUNCTION("IF(H2716="""","""",
SUM(
ARRAYFORMULA(
IF(
REGEXMATCH(
"" ""&amp;H2716&amp;"" "",
"" ""&amp;Sentiment_Words!A$2:A3730&amp;"" ""
),
1,
0
)
)
)
)"),1.0)</f>
        <v>1</v>
      </c>
      <c r="K2716" s="4">
        <f>IFERROR(__xludf.DUMMYFUNCTION("IF(H2716="""","""",
SUM(
ARRAYFORMULA(
IF(
REGEXMATCH(
"" ""&amp;H2716&amp;"" "",
"" ""&amp;Sentiment_Words!B$2:B3730&amp;"" ""
),
1,
0
)
)
)
)"),0.0)</f>
        <v>0</v>
      </c>
      <c r="L2716" s="7" t="str">
        <f t="shared" si="3"/>
        <v>Other</v>
      </c>
      <c r="M2716" s="7" t="str">
        <f t="shared" si="4"/>
        <v>Positive</v>
      </c>
      <c r="N2716" s="7" t="str">
        <f>IFERROR(__xludf.DUMMYFUNCTION("LOWER(
TRIM(
REGEXREPLACE(B2716,""[^a-zA-Z\s]"","""")
)
)
"),"keith")</f>
        <v>keith</v>
      </c>
      <c r="O2716" s="7">
        <f t="shared" si="5"/>
        <v>1</v>
      </c>
      <c r="P2716" s="8" t="str">
        <f t="shared" si="6"/>
        <v>No</v>
      </c>
    </row>
    <row r="2717">
      <c r="A2717" s="4" t="s">
        <v>16</v>
      </c>
      <c r="B2717" s="4" t="s">
        <v>3975</v>
      </c>
      <c r="C2717" s="5">
        <v>44641.0</v>
      </c>
      <c r="D2717" s="10">
        <v>44641.0</v>
      </c>
      <c r="E2717" s="4" t="s">
        <v>1319</v>
      </c>
      <c r="F2717" s="4" t="s">
        <v>7574</v>
      </c>
      <c r="G2717" s="6" t="str">
        <f>IFERROR(__xludf.DUMMYFUNCTION("REGEXREPLACE(LOWER(F2717),""[^a-z\s]"","""")"),"excellent service thank you")</f>
        <v>excellent service thank you</v>
      </c>
      <c r="H2717" s="4" t="str">
        <f t="shared" si="1"/>
        <v>excellent service thank you</v>
      </c>
      <c r="I2717" s="6">
        <f t="shared" si="2"/>
        <v>4</v>
      </c>
      <c r="J2717" s="6">
        <f>IFERROR(__xludf.DUMMYFUNCTION("IF(H2717="""","""",
SUM(
ARRAYFORMULA(
IF(
REGEXMATCH(
"" ""&amp;H2717&amp;"" "",
"" ""&amp;Sentiment_Words!A$2:A3730&amp;"" ""
),
1,
0
)
)
)
)"),0.0)</f>
        <v>0</v>
      </c>
      <c r="K2717" s="4">
        <f>IFERROR(__xludf.DUMMYFUNCTION("IF(H2717="""","""",
SUM(
ARRAYFORMULA(
IF(
REGEXMATCH(
"" ""&amp;H2717&amp;"" "",
"" ""&amp;Sentiment_Words!B$2:B3730&amp;"" ""
),
1,
0
)
)
)
)"),0.0)</f>
        <v>0</v>
      </c>
      <c r="L2717" s="7" t="str">
        <f t="shared" si="3"/>
        <v>Customer Support</v>
      </c>
      <c r="M2717" s="7" t="str">
        <f t="shared" si="4"/>
        <v>Neutral</v>
      </c>
      <c r="N2717" s="7" t="str">
        <f>IFERROR(__xludf.DUMMYFUNCTION("LOWER(
TRIM(
REGEXREPLACE(B2717,""[^a-zA-Z\s]"","""")
)
)
"),"brenda")</f>
        <v>brenda</v>
      </c>
      <c r="O2717" s="7">
        <f t="shared" si="5"/>
        <v>7</v>
      </c>
      <c r="P2717" s="8" t="str">
        <f t="shared" si="6"/>
        <v>Yes</v>
      </c>
    </row>
    <row r="2718">
      <c r="A2718" s="4" t="s">
        <v>16</v>
      </c>
      <c r="B2718" s="4" t="s">
        <v>7575</v>
      </c>
      <c r="C2718" s="5">
        <v>44641.0</v>
      </c>
      <c r="D2718" s="10">
        <v>44641.0</v>
      </c>
      <c r="E2718" s="4" t="s">
        <v>7576</v>
      </c>
      <c r="F2718" s="4" t="s">
        <v>7577</v>
      </c>
      <c r="G2718" s="6" t="str">
        <f>IFERROR(__xludf.DUMMYFUNCTION("REGEXREPLACE(LOWER(F2718),""[^a-z\s]"","""")"),"petflow took care of my request and shipped my order rapidly this was much apppreciated")</f>
        <v>petflow took care of my request and shipped my order rapidly this was much apppreciated</v>
      </c>
      <c r="H2718" s="4" t="str">
        <f t="shared" si="1"/>
        <v>petflow took care of my request shipped my order rapidly this was much apppreciated</v>
      </c>
      <c r="I2718" s="6">
        <f t="shared" si="2"/>
        <v>14</v>
      </c>
      <c r="J2718" s="6">
        <f>IFERROR(__xludf.DUMMYFUNCTION("IF(H2718="""","""",
SUM(
ARRAYFORMULA(
IF(
REGEXMATCH(
"" ""&amp;H2718&amp;"" "",
"" ""&amp;Sentiment_Words!A$2:A3730&amp;"" ""
),
1,
0
)
)
)
)"),0.0)</f>
        <v>0</v>
      </c>
      <c r="K2718" s="4">
        <f>IFERROR(__xludf.DUMMYFUNCTION("IF(H2718="""","""",
SUM(
ARRAYFORMULA(
IF(
REGEXMATCH(
"" ""&amp;H2718&amp;"" "",
"" ""&amp;Sentiment_Words!B$2:B3730&amp;"" ""
),
1,
0
)
)
)
)"),0.0)</f>
        <v>0</v>
      </c>
      <c r="L2718" s="7" t="str">
        <f t="shared" si="3"/>
        <v>Other</v>
      </c>
      <c r="M2718" s="7" t="str">
        <f t="shared" si="4"/>
        <v>Neutral</v>
      </c>
      <c r="N2718" s="7" t="str">
        <f>IFERROR(__xludf.DUMMYFUNCTION("LOWER(
TRIM(
REGEXREPLACE(B2718,""[^a-zA-Z\s]"","""")
)
)
"),"ronald cohen")</f>
        <v>ronald cohen</v>
      </c>
      <c r="O2718" s="7">
        <f t="shared" si="5"/>
        <v>1</v>
      </c>
      <c r="P2718" s="8" t="str">
        <f t="shared" si="6"/>
        <v>No</v>
      </c>
    </row>
    <row r="2719">
      <c r="A2719" s="4" t="s">
        <v>16</v>
      </c>
      <c r="B2719" s="4" t="s">
        <v>7578</v>
      </c>
      <c r="C2719" s="5">
        <v>44641.0</v>
      </c>
      <c r="D2719" s="10">
        <v>44641.0</v>
      </c>
      <c r="E2719" s="4" t="s">
        <v>7579</v>
      </c>
      <c r="F2719" s="4" t="s">
        <v>7580</v>
      </c>
      <c r="G2719" s="6" t="str">
        <f>IFERROR(__xludf.DUMMYFUNCTION("REGEXREPLACE(LOWER(F2719),""[^a-z\s]"","""")"),"great product fail on fedex ground delivery
driver didnt delivery on first attempt drove past my house need to address this")</f>
        <v>great product fail on fedex ground delivery
driver didnt delivery on first attempt drove past my house need to address this</v>
      </c>
      <c r="H2719" s="4" t="str">
        <f t="shared" si="1"/>
        <v>great product fail on fedex ground delivery
driver didnt delivery on first attempt drove past my house need address this</v>
      </c>
      <c r="I2719" s="6">
        <f t="shared" si="2"/>
        <v>19</v>
      </c>
      <c r="J2719" s="6">
        <f>IFERROR(__xludf.DUMMYFUNCTION("IF(H2719="""","""",
SUM(
ARRAYFORMULA(
IF(
REGEXMATCH(
"" ""&amp;H2719&amp;"" "",
"" ""&amp;Sentiment_Words!A$2:A3730&amp;"" ""
),
1,
0
)
)
)
)"),1.0)</f>
        <v>1</v>
      </c>
      <c r="K2719" s="4">
        <f>IFERROR(__xludf.DUMMYFUNCTION("IF(H2719="""","""",
SUM(
ARRAYFORMULA(
IF(
REGEXMATCH(
"" ""&amp;H2719&amp;"" "",
"" ""&amp;Sentiment_Words!B$2:B3730&amp;"" ""
),
1,
0
)
)
)
)"),0.0)</f>
        <v>0</v>
      </c>
      <c r="L2719" s="7" t="str">
        <f t="shared" si="3"/>
        <v>Other</v>
      </c>
      <c r="M2719" s="7" t="str">
        <f t="shared" si="4"/>
        <v>Positive</v>
      </c>
      <c r="N2719" s="7" t="str">
        <f>IFERROR(__xludf.DUMMYFUNCTION("LOWER(
TRIM(
REGEXREPLACE(B2719,""[^a-zA-Z\s]"","""")
)
)
"),"molly gorman")</f>
        <v>molly gorman</v>
      </c>
      <c r="O2719" s="7">
        <f t="shared" si="5"/>
        <v>1</v>
      </c>
      <c r="P2719" s="8" t="str">
        <f t="shared" si="6"/>
        <v>No</v>
      </c>
    </row>
    <row r="2720">
      <c r="A2720" s="4" t="s">
        <v>16</v>
      </c>
      <c r="B2720" s="4" t="s">
        <v>349</v>
      </c>
      <c r="C2720" s="5">
        <v>44641.0</v>
      </c>
      <c r="D2720" s="10">
        <v>44641.0</v>
      </c>
      <c r="E2720" s="4" t="s">
        <v>7581</v>
      </c>
      <c r="F2720" s="4" t="s">
        <v>7582</v>
      </c>
      <c r="G2720" s="6" t="str">
        <f>IFERROR(__xludf.DUMMYFUNCTION("REGEXREPLACE(LOWER(F2720),""[^a-z\s]"","""")"),"i was truly in a bind trying to get prescription cat food fast for my cat with a newly diagnosed urinary tract disease the gentleman i spoke with over the phone was compassionate toward my situation and genuinely helpful in quickly getting my prescription"&amp;" verified by the vet and my order on its way thank you")</f>
        <v>i was truly in a bind trying to get prescription cat food fast for my cat with a newly diagnosed urinary tract disease the gentleman i spoke with over the phone was compassionate toward my situation and genuinely helpful in quickly getting my prescription verified by the vet and my order on its way thank you</v>
      </c>
      <c r="H2720" s="4" t="str">
        <f t="shared" si="1"/>
        <v>i was truly in a bind trying get prescription cat food fast my cat with a newly diagnosed urinary tract disease gentleman i spoke with over phone was compassionate toward my situation genuinely helpful in quickly getting my prescription verified by vet my order on its way thank you</v>
      </c>
      <c r="I2720" s="6">
        <f t="shared" si="2"/>
        <v>49</v>
      </c>
      <c r="J2720" s="6">
        <f>IFERROR(__xludf.DUMMYFUNCTION("IF(H2720="""","""",
SUM(
ARRAYFORMULA(
IF(
REGEXMATCH(
"" ""&amp;H2720&amp;"" "",
"" ""&amp;Sentiment_Words!A$2:A3730&amp;"" ""
),
1,
0
)
)
)
)"),2.0)</f>
        <v>2</v>
      </c>
      <c r="K2720" s="4">
        <f>IFERROR(__xludf.DUMMYFUNCTION("IF(H2720="""","""",
SUM(
ARRAYFORMULA(
IF(
REGEXMATCH(
"" ""&amp;H2720&amp;"" "",
"" ""&amp;Sentiment_Words!B$2:B3730&amp;"" ""
),
1,
0
)
)
)
)"),0.0)</f>
        <v>0</v>
      </c>
      <c r="L2720" s="7" t="str">
        <f t="shared" si="3"/>
        <v>Other</v>
      </c>
      <c r="M2720" s="7" t="str">
        <f t="shared" si="4"/>
        <v>Positive</v>
      </c>
      <c r="N2720" s="7" t="str">
        <f>IFERROR(__xludf.DUMMYFUNCTION("LOWER(
TRIM(
REGEXREPLACE(B2720,""[^a-zA-Z\s]"","""")
)
)
"),"kelly")</f>
        <v>kelly</v>
      </c>
      <c r="O2720" s="7">
        <f t="shared" si="5"/>
        <v>3</v>
      </c>
      <c r="P2720" s="8" t="str">
        <f t="shared" si="6"/>
        <v>Yes</v>
      </c>
    </row>
    <row r="2721">
      <c r="A2721" s="4" t="s">
        <v>16</v>
      </c>
      <c r="B2721" s="4" t="s">
        <v>7583</v>
      </c>
      <c r="C2721" s="5">
        <v>44641.0</v>
      </c>
      <c r="D2721" s="10">
        <v>44641.0</v>
      </c>
      <c r="E2721" s="4" t="s">
        <v>7584</v>
      </c>
      <c r="F2721" s="4" t="s">
        <v>7585</v>
      </c>
      <c r="G2721" s="6" t="str">
        <f>IFERROR(__xludf.DUMMYFUNCTION("REGEXREPLACE(LOWER(F2721),""[^a-z\s]"","""")"),"petflow has been excellent with every order i have placed i will continue to use this company and products")</f>
        <v>petflow has been excellent with every order i have placed i will continue to use this company and products</v>
      </c>
      <c r="H2721" s="4" t="str">
        <f t="shared" si="1"/>
        <v>petflow has been excellent with every order i have placed i will continue use this company products</v>
      </c>
      <c r="I2721" s="6">
        <f t="shared" si="2"/>
        <v>17</v>
      </c>
      <c r="J2721" s="6">
        <f>IFERROR(__xludf.DUMMYFUNCTION("IF(H2721="""","""",
SUM(
ARRAYFORMULA(
IF(
REGEXMATCH(
"" ""&amp;H2721&amp;"" "",
"" ""&amp;Sentiment_Words!A$2:A3730&amp;"" ""
),
1,
0
)
)
)
)"),0.0)</f>
        <v>0</v>
      </c>
      <c r="K2721" s="4">
        <f>IFERROR(__xludf.DUMMYFUNCTION("IF(H2721="""","""",
SUM(
ARRAYFORMULA(
IF(
REGEXMATCH(
"" ""&amp;H2721&amp;"" "",
"" ""&amp;Sentiment_Words!B$2:B3730&amp;"" ""
),
1,
0
)
)
)
)"),0.0)</f>
        <v>0</v>
      </c>
      <c r="L2721" s="7" t="str">
        <f t="shared" si="3"/>
        <v>Other</v>
      </c>
      <c r="M2721" s="7" t="str">
        <f t="shared" si="4"/>
        <v>Neutral</v>
      </c>
      <c r="N2721" s="7" t="str">
        <f>IFERROR(__xludf.DUMMYFUNCTION("LOWER(
TRIM(
REGEXREPLACE(B2721,""[^a-zA-Z\s]"","""")
)
)
"),"jennifer howe")</f>
        <v>jennifer howe</v>
      </c>
      <c r="O2721" s="7">
        <f t="shared" si="5"/>
        <v>1</v>
      </c>
      <c r="P2721" s="8" t="str">
        <f t="shared" si="6"/>
        <v>No</v>
      </c>
    </row>
    <row r="2722">
      <c r="A2722" s="4" t="s">
        <v>16</v>
      </c>
      <c r="B2722" s="4" t="s">
        <v>2834</v>
      </c>
      <c r="C2722" s="5">
        <v>44641.0</v>
      </c>
      <c r="D2722" s="10">
        <v>44641.0</v>
      </c>
      <c r="E2722" s="4" t="s">
        <v>7586</v>
      </c>
      <c r="F2722" s="4" t="s">
        <v>7587</v>
      </c>
      <c r="G2722" s="6" t="str">
        <f>IFERROR(__xludf.DUMMYFUNCTION("REGEXREPLACE(LOWER(F2722),""[^a-z\s]"","""")"),"usually a  this was only a  as one of the cans was dented")</f>
        <v>usually a  this was only a  as one of the cans was dented</v>
      </c>
      <c r="H2722" s="4" t="str">
        <f t="shared" si="1"/>
        <v>usually a this was only a as one of cans was dented</v>
      </c>
      <c r="I2722" s="6">
        <f t="shared" si="2"/>
        <v>12</v>
      </c>
      <c r="J2722" s="6">
        <f>IFERROR(__xludf.DUMMYFUNCTION("IF(H2722="""","""",
SUM(
ARRAYFORMULA(
IF(
REGEXMATCH(
"" ""&amp;H2722&amp;"" "",
"" ""&amp;Sentiment_Words!A$2:A3730&amp;"" ""
),
1,
0
)
)
)
)"),0.0)</f>
        <v>0</v>
      </c>
      <c r="K2722" s="4">
        <f>IFERROR(__xludf.DUMMYFUNCTION("IF(H2722="""","""",
SUM(
ARRAYFORMULA(
IF(
REGEXMATCH(
"" ""&amp;H2722&amp;"" "",
"" ""&amp;Sentiment_Words!B$2:B3730&amp;"" ""
),
1,
0
)
)
)
)"),0.0)</f>
        <v>0</v>
      </c>
      <c r="L2722" s="7" t="str">
        <f t="shared" si="3"/>
        <v>Other</v>
      </c>
      <c r="M2722" s="7" t="str">
        <f t="shared" si="4"/>
        <v>Neutral</v>
      </c>
      <c r="N2722" s="7" t="str">
        <f>IFERROR(__xludf.DUMMYFUNCTION("LOWER(
TRIM(
REGEXREPLACE(B2722,""[^a-zA-Z\s]"","""")
)
)
"),"christine")</f>
        <v>christine</v>
      </c>
      <c r="O2722" s="7">
        <f t="shared" si="5"/>
        <v>4</v>
      </c>
      <c r="P2722" s="8" t="str">
        <f t="shared" si="6"/>
        <v>Yes</v>
      </c>
    </row>
    <row r="2723">
      <c r="A2723" s="4" t="s">
        <v>16</v>
      </c>
      <c r="B2723" s="4" t="s">
        <v>7588</v>
      </c>
      <c r="C2723" s="5">
        <v>44640.0</v>
      </c>
      <c r="D2723" s="10">
        <v>44641.0</v>
      </c>
      <c r="E2723" s="4" t="s">
        <v>7589</v>
      </c>
      <c r="F2723" s="4" t="s">
        <v>7590</v>
      </c>
      <c r="G2723" s="6" t="str">
        <f>IFERROR(__xludf.DUMMYFUNCTION("REGEXREPLACE(LOWER(F2723),""[^a-z\s]"","""")"),"petflow carries the brands of foods i use for our cat  guide puppy in training our guide dog school likes us to use fromm family foods fromm is made in the usa  fromm brand is not carried by many stores or online shops auto ship helps me be sure not to ru"&amp;"n out
only negative is i find it difficult sometimes to navigate my account my orders  to change my orders
but after i had messed up my order an online chat representative got it all straightened out in no time thank you petflow")</f>
        <v>petflow carries the brands of foods i use for our cat  guide puppy in training our guide dog school likes us to use fromm family foods fromm is made in the usa  fromm brand is not carried by many stores or online shops auto ship helps me be sure not to run out
only negative is i find it difficult sometimes to navigate my account my orders  to change my orders
but after i had messed up my order an online chat representative got it all straightened out in no time thank you petflow</v>
      </c>
      <c r="H2723" s="4" t="str">
        <f t="shared" si="1"/>
        <v>petflow carries brands of foods i use our cat guide puppy in training our guide dog school likes us use fromm family foods fromm made in usa fromm brand not carried by many stores or online shops auto ship helps me be sure not run out
only negative i find it difficult sometimes navigate my account my orders change my orders
but after i had messed up my order an online chat representative got it all straightened out in no time thank you petflow</v>
      </c>
      <c r="I2723" s="6">
        <f t="shared" si="2"/>
        <v>82</v>
      </c>
      <c r="J2723" s="6">
        <f>IFERROR(__xludf.DUMMYFUNCTION("IF(H2723="""","""",
SUM(
ARRAYFORMULA(
IF(
REGEXMATCH(
"" ""&amp;H2723&amp;"" "",
"" ""&amp;Sentiment_Words!A$2:A3730&amp;"" ""
),
1,
0
)
)
)
)"),1.0)</f>
        <v>1</v>
      </c>
      <c r="K2723" s="4">
        <f>IFERROR(__xludf.DUMMYFUNCTION("IF(H2723="""","""",
SUM(
ARRAYFORMULA(
IF(
REGEXMATCH(
"" ""&amp;H2723&amp;"" "",
"" ""&amp;Sentiment_Words!B$2:B3730&amp;"" ""
),
1,
0
)
)
)
)"),0.0)</f>
        <v>0</v>
      </c>
      <c r="L2723" s="7" t="str">
        <f t="shared" si="3"/>
        <v>Account &amp; Website</v>
      </c>
      <c r="M2723" s="7" t="str">
        <f t="shared" si="4"/>
        <v>Positive</v>
      </c>
      <c r="N2723" s="7" t="str">
        <f>IFERROR(__xludf.DUMMYFUNCTION("LOWER(
TRIM(
REGEXREPLACE(B2723,""[^a-zA-Z\s]"","""")
)
)
"),"p s")</f>
        <v>p s</v>
      </c>
      <c r="O2723" s="7">
        <f t="shared" si="5"/>
        <v>1</v>
      </c>
      <c r="P2723" s="8" t="str">
        <f t="shared" si="6"/>
        <v>No</v>
      </c>
    </row>
    <row r="2724">
      <c r="A2724" s="4" t="s">
        <v>16</v>
      </c>
      <c r="B2724" s="4" t="s">
        <v>7591</v>
      </c>
      <c r="C2724" s="5">
        <v>44640.0</v>
      </c>
      <c r="D2724" s="10">
        <v>44640.0</v>
      </c>
      <c r="E2724" s="4" t="s">
        <v>2880</v>
      </c>
      <c r="F2724" s="4" t="s">
        <v>7592</v>
      </c>
      <c r="G2724" s="6" t="str">
        <f>IFERROR(__xludf.DUMMYFUNCTION("REGEXREPLACE(LOWER(F2724),""[^a-z\s]"","""")"),"fast shipping new customer very happy autoship prices are very good")</f>
        <v>fast shipping new customer very happy autoship prices are very good</v>
      </c>
      <c r="H2724" s="4" t="str">
        <f t="shared" si="1"/>
        <v>fast shipping new customer very happy autoship prices are very good</v>
      </c>
      <c r="I2724" s="6">
        <f t="shared" si="2"/>
        <v>11</v>
      </c>
      <c r="J2724" s="6">
        <f>IFERROR(__xludf.DUMMYFUNCTION("IF(H2724="""","""",
SUM(
ARRAYFORMULA(
IF(
REGEXMATCH(
"" ""&amp;H2724&amp;"" "",
"" ""&amp;Sentiment_Words!A$2:A3730&amp;"" ""
),
1,
0
)
)
)
)"),3.0)</f>
        <v>3</v>
      </c>
      <c r="K2724" s="4">
        <f>IFERROR(__xludf.DUMMYFUNCTION("IF(H2724="""","""",
SUM(
ARRAYFORMULA(
IF(
REGEXMATCH(
"" ""&amp;H2724&amp;"" "",
"" ""&amp;Sentiment_Words!B$2:B3730&amp;"" ""
),
1,
0
)
)
)
)"),0.0)</f>
        <v>0</v>
      </c>
      <c r="L2724" s="7" t="str">
        <f t="shared" si="3"/>
        <v>Other</v>
      </c>
      <c r="M2724" s="7" t="str">
        <f t="shared" si="4"/>
        <v>Positive</v>
      </c>
      <c r="N2724" s="7" t="str">
        <f>IFERROR(__xludf.DUMMYFUNCTION("LOWER(
TRIM(
REGEXREPLACE(B2724,""[^a-zA-Z\s]"","""")
)
)
"),"pixie")</f>
        <v>pixie</v>
      </c>
      <c r="O2724" s="7">
        <f t="shared" si="5"/>
        <v>1</v>
      </c>
      <c r="P2724" s="8" t="str">
        <f t="shared" si="6"/>
        <v>No</v>
      </c>
    </row>
    <row r="2725">
      <c r="A2725" s="4" t="s">
        <v>16</v>
      </c>
      <c r="B2725" s="4" t="s">
        <v>7593</v>
      </c>
      <c r="C2725" s="5">
        <v>44640.0</v>
      </c>
      <c r="D2725" s="10">
        <v>44640.0</v>
      </c>
      <c r="E2725" s="4" t="s">
        <v>7594</v>
      </c>
      <c r="F2725" s="4" t="s">
        <v>7595</v>
      </c>
      <c r="G2725" s="6" t="str">
        <f>IFERROR(__xludf.DUMMYFUNCTION("REGEXREPLACE(LOWER(F2725),""[^a-z\s]"","""")"),"competitive pricing dependable shipping and carries prescription food at better prices than the vets office offers")</f>
        <v>competitive pricing dependable shipping and carries prescription food at better prices than the vets office offers</v>
      </c>
      <c r="H2725" s="4" t="str">
        <f t="shared" si="1"/>
        <v>competitive pricing dependable shipping carries prescription food at better prices than vets office offers</v>
      </c>
      <c r="I2725" s="6">
        <f t="shared" si="2"/>
        <v>14</v>
      </c>
      <c r="J2725" s="6">
        <f>IFERROR(__xludf.DUMMYFUNCTION("IF(H2725="""","""",
SUM(
ARRAYFORMULA(
IF(
REGEXMATCH(
"" ""&amp;H2725&amp;"" "",
"" ""&amp;Sentiment_Words!A$2:A3730&amp;"" ""
),
1,
0
)
)
)
)"),0.0)</f>
        <v>0</v>
      </c>
      <c r="K2725" s="4">
        <f>IFERROR(__xludf.DUMMYFUNCTION("IF(H2725="""","""",
SUM(
ARRAYFORMULA(
IF(
REGEXMATCH(
"" ""&amp;H2725&amp;"" "",
"" ""&amp;Sentiment_Words!B$2:B3730&amp;"" ""
),
1,
0
)
)
)
)"),0.0)</f>
        <v>0</v>
      </c>
      <c r="L2725" s="7" t="str">
        <f t="shared" si="3"/>
        <v>Other</v>
      </c>
      <c r="M2725" s="7" t="str">
        <f t="shared" si="4"/>
        <v>Neutral</v>
      </c>
      <c r="N2725" s="7" t="str">
        <f>IFERROR(__xludf.DUMMYFUNCTION("LOWER(
TRIM(
REGEXREPLACE(B2725,""[^a-zA-Z\s]"","""")
)
)
"),"loyal petflow customer")</f>
        <v>loyal petflow customer</v>
      </c>
      <c r="O2725" s="7">
        <f t="shared" si="5"/>
        <v>1</v>
      </c>
      <c r="P2725" s="8" t="str">
        <f t="shared" si="6"/>
        <v>No</v>
      </c>
    </row>
    <row r="2726">
      <c r="A2726" s="4" t="s">
        <v>16</v>
      </c>
      <c r="B2726" s="4" t="s">
        <v>7596</v>
      </c>
      <c r="C2726" s="5">
        <v>44640.0</v>
      </c>
      <c r="D2726" s="10">
        <v>44640.0</v>
      </c>
      <c r="E2726" s="4" t="s">
        <v>7597</v>
      </c>
      <c r="F2726" s="4" t="s">
        <v>7598</v>
      </c>
      <c r="G2726" s="6" t="str">
        <f>IFERROR(__xludf.DUMMYFUNCTION("REGEXREPLACE(LOWER(F2726),""[^a-z\s]"","""")"),"first time using this business and it was a very positive one i ordered a large bag of victor dog food and it was delivered very quickly will use them again")</f>
        <v>first time using this business and it was a very positive one i ordered a large bag of victor dog food and it was delivered very quickly will use them again</v>
      </c>
      <c r="H2726" s="4" t="str">
        <f t="shared" si="1"/>
        <v>first time using this business it was a very positive one i ordered a large bag of victor dog food it was delivered very quickly will use them again</v>
      </c>
      <c r="I2726" s="6">
        <f t="shared" si="2"/>
        <v>29</v>
      </c>
      <c r="J2726" s="6">
        <f>IFERROR(__xludf.DUMMYFUNCTION("IF(H2726="""","""",
SUM(
ARRAYFORMULA(
IF(
REGEXMATCH(
"" ""&amp;H2726&amp;"" "",
"" ""&amp;Sentiment_Words!A$2:A3730&amp;"" ""
),
1,
0
)
)
)
)"),1.0)</f>
        <v>1</v>
      </c>
      <c r="K2726" s="4">
        <f>IFERROR(__xludf.DUMMYFUNCTION("IF(H2726="""","""",
SUM(
ARRAYFORMULA(
IF(
REGEXMATCH(
"" ""&amp;H2726&amp;"" "",
"" ""&amp;Sentiment_Words!B$2:B3730&amp;"" ""
),
1,
0
)
)
)
)"),0.0)</f>
        <v>0</v>
      </c>
      <c r="L2726" s="7" t="str">
        <f t="shared" si="3"/>
        <v>Other</v>
      </c>
      <c r="M2726" s="7" t="str">
        <f t="shared" si="4"/>
        <v>Positive</v>
      </c>
      <c r="N2726" s="7" t="str">
        <f>IFERROR(__xludf.DUMMYFUNCTION("LOWER(
TRIM(
REGEXREPLACE(B2726,""[^a-zA-Z\s]"","""")
)
)
"),"bonnie")</f>
        <v>bonnie</v>
      </c>
      <c r="O2726" s="7">
        <f t="shared" si="5"/>
        <v>1</v>
      </c>
      <c r="P2726" s="8" t="str">
        <f t="shared" si="6"/>
        <v>No</v>
      </c>
    </row>
    <row r="2727">
      <c r="A2727" s="4" t="s">
        <v>16</v>
      </c>
      <c r="B2727" s="4" t="s">
        <v>7599</v>
      </c>
      <c r="C2727" s="5">
        <v>44640.0</v>
      </c>
      <c r="D2727" s="10">
        <v>44640.0</v>
      </c>
      <c r="E2727" s="4" t="s">
        <v>1774</v>
      </c>
      <c r="F2727" s="4" t="s">
        <v>7600</v>
      </c>
      <c r="G2727" s="6" t="str">
        <f>IFERROR(__xludf.DUMMYFUNCTION("REGEXREPLACE(LOWER(F2727),""[^a-z\s]"","""")"),"very helpful and extremely friendly")</f>
        <v>very helpful and extremely friendly</v>
      </c>
      <c r="H2727" s="4" t="str">
        <f t="shared" si="1"/>
        <v>very helpful extremely friendly</v>
      </c>
      <c r="I2727" s="6">
        <f t="shared" si="2"/>
        <v>4</v>
      </c>
      <c r="J2727" s="6">
        <f>IFERROR(__xludf.DUMMYFUNCTION("IF(H2727="""","""",
SUM(
ARRAYFORMULA(
IF(
REGEXMATCH(
"" ""&amp;H2727&amp;"" "",
"" ""&amp;Sentiment_Words!A$2:A3730&amp;"" ""
),
1,
0
)
)
)
)"),1.0)</f>
        <v>1</v>
      </c>
      <c r="K2727" s="4">
        <f>IFERROR(__xludf.DUMMYFUNCTION("IF(H2727="""","""",
SUM(
ARRAYFORMULA(
IF(
REGEXMATCH(
"" ""&amp;H2727&amp;"" "",
"" ""&amp;Sentiment_Words!B$2:B3730&amp;"" ""
),
1,
0
)
)
)
)"),0.0)</f>
        <v>0</v>
      </c>
      <c r="L2727" s="7" t="str">
        <f t="shared" si="3"/>
        <v>Other</v>
      </c>
      <c r="M2727" s="7" t="str">
        <f t="shared" si="4"/>
        <v>Positive</v>
      </c>
      <c r="N2727" s="7" t="str">
        <f>IFERROR(__xludf.DUMMYFUNCTION("LOWER(
TRIM(
REGEXREPLACE(B2727,""[^a-zA-Z\s]"","""")
)
)
"),"r baker")</f>
        <v>r baker</v>
      </c>
      <c r="O2727" s="7">
        <f t="shared" si="5"/>
        <v>1</v>
      </c>
      <c r="P2727" s="8" t="str">
        <f t="shared" si="6"/>
        <v>No</v>
      </c>
    </row>
    <row r="2728">
      <c r="A2728" s="4" t="s">
        <v>16</v>
      </c>
      <c r="B2728" s="4" t="s">
        <v>7601</v>
      </c>
      <c r="C2728" s="5">
        <v>44640.0</v>
      </c>
      <c r="D2728" s="10">
        <v>44640.0</v>
      </c>
      <c r="E2728" s="4" t="s">
        <v>7602</v>
      </c>
      <c r="F2728" s="4" t="s">
        <v>7603</v>
      </c>
      <c r="G2728" s="6" t="str">
        <f>IFERROR(__xludf.DUMMYFUNCTION("REGEXREPLACE(LOWER(F2728),""[^a-z\s]"","""")"),"the only place i can consistently find my dogs brand of food easy to ordrr and fast shipping prices are reasonable as well with autoship the prices are even better")</f>
        <v>the only place i can consistently find my dogs brand of food easy to ordrr and fast shipping prices are reasonable as well with autoship the prices are even better</v>
      </c>
      <c r="H2728" s="4" t="str">
        <f t="shared" si="1"/>
        <v>only place i can consistently find my dogs brand of food easy ordrr fast shipping prices are reasonable as well with autoship prices are even better</v>
      </c>
      <c r="I2728" s="6">
        <f t="shared" si="2"/>
        <v>26</v>
      </c>
      <c r="J2728" s="6">
        <f>IFERROR(__xludf.DUMMYFUNCTION("IF(H2728="""","""",
SUM(
ARRAYFORMULA(
IF(
REGEXMATCH(
"" ""&amp;H2728&amp;"" "",
"" ""&amp;Sentiment_Words!A$2:A3730&amp;"" ""
),
1,
0
)
)
)
)"),2.0)</f>
        <v>2</v>
      </c>
      <c r="K2728" s="4">
        <f>IFERROR(__xludf.DUMMYFUNCTION("IF(H2728="""","""",
SUM(
ARRAYFORMULA(
IF(
REGEXMATCH(
"" ""&amp;H2728&amp;"" "",
"" ""&amp;Sentiment_Words!B$2:B3730&amp;"" ""
),
1,
0
)
)
)
)"),0.0)</f>
        <v>0</v>
      </c>
      <c r="L2728" s="7" t="str">
        <f t="shared" si="3"/>
        <v>Other</v>
      </c>
      <c r="M2728" s="7" t="str">
        <f t="shared" si="4"/>
        <v>Positive</v>
      </c>
      <c r="N2728" s="7" t="str">
        <f>IFERROR(__xludf.DUMMYFUNCTION("LOWER(
TRIM(
REGEXREPLACE(B2728,""[^a-zA-Z\s]"","""")
)
)
"),"lisa henderson")</f>
        <v>lisa henderson</v>
      </c>
      <c r="O2728" s="7">
        <f t="shared" si="5"/>
        <v>1</v>
      </c>
      <c r="P2728" s="8" t="str">
        <f t="shared" si="6"/>
        <v>No</v>
      </c>
    </row>
    <row r="2729">
      <c r="A2729" s="4" t="s">
        <v>16</v>
      </c>
      <c r="B2729" s="4" t="s">
        <v>7604</v>
      </c>
      <c r="C2729" s="5">
        <v>44639.0</v>
      </c>
      <c r="D2729" s="10">
        <v>44640.0</v>
      </c>
      <c r="E2729" s="4" t="s">
        <v>6409</v>
      </c>
      <c r="F2729" s="4" t="s">
        <v>7605</v>
      </c>
      <c r="G2729" s="6" t="str">
        <f>IFERROR(__xludf.DUMMYFUNCTION("REGEXREPLACE(LOWER(F2729),""[^a-z\s]"","""")"),"i purchased science diet wet puppy food for my new puppy and he refused to eat it i contacted customer service by email and explained my situation that same day i received notification that i was being refunded my purchase price
that is excellent customer"&amp;" service that stands by the product guarantee
thank you petflow ")</f>
        <v>i purchased science diet wet puppy food for my new puppy and he refused to eat it i contacted customer service by email and explained my situation that same day i received notification that i was being refunded my purchase price
that is excellent customer service that stands by the product guarantee
thank you petflow </v>
      </c>
      <c r="H2729" s="4" t="str">
        <f t="shared" si="1"/>
        <v>i purchased science diet wet puppy food my new puppy he refused eat it i contacted customer service by email explained my situation that same day i received notification that i was being refunded my purchase price
that excellent customer service that stands by product guarantee
thank you petflow</v>
      </c>
      <c r="I2729" s="6">
        <f t="shared" si="2"/>
        <v>47</v>
      </c>
      <c r="J2729" s="6">
        <f>IFERROR(__xludf.DUMMYFUNCTION("IF(H2729="""","""",
SUM(
ARRAYFORMULA(
IF(
REGEXMATCH(
"" ""&amp;H2729&amp;"" "",
"" ""&amp;Sentiment_Words!A$2:A3730&amp;"" ""
),
1,
0
)
)
)
)"),0.0)</f>
        <v>0</v>
      </c>
      <c r="K2729" s="4">
        <f>IFERROR(__xludf.DUMMYFUNCTION("IF(H2729="""","""",
SUM(
ARRAYFORMULA(
IF(
REGEXMATCH(
"" ""&amp;H2729&amp;"" "",
"" ""&amp;Sentiment_Words!B$2:B3730&amp;"" ""
),
1,
0
)
)
)
)"),1.0)</f>
        <v>1</v>
      </c>
      <c r="L2729" s="7" t="str">
        <f t="shared" si="3"/>
        <v>Customer Support</v>
      </c>
      <c r="M2729" s="7" t="str">
        <f t="shared" si="4"/>
        <v>Negative</v>
      </c>
      <c r="N2729" s="7" t="str">
        <f>IFERROR(__xludf.DUMMYFUNCTION("LOWER(
TRIM(
REGEXREPLACE(B2729,""[^a-zA-Z\s]"","""")
)
)
"),"sherry m")</f>
        <v>sherry m</v>
      </c>
      <c r="O2729" s="7">
        <f t="shared" si="5"/>
        <v>1</v>
      </c>
      <c r="P2729" s="8" t="str">
        <f t="shared" si="6"/>
        <v>No</v>
      </c>
    </row>
    <row r="2730">
      <c r="A2730" s="4" t="s">
        <v>16</v>
      </c>
      <c r="B2730" s="4" t="s">
        <v>7606</v>
      </c>
      <c r="C2730" s="5">
        <v>44639.0</v>
      </c>
      <c r="D2730" s="10">
        <v>44639.0</v>
      </c>
      <c r="E2730" s="4" t="s">
        <v>7607</v>
      </c>
      <c r="F2730" s="4" t="s">
        <v>7608</v>
      </c>
      <c r="G2730" s="6" t="str">
        <f>IFERROR(__xludf.DUMMYFUNCTION("REGEXREPLACE(LOWER(F2730),""[^a-z\s]"","""")"),"i purchased an item online said only two left i ordered two got an email the next day they were our whats the point of having an inventory notice online if its not accurate and other orders are allowed the product you just paid gir disappointing")</f>
        <v>i purchased an item online said only two left i ordered two got an email the next day they were our whats the point of having an inventory notice online if its not accurate and other orders are allowed the product you just paid gir disappointing</v>
      </c>
      <c r="H2730" s="4" t="str">
        <f t="shared" si="1"/>
        <v>i purchased an item online said only two left i ordered two got an email next day they were our whats point of having an inventory notice online if its not accurate other orders are allowed product you just paid gir disappointing</v>
      </c>
      <c r="I2730" s="6">
        <f t="shared" si="2"/>
        <v>42</v>
      </c>
      <c r="J2730" s="6">
        <f>IFERROR(__xludf.DUMMYFUNCTION("IF(H2730="""","""",
SUM(
ARRAYFORMULA(
IF(
REGEXMATCH(
"" ""&amp;H2730&amp;"" "",
"" ""&amp;Sentiment_Words!A$2:A3730&amp;"" ""
),
1,
0
)
)
)
)"),0.0)</f>
        <v>0</v>
      </c>
      <c r="K2730" s="4">
        <f>IFERROR(__xludf.DUMMYFUNCTION("IF(H2730="""","""",
SUM(
ARRAYFORMULA(
IF(
REGEXMATCH(
"" ""&amp;H2730&amp;"" "",
"" ""&amp;Sentiment_Words!B$2:B3730&amp;"" ""
),
1,
0
)
)
)
)"),0.0)</f>
        <v>0</v>
      </c>
      <c r="L2730" s="7" t="str">
        <f t="shared" si="3"/>
        <v>Other</v>
      </c>
      <c r="M2730" s="7" t="str">
        <f t="shared" si="4"/>
        <v>Neutral</v>
      </c>
      <c r="N2730" s="7" t="str">
        <f>IFERROR(__xludf.DUMMYFUNCTION("LOWER(
TRIM(
REGEXREPLACE(B2730,""[^a-zA-Z\s]"","""")
)
)
"),"k b")</f>
        <v>k b</v>
      </c>
      <c r="O2730" s="7">
        <f t="shared" si="5"/>
        <v>1</v>
      </c>
      <c r="P2730" s="8" t="str">
        <f t="shared" si="6"/>
        <v>No</v>
      </c>
    </row>
    <row r="2731">
      <c r="A2731" s="4" t="s">
        <v>16</v>
      </c>
      <c r="B2731" s="4" t="s">
        <v>7609</v>
      </c>
      <c r="C2731" s="5">
        <v>44639.0</v>
      </c>
      <c r="D2731" s="10">
        <v>44639.0</v>
      </c>
      <c r="E2731" s="4" t="s">
        <v>7610</v>
      </c>
      <c r="F2731" s="4" t="s">
        <v>7611</v>
      </c>
      <c r="G2731" s="6" t="str">
        <f>IFERROR(__xludf.DUMMYFUNCTION("REGEXREPLACE(LOWER(F2731),""[^a-z\s]"","""")"),"horrible buying experience i will never buy it from you guys again")</f>
        <v>horrible buying experience i will never buy it from you guys again</v>
      </c>
      <c r="H2731" s="4" t="str">
        <f t="shared" si="1"/>
        <v>horrible buying experience i will never buy it from you guys again</v>
      </c>
      <c r="I2731" s="6">
        <f t="shared" si="2"/>
        <v>12</v>
      </c>
      <c r="J2731" s="6">
        <f>IFERROR(__xludf.DUMMYFUNCTION("IF(H2731="""","""",
SUM(
ARRAYFORMULA(
IF(
REGEXMATCH(
"" ""&amp;H2731&amp;"" "",
"" ""&amp;Sentiment_Words!A$2:A3730&amp;"" ""
),
1,
0
)
)
)
)"),0.0)</f>
        <v>0</v>
      </c>
      <c r="K2731" s="4">
        <f>IFERROR(__xludf.DUMMYFUNCTION("IF(H2731="""","""",
SUM(
ARRAYFORMULA(
IF(
REGEXMATCH(
"" ""&amp;H2731&amp;"" "",
"" ""&amp;Sentiment_Words!B$2:B3730&amp;"" ""
),
1,
0
)
)
)
)"),0.0)</f>
        <v>0</v>
      </c>
      <c r="L2731" s="7" t="str">
        <f t="shared" si="3"/>
        <v>Other</v>
      </c>
      <c r="M2731" s="7" t="str">
        <f t="shared" si="4"/>
        <v>Neutral</v>
      </c>
      <c r="N2731" s="7" t="str">
        <f>IFERROR(__xludf.DUMMYFUNCTION("LOWER(
TRIM(
REGEXREPLACE(B2731,""[^a-zA-Z\s]"","""")
)
)
"),"renzo casafranca")</f>
        <v>renzo casafranca</v>
      </c>
      <c r="O2731" s="7">
        <f t="shared" si="5"/>
        <v>1</v>
      </c>
      <c r="P2731" s="8" t="str">
        <f t="shared" si="6"/>
        <v>No</v>
      </c>
    </row>
    <row r="2732">
      <c r="A2732" s="4" t="s">
        <v>16</v>
      </c>
      <c r="B2732" s="4" t="s">
        <v>115</v>
      </c>
      <c r="C2732" s="5">
        <v>44639.0</v>
      </c>
      <c r="D2732" s="10">
        <v>44639.0</v>
      </c>
      <c r="E2732" s="4" t="s">
        <v>7612</v>
      </c>
      <c r="F2732" s="4" t="s">
        <v>7613</v>
      </c>
      <c r="G2732" s="6" t="str">
        <f>IFERROR(__xludf.DUMMYFUNCTION("REGEXREPLACE(LOWER(F2732),""[^a-z\s]"","""")"),"wow customer service fast and genuine  but this is also a rare company that gives back in amazing ways sure they are smaller but thats where usually the care happens thank you petflow")</f>
        <v>wow customer service fast and genuine  but this is also a rare company that gives back in amazing ways sure they are smaller but thats where usually the care happens thank you petflow</v>
      </c>
      <c r="H2732" s="4" t="str">
        <f t="shared" si="1"/>
        <v>wow customer service fast genuine but this also a rare company that gives back in amazing ways sure they are smaller but thats where usually care happens thank you petflow</v>
      </c>
      <c r="I2732" s="6">
        <f t="shared" si="2"/>
        <v>30</v>
      </c>
      <c r="J2732" s="6">
        <f>IFERROR(__xludf.DUMMYFUNCTION("IF(H2732="""","""",
SUM(
ARRAYFORMULA(
IF(
REGEXMATCH(
"" ""&amp;H2732&amp;"" "",
"" ""&amp;Sentiment_Words!A$2:A3730&amp;"" ""
),
1,
0
)
)
)
)"),1.0)</f>
        <v>1</v>
      </c>
      <c r="K2732" s="4">
        <f>IFERROR(__xludf.DUMMYFUNCTION("IF(H2732="""","""",
SUM(
ARRAYFORMULA(
IF(
REGEXMATCH(
"" ""&amp;H2732&amp;"" "",
"" ""&amp;Sentiment_Words!B$2:B3730&amp;"" ""
),
1,
0
)
)
)
)"),1.0)</f>
        <v>1</v>
      </c>
      <c r="L2732" s="7" t="str">
        <f t="shared" si="3"/>
        <v>Customer Support</v>
      </c>
      <c r="M2732" s="7" t="str">
        <f t="shared" si="4"/>
        <v>Neutral</v>
      </c>
      <c r="N2732" s="7" t="str">
        <f>IFERROR(__xludf.DUMMYFUNCTION("LOWER(
TRIM(
REGEXREPLACE(B2732,""[^a-zA-Z\s]"","""")
)
)
"),"kimberly")</f>
        <v>kimberly</v>
      </c>
      <c r="O2732" s="7">
        <f t="shared" si="5"/>
        <v>3</v>
      </c>
      <c r="P2732" s="8" t="str">
        <f t="shared" si="6"/>
        <v>Yes</v>
      </c>
    </row>
    <row r="2733">
      <c r="A2733" s="4" t="s">
        <v>16</v>
      </c>
      <c r="B2733" s="4" t="s">
        <v>7614</v>
      </c>
      <c r="C2733" s="5">
        <v>44639.0</v>
      </c>
      <c r="D2733" s="10">
        <v>44639.0</v>
      </c>
      <c r="E2733" s="4" t="s">
        <v>7615</v>
      </c>
      <c r="F2733" s="4" t="s">
        <v>7616</v>
      </c>
      <c r="G2733" s="6" t="str">
        <f>IFERROR(__xludf.DUMMYFUNCTION("REGEXREPLACE(LOWER(F2733),""[^a-z\s]"","""")"),"since there is a shortage of my dogs prescription diet i called several times to get information on deliveryevery time i had a helpful and friendly employee on the phonethey understood my concerns and did everything possible to helpmy pup got his food tha"&amp;"nks to petflow directly from the manufacturer im so thankful")</f>
        <v>since there is a shortage of my dogs prescription diet i called several times to get information on deliveryevery time i had a helpful and friendly employee on the phonethey understood my concerns and did everything possible to helpmy pup got his food thanks to petflow directly from the manufacturer im so thankful</v>
      </c>
      <c r="H2733" s="4" t="str">
        <f t="shared" si="1"/>
        <v>since there a shortage of my dogs prescription diet i called several times get information on deliveryevery time i had a helpful friendly employee on phonethey understood my concerns did everything possible helpmy pup got his food thanks petflow directly from manufacturer im so thankful</v>
      </c>
      <c r="I2733" s="6">
        <f t="shared" si="2"/>
        <v>45</v>
      </c>
      <c r="J2733" s="6">
        <f>IFERROR(__xludf.DUMMYFUNCTION("IF(H2733="""","""",
SUM(
ARRAYFORMULA(
IF(
REGEXMATCH(
"" ""&amp;H2733&amp;"" "",
"" ""&amp;Sentiment_Words!A$2:A3730&amp;"" ""
),
1,
0
)
)
)
)"),1.0)</f>
        <v>1</v>
      </c>
      <c r="K2733" s="4">
        <f>IFERROR(__xludf.DUMMYFUNCTION("IF(H2733="""","""",
SUM(
ARRAYFORMULA(
IF(
REGEXMATCH(
"" ""&amp;H2733&amp;"" "",
"" ""&amp;Sentiment_Words!B$2:B3730&amp;"" ""
),
1,
0
)
)
)
)"),0.0)</f>
        <v>0</v>
      </c>
      <c r="L2733" s="7" t="str">
        <f t="shared" si="3"/>
        <v>Other</v>
      </c>
      <c r="M2733" s="7" t="str">
        <f t="shared" si="4"/>
        <v>Positive</v>
      </c>
      <c r="N2733" s="7" t="str">
        <f>IFERROR(__xludf.DUMMYFUNCTION("LOWER(
TRIM(
REGEXREPLACE(B2733,""[^a-zA-Z\s]"","""")
)
)
"),"vila in frisco tx")</f>
        <v>vila in frisco tx</v>
      </c>
      <c r="O2733" s="7">
        <f t="shared" si="5"/>
        <v>1</v>
      </c>
      <c r="P2733" s="8" t="str">
        <f t="shared" si="6"/>
        <v>No</v>
      </c>
    </row>
    <row r="2734">
      <c r="A2734" s="4" t="s">
        <v>16</v>
      </c>
      <c r="B2734" s="4" t="s">
        <v>7617</v>
      </c>
      <c r="C2734" s="5">
        <v>44639.0</v>
      </c>
      <c r="D2734" s="10">
        <v>44639.0</v>
      </c>
      <c r="E2734" s="4" t="s">
        <v>7618</v>
      </c>
      <c r="F2734" s="4" t="s">
        <v>7619</v>
      </c>
      <c r="G2734" s="6" t="str">
        <f>IFERROR(__xludf.DUMMYFUNCTION("REGEXREPLACE(LOWER(F2734),""[^a-z\s]"","""")"),"i would give it  stars except that the flap doesnt quite close otherwise it is a good door for the price that allows my year old great dane not to have to stoop as much as he goes through")</f>
        <v>i would give it  stars except that the flap doesnt quite close otherwise it is a good door for the price that allows my year old great dane not to have to stoop as much as he goes through</v>
      </c>
      <c r="H2734" s="4" t="str">
        <f t="shared" si="1"/>
        <v>i would give it stars except that flap doesnt quite close otherwise it a good door price that allows my year old great dane not have stoop as much as he goes through</v>
      </c>
      <c r="I2734" s="6">
        <f t="shared" si="2"/>
        <v>33</v>
      </c>
      <c r="J2734" s="6">
        <f>IFERROR(__xludf.DUMMYFUNCTION("IF(H2734="""","""",
SUM(
ARRAYFORMULA(
IF(
REGEXMATCH(
"" ""&amp;H2734&amp;"" "",
"" ""&amp;Sentiment_Words!A$2:A3730&amp;"" ""
),
1,
0
)
)
)
)"),2.0)</f>
        <v>2</v>
      </c>
      <c r="K2734" s="4">
        <f>IFERROR(__xludf.DUMMYFUNCTION("IF(H2734="""","""",
SUM(
ARRAYFORMULA(
IF(
REGEXMATCH(
"" ""&amp;H2734&amp;"" "",
"" ""&amp;Sentiment_Words!B$2:B3730&amp;"" ""
),
1,
0
)
)
)
)"),0.0)</f>
        <v>0</v>
      </c>
      <c r="L2734" s="7" t="str">
        <f t="shared" si="3"/>
        <v>Other</v>
      </c>
      <c r="M2734" s="7" t="str">
        <f t="shared" si="4"/>
        <v>Positive</v>
      </c>
      <c r="N2734" s="7" t="str">
        <f>IFERROR(__xludf.DUMMYFUNCTION("LOWER(
TRIM(
REGEXREPLACE(B2734,""[^a-zA-Z\s]"","""")
)
)
"),"theresa")</f>
        <v>theresa</v>
      </c>
      <c r="O2734" s="7">
        <f t="shared" si="5"/>
        <v>2</v>
      </c>
      <c r="P2734" s="8" t="str">
        <f t="shared" si="6"/>
        <v>Yes</v>
      </c>
    </row>
    <row r="2735">
      <c r="A2735" s="4" t="s">
        <v>16</v>
      </c>
      <c r="B2735" s="4" t="s">
        <v>7620</v>
      </c>
      <c r="C2735" s="5">
        <v>44638.0</v>
      </c>
      <c r="D2735" s="10">
        <v>44639.0</v>
      </c>
      <c r="E2735" s="4" t="s">
        <v>7621</v>
      </c>
      <c r="F2735" s="4" t="s">
        <v>7622</v>
      </c>
      <c r="G2735" s="6" t="str">
        <f>IFERROR(__xludf.DUMMYFUNCTION("REGEXREPLACE(LOWER(F2735),""[^a-z\s]"","""")"),"easy to order and at a great price so impressed that i chose to have a standing order for our beautiful breezy")</f>
        <v>easy to order and at a great price so impressed that i chose to have a standing order for our beautiful breezy</v>
      </c>
      <c r="H2735" s="4" t="str">
        <f t="shared" si="1"/>
        <v>easy order at a great price so impressed that i chose have a standing order our beautiful breezy</v>
      </c>
      <c r="I2735" s="6">
        <f t="shared" si="2"/>
        <v>18</v>
      </c>
      <c r="J2735" s="6">
        <f>IFERROR(__xludf.DUMMYFUNCTION("IF(H2735="""","""",
SUM(
ARRAYFORMULA(
IF(
REGEXMATCH(
"" ""&amp;H2735&amp;"" "",
"" ""&amp;Sentiment_Words!A$2:A3730&amp;"" ""
),
1,
0
)
)
)
)"),3.0)</f>
        <v>3</v>
      </c>
      <c r="K2735" s="4">
        <f>IFERROR(__xludf.DUMMYFUNCTION("IF(H2735="""","""",
SUM(
ARRAYFORMULA(
IF(
REGEXMATCH(
"" ""&amp;H2735&amp;"" "",
"" ""&amp;Sentiment_Words!B$2:B3730&amp;"" ""
),
1,
0
)
)
)
)"),0.0)</f>
        <v>0</v>
      </c>
      <c r="L2735" s="7" t="str">
        <f t="shared" si="3"/>
        <v>Service Recovery</v>
      </c>
      <c r="M2735" s="7" t="str">
        <f t="shared" si="4"/>
        <v>Positive</v>
      </c>
      <c r="N2735" s="7" t="str">
        <f>IFERROR(__xludf.DUMMYFUNCTION("LOWER(
TRIM(
REGEXREPLACE(B2735,""[^a-zA-Z\s]"","""")
)
)
"),"norman")</f>
        <v>norman</v>
      </c>
      <c r="O2735" s="7">
        <f t="shared" si="5"/>
        <v>1</v>
      </c>
      <c r="P2735" s="8" t="str">
        <f t="shared" si="6"/>
        <v>No</v>
      </c>
    </row>
    <row r="2736">
      <c r="A2736" s="4" t="s">
        <v>16</v>
      </c>
      <c r="B2736" s="4" t="s">
        <v>7623</v>
      </c>
      <c r="C2736" s="5">
        <v>44638.0</v>
      </c>
      <c r="D2736" s="10">
        <v>44639.0</v>
      </c>
      <c r="E2736" s="4" t="s">
        <v>7624</v>
      </c>
      <c r="F2736" s="4" t="s">
        <v>7625</v>
      </c>
      <c r="G2736" s="6" t="str">
        <f>IFERROR(__xludf.DUMMYFUNCTION("REGEXREPLACE(LOWER(F2736),""[^a-z\s]"","""")"),"quick response time and friendly customer service")</f>
        <v>quick response time and friendly customer service</v>
      </c>
      <c r="H2736" s="4" t="str">
        <f t="shared" si="1"/>
        <v>quick response time friendly customer service</v>
      </c>
      <c r="I2736" s="6">
        <f t="shared" si="2"/>
        <v>6</v>
      </c>
      <c r="J2736" s="6">
        <f>IFERROR(__xludf.DUMMYFUNCTION("IF(H2736="""","""",
SUM(
ARRAYFORMULA(
IF(
REGEXMATCH(
"" ""&amp;H2736&amp;"" "",
"" ""&amp;Sentiment_Words!A$2:A3730&amp;"" ""
),
1,
0
)
)
)
)"),0.0)</f>
        <v>0</v>
      </c>
      <c r="K2736" s="4">
        <f>IFERROR(__xludf.DUMMYFUNCTION("IF(H2736="""","""",
SUM(
ARRAYFORMULA(
IF(
REGEXMATCH(
"" ""&amp;H2736&amp;"" "",
"" ""&amp;Sentiment_Words!B$2:B3730&amp;"" ""
),
1,
0
)
)
)
)"),1.0)</f>
        <v>1</v>
      </c>
      <c r="L2736" s="7" t="str">
        <f t="shared" si="3"/>
        <v>Customer Support</v>
      </c>
      <c r="M2736" s="7" t="str">
        <f t="shared" si="4"/>
        <v>Negative</v>
      </c>
      <c r="N2736" s="7" t="str">
        <f>IFERROR(__xludf.DUMMYFUNCTION("LOWER(
TRIM(
REGEXREPLACE(B2736,""[^a-zA-Z\s]"","""")
)
)
"),"jacqueline diaz")</f>
        <v>jacqueline diaz</v>
      </c>
      <c r="O2736" s="7">
        <f t="shared" si="5"/>
        <v>1</v>
      </c>
      <c r="P2736" s="8" t="str">
        <f t="shared" si="6"/>
        <v>No</v>
      </c>
    </row>
    <row r="2737">
      <c r="A2737" s="4" t="s">
        <v>16</v>
      </c>
      <c r="B2737" s="4" t="s">
        <v>7626</v>
      </c>
      <c r="C2737" s="5">
        <v>44638.0</v>
      </c>
      <c r="D2737" s="10">
        <v>44639.0</v>
      </c>
      <c r="E2737" s="4" t="s">
        <v>7627</v>
      </c>
      <c r="F2737" s="4" t="s">
        <v>7628</v>
      </c>
      <c r="G2737" s="6" t="str">
        <f>IFERROR(__xludf.DUMMYFUNCTION("REGEXREPLACE(LOWER(F2737),""[^a-z\s]"","""")"),"i like that pet flow is accurate with the information they share with me and the options i have with my orders thats really important to me id also like to ask that the dm food i get from now on be the savory select cat food instead of the pate which my c"&amp;"at wont eat thank you")</f>
        <v>i like that pet flow is accurate with the information they share with me and the options i have with my orders thats really important to me id also like to ask that the dm food i get from now on be the savory select cat food instead of the pate which my cat wont eat thank you</v>
      </c>
      <c r="H2737" s="4" t="str">
        <f t="shared" si="1"/>
        <v>i like that pet flow accurate with information they share with me options i have with my orders thats really important me id also like ask that dm food i get from now on be savory select cat food instead of pate which my cat wont eat thank you</v>
      </c>
      <c r="I2737" s="6">
        <f t="shared" si="2"/>
        <v>49</v>
      </c>
      <c r="J2737" s="6">
        <f>IFERROR(__xludf.DUMMYFUNCTION("IF(H2737="""","""",
SUM(
ARRAYFORMULA(
IF(
REGEXMATCH(
"" ""&amp;H2737&amp;"" "",
"" ""&amp;Sentiment_Words!A$2:A3730&amp;"" ""
),
1,
0
)
)
)
)"),0.0)</f>
        <v>0</v>
      </c>
      <c r="K2737" s="4">
        <f>IFERROR(__xludf.DUMMYFUNCTION("IF(H2737="""","""",
SUM(
ARRAYFORMULA(
IF(
REGEXMATCH(
"" ""&amp;H2737&amp;"" "",
"" ""&amp;Sentiment_Words!B$2:B3730&amp;"" ""
),
1,
0
)
)
)
)"),0.0)</f>
        <v>0</v>
      </c>
      <c r="L2737" s="7" t="str">
        <f t="shared" si="3"/>
        <v>Other</v>
      </c>
      <c r="M2737" s="7" t="str">
        <f t="shared" si="4"/>
        <v>Neutral</v>
      </c>
      <c r="N2737" s="7" t="str">
        <f>IFERROR(__xludf.DUMMYFUNCTION("LOWER(
TRIM(
REGEXREPLACE(B2737,""[^a-zA-Z\s]"","""")
)
)
"),"lynnjo cantor")</f>
        <v>lynnjo cantor</v>
      </c>
      <c r="O2737" s="7">
        <f t="shared" si="5"/>
        <v>1</v>
      </c>
      <c r="P2737" s="8" t="str">
        <f t="shared" si="6"/>
        <v>No</v>
      </c>
    </row>
    <row r="2738">
      <c r="A2738" s="4" t="s">
        <v>16</v>
      </c>
      <c r="B2738" s="4" t="s">
        <v>7629</v>
      </c>
      <c r="C2738" s="5">
        <v>44638.0</v>
      </c>
      <c r="D2738" s="10">
        <v>44638.0</v>
      </c>
      <c r="E2738" s="4" t="s">
        <v>7630</v>
      </c>
      <c r="F2738" s="4" t="s">
        <v>7631</v>
      </c>
      <c r="G2738" s="6" t="str">
        <f>IFERROR(__xludf.DUMMYFUNCTION("REGEXREPLACE(LOWER(F2738),""[^a-z\s]"","""")"),"happy with the product however when i ordered it said it would ship immediately and  days later it finally shipped i needed the dog food and with that  day delay it made me go purchase a smaller bag to get me through")</f>
        <v>happy with the product however when i ordered it said it would ship immediately and  days later it finally shipped i needed the dog food and with that  day delay it made me go purchase a smaller bag to get me through</v>
      </c>
      <c r="H2738" s="4" t="str">
        <f t="shared" si="1"/>
        <v>happy with product however when i ordered it said it would ship immediately days later it finally shipped i needed dog food with that day delay it made me go purchase a smaller bag get me through</v>
      </c>
      <c r="I2738" s="6">
        <f t="shared" si="2"/>
        <v>37</v>
      </c>
      <c r="J2738" s="6">
        <f>IFERROR(__xludf.DUMMYFUNCTION("IF(H2738="""","""",
SUM(
ARRAYFORMULA(
IF(
REGEXMATCH(
"" ""&amp;H2738&amp;"" "",
"" ""&amp;Sentiment_Words!A$2:A3730&amp;"" ""
),
1,
0
)
)
)
)"),2.0)</f>
        <v>2</v>
      </c>
      <c r="K2738" s="4">
        <f>IFERROR(__xludf.DUMMYFUNCTION("IF(H2738="""","""",
SUM(
ARRAYFORMULA(
IF(
REGEXMATCH(
"" ""&amp;H2738&amp;"" "",
"" ""&amp;Sentiment_Words!B$2:B3730&amp;"" ""
),
1,
0
)
)
)
)"),1.0)</f>
        <v>1</v>
      </c>
      <c r="L2738" s="7" t="str">
        <f t="shared" si="3"/>
        <v>Fulfillment &amp; Shipping</v>
      </c>
      <c r="M2738" s="7" t="str">
        <f t="shared" si="4"/>
        <v>Positive</v>
      </c>
      <c r="N2738" s="7" t="str">
        <f>IFERROR(__xludf.DUMMYFUNCTION("LOWER(
TRIM(
REGEXREPLACE(B2738,""[^a-zA-Z\s]"","""")
)
)
"),"cara freeman")</f>
        <v>cara freeman</v>
      </c>
      <c r="O2738" s="7">
        <f t="shared" si="5"/>
        <v>1</v>
      </c>
      <c r="P2738" s="8" t="str">
        <f t="shared" si="6"/>
        <v>No</v>
      </c>
    </row>
    <row r="2739">
      <c r="A2739" s="4" t="s">
        <v>16</v>
      </c>
      <c r="B2739" s="4" t="s">
        <v>7632</v>
      </c>
      <c r="C2739" s="5">
        <v>44638.0</v>
      </c>
      <c r="D2739" s="10">
        <v>44638.0</v>
      </c>
      <c r="E2739" s="4" t="s">
        <v>7633</v>
      </c>
      <c r="F2739" s="4" t="s">
        <v>7634</v>
      </c>
      <c r="G2739" s="6" t="str">
        <f>IFERROR(__xludf.DUMMYFUNCTION("REGEXREPLACE(LOWER(F2739),""[^a-z\s]"","""")"),"very easy online ordering and pretty fast delivery im not able to purchase fromm dog food where i live i actually found petflow on fromms website")</f>
        <v>very easy online ordering and pretty fast delivery im not able to purchase fromm dog food where i live i actually found petflow on fromms website</v>
      </c>
      <c r="H2739" s="4" t="str">
        <f t="shared" si="1"/>
        <v>very easy online ordering pretty fast delivery im not able purchase fromm dog food where i live i actually found petflow on fromms website</v>
      </c>
      <c r="I2739" s="6">
        <f t="shared" si="2"/>
        <v>24</v>
      </c>
      <c r="J2739" s="6">
        <f>IFERROR(__xludf.DUMMYFUNCTION("IF(H2739="""","""",
SUM(
ARRAYFORMULA(
IF(
REGEXMATCH(
"" ""&amp;H2739&amp;"" "",
"" ""&amp;Sentiment_Words!A$2:A3730&amp;"" ""
),
1,
0
)
)
)
)"),5.0)</f>
        <v>5</v>
      </c>
      <c r="K2739" s="4">
        <f>IFERROR(__xludf.DUMMYFUNCTION("IF(H2739="""","""",
SUM(
ARRAYFORMULA(
IF(
REGEXMATCH(
"" ""&amp;H2739&amp;"" "",
"" ""&amp;Sentiment_Words!B$2:B3730&amp;"" ""
),
1,
0
)
)
)
)"),0.0)</f>
        <v>0</v>
      </c>
      <c r="L2739" s="7" t="str">
        <f t="shared" si="3"/>
        <v>Account &amp; Website</v>
      </c>
      <c r="M2739" s="7" t="str">
        <f t="shared" si="4"/>
        <v>Positive</v>
      </c>
      <c r="N2739" s="7" t="str">
        <f>IFERROR(__xludf.DUMMYFUNCTION("LOWER(
TRIM(
REGEXREPLACE(B2739,""[^a-zA-Z\s]"","""")
)
)
"),"mari eschenbaum")</f>
        <v>mari eschenbaum</v>
      </c>
      <c r="O2739" s="7">
        <f t="shared" si="5"/>
        <v>1</v>
      </c>
      <c r="P2739" s="8" t="str">
        <f t="shared" si="6"/>
        <v>No</v>
      </c>
    </row>
    <row r="2740">
      <c r="A2740" s="4" t="s">
        <v>16</v>
      </c>
      <c r="B2740" s="4" t="s">
        <v>7635</v>
      </c>
      <c r="C2740" s="5">
        <v>44638.0</v>
      </c>
      <c r="D2740" s="10">
        <v>44638.0</v>
      </c>
      <c r="E2740" s="4" t="s">
        <v>623</v>
      </c>
      <c r="F2740" s="4" t="s">
        <v>7636</v>
      </c>
      <c r="G2740" s="6" t="str">
        <f>IFERROR(__xludf.DUMMYFUNCTION("REGEXREPLACE(LOWER(F2740),""[^a-z\s]"","""")"),"very fast delivery")</f>
        <v>very fast delivery</v>
      </c>
      <c r="H2740" s="4" t="str">
        <f t="shared" si="1"/>
        <v>very fast delivery</v>
      </c>
      <c r="I2740" s="6">
        <f t="shared" si="2"/>
        <v>3</v>
      </c>
      <c r="J2740" s="6">
        <f>IFERROR(__xludf.DUMMYFUNCTION("IF(H2740="""","""",
SUM(
ARRAYFORMULA(
IF(
REGEXMATCH(
"" ""&amp;H2740&amp;"" "",
"" ""&amp;Sentiment_Words!A$2:A3730&amp;"" ""
),
1,
0
)
)
)
)"),2.0)</f>
        <v>2</v>
      </c>
      <c r="K2740" s="4">
        <f>IFERROR(__xludf.DUMMYFUNCTION("IF(H2740="""","""",
SUM(
ARRAYFORMULA(
IF(
REGEXMATCH(
"" ""&amp;H2740&amp;"" "",
"" ""&amp;Sentiment_Words!B$2:B3730&amp;"" ""
),
1,
0
)
)
)
)"),0.0)</f>
        <v>0</v>
      </c>
      <c r="L2740" s="7" t="str">
        <f t="shared" si="3"/>
        <v>Other</v>
      </c>
      <c r="M2740" s="7" t="str">
        <f t="shared" si="4"/>
        <v>Positive</v>
      </c>
      <c r="N2740" s="7" t="str">
        <f>IFERROR(__xludf.DUMMYFUNCTION("LOWER(
TRIM(
REGEXREPLACE(B2740,""[^a-zA-Z\s]"","""")
)
)
"),"susan levinsohn")</f>
        <v>susan levinsohn</v>
      </c>
      <c r="O2740" s="7">
        <f t="shared" si="5"/>
        <v>1</v>
      </c>
      <c r="P2740" s="8" t="str">
        <f t="shared" si="6"/>
        <v>No</v>
      </c>
    </row>
    <row r="2741">
      <c r="A2741" s="4" t="s">
        <v>16</v>
      </c>
      <c r="B2741" s="4" t="s">
        <v>1456</v>
      </c>
      <c r="C2741" s="5">
        <v>44638.0</v>
      </c>
      <c r="D2741" s="10">
        <v>44638.0</v>
      </c>
      <c r="E2741" s="4" t="s">
        <v>7637</v>
      </c>
      <c r="F2741" s="4" t="s">
        <v>7638</v>
      </c>
      <c r="G2741" s="6" t="str">
        <f>IFERROR(__xludf.DUMMYFUNCTION("REGEXREPLACE(LOWER(F2741),""[^a-z\s]"","""")"),"i ordered the dog food on march th still waiting delivery its been almost two weeks my orders from pet flow in the past have been delivered quickly")</f>
        <v>i ordered the dog food on march th still waiting delivery its been almost two weeks my orders from pet flow in the past have been delivered quickly</v>
      </c>
      <c r="H2741" s="4" t="str">
        <f t="shared" si="1"/>
        <v>i ordered dog food on march th still waiting delivery its been almost two weeks my orders from pet flow in past have been delivered quickly</v>
      </c>
      <c r="I2741" s="6">
        <f t="shared" si="2"/>
        <v>26</v>
      </c>
      <c r="J2741" s="6">
        <f>IFERROR(__xludf.DUMMYFUNCTION("IF(H2741="""","""",
SUM(
ARRAYFORMULA(
IF(
REGEXMATCH(
"" ""&amp;H2741&amp;"" "",
"" ""&amp;Sentiment_Words!A$2:A3730&amp;"" ""
),
1,
0
)
)
)
)"),1.0)</f>
        <v>1</v>
      </c>
      <c r="K2741" s="4">
        <f>IFERROR(__xludf.DUMMYFUNCTION("IF(H2741="""","""",
SUM(
ARRAYFORMULA(
IF(
REGEXMATCH(
"" ""&amp;H2741&amp;"" "",
"" ""&amp;Sentiment_Words!B$2:B3730&amp;"" ""
),
1,
0
)
)
)
)"),0.0)</f>
        <v>0</v>
      </c>
      <c r="L2741" s="7" t="str">
        <f t="shared" si="3"/>
        <v>Other</v>
      </c>
      <c r="M2741" s="7" t="str">
        <f t="shared" si="4"/>
        <v>Positive</v>
      </c>
      <c r="N2741" s="7" t="str">
        <f>IFERROR(__xludf.DUMMYFUNCTION("LOWER(
TRIM(
REGEXREPLACE(B2741,""[^a-zA-Z\s]"","""")
)
)
"),"kathy")</f>
        <v>kathy</v>
      </c>
      <c r="O2741" s="7">
        <f t="shared" si="5"/>
        <v>5</v>
      </c>
      <c r="P2741" s="8" t="str">
        <f t="shared" si="6"/>
        <v>Yes</v>
      </c>
    </row>
    <row r="2742">
      <c r="A2742" s="4" t="s">
        <v>16</v>
      </c>
      <c r="B2742" s="4" t="s">
        <v>7639</v>
      </c>
      <c r="C2742" s="5">
        <v>44638.0</v>
      </c>
      <c r="D2742" s="10">
        <v>44638.0</v>
      </c>
      <c r="E2742" s="4" t="s">
        <v>7640</v>
      </c>
      <c r="F2742" s="4" t="s">
        <v>7641</v>
      </c>
      <c r="G2742" s="6" t="str">
        <f>IFERROR(__xludf.DUMMYFUNCTION("REGEXREPLACE(LOWER(F2742),""[^a-z\s]"","""")"),"shipping takes too long but i can deal with that what is unacceptable is when you have items listed in stock when you really dont specially when it comes to items that need a veterinarian prescription i dont care how big of a company you are thats why the"&amp;"y have computers and programs that can take care of those logistics if an item sells out which happens it shouldnt take more than a week to hear back and only took a week because i was the one who called no one reached out me im never ordering from you gu"&amp;"ys again ill stick to chewy")</f>
        <v>shipping takes too long but i can deal with that what is unacceptable is when you have items listed in stock when you really dont specially when it comes to items that need a veterinarian prescription i dont care how big of a company you are thats why they have computers and programs that can take care of those logistics if an item sells out which happens it shouldnt take more than a week to hear back and only took a week because i was the one who called no one reached out me im never ordering from you guys again ill stick to chewy</v>
      </c>
      <c r="H2742" s="4" t="str">
        <f t="shared" si="1"/>
        <v>shipping takes too long but i can deal with that what unacceptable when you have items listed in stock when you really dont specially when it comes items that need a veterinarian prescription i dont care how big of a company you are thats why they have computers programs that can take care of those logistics if an item sells out which happens it shouldnt take more than a week hear back only took a week because i was one who called no one reached out me im never ordering from you guys again ill stick chewy</v>
      </c>
      <c r="I2742" s="6">
        <f t="shared" si="2"/>
        <v>97</v>
      </c>
      <c r="J2742" s="6">
        <f>IFERROR(__xludf.DUMMYFUNCTION("IF(H2742="""","""",
SUM(
ARRAYFORMULA(
IF(
REGEXMATCH(
"" ""&amp;H2742&amp;"" "",
"" ""&amp;Sentiment_Words!A$2:A3730&amp;"" ""
),
1,
0
)
)
)
)"),0.0)</f>
        <v>0</v>
      </c>
      <c r="K2742" s="4">
        <f>IFERROR(__xludf.DUMMYFUNCTION("IF(H2742="""","""",
SUM(
ARRAYFORMULA(
IF(
REGEXMATCH(
"" ""&amp;H2742&amp;"" "",
"" ""&amp;Sentiment_Words!B$2:B3730&amp;"" ""
),
1,
0
)
)
)
)"),0.0)</f>
        <v>0</v>
      </c>
      <c r="L2742" s="7" t="str">
        <f t="shared" si="3"/>
        <v>Other</v>
      </c>
      <c r="M2742" s="7" t="str">
        <f t="shared" si="4"/>
        <v>Neutral</v>
      </c>
      <c r="N2742" s="7" t="str">
        <f>IFERROR(__xludf.DUMMYFUNCTION("LOWER(
TRIM(
REGEXREPLACE(B2742,""[^a-zA-Z\s]"","""")
)
)
"),"leo vides")</f>
        <v>leo vides</v>
      </c>
      <c r="O2742" s="7">
        <f t="shared" si="5"/>
        <v>1</v>
      </c>
      <c r="P2742" s="8" t="str">
        <f t="shared" si="6"/>
        <v>No</v>
      </c>
    </row>
    <row r="2743">
      <c r="A2743" s="4" t="s">
        <v>16</v>
      </c>
      <c r="B2743" s="4" t="s">
        <v>7642</v>
      </c>
      <c r="C2743" s="5">
        <v>44638.0</v>
      </c>
      <c r="D2743" s="10">
        <v>44638.0</v>
      </c>
      <c r="E2743" s="4" t="s">
        <v>7643</v>
      </c>
      <c r="F2743" s="4" t="s">
        <v>7644</v>
      </c>
      <c r="G2743" s="6" t="str">
        <f>IFERROR(__xludf.DUMMYFUNCTION("REGEXREPLACE(LOWER(F2743),""[^a-z\s]"","""")"),"very easy to order prompt delivery of product ordered")</f>
        <v>very easy to order prompt delivery of product ordered</v>
      </c>
      <c r="H2743" s="4" t="str">
        <f t="shared" si="1"/>
        <v>very easy order prompt delivery of product ordered</v>
      </c>
      <c r="I2743" s="6">
        <f t="shared" si="2"/>
        <v>8</v>
      </c>
      <c r="J2743" s="6">
        <f>IFERROR(__xludf.DUMMYFUNCTION("IF(H2743="""","""",
SUM(
ARRAYFORMULA(
IF(
REGEXMATCH(
"" ""&amp;H2743&amp;"" "",
"" ""&amp;Sentiment_Words!A$2:A3730&amp;"" ""
),
1,
0
)
)
)
)"),2.0)</f>
        <v>2</v>
      </c>
      <c r="K2743" s="4">
        <f>IFERROR(__xludf.DUMMYFUNCTION("IF(H2743="""","""",
SUM(
ARRAYFORMULA(
IF(
REGEXMATCH(
"" ""&amp;H2743&amp;"" "",
"" ""&amp;Sentiment_Words!B$2:B3730&amp;"" ""
),
1,
0
)
)
)
)"),0.0)</f>
        <v>0</v>
      </c>
      <c r="L2743" s="7" t="str">
        <f t="shared" si="3"/>
        <v>Other</v>
      </c>
      <c r="M2743" s="7" t="str">
        <f t="shared" si="4"/>
        <v>Positive</v>
      </c>
      <c r="N2743" s="7" t="str">
        <f>IFERROR(__xludf.DUMMYFUNCTION("LOWER(
TRIM(
REGEXREPLACE(B2743,""[^a-zA-Z\s]"","""")
)
)
"),"susan peters")</f>
        <v>susan peters</v>
      </c>
      <c r="O2743" s="7">
        <f t="shared" si="5"/>
        <v>1</v>
      </c>
      <c r="P2743" s="8" t="str">
        <f t="shared" si="6"/>
        <v>No</v>
      </c>
    </row>
    <row r="2744">
      <c r="A2744" s="4" t="s">
        <v>16</v>
      </c>
      <c r="B2744" s="4" t="s">
        <v>7645</v>
      </c>
      <c r="C2744" s="5">
        <v>44637.0</v>
      </c>
      <c r="D2744" s="10">
        <v>44637.0</v>
      </c>
      <c r="E2744" s="4" t="s">
        <v>7646</v>
      </c>
      <c r="F2744" s="4" t="s">
        <v>7647</v>
      </c>
      <c r="G2744" s="6" t="str">
        <f>IFERROR(__xludf.DUMMYFUNCTION("REGEXREPLACE(LOWER(F2744),""[^a-z\s]"","""")"),"my order arrived in a timely manner beautifully packed with recyclable materials i received discounts that compare favorably to other online pet suppliers i wanted to order fromm products and fromms familyowned company will only sell through certain compa"&amp;"nies that seems a good endorsement of petflow")</f>
        <v>my order arrived in a timely manner beautifully packed with recyclable materials i received discounts that compare favorably to other online pet suppliers i wanted to order fromm products and fromms familyowned company will only sell through certain companies that seems a good endorsement of petflow</v>
      </c>
      <c r="H2744" s="4" t="str">
        <f t="shared" si="1"/>
        <v>my order arrived in a timely manner beautifully packed with recyclable materials i received discounts that compare favorably other online pet suppliers i wanted order fromm products fromms familyowned company will only sell through certain companies that seems a good endorsement of petflow</v>
      </c>
      <c r="I2744" s="6">
        <f t="shared" si="2"/>
        <v>43</v>
      </c>
      <c r="J2744" s="6">
        <f>IFERROR(__xludf.DUMMYFUNCTION("IF(H2744="""","""",
SUM(
ARRAYFORMULA(
IF(
REGEXMATCH(
"" ""&amp;H2744&amp;"" "",
"" ""&amp;Sentiment_Words!A$2:A3730&amp;"" ""
),
1,
0
)
)
)
)"),1.0)</f>
        <v>1</v>
      </c>
      <c r="K2744" s="4">
        <f>IFERROR(__xludf.DUMMYFUNCTION("IF(H2744="""","""",
SUM(
ARRAYFORMULA(
IF(
REGEXMATCH(
"" ""&amp;H2744&amp;"" "",
"" ""&amp;Sentiment_Words!B$2:B3730&amp;"" ""
),
1,
0
)
)
)
)"),0.0)</f>
        <v>0</v>
      </c>
      <c r="L2744" s="7" t="str">
        <f t="shared" si="3"/>
        <v>Other</v>
      </c>
      <c r="M2744" s="7" t="str">
        <f t="shared" si="4"/>
        <v>Positive</v>
      </c>
      <c r="N2744" s="7" t="str">
        <f>IFERROR(__xludf.DUMMYFUNCTION("LOWER(
TRIM(
REGEXREPLACE(B2744,""[^a-zA-Z\s]"","""")
)
)
"),"hannes mama")</f>
        <v>hannes mama</v>
      </c>
      <c r="O2744" s="7">
        <f t="shared" si="5"/>
        <v>1</v>
      </c>
      <c r="P2744" s="8" t="str">
        <f t="shared" si="6"/>
        <v>No</v>
      </c>
    </row>
    <row r="2745">
      <c r="A2745" s="4" t="s">
        <v>16</v>
      </c>
      <c r="B2745" s="4" t="s">
        <v>7648</v>
      </c>
      <c r="C2745" s="5">
        <v>44637.0</v>
      </c>
      <c r="D2745" s="10">
        <v>44637.0</v>
      </c>
      <c r="E2745" s="4" t="s">
        <v>7649</v>
      </c>
      <c r="F2745" s="4" t="s">
        <v>7650</v>
      </c>
      <c r="G2745" s="6" t="str">
        <f>IFERROR(__xludf.DUMMYFUNCTION("REGEXREPLACE(LOWER(F2745),""[^a-z\s]"","""")"),"pet flow was willing to sell me a product they did not have in stock pet flow said that the manufacturer hills science diet had the pet food in their warehouse i telephoned hills science diet and they also report not having the purchased cat food in stock")</f>
        <v>pet flow was willing to sell me a product they did not have in stock pet flow said that the manufacturer hills science diet had the pet food in their warehouse i telephoned hills science diet and they also report not having the purchased cat food in stock</v>
      </c>
      <c r="H2745" s="4" t="str">
        <f t="shared" si="1"/>
        <v>pet flow was willing sell me a product they did not have in stock pet flow said that manufacturer hills science diet had pet food in their warehouse i telephoned hills science diet they also report not having purchased cat food in stock</v>
      </c>
      <c r="I2745" s="6">
        <f t="shared" si="2"/>
        <v>43</v>
      </c>
      <c r="J2745" s="6">
        <f>IFERROR(__xludf.DUMMYFUNCTION("IF(H2745="""","""",
SUM(
ARRAYFORMULA(
IF(
REGEXMATCH(
"" ""&amp;H2745&amp;"" "",
"" ""&amp;Sentiment_Words!A$2:A3730&amp;"" ""
),
1,
0
)
)
)
)"),0.0)</f>
        <v>0</v>
      </c>
      <c r="K2745" s="4">
        <f>IFERROR(__xludf.DUMMYFUNCTION("IF(H2745="""","""",
SUM(
ARRAYFORMULA(
IF(
REGEXMATCH(
"" ""&amp;H2745&amp;"" "",
"" ""&amp;Sentiment_Words!B$2:B3730&amp;"" ""
),
1,
0
)
)
)
)"),0.0)</f>
        <v>0</v>
      </c>
      <c r="L2745" s="7" t="str">
        <f t="shared" si="3"/>
        <v>Other</v>
      </c>
      <c r="M2745" s="7" t="str">
        <f t="shared" si="4"/>
        <v>Neutral</v>
      </c>
      <c r="N2745" s="7" t="str">
        <f>IFERROR(__xludf.DUMMYFUNCTION("LOWER(
TRIM(
REGEXREPLACE(B2745,""[^a-zA-Z\s]"","""")
)
)
"),"jory")</f>
        <v>jory</v>
      </c>
      <c r="O2745" s="7">
        <f t="shared" si="5"/>
        <v>1</v>
      </c>
      <c r="P2745" s="8" t="str">
        <f t="shared" si="6"/>
        <v>No</v>
      </c>
    </row>
    <row r="2746">
      <c r="A2746" s="4" t="s">
        <v>16</v>
      </c>
      <c r="B2746" s="4" t="s">
        <v>7651</v>
      </c>
      <c r="C2746" s="5">
        <v>44636.0</v>
      </c>
      <c r="D2746" s="10">
        <v>44637.0</v>
      </c>
      <c r="E2746" s="4" t="s">
        <v>7652</v>
      </c>
      <c r="F2746" s="4" t="s">
        <v>7653</v>
      </c>
      <c r="G2746" s="6" t="str">
        <f>IFERROR(__xludf.DUMMYFUNCTION("REGEXREPLACE(LOWER(F2746),""[^a-z\s]"","""")"),"in my last order for dog food to petflow the order was first just later than expected when i called up customer service i was told that orders were piling up at petflow but that the order would be given an expedited designation by the customer service per"&amp;"son the day after that conversation i discovered that my paypal charge for the food was refunded when i again talked with the same customer rep i was told that a mistake had occurred and that i would still be getting the food in spite of the refund
that "&amp;"all happened about two weeks ago today is  no food has been delivered to me from petflow
so this was from my perspective a completely botched order i subsequently ordered the food from a different supplier and got the bag of kibble two days after i place"&amp;"d that new order
even though i had ordered food successfully from petflow in the past i will never ever deal with petflow again i depend on a supplier for sending me the dog food my pet needs in a timely fashion my experience with petflow indicates that "&amp;"they are at best unreliable")</f>
        <v>in my last order for dog food to petflow the order was first just later than expected when i called up customer service i was told that orders were piling up at petflow but that the order would be given an expedited designation by the customer service person the day after that conversation i discovered that my paypal charge for the food was refunded when i again talked with the same customer rep i was told that a mistake had occurred and that i would still be getting the food in spite of the refund
that all happened about two weeks ago today is  no food has been delivered to me from petflow
so this was from my perspective a completely botched order i subsequently ordered the food from a different supplier and got the bag of kibble two days after i placed that new order
even though i had ordered food successfully from petflow in the past i will never ever deal with petflow again i depend on a supplier for sending me the dog food my pet needs in a timely fashion my experience with petflow indicates that they are at best unreliable</v>
      </c>
      <c r="H2746" s="4" t="str">
        <f t="shared" si="1"/>
        <v>in my last order dog food petflow order was first just later than expected when i called up customer service i was told that orders were piling up at petflow but that order would be given an expedited designation by customer service person day after that conversation i discovered that my paypal charge food was refunded when i again talked with same customer rep i was told that a mistake had occurred that i would still be getting food in spite of refund
that all happened about two weeks ago today no food has been delivered me from petflow
so this was from my perspective a completely botched order i subsequently ordered food from a different supplier got bag of kibble two days after i placed that new order
even though i had ordered food successfully from petflow in past i will never ever deal with petflow again i depend on a supplier sending me dog food my pet needs in a timely fashion my experience with petflow indicates that they are at best unreliable</v>
      </c>
      <c r="I2746" s="6">
        <f t="shared" si="2"/>
        <v>172</v>
      </c>
      <c r="J2746" s="6">
        <f>IFERROR(__xludf.DUMMYFUNCTION("IF(H2746="""","""",
SUM(
ARRAYFORMULA(
IF(
REGEXMATCH(
"" ""&amp;H2746&amp;"" "",
"" ""&amp;Sentiment_Words!A$2:A3730&amp;"" ""
),
1,
0
)
)
)
)"),1.0)</f>
        <v>1</v>
      </c>
      <c r="K2746" s="4">
        <f>IFERROR(__xludf.DUMMYFUNCTION("IF(H2746="""","""",
SUM(
ARRAYFORMULA(
IF(
REGEXMATCH(
"" ""&amp;H2746&amp;"" "",
"" ""&amp;Sentiment_Words!B$2:B3730&amp;"" ""
),
1,
0
)
)
)
)"),1.0)</f>
        <v>1</v>
      </c>
      <c r="L2746" s="7" t="str">
        <f t="shared" si="3"/>
        <v>Customer Support</v>
      </c>
      <c r="M2746" s="7" t="str">
        <f t="shared" si="4"/>
        <v>Neutral</v>
      </c>
      <c r="N2746" s="7" t="str">
        <f>IFERROR(__xludf.DUMMYFUNCTION("LOWER(
TRIM(
REGEXREPLACE(B2746,""[^a-zA-Z\s]"","""")
)
)
"),"prefer to remain anonymous")</f>
        <v>prefer to remain anonymous</v>
      </c>
      <c r="O2746" s="7">
        <f t="shared" si="5"/>
        <v>1</v>
      </c>
      <c r="P2746" s="8" t="str">
        <f t="shared" si="6"/>
        <v>No</v>
      </c>
    </row>
    <row r="2747">
      <c r="A2747" s="4" t="s">
        <v>16</v>
      </c>
      <c r="B2747" s="4" t="s">
        <v>416</v>
      </c>
      <c r="C2747" s="5">
        <v>44636.0</v>
      </c>
      <c r="D2747" s="10">
        <v>44637.0</v>
      </c>
      <c r="E2747" s="4" t="s">
        <v>7654</v>
      </c>
      <c r="F2747" s="4" t="s">
        <v>7655</v>
      </c>
      <c r="G2747" s="6" t="str">
        <f>IFERROR(__xludf.DUMMYFUNCTION("REGEXREPLACE(LOWER(F2747),""[^a-z\s]"","""")"),"best company ever ive used them for years theyre dependable and refund your money if your dog reacts badly to a new food or treat etc or if a treat they sold has been recalled by its company which is not petflows fault their prices are even lower than che"&amp;"wyi tell people about them all the time")</f>
        <v>best company ever ive used them for years theyre dependable and refund your money if your dog reacts badly to a new food or treat etc or if a treat they sold has been recalled by its company which is not petflows fault their prices are even lower than chewyi tell people about them all the time</v>
      </c>
      <c r="H2747" s="4" t="str">
        <f t="shared" si="1"/>
        <v>best company ever ive used them years theyre dependable refund your money if your dog reacts badly a new food or treat etc or if a treat they sold has been recalled by its company which not petflows fault their prices are even lower than chewyi tell people about them all time</v>
      </c>
      <c r="I2747" s="6">
        <f t="shared" si="2"/>
        <v>52</v>
      </c>
      <c r="J2747" s="6">
        <f>IFERROR(__xludf.DUMMYFUNCTION("IF(H2747="""","""",
SUM(
ARRAYFORMULA(
IF(
REGEXMATCH(
"" ""&amp;H2747&amp;"" "",
"" ""&amp;Sentiment_Words!A$2:A3730&amp;"" ""
),
1,
0
)
)
)
)"),0.0)</f>
        <v>0</v>
      </c>
      <c r="K2747" s="4">
        <f>IFERROR(__xludf.DUMMYFUNCTION("IF(H2747="""","""",
SUM(
ARRAYFORMULA(
IF(
REGEXMATCH(
"" ""&amp;H2747&amp;"" "",
"" ""&amp;Sentiment_Words!B$2:B3730&amp;"" ""
),
1,
0
)
)
)
)"),2.0)</f>
        <v>2</v>
      </c>
      <c r="L2747" s="7" t="str">
        <f t="shared" si="3"/>
        <v>Other</v>
      </c>
      <c r="M2747" s="7" t="str">
        <f t="shared" si="4"/>
        <v>Negative</v>
      </c>
      <c r="N2747" s="7" t="str">
        <f>IFERROR(__xludf.DUMMYFUNCTION("LOWER(
TRIM(
REGEXREPLACE(B2747,""[^a-zA-Z\s]"","""")
)
)
"),"mm")</f>
        <v>mm</v>
      </c>
      <c r="O2747" s="7">
        <f t="shared" si="5"/>
        <v>3</v>
      </c>
      <c r="P2747" s="8" t="str">
        <f t="shared" si="6"/>
        <v>Yes</v>
      </c>
    </row>
    <row r="2748">
      <c r="A2748" s="4" t="s">
        <v>16</v>
      </c>
      <c r="B2748" s="4" t="s">
        <v>7656</v>
      </c>
      <c r="C2748" s="5">
        <v>44636.0</v>
      </c>
      <c r="D2748" s="10">
        <v>44636.0</v>
      </c>
      <c r="E2748" s="4" t="s">
        <v>7657</v>
      </c>
      <c r="F2748" s="4" t="s">
        <v>7658</v>
      </c>
      <c r="G2748" s="6" t="str">
        <f>IFERROR(__xludf.DUMMYFUNCTION("REGEXREPLACE(LOWER(F2748),""[^a-z\s]"","""")"),"great service arrived quickly and got exactly what i ordered")</f>
        <v>great service arrived quickly and got exactly what i ordered</v>
      </c>
      <c r="H2748" s="4" t="str">
        <f t="shared" si="1"/>
        <v>great service arrived quickly got exactly what i ordered</v>
      </c>
      <c r="I2748" s="6">
        <f t="shared" si="2"/>
        <v>9</v>
      </c>
      <c r="J2748" s="6">
        <f>IFERROR(__xludf.DUMMYFUNCTION("IF(H2748="""","""",
SUM(
ARRAYFORMULA(
IF(
REGEXMATCH(
"" ""&amp;H2748&amp;"" "",
"" ""&amp;Sentiment_Words!A$2:A3730&amp;"" ""
),
1,
0
)
)
)
)"),1.0)</f>
        <v>1</v>
      </c>
      <c r="K2748" s="4">
        <f>IFERROR(__xludf.DUMMYFUNCTION("IF(H2748="""","""",
SUM(
ARRAYFORMULA(
IF(
REGEXMATCH(
"" ""&amp;H2748&amp;"" "",
"" ""&amp;Sentiment_Words!B$2:B3730&amp;"" ""
),
1,
0
)
)
)
)"),0.0)</f>
        <v>0</v>
      </c>
      <c r="L2748" s="7" t="str">
        <f t="shared" si="3"/>
        <v>Customer Support</v>
      </c>
      <c r="M2748" s="7" t="str">
        <f t="shared" si="4"/>
        <v>Positive</v>
      </c>
      <c r="N2748" s="7" t="str">
        <f>IFERROR(__xludf.DUMMYFUNCTION("LOWER(
TRIM(
REGEXREPLACE(B2748,""[^a-zA-Z\s]"","""")
)
)
"),"ceil")</f>
        <v>ceil</v>
      </c>
      <c r="O2748" s="7">
        <f t="shared" si="5"/>
        <v>1</v>
      </c>
      <c r="P2748" s="8" t="str">
        <f t="shared" si="6"/>
        <v>No</v>
      </c>
    </row>
    <row r="2749">
      <c r="A2749" s="4" t="s">
        <v>16</v>
      </c>
      <c r="B2749" s="4" t="s">
        <v>7659</v>
      </c>
      <c r="C2749" s="5">
        <v>44635.0</v>
      </c>
      <c r="D2749" s="10">
        <v>44636.0</v>
      </c>
      <c r="E2749" s="4" t="s">
        <v>623</v>
      </c>
      <c r="F2749" s="4" t="s">
        <v>7660</v>
      </c>
      <c r="G2749" s="6" t="str">
        <f>IFERROR(__xludf.DUMMYFUNCTION("REGEXREPLACE(LOWER(F2749),""[^a-z\s]"","""")"),"my dog loves this dog food and it was very quick getting to us thankyou")</f>
        <v>my dog loves this dog food and it was very quick getting to us thankyou</v>
      </c>
      <c r="H2749" s="4" t="str">
        <f t="shared" si="1"/>
        <v>my dog loves this dog food it was very quick getting us thankyou</v>
      </c>
      <c r="I2749" s="6">
        <f t="shared" si="2"/>
        <v>13</v>
      </c>
      <c r="J2749" s="6">
        <f>IFERROR(__xludf.DUMMYFUNCTION("IF(H2749="""","""",
SUM(
ARRAYFORMULA(
IF(
REGEXMATCH(
"" ""&amp;H2749&amp;"" "",
"" ""&amp;Sentiment_Words!A$2:A3730&amp;"" ""
),
1,
0
)
)
)
)"),0.0)</f>
        <v>0</v>
      </c>
      <c r="K2749" s="4">
        <f>IFERROR(__xludf.DUMMYFUNCTION("IF(H2749="""","""",
SUM(
ARRAYFORMULA(
IF(
REGEXMATCH(
"" ""&amp;H2749&amp;"" "",
"" ""&amp;Sentiment_Words!B$2:B3730&amp;"" ""
),
1,
0
)
)
)
)"),0.0)</f>
        <v>0</v>
      </c>
      <c r="L2749" s="7" t="str">
        <f t="shared" si="3"/>
        <v>Other</v>
      </c>
      <c r="M2749" s="7" t="str">
        <f t="shared" si="4"/>
        <v>Neutral</v>
      </c>
      <c r="N2749" s="7" t="str">
        <f>IFERROR(__xludf.DUMMYFUNCTION("LOWER(
TRIM(
REGEXREPLACE(B2749,""[^a-zA-Z\s]"","""")
)
)
"),"julie byrnes")</f>
        <v>julie byrnes</v>
      </c>
      <c r="O2749" s="7">
        <f t="shared" si="5"/>
        <v>1</v>
      </c>
      <c r="P2749" s="8" t="str">
        <f t="shared" si="6"/>
        <v>No</v>
      </c>
    </row>
    <row r="2750">
      <c r="A2750" s="4" t="s">
        <v>16</v>
      </c>
      <c r="B2750" s="4" t="s">
        <v>7661</v>
      </c>
      <c r="C2750" s="5">
        <v>44635.0</v>
      </c>
      <c r="D2750" s="10">
        <v>44635.0</v>
      </c>
      <c r="E2750" s="4" t="s">
        <v>7662</v>
      </c>
      <c r="F2750" s="4" t="s">
        <v>7663</v>
      </c>
      <c r="G2750" s="6" t="str">
        <f>IFERROR(__xludf.DUMMYFUNCTION("REGEXREPLACE(LOWER(F2750),""[^a-z\s]"","""")"),"product almost always in stock good variety of the brands my dogs use quick delivery but the packaging always arrives damaged likely because its just too heavy")</f>
        <v>product almost always in stock good variety of the brands my dogs use quick delivery but the packaging always arrives damaged likely because its just too heavy</v>
      </c>
      <c r="H2750" s="4" t="str">
        <f t="shared" si="1"/>
        <v>product almost always in stock good variety of brands my dogs use quick delivery but packaging always arrives damaged likely because its just too heavy</v>
      </c>
      <c r="I2750" s="6">
        <f t="shared" si="2"/>
        <v>25</v>
      </c>
      <c r="J2750" s="6">
        <f>IFERROR(__xludf.DUMMYFUNCTION("IF(H2750="""","""",
SUM(
ARRAYFORMULA(
IF(
REGEXMATCH(
"" ""&amp;H2750&amp;"" "",
"" ""&amp;Sentiment_Words!A$2:A3730&amp;"" ""
),
1,
0
)
)
)
)"),2.0)</f>
        <v>2</v>
      </c>
      <c r="K2750" s="4">
        <f>IFERROR(__xludf.DUMMYFUNCTION("IF(H2750="""","""",
SUM(
ARRAYFORMULA(
IF(
REGEXMATCH(
"" ""&amp;H2750&amp;"" "",
"" ""&amp;Sentiment_Words!B$2:B3730&amp;"" ""
),
1,
0
)
)
)
)"),0.0)</f>
        <v>0</v>
      </c>
      <c r="L2750" s="7" t="str">
        <f t="shared" si="3"/>
        <v>Other</v>
      </c>
      <c r="M2750" s="7" t="str">
        <f t="shared" si="4"/>
        <v>Positive</v>
      </c>
      <c r="N2750" s="7" t="str">
        <f>IFERROR(__xludf.DUMMYFUNCTION("LOWER(
TRIM(
REGEXREPLACE(B2750,""[^a-zA-Z\s]"","""")
)
)
"),"patricia christenson")</f>
        <v>patricia christenson</v>
      </c>
      <c r="O2750" s="7">
        <f t="shared" si="5"/>
        <v>1</v>
      </c>
      <c r="P2750" s="8" t="str">
        <f t="shared" si="6"/>
        <v>No</v>
      </c>
    </row>
    <row r="2751">
      <c r="A2751" s="4" t="s">
        <v>16</v>
      </c>
      <c r="B2751" s="4" t="s">
        <v>7664</v>
      </c>
      <c r="C2751" s="5">
        <v>44635.0</v>
      </c>
      <c r="D2751" s="10">
        <v>44635.0</v>
      </c>
      <c r="E2751" s="4" t="s">
        <v>7665</v>
      </c>
      <c r="F2751" s="4" t="s">
        <v>7666</v>
      </c>
      <c r="G2751" s="6" t="str">
        <f>IFERROR(__xludf.DUMMYFUNCTION("REGEXREPLACE(LOWER(F2751),""[^a-z\s]"","""")"),"i ordered two bags of dog food and it was delivered in a beat up box and dropped  feet from my covered porch in the rain sure the seller didnt leave it in the rain but are responsible for the safe arrival of the package my star rating is because i contact"&amp;"ed customer no service with photos of the destroyed soaked package and have gotten no response at the very least provide some acknowledgement")</f>
        <v>i ordered two bags of dog food and it was delivered in a beat up box and dropped  feet from my covered porch in the rain sure the seller didnt leave it in the rain but are responsible for the safe arrival of the package my star rating is because i contacted customer no service with photos of the destroyed soaked package and have gotten no response at the very least provide some acknowledgement</v>
      </c>
      <c r="H2751" s="4" t="str">
        <f t="shared" si="1"/>
        <v>i ordered two bags of dog food it was delivered in a beat up box dropped feet from my covered porch in rain sure seller didnt leave it in rain but are responsible safe arrival of package my star rating because i contacted customer no service with photos of destroyed soaked package have gotten no response at very least provide some acknowledgement</v>
      </c>
      <c r="I2751" s="6">
        <f t="shared" si="2"/>
        <v>62</v>
      </c>
      <c r="J2751" s="6">
        <f>IFERROR(__xludf.DUMMYFUNCTION("IF(H2751="""","""",
SUM(
ARRAYFORMULA(
IF(
REGEXMATCH(
"" ""&amp;H2751&amp;"" "",
"" ""&amp;Sentiment_Words!A$2:A3730&amp;"" ""
),
1,
0
)
)
)
)"),1.0)</f>
        <v>1</v>
      </c>
      <c r="K2751" s="4">
        <f>IFERROR(__xludf.DUMMYFUNCTION("IF(H2751="""","""",
SUM(
ARRAYFORMULA(
IF(
REGEXMATCH(
"" ""&amp;H2751&amp;"" "",
"" ""&amp;Sentiment_Words!B$2:B3730&amp;"" ""
),
1,
0
)
)
)
)"),1.0)</f>
        <v>1</v>
      </c>
      <c r="L2751" s="7" t="str">
        <f t="shared" si="3"/>
        <v>Customer Support</v>
      </c>
      <c r="M2751" s="7" t="str">
        <f t="shared" si="4"/>
        <v>Neutral</v>
      </c>
      <c r="N2751" s="7" t="str">
        <f>IFERROR(__xludf.DUMMYFUNCTION("LOWER(
TRIM(
REGEXREPLACE(B2751,""[^a-zA-Z\s]"","""")
)
)
"),"ingrid stecker")</f>
        <v>ingrid stecker</v>
      </c>
      <c r="O2751" s="7">
        <f t="shared" si="5"/>
        <v>1</v>
      </c>
      <c r="P2751" s="8" t="str">
        <f t="shared" si="6"/>
        <v>No</v>
      </c>
    </row>
    <row r="2752">
      <c r="A2752" s="4" t="s">
        <v>16</v>
      </c>
      <c r="B2752" s="4" t="s">
        <v>7667</v>
      </c>
      <c r="C2752" s="5">
        <v>44635.0</v>
      </c>
      <c r="D2752" s="10">
        <v>44635.0</v>
      </c>
      <c r="E2752" s="4" t="s">
        <v>7668</v>
      </c>
      <c r="F2752" s="4" t="s">
        <v>7669</v>
      </c>
      <c r="G2752" s="6" t="str">
        <f>IFERROR(__xludf.DUMMYFUNCTION("REGEXREPLACE(LOWER(F2752),""[^a-z\s]"","""")"),"ive been buying from petflow for years and im very happy with their products and prices the only issues i ever have is with the delivery companies constantly changing the delivery date otherwise i love petflow")</f>
        <v>ive been buying from petflow for years and im very happy with their products and prices the only issues i ever have is with the delivery companies constantly changing the delivery date otherwise i love petflow</v>
      </c>
      <c r="H2752" s="4" t="str">
        <f t="shared" si="1"/>
        <v>ive been buying from petflow years im very happy with their products prices only issues i ever have with delivery companies constantly changing delivery date otherwise i love petflow</v>
      </c>
      <c r="I2752" s="6">
        <f t="shared" si="2"/>
        <v>29</v>
      </c>
      <c r="J2752" s="6">
        <f>IFERROR(__xludf.DUMMYFUNCTION("IF(H2752="""","""",
SUM(
ARRAYFORMULA(
IF(
REGEXMATCH(
"" ""&amp;H2752&amp;"" "",
"" ""&amp;Sentiment_Words!A$2:A3730&amp;"" ""
),
1,
0
)
)
)
)"),2.0)</f>
        <v>2</v>
      </c>
      <c r="K2752" s="4">
        <f>IFERROR(__xludf.DUMMYFUNCTION("IF(H2752="""","""",
SUM(
ARRAYFORMULA(
IF(
REGEXMATCH(
"" ""&amp;H2752&amp;"" "",
"" ""&amp;Sentiment_Words!B$2:B3730&amp;"" ""
),
1,
0
)
)
)
)"),0.0)</f>
        <v>0</v>
      </c>
      <c r="L2752" s="7" t="str">
        <f t="shared" si="3"/>
        <v>Other</v>
      </c>
      <c r="M2752" s="7" t="str">
        <f t="shared" si="4"/>
        <v>Positive</v>
      </c>
      <c r="N2752" s="7" t="str">
        <f>IFERROR(__xludf.DUMMYFUNCTION("LOWER(
TRIM(
REGEXREPLACE(B2752,""[^a-zA-Z\s]"","""")
)
)
"),"jason")</f>
        <v>jason</v>
      </c>
      <c r="O2752" s="7">
        <f t="shared" si="5"/>
        <v>1</v>
      </c>
      <c r="P2752" s="8" t="str">
        <f t="shared" si="6"/>
        <v>No</v>
      </c>
    </row>
    <row r="2753">
      <c r="A2753" s="4" t="s">
        <v>16</v>
      </c>
      <c r="B2753" s="4" t="s">
        <v>7670</v>
      </c>
      <c r="C2753" s="5">
        <v>44635.0</v>
      </c>
      <c r="D2753" s="10">
        <v>44635.0</v>
      </c>
      <c r="E2753" s="4" t="s">
        <v>7671</v>
      </c>
      <c r="F2753" s="4" t="s">
        <v>7672</v>
      </c>
      <c r="G2753" s="6" t="str">
        <f>IFERROR(__xludf.DUMMYFUNCTION("REGEXREPLACE(LOWER(F2753),""[^a-z\s]"","""")"),"service was good and efficient price seems a bit high pound bag of dog food was twice the price i would have paid for a  pound bag at walmart but with transportation down would order again")</f>
        <v>service was good and efficient price seems a bit high pound bag of dog food was twice the price i would have paid for a  pound bag at walmart but with transportation down would order again</v>
      </c>
      <c r="H2753" s="4" t="str">
        <f t="shared" si="1"/>
        <v>service was good efficient price seems a bit high pound bag of dog food was twice price i would have paid a pound bag at walmart but with transportation down would order again</v>
      </c>
      <c r="I2753" s="6">
        <f t="shared" si="2"/>
        <v>33</v>
      </c>
      <c r="J2753" s="6">
        <f>IFERROR(__xludf.DUMMYFUNCTION("IF(H2753="""","""",
SUM(
ARRAYFORMULA(
IF(
REGEXMATCH(
"" ""&amp;H2753&amp;"" "",
"" ""&amp;Sentiment_Words!A$2:A3730&amp;"" ""
),
1,
0
)
)
)
)"),2.0)</f>
        <v>2</v>
      </c>
      <c r="K2753" s="4">
        <f>IFERROR(__xludf.DUMMYFUNCTION("IF(H2753="""","""",
SUM(
ARRAYFORMULA(
IF(
REGEXMATCH(
"" ""&amp;H2753&amp;"" "",
"" ""&amp;Sentiment_Words!B$2:B3730&amp;"" ""
),
1,
0
)
)
)
)"),0.0)</f>
        <v>0</v>
      </c>
      <c r="L2753" s="7" t="str">
        <f t="shared" si="3"/>
        <v>Customer Support</v>
      </c>
      <c r="M2753" s="7" t="str">
        <f t="shared" si="4"/>
        <v>Positive</v>
      </c>
      <c r="N2753" s="7" t="str">
        <f>IFERROR(__xludf.DUMMYFUNCTION("LOWER(
TRIM(
REGEXREPLACE(B2753,""[^a-zA-Z\s]"","""")
)
)
"),"michelle depietro")</f>
        <v>michelle depietro</v>
      </c>
      <c r="O2753" s="7">
        <f t="shared" si="5"/>
        <v>1</v>
      </c>
      <c r="P2753" s="8" t="str">
        <f t="shared" si="6"/>
        <v>No</v>
      </c>
    </row>
    <row r="2754">
      <c r="A2754" s="4" t="s">
        <v>16</v>
      </c>
      <c r="B2754" s="4" t="s">
        <v>7673</v>
      </c>
      <c r="C2754" s="5">
        <v>44635.0</v>
      </c>
      <c r="D2754" s="10">
        <v>44635.0</v>
      </c>
      <c r="E2754" s="4" t="s">
        <v>7674</v>
      </c>
      <c r="F2754" s="4" t="s">
        <v>7675</v>
      </c>
      <c r="G2754" s="6" t="str">
        <f>IFERROR(__xludf.DUMMYFUNCTION("REGEXREPLACE(LOWER(F2754),""[^a-z\s]"","""")"),"petflow always comes through for me no complaints")</f>
        <v>petflow always comes through for me no complaints</v>
      </c>
      <c r="H2754" s="4" t="str">
        <f t="shared" si="1"/>
        <v>petflow always comes through me no complaints</v>
      </c>
      <c r="I2754" s="6">
        <f t="shared" si="2"/>
        <v>7</v>
      </c>
      <c r="J2754" s="6">
        <f>IFERROR(__xludf.DUMMYFUNCTION("IF(H2754="""","""",
SUM(
ARRAYFORMULA(
IF(
REGEXMATCH(
"" ""&amp;H2754&amp;"" "",
"" ""&amp;Sentiment_Words!A$2:A3730&amp;"" ""
),
1,
0
)
)
)
)"),0.0)</f>
        <v>0</v>
      </c>
      <c r="K2754" s="4">
        <f>IFERROR(__xludf.DUMMYFUNCTION("IF(H2754="""","""",
SUM(
ARRAYFORMULA(
IF(
REGEXMATCH(
"" ""&amp;H2754&amp;"" "",
"" ""&amp;Sentiment_Words!B$2:B3730&amp;"" ""
),
1,
0
)
)
)
)"),0.0)</f>
        <v>0</v>
      </c>
      <c r="L2754" s="7" t="str">
        <f t="shared" si="3"/>
        <v>Other</v>
      </c>
      <c r="M2754" s="7" t="str">
        <f t="shared" si="4"/>
        <v>Neutral</v>
      </c>
      <c r="N2754" s="7" t="str">
        <f>IFERROR(__xludf.DUMMYFUNCTION("LOWER(
TRIM(
REGEXREPLACE(B2754,""[^a-zA-Z\s]"","""")
)
)
"),"william alexander")</f>
        <v>william alexander</v>
      </c>
      <c r="O2754" s="7">
        <f t="shared" si="5"/>
        <v>1</v>
      </c>
      <c r="P2754" s="8" t="str">
        <f t="shared" si="6"/>
        <v>No</v>
      </c>
    </row>
    <row r="2755">
      <c r="A2755" s="4" t="s">
        <v>16</v>
      </c>
      <c r="B2755" s="4" t="s">
        <v>7676</v>
      </c>
      <c r="C2755" s="5">
        <v>44635.0</v>
      </c>
      <c r="D2755" s="10">
        <v>44635.0</v>
      </c>
      <c r="E2755" s="4" t="s">
        <v>7677</v>
      </c>
      <c r="F2755" s="4" t="s">
        <v>7678</v>
      </c>
      <c r="G2755" s="6" t="str">
        <f>IFERROR(__xludf.DUMMYFUNCTION("REGEXREPLACE(LOWER(F2755),""[^a-z\s]"","""")"),"perfect timing to get my prescription food for my kitty")</f>
        <v>perfect timing to get my prescription food for my kitty</v>
      </c>
      <c r="H2755" s="4" t="str">
        <f t="shared" si="1"/>
        <v>perfect timing get my prescription food my kitty</v>
      </c>
      <c r="I2755" s="6">
        <f t="shared" si="2"/>
        <v>8</v>
      </c>
      <c r="J2755" s="6">
        <f>IFERROR(__xludf.DUMMYFUNCTION("IF(H2755="""","""",
SUM(
ARRAYFORMULA(
IF(
REGEXMATCH(
"" ""&amp;H2755&amp;"" "",
"" ""&amp;Sentiment_Words!A$2:A3730&amp;"" ""
),
1,
0
)
)
)
)"),0.0)</f>
        <v>0</v>
      </c>
      <c r="K2755" s="4">
        <f>IFERROR(__xludf.DUMMYFUNCTION("IF(H2755="""","""",
SUM(
ARRAYFORMULA(
IF(
REGEXMATCH(
"" ""&amp;H2755&amp;"" "",
"" ""&amp;Sentiment_Words!B$2:B3730&amp;"" ""
),
1,
0
)
)
)
)"),0.0)</f>
        <v>0</v>
      </c>
      <c r="L2755" s="7" t="str">
        <f t="shared" si="3"/>
        <v>Other</v>
      </c>
      <c r="M2755" s="7" t="str">
        <f t="shared" si="4"/>
        <v>Neutral</v>
      </c>
      <c r="N2755" s="7" t="str">
        <f>IFERROR(__xludf.DUMMYFUNCTION("LOWER(
TRIM(
REGEXREPLACE(B2755,""[^a-zA-Z\s]"","""")
)
)
"),"jennifer peoples")</f>
        <v>jennifer peoples</v>
      </c>
      <c r="O2755" s="7">
        <f t="shared" si="5"/>
        <v>1</v>
      </c>
      <c r="P2755" s="8" t="str">
        <f t="shared" si="6"/>
        <v>No</v>
      </c>
    </row>
    <row r="2756">
      <c r="A2756" s="4" t="s">
        <v>16</v>
      </c>
      <c r="B2756" s="4" t="s">
        <v>7679</v>
      </c>
      <c r="C2756" s="5">
        <v>44635.0</v>
      </c>
      <c r="D2756" s="10">
        <v>44635.0</v>
      </c>
      <c r="E2756" s="4" t="s">
        <v>7680</v>
      </c>
      <c r="F2756" s="4" t="s">
        <v>7681</v>
      </c>
      <c r="G2756" s="6" t="str">
        <f>IFERROR(__xludf.DUMMYFUNCTION("REGEXREPLACE(LOWER(F2756),""[^a-z\s]"","""")"),"until now i have had no issues with petflow  order food for dog  dog food delivered promptly
this time i ordered the dog food as usual and have waited waited waited for it to be delivered three days after getting this request for a review i have finally "&amp;"gotten an email stating that my food has been shipped apparently it was shipped on the th no indication when i should expect delivery
this is not good it has literally been weeks since placing my order at the time there was no indication that it was out "&amp;"of stock or back ordered etc luckily i do not wait until the last minute to reorder food but today my husband stated that that we only had about a weeks supply left and when was the next bag due to arrive
not happy")</f>
        <v>until now i have had no issues with petflow  order food for dog  dog food delivered promptly
this time i ordered the dog food as usual and have waited waited waited for it to be delivered three days after getting this request for a review i have finally gotten an email stating that my food has been shipped apparently it was shipped on the th no indication when i should expect delivery
this is not good it has literally been weeks since placing my order at the time there was no indication that it was out of stock or back ordered etc luckily i do not wait until the last minute to reorder food but today my husband stated that that we only had about a weeks supply left and when was the next bag due to arrive
not happy</v>
      </c>
      <c r="H2756" s="4" t="str">
        <f t="shared" si="1"/>
        <v>until now i have had no issues with petflow order food dog dog food delivered promptly
this time i ordered dog food as usual have waited waited waited it be delivered three days after getting this request a review i have finally gotten an email stating that my food has been shipped apparently it was shipped on th no indication when i should expect delivery
this not good it has literally been weeks since placing my order at time there was no indication that it was out of stock or back ordered etc luckily i do not wait until last minute reorder food but today my husband stated that that we only had about a weeks supply left when was next bag due arrive
not happy</v>
      </c>
      <c r="I2756" s="6">
        <f t="shared" si="2"/>
        <v>123</v>
      </c>
      <c r="J2756" s="6">
        <f>IFERROR(__xludf.DUMMYFUNCTION("IF(H2756="""","""",
SUM(
ARRAYFORMULA(
IF(
REGEXMATCH(
"" ""&amp;H2756&amp;"" "",
"" ""&amp;Sentiment_Words!A$2:A3730&amp;"" ""
),
1,
0
)
)
)
)"),4.0)</f>
        <v>4</v>
      </c>
      <c r="K2756" s="4">
        <f>IFERROR(__xludf.DUMMYFUNCTION("IF(H2756="""","""",
SUM(
ARRAYFORMULA(
IF(
REGEXMATCH(
"" ""&amp;H2756&amp;"" "",
"" ""&amp;Sentiment_Words!B$2:B3730&amp;"" ""
),
1,
0
)
)
)
)"),1.0)</f>
        <v>1</v>
      </c>
      <c r="L2756" s="7" t="str">
        <f t="shared" si="3"/>
        <v>Availability</v>
      </c>
      <c r="M2756" s="7" t="str">
        <f t="shared" si="4"/>
        <v>Positive</v>
      </c>
      <c r="N2756" s="7" t="str">
        <f>IFERROR(__xludf.DUMMYFUNCTION("LOWER(
TRIM(
REGEXREPLACE(B2756,""[^a-zA-Z\s]"","""")
)
)
"),"joshua shelton")</f>
        <v>joshua shelton</v>
      </c>
      <c r="O2756" s="7">
        <f t="shared" si="5"/>
        <v>1</v>
      </c>
      <c r="P2756" s="8" t="str">
        <f t="shared" si="6"/>
        <v>No</v>
      </c>
    </row>
    <row r="2757">
      <c r="A2757" s="4" t="s">
        <v>16</v>
      </c>
      <c r="B2757" s="4" t="s">
        <v>7682</v>
      </c>
      <c r="C2757" s="5">
        <v>44634.0</v>
      </c>
      <c r="D2757" s="10">
        <v>44635.0</v>
      </c>
      <c r="E2757" s="4" t="s">
        <v>7683</v>
      </c>
      <c r="F2757" s="4" t="s">
        <v>331</v>
      </c>
      <c r="G2757" s="6" t="str">
        <f>IFERROR(__xludf.DUMMYFUNCTION("REGEXREPLACE(LOWER(F2757),""[^a-z\s]"","""")"),"none")</f>
        <v>none</v>
      </c>
      <c r="H2757" s="4" t="str">
        <f t="shared" si="1"/>
        <v>none</v>
      </c>
      <c r="I2757" s="6">
        <f t="shared" si="2"/>
        <v>1</v>
      </c>
      <c r="J2757" s="6">
        <f>IFERROR(__xludf.DUMMYFUNCTION("IF(H2757="""","""",
SUM(
ARRAYFORMULA(
IF(
REGEXMATCH(
"" ""&amp;H2757&amp;"" "",
"" ""&amp;Sentiment_Words!A$2:A3730&amp;"" ""
),
1,
0
)
)
)
)"),0.0)</f>
        <v>0</v>
      </c>
      <c r="K2757" s="4">
        <f>IFERROR(__xludf.DUMMYFUNCTION("IF(H2757="""","""",
SUM(
ARRAYFORMULA(
IF(
REGEXMATCH(
"" ""&amp;H2757&amp;"" "",
"" ""&amp;Sentiment_Words!B$2:B3730&amp;"" ""
),
1,
0
)
)
)
)"),0.0)</f>
        <v>0</v>
      </c>
      <c r="L2757" s="7" t="str">
        <f t="shared" si="3"/>
        <v>Other</v>
      </c>
      <c r="M2757" s="7" t="str">
        <f t="shared" si="4"/>
        <v>Neutral</v>
      </c>
      <c r="N2757" s="7" t="str">
        <f>IFERROR(__xludf.DUMMYFUNCTION("LOWER(
TRIM(
REGEXREPLACE(B2757,""[^a-zA-Z\s]"","""")
)
)
"),"ginny p")</f>
        <v>ginny p</v>
      </c>
      <c r="O2757" s="7">
        <f t="shared" si="5"/>
        <v>1</v>
      </c>
      <c r="P2757" s="8" t="str">
        <f t="shared" si="6"/>
        <v>No</v>
      </c>
    </row>
    <row r="2758">
      <c r="A2758" s="4" t="s">
        <v>16</v>
      </c>
      <c r="B2758" s="4" t="s">
        <v>7684</v>
      </c>
      <c r="C2758" s="5">
        <v>44634.0</v>
      </c>
      <c r="D2758" s="10">
        <v>44634.0</v>
      </c>
      <c r="E2758" s="4" t="s">
        <v>7685</v>
      </c>
      <c r="F2758" s="4" t="s">
        <v>7686</v>
      </c>
      <c r="G2758" s="6" t="str">
        <f>IFERROR(__xludf.DUMMYFUNCTION("REGEXREPLACE(LOWER(F2758),""[^a-z\s]"","""")"),"this is the only place that has my dogs treats customer service has been great with changing a delivery date due to weather and checking on expiration dates")</f>
        <v>this is the only place that has my dogs treats customer service has been great with changing a delivery date due to weather and checking on expiration dates</v>
      </c>
      <c r="H2758" s="4" t="str">
        <f t="shared" si="1"/>
        <v>this only place that has my dogs treats customer service has been great with changing a delivery date due weather checking on expiration dates</v>
      </c>
      <c r="I2758" s="6">
        <f t="shared" si="2"/>
        <v>24</v>
      </c>
      <c r="J2758" s="6">
        <f>IFERROR(__xludf.DUMMYFUNCTION("IF(H2758="""","""",
SUM(
ARRAYFORMULA(
IF(
REGEXMATCH(
"" ""&amp;H2758&amp;"" "",
"" ""&amp;Sentiment_Words!A$2:A3730&amp;"" ""
),
1,
0
)
)
)
)"),1.0)</f>
        <v>1</v>
      </c>
      <c r="K2758" s="4">
        <f>IFERROR(__xludf.DUMMYFUNCTION("IF(H2758="""","""",
SUM(
ARRAYFORMULA(
IF(
REGEXMATCH(
"" ""&amp;H2758&amp;"" "",
"" ""&amp;Sentiment_Words!B$2:B3730&amp;"" ""
),
1,
0
)
)
)
)"),1.0)</f>
        <v>1</v>
      </c>
      <c r="L2758" s="7" t="str">
        <f t="shared" si="3"/>
        <v>Customer Support</v>
      </c>
      <c r="M2758" s="7" t="str">
        <f t="shared" si="4"/>
        <v>Neutral</v>
      </c>
      <c r="N2758" s="7" t="str">
        <f>IFERROR(__xludf.DUMMYFUNCTION("LOWER(
TRIM(
REGEXREPLACE(B2758,""[^a-zA-Z\s]"","""")
)
)
"),"kimberly a meyers")</f>
        <v>kimberly a meyers</v>
      </c>
      <c r="O2758" s="7">
        <f t="shared" si="5"/>
        <v>1</v>
      </c>
      <c r="P2758" s="8" t="str">
        <f t="shared" si="6"/>
        <v>No</v>
      </c>
    </row>
    <row r="2759">
      <c r="A2759" s="4" t="s">
        <v>16</v>
      </c>
      <c r="B2759" s="4" t="s">
        <v>7687</v>
      </c>
      <c r="C2759" s="5">
        <v>44634.0</v>
      </c>
      <c r="D2759" s="10">
        <v>44634.0</v>
      </c>
      <c r="E2759" s="4" t="s">
        <v>7688</v>
      </c>
      <c r="F2759" s="4" t="s">
        <v>7689</v>
      </c>
      <c r="G2759" s="6" t="str">
        <f>IFERROR(__xludf.DUMMYFUNCTION("REGEXREPLACE(LOWER(F2759),""[^a-z\s]"","""")"),"you got always what i need for my pets and more and the shipping is always on time")</f>
        <v>you got always what i need for my pets and more and the shipping is always on time</v>
      </c>
      <c r="H2759" s="4" t="str">
        <f t="shared" si="1"/>
        <v>you got always what i need my pets more shipping always on time</v>
      </c>
      <c r="I2759" s="6">
        <f t="shared" si="2"/>
        <v>13</v>
      </c>
      <c r="J2759" s="6">
        <f>IFERROR(__xludf.DUMMYFUNCTION("IF(H2759="""","""",
SUM(
ARRAYFORMULA(
IF(
REGEXMATCH(
"" ""&amp;H2759&amp;"" "",
"" ""&amp;Sentiment_Words!A$2:A3730&amp;"" ""
),
1,
0
)
)
)
)"),1.0)</f>
        <v>1</v>
      </c>
      <c r="K2759" s="4">
        <f>IFERROR(__xludf.DUMMYFUNCTION("IF(H2759="""","""",
SUM(
ARRAYFORMULA(
IF(
REGEXMATCH(
"" ""&amp;H2759&amp;"" "",
"" ""&amp;Sentiment_Words!B$2:B3730&amp;"" ""
),
1,
0
)
)
)
)"),0.0)</f>
        <v>0</v>
      </c>
      <c r="L2759" s="7" t="str">
        <f t="shared" si="3"/>
        <v>Other</v>
      </c>
      <c r="M2759" s="7" t="str">
        <f t="shared" si="4"/>
        <v>Positive</v>
      </c>
      <c r="N2759" s="7" t="str">
        <f>IFERROR(__xludf.DUMMYFUNCTION("LOWER(
TRIM(
REGEXREPLACE(B2759,""[^a-zA-Z\s]"","""")
)
)
"),"jeaneth rincon")</f>
        <v>jeaneth rincon</v>
      </c>
      <c r="O2759" s="7">
        <f t="shared" si="5"/>
        <v>1</v>
      </c>
      <c r="P2759" s="8" t="str">
        <f t="shared" si="6"/>
        <v>No</v>
      </c>
    </row>
    <row r="2760">
      <c r="A2760" s="4" t="s">
        <v>16</v>
      </c>
      <c r="B2760" s="4" t="s">
        <v>7690</v>
      </c>
      <c r="C2760" s="5">
        <v>44634.0</v>
      </c>
      <c r="D2760" s="10">
        <v>44634.0</v>
      </c>
      <c r="E2760" s="4" t="s">
        <v>7691</v>
      </c>
      <c r="F2760" s="4" t="s">
        <v>7692</v>
      </c>
      <c r="G2760" s="6" t="str">
        <f>IFERROR(__xludf.DUMMYFUNCTION("REGEXREPLACE(LOWER(F2760),""[^a-z\s]"","""")"),"super slow at shipping that makes me not use them often")</f>
        <v>super slow at shipping that makes me not use them often</v>
      </c>
      <c r="H2760" s="4" t="str">
        <f t="shared" si="1"/>
        <v>super slow at shipping that makes me not use them often</v>
      </c>
      <c r="I2760" s="6">
        <f t="shared" si="2"/>
        <v>11</v>
      </c>
      <c r="J2760" s="6">
        <f>IFERROR(__xludf.DUMMYFUNCTION("IF(H2760="""","""",
SUM(
ARRAYFORMULA(
IF(
REGEXMATCH(
"" ""&amp;H2760&amp;"" "",
"" ""&amp;Sentiment_Words!A$2:A3730&amp;"" ""
),
1,
0
)
)
)
)"),0.0)</f>
        <v>0</v>
      </c>
      <c r="K2760" s="4">
        <f>IFERROR(__xludf.DUMMYFUNCTION("IF(H2760="""","""",
SUM(
ARRAYFORMULA(
IF(
REGEXMATCH(
"" ""&amp;H2760&amp;"" "",
"" ""&amp;Sentiment_Words!B$2:B3730&amp;"" ""
),
1,
0
)
)
)
)"),0.0)</f>
        <v>0</v>
      </c>
      <c r="L2760" s="7" t="str">
        <f t="shared" si="3"/>
        <v>Other</v>
      </c>
      <c r="M2760" s="7" t="str">
        <f t="shared" si="4"/>
        <v>Neutral</v>
      </c>
      <c r="N2760" s="7" t="str">
        <f>IFERROR(__xludf.DUMMYFUNCTION("LOWER(
TRIM(
REGEXREPLACE(B2760,""[^a-zA-Z\s]"","""")
)
)
"),"heather bishop")</f>
        <v>heather bishop</v>
      </c>
      <c r="O2760" s="7">
        <f t="shared" si="5"/>
        <v>1</v>
      </c>
      <c r="P2760" s="8" t="str">
        <f t="shared" si="6"/>
        <v>No</v>
      </c>
    </row>
    <row r="2761">
      <c r="A2761" s="4" t="s">
        <v>16</v>
      </c>
      <c r="B2761" s="4" t="s">
        <v>7693</v>
      </c>
      <c r="C2761" s="5">
        <v>44634.0</v>
      </c>
      <c r="D2761" s="10">
        <v>44634.0</v>
      </c>
      <c r="E2761" s="4" t="s">
        <v>7694</v>
      </c>
      <c r="F2761" s="4" t="s">
        <v>7695</v>
      </c>
      <c r="G2761" s="6" t="str">
        <f>IFERROR(__xludf.DUMMYFUNCTION("REGEXREPLACE(LOWER(F2761),""[^a-z\s]"","""")"),"excellent service delivery etc i love petflow")</f>
        <v>excellent service delivery etc i love petflow</v>
      </c>
      <c r="H2761" s="4" t="str">
        <f t="shared" si="1"/>
        <v>excellent service delivery etc i love petflow</v>
      </c>
      <c r="I2761" s="6">
        <f t="shared" si="2"/>
        <v>7</v>
      </c>
      <c r="J2761" s="6">
        <f>IFERROR(__xludf.DUMMYFUNCTION("IF(H2761="""","""",
SUM(
ARRAYFORMULA(
IF(
REGEXMATCH(
"" ""&amp;H2761&amp;"" "",
"" ""&amp;Sentiment_Words!A$2:A3730&amp;"" ""
),
1,
0
)
)
)
)"),1.0)</f>
        <v>1</v>
      </c>
      <c r="K2761" s="4">
        <f>IFERROR(__xludf.DUMMYFUNCTION("IF(H2761="""","""",
SUM(
ARRAYFORMULA(
IF(
REGEXMATCH(
"" ""&amp;H2761&amp;"" "",
"" ""&amp;Sentiment_Words!B$2:B3730&amp;"" ""
),
1,
0
)
)
)
)"),0.0)</f>
        <v>0</v>
      </c>
      <c r="L2761" s="7" t="str">
        <f t="shared" si="3"/>
        <v>Customer Support</v>
      </c>
      <c r="M2761" s="7" t="str">
        <f t="shared" si="4"/>
        <v>Positive</v>
      </c>
      <c r="N2761" s="7" t="str">
        <f>IFERROR(__xludf.DUMMYFUNCTION("LOWER(
TRIM(
REGEXREPLACE(B2761,""[^a-zA-Z\s]"","""")
)
)
"),"lel")</f>
        <v>lel</v>
      </c>
      <c r="O2761" s="7">
        <f t="shared" si="5"/>
        <v>1</v>
      </c>
      <c r="P2761" s="8" t="str">
        <f t="shared" si="6"/>
        <v>No</v>
      </c>
    </row>
    <row r="2762">
      <c r="A2762" s="4" t="s">
        <v>16</v>
      </c>
      <c r="B2762" s="4" t="s">
        <v>7696</v>
      </c>
      <c r="C2762" s="5">
        <v>44634.0</v>
      </c>
      <c r="D2762" s="10">
        <v>44634.0</v>
      </c>
      <c r="E2762" s="4" t="s">
        <v>7697</v>
      </c>
      <c r="F2762" s="4" t="s">
        <v>7698</v>
      </c>
      <c r="G2762" s="6" t="str">
        <f>IFERROR(__xludf.DUMMYFUNCTION("REGEXREPLACE(LOWER(F2762),""[^a-z\s]"","""")"),"im so happy to have found you you will have a customer for life")</f>
        <v>im so happy to have found you you will have a customer for life</v>
      </c>
      <c r="H2762" s="4" t="str">
        <f t="shared" si="1"/>
        <v>im so happy have found you you will have a customer life</v>
      </c>
      <c r="I2762" s="6">
        <f t="shared" si="2"/>
        <v>12</v>
      </c>
      <c r="J2762" s="6">
        <f>IFERROR(__xludf.DUMMYFUNCTION("IF(H2762="""","""",
SUM(
ARRAYFORMULA(
IF(
REGEXMATCH(
"" ""&amp;H2762&amp;"" "",
"" ""&amp;Sentiment_Words!A$2:A3730&amp;"" ""
),
1,
0
)
)
)
)"),2.0)</f>
        <v>2</v>
      </c>
      <c r="K2762" s="4">
        <f>IFERROR(__xludf.DUMMYFUNCTION("IF(H2762="""","""",
SUM(
ARRAYFORMULA(
IF(
REGEXMATCH(
"" ""&amp;H2762&amp;"" "",
"" ""&amp;Sentiment_Words!B$2:B3730&amp;"" ""
),
1,
0
)
)
)
)"),0.0)</f>
        <v>0</v>
      </c>
      <c r="L2762" s="7" t="str">
        <f t="shared" si="3"/>
        <v>Other</v>
      </c>
      <c r="M2762" s="7" t="str">
        <f t="shared" si="4"/>
        <v>Positive</v>
      </c>
      <c r="N2762" s="7" t="str">
        <f>IFERROR(__xludf.DUMMYFUNCTION("LOWER(
TRIM(
REGEXREPLACE(B2762,""[^a-zA-Z\s]"","""")
)
)
"),"sandy mason")</f>
        <v>sandy mason</v>
      </c>
      <c r="O2762" s="7">
        <f t="shared" si="5"/>
        <v>1</v>
      </c>
      <c r="P2762" s="8" t="str">
        <f t="shared" si="6"/>
        <v>No</v>
      </c>
    </row>
    <row r="2763">
      <c r="A2763" s="4" t="s">
        <v>16</v>
      </c>
      <c r="B2763" s="4" t="s">
        <v>7699</v>
      </c>
      <c r="C2763" s="5">
        <v>44634.0</v>
      </c>
      <c r="D2763" s="10">
        <v>44634.0</v>
      </c>
      <c r="E2763" s="4" t="s">
        <v>7700</v>
      </c>
      <c r="F2763" s="4" t="s">
        <v>7701</v>
      </c>
      <c r="G2763" s="6" t="str">
        <f>IFERROR(__xludf.DUMMYFUNCTION("REGEXREPLACE(LOWER(F2763),""[^a-z\s]"","""")"),"my box was damaged along with the contents inside i emailed explaining what happened and was not satisfied with the customer service will never be ordering from petflow again and will tell everyone i know not to horrific")</f>
        <v>my box was damaged along with the contents inside i emailed explaining what happened and was not satisfied with the customer service will never be ordering from petflow again and will tell everyone i know not to horrific</v>
      </c>
      <c r="H2763" s="4" t="str">
        <f t="shared" si="1"/>
        <v>my box was damaged along with contents inside i emailed explaining what happened was not satisfied with customer service will never be ordering from petflow again will tell everyone i know not horrific</v>
      </c>
      <c r="I2763" s="6">
        <f t="shared" si="2"/>
        <v>33</v>
      </c>
      <c r="J2763" s="6">
        <f>IFERROR(__xludf.DUMMYFUNCTION("IF(H2763="""","""",
SUM(
ARRAYFORMULA(
IF(
REGEXMATCH(
"" ""&amp;H2763&amp;"" "",
"" ""&amp;Sentiment_Words!A$2:A3730&amp;"" ""
),
1,
0
)
)
)
)"),1.0)</f>
        <v>1</v>
      </c>
      <c r="K2763" s="4">
        <f>IFERROR(__xludf.DUMMYFUNCTION("IF(H2763="""","""",
SUM(
ARRAYFORMULA(
IF(
REGEXMATCH(
"" ""&amp;H2763&amp;"" "",
"" ""&amp;Sentiment_Words!B$2:B3730&amp;"" ""
),
1,
0
)
)
)
)"),1.0)</f>
        <v>1</v>
      </c>
      <c r="L2763" s="7" t="str">
        <f t="shared" si="3"/>
        <v>Customer Support</v>
      </c>
      <c r="M2763" s="7" t="str">
        <f t="shared" si="4"/>
        <v>Neutral</v>
      </c>
      <c r="N2763" s="7" t="str">
        <f>IFERROR(__xludf.DUMMYFUNCTION("LOWER(
TRIM(
REGEXREPLACE(B2763,""[^a-zA-Z\s]"","""")
)
)
"),"rachel sheedy")</f>
        <v>rachel sheedy</v>
      </c>
      <c r="O2763" s="7">
        <f t="shared" si="5"/>
        <v>1</v>
      </c>
      <c r="P2763" s="8" t="str">
        <f t="shared" si="6"/>
        <v>No</v>
      </c>
    </row>
    <row r="2764">
      <c r="A2764" s="4" t="s">
        <v>16</v>
      </c>
      <c r="B2764" s="4" t="s">
        <v>7702</v>
      </c>
      <c r="C2764" s="5">
        <v>44634.0</v>
      </c>
      <c r="D2764" s="10">
        <v>44634.0</v>
      </c>
      <c r="E2764" s="4" t="s">
        <v>7703</v>
      </c>
      <c r="F2764" s="4" t="s">
        <v>7704</v>
      </c>
      <c r="G2764" s="6" t="str">
        <f>IFERROR(__xludf.DUMMYFUNCTION("REGEXREPLACE(LOWER(F2764),""[^a-z\s]"","""")"),"fast excellent service")</f>
        <v>fast excellent service</v>
      </c>
      <c r="H2764" s="4" t="str">
        <f t="shared" si="1"/>
        <v>fast excellent service</v>
      </c>
      <c r="I2764" s="6">
        <f t="shared" si="2"/>
        <v>3</v>
      </c>
      <c r="J2764" s="6">
        <f>IFERROR(__xludf.DUMMYFUNCTION("IF(H2764="""","""",
SUM(
ARRAYFORMULA(
IF(
REGEXMATCH(
"" ""&amp;H2764&amp;"" "",
"" ""&amp;Sentiment_Words!A$2:A3730&amp;"" ""
),
1,
0
)
)
)
)"),1.0)</f>
        <v>1</v>
      </c>
      <c r="K2764" s="4">
        <f>IFERROR(__xludf.DUMMYFUNCTION("IF(H2764="""","""",
SUM(
ARRAYFORMULA(
IF(
REGEXMATCH(
"" ""&amp;H2764&amp;"" "",
"" ""&amp;Sentiment_Words!B$2:B3730&amp;"" ""
),
1,
0
)
)
)
)"),0.0)</f>
        <v>0</v>
      </c>
      <c r="L2764" s="7" t="str">
        <f t="shared" si="3"/>
        <v>Customer Support</v>
      </c>
      <c r="M2764" s="7" t="str">
        <f t="shared" si="4"/>
        <v>Positive</v>
      </c>
      <c r="N2764" s="7" t="str">
        <f>IFERROR(__xludf.DUMMYFUNCTION("LOWER(
TRIM(
REGEXREPLACE(B2764,""[^a-zA-Z\s]"","""")
)
)
"),"danny wagner")</f>
        <v>danny wagner</v>
      </c>
      <c r="O2764" s="7">
        <f t="shared" si="5"/>
        <v>1</v>
      </c>
      <c r="P2764" s="8" t="str">
        <f t="shared" si="6"/>
        <v>No</v>
      </c>
    </row>
    <row r="2765">
      <c r="A2765" s="4" t="s">
        <v>16</v>
      </c>
      <c r="B2765" s="4" t="s">
        <v>7705</v>
      </c>
      <c r="C2765" s="5">
        <v>44633.0</v>
      </c>
      <c r="D2765" s="10">
        <v>44634.0</v>
      </c>
      <c r="E2765" s="4" t="s">
        <v>7706</v>
      </c>
      <c r="F2765" s="4" t="s">
        <v>7707</v>
      </c>
      <c r="G2765" s="6" t="str">
        <f>IFERROR(__xludf.DUMMYFUNCTION("REGEXREPLACE(LOWER(F2765),""[^a-z\s]"","""")"),"good prices and fast delivery i will continue to order from you all and recommend your site")</f>
        <v>good prices and fast delivery i will continue to order from you all and recommend your site</v>
      </c>
      <c r="H2765" s="4" t="str">
        <f t="shared" si="1"/>
        <v>good prices fast delivery i will continue order from you all recommend your site</v>
      </c>
      <c r="I2765" s="6">
        <f t="shared" si="2"/>
        <v>14</v>
      </c>
      <c r="J2765" s="6">
        <f>IFERROR(__xludf.DUMMYFUNCTION("IF(H2765="""","""",
SUM(
ARRAYFORMULA(
IF(
REGEXMATCH(
"" ""&amp;H2765&amp;"" "",
"" ""&amp;Sentiment_Words!A$2:A3730&amp;"" ""
),
1,
0
)
)
)
)"),3.0)</f>
        <v>3</v>
      </c>
      <c r="K2765" s="4">
        <f>IFERROR(__xludf.DUMMYFUNCTION("IF(H2765="""","""",
SUM(
ARRAYFORMULA(
IF(
REGEXMATCH(
"" ""&amp;H2765&amp;"" "",
"" ""&amp;Sentiment_Words!B$2:B3730&amp;"" ""
),
1,
0
)
)
)
)"),0.0)</f>
        <v>0</v>
      </c>
      <c r="L2765" s="7" t="str">
        <f t="shared" si="3"/>
        <v>Other</v>
      </c>
      <c r="M2765" s="7" t="str">
        <f t="shared" si="4"/>
        <v>Positive</v>
      </c>
      <c r="N2765" s="7" t="str">
        <f>IFERROR(__xludf.DUMMYFUNCTION("LOWER(
TRIM(
REGEXREPLACE(B2765,""[^a-zA-Z\s]"","""")
)
)
"),"jeanie johnson")</f>
        <v>jeanie johnson</v>
      </c>
      <c r="O2765" s="7">
        <f t="shared" si="5"/>
        <v>1</v>
      </c>
      <c r="P2765" s="8" t="str">
        <f t="shared" si="6"/>
        <v>No</v>
      </c>
    </row>
    <row r="2766">
      <c r="A2766" s="4" t="s">
        <v>16</v>
      </c>
      <c r="B2766" s="4" t="s">
        <v>2981</v>
      </c>
      <c r="C2766" s="5">
        <v>44633.0</v>
      </c>
      <c r="D2766" s="10">
        <v>44633.0</v>
      </c>
      <c r="E2766" s="4" t="s">
        <v>7708</v>
      </c>
      <c r="F2766" s="4" t="s">
        <v>7709</v>
      </c>
      <c r="G2766" s="6" t="str">
        <f>IFERROR(__xludf.DUMMYFUNCTION("REGEXREPLACE(LOWER(F2766),""[^a-z\s]"","""")"),"i placed my order and then called tomake sure that the product was in stock i was told the product i wanted  oz can was not available but they would change it to the  oz cans i told the gentleman that it wasnt my first choice but if he promises thatthe pr"&amp;"oduct was available then i would purchase it this time only i was adamant was it in stock i asked several times and was assured yes it would be shipped that day last friday okay said i on saturday i got a message from your company saying this product is n"&amp;"ot available thats it im done and will not bother working with your company again")</f>
        <v>i placed my order and then called tomake sure that the product was in stock i was told the product i wanted  oz can was not available but they would change it to the  oz cans i told the gentleman that it wasnt my first choice but if he promises thatthe product was available then i would purchase it this time only i was adamant was it in stock i asked several times and was assured yes it would be shipped that day last friday okay said i on saturday i got a message from your company saying this product is not available thats it im done and will not bother working with your company again</v>
      </c>
      <c r="H2766" s="4" t="str">
        <f t="shared" si="1"/>
        <v>i placed my order then called tomake sure that product was in stock i was told product i wanted oz can was not available but they would change it oz cans i told gentleman that it wasnt my first choice but if he promises thatthe product was available then i would purchase it this time only i was adamant was it in stock i asked several times was assured yes it would be shipped that day last friday okay said i on saturday i got a message from your company saying this product not available thats it im done will not bother working with your company again</v>
      </c>
      <c r="I2766" s="6">
        <f t="shared" si="2"/>
        <v>107</v>
      </c>
      <c r="J2766" s="6">
        <f>IFERROR(__xludf.DUMMYFUNCTION("IF(H2766="""","""",
SUM(
ARRAYFORMULA(
IF(
REGEXMATCH(
"" ""&amp;H2766&amp;"" "",
"" ""&amp;Sentiment_Words!A$2:A3730&amp;"" ""
),
1,
0
)
)
)
)"),2.0)</f>
        <v>2</v>
      </c>
      <c r="K2766" s="4">
        <f>IFERROR(__xludf.DUMMYFUNCTION("IF(H2766="""","""",
SUM(
ARRAYFORMULA(
IF(
REGEXMATCH(
"" ""&amp;H2766&amp;"" "",
"" ""&amp;Sentiment_Words!B$2:B3730&amp;"" ""
),
1,
0
)
)
)
)"),0.0)</f>
        <v>0</v>
      </c>
      <c r="L2766" s="7" t="str">
        <f t="shared" si="3"/>
        <v>Other</v>
      </c>
      <c r="M2766" s="7" t="str">
        <f t="shared" si="4"/>
        <v>Positive</v>
      </c>
      <c r="N2766" s="7" t="str">
        <f>IFERROR(__xludf.DUMMYFUNCTION("LOWER(
TRIM(
REGEXREPLACE(B2766,""[^a-zA-Z\s]"","""")
)
)
"),"tracy")</f>
        <v>tracy</v>
      </c>
      <c r="O2766" s="7">
        <f t="shared" si="5"/>
        <v>3</v>
      </c>
      <c r="P2766" s="8" t="str">
        <f t="shared" si="6"/>
        <v>Yes</v>
      </c>
    </row>
    <row r="2767">
      <c r="A2767" s="4" t="s">
        <v>16</v>
      </c>
      <c r="B2767" s="4" t="s">
        <v>5784</v>
      </c>
      <c r="C2767" s="5">
        <v>44633.0</v>
      </c>
      <c r="D2767" s="10">
        <v>44633.0</v>
      </c>
      <c r="E2767" s="4" t="s">
        <v>7710</v>
      </c>
      <c r="F2767" s="4" t="s">
        <v>7711</v>
      </c>
      <c r="G2767" s="6" t="str">
        <f>IFERROR(__xludf.DUMMYFUNCTION("REGEXREPLACE(LOWER(F2767),""[^a-z\s]"","""")"),"i love petflow shipping is fast customer service is great and i especially love the fact that they feed shelter animals every time you make a purchase")</f>
        <v>i love petflow shipping is fast customer service is great and i especially love the fact that they feed shelter animals every time you make a purchase</v>
      </c>
      <c r="H2767" s="4" t="str">
        <f t="shared" si="1"/>
        <v>i love petflow shipping fast customer service great i especially love fact that they feed shelter animals every time you make a purchase</v>
      </c>
      <c r="I2767" s="6">
        <f t="shared" si="2"/>
        <v>23</v>
      </c>
      <c r="J2767" s="6">
        <f>IFERROR(__xludf.DUMMYFUNCTION("IF(H2767="""","""",
SUM(
ARRAYFORMULA(
IF(
REGEXMATCH(
"" ""&amp;H2767&amp;"" "",
"" ""&amp;Sentiment_Words!A$2:A3730&amp;"" ""
),
1,
0
)
)
)
)"),3.0)</f>
        <v>3</v>
      </c>
      <c r="K2767" s="4">
        <f>IFERROR(__xludf.DUMMYFUNCTION("IF(H2767="""","""",
SUM(
ARRAYFORMULA(
IF(
REGEXMATCH(
"" ""&amp;H2767&amp;"" "",
"" ""&amp;Sentiment_Words!B$2:B3730&amp;"" ""
),
1,
0
)
)
)
)"),1.0)</f>
        <v>1</v>
      </c>
      <c r="L2767" s="7" t="str">
        <f t="shared" si="3"/>
        <v>Customer Support</v>
      </c>
      <c r="M2767" s="7" t="str">
        <f t="shared" si="4"/>
        <v>Positive</v>
      </c>
      <c r="N2767" s="7" t="str">
        <f>IFERROR(__xludf.DUMMYFUNCTION("LOWER(
TRIM(
REGEXREPLACE(B2767,""[^a-zA-Z\s]"","""")
)
)
"),"sarah")</f>
        <v>sarah</v>
      </c>
      <c r="O2767" s="7">
        <f t="shared" si="5"/>
        <v>4</v>
      </c>
      <c r="P2767" s="8" t="str">
        <f t="shared" si="6"/>
        <v>Yes</v>
      </c>
    </row>
    <row r="2768">
      <c r="A2768" s="4" t="s">
        <v>16</v>
      </c>
      <c r="B2768" s="4" t="s">
        <v>7712</v>
      </c>
      <c r="C2768" s="5">
        <v>44633.0</v>
      </c>
      <c r="D2768" s="10">
        <v>44633.0</v>
      </c>
      <c r="E2768" s="4" t="s">
        <v>7713</v>
      </c>
      <c r="F2768" s="4" t="s">
        <v>7714</v>
      </c>
      <c r="G2768" s="6" t="str">
        <f>IFERROR(__xludf.DUMMYFUNCTION("REGEXREPLACE(LOWER(F2768),""[^a-z\s]"","""")"),"excellent service dependable")</f>
        <v>excellent service dependable</v>
      </c>
      <c r="H2768" s="4" t="str">
        <f t="shared" si="1"/>
        <v>excellent service dependable</v>
      </c>
      <c r="I2768" s="6">
        <f t="shared" si="2"/>
        <v>3</v>
      </c>
      <c r="J2768" s="6">
        <f>IFERROR(__xludf.DUMMYFUNCTION("IF(H2768="""","""",
SUM(
ARRAYFORMULA(
IF(
REGEXMATCH(
"" ""&amp;H2768&amp;"" "",
"" ""&amp;Sentiment_Words!A$2:A3730&amp;"" ""
),
1,
0
)
)
)
)"),0.0)</f>
        <v>0</v>
      </c>
      <c r="K2768" s="4">
        <f>IFERROR(__xludf.DUMMYFUNCTION("IF(H2768="""","""",
SUM(
ARRAYFORMULA(
IF(
REGEXMATCH(
"" ""&amp;H2768&amp;"" "",
"" ""&amp;Sentiment_Words!B$2:B3730&amp;"" ""
),
1,
0
)
)
)
)"),0.0)</f>
        <v>0</v>
      </c>
      <c r="L2768" s="7" t="str">
        <f t="shared" si="3"/>
        <v>Customer Support</v>
      </c>
      <c r="M2768" s="7" t="str">
        <f t="shared" si="4"/>
        <v>Neutral</v>
      </c>
      <c r="N2768" s="7" t="str">
        <f>IFERROR(__xludf.DUMMYFUNCTION("LOWER(
TRIM(
REGEXREPLACE(B2768,""[^a-zA-Z\s]"","""")
)
)
"),"jessica")</f>
        <v>jessica</v>
      </c>
      <c r="O2768" s="7">
        <f t="shared" si="5"/>
        <v>3</v>
      </c>
      <c r="P2768" s="8" t="str">
        <f t="shared" si="6"/>
        <v>Yes</v>
      </c>
    </row>
    <row r="2769">
      <c r="A2769" s="4" t="s">
        <v>16</v>
      </c>
      <c r="B2769" s="4" t="s">
        <v>7715</v>
      </c>
      <c r="C2769" s="5">
        <v>44632.0</v>
      </c>
      <c r="D2769" s="10">
        <v>44632.0</v>
      </c>
      <c r="E2769" s="4" t="s">
        <v>7716</v>
      </c>
      <c r="F2769" s="4" t="s">
        <v>7717</v>
      </c>
      <c r="G2769" s="6" t="str">
        <f>IFERROR(__xludf.DUMMYFUNCTION("REGEXREPLACE(LOWER(F2769),""[^a-z\s]"","""")"),"we are very happy with petflow they always have exactly what we need and we receive all products in a timely manner")</f>
        <v>we are very happy with petflow they always have exactly what we need and we receive all products in a timely manner</v>
      </c>
      <c r="H2769" s="4" t="str">
        <f t="shared" si="1"/>
        <v>we are very happy with petflow they always have exactly what we need we receive all products in a timely manner</v>
      </c>
      <c r="I2769" s="6">
        <f t="shared" si="2"/>
        <v>21</v>
      </c>
      <c r="J2769" s="6">
        <f>IFERROR(__xludf.DUMMYFUNCTION("IF(H2769="""","""",
SUM(
ARRAYFORMULA(
IF(
REGEXMATCH(
"" ""&amp;H2769&amp;"" "",
"" ""&amp;Sentiment_Words!A$2:A3730&amp;"" ""
),
1,
0
)
)
)
)"),1.0)</f>
        <v>1</v>
      </c>
      <c r="K2769" s="4">
        <f>IFERROR(__xludf.DUMMYFUNCTION("IF(H2769="""","""",
SUM(
ARRAYFORMULA(
IF(
REGEXMATCH(
"" ""&amp;H2769&amp;"" "",
"" ""&amp;Sentiment_Words!B$2:B3730&amp;"" ""
),
1,
0
)
)
)
)"),0.0)</f>
        <v>0</v>
      </c>
      <c r="L2769" s="7" t="str">
        <f t="shared" si="3"/>
        <v>Other</v>
      </c>
      <c r="M2769" s="7" t="str">
        <f t="shared" si="4"/>
        <v>Positive</v>
      </c>
      <c r="N2769" s="7" t="str">
        <f>IFERROR(__xludf.DUMMYFUNCTION("LOWER(
TRIM(
REGEXREPLACE(B2769,""[^a-zA-Z\s]"","""")
)
)
"),"mary ellen graves")</f>
        <v>mary ellen graves</v>
      </c>
      <c r="O2769" s="7">
        <f t="shared" si="5"/>
        <v>1</v>
      </c>
      <c r="P2769" s="8" t="str">
        <f t="shared" si="6"/>
        <v>No</v>
      </c>
    </row>
    <row r="2770">
      <c r="A2770" s="4" t="s">
        <v>16</v>
      </c>
      <c r="B2770" s="4" t="s">
        <v>7718</v>
      </c>
      <c r="C2770" s="5">
        <v>44632.0</v>
      </c>
      <c r="D2770" s="10">
        <v>44632.0</v>
      </c>
      <c r="E2770" s="4" t="s">
        <v>1319</v>
      </c>
      <c r="F2770" s="4" t="s">
        <v>7719</v>
      </c>
      <c r="G2770" s="6" t="str">
        <f>IFERROR(__xludf.DUMMYFUNCTION("REGEXREPLACE(LOWER(F2770),""[^a-z\s]"","""")"),"with petflow i have been able to find good quality pet supplies at exceptional prices and i usually receive my order the next day i have no complaints")</f>
        <v>with petflow i have been able to find good quality pet supplies at exceptional prices and i usually receive my order the next day i have no complaints</v>
      </c>
      <c r="H2770" s="4" t="str">
        <f t="shared" si="1"/>
        <v>with petflow i have been able find good quality pet supplies at exceptional prices i usually receive my order next day i have no complaints</v>
      </c>
      <c r="I2770" s="6">
        <f t="shared" si="2"/>
        <v>25</v>
      </c>
      <c r="J2770" s="6">
        <f>IFERROR(__xludf.DUMMYFUNCTION("IF(H2770="""","""",
SUM(
ARRAYFORMULA(
IF(
REGEXMATCH(
"" ""&amp;H2770&amp;"" "",
"" ""&amp;Sentiment_Words!A$2:A3730&amp;"" ""
),
1,
0
)
)
)
)"),2.0)</f>
        <v>2</v>
      </c>
      <c r="K2770" s="4">
        <f>IFERROR(__xludf.DUMMYFUNCTION("IF(H2770="""","""",
SUM(
ARRAYFORMULA(
IF(
REGEXMATCH(
"" ""&amp;H2770&amp;"" "",
"" ""&amp;Sentiment_Words!B$2:B3730&amp;"" ""
),
1,
0
)
)
)
)"),0.0)</f>
        <v>0</v>
      </c>
      <c r="L2770" s="7" t="str">
        <f t="shared" si="3"/>
        <v>Other</v>
      </c>
      <c r="M2770" s="7" t="str">
        <f t="shared" si="4"/>
        <v>Positive</v>
      </c>
      <c r="N2770" s="7" t="str">
        <f>IFERROR(__xludf.DUMMYFUNCTION("LOWER(
TRIM(
REGEXREPLACE(B2770,""[^a-zA-Z\s]"","""")
)
)
"),"irene")</f>
        <v>irene</v>
      </c>
      <c r="O2770" s="7">
        <f t="shared" si="5"/>
        <v>2</v>
      </c>
      <c r="P2770" s="8" t="str">
        <f t="shared" si="6"/>
        <v>Yes</v>
      </c>
    </row>
    <row r="2771">
      <c r="A2771" s="4" t="s">
        <v>16</v>
      </c>
      <c r="B2771" s="4" t="s">
        <v>7720</v>
      </c>
      <c r="C2771" s="5">
        <v>44632.0</v>
      </c>
      <c r="D2771" s="10">
        <v>44632.0</v>
      </c>
      <c r="E2771" s="4" t="s">
        <v>7721</v>
      </c>
      <c r="F2771" s="4" t="s">
        <v>7722</v>
      </c>
      <c r="G2771" s="6" t="str">
        <f>IFERROR(__xludf.DUMMYFUNCTION("REGEXREPLACE(LOWER(F2771),""[^a-z\s]"","""")"),"i contacted petflow about getting food for my dog the representative had the information already on file and was extremely helpful she notified me of the automatic refills and i received the food after three days very efficient and i would recommend this "&amp;"company to all my friends dog owners")</f>
        <v>i contacted petflow about getting food for my dog the representative had the information already on file and was extremely helpful she notified me of the automatic refills and i received the food after three days very efficient and i would recommend this company to all my friends dog owners</v>
      </c>
      <c r="H2771" s="4" t="str">
        <f t="shared" si="1"/>
        <v>i contacted petflow about getting food my dog representative had information already on file was extremely helpful she notified me of automatic refills i received food after three days very efficient i would recommend this company all my friends dog owners</v>
      </c>
      <c r="I2771" s="6">
        <f t="shared" si="2"/>
        <v>41</v>
      </c>
      <c r="J2771" s="6">
        <f>IFERROR(__xludf.DUMMYFUNCTION("IF(H2771="""","""",
SUM(
ARRAYFORMULA(
IF(
REGEXMATCH(
"" ""&amp;H2771&amp;"" "",
"" ""&amp;Sentiment_Words!A$2:A3730&amp;"" ""
),
1,
0
)
)
)
)"),2.0)</f>
        <v>2</v>
      </c>
      <c r="K2771" s="4">
        <f>IFERROR(__xludf.DUMMYFUNCTION("IF(H2771="""","""",
SUM(
ARRAYFORMULA(
IF(
REGEXMATCH(
"" ""&amp;H2771&amp;"" "",
"" ""&amp;Sentiment_Words!B$2:B3730&amp;"" ""
),
1,
0
)
)
)
)"),0.0)</f>
        <v>0</v>
      </c>
      <c r="L2771" s="7" t="str">
        <f t="shared" si="3"/>
        <v>Other</v>
      </c>
      <c r="M2771" s="7" t="str">
        <f t="shared" si="4"/>
        <v>Positive</v>
      </c>
      <c r="N2771" s="7" t="str">
        <f>IFERROR(__xludf.DUMMYFUNCTION("LOWER(
TRIM(
REGEXREPLACE(B2771,""[^a-zA-Z\s]"","""")
)
)
"),"jean costanzi")</f>
        <v>jean costanzi</v>
      </c>
      <c r="O2771" s="7">
        <f t="shared" si="5"/>
        <v>1</v>
      </c>
      <c r="P2771" s="8" t="str">
        <f t="shared" si="6"/>
        <v>No</v>
      </c>
    </row>
    <row r="2772">
      <c r="A2772" s="4" t="s">
        <v>16</v>
      </c>
      <c r="B2772" s="4" t="s">
        <v>7723</v>
      </c>
      <c r="C2772" s="5">
        <v>44632.0</v>
      </c>
      <c r="D2772" s="10">
        <v>44632.0</v>
      </c>
      <c r="E2772" s="4" t="s">
        <v>7724</v>
      </c>
      <c r="F2772" s="4" t="s">
        <v>7725</v>
      </c>
      <c r="G2772" s="6" t="str">
        <f>IFERROR(__xludf.DUMMYFUNCTION("REGEXREPLACE(LOWER(F2772),""[^a-z\s]"","""")"),"product was great but delivery took  days to long for the premium price")</f>
        <v>product was great but delivery took  days to long for the premium price</v>
      </c>
      <c r="H2772" s="4" t="str">
        <f t="shared" si="1"/>
        <v>product was great but delivery took days long premium price</v>
      </c>
      <c r="I2772" s="6">
        <f t="shared" si="2"/>
        <v>10</v>
      </c>
      <c r="J2772" s="6">
        <f>IFERROR(__xludf.DUMMYFUNCTION("IF(H2772="""","""",
SUM(
ARRAYFORMULA(
IF(
REGEXMATCH(
"" ""&amp;H2772&amp;"" "",
"" ""&amp;Sentiment_Words!A$2:A3730&amp;"" ""
),
1,
0
)
)
)
)"),1.0)</f>
        <v>1</v>
      </c>
      <c r="K2772" s="4">
        <f>IFERROR(__xludf.DUMMYFUNCTION("IF(H2772="""","""",
SUM(
ARRAYFORMULA(
IF(
REGEXMATCH(
"" ""&amp;H2772&amp;"" "",
"" ""&amp;Sentiment_Words!B$2:B3730&amp;"" ""
),
1,
0
)
)
)
)"),0.0)</f>
        <v>0</v>
      </c>
      <c r="L2772" s="7" t="str">
        <f t="shared" si="3"/>
        <v>Other</v>
      </c>
      <c r="M2772" s="7" t="str">
        <f t="shared" si="4"/>
        <v>Positive</v>
      </c>
      <c r="N2772" s="7" t="str">
        <f>IFERROR(__xludf.DUMMYFUNCTION("LOWER(
TRIM(
REGEXREPLACE(B2772,""[^a-zA-Z\s]"","""")
)
)
"),"trini v")</f>
        <v>trini v</v>
      </c>
      <c r="O2772" s="7">
        <f t="shared" si="5"/>
        <v>1</v>
      </c>
      <c r="P2772" s="8" t="str">
        <f t="shared" si="6"/>
        <v>No</v>
      </c>
    </row>
    <row r="2773">
      <c r="A2773" s="4" t="s">
        <v>16</v>
      </c>
      <c r="B2773" s="4" t="s">
        <v>7726</v>
      </c>
      <c r="C2773" s="5">
        <v>44631.0</v>
      </c>
      <c r="D2773" s="10">
        <v>44631.0</v>
      </c>
      <c r="E2773" s="4" t="s">
        <v>1319</v>
      </c>
      <c r="F2773" s="4" t="s">
        <v>7727</v>
      </c>
      <c r="G2773" s="6" t="str">
        <f>IFERROR(__xludf.DUMMYFUNCTION("REGEXREPLACE(LOWER(F2773),""[^a-z\s]"","""")"),"you usually deliver quite quickly but this took a week in addition there was just one sheet of brown paper and many of the cans were dented")</f>
        <v>you usually deliver quite quickly but this took a week in addition there was just one sheet of brown paper and many of the cans were dented</v>
      </c>
      <c r="H2773" s="4" t="str">
        <f t="shared" si="1"/>
        <v>you usually deliver quite quickly but this took a week in addition there was just one sheet of brown paper many of cans were dented</v>
      </c>
      <c r="I2773" s="6">
        <f t="shared" si="2"/>
        <v>25</v>
      </c>
      <c r="J2773" s="6">
        <f>IFERROR(__xludf.DUMMYFUNCTION("IF(H2773="""","""",
SUM(
ARRAYFORMULA(
IF(
REGEXMATCH(
"" ""&amp;H2773&amp;"" "",
"" ""&amp;Sentiment_Words!A$2:A3730&amp;"" ""
),
1,
0
)
)
)
)"),0.0)</f>
        <v>0</v>
      </c>
      <c r="K2773" s="4">
        <f>IFERROR(__xludf.DUMMYFUNCTION("IF(H2773="""","""",
SUM(
ARRAYFORMULA(
IF(
REGEXMATCH(
"" ""&amp;H2773&amp;"" "",
"" ""&amp;Sentiment_Words!B$2:B3730&amp;"" ""
),
1,
0
)
)
)
)"),0.0)</f>
        <v>0</v>
      </c>
      <c r="L2773" s="7" t="str">
        <f t="shared" si="3"/>
        <v>Other</v>
      </c>
      <c r="M2773" s="7" t="str">
        <f t="shared" si="4"/>
        <v>Neutral</v>
      </c>
      <c r="N2773" s="7" t="str">
        <f>IFERROR(__xludf.DUMMYFUNCTION("LOWER(
TRIM(
REGEXREPLACE(B2773,""[^a-zA-Z\s]"","""")
)
)
"),"anthony deluca")</f>
        <v>anthony deluca</v>
      </c>
      <c r="O2773" s="7">
        <f t="shared" si="5"/>
        <v>1</v>
      </c>
      <c r="P2773" s="8" t="str">
        <f t="shared" si="6"/>
        <v>No</v>
      </c>
    </row>
    <row r="2774">
      <c r="A2774" s="4" t="s">
        <v>16</v>
      </c>
      <c r="B2774" s="4" t="s">
        <v>7728</v>
      </c>
      <c r="C2774" s="5">
        <v>44631.0</v>
      </c>
      <c r="D2774" s="10">
        <v>44631.0</v>
      </c>
      <c r="E2774" s="4" t="s">
        <v>7729</v>
      </c>
      <c r="F2774" s="4" t="s">
        <v>7730</v>
      </c>
      <c r="G2774" s="6" t="str">
        <f>IFERROR(__xludf.DUMMYFUNCTION("REGEXREPLACE(LOWER(F2774),""[^a-z\s]"","""")"),"real quick in shipment and correct itemresonable price")</f>
        <v>real quick in shipment and correct itemresonable price</v>
      </c>
      <c r="H2774" s="4" t="str">
        <f t="shared" si="1"/>
        <v>real quick in shipment correct itemresonable price</v>
      </c>
      <c r="I2774" s="6">
        <f t="shared" si="2"/>
        <v>7</v>
      </c>
      <c r="J2774" s="6">
        <f>IFERROR(__xludf.DUMMYFUNCTION("IF(H2774="""","""",
SUM(
ARRAYFORMULA(
IF(
REGEXMATCH(
"" ""&amp;H2774&amp;"" "",
"" ""&amp;Sentiment_Words!A$2:A3730&amp;"" ""
),
1,
0
)
)
)
)"),0.0)</f>
        <v>0</v>
      </c>
      <c r="K2774" s="4">
        <f>IFERROR(__xludf.DUMMYFUNCTION("IF(H2774="""","""",
SUM(
ARRAYFORMULA(
IF(
REGEXMATCH(
"" ""&amp;H2774&amp;"" "",
"" ""&amp;Sentiment_Words!B$2:B3730&amp;"" ""
),
1,
0
)
)
)
)"),0.0)</f>
        <v>0</v>
      </c>
      <c r="L2774" s="7" t="str">
        <f t="shared" si="3"/>
        <v>Other</v>
      </c>
      <c r="M2774" s="7" t="str">
        <f t="shared" si="4"/>
        <v>Neutral</v>
      </c>
      <c r="N2774" s="7" t="str">
        <f>IFERROR(__xludf.DUMMYFUNCTION("LOWER(
TRIM(
REGEXREPLACE(B2774,""[^a-zA-Z\s]"","""")
)
)
"),"carl ackermann")</f>
        <v>carl ackermann</v>
      </c>
      <c r="O2774" s="7">
        <f t="shared" si="5"/>
        <v>1</v>
      </c>
      <c r="P2774" s="8" t="str">
        <f t="shared" si="6"/>
        <v>No</v>
      </c>
    </row>
    <row r="2775">
      <c r="A2775" s="4" t="s">
        <v>16</v>
      </c>
      <c r="B2775" s="4" t="s">
        <v>7731</v>
      </c>
      <c r="C2775" s="5">
        <v>44631.0</v>
      </c>
      <c r="D2775" s="10">
        <v>44631.0</v>
      </c>
      <c r="E2775" s="4" t="s">
        <v>7732</v>
      </c>
      <c r="F2775" s="4" t="s">
        <v>7733</v>
      </c>
      <c r="G2775" s="6" t="str">
        <f>IFERROR(__xludf.DUMMYFUNCTION("REGEXREPLACE(LOWER(F2775),""[^a-z\s]"","""")"),"ive always had good experiences with pet flow but the last order had some issues a bag of dry dog food had a hole in it and some of the cans were dented pretty badly well i contacted their customer service and they sent out a completely new order for free"&amp;" so they really made it up to me and like i said in the past ive had great experiences with no need to contact customer service so it may have just been a oneoff thing")</f>
        <v>ive always had good experiences with pet flow but the last order had some issues a bag of dry dog food had a hole in it and some of the cans were dented pretty badly well i contacted their customer service and they sent out a completely new order for free so they really made it up to me and like i said in the past ive had great experiences with no need to contact customer service so it may have just been a oneoff thing</v>
      </c>
      <c r="H2775" s="4" t="str">
        <f t="shared" si="1"/>
        <v>ive always had good experiences with pet flow but last order had some issues a bag of dry dog food had a hole in it some of cans were dented pretty badly well i contacted their customer service they sent out a completely new order free so they really made it up me like i said in past ive had great experiences with no need contact customer service so it may have just been a oneoff thing</v>
      </c>
      <c r="I2775" s="6">
        <f t="shared" si="2"/>
        <v>77</v>
      </c>
      <c r="J2775" s="6">
        <f>IFERROR(__xludf.DUMMYFUNCTION("IF(H2775="""","""",
SUM(
ARRAYFORMULA(
IF(
REGEXMATCH(
"" ""&amp;H2775&amp;"" "",
"" ""&amp;Sentiment_Words!A$2:A3730&amp;"" ""
),
1,
0
)
)
)
)"),2.0)</f>
        <v>2</v>
      </c>
      <c r="K2775" s="4">
        <f>IFERROR(__xludf.DUMMYFUNCTION("IF(H2775="""","""",
SUM(
ARRAYFORMULA(
IF(
REGEXMATCH(
"" ""&amp;H2775&amp;"" "",
"" ""&amp;Sentiment_Words!B$2:B3730&amp;"" ""
),
1,
0
)
)
)
)"),2.0)</f>
        <v>2</v>
      </c>
      <c r="L2775" s="7" t="str">
        <f t="shared" si="3"/>
        <v>Customer Support</v>
      </c>
      <c r="M2775" s="7" t="str">
        <f t="shared" si="4"/>
        <v>Neutral</v>
      </c>
      <c r="N2775" s="7" t="str">
        <f>IFERROR(__xludf.DUMMYFUNCTION("LOWER(
TRIM(
REGEXREPLACE(B2775,""[^a-zA-Z\s]"","""")
)
)
"),"lynne rudwick")</f>
        <v>lynne rudwick</v>
      </c>
      <c r="O2775" s="7">
        <f t="shared" si="5"/>
        <v>1</v>
      </c>
      <c r="P2775" s="8" t="str">
        <f t="shared" si="6"/>
        <v>No</v>
      </c>
    </row>
    <row r="2776">
      <c r="A2776" s="4" t="s">
        <v>16</v>
      </c>
      <c r="B2776" s="4" t="s">
        <v>7734</v>
      </c>
      <c r="C2776" s="5">
        <v>44630.0</v>
      </c>
      <c r="D2776" s="10">
        <v>44630.0</v>
      </c>
      <c r="E2776" s="4" t="s">
        <v>7735</v>
      </c>
      <c r="F2776" s="4" t="s">
        <v>331</v>
      </c>
      <c r="G2776" s="6" t="str">
        <f>IFERROR(__xludf.DUMMYFUNCTION("REGEXREPLACE(LOWER(F2776),""[^a-z\s]"","""")"),"none")</f>
        <v>none</v>
      </c>
      <c r="H2776" s="4" t="str">
        <f t="shared" si="1"/>
        <v>none</v>
      </c>
      <c r="I2776" s="6">
        <f t="shared" si="2"/>
        <v>1</v>
      </c>
      <c r="J2776" s="6">
        <f>IFERROR(__xludf.DUMMYFUNCTION("IF(H2776="""","""",
SUM(
ARRAYFORMULA(
IF(
REGEXMATCH(
"" ""&amp;H2776&amp;"" "",
"" ""&amp;Sentiment_Words!A$2:A3730&amp;"" ""
),
1,
0
)
)
)
)"),0.0)</f>
        <v>0</v>
      </c>
      <c r="K2776" s="4">
        <f>IFERROR(__xludf.DUMMYFUNCTION("IF(H2776="""","""",
SUM(
ARRAYFORMULA(
IF(
REGEXMATCH(
"" ""&amp;H2776&amp;"" "",
"" ""&amp;Sentiment_Words!B$2:B3730&amp;"" ""
),
1,
0
)
)
)
)"),0.0)</f>
        <v>0</v>
      </c>
      <c r="L2776" s="7" t="str">
        <f t="shared" si="3"/>
        <v>Other</v>
      </c>
      <c r="M2776" s="7" t="str">
        <f t="shared" si="4"/>
        <v>Neutral</v>
      </c>
      <c r="N2776" s="7" t="str">
        <f>IFERROR(__xludf.DUMMYFUNCTION("LOWER(
TRIM(
REGEXREPLACE(B2776,""[^a-zA-Z\s]"","""")
)
)
"),"william vonderohe")</f>
        <v>william vonderohe</v>
      </c>
      <c r="O2776" s="7">
        <f t="shared" si="5"/>
        <v>1</v>
      </c>
      <c r="P2776" s="8" t="str">
        <f t="shared" si="6"/>
        <v>No</v>
      </c>
    </row>
    <row r="2777">
      <c r="A2777" s="4" t="s">
        <v>16</v>
      </c>
      <c r="B2777" s="4" t="s">
        <v>7736</v>
      </c>
      <c r="C2777" s="9">
        <v>44629.0</v>
      </c>
      <c r="D2777" s="10">
        <v>44629.0</v>
      </c>
      <c r="E2777" s="4" t="s">
        <v>7737</v>
      </c>
      <c r="F2777" s="4" t="s">
        <v>331</v>
      </c>
      <c r="G2777" s="6" t="str">
        <f>IFERROR(__xludf.DUMMYFUNCTION("REGEXREPLACE(LOWER(F2777),""[^a-z\s]"","""")"),"none")</f>
        <v>none</v>
      </c>
      <c r="H2777" s="4" t="str">
        <f t="shared" si="1"/>
        <v>none</v>
      </c>
      <c r="I2777" s="6">
        <f t="shared" si="2"/>
        <v>1</v>
      </c>
      <c r="J2777" s="6">
        <f>IFERROR(__xludf.DUMMYFUNCTION("IF(H2777="""","""",
SUM(
ARRAYFORMULA(
IF(
REGEXMATCH(
"" ""&amp;H2777&amp;"" "",
"" ""&amp;Sentiment_Words!A$2:A3730&amp;"" ""
),
1,
0
)
)
)
)"),0.0)</f>
        <v>0</v>
      </c>
      <c r="K2777" s="4">
        <f>IFERROR(__xludf.DUMMYFUNCTION("IF(H2777="""","""",
SUM(
ARRAYFORMULA(
IF(
REGEXMATCH(
"" ""&amp;H2777&amp;"" "",
"" ""&amp;Sentiment_Words!B$2:B3730&amp;"" ""
),
1,
0
)
)
)
)"),0.0)</f>
        <v>0</v>
      </c>
      <c r="L2777" s="7" t="str">
        <f t="shared" si="3"/>
        <v>Other</v>
      </c>
      <c r="M2777" s="7" t="str">
        <f t="shared" si="4"/>
        <v>Neutral</v>
      </c>
      <c r="N2777" s="7" t="str">
        <f>IFERROR(__xludf.DUMMYFUNCTION("LOWER(
TRIM(
REGEXREPLACE(B2777,""[^a-zA-Z\s]"","""")
)
)
"),"barbara wegner")</f>
        <v>barbara wegner</v>
      </c>
      <c r="O2777" s="7">
        <f t="shared" si="5"/>
        <v>1</v>
      </c>
      <c r="P2777" s="8" t="str">
        <f t="shared" si="6"/>
        <v>No</v>
      </c>
    </row>
    <row r="2778">
      <c r="A2778" s="4" t="s">
        <v>16</v>
      </c>
      <c r="B2778" s="4" t="s">
        <v>7738</v>
      </c>
      <c r="C2778" s="9">
        <v>44629.0</v>
      </c>
      <c r="D2778" s="10">
        <v>44629.0</v>
      </c>
      <c r="E2778" s="4" t="s">
        <v>7739</v>
      </c>
      <c r="F2778" s="4" t="s">
        <v>7740</v>
      </c>
      <c r="G2778" s="6" t="str">
        <f>IFERROR(__xludf.DUMMYFUNCTION("REGEXREPLACE(LOWER(F2778),""[^a-z\s]"","""")")," times i have ordered from your company and each time the shipping has not been what was stated it has each time shipped later than the stated ship date when i would inquire there would be excuses your prices are the same as competitors but their shipping"&amp;" is much more reliable")</f>
        <v> times i have ordered from your company and each time the shipping has not been what was stated it has each time shipped later than the stated ship date when i would inquire there would be excuses your prices are the same as competitors but their shipping is much more reliable</v>
      </c>
      <c r="H2778" s="4" t="str">
        <f t="shared" si="1"/>
        <v>times i have ordered from your company each time shipping has not been what was stated it has each time shipped later than stated ship date when i would inquire there would be excuses your prices are same as competitors but their shipping much more reliable</v>
      </c>
      <c r="I2778" s="6">
        <f t="shared" si="2"/>
        <v>46</v>
      </c>
      <c r="J2778" s="6">
        <f>IFERROR(__xludf.DUMMYFUNCTION("IF(H2778="""","""",
SUM(
ARRAYFORMULA(
IF(
REGEXMATCH(
"" ""&amp;H2778&amp;"" "",
"" ""&amp;Sentiment_Words!A$2:A3730&amp;"" ""
),
1,
0
)
)
)
)"),1.0)</f>
        <v>1</v>
      </c>
      <c r="K2778" s="4">
        <f>IFERROR(__xludf.DUMMYFUNCTION("IF(H2778="""","""",
SUM(
ARRAYFORMULA(
IF(
REGEXMATCH(
"" ""&amp;H2778&amp;"" "",
"" ""&amp;Sentiment_Words!B$2:B3730&amp;"" ""
),
1,
0
)
)
)
)"),0.0)</f>
        <v>0</v>
      </c>
      <c r="L2778" s="7" t="str">
        <f t="shared" si="3"/>
        <v>Fulfillment &amp; Shipping</v>
      </c>
      <c r="M2778" s="7" t="str">
        <f t="shared" si="4"/>
        <v>Positive</v>
      </c>
      <c r="N2778" s="7" t="str">
        <f>IFERROR(__xludf.DUMMYFUNCTION("LOWER(
TRIM(
REGEXREPLACE(B2778,""[^a-zA-Z\s]"","""")
)
)
"),"lori antz doyle")</f>
        <v>lori antz doyle</v>
      </c>
      <c r="O2778" s="7">
        <f t="shared" si="5"/>
        <v>1</v>
      </c>
      <c r="P2778" s="8" t="str">
        <f t="shared" si="6"/>
        <v>No</v>
      </c>
    </row>
    <row r="2779">
      <c r="A2779" s="4" t="s">
        <v>16</v>
      </c>
      <c r="B2779" s="4" t="s">
        <v>7741</v>
      </c>
      <c r="C2779" s="9">
        <v>44629.0</v>
      </c>
      <c r="D2779" s="10">
        <v>44629.0</v>
      </c>
      <c r="E2779" s="4" t="s">
        <v>7742</v>
      </c>
      <c r="F2779" s="4" t="s">
        <v>7743</v>
      </c>
      <c r="G2779" s="6" t="str">
        <f>IFERROR(__xludf.DUMMYFUNCTION("REGEXREPLACE(LOWER(F2779),""[^a-z\s]"","""")"),"the petflow folks are always helpful great products for my animal kids  thank you")</f>
        <v>the petflow folks are always helpful great products for my animal kids  thank you</v>
      </c>
      <c r="H2779" s="4" t="str">
        <f t="shared" si="1"/>
        <v>petflow folks are always helpful great products my animal kids thank you</v>
      </c>
      <c r="I2779" s="6">
        <f t="shared" si="2"/>
        <v>12</v>
      </c>
      <c r="J2779" s="6">
        <f>IFERROR(__xludf.DUMMYFUNCTION("IF(H2779="""","""",
SUM(
ARRAYFORMULA(
IF(
REGEXMATCH(
"" ""&amp;H2779&amp;"" "",
"" ""&amp;Sentiment_Words!A$2:A3730&amp;"" ""
),
1,
0
)
)
)
)"),2.0)</f>
        <v>2</v>
      </c>
      <c r="K2779" s="4">
        <f>IFERROR(__xludf.DUMMYFUNCTION("IF(H2779="""","""",
SUM(
ARRAYFORMULA(
IF(
REGEXMATCH(
"" ""&amp;H2779&amp;"" "",
"" ""&amp;Sentiment_Words!B$2:B3730&amp;"" ""
),
1,
0
)
)
)
)"),0.0)</f>
        <v>0</v>
      </c>
      <c r="L2779" s="7" t="str">
        <f t="shared" si="3"/>
        <v>Other</v>
      </c>
      <c r="M2779" s="7" t="str">
        <f t="shared" si="4"/>
        <v>Positive</v>
      </c>
      <c r="N2779" s="7" t="str">
        <f>IFERROR(__xludf.DUMMYFUNCTION("LOWER(
TRIM(
REGEXREPLACE(B2779,""[^a-zA-Z\s]"","""")
)
)
"),"madeline")</f>
        <v>madeline</v>
      </c>
      <c r="O2779" s="7">
        <f t="shared" si="5"/>
        <v>1</v>
      </c>
      <c r="P2779" s="8" t="str">
        <f t="shared" si="6"/>
        <v>No</v>
      </c>
    </row>
    <row r="2780">
      <c r="A2780" s="4" t="s">
        <v>16</v>
      </c>
      <c r="B2780" s="4" t="s">
        <v>7744</v>
      </c>
      <c r="C2780" s="9">
        <v>44629.0</v>
      </c>
      <c r="D2780" s="10">
        <v>44629.0</v>
      </c>
      <c r="E2780" s="4" t="s">
        <v>7745</v>
      </c>
      <c r="F2780" s="4" t="s">
        <v>7746</v>
      </c>
      <c r="G2780" s="6" t="str">
        <f>IFERROR(__xludf.DUMMYFUNCTION("REGEXREPLACE(LOWER(F2780),""[^a-z\s]"","""")"),"would not accept a copy of the prescription for medications wanted it mailed caused further delays other online firms dont require this")</f>
        <v>would not accept a copy of the prescription for medications wanted it mailed caused further delays other online firms dont require this</v>
      </c>
      <c r="H2780" s="4" t="str">
        <f t="shared" si="1"/>
        <v>would not accept a copy of prescription medications wanted it mailed caused further delays other online firms dont require this</v>
      </c>
      <c r="I2780" s="6">
        <f t="shared" si="2"/>
        <v>20</v>
      </c>
      <c r="J2780" s="6">
        <f>IFERROR(__xludf.DUMMYFUNCTION("IF(H2780="""","""",
SUM(
ARRAYFORMULA(
IF(
REGEXMATCH(
"" ""&amp;H2780&amp;"" "",
"" ""&amp;Sentiment_Words!A$2:A3730&amp;"" ""
),
1,
0
)
)
)
)"),0.0)</f>
        <v>0</v>
      </c>
      <c r="K2780" s="4">
        <f>IFERROR(__xludf.DUMMYFUNCTION("IF(H2780="""","""",
SUM(
ARRAYFORMULA(
IF(
REGEXMATCH(
"" ""&amp;H2780&amp;"" "",
"" ""&amp;Sentiment_Words!B$2:B3730&amp;"" ""
),
1,
0
)
)
)
)"),0.0)</f>
        <v>0</v>
      </c>
      <c r="L2780" s="7" t="str">
        <f t="shared" si="3"/>
        <v>Fulfillment &amp; Shipping</v>
      </c>
      <c r="M2780" s="7" t="str">
        <f t="shared" si="4"/>
        <v>Neutral</v>
      </c>
      <c r="N2780" s="7" t="str">
        <f>IFERROR(__xludf.DUMMYFUNCTION("LOWER(
TRIM(
REGEXREPLACE(B2780,""[^a-zA-Z\s]"","""")
)
)
"),"gb")</f>
        <v>gb</v>
      </c>
      <c r="O2780" s="7">
        <f t="shared" si="5"/>
        <v>1</v>
      </c>
      <c r="P2780" s="8" t="str">
        <f t="shared" si="6"/>
        <v>No</v>
      </c>
    </row>
    <row r="2781">
      <c r="A2781" s="4" t="s">
        <v>16</v>
      </c>
      <c r="B2781" s="4" t="s">
        <v>7747</v>
      </c>
      <c r="C2781" s="9">
        <v>44629.0</v>
      </c>
      <c r="D2781" s="10">
        <v>44629.0</v>
      </c>
      <c r="E2781" s="4" t="s">
        <v>7748</v>
      </c>
      <c r="F2781" s="4" t="s">
        <v>7749</v>
      </c>
      <c r="G2781" s="6" t="str">
        <f>IFERROR(__xludf.DUMMYFUNCTION("REGEXREPLACE(LOWER(F2781),""[^a-z\s]"","""")"),"i am very pleased with petflow  the pet food i was needing was not in stock at a local big box store that normally has the best price petflow had it in stock smaller poundage however with their  off first  autoship orders i was able to get more pounds at "&amp;"a cheaper cost than the big box store the food came quickly too thanks petflow")</f>
        <v>i am very pleased with petflow  the pet food i was needing was not in stock at a local big box store that normally has the best price petflow had it in stock smaller poundage however with their  off first  autoship orders i was able to get more pounds at a cheaper cost than the big box store the food came quickly too thanks petflow</v>
      </c>
      <c r="H2781" s="4" t="str">
        <f t="shared" si="1"/>
        <v>i am very pleased with petflow pet food i was needing was not in stock at a local big box store that normally has best price petflow had it in stock smaller poundage however with their off first autoship orders i was able get more pounds at a cheaper cost than big box store food came quickly too thanks petflow</v>
      </c>
      <c r="I2781" s="6">
        <f t="shared" si="2"/>
        <v>60</v>
      </c>
      <c r="J2781" s="6">
        <f>IFERROR(__xludf.DUMMYFUNCTION("IF(H2781="""","""",
SUM(
ARRAYFORMULA(
IF(
REGEXMATCH(
"" ""&amp;H2781&amp;"" "",
"" ""&amp;Sentiment_Words!A$2:A3730&amp;"" ""
),
1,
0
)
)
)
)"),2.0)</f>
        <v>2</v>
      </c>
      <c r="K2781" s="4">
        <f>IFERROR(__xludf.DUMMYFUNCTION("IF(H2781="""","""",
SUM(
ARRAYFORMULA(
IF(
REGEXMATCH(
"" ""&amp;H2781&amp;"" "",
"" ""&amp;Sentiment_Words!B$2:B3730&amp;"" ""
),
1,
0
)
)
)
)"),0.0)</f>
        <v>0</v>
      </c>
      <c r="L2781" s="7" t="str">
        <f t="shared" si="3"/>
        <v>Value &amp; Convenience</v>
      </c>
      <c r="M2781" s="7" t="str">
        <f t="shared" si="4"/>
        <v>Positive</v>
      </c>
      <c r="N2781" s="7" t="str">
        <f>IFERROR(__xludf.DUMMYFUNCTION("LOWER(
TRIM(
REGEXREPLACE(B2781,""[^a-zA-Z\s]"","""")
)
)
"),"annahope")</f>
        <v>annahope</v>
      </c>
      <c r="O2781" s="7">
        <f t="shared" si="5"/>
        <v>1</v>
      </c>
      <c r="P2781" s="8" t="str">
        <f t="shared" si="6"/>
        <v>No</v>
      </c>
    </row>
    <row r="2782">
      <c r="A2782" s="4" t="s">
        <v>16</v>
      </c>
      <c r="B2782" s="4" t="s">
        <v>7750</v>
      </c>
      <c r="C2782" s="9">
        <v>44629.0</v>
      </c>
      <c r="D2782" s="10">
        <v>44629.0</v>
      </c>
      <c r="E2782" s="4" t="s">
        <v>7751</v>
      </c>
      <c r="F2782" s="4" t="s">
        <v>7752</v>
      </c>
      <c r="G2782" s="6" t="str">
        <f>IFERROR(__xludf.DUMMYFUNCTION("REGEXREPLACE(LOWER(F2782),""[^a-z\s]"","""")"),"had the products i wanted and received items quickly")</f>
        <v>had the products i wanted and received items quickly</v>
      </c>
      <c r="H2782" s="4" t="str">
        <f t="shared" si="1"/>
        <v>had products i wanted received items quickly</v>
      </c>
      <c r="I2782" s="6">
        <f t="shared" si="2"/>
        <v>7</v>
      </c>
      <c r="J2782" s="6">
        <f>IFERROR(__xludf.DUMMYFUNCTION("IF(H2782="""","""",
SUM(
ARRAYFORMULA(
IF(
REGEXMATCH(
"" ""&amp;H2782&amp;"" "",
"" ""&amp;Sentiment_Words!A$2:A3730&amp;"" ""
),
1,
0
)
)
)
)"),0.0)</f>
        <v>0</v>
      </c>
      <c r="K2782" s="4">
        <f>IFERROR(__xludf.DUMMYFUNCTION("IF(H2782="""","""",
SUM(
ARRAYFORMULA(
IF(
REGEXMATCH(
"" ""&amp;H2782&amp;"" "",
"" ""&amp;Sentiment_Words!B$2:B3730&amp;"" ""
),
1,
0
)
)
)
)"),0.0)</f>
        <v>0</v>
      </c>
      <c r="L2782" s="7" t="str">
        <f t="shared" si="3"/>
        <v>Other</v>
      </c>
      <c r="M2782" s="7" t="str">
        <f t="shared" si="4"/>
        <v>Neutral</v>
      </c>
      <c r="N2782" s="7" t="str">
        <f>IFERROR(__xludf.DUMMYFUNCTION("LOWER(
TRIM(
REGEXREPLACE(B2782,""[^a-zA-Z\s]"","""")
)
)
"),"muriel saari")</f>
        <v>muriel saari</v>
      </c>
      <c r="O2782" s="7">
        <f t="shared" si="5"/>
        <v>1</v>
      </c>
      <c r="P2782" s="8" t="str">
        <f t="shared" si="6"/>
        <v>No</v>
      </c>
    </row>
    <row r="2783">
      <c r="A2783" s="4" t="s">
        <v>16</v>
      </c>
      <c r="B2783" s="4" t="s">
        <v>7753</v>
      </c>
      <c r="C2783" s="9">
        <v>44629.0</v>
      </c>
      <c r="D2783" s="10">
        <v>44629.0</v>
      </c>
      <c r="E2783" s="4" t="s">
        <v>7754</v>
      </c>
      <c r="F2783" s="4" t="s">
        <v>7755</v>
      </c>
      <c r="G2783" s="6" t="str">
        <f>IFERROR(__xludf.DUMMYFUNCTION("REGEXREPLACE(LOWER(F2783),""[^a-z\s]"","""")"),"timely delivery and had my cats prescription food when other vendors did not")</f>
        <v>timely delivery and had my cats prescription food when other vendors did not</v>
      </c>
      <c r="H2783" s="4" t="str">
        <f t="shared" si="1"/>
        <v>timely delivery had my cats prescription food when other vendors did not</v>
      </c>
      <c r="I2783" s="6">
        <f t="shared" si="2"/>
        <v>12</v>
      </c>
      <c r="J2783" s="6">
        <f>IFERROR(__xludf.DUMMYFUNCTION("IF(H2783="""","""",
SUM(
ARRAYFORMULA(
IF(
REGEXMATCH(
"" ""&amp;H2783&amp;"" "",
"" ""&amp;Sentiment_Words!A$2:A3730&amp;"" ""
),
1,
0
)
)
)
)"),0.0)</f>
        <v>0</v>
      </c>
      <c r="K2783" s="4">
        <f>IFERROR(__xludf.DUMMYFUNCTION("IF(H2783="""","""",
SUM(
ARRAYFORMULA(
IF(
REGEXMATCH(
"" ""&amp;H2783&amp;"" "",
"" ""&amp;Sentiment_Words!B$2:B3730&amp;"" ""
),
1,
0
)
)
)
)"),0.0)</f>
        <v>0</v>
      </c>
      <c r="L2783" s="7" t="str">
        <f t="shared" si="3"/>
        <v>Other</v>
      </c>
      <c r="M2783" s="7" t="str">
        <f t="shared" si="4"/>
        <v>Neutral</v>
      </c>
      <c r="N2783" s="7" t="str">
        <f>IFERROR(__xludf.DUMMYFUNCTION("LOWER(
TRIM(
REGEXREPLACE(B2783,""[^a-zA-Z\s]"","""")
)
)
"),"tjm")</f>
        <v>tjm</v>
      </c>
      <c r="O2783" s="7">
        <f t="shared" si="5"/>
        <v>1</v>
      </c>
      <c r="P2783" s="8" t="str">
        <f t="shared" si="6"/>
        <v>No</v>
      </c>
    </row>
    <row r="2784">
      <c r="A2784" s="4" t="s">
        <v>16</v>
      </c>
      <c r="B2784" s="4" t="s">
        <v>7756</v>
      </c>
      <c r="C2784" s="9">
        <v>44629.0</v>
      </c>
      <c r="D2784" s="10">
        <v>44629.0</v>
      </c>
      <c r="E2784" s="4" t="s">
        <v>7757</v>
      </c>
      <c r="F2784" s="4" t="s">
        <v>7758</v>
      </c>
      <c r="G2784" s="6" t="str">
        <f>IFERROR(__xludf.DUMMYFUNCTION("REGEXREPLACE(LOWER(F2784),""[^a-z\s]"","""")"),"i did not hear from pet flow quickly that they could not fill my order of specific dietary cat food but they cancelled my order and i believe will not show on my credit card i understand there is shortage of pet food right now but their website said in st"&amp;"ock
good luck to all and thanks for trying")</f>
        <v>i did not hear from pet flow quickly that they could not fill my order of specific dietary cat food but they cancelled my order and i believe will not show on my credit card i understand there is shortage of pet food right now but their website said in stock
good luck to all and thanks for trying</v>
      </c>
      <c r="H2784" s="4" t="str">
        <f t="shared" si="1"/>
        <v>i did not hear from pet flow quickly that they could not fill my order of specific dietary cat food but they cancelled my order i believe will not show on my credit card i understand there shortage of pet food right now but their website said in stock
good luck all thanks trying</v>
      </c>
      <c r="I2784" s="6">
        <f t="shared" si="2"/>
        <v>53</v>
      </c>
      <c r="J2784" s="6">
        <f>IFERROR(__xludf.DUMMYFUNCTION("IF(H2784="""","""",
SUM(
ARRAYFORMULA(
IF(
REGEXMATCH(
"" ""&amp;H2784&amp;"" "",
"" ""&amp;Sentiment_Words!A$2:A3730&amp;"" ""
),
1,
0
)
)
)
)"),0.0)</f>
        <v>0</v>
      </c>
      <c r="K2784" s="4">
        <f>IFERROR(__xludf.DUMMYFUNCTION("IF(H2784="""","""",
SUM(
ARRAYFORMULA(
IF(
REGEXMATCH(
"" ""&amp;H2784&amp;"" "",
"" ""&amp;Sentiment_Words!B$2:B3730&amp;"" ""
),
1,
0
)
)
)
)"),1.0)</f>
        <v>1</v>
      </c>
      <c r="L2784" s="7" t="str">
        <f t="shared" si="3"/>
        <v>Account &amp; Website</v>
      </c>
      <c r="M2784" s="7" t="str">
        <f t="shared" si="4"/>
        <v>Negative</v>
      </c>
      <c r="N2784" s="7" t="str">
        <f>IFERROR(__xludf.DUMMYFUNCTION("LOWER(
TRIM(
REGEXREPLACE(B2784,""[^a-zA-Z\s]"","""")
)
)
"),"suzin")</f>
        <v>suzin</v>
      </c>
      <c r="O2784" s="7">
        <f t="shared" si="5"/>
        <v>1</v>
      </c>
      <c r="P2784" s="8" t="str">
        <f t="shared" si="6"/>
        <v>No</v>
      </c>
    </row>
    <row r="2785">
      <c r="A2785" s="4" t="s">
        <v>16</v>
      </c>
      <c r="B2785" s="4" t="s">
        <v>7759</v>
      </c>
      <c r="C2785" s="9">
        <v>44629.0</v>
      </c>
      <c r="D2785" s="10">
        <v>44629.0</v>
      </c>
      <c r="E2785" s="4" t="s">
        <v>7760</v>
      </c>
      <c r="F2785" s="4" t="s">
        <v>7761</v>
      </c>
      <c r="G2785" s="6" t="str">
        <f>IFERROR(__xludf.DUMMYFUNCTION("REGEXREPLACE(LOWER(F2785),""[^a-z\s]"","""")"),"i ordered a food which my pets really need since it is prescribed it was out of stock but i wasnt told promptly i had to contact support to learn they were out and planned to cancel my order days later ")</f>
        <v>i ordered a food which my pets really need since it is prescribed it was out of stock but i wasnt told promptly i had to contact support to learn they were out and planned to cancel my order days later </v>
      </c>
      <c r="H2785" s="4" t="str">
        <f t="shared" si="1"/>
        <v>i ordered a food which my pets really need since it prescribed it was out of stock but i wasnt told promptly i had contact support learn they were out planned cancel my order days later</v>
      </c>
      <c r="I2785" s="6">
        <f t="shared" si="2"/>
        <v>36</v>
      </c>
      <c r="J2785" s="6">
        <f>IFERROR(__xludf.DUMMYFUNCTION("IF(H2785="""","""",
SUM(
ARRAYFORMULA(
IF(
REGEXMATCH(
"" ""&amp;H2785&amp;"" "",
"" ""&amp;Sentiment_Words!A$2:A3730&amp;"" ""
),
1,
0
)
)
)
)"),0.0)</f>
        <v>0</v>
      </c>
      <c r="K2785" s="4">
        <f>IFERROR(__xludf.DUMMYFUNCTION("IF(H2785="""","""",
SUM(
ARRAYFORMULA(
IF(
REGEXMATCH(
"" ""&amp;H2785&amp;"" "",
"" ""&amp;Sentiment_Words!B$2:B3730&amp;"" ""
),
1,
0
)
)
)
)"),1.0)</f>
        <v>1</v>
      </c>
      <c r="L2785" s="7" t="str">
        <f t="shared" si="3"/>
        <v>Customer Support</v>
      </c>
      <c r="M2785" s="7" t="str">
        <f t="shared" si="4"/>
        <v>Negative</v>
      </c>
      <c r="N2785" s="7" t="str">
        <f>IFERROR(__xludf.DUMMYFUNCTION("LOWER(
TRIM(
REGEXREPLACE(B2785,""[^a-zA-Z\s]"","""")
)
)
"),"brittany s")</f>
        <v>brittany s</v>
      </c>
      <c r="O2785" s="7">
        <f t="shared" si="5"/>
        <v>1</v>
      </c>
      <c r="P2785" s="8" t="str">
        <f t="shared" si="6"/>
        <v>No</v>
      </c>
    </row>
    <row r="2786">
      <c r="A2786" s="4" t="s">
        <v>16</v>
      </c>
      <c r="B2786" s="4" t="s">
        <v>5384</v>
      </c>
      <c r="C2786" s="9">
        <v>44629.0</v>
      </c>
      <c r="D2786" s="10">
        <v>44629.0</v>
      </c>
      <c r="E2786" s="4" t="s">
        <v>7762</v>
      </c>
      <c r="F2786" s="4" t="s">
        <v>7763</v>
      </c>
      <c r="G2786" s="6" t="str">
        <f>IFERROR(__xludf.DUMMYFUNCTION("REGEXREPLACE(LOWER(F2786),""[^a-z\s]"","""")"),"great products fast shipping")</f>
        <v>great products fast shipping</v>
      </c>
      <c r="H2786" s="4" t="str">
        <f t="shared" si="1"/>
        <v>great products fast shipping</v>
      </c>
      <c r="I2786" s="6">
        <f t="shared" si="2"/>
        <v>4</v>
      </c>
      <c r="J2786" s="6">
        <f>IFERROR(__xludf.DUMMYFUNCTION("IF(H2786="""","""",
SUM(
ARRAYFORMULA(
IF(
REGEXMATCH(
"" ""&amp;H2786&amp;"" "",
"" ""&amp;Sentiment_Words!A$2:A3730&amp;"" ""
),
1,
0
)
)
)
)"),2.0)</f>
        <v>2</v>
      </c>
      <c r="K2786" s="4">
        <f>IFERROR(__xludf.DUMMYFUNCTION("IF(H2786="""","""",
SUM(
ARRAYFORMULA(
IF(
REGEXMATCH(
"" ""&amp;H2786&amp;"" "",
"" ""&amp;Sentiment_Words!B$2:B3730&amp;"" ""
),
1,
0
)
)
)
)"),0.0)</f>
        <v>0</v>
      </c>
      <c r="L2786" s="7" t="str">
        <f t="shared" si="3"/>
        <v>Other</v>
      </c>
      <c r="M2786" s="7" t="str">
        <f t="shared" si="4"/>
        <v>Positive</v>
      </c>
      <c r="N2786" s="7" t="str">
        <f>IFERROR(__xludf.DUMMYFUNCTION("LOWER(
TRIM(
REGEXREPLACE(B2786,""[^a-zA-Z\s]"","""")
)
)
"),"cheryl")</f>
        <v>cheryl</v>
      </c>
      <c r="O2786" s="7">
        <f t="shared" si="5"/>
        <v>5</v>
      </c>
      <c r="P2786" s="8" t="str">
        <f t="shared" si="6"/>
        <v>Yes</v>
      </c>
    </row>
    <row r="2787">
      <c r="A2787" s="4" t="s">
        <v>16</v>
      </c>
      <c r="B2787" s="4" t="s">
        <v>7764</v>
      </c>
      <c r="C2787" s="9">
        <v>44629.0</v>
      </c>
      <c r="D2787" s="10">
        <v>44629.0</v>
      </c>
      <c r="E2787" s="4" t="s">
        <v>7765</v>
      </c>
      <c r="F2787" s="4" t="s">
        <v>7766</v>
      </c>
      <c r="G2787" s="6" t="str">
        <f>IFERROR(__xludf.DUMMYFUNCTION("REGEXREPLACE(LOWER(F2787),""[^a-z\s]"","""")"),"excellent product quality very professional customer service prompt delivery")</f>
        <v>excellent product quality very professional customer service prompt delivery</v>
      </c>
      <c r="H2787" s="4" t="str">
        <f t="shared" si="1"/>
        <v>excellent product quality very professional customer service prompt delivery</v>
      </c>
      <c r="I2787" s="6">
        <f t="shared" si="2"/>
        <v>9</v>
      </c>
      <c r="J2787" s="6">
        <f>IFERROR(__xludf.DUMMYFUNCTION("IF(H2787="""","""",
SUM(
ARRAYFORMULA(
IF(
REGEXMATCH(
"" ""&amp;H2787&amp;"" "",
"" ""&amp;Sentiment_Words!A$2:A3730&amp;"" ""
),
1,
0
)
)
)
)"),1.0)</f>
        <v>1</v>
      </c>
      <c r="K2787" s="4">
        <f>IFERROR(__xludf.DUMMYFUNCTION("IF(H2787="""","""",
SUM(
ARRAYFORMULA(
IF(
REGEXMATCH(
"" ""&amp;H2787&amp;"" "",
"" ""&amp;Sentiment_Words!B$2:B3730&amp;"" ""
),
1,
0
)
)
)
)"),1.0)</f>
        <v>1</v>
      </c>
      <c r="L2787" s="7" t="str">
        <f t="shared" si="3"/>
        <v>Customer Support</v>
      </c>
      <c r="M2787" s="7" t="str">
        <f t="shared" si="4"/>
        <v>Neutral</v>
      </c>
      <c r="N2787" s="7" t="str">
        <f>IFERROR(__xludf.DUMMYFUNCTION("LOWER(
TRIM(
REGEXREPLACE(B2787,""[^a-zA-Z\s]"","""")
)
)
"),"felix benitez")</f>
        <v>felix benitez</v>
      </c>
      <c r="O2787" s="7">
        <f t="shared" si="5"/>
        <v>1</v>
      </c>
      <c r="P2787" s="8" t="str">
        <f t="shared" si="6"/>
        <v>No</v>
      </c>
    </row>
    <row r="2788">
      <c r="A2788" s="4" t="s">
        <v>16</v>
      </c>
      <c r="B2788" s="4" t="s">
        <v>7767</v>
      </c>
      <c r="C2788" s="9">
        <v>44628.0</v>
      </c>
      <c r="D2788" s="10">
        <v>44629.0</v>
      </c>
      <c r="E2788" s="4" t="s">
        <v>4876</v>
      </c>
      <c r="F2788" s="4" t="s">
        <v>7768</v>
      </c>
      <c r="G2788" s="6" t="str">
        <f>IFERROR(__xludf.DUMMYFUNCTION("REGEXREPLACE(LOWER(F2788),""[^a-z\s]"","""")"),"i love petflow they feature my dogs brand of food which he has eaten since birth fromm as well as a good selection of treats and toys ordering is a breeze online and the deliveries are prompt even with all the delays in the supply chain and delivery servi"&amp;"ces and thoughtfully packed this is a quality company with an excellent track record")</f>
        <v>i love petflow they feature my dogs brand of food which he has eaten since birth fromm as well as a good selection of treats and toys ordering is a breeze online and the deliveries are prompt even with all the delays in the supply chain and delivery services and thoughtfully packed this is a quality company with an excellent track record</v>
      </c>
      <c r="H2788" s="4" t="str">
        <f t="shared" si="1"/>
        <v>i love petflow they feature my dogs brand of food which he has eaten since birth fromm as well as a good selection of treats toys ordering a breeze online deliveries are prompt even with all delays in supply chain delivery services thoughtfully packed this a quality company with an excellent track record</v>
      </c>
      <c r="I2788" s="6">
        <f t="shared" si="2"/>
        <v>53</v>
      </c>
      <c r="J2788" s="6">
        <f>IFERROR(__xludf.DUMMYFUNCTION("IF(H2788="""","""",
SUM(
ARRAYFORMULA(
IF(
REGEXMATCH(
"" ""&amp;H2788&amp;"" "",
"" ""&amp;Sentiment_Words!A$2:A3730&amp;"" ""
),
1,
0
)
)
)
)"),3.0)</f>
        <v>3</v>
      </c>
      <c r="K2788" s="4">
        <f>IFERROR(__xludf.DUMMYFUNCTION("IF(H2788="""","""",
SUM(
ARRAYFORMULA(
IF(
REGEXMATCH(
"" ""&amp;H2788&amp;"" "",
"" ""&amp;Sentiment_Words!B$2:B3730&amp;"" ""
),
1,
0
)
)
)
)"),0.0)</f>
        <v>0</v>
      </c>
      <c r="L2788" s="7" t="str">
        <f t="shared" si="3"/>
        <v>Customer Support</v>
      </c>
      <c r="M2788" s="7" t="str">
        <f t="shared" si="4"/>
        <v>Positive</v>
      </c>
      <c r="N2788" s="7" t="str">
        <f>IFERROR(__xludf.DUMMYFUNCTION("LOWER(
TRIM(
REGEXREPLACE(B2788,""[^a-zA-Z\s]"","""")
)
)
"),"julie o")</f>
        <v>julie o</v>
      </c>
      <c r="O2788" s="7">
        <f t="shared" si="5"/>
        <v>1</v>
      </c>
      <c r="P2788" s="8" t="str">
        <f t="shared" si="6"/>
        <v>No</v>
      </c>
    </row>
    <row r="2789">
      <c r="A2789" s="4" t="s">
        <v>16</v>
      </c>
      <c r="B2789" s="4" t="s">
        <v>7769</v>
      </c>
      <c r="C2789" s="9">
        <v>44628.0</v>
      </c>
      <c r="D2789" s="10">
        <v>44629.0</v>
      </c>
      <c r="E2789" s="4" t="s">
        <v>7770</v>
      </c>
      <c r="F2789" s="4" t="s">
        <v>7771</v>
      </c>
      <c r="G2789" s="6" t="str">
        <f>IFERROR(__xludf.DUMMYFUNCTION("REGEXREPLACE(LOWER(F2789),""[^a-z\s]"","""")"),"my dog was given dry dog food canned dog food and pet flow dog food all at the same time he rooted around until he found the pet flow that is always his first choice he loves it")</f>
        <v>my dog was given dry dog food canned dog food and pet flow dog food all at the same time he rooted around until he found the pet flow that is always his first choice he loves it</v>
      </c>
      <c r="H2789" s="4" t="str">
        <f t="shared" si="1"/>
        <v>my dog was given dry dog food canned dog food pet flow dog food all at same time he rooted around until he found pet flow that always his first choice he loves it</v>
      </c>
      <c r="I2789" s="6">
        <f t="shared" si="2"/>
        <v>34</v>
      </c>
      <c r="J2789" s="6">
        <f>IFERROR(__xludf.DUMMYFUNCTION("IF(H2789="""","""",
SUM(
ARRAYFORMULA(
IF(
REGEXMATCH(
"" ""&amp;H2789&amp;"" "",
"" ""&amp;Sentiment_Words!A$2:A3730&amp;"" ""
),
1,
0
)
)
)
)"),1.0)</f>
        <v>1</v>
      </c>
      <c r="K2789" s="4">
        <f>IFERROR(__xludf.DUMMYFUNCTION("IF(H2789="""","""",
SUM(
ARRAYFORMULA(
IF(
REGEXMATCH(
"" ""&amp;H2789&amp;"" "",
"" ""&amp;Sentiment_Words!B$2:B3730&amp;"" ""
),
1,
0
)
)
)
)"),0.0)</f>
        <v>0</v>
      </c>
      <c r="L2789" s="7" t="str">
        <f t="shared" si="3"/>
        <v>Other</v>
      </c>
      <c r="M2789" s="7" t="str">
        <f t="shared" si="4"/>
        <v>Positive</v>
      </c>
      <c r="N2789" s="7" t="str">
        <f>IFERROR(__xludf.DUMMYFUNCTION("LOWER(
TRIM(
REGEXREPLACE(B2789,""[^a-zA-Z\s]"","""")
)
)
"),"charlene alexander")</f>
        <v>charlene alexander</v>
      </c>
      <c r="O2789" s="7">
        <f t="shared" si="5"/>
        <v>1</v>
      </c>
      <c r="P2789" s="8" t="str">
        <f t="shared" si="6"/>
        <v>No</v>
      </c>
    </row>
    <row r="2790">
      <c r="A2790" s="4" t="s">
        <v>16</v>
      </c>
      <c r="B2790" s="4" t="s">
        <v>7772</v>
      </c>
      <c r="C2790" s="9">
        <v>44628.0</v>
      </c>
      <c r="D2790" s="10">
        <v>44629.0</v>
      </c>
      <c r="E2790" s="4" t="s">
        <v>7773</v>
      </c>
      <c r="F2790" s="4" t="s">
        <v>7774</v>
      </c>
      <c r="G2790" s="6" t="str">
        <f>IFERROR(__xludf.DUMMYFUNCTION("REGEXREPLACE(LOWER(F2790),""[^a-z\s]"","""")"),"outstanding company with great service prices and fast shipping")</f>
        <v>outstanding company with great service prices and fast shipping</v>
      </c>
      <c r="H2790" s="4" t="str">
        <f t="shared" si="1"/>
        <v>outstanding company with great service prices fast shipping</v>
      </c>
      <c r="I2790" s="6">
        <f t="shared" si="2"/>
        <v>8</v>
      </c>
      <c r="J2790" s="6">
        <f>IFERROR(__xludf.DUMMYFUNCTION("IF(H2790="""","""",
SUM(
ARRAYFORMULA(
IF(
REGEXMATCH(
"" ""&amp;H2790&amp;"" "",
"" ""&amp;Sentiment_Words!A$2:A3730&amp;"" ""
),
1,
0
)
)
)
)"),2.0)</f>
        <v>2</v>
      </c>
      <c r="K2790" s="4">
        <f>IFERROR(__xludf.DUMMYFUNCTION("IF(H2790="""","""",
SUM(
ARRAYFORMULA(
IF(
REGEXMATCH(
"" ""&amp;H2790&amp;"" "",
"" ""&amp;Sentiment_Words!B$2:B3730&amp;"" ""
),
1,
0
)
)
)
)"),0.0)</f>
        <v>0</v>
      </c>
      <c r="L2790" s="7" t="str">
        <f t="shared" si="3"/>
        <v>Customer Support</v>
      </c>
      <c r="M2790" s="7" t="str">
        <f t="shared" si="4"/>
        <v>Positive</v>
      </c>
      <c r="N2790" s="7" t="str">
        <f>IFERROR(__xludf.DUMMYFUNCTION("LOWER(
TRIM(
REGEXREPLACE(B2790,""[^a-zA-Z\s]"","""")
)
)
"),"phatdog")</f>
        <v>phatdog</v>
      </c>
      <c r="O2790" s="7">
        <f t="shared" si="5"/>
        <v>1</v>
      </c>
      <c r="P2790" s="8" t="str">
        <f t="shared" si="6"/>
        <v>No</v>
      </c>
    </row>
    <row r="2791">
      <c r="A2791" s="4" t="s">
        <v>16</v>
      </c>
      <c r="B2791" s="4" t="s">
        <v>7775</v>
      </c>
      <c r="C2791" s="9">
        <v>44628.0</v>
      </c>
      <c r="D2791" s="10">
        <v>44628.0</v>
      </c>
      <c r="E2791" s="4" t="s">
        <v>7776</v>
      </c>
      <c r="F2791" s="4" t="s">
        <v>7777</v>
      </c>
      <c r="G2791" s="6" t="str">
        <f>IFERROR(__xludf.DUMMYFUNCTION("REGEXREPLACE(LOWER(F2791),""[^a-z\s]"","""")"),"they always seem to have our dogs food whereas as certain stores rarely do and im continuously told that its all due to covid which im sick of hearing yet petflow always comes through which is why ill continue to purchase our dogs food through them depend"&amp;"able and punctual with their deliveries its always a pleasure doing business with them awesome business")</f>
        <v>they always seem to have our dogs food whereas as certain stores rarely do and im continuously told that its all due to covid which im sick of hearing yet petflow always comes through which is why ill continue to purchase our dogs food through them dependable and punctual with their deliveries its always a pleasure doing business with them awesome business</v>
      </c>
      <c r="H2791" s="4" t="str">
        <f t="shared" si="1"/>
        <v>they always seem have our dogs food whereas as certain stores rarely do im continuously told that its all due covid which im sick of hearing yet petflow always comes through which why ill continue purchase our dogs food through them dependable punctual with their deliveries its always a pleasure doing business with them awesome business</v>
      </c>
      <c r="I2791" s="6">
        <f t="shared" si="2"/>
        <v>56</v>
      </c>
      <c r="J2791" s="6">
        <f>IFERROR(__xludf.DUMMYFUNCTION("IF(H2791="""","""",
SUM(
ARRAYFORMULA(
IF(
REGEXMATCH(
"" ""&amp;H2791&amp;"" "",
"" ""&amp;Sentiment_Words!A$2:A3730&amp;"" ""
),
1,
0
)
)
)
)"),0.0)</f>
        <v>0</v>
      </c>
      <c r="K2791" s="4">
        <f>IFERROR(__xludf.DUMMYFUNCTION("IF(H2791="""","""",
SUM(
ARRAYFORMULA(
IF(
REGEXMATCH(
"" ""&amp;H2791&amp;"" "",
"" ""&amp;Sentiment_Words!B$2:B3730&amp;"" ""
),
1,
0
)
)
)
)"),0.0)</f>
        <v>0</v>
      </c>
      <c r="L2791" s="7" t="str">
        <f t="shared" si="3"/>
        <v>Other</v>
      </c>
      <c r="M2791" s="7" t="str">
        <f t="shared" si="4"/>
        <v>Neutral</v>
      </c>
      <c r="N2791" s="7" t="str">
        <f>IFERROR(__xludf.DUMMYFUNCTION("LOWER(
TRIM(
REGEXREPLACE(B2791,""[^a-zA-Z\s]"","""")
)
)
"),"jorge sanchez")</f>
        <v>jorge sanchez</v>
      </c>
      <c r="O2791" s="7">
        <f t="shared" si="5"/>
        <v>1</v>
      </c>
      <c r="P2791" s="8" t="str">
        <f t="shared" si="6"/>
        <v>No</v>
      </c>
    </row>
    <row r="2792">
      <c r="A2792" s="4" t="s">
        <v>16</v>
      </c>
      <c r="B2792" s="4" t="s">
        <v>827</v>
      </c>
      <c r="C2792" s="9">
        <v>44628.0</v>
      </c>
      <c r="D2792" s="10">
        <v>44628.0</v>
      </c>
      <c r="E2792" s="4" t="s">
        <v>7778</v>
      </c>
      <c r="F2792" s="4" t="s">
        <v>7779</v>
      </c>
      <c r="G2792" s="6" t="str">
        <f>IFERROR(__xludf.DUMMYFUNCTION("REGEXREPLACE(LOWER(F2792),""[^a-z\s]"","""")"),"i feel that if you sent the prescription authorization for all  bags of food to my vet they would of be authorized by sending over a script for  bags then another for the remainder bags caused a problem and  script was denied for being a duplicate")</f>
        <v>i feel that if you sent the prescription authorization for all  bags of food to my vet they would of be authorized by sending over a script for  bags then another for the remainder bags caused a problem and  script was denied for being a duplicate</v>
      </c>
      <c r="H2792" s="4" t="str">
        <f t="shared" si="1"/>
        <v>i feel that if you sent prescription authorization all bags of food my vet they would of be authorized by sending over a script bags then another remainder bags caused a problem script was denied being a duplicate</v>
      </c>
      <c r="I2792" s="6">
        <f t="shared" si="2"/>
        <v>38</v>
      </c>
      <c r="J2792" s="6">
        <f>IFERROR(__xludf.DUMMYFUNCTION("IF(H2792="""","""",
SUM(
ARRAYFORMULA(
IF(
REGEXMATCH(
"" ""&amp;H2792&amp;"" "",
"" ""&amp;Sentiment_Words!A$2:A3730&amp;"" ""
),
1,
0
)
)
)
)"),0.0)</f>
        <v>0</v>
      </c>
      <c r="K2792" s="4">
        <f>IFERROR(__xludf.DUMMYFUNCTION("IF(H2792="""","""",
SUM(
ARRAYFORMULA(
IF(
REGEXMATCH(
"" ""&amp;H2792&amp;"" "",
"" ""&amp;Sentiment_Words!B$2:B3730&amp;"" ""
),
1,
0
)
)
)
)"),1.0)</f>
        <v>1</v>
      </c>
      <c r="L2792" s="7" t="str">
        <f t="shared" si="3"/>
        <v>Other</v>
      </c>
      <c r="M2792" s="7" t="str">
        <f t="shared" si="4"/>
        <v>Negative</v>
      </c>
      <c r="N2792" s="7" t="str">
        <f>IFERROR(__xludf.DUMMYFUNCTION("LOWER(
TRIM(
REGEXREPLACE(B2792,""[^a-zA-Z\s]"","""")
)
)
"),"lori")</f>
        <v>lori</v>
      </c>
      <c r="O2792" s="7">
        <f t="shared" si="5"/>
        <v>4</v>
      </c>
      <c r="P2792" s="8" t="str">
        <f t="shared" si="6"/>
        <v>Yes</v>
      </c>
    </row>
    <row r="2793">
      <c r="A2793" s="4" t="s">
        <v>16</v>
      </c>
      <c r="B2793" s="4" t="s">
        <v>7780</v>
      </c>
      <c r="C2793" s="9">
        <v>44628.0</v>
      </c>
      <c r="D2793" s="10">
        <v>44628.0</v>
      </c>
      <c r="E2793" s="4" t="s">
        <v>7781</v>
      </c>
      <c r="F2793" s="4" t="s">
        <v>7782</v>
      </c>
      <c r="G2793" s="6" t="str">
        <f>IFERROR(__xludf.DUMMYFUNCTION("REGEXREPLACE(LOWER(F2793),""[^a-z\s]"","""")"),"my products were delivered in a timely fashion and no damage to any of the cans")</f>
        <v>my products were delivered in a timely fashion and no damage to any of the cans</v>
      </c>
      <c r="H2793" s="4" t="str">
        <f t="shared" si="1"/>
        <v>my products were delivered in a timely fashion no damage any of cans</v>
      </c>
      <c r="I2793" s="6">
        <f t="shared" si="2"/>
        <v>13</v>
      </c>
      <c r="J2793" s="6">
        <f>IFERROR(__xludf.DUMMYFUNCTION("IF(H2793="""","""",
SUM(
ARRAYFORMULA(
IF(
REGEXMATCH(
"" ""&amp;H2793&amp;"" "",
"" ""&amp;Sentiment_Words!A$2:A3730&amp;"" ""
),
1,
0
)
)
)
)"),1.0)</f>
        <v>1</v>
      </c>
      <c r="K2793" s="4">
        <f>IFERROR(__xludf.DUMMYFUNCTION("IF(H2793="""","""",
SUM(
ARRAYFORMULA(
IF(
REGEXMATCH(
"" ""&amp;H2793&amp;"" "",
"" ""&amp;Sentiment_Words!B$2:B3730&amp;"" ""
),
1,
0
)
)
)
)"),0.0)</f>
        <v>0</v>
      </c>
      <c r="L2793" s="7" t="str">
        <f t="shared" si="3"/>
        <v>Other</v>
      </c>
      <c r="M2793" s="7" t="str">
        <f t="shared" si="4"/>
        <v>Positive</v>
      </c>
      <c r="N2793" s="7" t="str">
        <f>IFERROR(__xludf.DUMMYFUNCTION("LOWER(
TRIM(
REGEXREPLACE(B2793,""[^a-zA-Z\s]"","""")
)
)
"),"ruth chapman")</f>
        <v>ruth chapman</v>
      </c>
      <c r="O2793" s="7">
        <f t="shared" si="5"/>
        <v>1</v>
      </c>
      <c r="P2793" s="8" t="str">
        <f t="shared" si="6"/>
        <v>No</v>
      </c>
    </row>
    <row r="2794">
      <c r="A2794" s="4" t="s">
        <v>16</v>
      </c>
      <c r="B2794" s="4" t="s">
        <v>7783</v>
      </c>
      <c r="C2794" s="9">
        <v>44628.0</v>
      </c>
      <c r="D2794" s="10">
        <v>44628.0</v>
      </c>
      <c r="E2794" s="4" t="s">
        <v>7784</v>
      </c>
      <c r="F2794" s="4" t="s">
        <v>7785</v>
      </c>
      <c r="G2794" s="6" t="str">
        <f>IFERROR(__xludf.DUMMYFUNCTION("REGEXREPLACE(LOWER(F2794),""[^a-z\s]"","""")"),"great deal kept me apprised of the status and arrived as promised")</f>
        <v>great deal kept me apprised of the status and arrived as promised</v>
      </c>
      <c r="H2794" s="4" t="str">
        <f t="shared" si="1"/>
        <v>great deal kept me apprised of status arrived as promised</v>
      </c>
      <c r="I2794" s="6">
        <f t="shared" si="2"/>
        <v>10</v>
      </c>
      <c r="J2794" s="6">
        <f>IFERROR(__xludf.DUMMYFUNCTION("IF(H2794="""","""",
SUM(
ARRAYFORMULA(
IF(
REGEXMATCH(
"" ""&amp;H2794&amp;"" "",
"" ""&amp;Sentiment_Words!A$2:A3730&amp;"" ""
),
1,
0
)
)
)
)"),1.0)</f>
        <v>1</v>
      </c>
      <c r="K2794" s="4">
        <f>IFERROR(__xludf.DUMMYFUNCTION("IF(H2794="""","""",
SUM(
ARRAYFORMULA(
IF(
REGEXMATCH(
"" ""&amp;H2794&amp;"" "",
"" ""&amp;Sentiment_Words!B$2:B3730&amp;"" ""
),
1,
0
)
)
)
)"),0.0)</f>
        <v>0</v>
      </c>
      <c r="L2794" s="7" t="str">
        <f t="shared" si="3"/>
        <v>Other</v>
      </c>
      <c r="M2794" s="7" t="str">
        <f t="shared" si="4"/>
        <v>Positive</v>
      </c>
      <c r="N2794" s="7" t="str">
        <f>IFERROR(__xludf.DUMMYFUNCTION("LOWER(
TRIM(
REGEXREPLACE(B2794,""[^a-zA-Z\s]"","""")
)
)
"),"glenn henry")</f>
        <v>glenn henry</v>
      </c>
      <c r="O2794" s="7">
        <f t="shared" si="5"/>
        <v>1</v>
      </c>
      <c r="P2794" s="8" t="str">
        <f t="shared" si="6"/>
        <v>No</v>
      </c>
    </row>
    <row r="2795">
      <c r="A2795" s="4" t="s">
        <v>16</v>
      </c>
      <c r="B2795" s="4" t="s">
        <v>7786</v>
      </c>
      <c r="C2795" s="9">
        <v>44628.0</v>
      </c>
      <c r="D2795" s="4" t="s">
        <v>7787</v>
      </c>
      <c r="E2795" s="4" t="s">
        <v>7788</v>
      </c>
      <c r="F2795" s="4" t="s">
        <v>7789</v>
      </c>
      <c r="G2795" s="6" t="str">
        <f>IFERROR(__xludf.DUMMYFUNCTION("REGEXREPLACE(LOWER(F2795),""[^a-z\s]"","""")"),"i have been a customer of perflow for years always happy with the products they carry and their customer service department")</f>
        <v>i have been a customer of perflow for years always happy with the products they carry and their customer service department</v>
      </c>
      <c r="H2795" s="4" t="str">
        <f t="shared" si="1"/>
        <v>i have been a customer of perflow years always happy with products they carry their customer service department</v>
      </c>
      <c r="I2795" s="6">
        <f t="shared" si="2"/>
        <v>18</v>
      </c>
      <c r="J2795" s="6">
        <f>IFERROR(__xludf.DUMMYFUNCTION("IF(H2795="""","""",
SUM(
ARRAYFORMULA(
IF(
REGEXMATCH(
"" ""&amp;H2795&amp;"" "",
"" ""&amp;Sentiment_Words!A$2:A3730&amp;"" ""
),
1,
0
)
)
)
)"),1.0)</f>
        <v>1</v>
      </c>
      <c r="K2795" s="4">
        <f>IFERROR(__xludf.DUMMYFUNCTION("IF(H2795="""","""",
SUM(
ARRAYFORMULA(
IF(
REGEXMATCH(
"" ""&amp;H2795&amp;"" "",
"" ""&amp;Sentiment_Words!B$2:B3730&amp;"" ""
),
1,
0
)
)
)
)"),1.0)</f>
        <v>1</v>
      </c>
      <c r="L2795" s="7" t="str">
        <f t="shared" si="3"/>
        <v>Customer Support</v>
      </c>
      <c r="M2795" s="7" t="str">
        <f t="shared" si="4"/>
        <v>Neutral</v>
      </c>
      <c r="N2795" s="7" t="str">
        <f>IFERROR(__xludf.DUMMYFUNCTION("LOWER(
TRIM(
REGEXREPLACE(B2795,""[^a-zA-Z\s]"","""")
)
)
"),"darr")</f>
        <v>darr</v>
      </c>
      <c r="O2795" s="7">
        <f t="shared" si="5"/>
        <v>1</v>
      </c>
      <c r="P2795" s="8" t="str">
        <f t="shared" si="6"/>
        <v>No</v>
      </c>
    </row>
    <row r="2796">
      <c r="A2796" s="4" t="s">
        <v>16</v>
      </c>
      <c r="B2796" s="4" t="s">
        <v>7790</v>
      </c>
      <c r="C2796" s="9">
        <v>44627.0</v>
      </c>
      <c r="D2796" s="10">
        <v>44628.0</v>
      </c>
      <c r="E2796" s="4" t="s">
        <v>7791</v>
      </c>
      <c r="F2796" s="4" t="s">
        <v>7792</v>
      </c>
      <c r="G2796" s="6" t="str">
        <f>IFERROR(__xludf.DUMMYFUNCTION("REGEXREPLACE(LOWER(F2796),""[^a-z\s]"","""")"),"i was waiting for my order on  shipped on  delay in arizona delay in san diego  delivered on  i dont know the delay problem
felipe lopez")</f>
        <v>i was waiting for my order on  shipped on  delay in arizona delay in san diego  delivered on  i dont know the delay problem
felipe lopez</v>
      </c>
      <c r="H2796" s="4" t="str">
        <f t="shared" si="1"/>
        <v>i was waiting my order on shipped on delay in arizona delay in san diego delivered on i dont know delay problem
felipe lopez</v>
      </c>
      <c r="I2796" s="6">
        <f t="shared" si="2"/>
        <v>23</v>
      </c>
      <c r="J2796" s="6">
        <f>IFERROR(__xludf.DUMMYFUNCTION("IF(H2796="""","""",
SUM(
ARRAYFORMULA(
IF(
REGEXMATCH(
"" ""&amp;H2796&amp;"" "",
"" ""&amp;Sentiment_Words!A$2:A3730&amp;"" ""
),
1,
0
)
)
)
)"),1.0)</f>
        <v>1</v>
      </c>
      <c r="K2796" s="4">
        <f>IFERROR(__xludf.DUMMYFUNCTION("IF(H2796="""","""",
SUM(
ARRAYFORMULA(
IF(
REGEXMATCH(
"" ""&amp;H2796&amp;"" "",
"" ""&amp;Sentiment_Words!B$2:B3730&amp;"" ""
),
1,
0
)
)
)
)"),1.0)</f>
        <v>1</v>
      </c>
      <c r="L2796" s="7" t="str">
        <f t="shared" si="3"/>
        <v>Fulfillment &amp; Shipping</v>
      </c>
      <c r="M2796" s="7" t="str">
        <f t="shared" si="4"/>
        <v>Neutral</v>
      </c>
      <c r="N2796" s="7" t="str">
        <f>IFERROR(__xludf.DUMMYFUNCTION("LOWER(
TRIM(
REGEXREPLACE(B2796,""[^a-zA-Z\s]"","""")
)
)
"),"felipe lopez")</f>
        <v>felipe lopez</v>
      </c>
      <c r="O2796" s="7">
        <f t="shared" si="5"/>
        <v>1</v>
      </c>
      <c r="P2796" s="8" t="str">
        <f t="shared" si="6"/>
        <v>No</v>
      </c>
    </row>
    <row r="2797">
      <c r="A2797" s="4" t="s">
        <v>16</v>
      </c>
      <c r="B2797" s="4" t="s">
        <v>7793</v>
      </c>
      <c r="C2797" s="9">
        <v>44627.0</v>
      </c>
      <c r="D2797" s="10">
        <v>44627.0</v>
      </c>
      <c r="E2797" s="4" t="s">
        <v>7794</v>
      </c>
      <c r="F2797" s="4" t="s">
        <v>7795</v>
      </c>
      <c r="G2797" s="6" t="str">
        <f>IFERROR(__xludf.DUMMYFUNCTION("REGEXREPLACE(LOWER(F2797),""[^a-z\s]"","""")"),"website is ease to use service has been good prices reasonable")</f>
        <v>website is ease to use service has been good prices reasonable</v>
      </c>
      <c r="H2797" s="4" t="str">
        <f t="shared" si="1"/>
        <v>website ease use service has been good prices reasonable</v>
      </c>
      <c r="I2797" s="6">
        <f t="shared" si="2"/>
        <v>9</v>
      </c>
      <c r="J2797" s="6">
        <f>IFERROR(__xludf.DUMMYFUNCTION("IF(H2797="""","""",
SUM(
ARRAYFORMULA(
IF(
REGEXMATCH(
"" ""&amp;H2797&amp;"" "",
"" ""&amp;Sentiment_Words!A$2:A3730&amp;"" ""
),
1,
0
)
)
)
)"),1.0)</f>
        <v>1</v>
      </c>
      <c r="K2797" s="4">
        <f>IFERROR(__xludf.DUMMYFUNCTION("IF(H2797="""","""",
SUM(
ARRAYFORMULA(
IF(
REGEXMATCH(
"" ""&amp;H2797&amp;"" "",
"" ""&amp;Sentiment_Words!B$2:B3730&amp;"" ""
),
1,
0
)
)
)
)"),0.0)</f>
        <v>0</v>
      </c>
      <c r="L2797" s="7" t="str">
        <f t="shared" si="3"/>
        <v>Customer Support</v>
      </c>
      <c r="M2797" s="7" t="str">
        <f t="shared" si="4"/>
        <v>Positive</v>
      </c>
      <c r="N2797" s="7" t="str">
        <f>IFERROR(__xludf.DUMMYFUNCTION("LOWER(
TRIM(
REGEXREPLACE(B2797,""[^a-zA-Z\s]"","""")
)
)
"),"ruth hamilton")</f>
        <v>ruth hamilton</v>
      </c>
      <c r="O2797" s="7">
        <f t="shared" si="5"/>
        <v>1</v>
      </c>
      <c r="P2797" s="8" t="str">
        <f t="shared" si="6"/>
        <v>No</v>
      </c>
    </row>
    <row r="2798">
      <c r="A2798" s="4" t="s">
        <v>16</v>
      </c>
      <c r="B2798" s="4" t="s">
        <v>7796</v>
      </c>
      <c r="C2798" s="9">
        <v>44627.0</v>
      </c>
      <c r="D2798" s="10">
        <v>44627.0</v>
      </c>
      <c r="E2798" s="4" t="s">
        <v>7797</v>
      </c>
      <c r="F2798" s="4" t="s">
        <v>7798</v>
      </c>
      <c r="G2798" s="6" t="str">
        <f>IFERROR(__xludf.DUMMYFUNCTION("REGEXREPLACE(LOWER(F2798),""[^a-z\s]"","""")"),"excellent prices fast shipping thank you")</f>
        <v>excellent prices fast shipping thank you</v>
      </c>
      <c r="H2798" s="4" t="str">
        <f t="shared" si="1"/>
        <v>excellent prices fast shipping thank you</v>
      </c>
      <c r="I2798" s="6">
        <f t="shared" si="2"/>
        <v>6</v>
      </c>
      <c r="J2798" s="6">
        <f>IFERROR(__xludf.DUMMYFUNCTION("IF(H2798="""","""",
SUM(
ARRAYFORMULA(
IF(
REGEXMATCH(
"" ""&amp;H2798&amp;"" "",
"" ""&amp;Sentiment_Words!A$2:A3730&amp;"" ""
),
1,
0
)
)
)
)"),1.0)</f>
        <v>1</v>
      </c>
      <c r="K2798" s="4">
        <f>IFERROR(__xludf.DUMMYFUNCTION("IF(H2798="""","""",
SUM(
ARRAYFORMULA(
IF(
REGEXMATCH(
"" ""&amp;H2798&amp;"" "",
"" ""&amp;Sentiment_Words!B$2:B3730&amp;"" ""
),
1,
0
)
)
)
)"),0.0)</f>
        <v>0</v>
      </c>
      <c r="L2798" s="7" t="str">
        <f t="shared" si="3"/>
        <v>Other</v>
      </c>
      <c r="M2798" s="7" t="str">
        <f t="shared" si="4"/>
        <v>Positive</v>
      </c>
      <c r="N2798" s="7" t="str">
        <f>IFERROR(__xludf.DUMMYFUNCTION("LOWER(
TRIM(
REGEXREPLACE(B2798,""[^a-zA-Z\s]"","""")
)
)
"),"ct")</f>
        <v>ct</v>
      </c>
      <c r="O2798" s="7">
        <f t="shared" si="5"/>
        <v>1</v>
      </c>
      <c r="P2798" s="8" t="str">
        <f t="shared" si="6"/>
        <v>No</v>
      </c>
    </row>
    <row r="2799">
      <c r="A2799" s="4" t="s">
        <v>16</v>
      </c>
      <c r="B2799" s="4" t="s">
        <v>7799</v>
      </c>
      <c r="C2799" s="9">
        <v>44627.0</v>
      </c>
      <c r="D2799" s="10">
        <v>44627.0</v>
      </c>
      <c r="E2799" s="4" t="s">
        <v>7800</v>
      </c>
      <c r="F2799" s="4" t="s">
        <v>7801</v>
      </c>
      <c r="G2799" s="6" t="str">
        <f>IFERROR(__xludf.DUMMYFUNCTION("REGEXREPLACE(LOWER(F2799),""[^a-z\s]"","""")"),"received fast shipping on product and prompt and courteous customer service from petflow reps")</f>
        <v>received fast shipping on product and prompt and courteous customer service from petflow reps</v>
      </c>
      <c r="H2799" s="4" t="str">
        <f t="shared" si="1"/>
        <v>received fast shipping on product prompt courteous customer service from petflow reps</v>
      </c>
      <c r="I2799" s="6">
        <f t="shared" si="2"/>
        <v>12</v>
      </c>
      <c r="J2799" s="6">
        <f>IFERROR(__xludf.DUMMYFUNCTION("IF(H2799="""","""",
SUM(
ARRAYFORMULA(
IF(
REGEXMATCH(
"" ""&amp;H2799&amp;"" "",
"" ""&amp;Sentiment_Words!A$2:A3730&amp;"" ""
),
1,
0
)
)
)
)"),3.0)</f>
        <v>3</v>
      </c>
      <c r="K2799" s="4">
        <f>IFERROR(__xludf.DUMMYFUNCTION("IF(H2799="""","""",
SUM(
ARRAYFORMULA(
IF(
REGEXMATCH(
"" ""&amp;H2799&amp;"" "",
"" ""&amp;Sentiment_Words!B$2:B3730&amp;"" ""
),
1,
0
)
)
)
)"),1.0)</f>
        <v>1</v>
      </c>
      <c r="L2799" s="7" t="str">
        <f t="shared" si="3"/>
        <v>Customer Support</v>
      </c>
      <c r="M2799" s="7" t="str">
        <f t="shared" si="4"/>
        <v>Positive</v>
      </c>
      <c r="N2799" s="7" t="str">
        <f>IFERROR(__xludf.DUMMYFUNCTION("LOWER(
TRIM(
REGEXREPLACE(B2799,""[^a-zA-Z\s]"","""")
)
)
"),"kelsi pena")</f>
        <v>kelsi pena</v>
      </c>
      <c r="O2799" s="7">
        <f t="shared" si="5"/>
        <v>1</v>
      </c>
      <c r="P2799" s="8" t="str">
        <f t="shared" si="6"/>
        <v>No</v>
      </c>
    </row>
    <row r="2800">
      <c r="A2800" s="4" t="s">
        <v>16</v>
      </c>
      <c r="B2800" s="4" t="s">
        <v>7802</v>
      </c>
      <c r="C2800" s="9">
        <v>44627.0</v>
      </c>
      <c r="D2800" s="10">
        <v>44627.0</v>
      </c>
      <c r="E2800" s="4" t="s">
        <v>7803</v>
      </c>
      <c r="F2800" s="4" t="s">
        <v>7804</v>
      </c>
      <c r="G2800" s="6" t="str">
        <f>IFERROR(__xludf.DUMMYFUNCTION("REGEXREPLACE(LOWER(F2800),""[^a-z\s]"","""")"),"petflow had the food that i needed for my dog in stock and less than  hrs of placing the order my vet sent in the script and the food arrived within  days int was great ti be able to find the food that was hard to find on other sites")</f>
        <v>petflow had the food that i needed for my dog in stock and less than  hrs of placing the order my vet sent in the script and the food arrived within  days int was great ti be able to find the food that was hard to find on other sites</v>
      </c>
      <c r="H2800" s="4" t="str">
        <f t="shared" si="1"/>
        <v>petflow had food that i needed my dog in stock less than hrs of placing order my vet sent in script food arrived within days int was great ti be able find food that was hard find on other sites</v>
      </c>
      <c r="I2800" s="6">
        <f t="shared" si="2"/>
        <v>40</v>
      </c>
      <c r="J2800" s="6">
        <f>IFERROR(__xludf.DUMMYFUNCTION("IF(H2800="""","""",
SUM(
ARRAYFORMULA(
IF(
REGEXMATCH(
"" ""&amp;H2800&amp;"" "",
"" ""&amp;Sentiment_Words!A$2:A3730&amp;"" ""
),
1,
0
)
)
)
)"),2.0)</f>
        <v>2</v>
      </c>
      <c r="K2800" s="4">
        <f>IFERROR(__xludf.DUMMYFUNCTION("IF(H2800="""","""",
SUM(
ARRAYFORMULA(
IF(
REGEXMATCH(
"" ""&amp;H2800&amp;"" "",
"" ""&amp;Sentiment_Words!B$2:B3730&amp;"" ""
),
1,
0
)
)
)
)"),0.0)</f>
        <v>0</v>
      </c>
      <c r="L2800" s="7" t="str">
        <f t="shared" si="3"/>
        <v>Other</v>
      </c>
      <c r="M2800" s="7" t="str">
        <f t="shared" si="4"/>
        <v>Positive</v>
      </c>
      <c r="N2800" s="7" t="str">
        <f>IFERROR(__xludf.DUMMYFUNCTION("LOWER(
TRIM(
REGEXREPLACE(B2800,""[^a-zA-Z\s]"","""")
)
)
"),"jb")</f>
        <v>jb</v>
      </c>
      <c r="O2800" s="7">
        <f t="shared" si="5"/>
        <v>3</v>
      </c>
      <c r="P2800" s="8" t="str">
        <f t="shared" si="6"/>
        <v>Yes</v>
      </c>
    </row>
    <row r="2801">
      <c r="A2801" s="4" t="s">
        <v>16</v>
      </c>
      <c r="B2801" s="4" t="s">
        <v>7805</v>
      </c>
      <c r="C2801" s="9">
        <v>44627.0</v>
      </c>
      <c r="D2801" s="10">
        <v>44627.0</v>
      </c>
      <c r="E2801" s="4" t="s">
        <v>626</v>
      </c>
      <c r="F2801" s="4" t="s">
        <v>7806</v>
      </c>
      <c r="G2801" s="6" t="str">
        <f>IFERROR(__xludf.DUMMYFUNCTION("REGEXREPLACE(LOWER(F2801),""[^a-z\s]"","""")"),"excellent customer service great and fast shipping very pleased")</f>
        <v>excellent customer service great and fast shipping very pleased</v>
      </c>
      <c r="H2801" s="4" t="str">
        <f t="shared" si="1"/>
        <v>excellent customer service great fast shipping very pleased</v>
      </c>
      <c r="I2801" s="6">
        <f t="shared" si="2"/>
        <v>8</v>
      </c>
      <c r="J2801" s="6">
        <f>IFERROR(__xludf.DUMMYFUNCTION("IF(H2801="""","""",
SUM(
ARRAYFORMULA(
IF(
REGEXMATCH(
"" ""&amp;H2801&amp;"" "",
"" ""&amp;Sentiment_Words!A$2:A3730&amp;"" ""
),
1,
0
)
)
)
)"),2.0)</f>
        <v>2</v>
      </c>
      <c r="K2801" s="4">
        <f>IFERROR(__xludf.DUMMYFUNCTION("IF(H2801="""","""",
SUM(
ARRAYFORMULA(
IF(
REGEXMATCH(
"" ""&amp;H2801&amp;"" "",
"" ""&amp;Sentiment_Words!B$2:B3730&amp;"" ""
),
1,
0
)
)
)
)"),1.0)</f>
        <v>1</v>
      </c>
      <c r="L2801" s="7" t="str">
        <f t="shared" si="3"/>
        <v>Customer Support</v>
      </c>
      <c r="M2801" s="7" t="str">
        <f t="shared" si="4"/>
        <v>Positive</v>
      </c>
      <c r="N2801" s="7" t="str">
        <f>IFERROR(__xludf.DUMMYFUNCTION("LOWER(
TRIM(
REGEXREPLACE(B2801,""[^a-zA-Z\s]"","""")
)
)
"),"jody lancaster")</f>
        <v>jody lancaster</v>
      </c>
      <c r="O2801" s="7">
        <f t="shared" si="5"/>
        <v>1</v>
      </c>
      <c r="P2801" s="8" t="str">
        <f t="shared" si="6"/>
        <v>No</v>
      </c>
    </row>
    <row r="2802">
      <c r="A2802" s="4" t="s">
        <v>16</v>
      </c>
      <c r="B2802" s="4" t="s">
        <v>7807</v>
      </c>
      <c r="C2802" s="9">
        <v>44626.0</v>
      </c>
      <c r="D2802" s="10">
        <v>44627.0</v>
      </c>
      <c r="E2802" s="4" t="s">
        <v>7808</v>
      </c>
      <c r="F2802" s="4" t="s">
        <v>7809</v>
      </c>
      <c r="G2802" s="6" t="str">
        <f>IFERROR(__xludf.DUMMYFUNCTION("REGEXREPLACE(LOWER(F2802),""[^a-z\s]"","""")"),"we have used petflow for dog food purchases for about a year everything about the service was great however my low rating is based on the customer service interface on their website i discovered i can buy the product cheaper locally and tried to cancel my"&amp;" autoship order when clicking on the cancel order i was not actually given a choice to cancel my order only to pause for up to  months when searching further for assistance the website has several locations that mention a live chat but no live chat seems "&amp;"to actually exist i then called the  number and the service rep i spoke to confirmed there is no way to cancel an autoship on the website this is not acceptable in todays world of ecommerce in my opinion")</f>
        <v>we have used petflow for dog food purchases for about a year everything about the service was great however my low rating is based on the customer service interface on their website i discovered i can buy the product cheaper locally and tried to cancel my autoship order when clicking on the cancel order i was not actually given a choice to cancel my order only to pause for up to  months when searching further for assistance the website has several locations that mention a live chat but no live chat seems to actually exist i then called the  number and the service rep i spoke to confirmed there is no way to cancel an autoship on the website this is not acceptable in todays world of ecommerce in my opinion</v>
      </c>
      <c r="H2802" s="4" t="str">
        <f t="shared" si="1"/>
        <v>we have used petflow dog food purchases about a year everything about service was great however my low rating based on customer service interface on their website i discovered i can buy product cheaper locally tried cancel my autoship order when clicking on cancel order i was not actually given a choice cancel my order only pause up months when searching further assistance website has several locations that mention a live chat but no live chat seems actually exist i then called number service rep i spoke confirmed there no way cancel an autoship on website this not acceptable in todays world of ecommerce in my opinion</v>
      </c>
      <c r="I2802" s="6">
        <f t="shared" si="2"/>
        <v>107</v>
      </c>
      <c r="J2802" s="6">
        <f>IFERROR(__xludf.DUMMYFUNCTION("IF(H2802="""","""",
SUM(
ARRAYFORMULA(
IF(
REGEXMATCH(
"" ""&amp;H2802&amp;"" "",
"" ""&amp;Sentiment_Words!A$2:A3730&amp;"" ""
),
1,
0
)
)
)
)"),2.0)</f>
        <v>2</v>
      </c>
      <c r="K2802" s="4">
        <f>IFERROR(__xludf.DUMMYFUNCTION("IF(H2802="""","""",
SUM(
ARRAYFORMULA(
IF(
REGEXMATCH(
"" ""&amp;H2802&amp;"" "",
"" ""&amp;Sentiment_Words!B$2:B3730&amp;"" ""
),
1,
0
)
)
)
)"),1.0)</f>
        <v>1</v>
      </c>
      <c r="L2802" s="7" t="str">
        <f t="shared" si="3"/>
        <v>Customer Support</v>
      </c>
      <c r="M2802" s="7" t="str">
        <f t="shared" si="4"/>
        <v>Positive</v>
      </c>
      <c r="N2802" s="7" t="str">
        <f>IFERROR(__xludf.DUMMYFUNCTION("LOWER(
TRIM(
REGEXREPLACE(B2802,""[^a-zA-Z\s]"","""")
)
)
"),"randy lieberg")</f>
        <v>randy lieberg</v>
      </c>
      <c r="O2802" s="7">
        <f t="shared" si="5"/>
        <v>1</v>
      </c>
      <c r="P2802" s="8" t="str">
        <f t="shared" si="6"/>
        <v>No</v>
      </c>
    </row>
    <row r="2803">
      <c r="A2803" s="4" t="s">
        <v>16</v>
      </c>
      <c r="B2803" s="4" t="s">
        <v>7810</v>
      </c>
      <c r="C2803" s="9">
        <v>44626.0</v>
      </c>
      <c r="D2803" s="10">
        <v>44626.0</v>
      </c>
      <c r="E2803" s="4" t="s">
        <v>7811</v>
      </c>
      <c r="F2803" s="4" t="s">
        <v>7812</v>
      </c>
      <c r="G2803" s="6" t="str">
        <f>IFERROR(__xludf.DUMMYFUNCTION("REGEXREPLACE(LOWER(F2803),""[^a-z\s]"","""")"),"the beef pizzle steer bully sticks dog treats gave both of my shih tzus terrible diarrhea and i only gave them a small piece")</f>
        <v>the beef pizzle steer bully sticks dog treats gave both of my shih tzus terrible diarrhea and i only gave them a small piece</v>
      </c>
      <c r="H2803" s="4" t="str">
        <f t="shared" si="1"/>
        <v>beef pizzle steer bully sticks dog treats gave both of my shih tzus terrible diarrhea i only gave them a small piece</v>
      </c>
      <c r="I2803" s="6">
        <f t="shared" si="2"/>
        <v>22</v>
      </c>
      <c r="J2803" s="6">
        <f>IFERROR(__xludf.DUMMYFUNCTION("IF(H2803="""","""",
SUM(
ARRAYFORMULA(
IF(
REGEXMATCH(
"" ""&amp;H2803&amp;"" "",
"" ""&amp;Sentiment_Words!A$2:A3730&amp;"" ""
),
1,
0
)
)
)
)"),0.0)</f>
        <v>0</v>
      </c>
      <c r="K2803" s="4">
        <f>IFERROR(__xludf.DUMMYFUNCTION("IF(H2803="""","""",
SUM(
ARRAYFORMULA(
IF(
REGEXMATCH(
"" ""&amp;H2803&amp;"" "",
"" ""&amp;Sentiment_Words!B$2:B3730&amp;"" ""
),
1,
0
)
)
)
)"),1.0)</f>
        <v>1</v>
      </c>
      <c r="L2803" s="7" t="str">
        <f t="shared" si="3"/>
        <v>Other</v>
      </c>
      <c r="M2803" s="7" t="str">
        <f t="shared" si="4"/>
        <v>Negative</v>
      </c>
      <c r="N2803" s="7" t="str">
        <f>IFERROR(__xludf.DUMMYFUNCTION("LOWER(
TRIM(
REGEXREPLACE(B2803,""[^a-zA-Z\s]"","""")
)
)
"),"valerie levulett")</f>
        <v>valerie levulett</v>
      </c>
      <c r="O2803" s="7">
        <f t="shared" si="5"/>
        <v>1</v>
      </c>
      <c r="P2803" s="8" t="str">
        <f t="shared" si="6"/>
        <v>No</v>
      </c>
    </row>
    <row r="2804">
      <c r="A2804" s="4" t="s">
        <v>16</v>
      </c>
      <c r="B2804" s="4" t="s">
        <v>7813</v>
      </c>
      <c r="C2804" s="9">
        <v>44626.0</v>
      </c>
      <c r="D2804" s="10">
        <v>44626.0</v>
      </c>
      <c r="E2804" s="4" t="s">
        <v>7814</v>
      </c>
      <c r="F2804" s="4" t="s">
        <v>7815</v>
      </c>
      <c r="G2804" s="6" t="str">
        <f>IFERROR(__xludf.DUMMYFUNCTION("REGEXREPLACE(LOWER(F2804),""[^a-z\s]"","""")"),"i have ordered online for the convenience but your delivery company has made it inconvenient i am sorry but trying to carry a large heavy box from my condo mailboxes to my unit so it is not stolen is too difficult my daughter will pickup the food at her l"&amp;"ocal pet store and bring it to me going forward if you use fedex i would cut ties i have had them leave deliveries by my car along with other misdeliveries sorry to leave you")</f>
        <v>i have ordered online for the convenience but your delivery company has made it inconvenient i am sorry but trying to carry a large heavy box from my condo mailboxes to my unit so it is not stolen is too difficult my daughter will pickup the food at her local pet store and bring it to me going forward if you use fedex i would cut ties i have had them leave deliveries by my car along with other misdeliveries sorry to leave you</v>
      </c>
      <c r="H2804" s="4" t="str">
        <f t="shared" si="1"/>
        <v>i have ordered online convenience but your delivery company has made it inconvenient i am sorry but trying carry a large heavy box from my condo mailboxes my unit so it not stolen too difficult my daughter will pickup food at her local pet store bring it me going forward if you use fedex i would cut ties i have had them leave deliveries by my car along with other misdeliveries sorry leave you</v>
      </c>
      <c r="I2804" s="6">
        <f t="shared" si="2"/>
        <v>74</v>
      </c>
      <c r="J2804" s="6">
        <f>IFERROR(__xludf.DUMMYFUNCTION("IF(H2804="""","""",
SUM(
ARRAYFORMULA(
IF(
REGEXMATCH(
"" ""&amp;H2804&amp;"" "",
"" ""&amp;Sentiment_Words!A$2:A3730&amp;"" ""
),
1,
0
)
)
)
)"),0.0)</f>
        <v>0</v>
      </c>
      <c r="K2804" s="4">
        <f>IFERROR(__xludf.DUMMYFUNCTION("IF(H2804="""","""",
SUM(
ARRAYFORMULA(
IF(
REGEXMATCH(
"" ""&amp;H2804&amp;"" "",
"" ""&amp;Sentiment_Words!B$2:B3730&amp;"" ""
),
1,
0
)
)
)
)"),0.0)</f>
        <v>0</v>
      </c>
      <c r="L2804" s="7" t="str">
        <f t="shared" si="3"/>
        <v>Value &amp; Convenience</v>
      </c>
      <c r="M2804" s="7" t="str">
        <f t="shared" si="4"/>
        <v>Neutral</v>
      </c>
      <c r="N2804" s="7" t="str">
        <f>IFERROR(__xludf.DUMMYFUNCTION("LOWER(
TRIM(
REGEXREPLACE(B2804,""[^a-zA-Z\s]"","""")
)
)
"),"dawn beatty")</f>
        <v>dawn beatty</v>
      </c>
      <c r="O2804" s="7">
        <f t="shared" si="5"/>
        <v>1</v>
      </c>
      <c r="P2804" s="8" t="str">
        <f t="shared" si="6"/>
        <v>No</v>
      </c>
    </row>
    <row r="2805">
      <c r="A2805" s="4" t="s">
        <v>16</v>
      </c>
      <c r="B2805" s="4" t="s">
        <v>7816</v>
      </c>
      <c r="C2805" s="9">
        <v>44626.0</v>
      </c>
      <c r="D2805" s="10">
        <v>44626.0</v>
      </c>
      <c r="E2805" s="4" t="s">
        <v>7817</v>
      </c>
      <c r="F2805" s="4" t="s">
        <v>7818</v>
      </c>
      <c r="G2805" s="6" t="str">
        <f>IFERROR(__xludf.DUMMYFUNCTION("REGEXREPLACE(LOWER(F2805),""[^a-z\s]"","""")"),"easy to order and find items on your web site fast delivery and friendly help")</f>
        <v>easy to order and find items on your web site fast delivery and friendly help</v>
      </c>
      <c r="H2805" s="4" t="str">
        <f t="shared" si="1"/>
        <v>easy order find items on your web site fast delivery friendly help</v>
      </c>
      <c r="I2805" s="6">
        <f t="shared" si="2"/>
        <v>12</v>
      </c>
      <c r="J2805" s="6">
        <f>IFERROR(__xludf.DUMMYFUNCTION("IF(H2805="""","""",
SUM(
ARRAYFORMULA(
IF(
REGEXMATCH(
"" ""&amp;H2805&amp;"" "",
"" ""&amp;Sentiment_Words!A$2:A3730&amp;"" ""
),
1,
0
)
)
)
)"),3.0)</f>
        <v>3</v>
      </c>
      <c r="K2805" s="4">
        <f>IFERROR(__xludf.DUMMYFUNCTION("IF(H2805="""","""",
SUM(
ARRAYFORMULA(
IF(
REGEXMATCH(
"" ""&amp;H2805&amp;"" "",
"" ""&amp;Sentiment_Words!B$2:B3730&amp;"" ""
),
1,
0
)
)
)
)"),0.0)</f>
        <v>0</v>
      </c>
      <c r="L2805" s="7" t="str">
        <f t="shared" si="3"/>
        <v>Other</v>
      </c>
      <c r="M2805" s="7" t="str">
        <f t="shared" si="4"/>
        <v>Positive</v>
      </c>
      <c r="N2805" s="7" t="str">
        <f>IFERROR(__xludf.DUMMYFUNCTION("LOWER(
TRIM(
REGEXREPLACE(B2805,""[^a-zA-Z\s]"","""")
)
)
"),"donna franchimon")</f>
        <v>donna franchimon</v>
      </c>
      <c r="O2805" s="7">
        <f t="shared" si="5"/>
        <v>1</v>
      </c>
      <c r="P2805" s="8" t="str">
        <f t="shared" si="6"/>
        <v>No</v>
      </c>
    </row>
    <row r="2806">
      <c r="A2806" s="4" t="s">
        <v>16</v>
      </c>
      <c r="B2806" s="4" t="s">
        <v>7819</v>
      </c>
      <c r="C2806" s="9">
        <v>44625.0</v>
      </c>
      <c r="D2806" s="10">
        <v>44626.0</v>
      </c>
      <c r="E2806" s="4" t="s">
        <v>7820</v>
      </c>
      <c r="F2806" s="4" t="s">
        <v>7821</v>
      </c>
      <c r="G2806" s="6" t="str">
        <f>IFERROR(__xludf.DUMMYFUNCTION("REGEXREPLACE(LOWER(F2806),""[^a-z\s]"","""")"),"great prices dependable free shipping")</f>
        <v>great prices dependable free shipping</v>
      </c>
      <c r="H2806" s="4" t="str">
        <f t="shared" si="1"/>
        <v>great prices dependable free shipping</v>
      </c>
      <c r="I2806" s="6">
        <f t="shared" si="2"/>
        <v>5</v>
      </c>
      <c r="J2806" s="6">
        <f>IFERROR(__xludf.DUMMYFUNCTION("IF(H2806="""","""",
SUM(
ARRAYFORMULA(
IF(
REGEXMATCH(
"" ""&amp;H2806&amp;"" "",
"" ""&amp;Sentiment_Words!A$2:A3730&amp;"" ""
),
1,
0
)
)
)
)"),1.0)</f>
        <v>1</v>
      </c>
      <c r="K2806" s="4">
        <f>IFERROR(__xludf.DUMMYFUNCTION("IF(H2806="""","""",
SUM(
ARRAYFORMULA(
IF(
REGEXMATCH(
"" ""&amp;H2806&amp;"" "",
"" ""&amp;Sentiment_Words!B$2:B3730&amp;"" ""
),
1,
0
)
)
)
)"),0.0)</f>
        <v>0</v>
      </c>
      <c r="L2806" s="7" t="str">
        <f t="shared" si="3"/>
        <v>Other</v>
      </c>
      <c r="M2806" s="7" t="str">
        <f t="shared" si="4"/>
        <v>Positive</v>
      </c>
      <c r="N2806" s="7" t="str">
        <f>IFERROR(__xludf.DUMMYFUNCTION("LOWER(
TRIM(
REGEXREPLACE(B2806,""[^a-zA-Z\s]"","""")
)
)
"),"francine butler")</f>
        <v>francine butler</v>
      </c>
      <c r="O2806" s="7">
        <f t="shared" si="5"/>
        <v>1</v>
      </c>
      <c r="P2806" s="8" t="str">
        <f t="shared" si="6"/>
        <v>No</v>
      </c>
    </row>
    <row r="2807">
      <c r="A2807" s="4" t="s">
        <v>16</v>
      </c>
      <c r="B2807" s="4" t="s">
        <v>7822</v>
      </c>
      <c r="C2807" s="9">
        <v>44625.0</v>
      </c>
      <c r="D2807" s="10">
        <v>44626.0</v>
      </c>
      <c r="E2807" s="4" t="s">
        <v>181</v>
      </c>
      <c r="F2807" s="4" t="s">
        <v>7823</v>
      </c>
      <c r="G2807" s="6" t="str">
        <f>IFERROR(__xludf.DUMMYFUNCTION("REGEXREPLACE(LOWER(F2807),""[^a-z\s]"","""")"),"my dog food arrived quickly and was just what i ordered will use pedflow again thanks")</f>
        <v>my dog food arrived quickly and was just what i ordered will use pedflow again thanks</v>
      </c>
      <c r="H2807" s="4" t="str">
        <f t="shared" si="1"/>
        <v>my dog food arrived quickly was just what i ordered will use pedflow again thanks</v>
      </c>
      <c r="I2807" s="6">
        <f t="shared" si="2"/>
        <v>15</v>
      </c>
      <c r="J2807" s="6">
        <f>IFERROR(__xludf.DUMMYFUNCTION("IF(H2807="""","""",
SUM(
ARRAYFORMULA(
IF(
REGEXMATCH(
"" ""&amp;H2807&amp;"" "",
"" ""&amp;Sentiment_Words!A$2:A3730&amp;"" ""
),
1,
0
)
)
)
)"),0.0)</f>
        <v>0</v>
      </c>
      <c r="K2807" s="4">
        <f>IFERROR(__xludf.DUMMYFUNCTION("IF(H2807="""","""",
SUM(
ARRAYFORMULA(
IF(
REGEXMATCH(
"" ""&amp;H2807&amp;"" "",
"" ""&amp;Sentiment_Words!B$2:B3730&amp;"" ""
),
1,
0
)
)
)
)"),0.0)</f>
        <v>0</v>
      </c>
      <c r="L2807" s="7" t="str">
        <f t="shared" si="3"/>
        <v>Other</v>
      </c>
      <c r="M2807" s="7" t="str">
        <f t="shared" si="4"/>
        <v>Neutral</v>
      </c>
      <c r="N2807" s="7" t="str">
        <f>IFERROR(__xludf.DUMMYFUNCTION("LOWER(
TRIM(
REGEXREPLACE(B2807,""[^a-zA-Z\s]"","""")
)
)
"),"patricia johnston")</f>
        <v>patricia johnston</v>
      </c>
      <c r="O2807" s="7">
        <f t="shared" si="5"/>
        <v>1</v>
      </c>
      <c r="P2807" s="8" t="str">
        <f t="shared" si="6"/>
        <v>No</v>
      </c>
    </row>
    <row r="2808">
      <c r="A2808" s="4" t="s">
        <v>16</v>
      </c>
      <c r="B2808" s="4" t="s">
        <v>7824</v>
      </c>
      <c r="C2808" s="9">
        <v>44625.0</v>
      </c>
      <c r="D2808" s="10">
        <v>44625.0</v>
      </c>
      <c r="E2808" s="4" t="s">
        <v>7825</v>
      </c>
      <c r="F2808" s="4" t="s">
        <v>7826</v>
      </c>
      <c r="G2808" s="6" t="str">
        <f>IFERROR(__xludf.DUMMYFUNCTION("REGEXREPLACE(LOWER(F2808),""[^a-z\s]"","""")"),"i ordered an instock item which took two weeks to receive and then it was the wrong item first and last time ordering from this company")</f>
        <v>i ordered an instock item which took two weeks to receive and then it was the wrong item first and last time ordering from this company</v>
      </c>
      <c r="H2808" s="4" t="str">
        <f t="shared" si="1"/>
        <v>i ordered an instock item which took two weeks receive then it was wrong item first last time ordering from this company</v>
      </c>
      <c r="I2808" s="6">
        <f t="shared" si="2"/>
        <v>22</v>
      </c>
      <c r="J2808" s="6">
        <f>IFERROR(__xludf.DUMMYFUNCTION("IF(H2808="""","""",
SUM(
ARRAYFORMULA(
IF(
REGEXMATCH(
"" ""&amp;H2808&amp;"" "",
"" ""&amp;Sentiment_Words!A$2:A3730&amp;"" ""
),
1,
0
)
)
)
)"),0.0)</f>
        <v>0</v>
      </c>
      <c r="K2808" s="4">
        <f>IFERROR(__xludf.DUMMYFUNCTION("IF(H2808="""","""",
SUM(
ARRAYFORMULA(
IF(
REGEXMATCH(
"" ""&amp;H2808&amp;"" "",
"" ""&amp;Sentiment_Words!B$2:B3730&amp;"" ""
),
1,
0
)
)
)
)"),2.0)</f>
        <v>2</v>
      </c>
      <c r="L2808" s="7" t="str">
        <f t="shared" si="3"/>
        <v>Fulfillment &amp; Shipping</v>
      </c>
      <c r="M2808" s="7" t="str">
        <f t="shared" si="4"/>
        <v>Negative</v>
      </c>
      <c r="N2808" s="7" t="str">
        <f>IFERROR(__xludf.DUMMYFUNCTION("LOWER(
TRIM(
REGEXREPLACE(B2808,""[^a-zA-Z\s]"","""")
)
)
"),"jules")</f>
        <v>jules</v>
      </c>
      <c r="O2808" s="7">
        <f t="shared" si="5"/>
        <v>1</v>
      </c>
      <c r="P2808" s="8" t="str">
        <f t="shared" si="6"/>
        <v>No</v>
      </c>
    </row>
    <row r="2809">
      <c r="A2809" s="4" t="s">
        <v>16</v>
      </c>
      <c r="B2809" s="4" t="s">
        <v>7827</v>
      </c>
      <c r="C2809" s="9">
        <v>44625.0</v>
      </c>
      <c r="D2809" s="10">
        <v>44625.0</v>
      </c>
      <c r="E2809" s="4" t="s">
        <v>7828</v>
      </c>
      <c r="F2809" s="4" t="s">
        <v>7829</v>
      </c>
      <c r="G2809" s="6" t="str">
        <f>IFERROR(__xludf.DUMMYFUNCTION("REGEXREPLACE(LOWER(F2809),""[^a-z\s]"","""")"),"they had the food when no one else did and shipped it quickly happy customer")</f>
        <v>they had the food when no one else did and shipped it quickly happy customer</v>
      </c>
      <c r="H2809" s="4" t="str">
        <f t="shared" si="1"/>
        <v>they had food when no one else did shipped it quickly happy customer</v>
      </c>
      <c r="I2809" s="6">
        <f t="shared" si="2"/>
        <v>13</v>
      </c>
      <c r="J2809" s="6">
        <f>IFERROR(__xludf.DUMMYFUNCTION("IF(H2809="""","""",
SUM(
ARRAYFORMULA(
IF(
REGEXMATCH(
"" ""&amp;H2809&amp;"" "",
"" ""&amp;Sentiment_Words!A$2:A3730&amp;"" ""
),
1,
0
)
)
)
)"),1.0)</f>
        <v>1</v>
      </c>
      <c r="K2809" s="4">
        <f>IFERROR(__xludf.DUMMYFUNCTION("IF(H2809="""","""",
SUM(
ARRAYFORMULA(
IF(
REGEXMATCH(
"" ""&amp;H2809&amp;"" "",
"" ""&amp;Sentiment_Words!B$2:B3730&amp;"" ""
),
1,
0
)
)
)
)"),0.0)</f>
        <v>0</v>
      </c>
      <c r="L2809" s="7" t="str">
        <f t="shared" si="3"/>
        <v>Other</v>
      </c>
      <c r="M2809" s="7" t="str">
        <f t="shared" si="4"/>
        <v>Positive</v>
      </c>
      <c r="N2809" s="7" t="str">
        <f>IFERROR(__xludf.DUMMYFUNCTION("LOWER(
TRIM(
REGEXREPLACE(B2809,""[^a-zA-Z\s]"","""")
)
)
"),"dale dinardo")</f>
        <v>dale dinardo</v>
      </c>
      <c r="O2809" s="7">
        <f t="shared" si="5"/>
        <v>1</v>
      </c>
      <c r="P2809" s="8" t="str">
        <f t="shared" si="6"/>
        <v>No</v>
      </c>
    </row>
    <row r="2810">
      <c r="A2810" s="4" t="s">
        <v>16</v>
      </c>
      <c r="B2810" s="4" t="s">
        <v>7830</v>
      </c>
      <c r="C2810" s="9">
        <v>44625.0</v>
      </c>
      <c r="D2810" s="10">
        <v>44625.0</v>
      </c>
      <c r="E2810" s="4" t="s">
        <v>7831</v>
      </c>
      <c r="F2810" s="4" t="s">
        <v>7832</v>
      </c>
      <c r="G2810" s="6" t="str">
        <f>IFERROR(__xludf.DUMMYFUNCTION("REGEXREPLACE(LOWER(F2810),""[^a-z\s]"","""")"),"fast delivery of the perfect puppy food for my little baby going to order some more puppy treats so glad to offend you all")</f>
        <v>fast delivery of the perfect puppy food for my little baby going to order some more puppy treats so glad to offend you all</v>
      </c>
      <c r="H2810" s="4" t="str">
        <f t="shared" si="1"/>
        <v>fast delivery of perfect puppy food my little baby going order some more puppy treats so glad offend you all</v>
      </c>
      <c r="I2810" s="6">
        <f t="shared" si="2"/>
        <v>20</v>
      </c>
      <c r="J2810" s="6">
        <f>IFERROR(__xludf.DUMMYFUNCTION("IF(H2810="""","""",
SUM(
ARRAYFORMULA(
IF(
REGEXMATCH(
"" ""&amp;H2810&amp;"" "",
"" ""&amp;Sentiment_Words!A$2:A3730&amp;"" ""
),
1,
0
)
)
)
)"),2.0)</f>
        <v>2</v>
      </c>
      <c r="K2810" s="4">
        <f>IFERROR(__xludf.DUMMYFUNCTION("IF(H2810="""","""",
SUM(
ARRAYFORMULA(
IF(
REGEXMATCH(
"" ""&amp;H2810&amp;"" "",
"" ""&amp;Sentiment_Words!B$2:B3730&amp;"" ""
),
1,
0
)
)
)
)"),0.0)</f>
        <v>0</v>
      </c>
      <c r="L2810" s="7" t="str">
        <f t="shared" si="3"/>
        <v>Other</v>
      </c>
      <c r="M2810" s="7" t="str">
        <f t="shared" si="4"/>
        <v>Positive</v>
      </c>
      <c r="N2810" s="7" t="str">
        <f>IFERROR(__xludf.DUMMYFUNCTION("LOWER(
TRIM(
REGEXREPLACE(B2810,""[^a-zA-Z\s]"","""")
)
)
"),"kelli farmer")</f>
        <v>kelli farmer</v>
      </c>
      <c r="O2810" s="7">
        <f t="shared" si="5"/>
        <v>1</v>
      </c>
      <c r="P2810" s="8" t="str">
        <f t="shared" si="6"/>
        <v>No</v>
      </c>
    </row>
    <row r="2811">
      <c r="A2811" s="4" t="s">
        <v>16</v>
      </c>
      <c r="B2811" s="4" t="s">
        <v>7833</v>
      </c>
      <c r="C2811" s="9">
        <v>44624.0</v>
      </c>
      <c r="D2811" s="10">
        <v>44624.0</v>
      </c>
      <c r="E2811" s="4" t="s">
        <v>431</v>
      </c>
      <c r="F2811" s="4" t="s">
        <v>7834</v>
      </c>
      <c r="G2811" s="6" t="str">
        <f>IFERROR(__xludf.DUMMYFUNCTION("REGEXREPLACE(LOWER(F2811),""[^a-z\s]"","""")"),"delivery is a little slow i sent coupons to you but they were never applied to my account they should have been sent back to me thats bad business")</f>
        <v>delivery is a little slow i sent coupons to you but they were never applied to my account they should have been sent back to me thats bad business</v>
      </c>
      <c r="H2811" s="4" t="str">
        <f t="shared" si="1"/>
        <v>delivery a little slow i sent coupons you but they were never applied my account they should have been sent back me thats bad business</v>
      </c>
      <c r="I2811" s="6">
        <f t="shared" si="2"/>
        <v>25</v>
      </c>
      <c r="J2811" s="6">
        <f>IFERROR(__xludf.DUMMYFUNCTION("IF(H2811="""","""",
SUM(
ARRAYFORMULA(
IF(
REGEXMATCH(
"" ""&amp;H2811&amp;"" "",
"" ""&amp;Sentiment_Words!A$2:A3730&amp;"" ""
),
1,
0
)
)
)
)"),0.0)</f>
        <v>0</v>
      </c>
      <c r="K2811" s="4">
        <f>IFERROR(__xludf.DUMMYFUNCTION("IF(H2811="""","""",
SUM(
ARRAYFORMULA(
IF(
REGEXMATCH(
"" ""&amp;H2811&amp;"" "",
"" ""&amp;Sentiment_Words!B$2:B3730&amp;"" ""
),
1,
0
)
)
)
)"),0.0)</f>
        <v>0</v>
      </c>
      <c r="L2811" s="7" t="str">
        <f t="shared" si="3"/>
        <v>Account &amp; Website</v>
      </c>
      <c r="M2811" s="7" t="str">
        <f t="shared" si="4"/>
        <v>Neutral</v>
      </c>
      <c r="N2811" s="7" t="str">
        <f>IFERROR(__xludf.DUMMYFUNCTION("LOWER(
TRIM(
REGEXREPLACE(B2811,""[^a-zA-Z\s]"","""")
)
)
"),"vicki")</f>
        <v>vicki</v>
      </c>
      <c r="O2811" s="7">
        <f t="shared" si="5"/>
        <v>5</v>
      </c>
      <c r="P2811" s="8" t="str">
        <f t="shared" si="6"/>
        <v>Yes</v>
      </c>
    </row>
    <row r="2812">
      <c r="A2812" s="4" t="s">
        <v>16</v>
      </c>
      <c r="B2812" s="4" t="s">
        <v>7835</v>
      </c>
      <c r="C2812" s="9">
        <v>44624.0</v>
      </c>
      <c r="D2812" s="10">
        <v>44624.0</v>
      </c>
      <c r="E2812" s="4" t="s">
        <v>7836</v>
      </c>
      <c r="F2812" s="4" t="s">
        <v>7837</v>
      </c>
      <c r="G2812" s="6" t="str">
        <f>IFERROR(__xludf.DUMMYFUNCTION("REGEXREPLACE(LOWER(F2812),""[^a-z\s]"","""")"),"the prices are comparable to other sites but petflow offers coupons and deals that keep bringing me back to shop here shipping is fast too")</f>
        <v>the prices are comparable to other sites but petflow offers coupons and deals that keep bringing me back to shop here shipping is fast too</v>
      </c>
      <c r="H2812" s="4" t="str">
        <f t="shared" si="1"/>
        <v>prices are comparable other sites but petflow offers coupons deals that keep bringing me back shop here shipping fast too</v>
      </c>
      <c r="I2812" s="6">
        <f t="shared" si="2"/>
        <v>20</v>
      </c>
      <c r="J2812" s="6">
        <f>IFERROR(__xludf.DUMMYFUNCTION("IF(H2812="""","""",
SUM(
ARRAYFORMULA(
IF(
REGEXMATCH(
"" ""&amp;H2812&amp;"" "",
"" ""&amp;Sentiment_Words!A$2:A3730&amp;"" ""
),
1,
0
)
)
)
)"),1.0)</f>
        <v>1</v>
      </c>
      <c r="K2812" s="4">
        <f>IFERROR(__xludf.DUMMYFUNCTION("IF(H2812="""","""",
SUM(
ARRAYFORMULA(
IF(
REGEXMATCH(
"" ""&amp;H2812&amp;"" "",
"" ""&amp;Sentiment_Words!B$2:B3730&amp;"" ""
),
1,
0
)
)
)
)"),0.0)</f>
        <v>0</v>
      </c>
      <c r="L2812" s="7" t="str">
        <f t="shared" si="3"/>
        <v>Other</v>
      </c>
      <c r="M2812" s="7" t="str">
        <f t="shared" si="4"/>
        <v>Positive</v>
      </c>
      <c r="N2812" s="7" t="str">
        <f>IFERROR(__xludf.DUMMYFUNCTION("LOWER(
TRIM(
REGEXREPLACE(B2812,""[^a-zA-Z\s]"","""")
)
)
"),"sherry morris")</f>
        <v>sherry morris</v>
      </c>
      <c r="O2812" s="7">
        <f t="shared" si="5"/>
        <v>1</v>
      </c>
      <c r="P2812" s="8" t="str">
        <f t="shared" si="6"/>
        <v>No</v>
      </c>
    </row>
    <row r="2813">
      <c r="A2813" s="4" t="s">
        <v>16</v>
      </c>
      <c r="B2813" s="4" t="s">
        <v>7838</v>
      </c>
      <c r="C2813" s="9">
        <v>44624.0</v>
      </c>
      <c r="D2813" s="10">
        <v>44624.0</v>
      </c>
      <c r="E2813" s="4" t="s">
        <v>7839</v>
      </c>
      <c r="F2813" s="4" t="s">
        <v>7840</v>
      </c>
      <c r="G2813" s="6" t="str">
        <f>IFERROR(__xludf.DUMMYFUNCTION("REGEXREPLACE(LOWER(F2813),""[^a-z\s]"","""")"),"the lid on my automatic dog feeder and water combo was broke when i got it")</f>
        <v>the lid on my automatic dog feeder and water combo was broke when i got it</v>
      </c>
      <c r="H2813" s="4" t="str">
        <f t="shared" si="1"/>
        <v>lid on my automatic dog feeder water combo was broke when i got it</v>
      </c>
      <c r="I2813" s="6">
        <f t="shared" si="2"/>
        <v>14</v>
      </c>
      <c r="J2813" s="6">
        <f>IFERROR(__xludf.DUMMYFUNCTION("IF(H2813="""","""",
SUM(
ARRAYFORMULA(
IF(
REGEXMATCH(
"" ""&amp;H2813&amp;"" "",
"" ""&amp;Sentiment_Words!A$2:A3730&amp;"" ""
),
1,
0
)
)
)
)"),0.0)</f>
        <v>0</v>
      </c>
      <c r="K2813" s="4">
        <f>IFERROR(__xludf.DUMMYFUNCTION("IF(H2813="""","""",
SUM(
ARRAYFORMULA(
IF(
REGEXMATCH(
"" ""&amp;H2813&amp;"" "",
"" ""&amp;Sentiment_Words!B$2:B3730&amp;"" ""
),
1,
0
)
)
)
)"),0.0)</f>
        <v>0</v>
      </c>
      <c r="L2813" s="7" t="str">
        <f t="shared" si="3"/>
        <v>Other</v>
      </c>
      <c r="M2813" s="7" t="str">
        <f t="shared" si="4"/>
        <v>Neutral</v>
      </c>
      <c r="N2813" s="7" t="str">
        <f>IFERROR(__xludf.DUMMYFUNCTION("LOWER(
TRIM(
REGEXREPLACE(B2813,""[^a-zA-Z\s]"","""")
)
)
"),"sharon gabrielson")</f>
        <v>sharon gabrielson</v>
      </c>
      <c r="O2813" s="7">
        <f t="shared" si="5"/>
        <v>1</v>
      </c>
      <c r="P2813" s="8" t="str">
        <f t="shared" si="6"/>
        <v>No</v>
      </c>
    </row>
    <row r="2814">
      <c r="A2814" s="4" t="s">
        <v>16</v>
      </c>
      <c r="B2814" s="4" t="s">
        <v>7841</v>
      </c>
      <c r="C2814" s="9">
        <v>44624.0</v>
      </c>
      <c r="D2814" s="10">
        <v>44624.0</v>
      </c>
      <c r="E2814" s="4" t="s">
        <v>7842</v>
      </c>
      <c r="F2814" s="4" t="s">
        <v>7843</v>
      </c>
      <c r="G2814" s="6" t="str">
        <f>IFERROR(__xludf.DUMMYFUNCTION("REGEXREPLACE(LOWER(F2814),""[^a-z\s]"","""")"),"it was easy to place my order and delivery was in a timely manner i will order again from petflow")</f>
        <v>it was easy to place my order and delivery was in a timely manner i will order again from petflow</v>
      </c>
      <c r="H2814" s="4" t="str">
        <f t="shared" si="1"/>
        <v>it was easy place my order delivery was in a timely manner i will order again from petflow</v>
      </c>
      <c r="I2814" s="6">
        <f t="shared" si="2"/>
        <v>18</v>
      </c>
      <c r="J2814" s="6">
        <f>IFERROR(__xludf.DUMMYFUNCTION("IF(H2814="""","""",
SUM(
ARRAYFORMULA(
IF(
REGEXMATCH(
"" ""&amp;H2814&amp;"" "",
"" ""&amp;Sentiment_Words!A$2:A3730&amp;"" ""
),
1,
0
)
)
)
)"),1.0)</f>
        <v>1</v>
      </c>
      <c r="K2814" s="4">
        <f>IFERROR(__xludf.DUMMYFUNCTION("IF(H2814="""","""",
SUM(
ARRAYFORMULA(
IF(
REGEXMATCH(
"" ""&amp;H2814&amp;"" "",
"" ""&amp;Sentiment_Words!B$2:B3730&amp;"" ""
),
1,
0
)
)
)
)"),0.0)</f>
        <v>0</v>
      </c>
      <c r="L2814" s="7" t="str">
        <f t="shared" si="3"/>
        <v>Other</v>
      </c>
      <c r="M2814" s="7" t="str">
        <f t="shared" si="4"/>
        <v>Positive</v>
      </c>
      <c r="N2814" s="7" t="str">
        <f>IFERROR(__xludf.DUMMYFUNCTION("LOWER(
TRIM(
REGEXREPLACE(B2814,""[^a-zA-Z\s]"","""")
)
)
"),"patricia hunt")</f>
        <v>patricia hunt</v>
      </c>
      <c r="O2814" s="7">
        <f t="shared" si="5"/>
        <v>1</v>
      </c>
      <c r="P2814" s="8" t="str">
        <f t="shared" si="6"/>
        <v>No</v>
      </c>
    </row>
    <row r="2815">
      <c r="A2815" s="4" t="s">
        <v>16</v>
      </c>
      <c r="B2815" s="4" t="s">
        <v>7844</v>
      </c>
      <c r="C2815" s="9">
        <v>44624.0</v>
      </c>
      <c r="D2815" s="10">
        <v>44624.0</v>
      </c>
      <c r="E2815" s="4" t="s">
        <v>7845</v>
      </c>
      <c r="F2815" s="4" t="s">
        <v>331</v>
      </c>
      <c r="G2815" s="6" t="str">
        <f>IFERROR(__xludf.DUMMYFUNCTION("REGEXREPLACE(LOWER(F2815),""[^a-z\s]"","""")"),"none")</f>
        <v>none</v>
      </c>
      <c r="H2815" s="4" t="str">
        <f t="shared" si="1"/>
        <v>none</v>
      </c>
      <c r="I2815" s="6">
        <f t="shared" si="2"/>
        <v>1</v>
      </c>
      <c r="J2815" s="6">
        <f>IFERROR(__xludf.DUMMYFUNCTION("IF(H2815="""","""",
SUM(
ARRAYFORMULA(
IF(
REGEXMATCH(
"" ""&amp;H2815&amp;"" "",
"" ""&amp;Sentiment_Words!A$2:A3730&amp;"" ""
),
1,
0
)
)
)
)"),0.0)</f>
        <v>0</v>
      </c>
      <c r="K2815" s="4">
        <f>IFERROR(__xludf.DUMMYFUNCTION("IF(H2815="""","""",
SUM(
ARRAYFORMULA(
IF(
REGEXMATCH(
"" ""&amp;H2815&amp;"" "",
"" ""&amp;Sentiment_Words!B$2:B3730&amp;"" ""
),
1,
0
)
)
)
)"),0.0)</f>
        <v>0</v>
      </c>
      <c r="L2815" s="7" t="str">
        <f t="shared" si="3"/>
        <v>Other</v>
      </c>
      <c r="M2815" s="7" t="str">
        <f t="shared" si="4"/>
        <v>Neutral</v>
      </c>
      <c r="N2815" s="7" t="str">
        <f>IFERROR(__xludf.DUMMYFUNCTION("LOWER(
TRIM(
REGEXREPLACE(B2815,""[^a-zA-Z\s]"","""")
)
)
"),"ks")</f>
        <v>ks</v>
      </c>
      <c r="O2815" s="7">
        <f t="shared" si="5"/>
        <v>2</v>
      </c>
      <c r="P2815" s="8" t="str">
        <f t="shared" si="6"/>
        <v>Yes</v>
      </c>
    </row>
    <row r="2816">
      <c r="A2816" s="4" t="s">
        <v>16</v>
      </c>
      <c r="B2816" s="4" t="s">
        <v>7846</v>
      </c>
      <c r="C2816" s="9">
        <v>44624.0</v>
      </c>
      <c r="D2816" s="10">
        <v>44624.0</v>
      </c>
      <c r="E2816" s="4" t="s">
        <v>7847</v>
      </c>
      <c r="F2816" s="4" t="s">
        <v>331</v>
      </c>
      <c r="G2816" s="6" t="str">
        <f>IFERROR(__xludf.DUMMYFUNCTION("REGEXREPLACE(LOWER(F2816),""[^a-z\s]"","""")"),"none")</f>
        <v>none</v>
      </c>
      <c r="H2816" s="4" t="str">
        <f t="shared" si="1"/>
        <v>none</v>
      </c>
      <c r="I2816" s="6">
        <f t="shared" si="2"/>
        <v>1</v>
      </c>
      <c r="J2816" s="6">
        <f>IFERROR(__xludf.DUMMYFUNCTION("IF(H2816="""","""",
SUM(
ARRAYFORMULA(
IF(
REGEXMATCH(
"" ""&amp;H2816&amp;"" "",
"" ""&amp;Sentiment_Words!A$2:A3730&amp;"" ""
),
1,
0
)
)
)
)"),0.0)</f>
        <v>0</v>
      </c>
      <c r="K2816" s="4">
        <f>IFERROR(__xludf.DUMMYFUNCTION("IF(H2816="""","""",
SUM(
ARRAYFORMULA(
IF(
REGEXMATCH(
"" ""&amp;H2816&amp;"" "",
"" ""&amp;Sentiment_Words!B$2:B3730&amp;"" ""
),
1,
0
)
)
)
)"),0.0)</f>
        <v>0</v>
      </c>
      <c r="L2816" s="7" t="str">
        <f t="shared" si="3"/>
        <v>Other</v>
      </c>
      <c r="M2816" s="7" t="str">
        <f t="shared" si="4"/>
        <v>Neutral</v>
      </c>
      <c r="N2816" s="7" t="str">
        <f>IFERROR(__xludf.DUMMYFUNCTION("LOWER(
TRIM(
REGEXREPLACE(B2816,""[^a-zA-Z\s]"","""")
)
)
"),"chad haverstick")</f>
        <v>chad haverstick</v>
      </c>
      <c r="O2816" s="7">
        <f t="shared" si="5"/>
        <v>1</v>
      </c>
      <c r="P2816" s="8" t="str">
        <f t="shared" si="6"/>
        <v>No</v>
      </c>
    </row>
    <row r="2817">
      <c r="A2817" s="4" t="s">
        <v>16</v>
      </c>
      <c r="B2817" s="4" t="s">
        <v>7848</v>
      </c>
      <c r="C2817" s="9">
        <v>44624.0</v>
      </c>
      <c r="D2817" s="10">
        <v>44624.0</v>
      </c>
      <c r="E2817" s="4" t="s">
        <v>7849</v>
      </c>
      <c r="F2817" s="4" t="s">
        <v>331</v>
      </c>
      <c r="G2817" s="6" t="str">
        <f>IFERROR(__xludf.DUMMYFUNCTION("REGEXREPLACE(LOWER(F2817),""[^a-z\s]"","""")"),"none")</f>
        <v>none</v>
      </c>
      <c r="H2817" s="4" t="str">
        <f t="shared" si="1"/>
        <v>none</v>
      </c>
      <c r="I2817" s="6">
        <f t="shared" si="2"/>
        <v>1</v>
      </c>
      <c r="J2817" s="6">
        <f>IFERROR(__xludf.DUMMYFUNCTION("IF(H2817="""","""",
SUM(
ARRAYFORMULA(
IF(
REGEXMATCH(
"" ""&amp;H2817&amp;"" "",
"" ""&amp;Sentiment_Words!A$2:A3730&amp;"" ""
),
1,
0
)
)
)
)"),0.0)</f>
        <v>0</v>
      </c>
      <c r="K2817" s="4">
        <f>IFERROR(__xludf.DUMMYFUNCTION("IF(H2817="""","""",
SUM(
ARRAYFORMULA(
IF(
REGEXMATCH(
"" ""&amp;H2817&amp;"" "",
"" ""&amp;Sentiment_Words!B$2:B3730&amp;"" ""
),
1,
0
)
)
)
)"),0.0)</f>
        <v>0</v>
      </c>
      <c r="L2817" s="7" t="str">
        <f t="shared" si="3"/>
        <v>Other</v>
      </c>
      <c r="M2817" s="7" t="str">
        <f t="shared" si="4"/>
        <v>Neutral</v>
      </c>
      <c r="N2817" s="7" t="str">
        <f>IFERROR(__xludf.DUMMYFUNCTION("LOWER(
TRIM(
REGEXREPLACE(B2817,""[^a-zA-Z\s]"","""")
)
)
"),"brenda ridge")</f>
        <v>brenda ridge</v>
      </c>
      <c r="O2817" s="7">
        <f t="shared" si="5"/>
        <v>1</v>
      </c>
      <c r="P2817" s="8" t="str">
        <f t="shared" si="6"/>
        <v>No</v>
      </c>
    </row>
    <row r="2818">
      <c r="A2818" s="4" t="s">
        <v>16</v>
      </c>
      <c r="B2818" s="4" t="s">
        <v>7850</v>
      </c>
      <c r="C2818" s="9">
        <v>44624.0</v>
      </c>
      <c r="D2818" s="10">
        <v>44624.0</v>
      </c>
      <c r="E2818" s="4" t="s">
        <v>7851</v>
      </c>
      <c r="F2818" s="4" t="s">
        <v>7852</v>
      </c>
      <c r="G2818" s="6" t="str">
        <f>IFERROR(__xludf.DUMMYFUNCTION("REGEXREPLACE(LOWER(F2818),""[^a-z\s]"","""")"),"with shortage of pet food currently challenging all pet owners i appreciate your quick shipping policies i realize that it is hard to keep stock on hand and you certainly helped us secure supplies for our  cats thanks for the prompt service and we look fo"&amp;"rward future purchases thank you")</f>
        <v>with shortage of pet food currently challenging all pet owners i appreciate your quick shipping policies i realize that it is hard to keep stock on hand and you certainly helped us secure supplies for our  cats thanks for the prompt service and we look forward future purchases thank you</v>
      </c>
      <c r="H2818" s="4" t="str">
        <f t="shared" si="1"/>
        <v>with shortage of pet food currently challenging all pet owners i appreciate your quick shipping policies i realize that it hard keep stock on hand you certainly helped us secure supplies our cats thanks prompt service we look forward future purchases thank you</v>
      </c>
      <c r="I2818" s="6">
        <f t="shared" si="2"/>
        <v>43</v>
      </c>
      <c r="J2818" s="6">
        <f>IFERROR(__xludf.DUMMYFUNCTION("IF(H2818="""","""",
SUM(
ARRAYFORMULA(
IF(
REGEXMATCH(
"" ""&amp;H2818&amp;"" "",
"" ""&amp;Sentiment_Words!A$2:A3730&amp;"" ""
),
1,
0
)
)
)
)"),1.0)</f>
        <v>1</v>
      </c>
      <c r="K2818" s="4">
        <f>IFERROR(__xludf.DUMMYFUNCTION("IF(H2818="""","""",
SUM(
ARRAYFORMULA(
IF(
REGEXMATCH(
"" ""&amp;H2818&amp;"" "",
"" ""&amp;Sentiment_Words!B$2:B3730&amp;"" ""
),
1,
0
)
)
)
)"),0.0)</f>
        <v>0</v>
      </c>
      <c r="L2818" s="7" t="str">
        <f t="shared" si="3"/>
        <v>Customer Support</v>
      </c>
      <c r="M2818" s="7" t="str">
        <f t="shared" si="4"/>
        <v>Positive</v>
      </c>
      <c r="N2818" s="7" t="str">
        <f>IFERROR(__xludf.DUMMYFUNCTION("LOWER(
TRIM(
REGEXREPLACE(B2818,""[^a-zA-Z\s]"","""")
)
)
"),"l holmberg")</f>
        <v>l holmberg</v>
      </c>
      <c r="O2818" s="7">
        <f t="shared" si="5"/>
        <v>1</v>
      </c>
      <c r="P2818" s="8" t="str">
        <f t="shared" si="6"/>
        <v>No</v>
      </c>
    </row>
    <row r="2819">
      <c r="A2819" s="4" t="s">
        <v>16</v>
      </c>
      <c r="B2819" s="4" t="s">
        <v>7853</v>
      </c>
      <c r="C2819" s="9">
        <v>44623.0</v>
      </c>
      <c r="D2819" s="10">
        <v>44624.0</v>
      </c>
      <c r="E2819" s="4" t="s">
        <v>7854</v>
      </c>
      <c r="F2819" s="4" t="s">
        <v>7855</v>
      </c>
      <c r="G2819" s="6" t="str">
        <f>IFERROR(__xludf.DUMMYFUNCTION("REGEXREPLACE(LOWER(F2819),""[^a-z\s]"","""")"),"prompt when shipping items in stock not so prompt in communicating when items are back ordered and the website shows them still in stock i placed an order my vet approved february  i checked on it february  and was advised the wet food was cancelled becau"&amp;"se my vet turned it down but that the dry food would be shipping soon my vet had approved the whole order as i had called them before checking my order so that was incorrect information off the bat
i then received a notice that my wet food was shipping b"&amp;"ut the dry food was cancelled off my order on  because it was out of stock  nearly  weeks after the order was approved my in stock wet food is only now shipping from new jersey why didnt it ship back on the th or even the nd when i inquired and why was i "&amp;"provided incorrect info
nearly two weeks when you advise to allow  days from approval to ship is not acceptable over a week to advise me an item is out of stock is also unacceptable and your website still indicates its in stock which is even more frustra"&amp;"ting because i will now pay shipping on each item individually when i had actually ordered together to save on shipping and i dont have confidence you even have it in stock also why cancel an order as opposed to let it sit in backorder if it will replenis"&amp;"h this fast so usually a happy customer hence the  stars instead of lower")</f>
        <v>prompt when shipping items in stock not so prompt in communicating when items are back ordered and the website shows them still in stock i placed an order my vet approved february  i checked on it february  and was advised the wet food was cancelled because my vet turned it down but that the dry food would be shipping soon my vet had approved the whole order as i had called them before checking my order so that was incorrect information off the bat
i then received a notice that my wet food was shipping but the dry food was cancelled off my order on  because it was out of stock  nearly  weeks after the order was approved my in stock wet food is only now shipping from new jersey why didnt it ship back on the th or even the nd when i inquired and why was i provided incorrect info
nearly two weeks when you advise to allow  days from approval to ship is not acceptable over a week to advise me an item is out of stock is also unacceptable and your website still indicates its in stock which is even more frustrating because i will now pay shipping on each item individually when i had actually ordered together to save on shipping and i dont have confidence you even have it in stock also why cancel an order as opposed to let it sit in backorder if it will replenish this fast so usually a happy customer hence the  stars instead of lower</v>
      </c>
      <c r="H2819" s="4" t="str">
        <f t="shared" si="1"/>
        <v>prompt when shipping items in stock not so prompt in communicating when items are back ordered website shows them still in stock i placed an order my vet approved february i checked on it february was advised wet food was cancelled because my vet turned it down but that dry food would be shipping soon my vet had approved whole order as i had called them before checking my order so that was incorrect information off bat
i then received a notice that my wet food was shipping but dry food was cancelled off my order on because it was out of stock nearly weeks after order was approved my in stock wet food only now shipping from new jersey why didnt it ship back on th or even nd when i inquired why was i provided incorrect info
nearly two weeks when you advise allow days from approval ship not acceptable over a week advise me an item out of stock also unacceptable your website still indicates its in stock which even more frustrating because i will now pay shipping on each item individually when i had actually ordered together save on shipping i dont have confidence you even have it in stock also why cancel an order as opposed let it sit in backorder if it will replenish this fast so usually a happy customer hence stars instead of lower</v>
      </c>
      <c r="I2819" s="6">
        <f t="shared" si="2"/>
        <v>230</v>
      </c>
      <c r="J2819" s="6">
        <f>IFERROR(__xludf.DUMMYFUNCTION("IF(H2819="""","""",
SUM(
ARRAYFORMULA(
IF(
REGEXMATCH(
"" ""&amp;H2819&amp;"" "",
"" ""&amp;Sentiment_Words!A$2:A3730&amp;"" ""
),
1,
0
)
)
)
)"),3.0)</f>
        <v>3</v>
      </c>
      <c r="K2819" s="4">
        <f>IFERROR(__xludf.DUMMYFUNCTION("IF(H2819="""","""",
SUM(
ARRAYFORMULA(
IF(
REGEXMATCH(
"" ""&amp;H2819&amp;"" "",
"" ""&amp;Sentiment_Words!B$2:B3730&amp;"" ""
),
1,
0
)
)
)
)"),4.0)</f>
        <v>4</v>
      </c>
      <c r="L2819" s="7" t="str">
        <f t="shared" si="3"/>
        <v>Availability</v>
      </c>
      <c r="M2819" s="7" t="str">
        <f t="shared" si="4"/>
        <v>Negative</v>
      </c>
      <c r="N2819" s="7" t="str">
        <f>IFERROR(__xludf.DUMMYFUNCTION("LOWER(
TRIM(
REGEXREPLACE(B2819,""[^a-zA-Z\s]"","""")
)
)
"),"lara zintsmaster")</f>
        <v>lara zintsmaster</v>
      </c>
      <c r="O2819" s="7">
        <f t="shared" si="5"/>
        <v>1</v>
      </c>
      <c r="P2819" s="8" t="str">
        <f t="shared" si="6"/>
        <v>No</v>
      </c>
    </row>
    <row r="2820">
      <c r="A2820" s="4" t="s">
        <v>16</v>
      </c>
      <c r="B2820" s="4" t="s">
        <v>7856</v>
      </c>
      <c r="C2820" s="9">
        <v>44623.0</v>
      </c>
      <c r="D2820" s="10">
        <v>44624.0</v>
      </c>
      <c r="E2820" s="4" t="s">
        <v>7857</v>
      </c>
      <c r="F2820" s="4" t="s">
        <v>7858</v>
      </c>
      <c r="G2820" s="6" t="str">
        <f>IFERROR(__xludf.DUMMYFUNCTION("REGEXREPLACE(LOWER(F2820),""[^a-z\s]"","""")"),"packaging was poorly done on feed bags needs to send in stronger boxes")</f>
        <v>packaging was poorly done on feed bags needs to send in stronger boxes</v>
      </c>
      <c r="H2820" s="4" t="str">
        <f t="shared" si="1"/>
        <v>packaging was poorly done on feed bags needs send in stronger boxes</v>
      </c>
      <c r="I2820" s="6">
        <f t="shared" si="2"/>
        <v>12</v>
      </c>
      <c r="J2820" s="6">
        <f>IFERROR(__xludf.DUMMYFUNCTION("IF(H2820="""","""",
SUM(
ARRAYFORMULA(
IF(
REGEXMATCH(
"" ""&amp;H2820&amp;"" "",
"" ""&amp;Sentiment_Words!A$2:A3730&amp;"" ""
),
1,
0
)
)
)
)"),0.0)</f>
        <v>0</v>
      </c>
      <c r="K2820" s="4">
        <f>IFERROR(__xludf.DUMMYFUNCTION("IF(H2820="""","""",
SUM(
ARRAYFORMULA(
IF(
REGEXMATCH(
"" ""&amp;H2820&amp;"" "",
"" ""&amp;Sentiment_Words!B$2:B3730&amp;"" ""
),
1,
0
)
)
)
)"),0.0)</f>
        <v>0</v>
      </c>
      <c r="L2820" s="7" t="str">
        <f t="shared" si="3"/>
        <v>Other</v>
      </c>
      <c r="M2820" s="7" t="str">
        <f t="shared" si="4"/>
        <v>Neutral</v>
      </c>
      <c r="N2820" s="7" t="str">
        <f>IFERROR(__xludf.DUMMYFUNCTION("LOWER(
TRIM(
REGEXREPLACE(B2820,""[^a-zA-Z\s]"","""")
)
)
"),"george tinklin")</f>
        <v>george tinklin</v>
      </c>
      <c r="O2820" s="7">
        <f t="shared" si="5"/>
        <v>1</v>
      </c>
      <c r="P2820" s="8" t="str">
        <f t="shared" si="6"/>
        <v>No</v>
      </c>
    </row>
    <row r="2821">
      <c r="A2821" s="4" t="s">
        <v>16</v>
      </c>
      <c r="B2821" s="4" t="s">
        <v>7859</v>
      </c>
      <c r="C2821" s="9">
        <v>44623.0</v>
      </c>
      <c r="D2821" s="10">
        <v>44623.0</v>
      </c>
      <c r="E2821" s="4" t="s">
        <v>7860</v>
      </c>
      <c r="F2821" s="4" t="s">
        <v>7861</v>
      </c>
      <c r="G2821" s="6" t="str">
        <f>IFERROR(__xludf.DUMMYFUNCTION("REGEXREPLACE(LOWER(F2821),""[^a-z\s]"","""")"),"everything arrived in good shape happy with my purchase")</f>
        <v>everything arrived in good shape happy with my purchase</v>
      </c>
      <c r="H2821" s="4" t="str">
        <f t="shared" si="1"/>
        <v>everything arrived in good shape happy with my purchase</v>
      </c>
      <c r="I2821" s="6">
        <f t="shared" si="2"/>
        <v>9</v>
      </c>
      <c r="J2821" s="6">
        <f>IFERROR(__xludf.DUMMYFUNCTION("IF(H2821="""","""",
SUM(
ARRAYFORMULA(
IF(
REGEXMATCH(
"" ""&amp;H2821&amp;"" "",
"" ""&amp;Sentiment_Words!A$2:A3730&amp;"" ""
),
1,
0
)
)
)
)"),2.0)</f>
        <v>2</v>
      </c>
      <c r="K2821" s="4">
        <f>IFERROR(__xludf.DUMMYFUNCTION("IF(H2821="""","""",
SUM(
ARRAYFORMULA(
IF(
REGEXMATCH(
"" ""&amp;H2821&amp;"" "",
"" ""&amp;Sentiment_Words!B$2:B3730&amp;"" ""
),
1,
0
)
)
)
)"),0.0)</f>
        <v>0</v>
      </c>
      <c r="L2821" s="7" t="str">
        <f t="shared" si="3"/>
        <v>Other</v>
      </c>
      <c r="M2821" s="7" t="str">
        <f t="shared" si="4"/>
        <v>Positive</v>
      </c>
      <c r="N2821" s="7" t="str">
        <f>IFERROR(__xludf.DUMMYFUNCTION("LOWER(
TRIM(
REGEXREPLACE(B2821,""[^a-zA-Z\s]"","""")
)
)
"),"margaret birns")</f>
        <v>margaret birns</v>
      </c>
      <c r="O2821" s="7">
        <f t="shared" si="5"/>
        <v>1</v>
      </c>
      <c r="P2821" s="8" t="str">
        <f t="shared" si="6"/>
        <v>No</v>
      </c>
    </row>
    <row r="2822">
      <c r="A2822" s="4" t="s">
        <v>16</v>
      </c>
      <c r="B2822" s="4" t="s">
        <v>7862</v>
      </c>
      <c r="C2822" s="9">
        <v>44623.0</v>
      </c>
      <c r="D2822" s="10">
        <v>44623.0</v>
      </c>
      <c r="E2822" s="4" t="s">
        <v>7863</v>
      </c>
      <c r="F2822" s="4" t="s">
        <v>7864</v>
      </c>
      <c r="G2822" s="6" t="str">
        <f>IFERROR(__xludf.DUMMYFUNCTION("REGEXREPLACE(LOWER(F2822),""[^a-z\s]"","""")"),"great products and fast delivery recipe for success")</f>
        <v>great products and fast delivery recipe for success</v>
      </c>
      <c r="H2822" s="4" t="str">
        <f t="shared" si="1"/>
        <v>great products fast delivery recipe success</v>
      </c>
      <c r="I2822" s="6">
        <f t="shared" si="2"/>
        <v>6</v>
      </c>
      <c r="J2822" s="6">
        <f>IFERROR(__xludf.DUMMYFUNCTION("IF(H2822="""","""",
SUM(
ARRAYFORMULA(
IF(
REGEXMATCH(
"" ""&amp;H2822&amp;"" "",
"" ""&amp;Sentiment_Words!A$2:A3730&amp;"" ""
),
1,
0
)
)
)
)"),3.0)</f>
        <v>3</v>
      </c>
      <c r="K2822" s="4">
        <f>IFERROR(__xludf.DUMMYFUNCTION("IF(H2822="""","""",
SUM(
ARRAYFORMULA(
IF(
REGEXMATCH(
"" ""&amp;H2822&amp;"" "",
"" ""&amp;Sentiment_Words!B$2:B3730&amp;"" ""
),
1,
0
)
)
)
)"),0.0)</f>
        <v>0</v>
      </c>
      <c r="L2822" s="7" t="str">
        <f t="shared" si="3"/>
        <v>Other</v>
      </c>
      <c r="M2822" s="7" t="str">
        <f t="shared" si="4"/>
        <v>Positive</v>
      </c>
      <c r="N2822" s="7" t="str">
        <f>IFERROR(__xludf.DUMMYFUNCTION("LOWER(
TRIM(
REGEXREPLACE(B2822,""[^a-zA-Z\s]"","""")
)
)
"),"lakeya")</f>
        <v>lakeya</v>
      </c>
      <c r="O2822" s="7">
        <f t="shared" si="5"/>
        <v>1</v>
      </c>
      <c r="P2822" s="8" t="str">
        <f t="shared" si="6"/>
        <v>No</v>
      </c>
    </row>
    <row r="2823">
      <c r="A2823" s="4" t="s">
        <v>16</v>
      </c>
      <c r="B2823" s="4" t="s">
        <v>7865</v>
      </c>
      <c r="C2823" s="9">
        <v>44623.0</v>
      </c>
      <c r="D2823" s="10">
        <v>44623.0</v>
      </c>
      <c r="E2823" s="4" t="s">
        <v>7866</v>
      </c>
      <c r="F2823" s="4" t="s">
        <v>7867</v>
      </c>
      <c r="G2823" s="6" t="str">
        <f>IFERROR(__xludf.DUMMYFUNCTION("REGEXREPLACE(LOWER(F2823),""[^a-z\s]"","""")"),"it is helpful to have pet food delivered pet flow gets my order correct and it comes on time thanks")</f>
        <v>it is helpful to have pet food delivered pet flow gets my order correct and it comes on time thanks</v>
      </c>
      <c r="H2823" s="4" t="str">
        <f t="shared" si="1"/>
        <v>it helpful have pet food delivered pet flow gets my order correct it comes on time thanks</v>
      </c>
      <c r="I2823" s="6">
        <f t="shared" si="2"/>
        <v>17</v>
      </c>
      <c r="J2823" s="6">
        <f>IFERROR(__xludf.DUMMYFUNCTION("IF(H2823="""","""",
SUM(
ARRAYFORMULA(
IF(
REGEXMATCH(
"" ""&amp;H2823&amp;"" "",
"" ""&amp;Sentiment_Words!A$2:A3730&amp;"" ""
),
1,
0
)
)
)
)"),3.0)</f>
        <v>3</v>
      </c>
      <c r="K2823" s="4">
        <f>IFERROR(__xludf.DUMMYFUNCTION("IF(H2823="""","""",
SUM(
ARRAYFORMULA(
IF(
REGEXMATCH(
"" ""&amp;H2823&amp;"" "",
"" ""&amp;Sentiment_Words!B$2:B3730&amp;"" ""
),
1,
0
)
)
)
)"),0.0)</f>
        <v>0</v>
      </c>
      <c r="L2823" s="7" t="str">
        <f t="shared" si="3"/>
        <v>Other</v>
      </c>
      <c r="M2823" s="7" t="str">
        <f t="shared" si="4"/>
        <v>Positive</v>
      </c>
      <c r="N2823" s="7" t="str">
        <f>IFERROR(__xludf.DUMMYFUNCTION("LOWER(
TRIM(
REGEXREPLACE(B2823,""[^a-zA-Z\s]"","""")
)
)
"),"laurena gatlin")</f>
        <v>laurena gatlin</v>
      </c>
      <c r="O2823" s="7">
        <f t="shared" si="5"/>
        <v>1</v>
      </c>
      <c r="P2823" s="8" t="str">
        <f t="shared" si="6"/>
        <v>No</v>
      </c>
    </row>
    <row r="2824">
      <c r="A2824" s="4" t="s">
        <v>16</v>
      </c>
      <c r="B2824" s="4" t="s">
        <v>7868</v>
      </c>
      <c r="C2824" s="9">
        <v>44623.0</v>
      </c>
      <c r="D2824" s="10">
        <v>44623.0</v>
      </c>
      <c r="E2824" s="4" t="s">
        <v>7869</v>
      </c>
      <c r="F2824" s="4" t="s">
        <v>7870</v>
      </c>
      <c r="G2824" s="6" t="str">
        <f>IFERROR(__xludf.DUMMYFUNCTION("REGEXREPLACE(LOWER(F2824),""[^a-z\s]"","""")"),"thanks for having the food i wanted when no one else did quick delivery too")</f>
        <v>thanks for having the food i wanted when no one else did quick delivery too</v>
      </c>
      <c r="H2824" s="4" t="str">
        <f t="shared" si="1"/>
        <v>thanks having food i wanted when no one else did quick delivery too</v>
      </c>
      <c r="I2824" s="6">
        <f t="shared" si="2"/>
        <v>13</v>
      </c>
      <c r="J2824" s="6">
        <f>IFERROR(__xludf.DUMMYFUNCTION("IF(H2824="""","""",
SUM(
ARRAYFORMULA(
IF(
REGEXMATCH(
"" ""&amp;H2824&amp;"" "",
"" ""&amp;Sentiment_Words!A$2:A3730&amp;"" ""
),
1,
0
)
)
)
)"),1.0)</f>
        <v>1</v>
      </c>
      <c r="K2824" s="4">
        <f>IFERROR(__xludf.DUMMYFUNCTION("IF(H2824="""","""",
SUM(
ARRAYFORMULA(
IF(
REGEXMATCH(
"" ""&amp;H2824&amp;"" "",
"" ""&amp;Sentiment_Words!B$2:B3730&amp;"" ""
),
1,
0
)
)
)
)"),0.0)</f>
        <v>0</v>
      </c>
      <c r="L2824" s="7" t="str">
        <f t="shared" si="3"/>
        <v>Other</v>
      </c>
      <c r="M2824" s="7" t="str">
        <f t="shared" si="4"/>
        <v>Positive</v>
      </c>
      <c r="N2824" s="7" t="str">
        <f>IFERROR(__xludf.DUMMYFUNCTION("LOWER(
TRIM(
REGEXREPLACE(B2824,""[^a-zA-Z\s]"","""")
)
)
"),"jena harris")</f>
        <v>jena harris</v>
      </c>
      <c r="O2824" s="7">
        <f t="shared" si="5"/>
        <v>1</v>
      </c>
      <c r="P2824" s="8" t="str">
        <f t="shared" si="6"/>
        <v>No</v>
      </c>
    </row>
    <row r="2825">
      <c r="A2825" s="4" t="s">
        <v>16</v>
      </c>
      <c r="B2825" s="4" t="s">
        <v>7871</v>
      </c>
      <c r="C2825" s="9">
        <v>44623.0</v>
      </c>
      <c r="D2825" s="10">
        <v>44623.0</v>
      </c>
      <c r="E2825" s="4" t="s">
        <v>7872</v>
      </c>
      <c r="F2825" s="4" t="s">
        <v>7873</v>
      </c>
      <c r="G2825" s="6" t="str">
        <f>IFERROR(__xludf.DUMMYFUNCTION("REGEXREPLACE(LOWER(F2825),""[^a-z\s]"","""")"),"always reliable for stock and fast shipping")</f>
        <v>always reliable for stock and fast shipping</v>
      </c>
      <c r="H2825" s="4" t="str">
        <f t="shared" si="1"/>
        <v>always reliable stock fast shipping</v>
      </c>
      <c r="I2825" s="6">
        <f t="shared" si="2"/>
        <v>5</v>
      </c>
      <c r="J2825" s="6">
        <f>IFERROR(__xludf.DUMMYFUNCTION("IF(H2825="""","""",
SUM(
ARRAYFORMULA(
IF(
REGEXMATCH(
"" ""&amp;H2825&amp;"" "",
"" ""&amp;Sentiment_Words!A$2:A3730&amp;"" ""
),
1,
0
)
)
)
)"),2.0)</f>
        <v>2</v>
      </c>
      <c r="K2825" s="4">
        <f>IFERROR(__xludf.DUMMYFUNCTION("IF(H2825="""","""",
SUM(
ARRAYFORMULA(
IF(
REGEXMATCH(
"" ""&amp;H2825&amp;"" "",
"" ""&amp;Sentiment_Words!B$2:B3730&amp;"" ""
),
1,
0
)
)
)
)"),0.0)</f>
        <v>0</v>
      </c>
      <c r="L2825" s="7" t="str">
        <f t="shared" si="3"/>
        <v>Other</v>
      </c>
      <c r="M2825" s="7" t="str">
        <f t="shared" si="4"/>
        <v>Positive</v>
      </c>
      <c r="N2825" s="7" t="str">
        <f>IFERROR(__xludf.DUMMYFUNCTION("LOWER(
TRIM(
REGEXREPLACE(B2825,""[^a-zA-Z\s]"","""")
)
)
"),"alison g")</f>
        <v>alison g</v>
      </c>
      <c r="O2825" s="7">
        <f t="shared" si="5"/>
        <v>1</v>
      </c>
      <c r="P2825" s="8" t="str">
        <f t="shared" si="6"/>
        <v>No</v>
      </c>
    </row>
    <row r="2826">
      <c r="A2826" s="4" t="s">
        <v>16</v>
      </c>
      <c r="B2826" s="4" t="s">
        <v>7874</v>
      </c>
      <c r="C2826" s="9">
        <v>44623.0</v>
      </c>
      <c r="D2826" s="10">
        <v>44623.0</v>
      </c>
      <c r="E2826" s="4" t="s">
        <v>7875</v>
      </c>
      <c r="F2826" s="4" t="s">
        <v>7876</v>
      </c>
      <c r="G2826" s="6" t="str">
        <f>IFERROR(__xludf.DUMMYFUNCTION("REGEXREPLACE(LOWER(F2826),""[^a-z\s]"","""")"),"my order was shipped fast well packed
it was here in a timely manner very pleased with transaction will buy from again h")</f>
        <v>my order was shipped fast well packed
it was here in a timely manner very pleased with transaction will buy from again h</v>
      </c>
      <c r="H2826" s="4" t="str">
        <f t="shared" si="1"/>
        <v>my order was shipped fast well packed
it was here in a timely manner very pleased with transaction will buy from again h</v>
      </c>
      <c r="I2826" s="6">
        <f t="shared" si="2"/>
        <v>22</v>
      </c>
      <c r="J2826" s="6">
        <f>IFERROR(__xludf.DUMMYFUNCTION("IF(H2826="""","""",
SUM(
ARRAYFORMULA(
IF(
REGEXMATCH(
"" ""&amp;H2826&amp;"" "",
"" ""&amp;Sentiment_Words!A$2:A3730&amp;"" ""
),
1,
0
)
)
)
)"),1.0)</f>
        <v>1</v>
      </c>
      <c r="K2826" s="4">
        <f>IFERROR(__xludf.DUMMYFUNCTION("IF(H2826="""","""",
SUM(
ARRAYFORMULA(
IF(
REGEXMATCH(
"" ""&amp;H2826&amp;"" "",
"" ""&amp;Sentiment_Words!B$2:B3730&amp;"" ""
),
1,
0
)
)
)
)"),0.0)</f>
        <v>0</v>
      </c>
      <c r="L2826" s="7" t="str">
        <f t="shared" si="3"/>
        <v>Other</v>
      </c>
      <c r="M2826" s="7" t="str">
        <f t="shared" si="4"/>
        <v>Positive</v>
      </c>
      <c r="N2826" s="7" t="str">
        <f>IFERROR(__xludf.DUMMYFUNCTION("LOWER(
TRIM(
REGEXREPLACE(B2826,""[^a-zA-Z\s]"","""")
)
)
"),"harvey haun")</f>
        <v>harvey haun</v>
      </c>
      <c r="O2826" s="7">
        <f t="shared" si="5"/>
        <v>1</v>
      </c>
      <c r="P2826" s="8" t="str">
        <f t="shared" si="6"/>
        <v>No</v>
      </c>
    </row>
    <row r="2827">
      <c r="A2827" s="4" t="s">
        <v>16</v>
      </c>
      <c r="B2827" s="4" t="s">
        <v>7877</v>
      </c>
      <c r="C2827" s="9">
        <v>44623.0</v>
      </c>
      <c r="D2827" s="10">
        <v>44623.0</v>
      </c>
      <c r="E2827" s="4" t="s">
        <v>7878</v>
      </c>
      <c r="F2827" s="4" t="s">
        <v>7879</v>
      </c>
      <c r="G2827" s="6" t="str">
        <f>IFERROR(__xludf.DUMMYFUNCTION("REGEXREPLACE(LOWER(F2827),""[^a-z\s]"","""")"),"shipping is too long and items arent shipped together")</f>
        <v>shipping is too long and items arent shipped together</v>
      </c>
      <c r="H2827" s="4" t="str">
        <f t="shared" si="1"/>
        <v>shipping too long items arent shipped together</v>
      </c>
      <c r="I2827" s="6">
        <f t="shared" si="2"/>
        <v>7</v>
      </c>
      <c r="J2827" s="6">
        <f>IFERROR(__xludf.DUMMYFUNCTION("IF(H2827="""","""",
SUM(
ARRAYFORMULA(
IF(
REGEXMATCH(
"" ""&amp;H2827&amp;"" "",
"" ""&amp;Sentiment_Words!A$2:A3730&amp;"" ""
),
1,
0
)
)
)
)"),0.0)</f>
        <v>0</v>
      </c>
      <c r="K2827" s="4">
        <f>IFERROR(__xludf.DUMMYFUNCTION("IF(H2827="""","""",
SUM(
ARRAYFORMULA(
IF(
REGEXMATCH(
"" ""&amp;H2827&amp;"" "",
"" ""&amp;Sentiment_Words!B$2:B3730&amp;"" ""
),
1,
0
)
)
)
)"),0.0)</f>
        <v>0</v>
      </c>
      <c r="L2827" s="7" t="str">
        <f t="shared" si="3"/>
        <v>Other</v>
      </c>
      <c r="M2827" s="7" t="str">
        <f t="shared" si="4"/>
        <v>Neutral</v>
      </c>
      <c r="N2827" s="7" t="str">
        <f>IFERROR(__xludf.DUMMYFUNCTION("LOWER(
TRIM(
REGEXREPLACE(B2827,""[^a-zA-Z\s]"","""")
)
)
"),"elliot garcia")</f>
        <v>elliot garcia</v>
      </c>
      <c r="O2827" s="7">
        <f t="shared" si="5"/>
        <v>1</v>
      </c>
      <c r="P2827" s="8" t="str">
        <f t="shared" si="6"/>
        <v>No</v>
      </c>
    </row>
    <row r="2828">
      <c r="A2828" s="4" t="s">
        <v>16</v>
      </c>
      <c r="B2828" s="4" t="s">
        <v>7880</v>
      </c>
      <c r="C2828" s="9">
        <v>44623.0</v>
      </c>
      <c r="D2828" s="10">
        <v>44623.0</v>
      </c>
      <c r="E2828" s="4" t="s">
        <v>7881</v>
      </c>
      <c r="F2828" s="4" t="s">
        <v>7882</v>
      </c>
      <c r="G2828" s="6" t="str">
        <f>IFERROR(__xludf.DUMMYFUNCTION("REGEXREPLACE(LOWER(F2828),""[^a-z\s]"","""")"),"great first time buyer experience delivered in a timely manner and in good condition")</f>
        <v>great first time buyer experience delivered in a timely manner and in good condition</v>
      </c>
      <c r="H2828" s="4" t="str">
        <f t="shared" si="1"/>
        <v>great first time buyer experience delivered in a timely manner in good condition</v>
      </c>
      <c r="I2828" s="6">
        <f t="shared" si="2"/>
        <v>13</v>
      </c>
      <c r="J2828" s="6">
        <f>IFERROR(__xludf.DUMMYFUNCTION("IF(H2828="""","""",
SUM(
ARRAYFORMULA(
IF(
REGEXMATCH(
"" ""&amp;H2828&amp;"" "",
"" ""&amp;Sentiment_Words!A$2:A3730&amp;"" ""
),
1,
0
)
)
)
)"),3.0)</f>
        <v>3</v>
      </c>
      <c r="K2828" s="4">
        <f>IFERROR(__xludf.DUMMYFUNCTION("IF(H2828="""","""",
SUM(
ARRAYFORMULA(
IF(
REGEXMATCH(
"" ""&amp;H2828&amp;"" "",
"" ""&amp;Sentiment_Words!B$2:B3730&amp;"" ""
),
1,
0
)
)
)
)"),0.0)</f>
        <v>0</v>
      </c>
      <c r="L2828" s="7" t="str">
        <f t="shared" si="3"/>
        <v>Other</v>
      </c>
      <c r="M2828" s="7" t="str">
        <f t="shared" si="4"/>
        <v>Positive</v>
      </c>
      <c r="N2828" s="7" t="str">
        <f>IFERROR(__xludf.DUMMYFUNCTION("LOWER(
TRIM(
REGEXREPLACE(B2828,""[^a-zA-Z\s]"","""")
)
)
"),"madison k")</f>
        <v>madison k</v>
      </c>
      <c r="O2828" s="7">
        <f t="shared" si="5"/>
        <v>1</v>
      </c>
      <c r="P2828" s="8" t="str">
        <f t="shared" si="6"/>
        <v>No</v>
      </c>
    </row>
    <row r="2829">
      <c r="A2829" s="4" t="s">
        <v>16</v>
      </c>
      <c r="B2829" s="4" t="s">
        <v>7883</v>
      </c>
      <c r="C2829" s="9">
        <v>44622.0</v>
      </c>
      <c r="D2829" s="10">
        <v>44622.0</v>
      </c>
      <c r="E2829" s="4" t="s">
        <v>190</v>
      </c>
      <c r="F2829" s="4" t="s">
        <v>7884</v>
      </c>
      <c r="G2829" s="6" t="str">
        <f>IFERROR(__xludf.DUMMYFUNCTION("REGEXREPLACE(LOWER(F2829),""[^a-z\s]"","""")"),"great customer service easy online ordering prompt action and delivery thanks petflow")</f>
        <v>great customer service easy online ordering prompt action and delivery thanks petflow</v>
      </c>
      <c r="H2829" s="4" t="str">
        <f t="shared" si="1"/>
        <v>great customer service easy online ordering prompt action delivery thanks petflow</v>
      </c>
      <c r="I2829" s="6">
        <f t="shared" si="2"/>
        <v>11</v>
      </c>
      <c r="J2829" s="6">
        <f>IFERROR(__xludf.DUMMYFUNCTION("IF(H2829="""","""",
SUM(
ARRAYFORMULA(
IF(
REGEXMATCH(
"" ""&amp;H2829&amp;"" "",
"" ""&amp;Sentiment_Words!A$2:A3730&amp;"" ""
),
1,
0
)
)
)
)"),4.0)</f>
        <v>4</v>
      </c>
      <c r="K2829" s="4">
        <f>IFERROR(__xludf.DUMMYFUNCTION("IF(H2829="""","""",
SUM(
ARRAYFORMULA(
IF(
REGEXMATCH(
"" ""&amp;H2829&amp;"" "",
"" ""&amp;Sentiment_Words!B$2:B3730&amp;"" ""
),
1,
0
)
)
)
)"),1.0)</f>
        <v>1</v>
      </c>
      <c r="L2829" s="7" t="str">
        <f t="shared" si="3"/>
        <v>Customer Support</v>
      </c>
      <c r="M2829" s="7" t="str">
        <f t="shared" si="4"/>
        <v>Positive</v>
      </c>
      <c r="N2829" s="7" t="str">
        <f>IFERROR(__xludf.DUMMYFUNCTION("LOWER(
TRIM(
REGEXREPLACE(B2829,""[^a-zA-Z\s]"","""")
)
)
"),"donna c")</f>
        <v>donna c</v>
      </c>
      <c r="O2829" s="7">
        <f t="shared" si="5"/>
        <v>1</v>
      </c>
      <c r="P2829" s="8" t="str">
        <f t="shared" si="6"/>
        <v>No</v>
      </c>
    </row>
    <row r="2830">
      <c r="A2830" s="4" t="s">
        <v>16</v>
      </c>
      <c r="B2830" s="4" t="s">
        <v>7885</v>
      </c>
      <c r="C2830" s="9">
        <v>44622.0</v>
      </c>
      <c r="D2830" s="10">
        <v>44622.0</v>
      </c>
      <c r="E2830" s="4" t="s">
        <v>7886</v>
      </c>
      <c r="F2830" s="4" t="s">
        <v>7887</v>
      </c>
      <c r="G2830" s="6" t="str">
        <f>IFERROR(__xludf.DUMMYFUNCTION("REGEXREPLACE(LOWER(F2830),""[^a-z\s]"","""")"),"for years i have been happy with petflow")</f>
        <v>for years i have been happy with petflow</v>
      </c>
      <c r="H2830" s="4" t="str">
        <f t="shared" si="1"/>
        <v>years i have been happy with petflow</v>
      </c>
      <c r="I2830" s="6">
        <f t="shared" si="2"/>
        <v>7</v>
      </c>
      <c r="J2830" s="6">
        <f>IFERROR(__xludf.DUMMYFUNCTION("IF(H2830="""","""",
SUM(
ARRAYFORMULA(
IF(
REGEXMATCH(
"" ""&amp;H2830&amp;"" "",
"" ""&amp;Sentiment_Words!A$2:A3730&amp;"" ""
),
1,
0
)
)
)
)"),1.0)</f>
        <v>1</v>
      </c>
      <c r="K2830" s="4">
        <f>IFERROR(__xludf.DUMMYFUNCTION("IF(H2830="""","""",
SUM(
ARRAYFORMULA(
IF(
REGEXMATCH(
"" ""&amp;H2830&amp;"" "",
"" ""&amp;Sentiment_Words!B$2:B3730&amp;"" ""
),
1,
0
)
)
)
)"),0.0)</f>
        <v>0</v>
      </c>
      <c r="L2830" s="7" t="str">
        <f t="shared" si="3"/>
        <v>Other</v>
      </c>
      <c r="M2830" s="7" t="str">
        <f t="shared" si="4"/>
        <v>Positive</v>
      </c>
      <c r="N2830" s="7" t="str">
        <f>IFERROR(__xludf.DUMMYFUNCTION("LOWER(
TRIM(
REGEXREPLACE(B2830,""[^a-zA-Z\s]"","""")
)
)
"),"amanda o")</f>
        <v>amanda o</v>
      </c>
      <c r="O2830" s="7">
        <f t="shared" si="5"/>
        <v>1</v>
      </c>
      <c r="P2830" s="8" t="str">
        <f t="shared" si="6"/>
        <v>No</v>
      </c>
    </row>
    <row r="2831">
      <c r="A2831" s="4" t="s">
        <v>16</v>
      </c>
      <c r="B2831" s="4" t="s">
        <v>7888</v>
      </c>
      <c r="C2831" s="9">
        <v>44622.0</v>
      </c>
      <c r="D2831" s="10">
        <v>44622.0</v>
      </c>
      <c r="E2831" s="4" t="s">
        <v>7721</v>
      </c>
      <c r="F2831" s="4" t="s">
        <v>7889</v>
      </c>
      <c r="G2831" s="6" t="str">
        <f>IFERROR(__xludf.DUMMYFUNCTION("REGEXREPLACE(LOWER(F2831),""[^a-z\s]"","""")"),"petflow prices are very competitive and their shipping speed is excellent i had a question once and received a reply within minutes not hours or days like some other companies very pleased with petflow")</f>
        <v>petflow prices are very competitive and their shipping speed is excellent i had a question once and received a reply within minutes not hours or days like some other companies very pleased with petflow</v>
      </c>
      <c r="H2831" s="4" t="str">
        <f t="shared" si="1"/>
        <v>petflow prices are very competitive their shipping speed excellent i had a question once received a reply within minutes not hours or days like some other companies very pleased with petflow</v>
      </c>
      <c r="I2831" s="6">
        <f t="shared" si="2"/>
        <v>31</v>
      </c>
      <c r="J2831" s="6">
        <f>IFERROR(__xludf.DUMMYFUNCTION("IF(H2831="""","""",
SUM(
ARRAYFORMULA(
IF(
REGEXMATCH(
"" ""&amp;H2831&amp;"" "",
"" ""&amp;Sentiment_Words!A$2:A3730&amp;"" ""
),
1,
0
)
)
)
)"),0.0)</f>
        <v>0</v>
      </c>
      <c r="K2831" s="4">
        <f>IFERROR(__xludf.DUMMYFUNCTION("IF(H2831="""","""",
SUM(
ARRAYFORMULA(
IF(
REGEXMATCH(
"" ""&amp;H2831&amp;"" "",
"" ""&amp;Sentiment_Words!B$2:B3730&amp;"" ""
),
1,
0
)
)
)
)"),0.0)</f>
        <v>0</v>
      </c>
      <c r="L2831" s="7" t="str">
        <f t="shared" si="3"/>
        <v>Other</v>
      </c>
      <c r="M2831" s="7" t="str">
        <f t="shared" si="4"/>
        <v>Neutral</v>
      </c>
      <c r="N2831" s="7" t="str">
        <f>IFERROR(__xludf.DUMMYFUNCTION("LOWER(
TRIM(
REGEXREPLACE(B2831,""[^a-zA-Z\s]"","""")
)
)
"),"barb v")</f>
        <v>barb v</v>
      </c>
      <c r="O2831" s="7">
        <f t="shared" si="5"/>
        <v>1</v>
      </c>
      <c r="P2831" s="8" t="str">
        <f t="shared" si="6"/>
        <v>No</v>
      </c>
    </row>
    <row r="2832">
      <c r="A2832" s="4" t="s">
        <v>16</v>
      </c>
      <c r="B2832" s="4" t="s">
        <v>7890</v>
      </c>
      <c r="C2832" s="9">
        <v>44622.0</v>
      </c>
      <c r="D2832" s="10">
        <v>44622.0</v>
      </c>
      <c r="E2832" s="4" t="s">
        <v>7891</v>
      </c>
      <c r="F2832" s="4" t="s">
        <v>7892</v>
      </c>
      <c r="G2832" s="6" t="str">
        <f>IFERROR(__xludf.DUMMYFUNCTION("REGEXREPLACE(LOWER(F2832),""[^a-z\s]"","""")"),"what a great company fast shipping great products when i searched many sites for my cats favorite brand with no luck i found petflow very happy i did would highly recommend")</f>
        <v>what a great company fast shipping great products when i searched many sites for my cats favorite brand with no luck i found petflow very happy i did would highly recommend</v>
      </c>
      <c r="H2832" s="4" t="str">
        <f t="shared" si="1"/>
        <v>what a great company fast shipping great products when i searched many sites my cats favorite brand with no luck i found petflow very happy i did would highly recommend</v>
      </c>
      <c r="I2832" s="6">
        <f t="shared" si="2"/>
        <v>30</v>
      </c>
      <c r="J2832" s="6">
        <f>IFERROR(__xludf.DUMMYFUNCTION("IF(H2832="""","""",
SUM(
ARRAYFORMULA(
IF(
REGEXMATCH(
"" ""&amp;H2832&amp;"" "",
"" ""&amp;Sentiment_Words!A$2:A3730&amp;"" ""
),
1,
0
)
)
)
)"),4.0)</f>
        <v>4</v>
      </c>
      <c r="K2832" s="4">
        <f>IFERROR(__xludf.DUMMYFUNCTION("IF(H2832="""","""",
SUM(
ARRAYFORMULA(
IF(
REGEXMATCH(
"" ""&amp;H2832&amp;"" "",
"" ""&amp;Sentiment_Words!B$2:B3730&amp;"" ""
),
1,
0
)
)
)
)"),0.0)</f>
        <v>0</v>
      </c>
      <c r="L2832" s="7" t="str">
        <f t="shared" si="3"/>
        <v>Other</v>
      </c>
      <c r="M2832" s="7" t="str">
        <f t="shared" si="4"/>
        <v>Positive</v>
      </c>
      <c r="N2832" s="7" t="str">
        <f>IFERROR(__xludf.DUMMYFUNCTION("LOWER(
TRIM(
REGEXREPLACE(B2832,""[^a-zA-Z\s]"","""")
)
)
"),"elaine pascoal")</f>
        <v>elaine pascoal</v>
      </c>
      <c r="O2832" s="7">
        <f t="shared" si="5"/>
        <v>1</v>
      </c>
      <c r="P2832" s="8" t="str">
        <f t="shared" si="6"/>
        <v>No</v>
      </c>
    </row>
    <row r="2833">
      <c r="A2833" s="4" t="s">
        <v>16</v>
      </c>
      <c r="B2833" s="4" t="s">
        <v>7893</v>
      </c>
      <c r="C2833" s="9">
        <v>44622.0</v>
      </c>
      <c r="D2833" s="10">
        <v>44622.0</v>
      </c>
      <c r="E2833" s="4" t="s">
        <v>7894</v>
      </c>
      <c r="F2833" s="4" t="s">
        <v>7895</v>
      </c>
      <c r="G2833" s="6" t="str">
        <f>IFERROR(__xludf.DUMMYFUNCTION("REGEXREPLACE(LOWER(F2833),""[^a-z\s]"","""")"),"some cans were damaged and dented it would be good if the products are in good shape prior to shipping")</f>
        <v>some cans were damaged and dented it would be good if the products are in good shape prior to shipping</v>
      </c>
      <c r="H2833" s="4" t="str">
        <f t="shared" si="1"/>
        <v>some cans were damaged dented it would be good if products are in good shape prior shipping</v>
      </c>
      <c r="I2833" s="6">
        <f t="shared" si="2"/>
        <v>17</v>
      </c>
      <c r="J2833" s="6">
        <f>IFERROR(__xludf.DUMMYFUNCTION("IF(H2833="""","""",
SUM(
ARRAYFORMULA(
IF(
REGEXMATCH(
"" ""&amp;H2833&amp;"" "",
"" ""&amp;Sentiment_Words!A$2:A3730&amp;"" ""
),
1,
0
)
)
)
)"),1.0)</f>
        <v>1</v>
      </c>
      <c r="K2833" s="4">
        <f>IFERROR(__xludf.DUMMYFUNCTION("IF(H2833="""","""",
SUM(
ARRAYFORMULA(
IF(
REGEXMATCH(
"" ""&amp;H2833&amp;"" "",
"" ""&amp;Sentiment_Words!B$2:B3730&amp;"" ""
),
1,
0
)
)
)
)"),0.0)</f>
        <v>0</v>
      </c>
      <c r="L2833" s="7" t="str">
        <f t="shared" si="3"/>
        <v>Other</v>
      </c>
      <c r="M2833" s="7" t="str">
        <f t="shared" si="4"/>
        <v>Positive</v>
      </c>
      <c r="N2833" s="7" t="str">
        <f>IFERROR(__xludf.DUMMYFUNCTION("LOWER(
TRIM(
REGEXREPLACE(B2833,""[^a-zA-Z\s]"","""")
)
)
"),"peppa")</f>
        <v>peppa</v>
      </c>
      <c r="O2833" s="7">
        <f t="shared" si="5"/>
        <v>1</v>
      </c>
      <c r="P2833" s="8" t="str">
        <f t="shared" si="6"/>
        <v>No</v>
      </c>
    </row>
    <row r="2834">
      <c r="A2834" s="4" t="s">
        <v>16</v>
      </c>
      <c r="B2834" s="4" t="s">
        <v>7896</v>
      </c>
      <c r="C2834" s="9">
        <v>44622.0</v>
      </c>
      <c r="D2834" s="10">
        <v>44622.0</v>
      </c>
      <c r="E2834" s="4" t="s">
        <v>4747</v>
      </c>
      <c r="F2834" s="4" t="s">
        <v>7897</v>
      </c>
      <c r="G2834" s="6" t="str">
        <f>IFERROR(__xludf.DUMMYFUNCTION("REGEXREPLACE(LOWER(F2834),""[^a-z\s]"","""")"),"i was so impressed the package was delivered within just a couple of days impeccable execution")</f>
        <v>i was so impressed the package was delivered within just a couple of days impeccable execution</v>
      </c>
      <c r="H2834" s="4" t="str">
        <f t="shared" si="1"/>
        <v>i was so impressed package was delivered within just a couple of days impeccable execution</v>
      </c>
      <c r="I2834" s="6">
        <f t="shared" si="2"/>
        <v>15</v>
      </c>
      <c r="J2834" s="6">
        <f>IFERROR(__xludf.DUMMYFUNCTION("IF(H2834="""","""",
SUM(
ARRAYFORMULA(
IF(
REGEXMATCH(
"" ""&amp;H2834&amp;"" "",
"" ""&amp;Sentiment_Words!A$2:A3730&amp;"" ""
),
1,
0
)
)
)
)"),2.0)</f>
        <v>2</v>
      </c>
      <c r="K2834" s="4">
        <f>IFERROR(__xludf.DUMMYFUNCTION("IF(H2834="""","""",
SUM(
ARRAYFORMULA(
IF(
REGEXMATCH(
"" ""&amp;H2834&amp;"" "",
"" ""&amp;Sentiment_Words!B$2:B3730&amp;"" ""
),
1,
0
)
)
)
)"),0.0)</f>
        <v>0</v>
      </c>
      <c r="L2834" s="7" t="str">
        <f t="shared" si="3"/>
        <v>Service Recovery</v>
      </c>
      <c r="M2834" s="7" t="str">
        <f t="shared" si="4"/>
        <v>Positive</v>
      </c>
      <c r="N2834" s="7" t="str">
        <f>IFERROR(__xludf.DUMMYFUNCTION("LOWER(
TRIM(
REGEXREPLACE(B2834,""[^a-zA-Z\s]"","""")
)
)
"),"milagros")</f>
        <v>milagros</v>
      </c>
      <c r="O2834" s="7">
        <f t="shared" si="5"/>
        <v>1</v>
      </c>
      <c r="P2834" s="8" t="str">
        <f t="shared" si="6"/>
        <v>No</v>
      </c>
    </row>
    <row r="2835">
      <c r="A2835" s="4" t="s">
        <v>16</v>
      </c>
      <c r="B2835" s="4" t="s">
        <v>7898</v>
      </c>
      <c r="C2835" s="9">
        <v>44622.0</v>
      </c>
      <c r="D2835" s="10">
        <v>44622.0</v>
      </c>
      <c r="E2835" s="4" t="s">
        <v>7899</v>
      </c>
      <c r="F2835" s="4" t="s">
        <v>7900</v>
      </c>
      <c r="G2835" s="6" t="str">
        <f>IFERROR(__xludf.DUMMYFUNCTION("REGEXREPLACE(LOWER(F2835),""[^a-z\s]"","""")"),"not happy back order food reordered and delivered without the discount thinking about switching to chewy")</f>
        <v>not happy back order food reordered and delivered without the discount thinking about switching to chewy</v>
      </c>
      <c r="H2835" s="4" t="str">
        <f t="shared" si="1"/>
        <v>not happy back order food reordered delivered without discount thinking about switching chewy</v>
      </c>
      <c r="I2835" s="6">
        <f t="shared" si="2"/>
        <v>13</v>
      </c>
      <c r="J2835" s="6">
        <f>IFERROR(__xludf.DUMMYFUNCTION("IF(H2835="""","""",
SUM(
ARRAYFORMULA(
IF(
REGEXMATCH(
"" ""&amp;H2835&amp;"" "",
"" ""&amp;Sentiment_Words!A$2:A3730&amp;"" ""
),
1,
0
)
)
)
)"),2.0)</f>
        <v>2</v>
      </c>
      <c r="K2835" s="4">
        <f>IFERROR(__xludf.DUMMYFUNCTION("IF(H2835="""","""",
SUM(
ARRAYFORMULA(
IF(
REGEXMATCH(
"" ""&amp;H2835&amp;"" "",
"" ""&amp;Sentiment_Words!B$2:B3730&amp;"" ""
),
1,
0
)
)
)
)"),0.0)</f>
        <v>0</v>
      </c>
      <c r="L2835" s="7" t="str">
        <f t="shared" si="3"/>
        <v>Other</v>
      </c>
      <c r="M2835" s="7" t="str">
        <f t="shared" si="4"/>
        <v>Positive</v>
      </c>
      <c r="N2835" s="7" t="str">
        <f>IFERROR(__xludf.DUMMYFUNCTION("LOWER(
TRIM(
REGEXREPLACE(B2835,""[^a-zA-Z\s]"","""")
)
)
"),"cindy hallen")</f>
        <v>cindy hallen</v>
      </c>
      <c r="O2835" s="7">
        <f t="shared" si="5"/>
        <v>1</v>
      </c>
      <c r="P2835" s="8" t="str">
        <f t="shared" si="6"/>
        <v>No</v>
      </c>
    </row>
    <row r="2836">
      <c r="A2836" s="4" t="s">
        <v>16</v>
      </c>
      <c r="B2836" s="4" t="s">
        <v>7901</v>
      </c>
      <c r="C2836" s="9">
        <v>44622.0</v>
      </c>
      <c r="D2836" s="10">
        <v>44622.0</v>
      </c>
      <c r="E2836" s="4" t="s">
        <v>7902</v>
      </c>
      <c r="F2836" s="4" t="s">
        <v>7903</v>
      </c>
      <c r="G2836" s="6" t="str">
        <f>IFERROR(__xludf.DUMMYFUNCTION("REGEXREPLACE(LOWER(F2836),""[^a-z\s]"","""")"),"hard to give a review when i havent received my order yet because it has been delayed  times i know that times are hard for a lot of companies so im going to keep my fingers crossed and hope the cat food gets here before our cats eat us ")</f>
        <v>hard to give a review when i havent received my order yet because it has been delayed  times i know that times are hard for a lot of companies so im going to keep my fingers crossed and hope the cat food gets here before our cats eat us </v>
      </c>
      <c r="H2836" s="4" t="str">
        <f t="shared" si="1"/>
        <v>hard give a review when i havent received my order yet because it has been delayed times i know that times are hard a lot of companies so im going keep my fingers crossed hope cat food gets here before our cats eat us</v>
      </c>
      <c r="I2836" s="6">
        <f t="shared" si="2"/>
        <v>44</v>
      </c>
      <c r="J2836" s="6">
        <f>IFERROR(__xludf.DUMMYFUNCTION("IF(H2836="""","""",
SUM(
ARRAYFORMULA(
IF(
REGEXMATCH(
"" ""&amp;H2836&amp;"" "",
"" ""&amp;Sentiment_Words!A$2:A3730&amp;"" ""
),
1,
0
)
)
)
)"),0.0)</f>
        <v>0</v>
      </c>
      <c r="K2836" s="4">
        <f>IFERROR(__xludf.DUMMYFUNCTION("IF(H2836="""","""",
SUM(
ARRAYFORMULA(
IF(
REGEXMATCH(
"" ""&amp;H2836&amp;"" "",
"" ""&amp;Sentiment_Words!B$2:B3730&amp;"" ""
),
1,
0
)
)
)
)"),1.0)</f>
        <v>1</v>
      </c>
      <c r="L2836" s="7" t="str">
        <f t="shared" si="3"/>
        <v>Fulfillment &amp; Shipping</v>
      </c>
      <c r="M2836" s="7" t="str">
        <f t="shared" si="4"/>
        <v>Negative</v>
      </c>
      <c r="N2836" s="7" t="str">
        <f>IFERROR(__xludf.DUMMYFUNCTION("LOWER(
TRIM(
REGEXREPLACE(B2836,""[^a-zA-Z\s]"","""")
)
)
"),"victoria blevins")</f>
        <v>victoria blevins</v>
      </c>
      <c r="O2836" s="7">
        <f t="shared" si="5"/>
        <v>1</v>
      </c>
      <c r="P2836" s="8" t="str">
        <f t="shared" si="6"/>
        <v>No</v>
      </c>
    </row>
    <row r="2837">
      <c r="A2837" s="4" t="s">
        <v>16</v>
      </c>
      <c r="B2837" s="4" t="s">
        <v>7904</v>
      </c>
      <c r="C2837" s="9">
        <v>44622.0</v>
      </c>
      <c r="D2837" s="10">
        <v>44622.0</v>
      </c>
      <c r="E2837" s="4" t="s">
        <v>7905</v>
      </c>
      <c r="F2837" s="4" t="s">
        <v>7906</v>
      </c>
      <c r="G2837" s="6" t="str">
        <f>IFERROR(__xludf.DUMMYFUNCTION("REGEXREPLACE(LOWER(F2837),""[^a-z\s]"","""")"),"quality dog food good prices fast delivery")</f>
        <v>quality dog food good prices fast delivery</v>
      </c>
      <c r="H2837" s="4" t="str">
        <f t="shared" si="1"/>
        <v>quality dog food good prices fast delivery</v>
      </c>
      <c r="I2837" s="6">
        <f t="shared" si="2"/>
        <v>7</v>
      </c>
      <c r="J2837" s="6">
        <f>IFERROR(__xludf.DUMMYFUNCTION("IF(H2837="""","""",
SUM(
ARRAYFORMULA(
IF(
REGEXMATCH(
"" ""&amp;H2837&amp;"" "",
"" ""&amp;Sentiment_Words!A$2:A3730&amp;"" ""
),
1,
0
)
)
)
)"),3.0)</f>
        <v>3</v>
      </c>
      <c r="K2837" s="4">
        <f>IFERROR(__xludf.DUMMYFUNCTION("IF(H2837="""","""",
SUM(
ARRAYFORMULA(
IF(
REGEXMATCH(
"" ""&amp;H2837&amp;"" "",
"" ""&amp;Sentiment_Words!B$2:B3730&amp;"" ""
),
1,
0
)
)
)
)"),0.0)</f>
        <v>0</v>
      </c>
      <c r="L2837" s="7" t="str">
        <f t="shared" si="3"/>
        <v>Other</v>
      </c>
      <c r="M2837" s="7" t="str">
        <f t="shared" si="4"/>
        <v>Positive</v>
      </c>
      <c r="N2837" s="7" t="str">
        <f>IFERROR(__xludf.DUMMYFUNCTION("LOWER(
TRIM(
REGEXREPLACE(B2837,""[^a-zA-Z\s]"","""")
)
)
"),"cj")</f>
        <v>cj</v>
      </c>
      <c r="O2837" s="7">
        <f t="shared" si="5"/>
        <v>1</v>
      </c>
      <c r="P2837" s="8" t="str">
        <f t="shared" si="6"/>
        <v>No</v>
      </c>
    </row>
    <row r="2838">
      <c r="A2838" s="4" t="s">
        <v>16</v>
      </c>
      <c r="B2838" s="4" t="s">
        <v>7907</v>
      </c>
      <c r="C2838" s="9">
        <v>44622.0</v>
      </c>
      <c r="D2838" s="10">
        <v>44622.0</v>
      </c>
      <c r="E2838" s="4" t="s">
        <v>7908</v>
      </c>
      <c r="F2838" s="4" t="s">
        <v>7909</v>
      </c>
      <c r="G2838" s="6" t="str">
        <f>IFERROR(__xludf.DUMMYFUNCTION("REGEXREPLACE(LOWER(F2838),""[^a-z\s]"","""")"),"they always have what i need in stock at reasonable prices and i usually receive my order within a week great customer service too")</f>
        <v>they always have what i need in stock at reasonable prices and i usually receive my order within a week great customer service too</v>
      </c>
      <c r="H2838" s="4" t="str">
        <f t="shared" si="1"/>
        <v>they always have what i need in stock at reasonable prices i usually receive my order within a week great customer service too</v>
      </c>
      <c r="I2838" s="6">
        <f t="shared" si="2"/>
        <v>23</v>
      </c>
      <c r="J2838" s="6">
        <f>IFERROR(__xludf.DUMMYFUNCTION("IF(H2838="""","""",
SUM(
ARRAYFORMULA(
IF(
REGEXMATCH(
"" ""&amp;H2838&amp;"" "",
"" ""&amp;Sentiment_Words!A$2:A3730&amp;"" ""
),
1,
0
)
)
)
)"),2.0)</f>
        <v>2</v>
      </c>
      <c r="K2838" s="4">
        <f>IFERROR(__xludf.DUMMYFUNCTION("IF(H2838="""","""",
SUM(
ARRAYFORMULA(
IF(
REGEXMATCH(
"" ""&amp;H2838&amp;"" "",
"" ""&amp;Sentiment_Words!B$2:B3730&amp;"" ""
),
1,
0
)
)
)
)"),1.0)</f>
        <v>1</v>
      </c>
      <c r="L2838" s="7" t="str">
        <f t="shared" si="3"/>
        <v>Customer Support</v>
      </c>
      <c r="M2838" s="7" t="str">
        <f t="shared" si="4"/>
        <v>Positive</v>
      </c>
      <c r="N2838" s="7" t="str">
        <f>IFERROR(__xludf.DUMMYFUNCTION("LOWER(
TRIM(
REGEXREPLACE(B2838,""[^a-zA-Z\s]"","""")
)
)
"),"cheyenne")</f>
        <v>cheyenne</v>
      </c>
      <c r="O2838" s="7">
        <f t="shared" si="5"/>
        <v>1</v>
      </c>
      <c r="P2838" s="8" t="str">
        <f t="shared" si="6"/>
        <v>No</v>
      </c>
    </row>
    <row r="2839">
      <c r="A2839" s="4" t="s">
        <v>16</v>
      </c>
      <c r="B2839" s="4" t="s">
        <v>7910</v>
      </c>
      <c r="C2839" s="9">
        <v>44622.0</v>
      </c>
      <c r="D2839" s="10">
        <v>44622.0</v>
      </c>
      <c r="E2839" s="4" t="s">
        <v>7911</v>
      </c>
      <c r="F2839" s="4" t="s">
        <v>7912</v>
      </c>
      <c r="G2839" s="6" t="str">
        <f>IFERROR(__xludf.DUMMYFUNCTION("REGEXREPLACE(LOWER(F2839),""[^a-z\s]"","""")"),"love it great place to shop")</f>
        <v>love it great place to shop</v>
      </c>
      <c r="H2839" s="4" t="str">
        <f t="shared" si="1"/>
        <v>love it great place shop</v>
      </c>
      <c r="I2839" s="6">
        <f t="shared" si="2"/>
        <v>5</v>
      </c>
      <c r="J2839" s="6">
        <f>IFERROR(__xludf.DUMMYFUNCTION("IF(H2839="""","""",
SUM(
ARRAYFORMULA(
IF(
REGEXMATCH(
"" ""&amp;H2839&amp;"" "",
"" ""&amp;Sentiment_Words!A$2:A3730&amp;"" ""
),
1,
0
)
)
)
)"),2.0)</f>
        <v>2</v>
      </c>
      <c r="K2839" s="4">
        <f>IFERROR(__xludf.DUMMYFUNCTION("IF(H2839="""","""",
SUM(
ARRAYFORMULA(
IF(
REGEXMATCH(
"" ""&amp;H2839&amp;"" "",
"" ""&amp;Sentiment_Words!B$2:B3730&amp;"" ""
),
1,
0
)
)
)
)"),0.0)</f>
        <v>0</v>
      </c>
      <c r="L2839" s="7" t="str">
        <f t="shared" si="3"/>
        <v>Other</v>
      </c>
      <c r="M2839" s="7" t="str">
        <f t="shared" si="4"/>
        <v>Positive</v>
      </c>
      <c r="N2839" s="7" t="str">
        <f>IFERROR(__xludf.DUMMYFUNCTION("LOWER(
TRIM(
REGEXREPLACE(B2839,""[^a-zA-Z\s]"","""")
)
)
"),"samantha skinner")</f>
        <v>samantha skinner</v>
      </c>
      <c r="O2839" s="7">
        <f t="shared" si="5"/>
        <v>1</v>
      </c>
      <c r="P2839" s="8" t="str">
        <f t="shared" si="6"/>
        <v>No</v>
      </c>
    </row>
    <row r="2840">
      <c r="A2840" s="4" t="s">
        <v>16</v>
      </c>
      <c r="B2840" s="4" t="s">
        <v>7913</v>
      </c>
      <c r="C2840" s="9">
        <v>44621.0</v>
      </c>
      <c r="D2840" s="10">
        <v>44621.0</v>
      </c>
      <c r="E2840" s="4" t="s">
        <v>7914</v>
      </c>
      <c r="F2840" s="4" t="s">
        <v>7915</v>
      </c>
      <c r="G2840" s="6" t="str">
        <f>IFERROR(__xludf.DUMMYFUNCTION("REGEXREPLACE(LOWER(F2840),""[^a-z\s]"","""")"),"every time i reach out to petflow they resolve an issue almost instantaneously my cat food cans came completely dented and partially opened they replaced all of them quickly my  off coupon didnt go through they credited it immediately their customer servi"&amp;"ce is the best")</f>
        <v>every time i reach out to petflow they resolve an issue almost instantaneously my cat food cans came completely dented and partially opened they replaced all of them quickly my  off coupon didnt go through they credited it immediately their customer service is the best</v>
      </c>
      <c r="H2840" s="4" t="str">
        <f t="shared" si="1"/>
        <v>every time i reach out petflow they resolve an issue almost instantaneously my cat food cans came completely dented partially opened they replaced all of them quickly my off coupon didnt go through they credited it immediately their customer service best</v>
      </c>
      <c r="I2840" s="6">
        <f t="shared" si="2"/>
        <v>41</v>
      </c>
      <c r="J2840" s="6">
        <f>IFERROR(__xludf.DUMMYFUNCTION("IF(H2840="""","""",
SUM(
ARRAYFORMULA(
IF(
REGEXMATCH(
"" ""&amp;H2840&amp;"" "",
"" ""&amp;Sentiment_Words!A$2:A3730&amp;"" ""
),
1,
0
)
)
)
)"),1.0)</f>
        <v>1</v>
      </c>
      <c r="K2840" s="4">
        <f>IFERROR(__xludf.DUMMYFUNCTION("IF(H2840="""","""",
SUM(
ARRAYFORMULA(
IF(
REGEXMATCH(
"" ""&amp;H2840&amp;"" "",
"" ""&amp;Sentiment_Words!B$2:B3730&amp;"" ""
),
1,
0
)
)
)
)"),2.0)</f>
        <v>2</v>
      </c>
      <c r="L2840" s="7" t="str">
        <f t="shared" si="3"/>
        <v>Customer Support</v>
      </c>
      <c r="M2840" s="7" t="str">
        <f t="shared" si="4"/>
        <v>Negative</v>
      </c>
      <c r="N2840" s="7" t="str">
        <f>IFERROR(__xludf.DUMMYFUNCTION("LOWER(
TRIM(
REGEXREPLACE(B2840,""[^a-zA-Z\s]"","""")
)
)
"),"gary dexter")</f>
        <v>gary dexter</v>
      </c>
      <c r="O2840" s="7">
        <f t="shared" si="5"/>
        <v>1</v>
      </c>
      <c r="P2840" s="8" t="str">
        <f t="shared" si="6"/>
        <v>No</v>
      </c>
    </row>
    <row r="2841">
      <c r="A2841" s="4" t="s">
        <v>16</v>
      </c>
      <c r="B2841" s="4" t="s">
        <v>7916</v>
      </c>
      <c r="C2841" s="9">
        <v>44621.0</v>
      </c>
      <c r="D2841" s="10">
        <v>44621.0</v>
      </c>
      <c r="E2841" s="4" t="s">
        <v>7917</v>
      </c>
      <c r="F2841" s="4" t="s">
        <v>7918</v>
      </c>
      <c r="G2841" s="6" t="str">
        <f>IFERROR(__xludf.DUMMYFUNCTION("REGEXREPLACE(LOWER(F2841),""[^a-z\s]"","""")"),"the cat food i bought to help my cat lose weight is inferior to purina products in every measurable metric these varieties contain ingredients that should never be fed to a cat")</f>
        <v>the cat food i bought to help my cat lose weight is inferior to purina products in every measurable metric these varieties contain ingredients that should never be fed to a cat</v>
      </c>
      <c r="H2841" s="4" t="str">
        <f t="shared" si="1"/>
        <v>cat food i bought help my cat lose weight inferior purina products in every measurable metric these varieties contain ingredients that should never be fed a cat</v>
      </c>
      <c r="I2841" s="6">
        <f t="shared" si="2"/>
        <v>27</v>
      </c>
      <c r="J2841" s="6">
        <f>IFERROR(__xludf.DUMMYFUNCTION("IF(H2841="""","""",
SUM(
ARRAYFORMULA(
IF(
REGEXMATCH(
"" ""&amp;H2841&amp;"" "",
"" ""&amp;Sentiment_Words!A$2:A3730&amp;"" ""
),
1,
0
)
)
)
)"),0.0)</f>
        <v>0</v>
      </c>
      <c r="K2841" s="4">
        <f>IFERROR(__xludf.DUMMYFUNCTION("IF(H2841="""","""",
SUM(
ARRAYFORMULA(
IF(
REGEXMATCH(
"" ""&amp;H2841&amp;"" "",
"" ""&amp;Sentiment_Words!B$2:B3730&amp;"" ""
),
1,
0
)
)
)
)"),0.0)</f>
        <v>0</v>
      </c>
      <c r="L2841" s="7" t="str">
        <f t="shared" si="3"/>
        <v>Other</v>
      </c>
      <c r="M2841" s="7" t="str">
        <f t="shared" si="4"/>
        <v>Neutral</v>
      </c>
      <c r="N2841" s="7" t="str">
        <f>IFERROR(__xludf.DUMMYFUNCTION("LOWER(
TRIM(
REGEXREPLACE(B2841,""[^a-zA-Z\s]"","""")
)
)
"),"megan m")</f>
        <v>megan m</v>
      </c>
      <c r="O2841" s="7">
        <f t="shared" si="5"/>
        <v>1</v>
      </c>
      <c r="P2841" s="8" t="str">
        <f t="shared" si="6"/>
        <v>No</v>
      </c>
    </row>
    <row r="2842">
      <c r="A2842" s="4" t="s">
        <v>16</v>
      </c>
      <c r="B2842" s="4" t="s">
        <v>7919</v>
      </c>
      <c r="C2842" s="9">
        <v>44621.0</v>
      </c>
      <c r="D2842" s="10">
        <v>44621.0</v>
      </c>
      <c r="E2842" s="4" t="s">
        <v>7920</v>
      </c>
      <c r="F2842" s="4" t="s">
        <v>7921</v>
      </c>
      <c r="G2842" s="6" t="str">
        <f>IFERROR(__xludf.DUMMYFUNCTION("REGEXREPLACE(LOWER(F2842),""[^a-z\s]"","""")"),"great service great quality great prices")</f>
        <v>great service great quality great prices</v>
      </c>
      <c r="H2842" s="4" t="str">
        <f t="shared" si="1"/>
        <v>great service great quality great prices</v>
      </c>
      <c r="I2842" s="6">
        <f t="shared" si="2"/>
        <v>6</v>
      </c>
      <c r="J2842" s="6">
        <f>IFERROR(__xludf.DUMMYFUNCTION("IF(H2842="""","""",
SUM(
ARRAYFORMULA(
IF(
REGEXMATCH(
"" ""&amp;H2842&amp;"" "",
"" ""&amp;Sentiment_Words!A$2:A3730&amp;"" ""
),
1,
0
)
)
)
)"),1.0)</f>
        <v>1</v>
      </c>
      <c r="K2842" s="4">
        <f>IFERROR(__xludf.DUMMYFUNCTION("IF(H2842="""","""",
SUM(
ARRAYFORMULA(
IF(
REGEXMATCH(
"" ""&amp;H2842&amp;"" "",
"" ""&amp;Sentiment_Words!B$2:B3730&amp;"" ""
),
1,
0
)
)
)
)"),0.0)</f>
        <v>0</v>
      </c>
      <c r="L2842" s="7" t="str">
        <f t="shared" si="3"/>
        <v>Customer Support</v>
      </c>
      <c r="M2842" s="7" t="str">
        <f t="shared" si="4"/>
        <v>Positive</v>
      </c>
      <c r="N2842" s="7" t="str">
        <f>IFERROR(__xludf.DUMMYFUNCTION("LOWER(
TRIM(
REGEXREPLACE(B2842,""[^a-zA-Z\s]"","""")
)
)
"),"alan zeller")</f>
        <v>alan zeller</v>
      </c>
      <c r="O2842" s="7">
        <f t="shared" si="5"/>
        <v>1</v>
      </c>
      <c r="P2842" s="8" t="str">
        <f t="shared" si="6"/>
        <v>No</v>
      </c>
    </row>
    <row r="2843">
      <c r="A2843" s="4" t="s">
        <v>16</v>
      </c>
      <c r="B2843" s="4" t="s">
        <v>7922</v>
      </c>
      <c r="C2843" s="9">
        <v>44621.0</v>
      </c>
      <c r="D2843" s="10">
        <v>44621.0</v>
      </c>
      <c r="E2843" s="4" t="s">
        <v>623</v>
      </c>
      <c r="F2843" s="4" t="s">
        <v>7923</v>
      </c>
      <c r="G2843" s="6" t="str">
        <f>IFERROR(__xludf.DUMMYFUNCTION("REGEXREPLACE(LOWER(F2843),""[^a-z\s]"","""")"),"the instinct dog food is great howeer the fedex shipping sucks the package sat on the truck for  days being listed as out for delivery as common occurrence i would order from petflow more if they did not use fedex")</f>
        <v>the instinct dog food is great howeer the fedex shipping sucks the package sat on the truck for  days being listed as out for delivery as common occurrence i would order from petflow more if they did not use fedex</v>
      </c>
      <c r="H2843" s="4" t="str">
        <f t="shared" si="1"/>
        <v>instinct dog food great howeer fedex shipping sucks package sat on truck days being listed as out delivery as common occurrence i would order from petflow more if they did not use fedex</v>
      </c>
      <c r="I2843" s="6">
        <f t="shared" si="2"/>
        <v>33</v>
      </c>
      <c r="J2843" s="6">
        <f>IFERROR(__xludf.DUMMYFUNCTION("IF(H2843="""","""",
SUM(
ARRAYFORMULA(
IF(
REGEXMATCH(
"" ""&amp;H2843&amp;"" "",
"" ""&amp;Sentiment_Words!A$2:A3730&amp;"" ""
),
1,
0
)
)
)
)"),1.0)</f>
        <v>1</v>
      </c>
      <c r="K2843" s="4">
        <f>IFERROR(__xludf.DUMMYFUNCTION("IF(H2843="""","""",
SUM(
ARRAYFORMULA(
IF(
REGEXMATCH(
"" ""&amp;H2843&amp;"" "",
"" ""&amp;Sentiment_Words!B$2:B3730&amp;"" ""
),
1,
0
)
)
)
)"),0.0)</f>
        <v>0</v>
      </c>
      <c r="L2843" s="7" t="str">
        <f t="shared" si="3"/>
        <v>Other</v>
      </c>
      <c r="M2843" s="7" t="str">
        <f t="shared" si="4"/>
        <v>Positive</v>
      </c>
      <c r="N2843" s="7" t="str">
        <f>IFERROR(__xludf.DUMMYFUNCTION("LOWER(
TRIM(
REGEXREPLACE(B2843,""[^a-zA-Z\s]"","""")
)
)
"),"charles herold")</f>
        <v>charles herold</v>
      </c>
      <c r="O2843" s="7">
        <f t="shared" si="5"/>
        <v>1</v>
      </c>
      <c r="P2843" s="8" t="str">
        <f t="shared" si="6"/>
        <v>No</v>
      </c>
    </row>
    <row r="2844">
      <c r="A2844" s="4" t="s">
        <v>16</v>
      </c>
      <c r="B2844" s="4" t="s">
        <v>7924</v>
      </c>
      <c r="C2844" s="9">
        <v>44621.0</v>
      </c>
      <c r="D2844" s="10">
        <v>44621.0</v>
      </c>
      <c r="E2844" s="4" t="s">
        <v>7925</v>
      </c>
      <c r="F2844" s="4" t="s">
        <v>7926</v>
      </c>
      <c r="G2844" s="6" t="str">
        <f>IFERROR(__xludf.DUMMYFUNCTION("REGEXREPLACE(LOWER(F2844),""[^a-z\s]"","""")"),"when i order my food is always delivered very quickly without any delay or problem we have been getting our two dogs food from petflow for years now and are very happy with the service we have received")</f>
        <v>when i order my food is always delivered very quickly without any delay or problem we have been getting our two dogs food from petflow for years now and are very happy with the service we have received</v>
      </c>
      <c r="H2844" s="4" t="str">
        <f t="shared" si="1"/>
        <v>when i order my food always delivered very quickly without any delay or problem we have been getting our two dogs food from petflow years now are very happy with service we have received</v>
      </c>
      <c r="I2844" s="6">
        <f t="shared" si="2"/>
        <v>34</v>
      </c>
      <c r="J2844" s="6">
        <f>IFERROR(__xludf.DUMMYFUNCTION("IF(H2844="""","""",
SUM(
ARRAYFORMULA(
IF(
REGEXMATCH(
"" ""&amp;H2844&amp;"" "",
"" ""&amp;Sentiment_Words!A$2:A3730&amp;"" ""
),
1,
0
)
)
)
)"),2.0)</f>
        <v>2</v>
      </c>
      <c r="K2844" s="4">
        <f>IFERROR(__xludf.DUMMYFUNCTION("IF(H2844="""","""",
SUM(
ARRAYFORMULA(
IF(
REGEXMATCH(
"" ""&amp;H2844&amp;"" "",
"" ""&amp;Sentiment_Words!B$2:B3730&amp;"" ""
),
1,
0
)
)
)
)"),2.0)</f>
        <v>2</v>
      </c>
      <c r="L2844" s="7" t="str">
        <f t="shared" si="3"/>
        <v>Customer Support</v>
      </c>
      <c r="M2844" s="7" t="str">
        <f t="shared" si="4"/>
        <v>Neutral</v>
      </c>
      <c r="N2844" s="7" t="str">
        <f>IFERROR(__xludf.DUMMYFUNCTION("LOWER(
TRIM(
REGEXREPLACE(B2844,""[^a-zA-Z\s]"","""")
)
)
"),"susan whitakerhill")</f>
        <v>susan whitakerhill</v>
      </c>
      <c r="O2844" s="7">
        <f t="shared" si="5"/>
        <v>1</v>
      </c>
      <c r="P2844" s="8" t="str">
        <f t="shared" si="6"/>
        <v>No</v>
      </c>
    </row>
    <row r="2845">
      <c r="A2845" s="4" t="s">
        <v>16</v>
      </c>
      <c r="B2845" s="4" t="s">
        <v>7927</v>
      </c>
      <c r="C2845" s="9">
        <v>44621.0</v>
      </c>
      <c r="D2845" s="10">
        <v>44621.0</v>
      </c>
      <c r="E2845" s="4" t="s">
        <v>7928</v>
      </c>
      <c r="F2845" s="4" t="s">
        <v>7929</v>
      </c>
      <c r="G2845" s="6" t="str">
        <f>IFERROR(__xludf.DUMMYFUNCTION("REGEXREPLACE(LOWER(F2845),""[^a-z\s]"","""")"),"i really enjoy petflow you have all the dog food products i need  its delivered in a very timely fashion")</f>
        <v>i really enjoy petflow you have all the dog food products i need  its delivered in a very timely fashion</v>
      </c>
      <c r="H2845" s="4" t="str">
        <f t="shared" si="1"/>
        <v>i really enjoy petflow you have all dog food products i need its delivered in a very timely fashion</v>
      </c>
      <c r="I2845" s="6">
        <f t="shared" si="2"/>
        <v>19</v>
      </c>
      <c r="J2845" s="6">
        <f>IFERROR(__xludf.DUMMYFUNCTION("IF(H2845="""","""",
SUM(
ARRAYFORMULA(
IF(
REGEXMATCH(
"" ""&amp;H2845&amp;"" "",
"" ""&amp;Sentiment_Words!A$2:A3730&amp;"" ""
),
1,
0
)
)
)
)"),1.0)</f>
        <v>1</v>
      </c>
      <c r="K2845" s="4">
        <f>IFERROR(__xludf.DUMMYFUNCTION("IF(H2845="""","""",
SUM(
ARRAYFORMULA(
IF(
REGEXMATCH(
"" ""&amp;H2845&amp;"" "",
"" ""&amp;Sentiment_Words!B$2:B3730&amp;"" ""
),
1,
0
)
)
)
)"),0.0)</f>
        <v>0</v>
      </c>
      <c r="L2845" s="7" t="str">
        <f t="shared" si="3"/>
        <v>Other</v>
      </c>
      <c r="M2845" s="7" t="str">
        <f t="shared" si="4"/>
        <v>Positive</v>
      </c>
      <c r="N2845" s="7" t="str">
        <f>IFERROR(__xludf.DUMMYFUNCTION("LOWER(
TRIM(
REGEXREPLACE(B2845,""[^a-zA-Z\s]"","""")
)
)
"),"gail mitchell")</f>
        <v>gail mitchell</v>
      </c>
      <c r="O2845" s="7">
        <f t="shared" si="5"/>
        <v>1</v>
      </c>
      <c r="P2845" s="8" t="str">
        <f t="shared" si="6"/>
        <v>No</v>
      </c>
    </row>
    <row r="2846">
      <c r="A2846" s="4" t="s">
        <v>16</v>
      </c>
      <c r="B2846" s="4" t="s">
        <v>7930</v>
      </c>
      <c r="C2846" s="9">
        <v>44621.0</v>
      </c>
      <c r="D2846" s="10">
        <v>44621.0</v>
      </c>
      <c r="E2846" s="4" t="s">
        <v>7931</v>
      </c>
      <c r="F2846" s="4" t="s">
        <v>7932</v>
      </c>
      <c r="G2846" s="6" t="str">
        <f>IFERROR(__xludf.DUMMYFUNCTION("REGEXREPLACE(LOWER(F2846),""[^a-z\s]"","""")"),"i wish you could get expiration dates on products before they ship especially on auto ships")</f>
        <v>i wish you could get expiration dates on products before they ship especially on auto ships</v>
      </c>
      <c r="H2846" s="4" t="str">
        <f t="shared" si="1"/>
        <v>i wish you could get expiration dates on products before they ship especially on auto ships</v>
      </c>
      <c r="I2846" s="6">
        <f t="shared" si="2"/>
        <v>16</v>
      </c>
      <c r="J2846" s="6">
        <f>IFERROR(__xludf.DUMMYFUNCTION("IF(H2846="""","""",
SUM(
ARRAYFORMULA(
IF(
REGEXMATCH(
"" ""&amp;H2846&amp;"" "",
"" ""&amp;Sentiment_Words!A$2:A3730&amp;"" ""
),
1,
0
)
)
)
)"),0.0)</f>
        <v>0</v>
      </c>
      <c r="K2846" s="4">
        <f>IFERROR(__xludf.DUMMYFUNCTION("IF(H2846="""","""",
SUM(
ARRAYFORMULA(
IF(
REGEXMATCH(
"" ""&amp;H2846&amp;"" "",
"" ""&amp;Sentiment_Words!B$2:B3730&amp;"" ""
),
1,
0
)
)
)
)"),0.0)</f>
        <v>0</v>
      </c>
      <c r="L2846" s="7" t="str">
        <f t="shared" si="3"/>
        <v>Other</v>
      </c>
      <c r="M2846" s="7" t="str">
        <f t="shared" si="4"/>
        <v>Neutral</v>
      </c>
      <c r="N2846" s="7" t="str">
        <f>IFERROR(__xludf.DUMMYFUNCTION("LOWER(
TRIM(
REGEXREPLACE(B2846,""[^a-zA-Z\s]"","""")
)
)
"),"carmen ruby beck")</f>
        <v>carmen ruby beck</v>
      </c>
      <c r="O2846" s="7">
        <f t="shared" si="5"/>
        <v>1</v>
      </c>
      <c r="P2846" s="8" t="str">
        <f t="shared" si="6"/>
        <v>No</v>
      </c>
    </row>
    <row r="2847">
      <c r="A2847" s="4" t="s">
        <v>16</v>
      </c>
      <c r="B2847" s="4" t="s">
        <v>1335</v>
      </c>
      <c r="C2847" s="9">
        <v>44621.0</v>
      </c>
      <c r="D2847" s="10">
        <v>44621.0</v>
      </c>
      <c r="E2847" s="4" t="s">
        <v>7933</v>
      </c>
      <c r="F2847" s="4" t="s">
        <v>7934</v>
      </c>
      <c r="G2847" s="6" t="str">
        <f>IFERROR(__xludf.DUMMYFUNCTION("REGEXREPLACE(LOWER(F2847),""[^a-z\s]"","""")"),"as a new customer with  cats and a feral family of cats ive been pleased with the product selection and the timely shipping thanks")</f>
        <v>as a new customer with  cats and a feral family of cats ive been pleased with the product selection and the timely shipping thanks</v>
      </c>
      <c r="H2847" s="4" t="str">
        <f t="shared" si="1"/>
        <v>as a new customer with cats a feral family of cats ive been pleased with product selection timely shipping thanks</v>
      </c>
      <c r="I2847" s="6">
        <f t="shared" si="2"/>
        <v>20</v>
      </c>
      <c r="J2847" s="6">
        <f>IFERROR(__xludf.DUMMYFUNCTION("IF(H2847="""","""",
SUM(
ARRAYFORMULA(
IF(
REGEXMATCH(
"" ""&amp;H2847&amp;"" "",
"" ""&amp;Sentiment_Words!A$2:A3730&amp;"" ""
),
1,
0
)
)
)
)"),0.0)</f>
        <v>0</v>
      </c>
      <c r="K2847" s="4">
        <f>IFERROR(__xludf.DUMMYFUNCTION("IF(H2847="""","""",
SUM(
ARRAYFORMULA(
IF(
REGEXMATCH(
"" ""&amp;H2847&amp;"" "",
"" ""&amp;Sentiment_Words!B$2:B3730&amp;"" ""
),
1,
0
)
)
)
)"),0.0)</f>
        <v>0</v>
      </c>
      <c r="L2847" s="7" t="str">
        <f t="shared" si="3"/>
        <v>Other</v>
      </c>
      <c r="M2847" s="7" t="str">
        <f t="shared" si="4"/>
        <v>Neutral</v>
      </c>
      <c r="N2847" s="7" t="str">
        <f>IFERROR(__xludf.DUMMYFUNCTION("LOWER(
TRIM(
REGEXREPLACE(B2847,""[^a-zA-Z\s]"","""")
)
)
"),"victoria")</f>
        <v>victoria</v>
      </c>
      <c r="O2847" s="7">
        <f t="shared" si="5"/>
        <v>3</v>
      </c>
      <c r="P2847" s="8" t="str">
        <f t="shared" si="6"/>
        <v>Yes</v>
      </c>
    </row>
    <row r="2848">
      <c r="A2848" s="4" t="s">
        <v>16</v>
      </c>
      <c r="B2848" s="4" t="s">
        <v>7935</v>
      </c>
      <c r="C2848" s="9">
        <v>44621.0</v>
      </c>
      <c r="D2848" s="10">
        <v>44621.0</v>
      </c>
      <c r="E2848" s="4" t="s">
        <v>7936</v>
      </c>
      <c r="F2848" s="4" t="s">
        <v>7937</v>
      </c>
      <c r="G2848" s="6" t="str">
        <f>IFERROR(__xludf.DUMMYFUNCTION("REGEXREPLACE(LOWER(F2848),""[^a-z\s]"","""")"),"my first order and it was easy and arrived quickly")</f>
        <v>my first order and it was easy and arrived quickly</v>
      </c>
      <c r="H2848" s="4" t="str">
        <f t="shared" si="1"/>
        <v>my first order it was easy arrived quickly</v>
      </c>
      <c r="I2848" s="6">
        <f t="shared" si="2"/>
        <v>8</v>
      </c>
      <c r="J2848" s="6">
        <f>IFERROR(__xludf.DUMMYFUNCTION("IF(H2848="""","""",
SUM(
ARRAYFORMULA(
IF(
REGEXMATCH(
"" ""&amp;H2848&amp;"" "",
"" ""&amp;Sentiment_Words!A$2:A3730&amp;"" ""
),
1,
0
)
)
)
)"),1.0)</f>
        <v>1</v>
      </c>
      <c r="K2848" s="4">
        <f>IFERROR(__xludf.DUMMYFUNCTION("IF(H2848="""","""",
SUM(
ARRAYFORMULA(
IF(
REGEXMATCH(
"" ""&amp;H2848&amp;"" "",
"" ""&amp;Sentiment_Words!B$2:B3730&amp;"" ""
),
1,
0
)
)
)
)"),0.0)</f>
        <v>0</v>
      </c>
      <c r="L2848" s="7" t="str">
        <f t="shared" si="3"/>
        <v>Other</v>
      </c>
      <c r="M2848" s="7" t="str">
        <f t="shared" si="4"/>
        <v>Positive</v>
      </c>
      <c r="N2848" s="7" t="str">
        <f>IFERROR(__xludf.DUMMYFUNCTION("LOWER(
TRIM(
REGEXREPLACE(B2848,""[^a-zA-Z\s]"","""")
)
)
"),"terry frum")</f>
        <v>terry frum</v>
      </c>
      <c r="O2848" s="7">
        <f t="shared" si="5"/>
        <v>1</v>
      </c>
      <c r="P2848" s="8" t="str">
        <f t="shared" si="6"/>
        <v>No</v>
      </c>
    </row>
    <row r="2849">
      <c r="A2849" s="4" t="s">
        <v>16</v>
      </c>
      <c r="B2849" s="4" t="s">
        <v>7938</v>
      </c>
      <c r="C2849" s="5">
        <v>44620.0</v>
      </c>
      <c r="D2849" s="10">
        <v>44621.0</v>
      </c>
      <c r="E2849" s="4" t="s">
        <v>7939</v>
      </c>
      <c r="F2849" s="4" t="s">
        <v>7940</v>
      </c>
      <c r="G2849" s="6" t="str">
        <f>IFERROR(__xludf.DUMMYFUNCTION("REGEXREPLACE(LOWER(F2849),""[^a-z\s]"","""")"),"great customer service over the phone as i was concerned about being out of food and they were receptive and put the order as a stat order")</f>
        <v>great customer service over the phone as i was concerned about being out of food and they were receptive and put the order as a stat order</v>
      </c>
      <c r="H2849" s="4" t="str">
        <f t="shared" si="1"/>
        <v>great customer service over phone as i was concerned about being out of food they were receptive put order as a stat order</v>
      </c>
      <c r="I2849" s="6">
        <f t="shared" si="2"/>
        <v>23</v>
      </c>
      <c r="J2849" s="6">
        <f>IFERROR(__xludf.DUMMYFUNCTION("IF(H2849="""","""",
SUM(
ARRAYFORMULA(
IF(
REGEXMATCH(
"" ""&amp;H2849&amp;"" "",
"" ""&amp;Sentiment_Words!A$2:A3730&amp;"" ""
),
1,
0
)
)
)
)"),2.0)</f>
        <v>2</v>
      </c>
      <c r="K2849" s="4">
        <f>IFERROR(__xludf.DUMMYFUNCTION("IF(H2849="""","""",
SUM(
ARRAYFORMULA(
IF(
REGEXMATCH(
"" ""&amp;H2849&amp;"" "",
"" ""&amp;Sentiment_Words!B$2:B3730&amp;"" ""
),
1,
0
)
)
)
)"),1.0)</f>
        <v>1</v>
      </c>
      <c r="L2849" s="7" t="str">
        <f t="shared" si="3"/>
        <v>Customer Support</v>
      </c>
      <c r="M2849" s="7" t="str">
        <f t="shared" si="4"/>
        <v>Positive</v>
      </c>
      <c r="N2849" s="7" t="str">
        <f>IFERROR(__xludf.DUMMYFUNCTION("LOWER(
TRIM(
REGEXREPLACE(B2849,""[^a-zA-Z\s]"","""")
)
)
"),"izzy")</f>
        <v>izzy</v>
      </c>
      <c r="O2849" s="7">
        <f t="shared" si="5"/>
        <v>1</v>
      </c>
      <c r="P2849" s="8" t="str">
        <f t="shared" si="6"/>
        <v>No</v>
      </c>
    </row>
    <row r="2850">
      <c r="A2850" s="4" t="s">
        <v>16</v>
      </c>
      <c r="B2850" s="4" t="s">
        <v>7941</v>
      </c>
      <c r="C2850" s="5">
        <v>44620.0</v>
      </c>
      <c r="D2850" s="10">
        <v>44621.0</v>
      </c>
      <c r="E2850" s="4" t="s">
        <v>7942</v>
      </c>
      <c r="F2850" s="4" t="s">
        <v>7943</v>
      </c>
      <c r="G2850" s="6" t="str">
        <f>IFERROR(__xludf.DUMMYFUNCTION("REGEXREPLACE(LOWER(F2850),""[^a-z\s]"","""")"),"very happy with the delivery process and how fast it arrived")</f>
        <v>very happy with the delivery process and how fast it arrived</v>
      </c>
      <c r="H2850" s="4" t="str">
        <f t="shared" si="1"/>
        <v>very happy with delivery process how fast it arrived</v>
      </c>
      <c r="I2850" s="6">
        <f t="shared" si="2"/>
        <v>9</v>
      </c>
      <c r="J2850" s="6">
        <f>IFERROR(__xludf.DUMMYFUNCTION("IF(H2850="""","""",
SUM(
ARRAYFORMULA(
IF(
REGEXMATCH(
"" ""&amp;H2850&amp;"" "",
"" ""&amp;Sentiment_Words!A$2:A3730&amp;"" ""
),
1,
0
)
)
)
)"),2.0)</f>
        <v>2</v>
      </c>
      <c r="K2850" s="4">
        <f>IFERROR(__xludf.DUMMYFUNCTION("IF(H2850="""","""",
SUM(
ARRAYFORMULA(
IF(
REGEXMATCH(
"" ""&amp;H2850&amp;"" "",
"" ""&amp;Sentiment_Words!B$2:B3730&amp;"" ""
),
1,
0
)
)
)
)"),0.0)</f>
        <v>0</v>
      </c>
      <c r="L2850" s="7" t="str">
        <f t="shared" si="3"/>
        <v>Other</v>
      </c>
      <c r="M2850" s="7" t="str">
        <f t="shared" si="4"/>
        <v>Positive</v>
      </c>
      <c r="N2850" s="7" t="str">
        <f>IFERROR(__xludf.DUMMYFUNCTION("LOWER(
TRIM(
REGEXREPLACE(B2850,""[^a-zA-Z\s]"","""")
)
)
"),"trisha robinson")</f>
        <v>trisha robinson</v>
      </c>
      <c r="O2850" s="7">
        <f t="shared" si="5"/>
        <v>1</v>
      </c>
      <c r="P2850" s="8" t="str">
        <f t="shared" si="6"/>
        <v>No</v>
      </c>
    </row>
    <row r="2851">
      <c r="A2851" s="4" t="s">
        <v>16</v>
      </c>
      <c r="B2851" s="4" t="s">
        <v>7944</v>
      </c>
      <c r="C2851" s="5">
        <v>44620.0</v>
      </c>
      <c r="D2851" s="10">
        <v>44621.0</v>
      </c>
      <c r="E2851" s="4" t="s">
        <v>7945</v>
      </c>
      <c r="F2851" s="4" t="s">
        <v>7946</v>
      </c>
      <c r="G2851" s="6" t="str">
        <f>IFERROR(__xludf.DUMMYFUNCTION("REGEXREPLACE(LOWER(F2851),""[^a-z\s]"","""")"),"a year ago i would have given you five stars but in the last two months or maybe three you have not been able to deliver the kind of pet food my dog eats honest kitchen turkey or chicken and the last time i ordered stellas beef you sent only a very small "&amp;"package
i havent received any understandable reasons for these mistakes")</f>
        <v>a year ago i would have given you five stars but in the last two months or maybe three you have not been able to deliver the kind of pet food my dog eats honest kitchen turkey or chicken and the last time i ordered stellas beef you sent only a very small package
i havent received any understandable reasons for these mistakes</v>
      </c>
      <c r="H2851" s="4" t="str">
        <f t="shared" si="1"/>
        <v>a year ago i would have given you five stars but in last two months or maybe three you have not been able deliver kind of pet food my dog eats honest kitchen turkey or chicken last time i ordered stellas beef you sent only a very small package
i havent received any understandable reasons these mistakes</v>
      </c>
      <c r="I2851" s="6">
        <f t="shared" si="2"/>
        <v>56</v>
      </c>
      <c r="J2851" s="6">
        <f>IFERROR(__xludf.DUMMYFUNCTION("IF(H2851="""","""",
SUM(
ARRAYFORMULA(
IF(
REGEXMATCH(
"" ""&amp;H2851&amp;"" "",
"" ""&amp;Sentiment_Words!A$2:A3730&amp;"" ""
),
1,
0
)
)
)
)"),1.0)</f>
        <v>1</v>
      </c>
      <c r="K2851" s="4">
        <f>IFERROR(__xludf.DUMMYFUNCTION("IF(H2851="""","""",
SUM(
ARRAYFORMULA(
IF(
REGEXMATCH(
"" ""&amp;H2851&amp;"" "",
"" ""&amp;Sentiment_Words!B$2:B3730&amp;"" ""
),
1,
0
)
)
)
)"),0.0)</f>
        <v>0</v>
      </c>
      <c r="L2851" s="7" t="str">
        <f t="shared" si="3"/>
        <v>Other</v>
      </c>
      <c r="M2851" s="7" t="str">
        <f t="shared" si="4"/>
        <v>Positive</v>
      </c>
      <c r="N2851" s="7" t="str">
        <f>IFERROR(__xludf.DUMMYFUNCTION("LOWER(
TRIM(
REGEXREPLACE(B2851,""[^a-zA-Z\s]"","""")
)
)
"),"susan quirk")</f>
        <v>susan quirk</v>
      </c>
      <c r="O2851" s="7">
        <f t="shared" si="5"/>
        <v>1</v>
      </c>
      <c r="P2851" s="8" t="str">
        <f t="shared" si="6"/>
        <v>No</v>
      </c>
    </row>
    <row r="2852">
      <c r="A2852" s="4" t="s">
        <v>16</v>
      </c>
      <c r="B2852" s="4" t="s">
        <v>7947</v>
      </c>
      <c r="C2852" s="5">
        <v>44620.0</v>
      </c>
      <c r="D2852" s="10">
        <v>44621.0</v>
      </c>
      <c r="E2852" s="4" t="s">
        <v>7948</v>
      </c>
      <c r="F2852" s="4" t="s">
        <v>7949</v>
      </c>
      <c r="G2852" s="6" t="str">
        <f>IFERROR(__xludf.DUMMYFUNCTION("REGEXREPLACE(LOWER(F2852),""[^a-z\s]"","""")"),"i am very satisfied fast delivery discounts ")</f>
        <v>i am very satisfied fast delivery discounts </v>
      </c>
      <c r="H2852" s="4" t="str">
        <f t="shared" si="1"/>
        <v>i am very satisfied fast delivery discounts</v>
      </c>
      <c r="I2852" s="6">
        <f t="shared" si="2"/>
        <v>7</v>
      </c>
      <c r="J2852" s="6">
        <f>IFERROR(__xludf.DUMMYFUNCTION("IF(H2852="""","""",
SUM(
ARRAYFORMULA(
IF(
REGEXMATCH(
"" ""&amp;H2852&amp;"" "",
"" ""&amp;Sentiment_Words!A$2:A3730&amp;"" ""
),
1,
0
)
)
)
)"),3.0)</f>
        <v>3</v>
      </c>
      <c r="K2852" s="4">
        <f>IFERROR(__xludf.DUMMYFUNCTION("IF(H2852="""","""",
SUM(
ARRAYFORMULA(
IF(
REGEXMATCH(
"" ""&amp;H2852&amp;"" "",
"" ""&amp;Sentiment_Words!B$2:B3730&amp;"" ""
),
1,
0
)
)
)
)"),0.0)</f>
        <v>0</v>
      </c>
      <c r="L2852" s="7" t="str">
        <f t="shared" si="3"/>
        <v>Other</v>
      </c>
      <c r="M2852" s="7" t="str">
        <f t="shared" si="4"/>
        <v>Positive</v>
      </c>
      <c r="N2852" s="7" t="str">
        <f>IFERROR(__xludf.DUMMYFUNCTION("LOWER(
TRIM(
REGEXREPLACE(B2852,""[^a-zA-Z\s]"","""")
)
)
"),"dog owner")</f>
        <v>dog owner</v>
      </c>
      <c r="O2852" s="7">
        <f t="shared" si="5"/>
        <v>2</v>
      </c>
      <c r="P2852" s="8" t="str">
        <f t="shared" si="6"/>
        <v>Yes</v>
      </c>
    </row>
    <row r="2853">
      <c r="A2853" s="4" t="s">
        <v>16</v>
      </c>
      <c r="B2853" s="4" t="s">
        <v>7950</v>
      </c>
      <c r="C2853" s="5">
        <v>44620.0</v>
      </c>
      <c r="D2853" s="10">
        <v>44620.0</v>
      </c>
      <c r="E2853" s="4" t="s">
        <v>7951</v>
      </c>
      <c r="F2853" s="4" t="s">
        <v>7952</v>
      </c>
      <c r="G2853" s="6" t="str">
        <f>IFERROR(__xludf.DUMMYFUNCTION("REGEXREPLACE(LOWER(F2853),""[^a-z\s]"","""")"),"great prices communication and follow up always a pleasure to do business with")</f>
        <v>great prices communication and follow up always a pleasure to do business with</v>
      </c>
      <c r="H2853" s="4" t="str">
        <f t="shared" si="1"/>
        <v>great prices communication follow up always a pleasure do business with</v>
      </c>
      <c r="I2853" s="6">
        <f t="shared" si="2"/>
        <v>11</v>
      </c>
      <c r="J2853" s="6">
        <f>IFERROR(__xludf.DUMMYFUNCTION("IF(H2853="""","""",
SUM(
ARRAYFORMULA(
IF(
REGEXMATCH(
"" ""&amp;H2853&amp;"" "",
"" ""&amp;Sentiment_Words!A$2:A3730&amp;"" ""
),
1,
0
)
)
)
)"),1.0)</f>
        <v>1</v>
      </c>
      <c r="K2853" s="4">
        <f>IFERROR(__xludf.DUMMYFUNCTION("IF(H2853="""","""",
SUM(
ARRAYFORMULA(
IF(
REGEXMATCH(
"" ""&amp;H2853&amp;"" "",
"" ""&amp;Sentiment_Words!B$2:B3730&amp;"" ""
),
1,
0
)
)
)
)"),0.0)</f>
        <v>0</v>
      </c>
      <c r="L2853" s="7" t="str">
        <f t="shared" si="3"/>
        <v>Other</v>
      </c>
      <c r="M2853" s="7" t="str">
        <f t="shared" si="4"/>
        <v>Positive</v>
      </c>
      <c r="N2853" s="7" t="str">
        <f>IFERROR(__xludf.DUMMYFUNCTION("LOWER(
TRIM(
REGEXREPLACE(B2853,""[^a-zA-Z\s]"","""")
)
)
"),"carol kner")</f>
        <v>carol kner</v>
      </c>
      <c r="O2853" s="7">
        <f t="shared" si="5"/>
        <v>1</v>
      </c>
      <c r="P2853" s="8" t="str">
        <f t="shared" si="6"/>
        <v>No</v>
      </c>
    </row>
    <row r="2854">
      <c r="A2854" s="4" t="s">
        <v>16</v>
      </c>
      <c r="B2854" s="4" t="s">
        <v>7953</v>
      </c>
      <c r="C2854" s="5">
        <v>44620.0</v>
      </c>
      <c r="D2854" s="10">
        <v>44620.0</v>
      </c>
      <c r="E2854" s="4" t="s">
        <v>7954</v>
      </c>
      <c r="F2854" s="4" t="s">
        <v>7955</v>
      </c>
      <c r="G2854" s="6" t="str">
        <f>IFERROR(__xludf.DUMMYFUNCTION("REGEXREPLACE(LOWER(F2854),""[^a-z\s]"","""")"),"thank you so much for getting charles his food so quickly hes had pancreatitis for almost a year which means he is on a very strict diet of prescription foods only i order on monday and you have charles his food by thursday friday at the latest thank you "&amp;"once again")</f>
        <v>thank you so much for getting charles his food so quickly hes had pancreatitis for almost a year which means he is on a very strict diet of prescription foods only i order on monday and you have charles his food by thursday friday at the latest thank you once again</v>
      </c>
      <c r="H2854" s="4" t="str">
        <f t="shared" si="1"/>
        <v>thank you so much getting charles his food so quickly hes had pancreatitis almost a year which means he on a very strict diet of prescription foods only i order on monday you have charles his food by thursday friday at latest thank you once again</v>
      </c>
      <c r="I2854" s="6">
        <f t="shared" si="2"/>
        <v>46</v>
      </c>
      <c r="J2854" s="6">
        <f>IFERROR(__xludf.DUMMYFUNCTION("IF(H2854="""","""",
SUM(
ARRAYFORMULA(
IF(
REGEXMATCH(
"" ""&amp;H2854&amp;"" "",
"" ""&amp;Sentiment_Words!A$2:A3730&amp;"" ""
),
1,
0
)
)
)
)"),0.0)</f>
        <v>0</v>
      </c>
      <c r="K2854" s="4">
        <f>IFERROR(__xludf.DUMMYFUNCTION("IF(H2854="""","""",
SUM(
ARRAYFORMULA(
IF(
REGEXMATCH(
"" ""&amp;H2854&amp;"" "",
"" ""&amp;Sentiment_Words!B$2:B3730&amp;"" ""
),
1,
0
)
)
)
)"),0.0)</f>
        <v>0</v>
      </c>
      <c r="L2854" s="7" t="str">
        <f t="shared" si="3"/>
        <v>Fulfillment &amp; Shipping</v>
      </c>
      <c r="M2854" s="7" t="str">
        <f t="shared" si="4"/>
        <v>Neutral</v>
      </c>
      <c r="N2854" s="7" t="str">
        <f>IFERROR(__xludf.DUMMYFUNCTION("LOWER(
TRIM(
REGEXREPLACE(B2854,""[^a-zA-Z\s]"","""")
)
)
"),"lubos andel")</f>
        <v>lubos andel</v>
      </c>
      <c r="O2854" s="7">
        <f t="shared" si="5"/>
        <v>1</v>
      </c>
      <c r="P2854" s="8" t="str">
        <f t="shared" si="6"/>
        <v>No</v>
      </c>
    </row>
    <row r="2855">
      <c r="A2855" s="4" t="s">
        <v>16</v>
      </c>
      <c r="B2855" s="4" t="s">
        <v>7956</v>
      </c>
      <c r="C2855" s="5">
        <v>44620.0</v>
      </c>
      <c r="D2855" s="10">
        <v>44620.0</v>
      </c>
      <c r="E2855" s="4" t="s">
        <v>7957</v>
      </c>
      <c r="F2855" s="4" t="s">
        <v>7958</v>
      </c>
      <c r="G2855" s="6" t="str">
        <f>IFERROR(__xludf.DUMMYFUNCTION("REGEXREPLACE(LOWER(F2855),""[^a-z\s]"","""")"),"easy to place an order and quick and timely delivery")</f>
        <v>easy to place an order and quick and timely delivery</v>
      </c>
      <c r="H2855" s="4" t="str">
        <f t="shared" si="1"/>
        <v>easy place an order quick timely delivery</v>
      </c>
      <c r="I2855" s="6">
        <f t="shared" si="2"/>
        <v>7</v>
      </c>
      <c r="J2855" s="6">
        <f>IFERROR(__xludf.DUMMYFUNCTION("IF(H2855="""","""",
SUM(
ARRAYFORMULA(
IF(
REGEXMATCH(
"" ""&amp;H2855&amp;"" "",
"" ""&amp;Sentiment_Words!A$2:A3730&amp;"" ""
),
1,
0
)
)
)
)"),1.0)</f>
        <v>1</v>
      </c>
      <c r="K2855" s="4">
        <f>IFERROR(__xludf.DUMMYFUNCTION("IF(H2855="""","""",
SUM(
ARRAYFORMULA(
IF(
REGEXMATCH(
"" ""&amp;H2855&amp;"" "",
"" ""&amp;Sentiment_Words!B$2:B3730&amp;"" ""
),
1,
0
)
)
)
)"),0.0)</f>
        <v>0</v>
      </c>
      <c r="L2855" s="7" t="str">
        <f t="shared" si="3"/>
        <v>Other</v>
      </c>
      <c r="M2855" s="7" t="str">
        <f t="shared" si="4"/>
        <v>Positive</v>
      </c>
      <c r="N2855" s="7" t="str">
        <f>IFERROR(__xludf.DUMMYFUNCTION("LOWER(
TRIM(
REGEXREPLACE(B2855,""[^a-zA-Z\s]"","""")
)
)
"),"ernie")</f>
        <v>ernie</v>
      </c>
      <c r="O2855" s="7">
        <f t="shared" si="5"/>
        <v>1</v>
      </c>
      <c r="P2855" s="8" t="str">
        <f t="shared" si="6"/>
        <v>No</v>
      </c>
    </row>
    <row r="2856">
      <c r="A2856" s="4" t="s">
        <v>16</v>
      </c>
      <c r="B2856" s="4" t="s">
        <v>7959</v>
      </c>
      <c r="C2856" s="5">
        <v>44620.0</v>
      </c>
      <c r="D2856" s="10">
        <v>44620.0</v>
      </c>
      <c r="E2856" s="4" t="s">
        <v>7960</v>
      </c>
      <c r="F2856" s="4" t="s">
        <v>331</v>
      </c>
      <c r="G2856" s="6" t="str">
        <f>IFERROR(__xludf.DUMMYFUNCTION("REGEXREPLACE(LOWER(F2856),""[^a-z\s]"","""")"),"none")</f>
        <v>none</v>
      </c>
      <c r="H2856" s="4" t="str">
        <f t="shared" si="1"/>
        <v>none</v>
      </c>
      <c r="I2856" s="6">
        <f t="shared" si="2"/>
        <v>1</v>
      </c>
      <c r="J2856" s="6">
        <f>IFERROR(__xludf.DUMMYFUNCTION("IF(H2856="""","""",
SUM(
ARRAYFORMULA(
IF(
REGEXMATCH(
"" ""&amp;H2856&amp;"" "",
"" ""&amp;Sentiment_Words!A$2:A3730&amp;"" ""
),
1,
0
)
)
)
)"),0.0)</f>
        <v>0</v>
      </c>
      <c r="K2856" s="4">
        <f>IFERROR(__xludf.DUMMYFUNCTION("IF(H2856="""","""",
SUM(
ARRAYFORMULA(
IF(
REGEXMATCH(
"" ""&amp;H2856&amp;"" "",
"" ""&amp;Sentiment_Words!B$2:B3730&amp;"" ""
),
1,
0
)
)
)
)"),0.0)</f>
        <v>0</v>
      </c>
      <c r="L2856" s="7" t="str">
        <f t="shared" si="3"/>
        <v>Other</v>
      </c>
      <c r="M2856" s="7" t="str">
        <f t="shared" si="4"/>
        <v>Neutral</v>
      </c>
      <c r="N2856" s="7" t="str">
        <f>IFERROR(__xludf.DUMMYFUNCTION("LOWER(
TRIM(
REGEXREPLACE(B2856,""[^a-zA-Z\s]"","""")
)
)
"),"laura coldren")</f>
        <v>laura coldren</v>
      </c>
      <c r="O2856" s="7">
        <f t="shared" si="5"/>
        <v>1</v>
      </c>
      <c r="P2856" s="8" t="str">
        <f t="shared" si="6"/>
        <v>No</v>
      </c>
    </row>
    <row r="2857">
      <c r="A2857" s="4" t="s">
        <v>16</v>
      </c>
      <c r="B2857" s="4" t="s">
        <v>7961</v>
      </c>
      <c r="C2857" s="5">
        <v>44620.0</v>
      </c>
      <c r="D2857" s="10">
        <v>44620.0</v>
      </c>
      <c r="E2857" s="4" t="s">
        <v>7962</v>
      </c>
      <c r="F2857" s="4" t="s">
        <v>331</v>
      </c>
      <c r="G2857" s="6" t="str">
        <f>IFERROR(__xludf.DUMMYFUNCTION("REGEXREPLACE(LOWER(F2857),""[^a-z\s]"","""")"),"none")</f>
        <v>none</v>
      </c>
      <c r="H2857" s="4" t="str">
        <f t="shared" si="1"/>
        <v>none</v>
      </c>
      <c r="I2857" s="6">
        <f t="shared" si="2"/>
        <v>1</v>
      </c>
      <c r="J2857" s="6">
        <f>IFERROR(__xludf.DUMMYFUNCTION("IF(H2857="""","""",
SUM(
ARRAYFORMULA(
IF(
REGEXMATCH(
"" ""&amp;H2857&amp;"" "",
"" ""&amp;Sentiment_Words!A$2:A3730&amp;"" ""
),
1,
0
)
)
)
)"),0.0)</f>
        <v>0</v>
      </c>
      <c r="K2857" s="4">
        <f>IFERROR(__xludf.DUMMYFUNCTION("IF(H2857="""","""",
SUM(
ARRAYFORMULA(
IF(
REGEXMATCH(
"" ""&amp;H2857&amp;"" "",
"" ""&amp;Sentiment_Words!B$2:B3730&amp;"" ""
),
1,
0
)
)
)
)"),0.0)</f>
        <v>0</v>
      </c>
      <c r="L2857" s="7" t="str">
        <f t="shared" si="3"/>
        <v>Other</v>
      </c>
      <c r="M2857" s="7" t="str">
        <f t="shared" si="4"/>
        <v>Neutral</v>
      </c>
      <c r="N2857" s="7" t="str">
        <f>IFERROR(__xludf.DUMMYFUNCTION("LOWER(
TRIM(
REGEXREPLACE(B2857,""[^a-zA-Z\s]"","""")
)
)
"),"tavmeet")</f>
        <v>tavmeet</v>
      </c>
      <c r="O2857" s="7">
        <f t="shared" si="5"/>
        <v>1</v>
      </c>
      <c r="P2857" s="8" t="str">
        <f t="shared" si="6"/>
        <v>No</v>
      </c>
    </row>
    <row r="2858">
      <c r="A2858" s="4" t="s">
        <v>16</v>
      </c>
      <c r="B2858" s="4" t="s">
        <v>7963</v>
      </c>
      <c r="C2858" s="5">
        <v>44620.0</v>
      </c>
      <c r="D2858" s="10">
        <v>44620.0</v>
      </c>
      <c r="E2858" s="4" t="s">
        <v>5246</v>
      </c>
      <c r="F2858" s="4" t="s">
        <v>7964</v>
      </c>
      <c r="G2858" s="6" t="str">
        <f>IFERROR(__xludf.DUMMYFUNCTION("REGEXREPLACE(LOWER(F2858),""[^a-z\s]"","""")"),"fast and easy helpful customer service and great products")</f>
        <v>fast and easy helpful customer service and great products</v>
      </c>
      <c r="H2858" s="4" t="str">
        <f t="shared" si="1"/>
        <v>fast easy helpful customer service great products</v>
      </c>
      <c r="I2858" s="6">
        <f t="shared" si="2"/>
        <v>7</v>
      </c>
      <c r="J2858" s="6">
        <f>IFERROR(__xludf.DUMMYFUNCTION("IF(H2858="""","""",
SUM(
ARRAYFORMULA(
IF(
REGEXMATCH(
"" ""&amp;H2858&amp;"" "",
"" ""&amp;Sentiment_Words!A$2:A3730&amp;"" ""
),
1,
0
)
)
)
)"),4.0)</f>
        <v>4</v>
      </c>
      <c r="K2858" s="4">
        <f>IFERROR(__xludf.DUMMYFUNCTION("IF(H2858="""","""",
SUM(
ARRAYFORMULA(
IF(
REGEXMATCH(
"" ""&amp;H2858&amp;"" "",
"" ""&amp;Sentiment_Words!B$2:B3730&amp;"" ""
),
1,
0
)
)
)
)"),1.0)</f>
        <v>1</v>
      </c>
      <c r="L2858" s="7" t="str">
        <f t="shared" si="3"/>
        <v>Customer Support</v>
      </c>
      <c r="M2858" s="7" t="str">
        <f t="shared" si="4"/>
        <v>Positive</v>
      </c>
      <c r="N2858" s="7" t="str">
        <f>IFERROR(__xludf.DUMMYFUNCTION("LOWER(
TRIM(
REGEXREPLACE(B2858,""[^a-zA-Z\s]"","""")
)
)
"),"ph")</f>
        <v>ph</v>
      </c>
      <c r="O2858" s="7">
        <f t="shared" si="5"/>
        <v>1</v>
      </c>
      <c r="P2858" s="8" t="str">
        <f t="shared" si="6"/>
        <v>No</v>
      </c>
    </row>
    <row r="2859">
      <c r="A2859" s="4" t="s">
        <v>16</v>
      </c>
      <c r="B2859" s="4" t="s">
        <v>7965</v>
      </c>
      <c r="C2859" s="5">
        <v>44620.0</v>
      </c>
      <c r="D2859" s="10">
        <v>44620.0</v>
      </c>
      <c r="E2859" s="4" t="s">
        <v>6293</v>
      </c>
      <c r="F2859" s="4" t="s">
        <v>7966</v>
      </c>
      <c r="G2859" s="6" t="str">
        <f>IFERROR(__xludf.DUMMYFUNCTION("REGEXREPLACE(LOWER(F2859),""[^a-z\s]"","""")"),"fast delivery and quality product damage that required disposal of some product but unclear if result of shipper or not")</f>
        <v>fast delivery and quality product damage that required disposal of some product but unclear if result of shipper or not</v>
      </c>
      <c r="H2859" s="4" t="str">
        <f t="shared" si="1"/>
        <v>fast delivery quality product damage that required disposal of some product but unclear if result of shipper or not</v>
      </c>
      <c r="I2859" s="6">
        <f t="shared" si="2"/>
        <v>19</v>
      </c>
      <c r="J2859" s="6">
        <f>IFERROR(__xludf.DUMMYFUNCTION("IF(H2859="""","""",
SUM(
ARRAYFORMULA(
IF(
REGEXMATCH(
"" ""&amp;H2859&amp;"" "",
"" ""&amp;Sentiment_Words!A$2:A3730&amp;"" ""
),
1,
0
)
)
)
)"),2.0)</f>
        <v>2</v>
      </c>
      <c r="K2859" s="4">
        <f>IFERROR(__xludf.DUMMYFUNCTION("IF(H2859="""","""",
SUM(
ARRAYFORMULA(
IF(
REGEXMATCH(
"" ""&amp;H2859&amp;"" "",
"" ""&amp;Sentiment_Words!B$2:B3730&amp;"" ""
),
1,
0
)
)
)
)"),0.0)</f>
        <v>0</v>
      </c>
      <c r="L2859" s="7" t="str">
        <f t="shared" si="3"/>
        <v>Other</v>
      </c>
      <c r="M2859" s="7" t="str">
        <f t="shared" si="4"/>
        <v>Positive</v>
      </c>
      <c r="N2859" s="7" t="str">
        <f>IFERROR(__xludf.DUMMYFUNCTION("LOWER(
TRIM(
REGEXREPLACE(B2859,""[^a-zA-Z\s]"","""")
)
)
"),"rachel seale")</f>
        <v>rachel seale</v>
      </c>
      <c r="O2859" s="7">
        <f t="shared" si="5"/>
        <v>1</v>
      </c>
      <c r="P2859" s="8" t="str">
        <f t="shared" si="6"/>
        <v>No</v>
      </c>
    </row>
    <row r="2860">
      <c r="A2860" s="4" t="s">
        <v>16</v>
      </c>
      <c r="B2860" s="4" t="s">
        <v>7967</v>
      </c>
      <c r="C2860" s="5">
        <v>44620.0</v>
      </c>
      <c r="D2860" s="10">
        <v>44620.0</v>
      </c>
      <c r="E2860" s="4" t="s">
        <v>7968</v>
      </c>
      <c r="F2860" s="4" t="s">
        <v>7969</v>
      </c>
      <c r="G2860" s="6" t="str">
        <f>IFERROR(__xludf.DUMMYFUNCTION("REGEXREPLACE(LOWER(F2860),""[^a-z\s]"","""")"),"appreciated the quick turnover and delivery of y prescription dog food and the good communication about timing")</f>
        <v>appreciated the quick turnover and delivery of y prescription dog food and the good communication about timing</v>
      </c>
      <c r="H2860" s="4" t="str">
        <f t="shared" si="1"/>
        <v>appreciated quick turnover delivery of y prescription dog food good communication about timing</v>
      </c>
      <c r="I2860" s="6">
        <f t="shared" si="2"/>
        <v>13</v>
      </c>
      <c r="J2860" s="6">
        <f>IFERROR(__xludf.DUMMYFUNCTION("IF(H2860="""","""",
SUM(
ARRAYFORMULA(
IF(
REGEXMATCH(
"" ""&amp;H2860&amp;"" "",
"" ""&amp;Sentiment_Words!A$2:A3730&amp;"" ""
),
1,
0
)
)
)
)"),1.0)</f>
        <v>1</v>
      </c>
      <c r="K2860" s="4">
        <f>IFERROR(__xludf.DUMMYFUNCTION("IF(H2860="""","""",
SUM(
ARRAYFORMULA(
IF(
REGEXMATCH(
"" ""&amp;H2860&amp;"" "",
"" ""&amp;Sentiment_Words!B$2:B3730&amp;"" ""
),
1,
0
)
)
)
)"),0.0)</f>
        <v>0</v>
      </c>
      <c r="L2860" s="7" t="str">
        <f t="shared" si="3"/>
        <v>Other</v>
      </c>
      <c r="M2860" s="7" t="str">
        <f t="shared" si="4"/>
        <v>Positive</v>
      </c>
      <c r="N2860" s="7" t="str">
        <f>IFERROR(__xludf.DUMMYFUNCTION("LOWER(
TRIM(
REGEXREPLACE(B2860,""[^a-zA-Z\s]"","""")
)
)
"),"carroll griesedieck")</f>
        <v>carroll griesedieck</v>
      </c>
      <c r="O2860" s="7">
        <f t="shared" si="5"/>
        <v>1</v>
      </c>
      <c r="P2860" s="8" t="str">
        <f t="shared" si="6"/>
        <v>No</v>
      </c>
    </row>
    <row r="2861">
      <c r="A2861" s="4" t="s">
        <v>16</v>
      </c>
      <c r="B2861" s="4" t="s">
        <v>7970</v>
      </c>
      <c r="C2861" s="5">
        <v>44620.0</v>
      </c>
      <c r="D2861" s="10">
        <v>44620.0</v>
      </c>
      <c r="E2861" s="4" t="s">
        <v>515</v>
      </c>
      <c r="F2861" s="4" t="s">
        <v>7971</v>
      </c>
      <c r="G2861" s="6" t="str">
        <f>IFERROR(__xludf.DUMMYFUNCTION("REGEXREPLACE(LOWER(F2861),""[^a-z\s]"","""")"),"good price  fast shipping")</f>
        <v>good price  fast shipping</v>
      </c>
      <c r="H2861" s="4" t="str">
        <f t="shared" si="1"/>
        <v>good price fast shipping</v>
      </c>
      <c r="I2861" s="6">
        <f t="shared" si="2"/>
        <v>4</v>
      </c>
      <c r="J2861" s="6">
        <f>IFERROR(__xludf.DUMMYFUNCTION("IF(H2861="""","""",
SUM(
ARRAYFORMULA(
IF(
REGEXMATCH(
"" ""&amp;H2861&amp;"" "",
"" ""&amp;Sentiment_Words!A$2:A3730&amp;"" ""
),
1,
0
)
)
)
)"),2.0)</f>
        <v>2</v>
      </c>
      <c r="K2861" s="4">
        <f>IFERROR(__xludf.DUMMYFUNCTION("IF(H2861="""","""",
SUM(
ARRAYFORMULA(
IF(
REGEXMATCH(
"" ""&amp;H2861&amp;"" "",
"" ""&amp;Sentiment_Words!B$2:B3730&amp;"" ""
),
1,
0
)
)
)
)"),0.0)</f>
        <v>0</v>
      </c>
      <c r="L2861" s="7" t="str">
        <f t="shared" si="3"/>
        <v>Other</v>
      </c>
      <c r="M2861" s="7" t="str">
        <f t="shared" si="4"/>
        <v>Positive</v>
      </c>
      <c r="N2861" s="7" t="str">
        <f>IFERROR(__xludf.DUMMYFUNCTION("LOWER(
TRIM(
REGEXREPLACE(B2861,""[^a-zA-Z\s]"","""")
)
)
"),"cheryl roberts")</f>
        <v>cheryl roberts</v>
      </c>
      <c r="O2861" s="7">
        <f t="shared" si="5"/>
        <v>1</v>
      </c>
      <c r="P2861" s="8" t="str">
        <f t="shared" si="6"/>
        <v>No</v>
      </c>
    </row>
    <row r="2862">
      <c r="A2862" s="4" t="s">
        <v>16</v>
      </c>
      <c r="B2862" s="4" t="s">
        <v>7972</v>
      </c>
      <c r="C2862" s="5">
        <v>44620.0</v>
      </c>
      <c r="D2862" s="10">
        <v>44620.0</v>
      </c>
      <c r="E2862" s="4" t="s">
        <v>7973</v>
      </c>
      <c r="F2862" s="4" t="s">
        <v>7974</v>
      </c>
      <c r="G2862" s="6" t="str">
        <f>IFERROR(__xludf.DUMMYFUNCTION("REGEXREPLACE(LOWER(F2862),""[^a-z\s]"","""")"),"i like the decent prices and fast delivery however every package arrives damaged everytime the contents are often damaged too they would get a higher rating if that is remedied")</f>
        <v>i like the decent prices and fast delivery however every package arrives damaged everytime the contents are often damaged too they would get a higher rating if that is remedied</v>
      </c>
      <c r="H2862" s="4" t="str">
        <f t="shared" si="1"/>
        <v>i like decent prices fast delivery however every package arrives damaged everytime contents are often damaged too they would get a higher rating if that remedied</v>
      </c>
      <c r="I2862" s="6">
        <f t="shared" si="2"/>
        <v>26</v>
      </c>
      <c r="J2862" s="6">
        <f>IFERROR(__xludf.DUMMYFUNCTION("IF(H2862="""","""",
SUM(
ARRAYFORMULA(
IF(
REGEXMATCH(
"" ""&amp;H2862&amp;"" "",
"" ""&amp;Sentiment_Words!A$2:A3730&amp;"" ""
),
1,
0
)
)
)
)"),2.0)</f>
        <v>2</v>
      </c>
      <c r="K2862" s="4">
        <f>IFERROR(__xludf.DUMMYFUNCTION("IF(H2862="""","""",
SUM(
ARRAYFORMULA(
IF(
REGEXMATCH(
"" ""&amp;H2862&amp;"" "",
"" ""&amp;Sentiment_Words!B$2:B3730&amp;"" ""
),
1,
0
)
)
)
)"),0.0)</f>
        <v>0</v>
      </c>
      <c r="L2862" s="7" t="str">
        <f t="shared" si="3"/>
        <v>Other</v>
      </c>
      <c r="M2862" s="7" t="str">
        <f t="shared" si="4"/>
        <v>Positive</v>
      </c>
      <c r="N2862" s="7" t="str">
        <f>IFERROR(__xludf.DUMMYFUNCTION("LOWER(
TRIM(
REGEXREPLACE(B2862,""[^a-zA-Z\s]"","""")
)
)
"),"brian brown")</f>
        <v>brian brown</v>
      </c>
      <c r="O2862" s="7">
        <f t="shared" si="5"/>
        <v>1</v>
      </c>
      <c r="P2862" s="8" t="str">
        <f t="shared" si="6"/>
        <v>No</v>
      </c>
    </row>
    <row r="2863">
      <c r="A2863" s="4" t="s">
        <v>16</v>
      </c>
      <c r="B2863" s="4" t="s">
        <v>7975</v>
      </c>
      <c r="C2863" s="5">
        <v>44620.0</v>
      </c>
      <c r="D2863" s="10">
        <v>44620.0</v>
      </c>
      <c r="E2863" s="4" t="s">
        <v>7976</v>
      </c>
      <c r="F2863" s="4" t="s">
        <v>7977</v>
      </c>
      <c r="G2863" s="6" t="str">
        <f>IFERROR(__xludf.DUMMYFUNCTION("REGEXREPLACE(LOWER(F2863),""[^a-z\s]"","""")"),"for the last three shipments it ran into several issues
for various reasons my shipments were delayed
i no longer can rely on the fact that my dogs food will be delivered in a timely manner
i am looking into over options")</f>
        <v>for the last three shipments it ran into several issues
for various reasons my shipments were delayed
i no longer can rely on the fact that my dogs food will be delivered in a timely manner
i am looking into over options</v>
      </c>
      <c r="H2863" s="4" t="str">
        <f t="shared" si="1"/>
        <v>last three shipments it ran into several issues
for various reasons my shipments were delayed
i no longer can rely on fact that my dogs food will be delivered in a timely manner
i am looking into over options</v>
      </c>
      <c r="I2863" s="6">
        <f t="shared" si="2"/>
        <v>36</v>
      </c>
      <c r="J2863" s="6">
        <f>IFERROR(__xludf.DUMMYFUNCTION("IF(H2863="""","""",
SUM(
ARRAYFORMULA(
IF(
REGEXMATCH(
"" ""&amp;H2863&amp;"" "",
"" ""&amp;Sentiment_Words!A$2:A3730&amp;"" ""
),
1,
0
)
)
)
)"),1.0)</f>
        <v>1</v>
      </c>
      <c r="K2863" s="4">
        <f>IFERROR(__xludf.DUMMYFUNCTION("IF(H2863="""","""",
SUM(
ARRAYFORMULA(
IF(
REGEXMATCH(
"" ""&amp;H2863&amp;"" "",
"" ""&amp;Sentiment_Words!B$2:B3730&amp;"" ""
),
1,
0
)
)
)
)"),0.0)</f>
        <v>0</v>
      </c>
      <c r="L2863" s="7" t="str">
        <f t="shared" si="3"/>
        <v>Fulfillment &amp; Shipping</v>
      </c>
      <c r="M2863" s="7" t="str">
        <f t="shared" si="4"/>
        <v>Positive</v>
      </c>
      <c r="N2863" s="7" t="str">
        <f>IFERROR(__xludf.DUMMYFUNCTION("LOWER(
TRIM(
REGEXREPLACE(B2863,""[^a-zA-Z\s]"","""")
)
)
"),"joey lee")</f>
        <v>joey lee</v>
      </c>
      <c r="O2863" s="7">
        <f t="shared" si="5"/>
        <v>1</v>
      </c>
      <c r="P2863" s="8" t="str">
        <f t="shared" si="6"/>
        <v>No</v>
      </c>
    </row>
    <row r="2864">
      <c r="A2864" s="4" t="s">
        <v>16</v>
      </c>
      <c r="B2864" s="4" t="s">
        <v>7978</v>
      </c>
      <c r="C2864" s="5">
        <v>44619.0</v>
      </c>
      <c r="D2864" s="10">
        <v>44619.0</v>
      </c>
      <c r="E2864" s="4" t="s">
        <v>1686</v>
      </c>
      <c r="F2864" s="4" t="s">
        <v>7979</v>
      </c>
      <c r="G2864" s="6" t="str">
        <f>IFERROR(__xludf.DUMMYFUNCTION("REGEXREPLACE(LOWER(F2864),""[^a-z\s]"","""")"),"great selection received everything quickly on time and as ordered")</f>
        <v>great selection received everything quickly on time and as ordered</v>
      </c>
      <c r="H2864" s="4" t="str">
        <f t="shared" si="1"/>
        <v>great selection received everything quickly on time as ordered</v>
      </c>
      <c r="I2864" s="6">
        <f t="shared" si="2"/>
        <v>9</v>
      </c>
      <c r="J2864" s="6">
        <f>IFERROR(__xludf.DUMMYFUNCTION("IF(H2864="""","""",
SUM(
ARRAYFORMULA(
IF(
REGEXMATCH(
"" ""&amp;H2864&amp;"" "",
"" ""&amp;Sentiment_Words!A$2:A3730&amp;"" ""
),
1,
0
)
)
)
)"),2.0)</f>
        <v>2</v>
      </c>
      <c r="K2864" s="4">
        <f>IFERROR(__xludf.DUMMYFUNCTION("IF(H2864="""","""",
SUM(
ARRAYFORMULA(
IF(
REGEXMATCH(
"" ""&amp;H2864&amp;"" "",
"" ""&amp;Sentiment_Words!B$2:B3730&amp;"" ""
),
1,
0
)
)
)
)"),0.0)</f>
        <v>0</v>
      </c>
      <c r="L2864" s="7" t="str">
        <f t="shared" si="3"/>
        <v>Other</v>
      </c>
      <c r="M2864" s="7" t="str">
        <f t="shared" si="4"/>
        <v>Positive</v>
      </c>
      <c r="N2864" s="7" t="str">
        <f>IFERROR(__xludf.DUMMYFUNCTION("LOWER(
TRIM(
REGEXREPLACE(B2864,""[^a-zA-Z\s]"","""")
)
)
"),"julie kunitada")</f>
        <v>julie kunitada</v>
      </c>
      <c r="O2864" s="7">
        <f t="shared" si="5"/>
        <v>1</v>
      </c>
      <c r="P2864" s="8" t="str">
        <f t="shared" si="6"/>
        <v>No</v>
      </c>
    </row>
    <row r="2865">
      <c r="A2865" s="4" t="s">
        <v>16</v>
      </c>
      <c r="B2865" s="4" t="s">
        <v>7980</v>
      </c>
      <c r="C2865" s="5">
        <v>44619.0</v>
      </c>
      <c r="D2865" s="4" t="s">
        <v>7981</v>
      </c>
      <c r="E2865" s="4" t="s">
        <v>7982</v>
      </c>
      <c r="F2865" s="4" t="s">
        <v>7983</v>
      </c>
      <c r="G2865" s="6" t="str">
        <f>IFERROR(__xludf.DUMMYFUNCTION("REGEXREPLACE(LOWER(F2865),""[^a-z\s]"","""")"),"two months in a row they messed my orders up so bad i had too buy dog food to get them through until delivery it caused my dogs upset tummies loose poo and itching doesnt make them or me very happy
i have had issues before but this is the last time i do "&amp;"not recommend petflow they also are not any cheaper and their shipping time is the worst and their proplan sensitive stomach and skin is full of crumbs i mean its so bad it was in every bowl i fed my  dogs from now on i will be buying locally
i will give"&amp;" them two stars for their customer service it is very good and they always answer my emails immediately i think they are a decent company but i think maybe they have some quality control issues")</f>
        <v>two months in a row they messed my orders up so bad i had too buy dog food to get them through until delivery it caused my dogs upset tummies loose poo and itching doesnt make them or me very happy
i have had issues before but this is the last time i do not recommend petflow they also are not any cheaper and their shipping time is the worst and their proplan sensitive stomach and skin is full of crumbs i mean its so bad it was in every bowl i fed my  dogs from now on i will be buying locally
i will give them two stars for their customer service it is very good and they always answer my emails immediately i think they are a decent company but i think maybe they have some quality control issues</v>
      </c>
      <c r="H2865" s="4" t="str">
        <f t="shared" si="1"/>
        <v>two months in a row they messed my orders up so bad i had too buy dog food get them through until delivery it caused my dogs upset tummies loose poo itching doesnt make them or me very happy
i have had issues before but this last time i do not recommend petflow they also are not any cheaper their shipping time worst their proplan sensitive stomach skin full of crumbs i mean its so bad it was in every bowl i fed my dogs from now on i will be buying locally
i will give them two stars their customer service it very good they always answer my emails immediately i think they are a decent company but i think maybe they have some quality control issues</v>
      </c>
      <c r="I2865" s="6">
        <f t="shared" si="2"/>
        <v>126</v>
      </c>
      <c r="J2865" s="6">
        <f>IFERROR(__xludf.DUMMYFUNCTION("IF(H2865="""","""",
SUM(
ARRAYFORMULA(
IF(
REGEXMATCH(
"" ""&amp;H2865&amp;"" "",
"" ""&amp;Sentiment_Words!A$2:A3730&amp;"" ""
),
1,
0
)
)
)
)"),3.0)</f>
        <v>3</v>
      </c>
      <c r="K2865" s="4">
        <f>IFERROR(__xludf.DUMMYFUNCTION("IF(H2865="""","""",
SUM(
ARRAYFORMULA(
IF(
REGEXMATCH(
"" ""&amp;H2865&amp;"" "",
"" ""&amp;Sentiment_Words!B$2:B3730&amp;"" ""
),
1,
0
)
)
)
)"),1.0)</f>
        <v>1</v>
      </c>
      <c r="L2865" s="7" t="str">
        <f t="shared" si="3"/>
        <v>Customer Support</v>
      </c>
      <c r="M2865" s="7" t="str">
        <f t="shared" si="4"/>
        <v>Positive</v>
      </c>
      <c r="N2865" s="7" t="str">
        <f>IFERROR(__xludf.DUMMYFUNCTION("LOWER(
TRIM(
REGEXREPLACE(B2865,""[^a-zA-Z\s]"","""")
)
)
"),"karla clippinger")</f>
        <v>karla clippinger</v>
      </c>
      <c r="O2865" s="7">
        <f t="shared" si="5"/>
        <v>1</v>
      </c>
      <c r="P2865" s="8" t="str">
        <f t="shared" si="6"/>
        <v>No</v>
      </c>
    </row>
    <row r="2866">
      <c r="A2866" s="4" t="s">
        <v>16</v>
      </c>
      <c r="B2866" s="4" t="s">
        <v>56</v>
      </c>
      <c r="C2866" s="5">
        <v>44619.0</v>
      </c>
      <c r="D2866" s="10">
        <v>44619.0</v>
      </c>
      <c r="E2866" s="4" t="s">
        <v>7984</v>
      </c>
      <c r="F2866" s="4" t="s">
        <v>7985</v>
      </c>
      <c r="G2866" s="6" t="str">
        <f>IFERROR(__xludf.DUMMYFUNCTION("REGEXREPLACE(LOWER(F2866),""[^a-z\s]"","""")"),"got the prescription promptly after poor start now all is well good service fixing the early problem")</f>
        <v>got the prescription promptly after poor start now all is well good service fixing the early problem</v>
      </c>
      <c r="H2866" s="4" t="str">
        <f t="shared" si="1"/>
        <v>got prescription promptly after poor start now all well good service fixing early problem</v>
      </c>
      <c r="I2866" s="6">
        <f t="shared" si="2"/>
        <v>14</v>
      </c>
      <c r="J2866" s="6">
        <f>IFERROR(__xludf.DUMMYFUNCTION("IF(H2866="""","""",
SUM(
ARRAYFORMULA(
IF(
REGEXMATCH(
"" ""&amp;H2866&amp;"" "",
"" ""&amp;Sentiment_Words!A$2:A3730&amp;"" ""
),
1,
0
)
)
)
)"),1.0)</f>
        <v>1</v>
      </c>
      <c r="K2866" s="4">
        <f>IFERROR(__xludf.DUMMYFUNCTION("IF(H2866="""","""",
SUM(
ARRAYFORMULA(
IF(
REGEXMATCH(
"" ""&amp;H2866&amp;"" "",
"" ""&amp;Sentiment_Words!B$2:B3730&amp;"" ""
),
1,
0
)
)
)
)"),1.0)</f>
        <v>1</v>
      </c>
      <c r="L2866" s="7" t="str">
        <f t="shared" si="3"/>
        <v>Customer Support</v>
      </c>
      <c r="M2866" s="7" t="str">
        <f t="shared" si="4"/>
        <v>Neutral</v>
      </c>
      <c r="N2866" s="7" t="str">
        <f>IFERROR(__xludf.DUMMYFUNCTION("LOWER(
TRIM(
REGEXREPLACE(B2866,""[^a-zA-Z\s]"","""")
)
)
"),"customer")</f>
        <v>customer</v>
      </c>
      <c r="O2866" s="7">
        <f t="shared" si="5"/>
        <v>54</v>
      </c>
      <c r="P2866" s="8" t="str">
        <f t="shared" si="6"/>
        <v>Yes</v>
      </c>
    </row>
    <row r="2867">
      <c r="A2867" s="4" t="s">
        <v>16</v>
      </c>
      <c r="B2867" s="4" t="s">
        <v>739</v>
      </c>
      <c r="C2867" s="5">
        <v>44618.0</v>
      </c>
      <c r="D2867" s="10">
        <v>44619.0</v>
      </c>
      <c r="E2867" s="4" t="s">
        <v>7986</v>
      </c>
      <c r="F2867" s="4" t="s">
        <v>7987</v>
      </c>
      <c r="G2867" s="6" t="str">
        <f>IFERROR(__xludf.DUMMYFUNCTION("REGEXREPLACE(LOWER(F2867),""[^a-z\s]"","""")"),"i cannot give a review as yet because my product has been back ordered for some time i am a first time purchaser at pet flow and found the website to be easy to navigate i browsed through the site and found so many good products  products i will definitel"&amp;"y use my husky is on a prescription diet and it was very easy to order and submit the prescription i dont know how quick shipping will be nor customer service should i need it
i will review again when i receive the product i ordered")</f>
        <v>i cannot give a review as yet because my product has been back ordered for some time i am a first time purchaser at pet flow and found the website to be easy to navigate i browsed through the site and found so many good products  products i will definitely use my husky is on a prescription diet and it was very easy to order and submit the prescription i dont know how quick shipping will be nor customer service should i need it
i will review again when i receive the product i ordered</v>
      </c>
      <c r="H2867" s="4" t="str">
        <f t="shared" si="1"/>
        <v>i cannot give a review as yet because my product has been back ordered some time i am a first time purchaser at pet flow found website be easy navigate i browsed through site found so many good products products i will definitely use my husky on a prescription diet it was very easy order submit prescription i dont know how quick shipping will be nor customer service should i need it
i will review again when i receive product i ordered</v>
      </c>
      <c r="I2867" s="6">
        <f t="shared" si="2"/>
        <v>81</v>
      </c>
      <c r="J2867" s="6">
        <f>IFERROR(__xludf.DUMMYFUNCTION("IF(H2867="""","""",
SUM(
ARRAYFORMULA(
IF(
REGEXMATCH(
"" ""&amp;H2867&amp;"" "",
"" ""&amp;Sentiment_Words!A$2:A3730&amp;"" ""
),
1,
0
)
)
)
)"),3.0)</f>
        <v>3</v>
      </c>
      <c r="K2867" s="4">
        <f>IFERROR(__xludf.DUMMYFUNCTION("IF(H2867="""","""",
SUM(
ARRAYFORMULA(
IF(
REGEXMATCH(
"" ""&amp;H2867&amp;"" "",
"" ""&amp;Sentiment_Words!B$2:B3730&amp;"" ""
),
1,
0
)
)
)
)"),1.0)</f>
        <v>1</v>
      </c>
      <c r="L2867" s="7" t="str">
        <f t="shared" si="3"/>
        <v>Customer Support</v>
      </c>
      <c r="M2867" s="7" t="str">
        <f t="shared" si="4"/>
        <v>Positive</v>
      </c>
      <c r="N2867" s="7" t="str">
        <f>IFERROR(__xludf.DUMMYFUNCTION("LOWER(
TRIM(
REGEXREPLACE(B2867,""[^a-zA-Z\s]"","""")
)
)
"),"customer")</f>
        <v>customer</v>
      </c>
      <c r="O2867" s="7">
        <f t="shared" si="5"/>
        <v>54</v>
      </c>
      <c r="P2867" s="8" t="str">
        <f t="shared" si="6"/>
        <v>Yes</v>
      </c>
    </row>
    <row r="2868">
      <c r="A2868" s="4" t="s">
        <v>16</v>
      </c>
      <c r="B2868" s="4" t="s">
        <v>7988</v>
      </c>
      <c r="C2868" s="5">
        <v>44618.0</v>
      </c>
      <c r="D2868" s="10">
        <v>44618.0</v>
      </c>
      <c r="E2868" s="4" t="s">
        <v>54</v>
      </c>
      <c r="F2868" s="4" t="s">
        <v>7989</v>
      </c>
      <c r="G2868" s="6" t="str">
        <f>IFERROR(__xludf.DUMMYFUNCTION("REGEXREPLACE(LOWER(F2868),""[^a-z\s]"","""")"),"great service  fast shipping ")</f>
        <v>great service  fast shipping </v>
      </c>
      <c r="H2868" s="4" t="str">
        <f t="shared" si="1"/>
        <v>great service fast shipping</v>
      </c>
      <c r="I2868" s="6">
        <f t="shared" si="2"/>
        <v>4</v>
      </c>
      <c r="J2868" s="6">
        <f>IFERROR(__xludf.DUMMYFUNCTION("IF(H2868="""","""",
SUM(
ARRAYFORMULA(
IF(
REGEXMATCH(
"" ""&amp;H2868&amp;"" "",
"" ""&amp;Sentiment_Words!A$2:A3730&amp;"" ""
),
1,
0
)
)
)
)"),2.0)</f>
        <v>2</v>
      </c>
      <c r="K2868" s="4">
        <f>IFERROR(__xludf.DUMMYFUNCTION("IF(H2868="""","""",
SUM(
ARRAYFORMULA(
IF(
REGEXMATCH(
"" ""&amp;H2868&amp;"" "",
"" ""&amp;Sentiment_Words!B$2:B3730&amp;"" ""
),
1,
0
)
)
)
)"),0.0)</f>
        <v>0</v>
      </c>
      <c r="L2868" s="7" t="str">
        <f t="shared" si="3"/>
        <v>Customer Support</v>
      </c>
      <c r="M2868" s="7" t="str">
        <f t="shared" si="4"/>
        <v>Positive</v>
      </c>
      <c r="N2868" s="7" t="str">
        <f>IFERROR(__xludf.DUMMYFUNCTION("LOWER(
TRIM(
REGEXREPLACE(B2868,""[^a-zA-Z\s]"","""")
)
)
"),"melody barrett")</f>
        <v>melody barrett</v>
      </c>
      <c r="O2868" s="7">
        <f t="shared" si="5"/>
        <v>1</v>
      </c>
      <c r="P2868" s="8" t="str">
        <f t="shared" si="6"/>
        <v>No</v>
      </c>
    </row>
    <row r="2869">
      <c r="A2869" s="4" t="s">
        <v>16</v>
      </c>
      <c r="B2869" s="4" t="s">
        <v>7990</v>
      </c>
      <c r="C2869" s="5">
        <v>44618.0</v>
      </c>
      <c r="D2869" s="10">
        <v>44618.0</v>
      </c>
      <c r="E2869" s="4" t="s">
        <v>7991</v>
      </c>
      <c r="F2869" s="4" t="s">
        <v>7992</v>
      </c>
      <c r="G2869" s="6" t="str">
        <f>IFERROR(__xludf.DUMMYFUNCTION("REGEXREPLACE(LOWER(F2869),""[^a-z\s]"","""")"),"i was pleasantly surprised at how quick i received it")</f>
        <v>i was pleasantly surprised at how quick i received it</v>
      </c>
      <c r="H2869" s="4" t="str">
        <f t="shared" si="1"/>
        <v>i was pleasantly surprised at how quick i received it</v>
      </c>
      <c r="I2869" s="6">
        <f t="shared" si="2"/>
        <v>10</v>
      </c>
      <c r="J2869" s="6">
        <f>IFERROR(__xludf.DUMMYFUNCTION("IF(H2869="""","""",
SUM(
ARRAYFORMULA(
IF(
REGEXMATCH(
"" ""&amp;H2869&amp;"" "",
"" ""&amp;Sentiment_Words!A$2:A3730&amp;"" ""
),
1,
0
)
)
)
)"),0.0)</f>
        <v>0</v>
      </c>
      <c r="K2869" s="4">
        <f>IFERROR(__xludf.DUMMYFUNCTION("IF(H2869="""","""",
SUM(
ARRAYFORMULA(
IF(
REGEXMATCH(
"" ""&amp;H2869&amp;"" "",
"" ""&amp;Sentiment_Words!B$2:B3730&amp;"" ""
),
1,
0
)
)
)
)"),0.0)</f>
        <v>0</v>
      </c>
      <c r="L2869" s="7" t="str">
        <f t="shared" si="3"/>
        <v>Other</v>
      </c>
      <c r="M2869" s="7" t="str">
        <f t="shared" si="4"/>
        <v>Neutral</v>
      </c>
      <c r="N2869" s="7" t="str">
        <f>IFERROR(__xludf.DUMMYFUNCTION("LOWER(
TRIM(
REGEXREPLACE(B2869,""[^a-zA-Z\s]"","""")
)
)
"),"rita caron")</f>
        <v>rita caron</v>
      </c>
      <c r="O2869" s="7">
        <f t="shared" si="5"/>
        <v>1</v>
      </c>
      <c r="P2869" s="8" t="str">
        <f t="shared" si="6"/>
        <v>No</v>
      </c>
    </row>
    <row r="2870">
      <c r="A2870" s="4" t="s">
        <v>16</v>
      </c>
      <c r="B2870" s="4" t="s">
        <v>7993</v>
      </c>
      <c r="C2870" s="5">
        <v>44618.0</v>
      </c>
      <c r="D2870" s="10">
        <v>44618.0</v>
      </c>
      <c r="E2870" s="4" t="s">
        <v>7994</v>
      </c>
      <c r="F2870" s="4" t="s">
        <v>7995</v>
      </c>
      <c r="G2870" s="6" t="str">
        <f>IFERROR(__xludf.DUMMYFUNCTION("REGEXREPLACE(LOWER(F2870),""[^a-z\s]"","""")"),"i love ordering from petflow for all my pets needs dog food cat food treats and anything else that my pets need i love that they are a small business and they have great customer service and always keep everything i order fresh i have been buying from pet"&amp;"flow for so many years i will not buy from anyone else thank you petflow  my pets thank you to")</f>
        <v>i love ordering from petflow for all my pets needs dog food cat food treats and anything else that my pets need i love that they are a small business and they have great customer service and always keep everything i order fresh i have been buying from petflow for so many years i will not buy from anyone else thank you petflow  my pets thank you to</v>
      </c>
      <c r="H2870" s="4" t="str">
        <f t="shared" si="1"/>
        <v>i love ordering from petflow all my pets needs dog food cat food treats anything else that my pets need i love that they are a small business they have great customer service always keep everything i order fresh i have been buying from petflow so many years i will not buy from anyone else thank you petflow my pets thank you</v>
      </c>
      <c r="I2870" s="6">
        <f t="shared" si="2"/>
        <v>62</v>
      </c>
      <c r="J2870" s="6">
        <f>IFERROR(__xludf.DUMMYFUNCTION("IF(H2870="""","""",
SUM(
ARRAYFORMULA(
IF(
REGEXMATCH(
"" ""&amp;H2870&amp;"" "",
"" ""&amp;Sentiment_Words!A$2:A3730&amp;"" ""
),
1,
0
)
)
)
)"),3.0)</f>
        <v>3</v>
      </c>
      <c r="K2870" s="4">
        <f>IFERROR(__xludf.DUMMYFUNCTION("IF(H2870="""","""",
SUM(
ARRAYFORMULA(
IF(
REGEXMATCH(
"" ""&amp;H2870&amp;"" "",
"" ""&amp;Sentiment_Words!B$2:B3730&amp;"" ""
),
1,
0
)
)
)
)"),1.0)</f>
        <v>1</v>
      </c>
      <c r="L2870" s="7" t="str">
        <f t="shared" si="3"/>
        <v>Customer Support</v>
      </c>
      <c r="M2870" s="7" t="str">
        <f t="shared" si="4"/>
        <v>Positive</v>
      </c>
      <c r="N2870" s="7" t="str">
        <f>IFERROR(__xludf.DUMMYFUNCTION("LOWER(
TRIM(
REGEXREPLACE(B2870,""[^a-zA-Z\s]"","""")
)
)
"),"laurie")</f>
        <v>laurie</v>
      </c>
      <c r="O2870" s="7">
        <f t="shared" si="5"/>
        <v>2</v>
      </c>
      <c r="P2870" s="8" t="str">
        <f t="shared" si="6"/>
        <v>Yes</v>
      </c>
    </row>
    <row r="2871">
      <c r="A2871" s="4" t="s">
        <v>16</v>
      </c>
      <c r="B2871" s="4" t="s">
        <v>7996</v>
      </c>
      <c r="C2871" s="5">
        <v>44617.0</v>
      </c>
      <c r="D2871" s="10">
        <v>44618.0</v>
      </c>
      <c r="E2871" s="4" t="s">
        <v>7997</v>
      </c>
      <c r="F2871" s="4" t="s">
        <v>7998</v>
      </c>
      <c r="G2871" s="6" t="str">
        <f>IFERROR(__xludf.DUMMYFUNCTION("REGEXREPLACE(LOWER(F2871),""[^a-z\s]"","""")"),"petflow had what i was looking for and at a good price and the shipping was fast")</f>
        <v>petflow had what i was looking for and at a good price and the shipping was fast</v>
      </c>
      <c r="H2871" s="4" t="str">
        <f t="shared" si="1"/>
        <v>petflow had what i was looking at a good price shipping was fast</v>
      </c>
      <c r="I2871" s="6">
        <f t="shared" si="2"/>
        <v>13</v>
      </c>
      <c r="J2871" s="6">
        <f>IFERROR(__xludf.DUMMYFUNCTION("IF(H2871="""","""",
SUM(
ARRAYFORMULA(
IF(
REGEXMATCH(
"" ""&amp;H2871&amp;"" "",
"" ""&amp;Sentiment_Words!A$2:A3730&amp;"" ""
),
1,
0
)
)
)
)"),2.0)</f>
        <v>2</v>
      </c>
      <c r="K2871" s="4">
        <f>IFERROR(__xludf.DUMMYFUNCTION("IF(H2871="""","""",
SUM(
ARRAYFORMULA(
IF(
REGEXMATCH(
"" ""&amp;H2871&amp;"" "",
"" ""&amp;Sentiment_Words!B$2:B3730&amp;"" ""
),
1,
0
)
)
)
)"),0.0)</f>
        <v>0</v>
      </c>
      <c r="L2871" s="7" t="str">
        <f t="shared" si="3"/>
        <v>Other</v>
      </c>
      <c r="M2871" s="7" t="str">
        <f t="shared" si="4"/>
        <v>Positive</v>
      </c>
      <c r="N2871" s="7" t="str">
        <f>IFERROR(__xludf.DUMMYFUNCTION("LOWER(
TRIM(
REGEXREPLACE(B2871,""[^a-zA-Z\s]"","""")
)
)
"),"snowman")</f>
        <v>snowman</v>
      </c>
      <c r="O2871" s="7">
        <f t="shared" si="5"/>
        <v>1</v>
      </c>
      <c r="P2871" s="8" t="str">
        <f t="shared" si="6"/>
        <v>No</v>
      </c>
    </row>
    <row r="2872">
      <c r="A2872" s="4" t="s">
        <v>16</v>
      </c>
      <c r="B2872" s="4" t="s">
        <v>7999</v>
      </c>
      <c r="C2872" s="5">
        <v>44617.0</v>
      </c>
      <c r="D2872" s="10">
        <v>44617.0</v>
      </c>
      <c r="E2872" s="4" t="s">
        <v>8000</v>
      </c>
      <c r="F2872" s="4" t="s">
        <v>8001</v>
      </c>
      <c r="G2872" s="6" t="str">
        <f>IFERROR(__xludf.DUMMYFUNCTION("REGEXREPLACE(LOWER(F2872),""[^a-z\s]"","""")"),"it took way too long to receive my order chewy does a much better job")</f>
        <v>it took way too long to receive my order chewy does a much better job</v>
      </c>
      <c r="H2872" s="4" t="str">
        <f t="shared" si="1"/>
        <v>it took way too long receive my order chewy does a much better job</v>
      </c>
      <c r="I2872" s="6">
        <f t="shared" si="2"/>
        <v>14</v>
      </c>
      <c r="J2872" s="6">
        <f>IFERROR(__xludf.DUMMYFUNCTION("IF(H2872="""","""",
SUM(
ARRAYFORMULA(
IF(
REGEXMATCH(
"" ""&amp;H2872&amp;"" "",
"" ""&amp;Sentiment_Words!A$2:A3730&amp;"" ""
),
1,
0
)
)
)
)"),0.0)</f>
        <v>0</v>
      </c>
      <c r="K2872" s="4">
        <f>IFERROR(__xludf.DUMMYFUNCTION("IF(H2872="""","""",
SUM(
ARRAYFORMULA(
IF(
REGEXMATCH(
"" ""&amp;H2872&amp;"" "",
"" ""&amp;Sentiment_Words!B$2:B3730&amp;"" ""
),
1,
0
)
)
)
)"),0.0)</f>
        <v>0</v>
      </c>
      <c r="L2872" s="7" t="str">
        <f t="shared" si="3"/>
        <v>Other</v>
      </c>
      <c r="M2872" s="7" t="str">
        <f t="shared" si="4"/>
        <v>Neutral</v>
      </c>
      <c r="N2872" s="7" t="str">
        <f>IFERROR(__xludf.DUMMYFUNCTION("LOWER(
TRIM(
REGEXREPLACE(B2872,""[^a-zA-Z\s]"","""")
)
)
"),"denise davis")</f>
        <v>denise davis</v>
      </c>
      <c r="O2872" s="7">
        <f t="shared" si="5"/>
        <v>1</v>
      </c>
      <c r="P2872" s="8" t="str">
        <f t="shared" si="6"/>
        <v>No</v>
      </c>
    </row>
    <row r="2873">
      <c r="A2873" s="4" t="s">
        <v>16</v>
      </c>
      <c r="B2873" s="4" t="s">
        <v>8002</v>
      </c>
      <c r="C2873" s="5">
        <v>44617.0</v>
      </c>
      <c r="D2873" s="10">
        <v>44617.0</v>
      </c>
      <c r="E2873" s="4" t="s">
        <v>8003</v>
      </c>
      <c r="F2873" s="4" t="s">
        <v>8004</v>
      </c>
      <c r="G2873" s="6" t="str">
        <f>IFERROR(__xludf.DUMMYFUNCTION("REGEXREPLACE(LOWER(F2873),""[^a-z\s]"","""")"),"we received our order on time and free delivery was convenient")</f>
        <v>we received our order on time and free delivery was convenient</v>
      </c>
      <c r="H2873" s="4" t="str">
        <f t="shared" si="1"/>
        <v>we received our order on time free delivery was convenient</v>
      </c>
      <c r="I2873" s="6">
        <f t="shared" si="2"/>
        <v>10</v>
      </c>
      <c r="J2873" s="6">
        <f>IFERROR(__xludf.DUMMYFUNCTION("IF(H2873="""","""",
SUM(
ARRAYFORMULA(
IF(
REGEXMATCH(
"" ""&amp;H2873&amp;"" "",
"" ""&amp;Sentiment_Words!A$2:A3730&amp;"" ""
),
1,
0
)
)
)
)"),2.0)</f>
        <v>2</v>
      </c>
      <c r="K2873" s="4">
        <f>IFERROR(__xludf.DUMMYFUNCTION("IF(H2873="""","""",
SUM(
ARRAYFORMULA(
IF(
REGEXMATCH(
"" ""&amp;H2873&amp;"" "",
"" ""&amp;Sentiment_Words!B$2:B3730&amp;"" ""
),
1,
0
)
)
)
)"),0.0)</f>
        <v>0</v>
      </c>
      <c r="L2873" s="7" t="str">
        <f t="shared" si="3"/>
        <v>Value &amp; Convenience</v>
      </c>
      <c r="M2873" s="7" t="str">
        <f t="shared" si="4"/>
        <v>Positive</v>
      </c>
      <c r="N2873" s="7" t="str">
        <f>IFERROR(__xludf.DUMMYFUNCTION("LOWER(
TRIM(
REGEXREPLACE(B2873,""[^a-zA-Z\s]"","""")
)
)
"),"kristy")</f>
        <v>kristy</v>
      </c>
      <c r="O2873" s="7">
        <f t="shared" si="5"/>
        <v>1</v>
      </c>
      <c r="P2873" s="8" t="str">
        <f t="shared" si="6"/>
        <v>No</v>
      </c>
    </row>
    <row r="2874">
      <c r="A2874" s="4" t="s">
        <v>16</v>
      </c>
      <c r="B2874" s="4" t="s">
        <v>8005</v>
      </c>
      <c r="C2874" s="5">
        <v>44617.0</v>
      </c>
      <c r="D2874" s="10">
        <v>44617.0</v>
      </c>
      <c r="E2874" s="4" t="s">
        <v>8006</v>
      </c>
      <c r="F2874" s="4" t="s">
        <v>8007</v>
      </c>
      <c r="G2874" s="6" t="str">
        <f>IFERROR(__xludf.DUMMYFUNCTION("REGEXREPLACE(LOWER(F2874),""[^a-z\s]"","""")"),"i love petflow easy ordering and quick delivery never any issues at all so glad i found this company")</f>
        <v>i love petflow easy ordering and quick delivery never any issues at all so glad i found this company</v>
      </c>
      <c r="H2874" s="4" t="str">
        <f t="shared" si="1"/>
        <v>i love petflow easy ordering quick delivery never any issues at all so glad i found this company</v>
      </c>
      <c r="I2874" s="6">
        <f t="shared" si="2"/>
        <v>18</v>
      </c>
      <c r="J2874" s="6">
        <f>IFERROR(__xludf.DUMMYFUNCTION("IF(H2874="""","""",
SUM(
ARRAYFORMULA(
IF(
REGEXMATCH(
"" ""&amp;H2874&amp;"" "",
"" ""&amp;Sentiment_Words!A$2:A3730&amp;"" ""
),
1,
0
)
)
)
)"),4.0)</f>
        <v>4</v>
      </c>
      <c r="K2874" s="4">
        <f>IFERROR(__xludf.DUMMYFUNCTION("IF(H2874="""","""",
SUM(
ARRAYFORMULA(
IF(
REGEXMATCH(
"" ""&amp;H2874&amp;"" "",
"" ""&amp;Sentiment_Words!B$2:B3730&amp;"" ""
),
1,
0
)
)
)
)"),0.0)</f>
        <v>0</v>
      </c>
      <c r="L2874" s="7" t="str">
        <f t="shared" si="3"/>
        <v>Other</v>
      </c>
      <c r="M2874" s="7" t="str">
        <f t="shared" si="4"/>
        <v>Positive</v>
      </c>
      <c r="N2874" s="7" t="str">
        <f>IFERROR(__xludf.DUMMYFUNCTION("LOWER(
TRIM(
REGEXREPLACE(B2874,""[^a-zA-Z\s]"","""")
)
)
"),"bernadette bruno")</f>
        <v>bernadette bruno</v>
      </c>
      <c r="O2874" s="7">
        <f t="shared" si="5"/>
        <v>1</v>
      </c>
      <c r="P2874" s="8" t="str">
        <f t="shared" si="6"/>
        <v>No</v>
      </c>
    </row>
    <row r="2875">
      <c r="A2875" s="4" t="s">
        <v>16</v>
      </c>
      <c r="B2875" s="4" t="s">
        <v>8008</v>
      </c>
      <c r="C2875" s="5">
        <v>44617.0</v>
      </c>
      <c r="D2875" s="10">
        <v>44617.0</v>
      </c>
      <c r="E2875" s="4" t="s">
        <v>8009</v>
      </c>
      <c r="F2875" s="4" t="s">
        <v>8010</v>
      </c>
      <c r="G2875" s="6" t="str">
        <f>IFERROR(__xludf.DUMMYFUNCTION("REGEXREPLACE(LOWER(F2875),""[^a-z\s]"","""")"),"love pet flow have used them for over a decade highly recommend any customer service calls are quickly resolved but i have only had  the whole time")</f>
        <v>love pet flow have used them for over a decade highly recommend any customer service calls are quickly resolved but i have only had  the whole time</v>
      </c>
      <c r="H2875" s="4" t="str">
        <f t="shared" si="1"/>
        <v>love pet flow have used them over a decade highly recommend any customer service calls are quickly resolved but i have only had whole time</v>
      </c>
      <c r="I2875" s="6">
        <f t="shared" si="2"/>
        <v>25</v>
      </c>
      <c r="J2875" s="6">
        <f>IFERROR(__xludf.DUMMYFUNCTION("IF(H2875="""","""",
SUM(
ARRAYFORMULA(
IF(
REGEXMATCH(
"" ""&amp;H2875&amp;"" "",
"" ""&amp;Sentiment_Words!A$2:A3730&amp;"" ""
),
1,
0
)
)
)
)"),2.0)</f>
        <v>2</v>
      </c>
      <c r="K2875" s="4">
        <f>IFERROR(__xludf.DUMMYFUNCTION("IF(H2875="""","""",
SUM(
ARRAYFORMULA(
IF(
REGEXMATCH(
"" ""&amp;H2875&amp;"" "",
"" ""&amp;Sentiment_Words!B$2:B3730&amp;"" ""
),
1,
0
)
)
)
)"),1.0)</f>
        <v>1</v>
      </c>
      <c r="L2875" s="7" t="str">
        <f t="shared" si="3"/>
        <v>Customer Support</v>
      </c>
      <c r="M2875" s="7" t="str">
        <f t="shared" si="4"/>
        <v>Positive</v>
      </c>
      <c r="N2875" s="7" t="str">
        <f>IFERROR(__xludf.DUMMYFUNCTION("LOWER(
TRIM(
REGEXREPLACE(B2875,""[^a-zA-Z\s]"","""")
)
)
"),"lindsey and pip")</f>
        <v>lindsey and pip</v>
      </c>
      <c r="O2875" s="7">
        <f t="shared" si="5"/>
        <v>1</v>
      </c>
      <c r="P2875" s="8" t="str">
        <f t="shared" si="6"/>
        <v>No</v>
      </c>
    </row>
    <row r="2876">
      <c r="A2876" s="4" t="s">
        <v>16</v>
      </c>
      <c r="B2876" s="4" t="s">
        <v>8011</v>
      </c>
      <c r="C2876" s="5">
        <v>44617.0</v>
      </c>
      <c r="D2876" s="10">
        <v>44617.0</v>
      </c>
      <c r="E2876" s="4" t="s">
        <v>8012</v>
      </c>
      <c r="F2876" s="4" t="s">
        <v>8013</v>
      </c>
      <c r="G2876" s="6" t="str">
        <f>IFERROR(__xludf.DUMMYFUNCTION("REGEXREPLACE(LOWER(F2876),""[^a-z\s]"","""")"),"customer for years pet flow is our favorite dog food center")</f>
        <v>customer for years pet flow is our favorite dog food center</v>
      </c>
      <c r="H2876" s="4" t="str">
        <f t="shared" si="1"/>
        <v>customer years pet flow our favorite dog food center</v>
      </c>
      <c r="I2876" s="6">
        <f t="shared" si="2"/>
        <v>9</v>
      </c>
      <c r="J2876" s="6">
        <f>IFERROR(__xludf.DUMMYFUNCTION("IF(H2876="""","""",
SUM(
ARRAYFORMULA(
IF(
REGEXMATCH(
"" ""&amp;H2876&amp;"" "",
"" ""&amp;Sentiment_Words!A$2:A3730&amp;"" ""
),
1,
0
)
)
)
)"),0.0)</f>
        <v>0</v>
      </c>
      <c r="K2876" s="4">
        <f>IFERROR(__xludf.DUMMYFUNCTION("IF(H2876="""","""",
SUM(
ARRAYFORMULA(
IF(
REGEXMATCH(
"" ""&amp;H2876&amp;"" "",
"" ""&amp;Sentiment_Words!B$2:B3730&amp;"" ""
),
1,
0
)
)
)
)"),0.0)</f>
        <v>0</v>
      </c>
      <c r="L2876" s="7" t="str">
        <f t="shared" si="3"/>
        <v>Other</v>
      </c>
      <c r="M2876" s="7" t="str">
        <f t="shared" si="4"/>
        <v>Neutral</v>
      </c>
      <c r="N2876" s="7" t="str">
        <f>IFERROR(__xludf.DUMMYFUNCTION("LOWER(
TRIM(
REGEXREPLACE(B2876,""[^a-zA-Z\s]"","""")
)
)
"),"elizabeth ali")</f>
        <v>elizabeth ali</v>
      </c>
      <c r="O2876" s="7">
        <f t="shared" si="5"/>
        <v>1</v>
      </c>
      <c r="P2876" s="8" t="str">
        <f t="shared" si="6"/>
        <v>No</v>
      </c>
    </row>
    <row r="2877">
      <c r="A2877" s="4" t="s">
        <v>16</v>
      </c>
      <c r="B2877" s="4" t="s">
        <v>8014</v>
      </c>
      <c r="C2877" s="5">
        <v>44617.0</v>
      </c>
      <c r="D2877" s="10">
        <v>44617.0</v>
      </c>
      <c r="E2877" s="4" t="s">
        <v>8015</v>
      </c>
      <c r="F2877" s="4" t="s">
        <v>8016</v>
      </c>
      <c r="G2877" s="6" t="str">
        <f>IFERROR(__xludf.DUMMYFUNCTION("REGEXREPLACE(LOWER(F2877),""[^a-z\s]"","""")"),"the price is fair and delivery was quick")</f>
        <v>the price is fair and delivery was quick</v>
      </c>
      <c r="H2877" s="4" t="str">
        <f t="shared" si="1"/>
        <v>price fair delivery was quick</v>
      </c>
      <c r="I2877" s="6">
        <f t="shared" si="2"/>
        <v>5</v>
      </c>
      <c r="J2877" s="6">
        <f>IFERROR(__xludf.DUMMYFUNCTION("IF(H2877="""","""",
SUM(
ARRAYFORMULA(
IF(
REGEXMATCH(
"" ""&amp;H2877&amp;"" "",
"" ""&amp;Sentiment_Words!A$2:A3730&amp;"" ""
),
1,
0
)
)
)
)"),0.0)</f>
        <v>0</v>
      </c>
      <c r="K2877" s="4">
        <f>IFERROR(__xludf.DUMMYFUNCTION("IF(H2877="""","""",
SUM(
ARRAYFORMULA(
IF(
REGEXMATCH(
"" ""&amp;H2877&amp;"" "",
"" ""&amp;Sentiment_Words!B$2:B3730&amp;"" ""
),
1,
0
)
)
)
)"),0.0)</f>
        <v>0</v>
      </c>
      <c r="L2877" s="7" t="str">
        <f t="shared" si="3"/>
        <v>Other</v>
      </c>
      <c r="M2877" s="7" t="str">
        <f t="shared" si="4"/>
        <v>Neutral</v>
      </c>
      <c r="N2877" s="7" t="str">
        <f>IFERROR(__xludf.DUMMYFUNCTION("LOWER(
TRIM(
REGEXREPLACE(B2877,""[^a-zA-Z\s]"","""")
)
)
"),"elsa abilez")</f>
        <v>elsa abilez</v>
      </c>
      <c r="O2877" s="7">
        <f t="shared" si="5"/>
        <v>1</v>
      </c>
      <c r="P2877" s="8" t="str">
        <f t="shared" si="6"/>
        <v>No</v>
      </c>
    </row>
    <row r="2878">
      <c r="A2878" s="4" t="s">
        <v>16</v>
      </c>
      <c r="B2878" s="4" t="s">
        <v>8017</v>
      </c>
      <c r="C2878" s="5">
        <v>44616.0</v>
      </c>
      <c r="D2878" s="10">
        <v>44616.0</v>
      </c>
      <c r="E2878" s="4" t="s">
        <v>8018</v>
      </c>
      <c r="F2878" s="4" t="s">
        <v>8019</v>
      </c>
      <c r="G2878" s="6" t="str">
        <f>IFERROR(__xludf.DUMMYFUNCTION("REGEXREPLACE(LOWER(F2878),""[^a-z\s]"","""")"),"the prices are good shipping was quick and i was kept up to date from the order confirmation through the delivery notification")</f>
        <v>the prices are good shipping was quick and i was kept up to date from the order confirmation through the delivery notification</v>
      </c>
      <c r="H2878" s="4" t="str">
        <f t="shared" si="1"/>
        <v>prices are good shipping was quick i was kept up date from order confirmation through delivery notification</v>
      </c>
      <c r="I2878" s="6">
        <f t="shared" si="2"/>
        <v>17</v>
      </c>
      <c r="J2878" s="6">
        <f>IFERROR(__xludf.DUMMYFUNCTION("IF(H2878="""","""",
SUM(
ARRAYFORMULA(
IF(
REGEXMATCH(
"" ""&amp;H2878&amp;"" "",
"" ""&amp;Sentiment_Words!A$2:A3730&amp;"" ""
),
1,
0
)
)
)
)"),1.0)</f>
        <v>1</v>
      </c>
      <c r="K2878" s="4">
        <f>IFERROR(__xludf.DUMMYFUNCTION("IF(H2878="""","""",
SUM(
ARRAYFORMULA(
IF(
REGEXMATCH(
"" ""&amp;H2878&amp;"" "",
"" ""&amp;Sentiment_Words!B$2:B3730&amp;"" ""
),
1,
0
)
)
)
)"),0.0)</f>
        <v>0</v>
      </c>
      <c r="L2878" s="7" t="str">
        <f t="shared" si="3"/>
        <v>Other</v>
      </c>
      <c r="M2878" s="7" t="str">
        <f t="shared" si="4"/>
        <v>Positive</v>
      </c>
      <c r="N2878" s="7" t="str">
        <f>IFERROR(__xludf.DUMMYFUNCTION("LOWER(
TRIM(
REGEXREPLACE(B2878,""[^a-zA-Z\s]"","""")
)
)
"),"ellen j")</f>
        <v>ellen j</v>
      </c>
      <c r="O2878" s="7">
        <f t="shared" si="5"/>
        <v>1</v>
      </c>
      <c r="P2878" s="8" t="str">
        <f t="shared" si="6"/>
        <v>No</v>
      </c>
    </row>
    <row r="2879">
      <c r="A2879" s="4" t="s">
        <v>16</v>
      </c>
      <c r="B2879" s="4" t="s">
        <v>8020</v>
      </c>
      <c r="C2879" s="5">
        <v>44616.0</v>
      </c>
      <c r="D2879" s="10">
        <v>44616.0</v>
      </c>
      <c r="E2879" s="4" t="s">
        <v>8021</v>
      </c>
      <c r="F2879" s="4" t="s">
        <v>8022</v>
      </c>
      <c r="G2879" s="6" t="str">
        <f>IFERROR(__xludf.DUMMYFUNCTION("REGEXREPLACE(LOWER(F2879),""[^a-z\s]"","""")"),"we and our cats loved all the toys we selected and they arrived safely and
in a good amount of shipping time will order more in the future")</f>
        <v>we and our cats loved all the toys we selected and they arrived safely and
in a good amount of shipping time will order more in the future</v>
      </c>
      <c r="H2879" s="4" t="str">
        <f t="shared" si="1"/>
        <v>we our cats loved all toys we selected they arrived safely and
in a good amount of shipping time will order more in future</v>
      </c>
      <c r="I2879" s="6">
        <f t="shared" si="2"/>
        <v>23</v>
      </c>
      <c r="J2879" s="6">
        <f>IFERROR(__xludf.DUMMYFUNCTION("IF(H2879="""","""",
SUM(
ARRAYFORMULA(
IF(
REGEXMATCH(
"" ""&amp;H2879&amp;"" "",
"" ""&amp;Sentiment_Words!A$2:A3730&amp;"" ""
),
1,
0
)
)
)
)"),1.0)</f>
        <v>1</v>
      </c>
      <c r="K2879" s="4">
        <f>IFERROR(__xludf.DUMMYFUNCTION("IF(H2879="""","""",
SUM(
ARRAYFORMULA(
IF(
REGEXMATCH(
"" ""&amp;H2879&amp;"" "",
"" ""&amp;Sentiment_Words!B$2:B3730&amp;"" ""
),
1,
0
)
)
)
)"),0.0)</f>
        <v>0</v>
      </c>
      <c r="L2879" s="7" t="str">
        <f t="shared" si="3"/>
        <v>Other</v>
      </c>
      <c r="M2879" s="7" t="str">
        <f t="shared" si="4"/>
        <v>Positive</v>
      </c>
      <c r="N2879" s="7" t="str">
        <f>IFERROR(__xludf.DUMMYFUNCTION("LOWER(
TRIM(
REGEXREPLACE(B2879,""[^a-zA-Z\s]"","""")
)
)
"),"trina")</f>
        <v>trina</v>
      </c>
      <c r="O2879" s="7">
        <f t="shared" si="5"/>
        <v>1</v>
      </c>
      <c r="P2879" s="8" t="str">
        <f t="shared" si="6"/>
        <v>No</v>
      </c>
    </row>
    <row r="2880">
      <c r="A2880" s="4" t="s">
        <v>16</v>
      </c>
      <c r="B2880" s="4" t="s">
        <v>8023</v>
      </c>
      <c r="C2880" s="5">
        <v>44616.0</v>
      </c>
      <c r="D2880" s="10">
        <v>44616.0</v>
      </c>
      <c r="E2880" s="4" t="s">
        <v>6395</v>
      </c>
      <c r="F2880" s="4" t="s">
        <v>8024</v>
      </c>
      <c r="G2880" s="6" t="str">
        <f>IFERROR(__xludf.DUMMYFUNCTION("REGEXREPLACE(LOWER(F2880),""[^a-z\s]"","""")"),"ive ordered twice in the last couple of weeks prescription cat food and nexguard and both times they reached out to my vet in a timely manner and i received my orders within a few days
will definitely use them again")</f>
        <v>ive ordered twice in the last couple of weeks prescription cat food and nexguard and both times they reached out to my vet in a timely manner and i received my orders within a few days
will definitely use them again</v>
      </c>
      <c r="H2880" s="4" t="str">
        <f t="shared" si="1"/>
        <v>ive ordered twice in last couple of weeks prescription cat food nexguard both times they reached out my vet in a timely manner i received my orders within a few days
will definitely use them again</v>
      </c>
      <c r="I2880" s="6">
        <f t="shared" si="2"/>
        <v>35</v>
      </c>
      <c r="J2880" s="6">
        <f>IFERROR(__xludf.DUMMYFUNCTION("IF(H2880="""","""",
SUM(
ARRAYFORMULA(
IF(
REGEXMATCH(
"" ""&amp;H2880&amp;"" "",
"" ""&amp;Sentiment_Words!A$2:A3730&amp;"" ""
),
1,
0
)
)
)
)"),0.0)</f>
        <v>0</v>
      </c>
      <c r="K2880" s="4">
        <f>IFERROR(__xludf.DUMMYFUNCTION("IF(H2880="""","""",
SUM(
ARRAYFORMULA(
IF(
REGEXMATCH(
"" ""&amp;H2880&amp;"" "",
"" ""&amp;Sentiment_Words!B$2:B3730&amp;"" ""
),
1,
0
)
)
)
)"),0.0)</f>
        <v>0</v>
      </c>
      <c r="L2880" s="7" t="str">
        <f t="shared" si="3"/>
        <v>Other</v>
      </c>
      <c r="M2880" s="7" t="str">
        <f t="shared" si="4"/>
        <v>Neutral</v>
      </c>
      <c r="N2880" s="7" t="str">
        <f>IFERROR(__xludf.DUMMYFUNCTION("LOWER(
TRIM(
REGEXREPLACE(B2880,""[^a-zA-Z\s]"","""")
)
)
"),"marianne burdick")</f>
        <v>marianne burdick</v>
      </c>
      <c r="O2880" s="7">
        <f t="shared" si="5"/>
        <v>1</v>
      </c>
      <c r="P2880" s="8" t="str">
        <f t="shared" si="6"/>
        <v>No</v>
      </c>
    </row>
    <row r="2881">
      <c r="A2881" s="4" t="s">
        <v>16</v>
      </c>
      <c r="B2881" s="4" t="s">
        <v>8025</v>
      </c>
      <c r="C2881" s="5">
        <v>44616.0</v>
      </c>
      <c r="D2881" s="10">
        <v>44616.0</v>
      </c>
      <c r="E2881" s="4" t="s">
        <v>1269</v>
      </c>
      <c r="F2881" s="4" t="s">
        <v>8026</v>
      </c>
      <c r="G2881" s="6" t="str">
        <f>IFERROR(__xludf.DUMMYFUNCTION("REGEXREPLACE(LOWER(F2881),""[^a-z\s]"","""")"),"good prices fast shipping")</f>
        <v>good prices fast shipping</v>
      </c>
      <c r="H2881" s="4" t="str">
        <f t="shared" si="1"/>
        <v>good prices fast shipping</v>
      </c>
      <c r="I2881" s="6">
        <f t="shared" si="2"/>
        <v>4</v>
      </c>
      <c r="J2881" s="6">
        <f>IFERROR(__xludf.DUMMYFUNCTION("IF(H2881="""","""",
SUM(
ARRAYFORMULA(
IF(
REGEXMATCH(
"" ""&amp;H2881&amp;"" "",
"" ""&amp;Sentiment_Words!A$2:A3730&amp;"" ""
),
1,
0
)
)
)
)"),2.0)</f>
        <v>2</v>
      </c>
      <c r="K2881" s="4">
        <f>IFERROR(__xludf.DUMMYFUNCTION("IF(H2881="""","""",
SUM(
ARRAYFORMULA(
IF(
REGEXMATCH(
"" ""&amp;H2881&amp;"" "",
"" ""&amp;Sentiment_Words!B$2:B3730&amp;"" ""
),
1,
0
)
)
)
)"),0.0)</f>
        <v>0</v>
      </c>
      <c r="L2881" s="7" t="str">
        <f t="shared" si="3"/>
        <v>Other</v>
      </c>
      <c r="M2881" s="7" t="str">
        <f t="shared" si="4"/>
        <v>Positive</v>
      </c>
      <c r="N2881" s="7" t="str">
        <f>IFERROR(__xludf.DUMMYFUNCTION("LOWER(
TRIM(
REGEXREPLACE(B2881,""[^a-zA-Z\s]"","""")
)
)
"),"paul noone")</f>
        <v>paul noone</v>
      </c>
      <c r="O2881" s="7">
        <f t="shared" si="5"/>
        <v>1</v>
      </c>
      <c r="P2881" s="8" t="str">
        <f t="shared" si="6"/>
        <v>No</v>
      </c>
    </row>
    <row r="2882">
      <c r="A2882" s="4" t="s">
        <v>16</v>
      </c>
      <c r="B2882" s="4" t="s">
        <v>8027</v>
      </c>
      <c r="C2882" s="5">
        <v>44615.0</v>
      </c>
      <c r="D2882" s="10">
        <v>44615.0</v>
      </c>
      <c r="E2882" s="4" t="s">
        <v>8028</v>
      </c>
      <c r="F2882" s="4" t="s">
        <v>8029</v>
      </c>
      <c r="G2882" s="6" t="str">
        <f>IFERROR(__xludf.DUMMYFUNCTION("REGEXREPLACE(LOWER(F2882),""[^a-z\s]"","""")"),"petflow maintains a huge assortment of animal foods and provides prompt shipment")</f>
        <v>petflow maintains a huge assortment of animal foods and provides prompt shipment</v>
      </c>
      <c r="H2882" s="4" t="str">
        <f t="shared" si="1"/>
        <v>petflow maintains a huge assortment of animal foods provides prompt shipment</v>
      </c>
      <c r="I2882" s="6">
        <f t="shared" si="2"/>
        <v>11</v>
      </c>
      <c r="J2882" s="6">
        <f>IFERROR(__xludf.DUMMYFUNCTION("IF(H2882="""","""",
SUM(
ARRAYFORMULA(
IF(
REGEXMATCH(
"" ""&amp;H2882&amp;"" "",
"" ""&amp;Sentiment_Words!A$2:A3730&amp;"" ""
),
1,
0
)
)
)
)"),1.0)</f>
        <v>1</v>
      </c>
      <c r="K2882" s="4">
        <f>IFERROR(__xludf.DUMMYFUNCTION("IF(H2882="""","""",
SUM(
ARRAYFORMULA(
IF(
REGEXMATCH(
"" ""&amp;H2882&amp;"" "",
"" ""&amp;Sentiment_Words!B$2:B3730&amp;"" ""
),
1,
0
)
)
)
)"),0.0)</f>
        <v>0</v>
      </c>
      <c r="L2882" s="7" t="str">
        <f t="shared" si="3"/>
        <v>Other</v>
      </c>
      <c r="M2882" s="7" t="str">
        <f t="shared" si="4"/>
        <v>Positive</v>
      </c>
      <c r="N2882" s="7" t="str">
        <f>IFERROR(__xludf.DUMMYFUNCTION("LOWER(
TRIM(
REGEXREPLACE(B2882,""[^a-zA-Z\s]"","""")
)
)
"),"sandra stephon")</f>
        <v>sandra stephon</v>
      </c>
      <c r="O2882" s="7">
        <f t="shared" si="5"/>
        <v>1</v>
      </c>
      <c r="P2882" s="8" t="str">
        <f t="shared" si="6"/>
        <v>No</v>
      </c>
    </row>
    <row r="2883">
      <c r="A2883" s="4" t="s">
        <v>16</v>
      </c>
      <c r="B2883" s="4" t="s">
        <v>8030</v>
      </c>
      <c r="C2883" s="5">
        <v>44615.0</v>
      </c>
      <c r="D2883" s="10">
        <v>44615.0</v>
      </c>
      <c r="E2883" s="4" t="s">
        <v>8031</v>
      </c>
      <c r="F2883" s="4" t="s">
        <v>8032</v>
      </c>
      <c r="G2883" s="6" t="str">
        <f>IFERROR(__xludf.DUMMYFUNCTION("REGEXREPLACE(LOWER(F2883),""[^a-z\s]"","""")"),"was told shipment would arrive in  days was told on fifth day being delivered between  am and  or  pm didnt arrive until  days later and no one worked over weekend to assist me
good prices bad info order well in advance of day needed")</f>
        <v>was told shipment would arrive in  days was told on fifth day being delivered between  am and  or  pm didnt arrive until  days later and no one worked over weekend to assist me
good prices bad info order well in advance of day needed</v>
      </c>
      <c r="H2883" s="4" t="str">
        <f t="shared" si="1"/>
        <v>was told shipment would arrive in days was told on fifth day being delivered between am or pm didnt arrive until days later no one worked over weekend assist me
good prices bad info order well in advance of day needed</v>
      </c>
      <c r="I2883" s="6">
        <f t="shared" si="2"/>
        <v>40</v>
      </c>
      <c r="J2883" s="6">
        <f>IFERROR(__xludf.DUMMYFUNCTION("IF(H2883="""","""",
SUM(
ARRAYFORMULA(
IF(
REGEXMATCH(
"" ""&amp;H2883&amp;"" "",
"" ""&amp;Sentiment_Words!A$2:A3730&amp;"" ""
),
1,
0
)
)
)
)"),2.0)</f>
        <v>2</v>
      </c>
      <c r="K2883" s="4">
        <f>IFERROR(__xludf.DUMMYFUNCTION("IF(H2883="""","""",
SUM(
ARRAYFORMULA(
IF(
REGEXMATCH(
"" ""&amp;H2883&amp;"" "",
"" ""&amp;Sentiment_Words!B$2:B3730&amp;"" ""
),
1,
0
)
)
)
)"),0.0)</f>
        <v>0</v>
      </c>
      <c r="L2883" s="7" t="str">
        <f t="shared" si="3"/>
        <v>Fulfillment &amp; Shipping</v>
      </c>
      <c r="M2883" s="7" t="str">
        <f t="shared" si="4"/>
        <v>Positive</v>
      </c>
      <c r="N2883" s="7" t="str">
        <f>IFERROR(__xludf.DUMMYFUNCTION("LOWER(
TRIM(
REGEXREPLACE(B2883,""[^a-zA-Z\s]"","""")
)
)
"),"charles rhodes")</f>
        <v>charles rhodes</v>
      </c>
      <c r="O2883" s="7">
        <f t="shared" si="5"/>
        <v>1</v>
      </c>
      <c r="P2883" s="8" t="str">
        <f t="shared" si="6"/>
        <v>No</v>
      </c>
    </row>
    <row r="2884">
      <c r="A2884" s="4" t="s">
        <v>16</v>
      </c>
      <c r="B2884" s="4" t="s">
        <v>8033</v>
      </c>
      <c r="C2884" s="5">
        <v>44615.0</v>
      </c>
      <c r="D2884" s="10">
        <v>44615.0</v>
      </c>
      <c r="E2884" s="4" t="s">
        <v>8034</v>
      </c>
      <c r="F2884" s="4" t="s">
        <v>8035</v>
      </c>
      <c r="G2884" s="6" t="str">
        <f>IFERROR(__xludf.DUMMYFUNCTION("REGEXREPLACE(LOWER(F2884),""[^a-z\s]"","""")"),"i changed my address  weeks before moving in november placed an order for  weeks after the move and my food was still delivered to the wrong address customer service never fixed it placed another order in feb and it was also delivered to the wrong address"&amp;" customer svc finally gave me a credit for both orders but i wont use them anymore all other delivery svcs have sent pkgs to the correct address")</f>
        <v>i changed my address  weeks before moving in november placed an order for  weeks after the move and my food was still delivered to the wrong address customer service never fixed it placed another order in feb and it was also delivered to the wrong address customer svc finally gave me a credit for both orders but i wont use them anymore all other delivery svcs have sent pkgs to the correct address</v>
      </c>
      <c r="H2884" s="4" t="str">
        <f t="shared" si="1"/>
        <v>i changed my address weeks before moving in november placed an order weeks after move my food was still delivered wrong address customer service never fixed it placed another order in feb it was also delivered wrong address customer svc finally gave me a credit both orders but i wont use them anymore all other delivery svcs have sent pkgs correct address</v>
      </c>
      <c r="I2884" s="6">
        <f t="shared" si="2"/>
        <v>62</v>
      </c>
      <c r="J2884" s="6">
        <f>IFERROR(__xludf.DUMMYFUNCTION("IF(H2884="""","""",
SUM(
ARRAYFORMULA(
IF(
REGEXMATCH(
"" ""&amp;H2884&amp;"" "",
"" ""&amp;Sentiment_Words!A$2:A3730&amp;"" ""
),
1,
0
)
)
)
)"),1.0)</f>
        <v>1</v>
      </c>
      <c r="K2884" s="4">
        <f>IFERROR(__xludf.DUMMYFUNCTION("IF(H2884="""","""",
SUM(
ARRAYFORMULA(
IF(
REGEXMATCH(
"" ""&amp;H2884&amp;"" "",
"" ""&amp;Sentiment_Words!B$2:B3730&amp;"" ""
),
1,
0
)
)
)
)"),2.0)</f>
        <v>2</v>
      </c>
      <c r="L2884" s="7" t="str">
        <f t="shared" si="3"/>
        <v>Customer Support</v>
      </c>
      <c r="M2884" s="7" t="str">
        <f t="shared" si="4"/>
        <v>Negative</v>
      </c>
      <c r="N2884" s="7" t="str">
        <f>IFERROR(__xludf.DUMMYFUNCTION("LOWER(
TRIM(
REGEXREPLACE(B2884,""[^a-zA-Z\s]"","""")
)
)
"),"cheryl zalenski")</f>
        <v>cheryl zalenski</v>
      </c>
      <c r="O2884" s="7">
        <f t="shared" si="5"/>
        <v>1</v>
      </c>
      <c r="P2884" s="8" t="str">
        <f t="shared" si="6"/>
        <v>No</v>
      </c>
    </row>
    <row r="2885">
      <c r="A2885" s="4" t="s">
        <v>16</v>
      </c>
      <c r="B2885" s="4" t="s">
        <v>8036</v>
      </c>
      <c r="C2885" s="5">
        <v>44615.0</v>
      </c>
      <c r="D2885" s="10">
        <v>44615.0</v>
      </c>
      <c r="E2885" s="4" t="s">
        <v>8037</v>
      </c>
      <c r="F2885" s="4" t="s">
        <v>8038</v>
      </c>
      <c r="G2885" s="6" t="str">
        <f>IFERROR(__xludf.DUMMYFUNCTION("REGEXREPLACE(LOWER(F2885),""[^a-z\s]"","""")"),"pet flow did everything correctly fedex lies and claims they deliver packages when they do not")</f>
        <v>pet flow did everything correctly fedex lies and claims they deliver packages when they do not</v>
      </c>
      <c r="H2885" s="4" t="str">
        <f t="shared" si="1"/>
        <v>pet flow did everything correctly fedex lies claims they deliver packages when they do not</v>
      </c>
      <c r="I2885" s="6">
        <f t="shared" si="2"/>
        <v>15</v>
      </c>
      <c r="J2885" s="6">
        <f>IFERROR(__xludf.DUMMYFUNCTION("IF(H2885="""","""",
SUM(
ARRAYFORMULA(
IF(
REGEXMATCH(
"" ""&amp;H2885&amp;"" "",
"" ""&amp;Sentiment_Words!A$2:A3730&amp;"" ""
),
1,
0
)
)
)
)"),0.0)</f>
        <v>0</v>
      </c>
      <c r="K2885" s="4">
        <f>IFERROR(__xludf.DUMMYFUNCTION("IF(H2885="""","""",
SUM(
ARRAYFORMULA(
IF(
REGEXMATCH(
"" ""&amp;H2885&amp;"" "",
"" ""&amp;Sentiment_Words!B$2:B3730&amp;"" ""
),
1,
0
)
)
)
)"),0.0)</f>
        <v>0</v>
      </c>
      <c r="L2885" s="7" t="str">
        <f t="shared" si="3"/>
        <v>Other</v>
      </c>
      <c r="M2885" s="7" t="str">
        <f t="shared" si="4"/>
        <v>Neutral</v>
      </c>
      <c r="N2885" s="7" t="str">
        <f>IFERROR(__xludf.DUMMYFUNCTION("LOWER(
TRIM(
REGEXREPLACE(B2885,""[^a-zA-Z\s]"","""")
)
)
"),"sheller willett")</f>
        <v>sheller willett</v>
      </c>
      <c r="O2885" s="7">
        <f t="shared" si="5"/>
        <v>1</v>
      </c>
      <c r="P2885" s="8" t="str">
        <f t="shared" si="6"/>
        <v>No</v>
      </c>
    </row>
    <row r="2886">
      <c r="A2886" s="4" t="s">
        <v>16</v>
      </c>
      <c r="B2886" s="4" t="s">
        <v>56</v>
      </c>
      <c r="C2886" s="5">
        <v>44615.0</v>
      </c>
      <c r="D2886" s="10">
        <v>44615.0</v>
      </c>
      <c r="E2886" s="4" t="s">
        <v>8039</v>
      </c>
      <c r="F2886" s="4" t="s">
        <v>8040</v>
      </c>
      <c r="G2886" s="6" t="str">
        <f>IFERROR(__xludf.DUMMYFUNCTION("REGEXREPLACE(LOWER(F2886),""[^a-z\s]"","""")"),"i feed a very good high quality dog food i live in a small town and unfortunately the little store where i purchased my dogs food stopped selling all pet products i was going to have to drive  minutes each way to another city to get dog food a friend in t"&amp;"he dog rescue world told me about petflow i am so happy with them it is super easy to sign up and its delivered to your doorstep ill be adding more dog stuff to my orders")</f>
        <v>i feed a very good high quality dog food i live in a small town and unfortunately the little store where i purchased my dogs food stopped selling all pet products i was going to have to drive  minutes each way to another city to get dog food a friend in the dog rescue world told me about petflow i am so happy with them it is super easy to sign up and its delivered to your doorstep ill be adding more dog stuff to my orders</v>
      </c>
      <c r="H2886" s="4" t="str">
        <f t="shared" si="1"/>
        <v>i feed a very good high quality dog food i live in a small town unfortunately little store where i purchased my dogs food stopped selling all pet products i was going have drive minutes each way another city get dog food a friend in dog rescue world told me about petflow i am so happy with them it super easy sign up its delivered your doorstep ill be adding more dog stuff my orders</v>
      </c>
      <c r="I2886" s="6">
        <f t="shared" si="2"/>
        <v>75</v>
      </c>
      <c r="J2886" s="6">
        <f>IFERROR(__xludf.DUMMYFUNCTION("IF(H2886="""","""",
SUM(
ARRAYFORMULA(
IF(
REGEXMATCH(
"" ""&amp;H2886&amp;"" "",
"" ""&amp;Sentiment_Words!A$2:A3730&amp;"" ""
),
1,
0
)
)
)
)"),4.0)</f>
        <v>4</v>
      </c>
      <c r="K2886" s="4">
        <f>IFERROR(__xludf.DUMMYFUNCTION("IF(H2886="""","""",
SUM(
ARRAYFORMULA(
IF(
REGEXMATCH(
"" ""&amp;H2886&amp;"" "",
"" ""&amp;Sentiment_Words!B$2:B3730&amp;"" ""
),
1,
0
)
)
)
)"),0.0)</f>
        <v>0</v>
      </c>
      <c r="L2886" s="7" t="str">
        <f t="shared" si="3"/>
        <v>Other</v>
      </c>
      <c r="M2886" s="7" t="str">
        <f t="shared" si="4"/>
        <v>Positive</v>
      </c>
      <c r="N2886" s="7" t="str">
        <f>IFERROR(__xludf.DUMMYFUNCTION("LOWER(
TRIM(
REGEXREPLACE(B2886,""[^a-zA-Z\s]"","""")
)
)
"),"customer")</f>
        <v>customer</v>
      </c>
      <c r="O2886" s="7">
        <f t="shared" si="5"/>
        <v>54</v>
      </c>
      <c r="P2886" s="8" t="str">
        <f t="shared" si="6"/>
        <v>Yes</v>
      </c>
    </row>
    <row r="2887">
      <c r="A2887" s="4" t="s">
        <v>16</v>
      </c>
      <c r="B2887" s="4" t="s">
        <v>8041</v>
      </c>
      <c r="C2887" s="5">
        <v>44614.0</v>
      </c>
      <c r="D2887" s="10">
        <v>44614.0</v>
      </c>
      <c r="E2887" s="4" t="s">
        <v>8042</v>
      </c>
      <c r="F2887" s="4" t="s">
        <v>8043</v>
      </c>
      <c r="G2887" s="6" t="str">
        <f>IFERROR(__xludf.DUMMYFUNCTION("REGEXREPLACE(LOWER(F2887),""[^a-z\s]"","""")"),"good selection and prices during a difficult time but i was disappointed that two items i ordered turned out to be out of stock but that was not indicated at the time i placed the order i only found out later when the instock items were shipped and as a r"&amp;"esult i missed out on the chance to order the other items elsewhere where they were in stock but now are out other than that it was a positive experience")</f>
        <v>good selection and prices during a difficult time but i was disappointed that two items i ordered turned out to be out of stock but that was not indicated at the time i placed the order i only found out later when the instock items were shipped and as a result i missed out on the chance to order the other items elsewhere where they were in stock but now are out other than that it was a positive experience</v>
      </c>
      <c r="H2887" s="4" t="str">
        <f t="shared" si="1"/>
        <v>good selection prices during a difficult time but i was disappointed that two items i ordered turned out be out of stock but that was not indicated at time i placed order i only found out later when instock items were shipped as a result i missed out on chance order other items elsewhere where they were in stock but now are out other than that it was a positive experience</v>
      </c>
      <c r="I2887" s="6">
        <f t="shared" si="2"/>
        <v>71</v>
      </c>
      <c r="J2887" s="6">
        <f>IFERROR(__xludf.DUMMYFUNCTION("IF(H2887="""","""",
SUM(
ARRAYFORMULA(
IF(
REGEXMATCH(
"" ""&amp;H2887&amp;"" "",
"" ""&amp;Sentiment_Words!A$2:A3730&amp;"" ""
),
1,
0
)
)
)
)"),2.0)</f>
        <v>2</v>
      </c>
      <c r="K2887" s="4">
        <f>IFERROR(__xludf.DUMMYFUNCTION("IF(H2887="""","""",
SUM(
ARRAYFORMULA(
IF(
REGEXMATCH(
"" ""&amp;H2887&amp;"" "",
"" ""&amp;Sentiment_Words!B$2:B3730&amp;"" ""
),
1,
0
)
)
)
)"),1.0)</f>
        <v>1</v>
      </c>
      <c r="L2887" s="7" t="str">
        <f t="shared" si="3"/>
        <v>Fulfillment &amp; Shipping</v>
      </c>
      <c r="M2887" s="7" t="str">
        <f t="shared" si="4"/>
        <v>Positive</v>
      </c>
      <c r="N2887" s="7" t="str">
        <f>IFERROR(__xludf.DUMMYFUNCTION("LOWER(
TRIM(
REGEXREPLACE(B2887,""[^a-zA-Z\s]"","""")
)
)
"),"anita and diva")</f>
        <v>anita and diva</v>
      </c>
      <c r="O2887" s="7">
        <f t="shared" si="5"/>
        <v>1</v>
      </c>
      <c r="P2887" s="8" t="str">
        <f t="shared" si="6"/>
        <v>No</v>
      </c>
    </row>
    <row r="2888">
      <c r="A2888" s="4" t="s">
        <v>16</v>
      </c>
      <c r="B2888" s="4" t="s">
        <v>631</v>
      </c>
      <c r="C2888" s="5">
        <v>44614.0</v>
      </c>
      <c r="D2888" s="10">
        <v>44614.0</v>
      </c>
      <c r="E2888" s="4" t="s">
        <v>8044</v>
      </c>
      <c r="F2888" s="4" t="s">
        <v>8045</v>
      </c>
      <c r="G2888" s="6" t="str">
        <f>IFERROR(__xludf.DUMMYFUNCTION("REGEXREPLACE(LOWER(F2888),""[^a-z\s]"","""")"),"petflow is great they consistently have my pups dog food in stock as well as some cool toys ")</f>
        <v>petflow is great they consistently have my pups dog food in stock as well as some cool toys </v>
      </c>
      <c r="H2888" s="4" t="str">
        <f t="shared" si="1"/>
        <v>petflow great they consistently have my pups dog food in stock as well as some cool toys</v>
      </c>
      <c r="I2888" s="6">
        <f t="shared" si="2"/>
        <v>17</v>
      </c>
      <c r="J2888" s="6">
        <f>IFERROR(__xludf.DUMMYFUNCTION("IF(H2888="""","""",
SUM(
ARRAYFORMULA(
IF(
REGEXMATCH(
"" ""&amp;H2888&amp;"" "",
"" ""&amp;Sentiment_Words!A$2:A3730&amp;"" ""
),
1,
0
)
)
)
)"),1.0)</f>
        <v>1</v>
      </c>
      <c r="K2888" s="4">
        <f>IFERROR(__xludf.DUMMYFUNCTION("IF(H2888="""","""",
SUM(
ARRAYFORMULA(
IF(
REGEXMATCH(
"" ""&amp;H2888&amp;"" "",
"" ""&amp;Sentiment_Words!B$2:B3730&amp;"" ""
),
1,
0
)
)
)
)"),0.0)</f>
        <v>0</v>
      </c>
      <c r="L2888" s="7" t="str">
        <f t="shared" si="3"/>
        <v>Other</v>
      </c>
      <c r="M2888" s="7" t="str">
        <f t="shared" si="4"/>
        <v>Positive</v>
      </c>
      <c r="N2888" s="7" t="str">
        <f>IFERROR(__xludf.DUMMYFUNCTION("LOWER(
TRIM(
REGEXREPLACE(B2888,""[^a-zA-Z\s]"","""")
)
)
"),"mary")</f>
        <v>mary</v>
      </c>
      <c r="O2888" s="7">
        <f t="shared" si="5"/>
        <v>8</v>
      </c>
      <c r="P2888" s="8" t="str">
        <f t="shared" si="6"/>
        <v>Yes</v>
      </c>
    </row>
    <row r="2889">
      <c r="A2889" s="4" t="s">
        <v>16</v>
      </c>
      <c r="B2889" s="4" t="s">
        <v>8046</v>
      </c>
      <c r="C2889" s="5">
        <v>44614.0</v>
      </c>
      <c r="D2889" s="10">
        <v>44614.0</v>
      </c>
      <c r="E2889" s="4" t="s">
        <v>6133</v>
      </c>
      <c r="F2889" s="4" t="s">
        <v>8047</v>
      </c>
      <c r="G2889" s="6" t="str">
        <f>IFERROR(__xludf.DUMMYFUNCTION("REGEXREPLACE(LOWER(F2889),""[^a-z\s]"","""")"),"everything is wonderful except for the fact that its difficult to cancel reoccurring orders this shouldnt be made into such a hassle that i have to call for that to be done")</f>
        <v>everything is wonderful except for the fact that its difficult to cancel reoccurring orders this shouldnt be made into such a hassle that i have to call for that to be done</v>
      </c>
      <c r="H2889" s="4" t="str">
        <f t="shared" si="1"/>
        <v>everything wonderful except fact that its difficult cancel reoccurring orders this shouldnt be made into such a hassle that i have call that be done</v>
      </c>
      <c r="I2889" s="6">
        <f t="shared" si="2"/>
        <v>25</v>
      </c>
      <c r="J2889" s="6">
        <f>IFERROR(__xludf.DUMMYFUNCTION("IF(H2889="""","""",
SUM(
ARRAYFORMULA(
IF(
REGEXMATCH(
"" ""&amp;H2889&amp;"" "",
"" ""&amp;Sentiment_Words!A$2:A3730&amp;"" ""
),
1,
0
)
)
)
)"),1.0)</f>
        <v>1</v>
      </c>
      <c r="K2889" s="4">
        <f>IFERROR(__xludf.DUMMYFUNCTION("IF(H2889="""","""",
SUM(
ARRAYFORMULA(
IF(
REGEXMATCH(
"" ""&amp;H2889&amp;"" "",
"" ""&amp;Sentiment_Words!B$2:B3730&amp;"" ""
),
1,
0
)
)
)
)"),0.0)</f>
        <v>0</v>
      </c>
      <c r="L2889" s="7" t="str">
        <f t="shared" si="3"/>
        <v>Other</v>
      </c>
      <c r="M2889" s="7" t="str">
        <f t="shared" si="4"/>
        <v>Positive</v>
      </c>
      <c r="N2889" s="7" t="str">
        <f>IFERROR(__xludf.DUMMYFUNCTION("LOWER(
TRIM(
REGEXREPLACE(B2889,""[^a-zA-Z\s]"","""")
)
)
"),"anne")</f>
        <v>anne</v>
      </c>
      <c r="O2889" s="7">
        <f t="shared" si="5"/>
        <v>2</v>
      </c>
      <c r="P2889" s="8" t="str">
        <f t="shared" si="6"/>
        <v>Yes</v>
      </c>
    </row>
    <row r="2890">
      <c r="A2890" s="4" t="s">
        <v>16</v>
      </c>
      <c r="B2890" s="4" t="s">
        <v>7712</v>
      </c>
      <c r="C2890" s="5">
        <v>44614.0</v>
      </c>
      <c r="D2890" s="10">
        <v>44614.0</v>
      </c>
      <c r="E2890" s="4" t="s">
        <v>8048</v>
      </c>
      <c r="F2890" s="4" t="s">
        <v>8049</v>
      </c>
      <c r="G2890" s="6" t="str">
        <f>IFERROR(__xludf.DUMMYFUNCTION("REGEXREPLACE(LOWER(F2890),""[^a-z\s]"","""")"),"happy i made the switch
i recently switch from a competitor to petflow for all my daily pet needs i made this switch because their prices were simply better lower than the leading competitor for same or similar products delivery service is as good if not"&amp;" better that my previous vendor no products have arrived damaged which is great
i have subsequently found that their customer service is exceptional a situation arose that caused me to contact customer service the issue was resolved immediately painlessl"&amp;"y and was actually a pretty pleasant experience")</f>
        <v>happy i made the switch
i recently switch from a competitor to petflow for all my daily pet needs i made this switch because their prices were simply better lower than the leading competitor for same or similar products delivery service is as good if not better that my previous vendor no products have arrived damaged which is great
i have subsequently found that their customer service is exceptional a situation arose that caused me to contact customer service the issue was resolved immediately painlessly and was actually a pretty pleasant experience</v>
      </c>
      <c r="H2890" s="4" t="str">
        <f t="shared" si="1"/>
        <v>happy i made switch
i recently switch from a competitor petflow all my daily pet needs i made this switch because their prices were simply better lower than leading competitor same or similar products delivery service as good if not better that my previous vendor no products have arrived damaged which great
i have subsequently found that their customer service exceptional a situation arose that caused me contact customer service issue was resolved immediately painlessly was actually a pretty pleasant experience</v>
      </c>
      <c r="I2890" s="6">
        <f t="shared" si="2"/>
        <v>79</v>
      </c>
      <c r="J2890" s="6">
        <f>IFERROR(__xludf.DUMMYFUNCTION("IF(H2890="""","""",
SUM(
ARRAYFORMULA(
IF(
REGEXMATCH(
"" ""&amp;H2890&amp;"" "",
"" ""&amp;Sentiment_Words!A$2:A3730&amp;"" ""
),
1,
0
)
)
)
)"),5.0)</f>
        <v>5</v>
      </c>
      <c r="K2890" s="4">
        <f>IFERROR(__xludf.DUMMYFUNCTION("IF(H2890="""","""",
SUM(
ARRAYFORMULA(
IF(
REGEXMATCH(
"" ""&amp;H2890&amp;"" "",
"" ""&amp;Sentiment_Words!B$2:B3730&amp;"" ""
),
1,
0
)
)
)
)"),2.0)</f>
        <v>2</v>
      </c>
      <c r="L2890" s="7" t="str">
        <f t="shared" si="3"/>
        <v>Customer Support</v>
      </c>
      <c r="M2890" s="7" t="str">
        <f t="shared" si="4"/>
        <v>Positive</v>
      </c>
      <c r="N2890" s="7" t="str">
        <f>IFERROR(__xludf.DUMMYFUNCTION("LOWER(
TRIM(
REGEXREPLACE(B2890,""[^a-zA-Z\s]"","""")
)
)
"),"jessica")</f>
        <v>jessica</v>
      </c>
      <c r="O2890" s="7">
        <f t="shared" si="5"/>
        <v>3</v>
      </c>
      <c r="P2890" s="8" t="str">
        <f t="shared" si="6"/>
        <v>Yes</v>
      </c>
    </row>
    <row r="2891">
      <c r="A2891" s="4" t="s">
        <v>16</v>
      </c>
      <c r="B2891" s="4" t="s">
        <v>1001</v>
      </c>
      <c r="C2891" s="5">
        <v>44613.0</v>
      </c>
      <c r="D2891" s="10">
        <v>44614.0</v>
      </c>
      <c r="E2891" s="4" t="s">
        <v>8050</v>
      </c>
      <c r="F2891" s="4" t="s">
        <v>8051</v>
      </c>
      <c r="G2891" s="6" t="str">
        <f>IFERROR(__xludf.DUMMYFUNCTION("REGEXREPLACE(LOWER(F2891),""[^a-z\s]"","""")"),"no problem with company but will only ship with fedex and fedex lost my package so never received my order from petflow and what i ordered has been on backorder ever since")</f>
        <v>no problem with company but will only ship with fedex and fedex lost my package so never received my order from petflow and what i ordered has been on backorder ever since</v>
      </c>
      <c r="H2891" s="4" t="str">
        <f t="shared" si="1"/>
        <v>no problem with company but will only ship with fedex fedex lost my package so never received my order from petflow what i ordered has been on backorder ever since</v>
      </c>
      <c r="I2891" s="6">
        <f t="shared" si="2"/>
        <v>30</v>
      </c>
      <c r="J2891" s="6">
        <f>IFERROR(__xludf.DUMMYFUNCTION("IF(H2891="""","""",
SUM(
ARRAYFORMULA(
IF(
REGEXMATCH(
"" ""&amp;H2891&amp;"" "",
"" ""&amp;Sentiment_Words!A$2:A3730&amp;"" ""
),
1,
0
)
)
)
)"),0.0)</f>
        <v>0</v>
      </c>
      <c r="K2891" s="4">
        <f>IFERROR(__xludf.DUMMYFUNCTION("IF(H2891="""","""",
SUM(
ARRAYFORMULA(
IF(
REGEXMATCH(
"" ""&amp;H2891&amp;"" "",
"" ""&amp;Sentiment_Words!B$2:B3730&amp;"" ""
),
1,
0
)
)
)
)"),1.0)</f>
        <v>1</v>
      </c>
      <c r="L2891" s="7" t="str">
        <f t="shared" si="3"/>
        <v>Other</v>
      </c>
      <c r="M2891" s="7" t="str">
        <f t="shared" si="4"/>
        <v>Negative</v>
      </c>
      <c r="N2891" s="7" t="str">
        <f>IFERROR(__xludf.DUMMYFUNCTION("LOWER(
TRIM(
REGEXREPLACE(B2891,""[^a-zA-Z\s]"","""")
)
)
"),"lori")</f>
        <v>lori</v>
      </c>
      <c r="O2891" s="7">
        <f t="shared" si="5"/>
        <v>4</v>
      </c>
      <c r="P2891" s="8" t="str">
        <f t="shared" si="6"/>
        <v>Yes</v>
      </c>
    </row>
    <row r="2892">
      <c r="A2892" s="4" t="s">
        <v>16</v>
      </c>
      <c r="B2892" s="4" t="s">
        <v>8052</v>
      </c>
      <c r="C2892" s="5">
        <v>44613.0</v>
      </c>
      <c r="D2892" s="10">
        <v>44614.0</v>
      </c>
      <c r="E2892" s="4" t="s">
        <v>8053</v>
      </c>
      <c r="F2892" s="4" t="s">
        <v>8054</v>
      </c>
      <c r="G2892" s="6" t="str">
        <f>IFERROR(__xludf.DUMMYFUNCTION("REGEXREPLACE(LOWER(F2892),""[^a-z\s]"","""")"),"bought a case of cat food from petflow as chewy was out of stock at the time and product did not ship for over a week at the end of the week i cancelled the order and emailed customer support which confirmed order would be cancelled two weeks later my acc"&amp;"ount is charged for the ordered that was cancelled now they refuse to refund the order i have to go through my bank to get the charge reversed")</f>
        <v>bought a case of cat food from petflow as chewy was out of stock at the time and product did not ship for over a week at the end of the week i cancelled the order and emailed customer support which confirmed order would be cancelled two weeks later my account is charged for the ordered that was cancelled now they refuse to refund the order i have to go through my bank to get the charge reversed</v>
      </c>
      <c r="H2892" s="4" t="str">
        <f t="shared" si="1"/>
        <v>bought a case of cat food from petflow as chewy was out of stock at time product did not ship over a week at end of week i cancelled order emailed customer support which confirmed order would be cancelled two weeks later my account charged ordered that was cancelled now they refuse refund order i have go through my bank get charge reversed</v>
      </c>
      <c r="I2892" s="6">
        <f t="shared" si="2"/>
        <v>63</v>
      </c>
      <c r="J2892" s="6">
        <f>IFERROR(__xludf.DUMMYFUNCTION("IF(H2892="""","""",
SUM(
ARRAYFORMULA(
IF(
REGEXMATCH(
"" ""&amp;H2892&amp;"" "",
"" ""&amp;Sentiment_Words!A$2:A3730&amp;"" ""
),
1,
0
)
)
)
)"),0.0)</f>
        <v>0</v>
      </c>
      <c r="K2892" s="4">
        <f>IFERROR(__xludf.DUMMYFUNCTION("IF(H2892="""","""",
SUM(
ARRAYFORMULA(
IF(
REGEXMATCH(
"" ""&amp;H2892&amp;"" "",
"" ""&amp;Sentiment_Words!B$2:B3730&amp;"" ""
),
1,
0
)
)
)
)"),3.0)</f>
        <v>3</v>
      </c>
      <c r="L2892" s="7" t="str">
        <f t="shared" si="3"/>
        <v>Customer Support</v>
      </c>
      <c r="M2892" s="7" t="str">
        <f t="shared" si="4"/>
        <v>Negative</v>
      </c>
      <c r="N2892" s="7" t="str">
        <f>IFERROR(__xludf.DUMMYFUNCTION("LOWER(
TRIM(
REGEXREPLACE(B2892,""[^a-zA-Z\s]"","""")
)
)
"),"thomas mcneil")</f>
        <v>thomas mcneil</v>
      </c>
      <c r="O2892" s="7">
        <f t="shared" si="5"/>
        <v>1</v>
      </c>
      <c r="P2892" s="8" t="str">
        <f t="shared" si="6"/>
        <v>No</v>
      </c>
    </row>
    <row r="2893">
      <c r="A2893" s="4" t="s">
        <v>16</v>
      </c>
      <c r="B2893" s="4" t="s">
        <v>8055</v>
      </c>
      <c r="C2893" s="5">
        <v>44613.0</v>
      </c>
      <c r="D2893" s="10">
        <v>44613.0</v>
      </c>
      <c r="E2893" s="4" t="s">
        <v>8056</v>
      </c>
      <c r="F2893" s="4" t="s">
        <v>8057</v>
      </c>
      <c r="G2893" s="6" t="str">
        <f>IFERROR(__xludf.DUMMYFUNCTION("REGEXREPLACE(LOWER(F2893),""[^a-z\s]"","""")"),"my order arrived on time in great condition and my pup loves her new food")</f>
        <v>my order arrived on time in great condition and my pup loves her new food</v>
      </c>
      <c r="H2893" s="4" t="str">
        <f t="shared" si="1"/>
        <v>my order arrived on time in great condition my pup loves her new food</v>
      </c>
      <c r="I2893" s="6">
        <f t="shared" si="2"/>
        <v>14</v>
      </c>
      <c r="J2893" s="6">
        <f>IFERROR(__xludf.DUMMYFUNCTION("IF(H2893="""","""",
SUM(
ARRAYFORMULA(
IF(
REGEXMATCH(
"" ""&amp;H2893&amp;"" "",
"" ""&amp;Sentiment_Words!A$2:A3730&amp;"" ""
),
1,
0
)
)
)
)"),2.0)</f>
        <v>2</v>
      </c>
      <c r="K2893" s="4">
        <f>IFERROR(__xludf.DUMMYFUNCTION("IF(H2893="""","""",
SUM(
ARRAYFORMULA(
IF(
REGEXMATCH(
"" ""&amp;H2893&amp;"" "",
"" ""&amp;Sentiment_Words!B$2:B3730&amp;"" ""
),
1,
0
)
)
)
)"),0.0)</f>
        <v>0</v>
      </c>
      <c r="L2893" s="7" t="str">
        <f t="shared" si="3"/>
        <v>Other</v>
      </c>
      <c r="M2893" s="7" t="str">
        <f t="shared" si="4"/>
        <v>Positive</v>
      </c>
      <c r="N2893" s="7" t="str">
        <f>IFERROR(__xludf.DUMMYFUNCTION("LOWER(
TRIM(
REGEXREPLACE(B2893,""[^a-zA-Z\s]"","""")
)
)
"),"zac")</f>
        <v>zac</v>
      </c>
      <c r="O2893" s="7">
        <f t="shared" si="5"/>
        <v>1</v>
      </c>
      <c r="P2893" s="8" t="str">
        <f t="shared" si="6"/>
        <v>No</v>
      </c>
    </row>
    <row r="2894">
      <c r="A2894" s="4" t="s">
        <v>16</v>
      </c>
      <c r="B2894" s="4" t="s">
        <v>8058</v>
      </c>
      <c r="C2894" s="5">
        <v>44613.0</v>
      </c>
      <c r="D2894" s="10">
        <v>44613.0</v>
      </c>
      <c r="E2894" s="4" t="s">
        <v>8059</v>
      </c>
      <c r="F2894" s="4" t="s">
        <v>8060</v>
      </c>
      <c r="G2894" s="6" t="str">
        <f>IFERROR(__xludf.DUMMYFUNCTION("REGEXREPLACE(LOWER(F2894),""[^a-z\s]"","""")"),"super easy shipping and processing experience they contact the vet directly and deliver incredibly quickly")</f>
        <v>super easy shipping and processing experience they contact the vet directly and deliver incredibly quickly</v>
      </c>
      <c r="H2894" s="4" t="str">
        <f t="shared" si="1"/>
        <v>super easy shipping processing experience they contact vet directly deliver incredibly quickly</v>
      </c>
      <c r="I2894" s="6">
        <f t="shared" si="2"/>
        <v>12</v>
      </c>
      <c r="J2894" s="6">
        <f>IFERROR(__xludf.DUMMYFUNCTION("IF(H2894="""","""",
SUM(
ARRAYFORMULA(
IF(
REGEXMATCH(
"" ""&amp;H2894&amp;"" "",
"" ""&amp;Sentiment_Words!A$2:A3730&amp;"" ""
),
1,
0
)
)
)
)"),1.0)</f>
        <v>1</v>
      </c>
      <c r="K2894" s="4">
        <f>IFERROR(__xludf.DUMMYFUNCTION("IF(H2894="""","""",
SUM(
ARRAYFORMULA(
IF(
REGEXMATCH(
"" ""&amp;H2894&amp;"" "",
"" ""&amp;Sentiment_Words!B$2:B3730&amp;"" ""
),
1,
0
)
)
)
)"),0.0)</f>
        <v>0</v>
      </c>
      <c r="L2894" s="7" t="str">
        <f t="shared" si="3"/>
        <v>Other</v>
      </c>
      <c r="M2894" s="7" t="str">
        <f t="shared" si="4"/>
        <v>Positive</v>
      </c>
      <c r="N2894" s="7" t="str">
        <f>IFERROR(__xludf.DUMMYFUNCTION("LOWER(
TRIM(
REGEXREPLACE(B2894,""[^a-zA-Z\s]"","""")
)
)
"),"sonia s")</f>
        <v>sonia s</v>
      </c>
      <c r="O2894" s="7">
        <f t="shared" si="5"/>
        <v>1</v>
      </c>
      <c r="P2894" s="8" t="str">
        <f t="shared" si="6"/>
        <v>No</v>
      </c>
    </row>
    <row r="2895">
      <c r="A2895" s="4" t="s">
        <v>16</v>
      </c>
      <c r="B2895" s="4" t="s">
        <v>8061</v>
      </c>
      <c r="C2895" s="5">
        <v>44613.0</v>
      </c>
      <c r="D2895" s="10">
        <v>44613.0</v>
      </c>
      <c r="E2895" s="4" t="s">
        <v>8062</v>
      </c>
      <c r="F2895" s="4" t="s">
        <v>8063</v>
      </c>
      <c r="G2895" s="6" t="str">
        <f>IFERROR(__xludf.DUMMYFUNCTION("REGEXREPLACE(LOWER(F2895),""[^a-z\s]"","""")"),"treats were shipped really fast and was a better price and service compared to amazon")</f>
        <v>treats were shipped really fast and was a better price and service compared to amazon</v>
      </c>
      <c r="H2895" s="4" t="str">
        <f t="shared" si="1"/>
        <v>treats were shipped really fast was a better price service compared amazon</v>
      </c>
      <c r="I2895" s="6">
        <f t="shared" si="2"/>
        <v>12</v>
      </c>
      <c r="J2895" s="6">
        <f>IFERROR(__xludf.DUMMYFUNCTION("IF(H2895="""","""",
SUM(
ARRAYFORMULA(
IF(
REGEXMATCH(
"" ""&amp;H2895&amp;"" "",
"" ""&amp;Sentiment_Words!A$2:A3730&amp;"" ""
),
1,
0
)
)
)
)"),1.0)</f>
        <v>1</v>
      </c>
      <c r="K2895" s="4">
        <f>IFERROR(__xludf.DUMMYFUNCTION("IF(H2895="""","""",
SUM(
ARRAYFORMULA(
IF(
REGEXMATCH(
"" ""&amp;H2895&amp;"" "",
"" ""&amp;Sentiment_Words!B$2:B3730&amp;"" ""
),
1,
0
)
)
)
)"),0.0)</f>
        <v>0</v>
      </c>
      <c r="L2895" s="7" t="str">
        <f t="shared" si="3"/>
        <v>Customer Support</v>
      </c>
      <c r="M2895" s="7" t="str">
        <f t="shared" si="4"/>
        <v>Positive</v>
      </c>
      <c r="N2895" s="7" t="str">
        <f>IFERROR(__xludf.DUMMYFUNCTION("LOWER(
TRIM(
REGEXREPLACE(B2895,""[^a-zA-Z\s]"","""")
)
)
"),"priscilla cerdas")</f>
        <v>priscilla cerdas</v>
      </c>
      <c r="O2895" s="7">
        <f t="shared" si="5"/>
        <v>1</v>
      </c>
      <c r="P2895" s="8" t="str">
        <f t="shared" si="6"/>
        <v>No</v>
      </c>
    </row>
    <row r="2896">
      <c r="A2896" s="4" t="s">
        <v>16</v>
      </c>
      <c r="B2896" s="4" t="s">
        <v>8064</v>
      </c>
      <c r="C2896" s="5">
        <v>44613.0</v>
      </c>
      <c r="D2896" s="10">
        <v>44613.0</v>
      </c>
      <c r="E2896" s="4" t="s">
        <v>8065</v>
      </c>
      <c r="F2896" s="4" t="s">
        <v>8066</v>
      </c>
      <c r="G2896" s="6" t="str">
        <f>IFERROR(__xludf.DUMMYFUNCTION("REGEXREPLACE(LOWER(F2896),""[^a-z\s]"","""")"),"fast delivery especially good for heavy stuff i just wish there was a wider variety of cat treats and toys the dental treat that i wanted to get was sold out its been sold out for a while hope its restocked soon")</f>
        <v>fast delivery especially good for heavy stuff i just wish there was a wider variety of cat treats and toys the dental treat that i wanted to get was sold out its been sold out for a while hope its restocked soon</v>
      </c>
      <c r="H2896" s="4" t="str">
        <f t="shared" si="1"/>
        <v>fast delivery especially good heavy stuff i just wish there was a wider variety of cat treats toys dental treat that i wanted get was sold out its been sold out a while hope its restocked soon</v>
      </c>
      <c r="I2896" s="6">
        <f t="shared" si="2"/>
        <v>37</v>
      </c>
      <c r="J2896" s="6">
        <f>IFERROR(__xludf.DUMMYFUNCTION("IF(H2896="""","""",
SUM(
ARRAYFORMULA(
IF(
REGEXMATCH(
"" ""&amp;H2896&amp;"" "",
"" ""&amp;Sentiment_Words!A$2:A3730&amp;"" ""
),
1,
0
)
)
)
)"),3.0)</f>
        <v>3</v>
      </c>
      <c r="K2896" s="4">
        <f>IFERROR(__xludf.DUMMYFUNCTION("IF(H2896="""","""",
SUM(
ARRAYFORMULA(
IF(
REGEXMATCH(
"" ""&amp;H2896&amp;"" "",
"" ""&amp;Sentiment_Words!B$2:B3730&amp;"" ""
),
1,
0
)
)
)
)"),0.0)</f>
        <v>0</v>
      </c>
      <c r="L2896" s="7" t="str">
        <f t="shared" si="3"/>
        <v>Other</v>
      </c>
      <c r="M2896" s="7" t="str">
        <f t="shared" si="4"/>
        <v>Positive</v>
      </c>
      <c r="N2896" s="7" t="str">
        <f>IFERROR(__xludf.DUMMYFUNCTION("LOWER(
TRIM(
REGEXREPLACE(B2896,""[^a-zA-Z\s]"","""")
)
)
"),"quincy")</f>
        <v>quincy</v>
      </c>
      <c r="O2896" s="7">
        <f t="shared" si="5"/>
        <v>1</v>
      </c>
      <c r="P2896" s="8" t="str">
        <f t="shared" si="6"/>
        <v>No</v>
      </c>
    </row>
    <row r="2897">
      <c r="A2897" s="4" t="s">
        <v>16</v>
      </c>
      <c r="B2897" s="4" t="s">
        <v>8067</v>
      </c>
      <c r="C2897" s="5">
        <v>44613.0</v>
      </c>
      <c r="D2897" s="10">
        <v>44613.0</v>
      </c>
      <c r="E2897" s="4" t="s">
        <v>1045</v>
      </c>
      <c r="F2897" s="4" t="s">
        <v>331</v>
      </c>
      <c r="G2897" s="6" t="str">
        <f>IFERROR(__xludf.DUMMYFUNCTION("REGEXREPLACE(LOWER(F2897),""[^a-z\s]"","""")"),"none")</f>
        <v>none</v>
      </c>
      <c r="H2897" s="4" t="str">
        <f t="shared" si="1"/>
        <v>none</v>
      </c>
      <c r="I2897" s="6">
        <f t="shared" si="2"/>
        <v>1</v>
      </c>
      <c r="J2897" s="6">
        <f>IFERROR(__xludf.DUMMYFUNCTION("IF(H2897="""","""",
SUM(
ARRAYFORMULA(
IF(
REGEXMATCH(
"" ""&amp;H2897&amp;"" "",
"" ""&amp;Sentiment_Words!A$2:A3730&amp;"" ""
),
1,
0
)
)
)
)"),0.0)</f>
        <v>0</v>
      </c>
      <c r="K2897" s="4">
        <f>IFERROR(__xludf.DUMMYFUNCTION("IF(H2897="""","""",
SUM(
ARRAYFORMULA(
IF(
REGEXMATCH(
"" ""&amp;H2897&amp;"" "",
"" ""&amp;Sentiment_Words!B$2:B3730&amp;"" ""
),
1,
0
)
)
)
)"),0.0)</f>
        <v>0</v>
      </c>
      <c r="L2897" s="7" t="str">
        <f t="shared" si="3"/>
        <v>Other</v>
      </c>
      <c r="M2897" s="7" t="str">
        <f t="shared" si="4"/>
        <v>Neutral</v>
      </c>
      <c r="N2897" s="7" t="str">
        <f>IFERROR(__xludf.DUMMYFUNCTION("LOWER(
TRIM(
REGEXREPLACE(B2897,""[^a-zA-Z\s]"","""")
)
)
"),"helen kwok")</f>
        <v>helen kwok</v>
      </c>
      <c r="O2897" s="7">
        <f t="shared" si="5"/>
        <v>1</v>
      </c>
      <c r="P2897" s="8" t="str">
        <f t="shared" si="6"/>
        <v>No</v>
      </c>
    </row>
    <row r="2898">
      <c r="A2898" s="4" t="s">
        <v>16</v>
      </c>
      <c r="B2898" s="4" t="s">
        <v>8068</v>
      </c>
      <c r="C2898" s="5">
        <v>44613.0</v>
      </c>
      <c r="D2898" s="10">
        <v>44613.0</v>
      </c>
      <c r="E2898" s="4" t="s">
        <v>8069</v>
      </c>
      <c r="F2898" s="4" t="s">
        <v>8070</v>
      </c>
      <c r="G2898" s="6" t="str">
        <f>IFERROR(__xludf.DUMMYFUNCTION("REGEXREPLACE(LOWER(F2898),""[^a-z\s]"","""")"),"the ease of ordering and how fast my order arrived was awesome")</f>
        <v>the ease of ordering and how fast my order arrived was awesome</v>
      </c>
      <c r="H2898" s="4" t="str">
        <f t="shared" si="1"/>
        <v>ease of ordering how fast my order arrived was awesome</v>
      </c>
      <c r="I2898" s="6">
        <f t="shared" si="2"/>
        <v>10</v>
      </c>
      <c r="J2898" s="6">
        <f>IFERROR(__xludf.DUMMYFUNCTION("IF(H2898="""","""",
SUM(
ARRAYFORMULA(
IF(
REGEXMATCH(
"" ""&amp;H2898&amp;"" "",
"" ""&amp;Sentiment_Words!A$2:A3730&amp;"" ""
),
1,
0
)
)
)
)"),1.0)</f>
        <v>1</v>
      </c>
      <c r="K2898" s="4">
        <f>IFERROR(__xludf.DUMMYFUNCTION("IF(H2898="""","""",
SUM(
ARRAYFORMULA(
IF(
REGEXMATCH(
"" ""&amp;H2898&amp;"" "",
"" ""&amp;Sentiment_Words!B$2:B3730&amp;"" ""
),
1,
0
)
)
)
)"),0.0)</f>
        <v>0</v>
      </c>
      <c r="L2898" s="7" t="str">
        <f t="shared" si="3"/>
        <v>Other</v>
      </c>
      <c r="M2898" s="7" t="str">
        <f t="shared" si="4"/>
        <v>Positive</v>
      </c>
      <c r="N2898" s="7" t="str">
        <f>IFERROR(__xludf.DUMMYFUNCTION("LOWER(
TRIM(
REGEXREPLACE(B2898,""[^a-zA-Z\s]"","""")
)
)
"),"deana m market")</f>
        <v>deana m market</v>
      </c>
      <c r="O2898" s="7">
        <f t="shared" si="5"/>
        <v>1</v>
      </c>
      <c r="P2898" s="8" t="str">
        <f t="shared" si="6"/>
        <v>No</v>
      </c>
    </row>
    <row r="2899">
      <c r="A2899" s="4" t="s">
        <v>16</v>
      </c>
      <c r="B2899" s="4" t="s">
        <v>56</v>
      </c>
      <c r="C2899" s="5">
        <v>44613.0</v>
      </c>
      <c r="D2899" s="10">
        <v>44613.0</v>
      </c>
      <c r="E2899" s="4" t="s">
        <v>8071</v>
      </c>
      <c r="F2899" s="4" t="s">
        <v>8072</v>
      </c>
      <c r="G2899" s="6" t="str">
        <f>IFERROR(__xludf.DUMMYFUNCTION("REGEXREPLACE(LOWER(F2899),""[^a-z\s]"","""")"),"i had the best girl with customer service who was able to secure a nice discount for our auto ship order thank you")</f>
        <v>i had the best girl with customer service who was able to secure a nice discount for our auto ship order thank you</v>
      </c>
      <c r="H2899" s="4" t="str">
        <f t="shared" si="1"/>
        <v>i had best girl with customer service who was able secure a nice discount our auto ship order thank you</v>
      </c>
      <c r="I2899" s="6">
        <f t="shared" si="2"/>
        <v>20</v>
      </c>
      <c r="J2899" s="6">
        <f>IFERROR(__xludf.DUMMYFUNCTION("IF(H2899="""","""",
SUM(
ARRAYFORMULA(
IF(
REGEXMATCH(
"" ""&amp;H2899&amp;"" "",
"" ""&amp;Sentiment_Words!A$2:A3730&amp;"" ""
),
1,
0
)
)
)
)"),2.0)</f>
        <v>2</v>
      </c>
      <c r="K2899" s="4">
        <f>IFERROR(__xludf.DUMMYFUNCTION("IF(H2899="""","""",
SUM(
ARRAYFORMULA(
IF(
REGEXMATCH(
"" ""&amp;H2899&amp;"" "",
"" ""&amp;Sentiment_Words!B$2:B3730&amp;"" ""
),
1,
0
)
)
)
)"),1.0)</f>
        <v>1</v>
      </c>
      <c r="L2899" s="7" t="str">
        <f t="shared" si="3"/>
        <v>Customer Support</v>
      </c>
      <c r="M2899" s="7" t="str">
        <f t="shared" si="4"/>
        <v>Positive</v>
      </c>
      <c r="N2899" s="7" t="str">
        <f>IFERROR(__xludf.DUMMYFUNCTION("LOWER(
TRIM(
REGEXREPLACE(B2899,""[^a-zA-Z\s]"","""")
)
)
"),"customer")</f>
        <v>customer</v>
      </c>
      <c r="O2899" s="7">
        <f t="shared" si="5"/>
        <v>54</v>
      </c>
      <c r="P2899" s="8" t="str">
        <f t="shared" si="6"/>
        <v>Yes</v>
      </c>
    </row>
    <row r="2900">
      <c r="A2900" s="4" t="s">
        <v>16</v>
      </c>
      <c r="B2900" s="4" t="s">
        <v>739</v>
      </c>
      <c r="C2900" s="5">
        <v>44612.0</v>
      </c>
      <c r="D2900" s="10">
        <v>44612.0</v>
      </c>
      <c r="E2900" s="4" t="s">
        <v>8073</v>
      </c>
      <c r="F2900" s="4" t="s">
        <v>8074</v>
      </c>
      <c r="G2900" s="6" t="str">
        <f>IFERROR(__xludf.DUMMYFUNCTION("REGEXREPLACE(LOWER(F2900),""[^a-z\s]"","""")"),"the system has twice now changed my auto delivery date to a year in the future making it impossible for me to correct it online and schedule an immediate delivery because i am only allowed to select a delivery date after the last delivery which according "&amp;"to their system was   months from now no one answers the phone and the chat icon mentioned in their help section doesnt exist")</f>
        <v>the system has twice now changed my auto delivery date to a year in the future making it impossible for me to correct it online and schedule an immediate delivery because i am only allowed to select a delivery date after the last delivery which according to their system was   months from now no one answers the phone and the chat icon mentioned in their help section doesnt exist</v>
      </c>
      <c r="H2900" s="4" t="str">
        <f t="shared" si="1"/>
        <v>system has twice now changed my auto delivery date a year in future making it impossible me correct it online schedule an immediate delivery because i am only allowed select a delivery date after last delivery which according their system was months from now no one answers phone chat icon mentioned in their help section doesnt exist</v>
      </c>
      <c r="I2900" s="6">
        <f t="shared" si="2"/>
        <v>57</v>
      </c>
      <c r="J2900" s="6">
        <f>IFERROR(__xludf.DUMMYFUNCTION("IF(H2900="""","""",
SUM(
ARRAYFORMULA(
IF(
REGEXMATCH(
"" ""&amp;H2900&amp;"" "",
"" ""&amp;Sentiment_Words!A$2:A3730&amp;"" ""
),
1,
0
)
)
)
)"),0.0)</f>
        <v>0</v>
      </c>
      <c r="K2900" s="4">
        <f>IFERROR(__xludf.DUMMYFUNCTION("IF(H2900="""","""",
SUM(
ARRAYFORMULA(
IF(
REGEXMATCH(
"" ""&amp;H2900&amp;"" "",
"" ""&amp;Sentiment_Words!B$2:B3730&amp;"" ""
),
1,
0
)
)
)
)"),0.0)</f>
        <v>0</v>
      </c>
      <c r="L2900" s="7" t="str">
        <f t="shared" si="3"/>
        <v>Other</v>
      </c>
      <c r="M2900" s="7" t="str">
        <f t="shared" si="4"/>
        <v>Neutral</v>
      </c>
      <c r="N2900" s="7" t="str">
        <f>IFERROR(__xludf.DUMMYFUNCTION("LOWER(
TRIM(
REGEXREPLACE(B2900,""[^a-zA-Z\s]"","""")
)
)
"),"customer")</f>
        <v>customer</v>
      </c>
      <c r="O2900" s="7">
        <f t="shared" si="5"/>
        <v>54</v>
      </c>
      <c r="P2900" s="8" t="str">
        <f t="shared" si="6"/>
        <v>Yes</v>
      </c>
    </row>
    <row r="2901">
      <c r="A2901" s="4" t="s">
        <v>16</v>
      </c>
      <c r="B2901" s="4" t="s">
        <v>8075</v>
      </c>
      <c r="C2901" s="5">
        <v>44612.0</v>
      </c>
      <c r="D2901" s="10">
        <v>44612.0</v>
      </c>
      <c r="E2901" s="4" t="s">
        <v>8076</v>
      </c>
      <c r="F2901" s="4" t="s">
        <v>8077</v>
      </c>
      <c r="G2901" s="6" t="str">
        <f>IFERROR(__xludf.DUMMYFUNCTION("REGEXREPLACE(LOWER(F2901),""[^a-z\s]"","""")"),"placed my first order with petflow and had a issue locating my order details i contacted petflow customer service and received a a response within  hours that resolved my issue very impressed with their response to my questions and received my order on ti"&amp;"me would purchase here again")</f>
        <v>placed my first order with petflow and had a issue locating my order details i contacted petflow customer service and received a a response within  hours that resolved my issue very impressed with their response to my questions and received my order on time would purchase here again</v>
      </c>
      <c r="H2901" s="4" t="str">
        <f t="shared" si="1"/>
        <v>placed my first order with petflow had a issue locating my order details i contacted petflow customer service received a a response within hours that resolved my issue very impressed with their response my questions received my order on time would purchase here again</v>
      </c>
      <c r="I2901" s="6">
        <f t="shared" si="2"/>
        <v>44</v>
      </c>
      <c r="J2901" s="6">
        <f>IFERROR(__xludf.DUMMYFUNCTION("IF(H2901="""","""",
SUM(
ARRAYFORMULA(
IF(
REGEXMATCH(
"" ""&amp;H2901&amp;"" "",
"" ""&amp;Sentiment_Words!A$2:A3730&amp;"" ""
),
1,
0
)
)
)
)"),3.0)</f>
        <v>3</v>
      </c>
      <c r="K2901" s="4">
        <f>IFERROR(__xludf.DUMMYFUNCTION("IF(H2901="""","""",
SUM(
ARRAYFORMULA(
IF(
REGEXMATCH(
"" ""&amp;H2901&amp;"" "",
"" ""&amp;Sentiment_Words!B$2:B3730&amp;"" ""
),
1,
0
)
)
)
)"),2.0)</f>
        <v>2</v>
      </c>
      <c r="L2901" s="7" t="str">
        <f t="shared" si="3"/>
        <v>Customer Support</v>
      </c>
      <c r="M2901" s="7" t="str">
        <f t="shared" si="4"/>
        <v>Positive</v>
      </c>
      <c r="N2901" s="7" t="str">
        <f>IFERROR(__xludf.DUMMYFUNCTION("LOWER(
TRIM(
REGEXREPLACE(B2901,""[^a-zA-Z\s]"","""")
)
)
"),"carl desmond")</f>
        <v>carl desmond</v>
      </c>
      <c r="O2901" s="7">
        <f t="shared" si="5"/>
        <v>1</v>
      </c>
      <c r="P2901" s="8" t="str">
        <f t="shared" si="6"/>
        <v>No</v>
      </c>
    </row>
    <row r="2902">
      <c r="A2902" s="4" t="s">
        <v>16</v>
      </c>
      <c r="B2902" s="4" t="s">
        <v>8078</v>
      </c>
      <c r="C2902" s="5">
        <v>44612.0</v>
      </c>
      <c r="D2902" s="10">
        <v>44612.0</v>
      </c>
      <c r="E2902" s="4" t="s">
        <v>8079</v>
      </c>
      <c r="F2902" s="4" t="s">
        <v>8080</v>
      </c>
      <c r="G2902" s="6" t="str">
        <f>IFERROR(__xludf.DUMMYFUNCTION("REGEXREPLACE(LOWER(F2902),""[^a-z\s]"","""")"),"i love petflows selection and mission please try to have your shipping times better reflect how long it will take with the supply chain issues it would be better to say a package will arrive later and be happily surprised if it arrives early vs saying it "&amp;"will arrive early and it is always late")</f>
        <v>i love petflows selection and mission please try to have your shipping times better reflect how long it will take with the supply chain issues it would be better to say a package will arrive later and be happily surprised if it arrives early vs saying it will arrive early and it is always late</v>
      </c>
      <c r="H2902" s="4" t="str">
        <f t="shared" si="1"/>
        <v>i love petflows selection mission please try have your shipping times better reflect how long it will take with supply chain issues it would be better say a package will arrive later be happily surprised if it arrives early vs saying it will arrive early it always late</v>
      </c>
      <c r="I2902" s="6">
        <f t="shared" si="2"/>
        <v>48</v>
      </c>
      <c r="J2902" s="6">
        <f>IFERROR(__xludf.DUMMYFUNCTION("IF(H2902="""","""",
SUM(
ARRAYFORMULA(
IF(
REGEXMATCH(
"" ""&amp;H2902&amp;"" "",
"" ""&amp;Sentiment_Words!A$2:A3730&amp;"" ""
),
1,
0
)
)
)
)"),1.0)</f>
        <v>1</v>
      </c>
      <c r="K2902" s="4">
        <f>IFERROR(__xludf.DUMMYFUNCTION("IF(H2902="""","""",
SUM(
ARRAYFORMULA(
IF(
REGEXMATCH(
"" ""&amp;H2902&amp;"" "",
"" ""&amp;Sentiment_Words!B$2:B3730&amp;"" ""
),
1,
0
)
)
)
)"),0.0)</f>
        <v>0</v>
      </c>
      <c r="L2902" s="7" t="str">
        <f t="shared" si="3"/>
        <v>Fulfillment &amp; Shipping</v>
      </c>
      <c r="M2902" s="7" t="str">
        <f t="shared" si="4"/>
        <v>Positive</v>
      </c>
      <c r="N2902" s="7" t="str">
        <f>IFERROR(__xludf.DUMMYFUNCTION("LOWER(
TRIM(
REGEXREPLACE(B2902,""[^a-zA-Z\s]"","""")
)
)
"),"jess olson")</f>
        <v>jess olson</v>
      </c>
      <c r="O2902" s="7">
        <f t="shared" si="5"/>
        <v>1</v>
      </c>
      <c r="P2902" s="8" t="str">
        <f t="shared" si="6"/>
        <v>No</v>
      </c>
    </row>
    <row r="2903">
      <c r="A2903" s="4" t="s">
        <v>16</v>
      </c>
      <c r="B2903" s="4" t="s">
        <v>8081</v>
      </c>
      <c r="C2903" s="5">
        <v>44612.0</v>
      </c>
      <c r="D2903" s="10">
        <v>44612.0</v>
      </c>
      <c r="E2903" s="4" t="s">
        <v>8082</v>
      </c>
      <c r="F2903" s="4" t="s">
        <v>8083</v>
      </c>
      <c r="G2903" s="6" t="str">
        <f>IFERROR(__xludf.DUMMYFUNCTION("REGEXREPLACE(LOWER(F2903),""[^a-z\s]"","""")"),"petflows shipping was quick and efficient i love that my order is helping others in need im glad that my pets food and supplements are available through pet flow the only thing i ask is to add merrick canned dog food with healthy grains")</f>
        <v>petflows shipping was quick and efficient i love that my order is helping others in need im glad that my pets food and supplements are available through pet flow the only thing i ask is to add merrick canned dog food with healthy grains</v>
      </c>
      <c r="H2903" s="4" t="str">
        <f t="shared" si="1"/>
        <v>petflows shipping was quick efficient i love that my order helping others in need im glad that my pets food supplements are available through pet flow only thing i ask add merrick canned dog food with healthy grains</v>
      </c>
      <c r="I2903" s="6">
        <f t="shared" si="2"/>
        <v>38</v>
      </c>
      <c r="J2903" s="6">
        <f>IFERROR(__xludf.DUMMYFUNCTION("IF(H2903="""","""",
SUM(
ARRAYFORMULA(
IF(
REGEXMATCH(
"" ""&amp;H2903&amp;"" "",
"" ""&amp;Sentiment_Words!A$2:A3730&amp;"" ""
),
1,
0
)
)
)
)"),3.0)</f>
        <v>3</v>
      </c>
      <c r="K2903" s="4">
        <f>IFERROR(__xludf.DUMMYFUNCTION("IF(H2903="""","""",
SUM(
ARRAYFORMULA(
IF(
REGEXMATCH(
"" ""&amp;H2903&amp;"" "",
"" ""&amp;Sentiment_Words!B$2:B3730&amp;"" ""
),
1,
0
)
)
)
)"),0.0)</f>
        <v>0</v>
      </c>
      <c r="L2903" s="7" t="str">
        <f t="shared" si="3"/>
        <v>Other</v>
      </c>
      <c r="M2903" s="7" t="str">
        <f t="shared" si="4"/>
        <v>Positive</v>
      </c>
      <c r="N2903" s="7" t="str">
        <f>IFERROR(__xludf.DUMMYFUNCTION("LOWER(
TRIM(
REGEXREPLACE(B2903,""[^a-zA-Z\s]"","""")
)
)
"),"persefini a redden")</f>
        <v>persefini a redden</v>
      </c>
      <c r="O2903" s="7">
        <f t="shared" si="5"/>
        <v>1</v>
      </c>
      <c r="P2903" s="8" t="str">
        <f t="shared" si="6"/>
        <v>No</v>
      </c>
    </row>
    <row r="2904">
      <c r="A2904" s="4" t="s">
        <v>16</v>
      </c>
      <c r="B2904" s="4" t="s">
        <v>8084</v>
      </c>
      <c r="C2904" s="5">
        <v>44612.0</v>
      </c>
      <c r="D2904" s="10">
        <v>44612.0</v>
      </c>
      <c r="E2904" s="4" t="s">
        <v>8085</v>
      </c>
      <c r="F2904" s="4" t="s">
        <v>8086</v>
      </c>
      <c r="G2904" s="6" t="str">
        <f>IFERROR(__xludf.DUMMYFUNCTION("REGEXREPLACE(LOWER(F2904),""[^a-z\s]"","""")"),"i had a problem and their customer service rectified the problem
very pleased with how it was handled")</f>
        <v>i had a problem and their customer service rectified the problem
very pleased with how it was handled</v>
      </c>
      <c r="H2904" s="4" t="str">
        <f t="shared" si="1"/>
        <v>i had a problem their customer service rectified problem
very pleased with how it was handled</v>
      </c>
      <c r="I2904" s="6">
        <f t="shared" si="2"/>
        <v>15</v>
      </c>
      <c r="J2904" s="6">
        <f>IFERROR(__xludf.DUMMYFUNCTION("IF(H2904="""","""",
SUM(
ARRAYFORMULA(
IF(
REGEXMATCH(
"" ""&amp;H2904&amp;"" "",
"" ""&amp;Sentiment_Words!A$2:A3730&amp;"" ""
),
1,
0
)
)
)
)"),0.0)</f>
        <v>0</v>
      </c>
      <c r="K2904" s="4">
        <f>IFERROR(__xludf.DUMMYFUNCTION("IF(H2904="""","""",
SUM(
ARRAYFORMULA(
IF(
REGEXMATCH(
"" ""&amp;H2904&amp;"" "",
"" ""&amp;Sentiment_Words!B$2:B3730&amp;"" ""
),
1,
0
)
)
)
)"),2.0)</f>
        <v>2</v>
      </c>
      <c r="L2904" s="7" t="str">
        <f t="shared" si="3"/>
        <v>Customer Support</v>
      </c>
      <c r="M2904" s="7" t="str">
        <f t="shared" si="4"/>
        <v>Negative</v>
      </c>
      <c r="N2904" s="7" t="str">
        <f>IFERROR(__xludf.DUMMYFUNCTION("LOWER(
TRIM(
REGEXREPLACE(B2904,""[^a-zA-Z\s]"","""")
)
)
"),"tamara dacken")</f>
        <v>tamara dacken</v>
      </c>
      <c r="O2904" s="7">
        <f t="shared" si="5"/>
        <v>1</v>
      </c>
      <c r="P2904" s="8" t="str">
        <f t="shared" si="6"/>
        <v>No</v>
      </c>
    </row>
    <row r="2905">
      <c r="A2905" s="4" t="s">
        <v>16</v>
      </c>
      <c r="B2905" s="4" t="s">
        <v>8087</v>
      </c>
      <c r="C2905" s="5">
        <v>44612.0</v>
      </c>
      <c r="D2905" s="10">
        <v>44612.0</v>
      </c>
      <c r="E2905" s="4" t="s">
        <v>3622</v>
      </c>
      <c r="F2905" s="4" t="s">
        <v>8088</v>
      </c>
      <c r="G2905" s="6" t="str">
        <f>IFERROR(__xludf.DUMMYFUNCTION("REGEXREPLACE(LOWER(F2905),""[^a-z\s]"","""")"),"fast shipping product arrives in great shape no holes or banged up boxes auto ship is flexible and ways to edit great notifications for shipping and arrival always fresh food with good dates")</f>
        <v>fast shipping product arrives in great shape no holes or banged up boxes auto ship is flexible and ways to edit great notifications for shipping and arrival always fresh food with good dates</v>
      </c>
      <c r="H2905" s="4" t="str">
        <f t="shared" si="1"/>
        <v>fast shipping product arrives in great shape no holes or banged up boxes auto ship flexible ways edit great notifications shipping arrival always fresh food with good dates</v>
      </c>
      <c r="I2905" s="6">
        <f t="shared" si="2"/>
        <v>28</v>
      </c>
      <c r="J2905" s="6">
        <f>IFERROR(__xludf.DUMMYFUNCTION("IF(H2905="""","""",
SUM(
ARRAYFORMULA(
IF(
REGEXMATCH(
"" ""&amp;H2905&amp;"" "",
"" ""&amp;Sentiment_Words!A$2:A3730&amp;"" ""
),
1,
0
)
)
)
)"),4.0)</f>
        <v>4</v>
      </c>
      <c r="K2905" s="4">
        <f>IFERROR(__xludf.DUMMYFUNCTION("IF(H2905="""","""",
SUM(
ARRAYFORMULA(
IF(
REGEXMATCH(
"" ""&amp;H2905&amp;"" "",
"" ""&amp;Sentiment_Words!B$2:B3730&amp;"" ""
),
1,
0
)
)
)
)"),0.0)</f>
        <v>0</v>
      </c>
      <c r="L2905" s="7" t="str">
        <f t="shared" si="3"/>
        <v>Other</v>
      </c>
      <c r="M2905" s="7" t="str">
        <f t="shared" si="4"/>
        <v>Positive</v>
      </c>
      <c r="N2905" s="7" t="str">
        <f>IFERROR(__xludf.DUMMYFUNCTION("LOWER(
TRIM(
REGEXREPLACE(B2905,""[^a-zA-Z\s]"","""")
)
)
"),"leeann")</f>
        <v>leeann</v>
      </c>
      <c r="O2905" s="7">
        <f t="shared" si="5"/>
        <v>1</v>
      </c>
      <c r="P2905" s="8" t="str">
        <f t="shared" si="6"/>
        <v>No</v>
      </c>
    </row>
    <row r="2906">
      <c r="A2906" s="4" t="s">
        <v>16</v>
      </c>
      <c r="B2906" s="4" t="s">
        <v>8089</v>
      </c>
      <c r="C2906" s="5">
        <v>44612.0</v>
      </c>
      <c r="D2906" s="10">
        <v>44612.0</v>
      </c>
      <c r="E2906" s="4" t="s">
        <v>8090</v>
      </c>
      <c r="F2906" s="4" t="s">
        <v>8091</v>
      </c>
      <c r="G2906" s="6" t="str">
        <f>IFERROR(__xludf.DUMMYFUNCTION("REGEXREPLACE(LOWER(F2906),""[^a-z\s]"","""")"),"most of the representatives i spoketexted with were wonderful i was disappointed because while waiting for prescription dog food to ship i was given a few different responses depending on who answered petflow customer service line
but now i received what "&amp;"was needed  thank you for that")</f>
        <v>most of the representatives i spoketexted with were wonderful i was disappointed because while waiting for prescription dog food to ship i was given a few different responses depending on who answered petflow customer service line
but now i received what was needed  thank you for that</v>
      </c>
      <c r="H2906" s="4" t="str">
        <f t="shared" si="1"/>
        <v>most of representatives i spoketexted with were wonderful i was disappointed because while waiting prescription dog food ship i was given a few different responses depending on who answered petflow customer service line
but now i received what was needed thank you that</v>
      </c>
      <c r="I2906" s="6">
        <f t="shared" si="2"/>
        <v>42</v>
      </c>
      <c r="J2906" s="6">
        <f>IFERROR(__xludf.DUMMYFUNCTION("IF(H2906="""","""",
SUM(
ARRAYFORMULA(
IF(
REGEXMATCH(
"" ""&amp;H2906&amp;"" "",
"" ""&amp;Sentiment_Words!A$2:A3730&amp;"" ""
),
1,
0
)
)
)
)"),1.0)</f>
        <v>1</v>
      </c>
      <c r="K2906" s="4">
        <f>IFERROR(__xludf.DUMMYFUNCTION("IF(H2906="""","""",
SUM(
ARRAYFORMULA(
IF(
REGEXMATCH(
"" ""&amp;H2906&amp;"" "",
"" ""&amp;Sentiment_Words!B$2:B3730&amp;"" ""
),
1,
0
)
)
)
)"),1.0)</f>
        <v>1</v>
      </c>
      <c r="L2906" s="7" t="str">
        <f t="shared" si="3"/>
        <v>Customer Support</v>
      </c>
      <c r="M2906" s="7" t="str">
        <f t="shared" si="4"/>
        <v>Neutral</v>
      </c>
      <c r="N2906" s="7" t="str">
        <f>IFERROR(__xludf.DUMMYFUNCTION("LOWER(
TRIM(
REGEXREPLACE(B2906,""[^a-zA-Z\s]"","""")
)
)
"),"trish m")</f>
        <v>trish m</v>
      </c>
      <c r="O2906" s="7">
        <f t="shared" si="5"/>
        <v>1</v>
      </c>
      <c r="P2906" s="8" t="str">
        <f t="shared" si="6"/>
        <v>No</v>
      </c>
    </row>
    <row r="2907">
      <c r="A2907" s="4" t="s">
        <v>16</v>
      </c>
      <c r="B2907" s="4" t="s">
        <v>8092</v>
      </c>
      <c r="C2907" s="5">
        <v>44611.0</v>
      </c>
      <c r="D2907" s="10">
        <v>44612.0</v>
      </c>
      <c r="E2907" s="4" t="s">
        <v>8093</v>
      </c>
      <c r="F2907" s="4" t="s">
        <v>8094</v>
      </c>
      <c r="G2907" s="6" t="str">
        <f>IFERROR(__xludf.DUMMYFUNCTION("REGEXREPLACE(LOWER(F2907),""[^a-z\s]"","""")"),"took a little longer than estimated for it to ship but thats probably the manufacturer availability being what it is right now for pet food i am extremely happy to have found another resource for prescription kibble fast handling  shipping when ready")</f>
        <v>took a little longer than estimated for it to ship but thats probably the manufacturer availability being what it is right now for pet food i am extremely happy to have found another resource for prescription kibble fast handling  shipping when ready</v>
      </c>
      <c r="H2907" s="4" t="str">
        <f t="shared" si="1"/>
        <v>took a little longer than estimated it ship but thats probably manufacturer availability being what it right now pet food i am extremely happy have found another resource prescription kibble fast handling shipping when ready</v>
      </c>
      <c r="I2907" s="6">
        <f t="shared" si="2"/>
        <v>35</v>
      </c>
      <c r="J2907" s="6">
        <f>IFERROR(__xludf.DUMMYFUNCTION("IF(H2907="""","""",
SUM(
ARRAYFORMULA(
IF(
REGEXMATCH(
"" ""&amp;H2907&amp;"" "",
"" ""&amp;Sentiment_Words!A$2:A3730&amp;"" ""
),
1,
0
)
)
)
)"),3.0)</f>
        <v>3</v>
      </c>
      <c r="K2907" s="4">
        <f>IFERROR(__xludf.DUMMYFUNCTION("IF(H2907="""","""",
SUM(
ARRAYFORMULA(
IF(
REGEXMATCH(
"" ""&amp;H2907&amp;"" "",
"" ""&amp;Sentiment_Words!B$2:B3730&amp;"" ""
),
1,
0
)
)
)
)"),0.0)</f>
        <v>0</v>
      </c>
      <c r="L2907" s="7" t="str">
        <f t="shared" si="3"/>
        <v>Other</v>
      </c>
      <c r="M2907" s="7" t="str">
        <f t="shared" si="4"/>
        <v>Positive</v>
      </c>
      <c r="N2907" s="7" t="str">
        <f>IFERROR(__xludf.DUMMYFUNCTION("LOWER(
TRIM(
REGEXREPLACE(B2907,""[^a-zA-Z\s]"","""")
)
)
"),"nicole hale")</f>
        <v>nicole hale</v>
      </c>
      <c r="O2907" s="7">
        <f t="shared" si="5"/>
        <v>1</v>
      </c>
      <c r="P2907" s="8" t="str">
        <f t="shared" si="6"/>
        <v>No</v>
      </c>
    </row>
    <row r="2908">
      <c r="A2908" s="4" t="s">
        <v>16</v>
      </c>
      <c r="B2908" s="4" t="s">
        <v>8095</v>
      </c>
      <c r="C2908" s="5">
        <v>44611.0</v>
      </c>
      <c r="D2908" s="10">
        <v>44611.0</v>
      </c>
      <c r="E2908" s="4" t="s">
        <v>1045</v>
      </c>
      <c r="F2908" s="4" t="s">
        <v>8096</v>
      </c>
      <c r="G2908" s="6" t="str">
        <f>IFERROR(__xludf.DUMMYFUNCTION("REGEXREPLACE(LOWER(F2908),""[^a-z\s]"","""")"),"pet flow order came even faster than expected")</f>
        <v>pet flow order came even faster than expected</v>
      </c>
      <c r="H2908" s="4" t="str">
        <f t="shared" si="1"/>
        <v>pet flow order came even faster than expected</v>
      </c>
      <c r="I2908" s="6">
        <f t="shared" si="2"/>
        <v>8</v>
      </c>
      <c r="J2908" s="6">
        <f>IFERROR(__xludf.DUMMYFUNCTION("IF(H2908="""","""",
SUM(
ARRAYFORMULA(
IF(
REGEXMATCH(
"" ""&amp;H2908&amp;"" "",
"" ""&amp;Sentiment_Words!A$2:A3730&amp;"" ""
),
1,
0
)
)
)
)"),0.0)</f>
        <v>0</v>
      </c>
      <c r="K2908" s="4">
        <f>IFERROR(__xludf.DUMMYFUNCTION("IF(H2908="""","""",
SUM(
ARRAYFORMULA(
IF(
REGEXMATCH(
"" ""&amp;H2908&amp;"" "",
"" ""&amp;Sentiment_Words!B$2:B3730&amp;"" ""
),
1,
0
)
)
)
)"),0.0)</f>
        <v>0</v>
      </c>
      <c r="L2908" s="7" t="str">
        <f t="shared" si="3"/>
        <v>Other</v>
      </c>
      <c r="M2908" s="7" t="str">
        <f t="shared" si="4"/>
        <v>Neutral</v>
      </c>
      <c r="N2908" s="7" t="str">
        <f>IFERROR(__xludf.DUMMYFUNCTION("LOWER(
TRIM(
REGEXREPLACE(B2908,""[^a-zA-Z\s]"","""")
)
)
"),"gayle andriani")</f>
        <v>gayle andriani</v>
      </c>
      <c r="O2908" s="7">
        <f t="shared" si="5"/>
        <v>1</v>
      </c>
      <c r="P2908" s="8" t="str">
        <f t="shared" si="6"/>
        <v>No</v>
      </c>
    </row>
    <row r="2909">
      <c r="A2909" s="4" t="s">
        <v>16</v>
      </c>
      <c r="B2909" s="4" t="s">
        <v>8097</v>
      </c>
      <c r="C2909" s="5">
        <v>44611.0</v>
      </c>
      <c r="D2909" s="10">
        <v>44611.0</v>
      </c>
      <c r="E2909" s="4" t="s">
        <v>8098</v>
      </c>
      <c r="F2909" s="4" t="s">
        <v>8099</v>
      </c>
      <c r="G2909" s="6" t="str">
        <f>IFERROR(__xludf.DUMMYFUNCTION("REGEXREPLACE(LOWER(F2909),""[^a-z\s]"","""")"),"i ordered prescription science diet cd canned food it arrived on time this is the first time i ordered from petflow i hope to order from them later intime")</f>
        <v>i ordered prescription science diet cd canned food it arrived on time this is the first time i ordered from petflow i hope to order from them later intime</v>
      </c>
      <c r="H2909" s="4" t="str">
        <f t="shared" si="1"/>
        <v>i ordered prescription science diet cd canned food it arrived on time this first time i ordered from petflow i hope order from them later intime</v>
      </c>
      <c r="I2909" s="6">
        <f t="shared" si="2"/>
        <v>26</v>
      </c>
      <c r="J2909" s="6">
        <f>IFERROR(__xludf.DUMMYFUNCTION("IF(H2909="""","""",
SUM(
ARRAYFORMULA(
IF(
REGEXMATCH(
"" ""&amp;H2909&amp;"" "",
"" ""&amp;Sentiment_Words!A$2:A3730&amp;"" ""
),
1,
0
)
)
)
)"),1.0)</f>
        <v>1</v>
      </c>
      <c r="K2909" s="4">
        <f>IFERROR(__xludf.DUMMYFUNCTION("IF(H2909="""","""",
SUM(
ARRAYFORMULA(
IF(
REGEXMATCH(
"" ""&amp;H2909&amp;"" "",
"" ""&amp;Sentiment_Words!B$2:B3730&amp;"" ""
),
1,
0
)
)
)
)"),0.0)</f>
        <v>0</v>
      </c>
      <c r="L2909" s="7" t="str">
        <f t="shared" si="3"/>
        <v>Fulfillment &amp; Shipping</v>
      </c>
      <c r="M2909" s="7" t="str">
        <f t="shared" si="4"/>
        <v>Positive</v>
      </c>
      <c r="N2909" s="7" t="str">
        <f>IFERROR(__xludf.DUMMYFUNCTION("LOWER(
TRIM(
REGEXREPLACE(B2909,""[^a-zA-Z\s]"","""")
)
)
"),"david elfin")</f>
        <v>david elfin</v>
      </c>
      <c r="O2909" s="7">
        <f t="shared" si="5"/>
        <v>1</v>
      </c>
      <c r="P2909" s="8" t="str">
        <f t="shared" si="6"/>
        <v>No</v>
      </c>
    </row>
    <row r="2910">
      <c r="A2910" s="4" t="s">
        <v>16</v>
      </c>
      <c r="B2910" s="4" t="s">
        <v>8100</v>
      </c>
      <c r="C2910" s="5">
        <v>44611.0</v>
      </c>
      <c r="D2910" s="10">
        <v>44611.0</v>
      </c>
      <c r="E2910" s="4" t="s">
        <v>8101</v>
      </c>
      <c r="F2910" s="4" t="s">
        <v>8102</v>
      </c>
      <c r="G2910" s="6" t="str">
        <f>IFERROR(__xludf.DUMMYFUNCTION("REGEXREPLACE(LOWER(F2910),""[^a-z\s]"","""")"),"my cat winnie loves nutro wet cat food and i was able to find the wet food winnie loves petflow sent it right out to us quickly i am happy i found petflow")</f>
        <v>my cat winnie loves nutro wet cat food and i was able to find the wet food winnie loves petflow sent it right out to us quickly i am happy i found petflow</v>
      </c>
      <c r="H2910" s="4" t="str">
        <f t="shared" si="1"/>
        <v>my cat winnie loves nutro wet cat food i was able find wet food winnie loves petflow sent it right out us quickly i am happy i found petflow</v>
      </c>
      <c r="I2910" s="6">
        <f t="shared" si="2"/>
        <v>29</v>
      </c>
      <c r="J2910" s="6">
        <f>IFERROR(__xludf.DUMMYFUNCTION("IF(H2910="""","""",
SUM(
ARRAYFORMULA(
IF(
REGEXMATCH(
"" ""&amp;H2910&amp;"" "",
"" ""&amp;Sentiment_Words!A$2:A3730&amp;"" ""
),
1,
0
)
)
)
)"),3.0)</f>
        <v>3</v>
      </c>
      <c r="K2910" s="4">
        <f>IFERROR(__xludf.DUMMYFUNCTION("IF(H2910="""","""",
SUM(
ARRAYFORMULA(
IF(
REGEXMATCH(
"" ""&amp;H2910&amp;"" "",
"" ""&amp;Sentiment_Words!B$2:B3730&amp;"" ""
),
1,
0
)
)
)
)"),0.0)</f>
        <v>0</v>
      </c>
      <c r="L2910" s="7" t="str">
        <f t="shared" si="3"/>
        <v>Other</v>
      </c>
      <c r="M2910" s="7" t="str">
        <f t="shared" si="4"/>
        <v>Positive</v>
      </c>
      <c r="N2910" s="7" t="str">
        <f>IFERROR(__xludf.DUMMYFUNCTION("LOWER(
TRIM(
REGEXREPLACE(B2910,""[^a-zA-Z\s]"","""")
)
)
"),"mary angelia coyle")</f>
        <v>mary angelia coyle</v>
      </c>
      <c r="O2910" s="7">
        <f t="shared" si="5"/>
        <v>1</v>
      </c>
      <c r="P2910" s="8" t="str">
        <f t="shared" si="6"/>
        <v>No</v>
      </c>
    </row>
    <row r="2911">
      <c r="A2911" s="4" t="s">
        <v>16</v>
      </c>
      <c r="B2911" s="4" t="s">
        <v>8103</v>
      </c>
      <c r="C2911" s="5">
        <v>44611.0</v>
      </c>
      <c r="D2911" s="10">
        <v>44611.0</v>
      </c>
      <c r="E2911" s="4" t="s">
        <v>8104</v>
      </c>
      <c r="F2911" s="4" t="s">
        <v>8105</v>
      </c>
      <c r="G2911" s="6" t="str">
        <f>IFERROR(__xludf.DUMMYFUNCTION("REGEXREPLACE(LOWER(F2911),""[^a-z\s]"","""")"),"food is shipped quickly every time and communication is excellent wish theyd get rid of the one button in checkout that makes you check just ship once every time")</f>
        <v>food is shipped quickly every time and communication is excellent wish theyd get rid of the one button in checkout that makes you check just ship once every time</v>
      </c>
      <c r="H2911" s="4" t="str">
        <f t="shared" si="1"/>
        <v>food shipped quickly every time communication excellent wish theyd get rid of one button in checkout that makes you check just ship once every time</v>
      </c>
      <c r="I2911" s="6">
        <f t="shared" si="2"/>
        <v>25</v>
      </c>
      <c r="J2911" s="6">
        <f>IFERROR(__xludf.DUMMYFUNCTION("IF(H2911="""","""",
SUM(
ARRAYFORMULA(
IF(
REGEXMATCH(
"" ""&amp;H2911&amp;"" "",
"" ""&amp;Sentiment_Words!A$2:A3730&amp;"" ""
),
1,
0
)
)
)
)"),1.0)</f>
        <v>1</v>
      </c>
      <c r="K2911" s="4">
        <f>IFERROR(__xludf.DUMMYFUNCTION("IF(H2911="""","""",
SUM(
ARRAYFORMULA(
IF(
REGEXMATCH(
"" ""&amp;H2911&amp;"" "",
"" ""&amp;Sentiment_Words!B$2:B3730&amp;"" ""
),
1,
0
)
)
)
)"),0.0)</f>
        <v>0</v>
      </c>
      <c r="L2911" s="7" t="str">
        <f t="shared" si="3"/>
        <v>Other</v>
      </c>
      <c r="M2911" s="7" t="str">
        <f t="shared" si="4"/>
        <v>Positive</v>
      </c>
      <c r="N2911" s="7" t="str">
        <f>IFERROR(__xludf.DUMMYFUNCTION("LOWER(
TRIM(
REGEXREPLACE(B2911,""[^a-zA-Z\s]"","""")
)
)
"),"jrsnonna")</f>
        <v>jrsnonna</v>
      </c>
      <c r="O2911" s="7">
        <f t="shared" si="5"/>
        <v>1</v>
      </c>
      <c r="P2911" s="8" t="str">
        <f t="shared" si="6"/>
        <v>No</v>
      </c>
    </row>
    <row r="2912">
      <c r="A2912" s="4" t="s">
        <v>16</v>
      </c>
      <c r="B2912" s="4" t="s">
        <v>8106</v>
      </c>
      <c r="C2912" s="5">
        <v>44611.0</v>
      </c>
      <c r="D2912" s="10">
        <v>44611.0</v>
      </c>
      <c r="E2912" s="4" t="s">
        <v>8107</v>
      </c>
      <c r="F2912" s="4" t="s">
        <v>8108</v>
      </c>
      <c r="G2912" s="6" t="str">
        <f>IFERROR(__xludf.DUMMYFUNCTION("REGEXREPLACE(LOWER(F2912),""[^a-z\s]"","""")"),"i have relied upon petflow for hard to find foods even from online sources their product delivery is fast and reliable their website is efficient and easy to maneuver no problems have cropped up as happens sometimes on amazon i have always been pleased wi"&amp;"th my experiences with petflow")</f>
        <v>i have relied upon petflow for hard to find foods even from online sources their product delivery is fast and reliable their website is efficient and easy to maneuver no problems have cropped up as happens sometimes on amazon i have always been pleased with my experiences with petflow</v>
      </c>
      <c r="H2912" s="4" t="str">
        <f t="shared" si="1"/>
        <v>i have relied upon petflow hard find foods even from online sources their product delivery fast reliable their website efficient easy maneuver no problems have cropped up as happens sometimes on amazon i have always been pleased with my experiences with petflow</v>
      </c>
      <c r="I2912" s="6">
        <f t="shared" si="2"/>
        <v>42</v>
      </c>
      <c r="J2912" s="6">
        <f>IFERROR(__xludf.DUMMYFUNCTION("IF(H2912="""","""",
SUM(
ARRAYFORMULA(
IF(
REGEXMATCH(
"" ""&amp;H2912&amp;"" "",
"" ""&amp;Sentiment_Words!A$2:A3730&amp;"" ""
),
1,
0
)
)
)
)"),5.0)</f>
        <v>5</v>
      </c>
      <c r="K2912" s="4">
        <f>IFERROR(__xludf.DUMMYFUNCTION("IF(H2912="""","""",
SUM(
ARRAYFORMULA(
IF(
REGEXMATCH(
"" ""&amp;H2912&amp;"" "",
"" ""&amp;Sentiment_Words!B$2:B3730&amp;"" ""
),
1,
0
)
)
)
)"),0.0)</f>
        <v>0</v>
      </c>
      <c r="L2912" s="7" t="str">
        <f t="shared" si="3"/>
        <v>Account &amp; Website</v>
      </c>
      <c r="M2912" s="7" t="str">
        <f t="shared" si="4"/>
        <v>Positive</v>
      </c>
      <c r="N2912" s="7" t="str">
        <f>IFERROR(__xludf.DUMMYFUNCTION("LOWER(
TRIM(
REGEXREPLACE(B2912,""[^a-zA-Z\s]"","""")
)
)
"),"choc dog")</f>
        <v>choc dog</v>
      </c>
      <c r="O2912" s="7">
        <f t="shared" si="5"/>
        <v>1</v>
      </c>
      <c r="P2912" s="8" t="str">
        <f t="shared" si="6"/>
        <v>No</v>
      </c>
    </row>
    <row r="2913">
      <c r="A2913" s="4" t="s">
        <v>16</v>
      </c>
      <c r="B2913" s="4" t="s">
        <v>8109</v>
      </c>
      <c r="C2913" s="5">
        <v>44611.0</v>
      </c>
      <c r="D2913" s="10">
        <v>44611.0</v>
      </c>
      <c r="E2913" s="4" t="s">
        <v>8110</v>
      </c>
      <c r="F2913" s="4" t="s">
        <v>8111</v>
      </c>
      <c r="G2913" s="6" t="str">
        <f>IFERROR(__xludf.DUMMYFUNCTION("REGEXREPLACE(LOWER(F2913),""[^a-z\s]"","""")"),"pet flow was the only place that had the prescription food i needed
they were very helpful by making my order a critical ship so that i would have the food in time for my pet to be boarded")</f>
        <v>pet flow was the only place that had the prescription food i needed
they were very helpful by making my order a critical ship so that i would have the food in time for my pet to be boarded</v>
      </c>
      <c r="H2913" s="4" t="str">
        <f t="shared" si="1"/>
        <v>pet flow was only place that had prescription food i needed
they were very helpful by making my order a critical ship so that i would have food in time my pet be boarded</v>
      </c>
      <c r="I2913" s="6">
        <f t="shared" si="2"/>
        <v>33</v>
      </c>
      <c r="J2913" s="6">
        <f>IFERROR(__xludf.DUMMYFUNCTION("IF(H2913="""","""",
SUM(
ARRAYFORMULA(
IF(
REGEXMATCH(
"" ""&amp;H2913&amp;"" "",
"" ""&amp;Sentiment_Words!A$2:A3730&amp;"" ""
),
1,
0
)
)
)
)"),1.0)</f>
        <v>1</v>
      </c>
      <c r="K2913" s="4">
        <f>IFERROR(__xludf.DUMMYFUNCTION("IF(H2913="""","""",
SUM(
ARRAYFORMULA(
IF(
REGEXMATCH(
"" ""&amp;H2913&amp;"" "",
"" ""&amp;Sentiment_Words!B$2:B3730&amp;"" ""
),
1,
0
)
)
)
)"),0.0)</f>
        <v>0</v>
      </c>
      <c r="L2913" s="7" t="str">
        <f t="shared" si="3"/>
        <v>Other</v>
      </c>
      <c r="M2913" s="7" t="str">
        <f t="shared" si="4"/>
        <v>Positive</v>
      </c>
      <c r="N2913" s="7" t="str">
        <f>IFERROR(__xludf.DUMMYFUNCTION("LOWER(
TRIM(
REGEXREPLACE(B2913,""[^a-zA-Z\s]"","""")
)
)
"),"sherman shart")</f>
        <v>sherman shart</v>
      </c>
      <c r="O2913" s="7">
        <f t="shared" si="5"/>
        <v>1</v>
      </c>
      <c r="P2913" s="8" t="str">
        <f t="shared" si="6"/>
        <v>No</v>
      </c>
    </row>
    <row r="2914">
      <c r="A2914" s="4" t="s">
        <v>16</v>
      </c>
      <c r="B2914" s="4" t="s">
        <v>8112</v>
      </c>
      <c r="C2914" s="5">
        <v>44611.0</v>
      </c>
      <c r="D2914" s="10">
        <v>44611.0</v>
      </c>
      <c r="E2914" s="4" t="s">
        <v>8113</v>
      </c>
      <c r="F2914" s="4" t="s">
        <v>8114</v>
      </c>
      <c r="G2914" s="6" t="str">
        <f>IFERROR(__xludf.DUMMYFUNCTION("REGEXREPLACE(LOWER(F2914),""[^a-z\s]"","""")"),"i have been shopping at petflow and am very pleased with their products price  service they are prompt on shipping and keep you informed if there are any issues with your order my dogs love the bones  beef tendons")</f>
        <v>i have been shopping at petflow and am very pleased with their products price  service they are prompt on shipping and keep you informed if there are any issues with your order my dogs love the bones  beef tendons</v>
      </c>
      <c r="H2914" s="4" t="str">
        <f t="shared" si="1"/>
        <v>i have been shopping at petflow am very pleased with their products price service they are prompt on shipping keep you informed if there are any issues with your order my dogs love bones beef tendons</v>
      </c>
      <c r="I2914" s="6">
        <f t="shared" si="2"/>
        <v>36</v>
      </c>
      <c r="J2914" s="6">
        <f>IFERROR(__xludf.DUMMYFUNCTION("IF(H2914="""","""",
SUM(
ARRAYFORMULA(
IF(
REGEXMATCH(
"" ""&amp;H2914&amp;"" "",
"" ""&amp;Sentiment_Words!A$2:A3730&amp;"" ""
),
1,
0
)
)
)
)"),2.0)</f>
        <v>2</v>
      </c>
      <c r="K2914" s="4">
        <f>IFERROR(__xludf.DUMMYFUNCTION("IF(H2914="""","""",
SUM(
ARRAYFORMULA(
IF(
REGEXMATCH(
"" ""&amp;H2914&amp;"" "",
"" ""&amp;Sentiment_Words!B$2:B3730&amp;"" ""
),
1,
0
)
)
)
)"),0.0)</f>
        <v>0</v>
      </c>
      <c r="L2914" s="7" t="str">
        <f t="shared" si="3"/>
        <v>Customer Support</v>
      </c>
      <c r="M2914" s="7" t="str">
        <f t="shared" si="4"/>
        <v>Positive</v>
      </c>
      <c r="N2914" s="7" t="str">
        <f>IFERROR(__xludf.DUMMYFUNCTION("LOWER(
TRIM(
REGEXREPLACE(B2914,""[^a-zA-Z\s]"","""")
)
)
"),"united states")</f>
        <v>united states</v>
      </c>
      <c r="O2914" s="7">
        <f t="shared" si="5"/>
        <v>1</v>
      </c>
      <c r="P2914" s="8" t="str">
        <f t="shared" si="6"/>
        <v>No</v>
      </c>
    </row>
    <row r="2915">
      <c r="A2915" s="4" t="s">
        <v>16</v>
      </c>
      <c r="B2915" s="4" t="s">
        <v>8115</v>
      </c>
      <c r="C2915" s="5">
        <v>44611.0</v>
      </c>
      <c r="D2915" s="10">
        <v>44611.0</v>
      </c>
      <c r="E2915" s="4" t="s">
        <v>8116</v>
      </c>
      <c r="F2915" s="4" t="s">
        <v>8117</v>
      </c>
      <c r="G2915" s="6" t="str">
        <f>IFERROR(__xludf.DUMMYFUNCTION("REGEXREPLACE(LOWER(F2915),""[^a-z\s]"","""")"),"never received what i ordered  days later they told me it was ever in stock i will never order again from this loser company")</f>
        <v>never received what i ordered  days later they told me it was ever in stock i will never order again from this loser company</v>
      </c>
      <c r="H2915" s="4" t="str">
        <f t="shared" si="1"/>
        <v>never received what i ordered days later they told me it was ever in stock i will never order again from this loser company</v>
      </c>
      <c r="I2915" s="6">
        <f t="shared" si="2"/>
        <v>24</v>
      </c>
      <c r="J2915" s="6">
        <f>IFERROR(__xludf.DUMMYFUNCTION("IF(H2915="""","""",
SUM(
ARRAYFORMULA(
IF(
REGEXMATCH(
"" ""&amp;H2915&amp;"" "",
"" ""&amp;Sentiment_Words!A$2:A3730&amp;"" ""
),
1,
0
)
)
)
)"),0.0)</f>
        <v>0</v>
      </c>
      <c r="K2915" s="4">
        <f>IFERROR(__xludf.DUMMYFUNCTION("IF(H2915="""","""",
SUM(
ARRAYFORMULA(
IF(
REGEXMATCH(
"" ""&amp;H2915&amp;"" "",
"" ""&amp;Sentiment_Words!B$2:B3730&amp;"" ""
),
1,
0
)
)
)
)"),0.0)</f>
        <v>0</v>
      </c>
      <c r="L2915" s="7" t="str">
        <f t="shared" si="3"/>
        <v>Fulfillment &amp; Shipping</v>
      </c>
      <c r="M2915" s="7" t="str">
        <f t="shared" si="4"/>
        <v>Neutral</v>
      </c>
      <c r="N2915" s="7" t="str">
        <f>IFERROR(__xludf.DUMMYFUNCTION("LOWER(
TRIM(
REGEXREPLACE(B2915,""[^a-zA-Z\s]"","""")
)
)
"),"lisa hayes")</f>
        <v>lisa hayes</v>
      </c>
      <c r="O2915" s="7">
        <f t="shared" si="5"/>
        <v>1</v>
      </c>
      <c r="P2915" s="8" t="str">
        <f t="shared" si="6"/>
        <v>No</v>
      </c>
    </row>
    <row r="2916">
      <c r="A2916" s="4" t="s">
        <v>16</v>
      </c>
      <c r="B2916" s="4" t="s">
        <v>8118</v>
      </c>
      <c r="C2916" s="5">
        <v>44611.0</v>
      </c>
      <c r="D2916" s="10">
        <v>44611.0</v>
      </c>
      <c r="E2916" s="4" t="s">
        <v>4747</v>
      </c>
      <c r="F2916" s="4" t="s">
        <v>331</v>
      </c>
      <c r="G2916" s="6" t="str">
        <f>IFERROR(__xludf.DUMMYFUNCTION("REGEXREPLACE(LOWER(F2916),""[^a-z\s]"","""")"),"none")</f>
        <v>none</v>
      </c>
      <c r="H2916" s="4" t="str">
        <f t="shared" si="1"/>
        <v>none</v>
      </c>
      <c r="I2916" s="6">
        <f t="shared" si="2"/>
        <v>1</v>
      </c>
      <c r="J2916" s="6">
        <f>IFERROR(__xludf.DUMMYFUNCTION("IF(H2916="""","""",
SUM(
ARRAYFORMULA(
IF(
REGEXMATCH(
"" ""&amp;H2916&amp;"" "",
"" ""&amp;Sentiment_Words!A$2:A3730&amp;"" ""
),
1,
0
)
)
)
)"),0.0)</f>
        <v>0</v>
      </c>
      <c r="K2916" s="4">
        <f>IFERROR(__xludf.DUMMYFUNCTION("IF(H2916="""","""",
SUM(
ARRAYFORMULA(
IF(
REGEXMATCH(
"" ""&amp;H2916&amp;"" "",
"" ""&amp;Sentiment_Words!B$2:B3730&amp;"" ""
),
1,
0
)
)
)
)"),0.0)</f>
        <v>0</v>
      </c>
      <c r="L2916" s="7" t="str">
        <f t="shared" si="3"/>
        <v>Other</v>
      </c>
      <c r="M2916" s="7" t="str">
        <f t="shared" si="4"/>
        <v>Neutral</v>
      </c>
      <c r="N2916" s="7" t="str">
        <f>IFERROR(__xludf.DUMMYFUNCTION("LOWER(
TRIM(
REGEXREPLACE(B2916,""[^a-zA-Z\s]"","""")
)
)
"),"carol s")</f>
        <v>carol s</v>
      </c>
      <c r="O2916" s="7">
        <f t="shared" si="5"/>
        <v>1</v>
      </c>
      <c r="P2916" s="8" t="str">
        <f t="shared" si="6"/>
        <v>No</v>
      </c>
    </row>
    <row r="2917">
      <c r="A2917" s="4" t="s">
        <v>16</v>
      </c>
      <c r="B2917" s="4" t="s">
        <v>8119</v>
      </c>
      <c r="C2917" s="5">
        <v>44611.0</v>
      </c>
      <c r="D2917" s="10">
        <v>44611.0</v>
      </c>
      <c r="E2917" s="4" t="s">
        <v>120</v>
      </c>
      <c r="F2917" s="4" t="s">
        <v>331</v>
      </c>
      <c r="G2917" s="6" t="str">
        <f>IFERROR(__xludf.DUMMYFUNCTION("REGEXREPLACE(LOWER(F2917),""[^a-z\s]"","""")"),"none")</f>
        <v>none</v>
      </c>
      <c r="H2917" s="4" t="str">
        <f t="shared" si="1"/>
        <v>none</v>
      </c>
      <c r="I2917" s="6">
        <f t="shared" si="2"/>
        <v>1</v>
      </c>
      <c r="J2917" s="6">
        <f>IFERROR(__xludf.DUMMYFUNCTION("IF(H2917="""","""",
SUM(
ARRAYFORMULA(
IF(
REGEXMATCH(
"" ""&amp;H2917&amp;"" "",
"" ""&amp;Sentiment_Words!A$2:A3730&amp;"" ""
),
1,
0
)
)
)
)"),0.0)</f>
        <v>0</v>
      </c>
      <c r="K2917" s="4">
        <f>IFERROR(__xludf.DUMMYFUNCTION("IF(H2917="""","""",
SUM(
ARRAYFORMULA(
IF(
REGEXMATCH(
"" ""&amp;H2917&amp;"" "",
"" ""&amp;Sentiment_Words!B$2:B3730&amp;"" ""
),
1,
0
)
)
)
)"),0.0)</f>
        <v>0</v>
      </c>
      <c r="L2917" s="7" t="str">
        <f t="shared" si="3"/>
        <v>Other</v>
      </c>
      <c r="M2917" s="7" t="str">
        <f t="shared" si="4"/>
        <v>Neutral</v>
      </c>
      <c r="N2917" s="7" t="str">
        <f>IFERROR(__xludf.DUMMYFUNCTION("LOWER(
TRIM(
REGEXREPLACE(B2917,""[^a-zA-Z\s]"","""")
)
)
"),"gail sheffer")</f>
        <v>gail sheffer</v>
      </c>
      <c r="O2917" s="7">
        <f t="shared" si="5"/>
        <v>1</v>
      </c>
      <c r="P2917" s="8" t="str">
        <f t="shared" si="6"/>
        <v>No</v>
      </c>
    </row>
    <row r="2918">
      <c r="A2918" s="4" t="s">
        <v>16</v>
      </c>
      <c r="B2918" s="4" t="s">
        <v>1875</v>
      </c>
      <c r="C2918" s="5">
        <v>44611.0</v>
      </c>
      <c r="D2918" s="10">
        <v>44611.0</v>
      </c>
      <c r="E2918" s="4" t="s">
        <v>8120</v>
      </c>
      <c r="F2918" s="4" t="s">
        <v>8121</v>
      </c>
      <c r="G2918" s="6" t="str">
        <f>IFERROR(__xludf.DUMMYFUNCTION("REGEXREPLACE(LOWER(F2918),""[^a-z\s]"","""")"),"i appreciated being informed that you were out of an item i was refunded promptly i had ordered  to take advantage of free shipping i inquired if i was going to be charged shipping on the one item it took some time to verify that i wouldnt be charged than"&amp;"k you but i was never informed when you will have the nd item in stock")</f>
        <v>i appreciated being informed that you were out of an item i was refunded promptly i had ordered  to take advantage of free shipping i inquired if i was going to be charged shipping on the one item it took some time to verify that i wouldnt be charged thank you but i was never informed when you will have the nd item in stock</v>
      </c>
      <c r="H2918" s="4" t="str">
        <f t="shared" si="1"/>
        <v>i appreciated being informed that you were out of an item i was refunded promptly i had ordered take advantage of free shipping i inquired if i was going be charged shipping on one item it took some time verify that i wouldnt be charged thank you but i was never informed when you will have nd item in stock</v>
      </c>
      <c r="I2918" s="6">
        <f t="shared" si="2"/>
        <v>60</v>
      </c>
      <c r="J2918" s="6">
        <f>IFERROR(__xludf.DUMMYFUNCTION("IF(H2918="""","""",
SUM(
ARRAYFORMULA(
IF(
REGEXMATCH(
"" ""&amp;H2918&amp;"" "",
"" ""&amp;Sentiment_Words!A$2:A3730&amp;"" ""
),
1,
0
)
)
)
)"),0.0)</f>
        <v>0</v>
      </c>
      <c r="K2918" s="4">
        <f>IFERROR(__xludf.DUMMYFUNCTION("IF(H2918="""","""",
SUM(
ARRAYFORMULA(
IF(
REGEXMATCH(
"" ""&amp;H2918&amp;"" "",
"" ""&amp;Sentiment_Words!B$2:B3730&amp;"" ""
),
1,
0
)
)
)
)"),0.0)</f>
        <v>0</v>
      </c>
      <c r="L2918" s="7" t="str">
        <f t="shared" si="3"/>
        <v>Other</v>
      </c>
      <c r="M2918" s="7" t="str">
        <f t="shared" si="4"/>
        <v>Neutral</v>
      </c>
      <c r="N2918" s="7" t="str">
        <f>IFERROR(__xludf.DUMMYFUNCTION("LOWER(
TRIM(
REGEXREPLACE(B2918,""[^a-zA-Z\s]"","""")
)
)
"),"pamela")</f>
        <v>pamela</v>
      </c>
      <c r="O2918" s="7">
        <f t="shared" si="5"/>
        <v>3</v>
      </c>
      <c r="P2918" s="8" t="str">
        <f t="shared" si="6"/>
        <v>Yes</v>
      </c>
    </row>
    <row r="2919">
      <c r="A2919" s="4" t="s">
        <v>16</v>
      </c>
      <c r="B2919" s="4" t="s">
        <v>8122</v>
      </c>
      <c r="C2919" s="5">
        <v>44610.0</v>
      </c>
      <c r="D2919" s="10">
        <v>44611.0</v>
      </c>
      <c r="E2919" s="4" t="s">
        <v>8123</v>
      </c>
      <c r="F2919" s="4" t="s">
        <v>8124</v>
      </c>
      <c r="G2919" s="6" t="str">
        <f>IFERROR(__xludf.DUMMYFUNCTION("REGEXREPLACE(LOWER(F2919),""[^a-z\s]"","""")"),"no complaints 
i got what i wanted and it came soon")</f>
        <v>no complaints 
i got what i wanted and it came soon</v>
      </c>
      <c r="H2919" s="4" t="str">
        <f t="shared" si="1"/>
        <v>no complaints 
i got what i wanted it came soon</v>
      </c>
      <c r="I2919" s="6">
        <f t="shared" si="2"/>
        <v>10</v>
      </c>
      <c r="J2919" s="6">
        <f>IFERROR(__xludf.DUMMYFUNCTION("IF(H2919="""","""",
SUM(
ARRAYFORMULA(
IF(
REGEXMATCH(
"" ""&amp;H2919&amp;"" "",
"" ""&amp;Sentiment_Words!A$2:A3730&amp;"" ""
),
1,
0
)
)
)
)"),0.0)</f>
        <v>0</v>
      </c>
      <c r="K2919" s="4">
        <f>IFERROR(__xludf.DUMMYFUNCTION("IF(H2919="""","""",
SUM(
ARRAYFORMULA(
IF(
REGEXMATCH(
"" ""&amp;H2919&amp;"" "",
"" ""&amp;Sentiment_Words!B$2:B3730&amp;"" ""
),
1,
0
)
)
)
)"),0.0)</f>
        <v>0</v>
      </c>
      <c r="L2919" s="7" t="str">
        <f t="shared" si="3"/>
        <v>Other</v>
      </c>
      <c r="M2919" s="7" t="str">
        <f t="shared" si="4"/>
        <v>Neutral</v>
      </c>
      <c r="N2919" s="7" t="str">
        <f>IFERROR(__xludf.DUMMYFUNCTION("LOWER(
TRIM(
REGEXREPLACE(B2919,""[^a-zA-Z\s]"","""")
)
)
"),"jm")</f>
        <v>jm</v>
      </c>
      <c r="O2919" s="7">
        <f t="shared" si="5"/>
        <v>1</v>
      </c>
      <c r="P2919" s="8" t="str">
        <f t="shared" si="6"/>
        <v>No</v>
      </c>
    </row>
    <row r="2920">
      <c r="A2920" s="4" t="s">
        <v>16</v>
      </c>
      <c r="B2920" s="4" t="s">
        <v>8125</v>
      </c>
      <c r="C2920" s="5">
        <v>44610.0</v>
      </c>
      <c r="D2920" s="10">
        <v>44610.0</v>
      </c>
      <c r="E2920" s="4" t="s">
        <v>8126</v>
      </c>
      <c r="F2920" s="4" t="s">
        <v>8127</v>
      </c>
      <c r="G2920" s="6" t="str">
        <f>IFERROR(__xludf.DUMMYFUNCTION("REGEXREPLACE(LOWER(F2920),""[^a-z\s]"","""")"),"this company stinks i ordered enough to get free shipping then they email me and say they do not have the dog feeder that was the entire reason for the purchase so i ask them to cancel it it was already shipped so i ask can i return it  they said yes and "&amp;"sent me the shipping label then said i would get a refund minus the shipping there would not have been a shipping fee at all if they had the product that i ordered so i should not be charged a shipping fee at all since none of this was my fault now i am h"&amp;"aving to waste my time writing this review so that other know how they treat their customers")</f>
        <v>this company stinks i ordered enough to get free shipping then they email me and say they do not have the dog feeder that was the entire reason for the purchase so i ask them to cancel it it was already shipped so i ask can i return it  they said yes and sent me the shipping label then said i would get a refund minus the shipping there would not have been a shipping fee at all if they had the product that i ordered so i should not be charged a shipping fee at all since none of this was my fault now i am having to waste my time writing this review so that other know how they treat their customers</v>
      </c>
      <c r="H2920" s="4" t="str">
        <f t="shared" si="1"/>
        <v>this company stinks i ordered enough get free shipping then they email me say they do not have dog feeder that was entire reason purchase so i ask them cancel it it was already shipped so i ask can i return it they said yes sent me shipping label then said i would get a refund minus shipping there would not have been a shipping fee at all if they had product that i ordered so i should not be charged a shipping fee at all since none of this was my fault now i am having waste my time writing this review so that other know how they treat their customers</v>
      </c>
      <c r="I2920" s="6">
        <f t="shared" si="2"/>
        <v>112</v>
      </c>
      <c r="J2920" s="6">
        <f>IFERROR(__xludf.DUMMYFUNCTION("IF(H2920="""","""",
SUM(
ARRAYFORMULA(
IF(
REGEXMATCH(
"" ""&amp;H2920&amp;"" "",
"" ""&amp;Sentiment_Words!A$2:A3730&amp;"" ""
),
1,
0
)
)
)
)"),0.0)</f>
        <v>0</v>
      </c>
      <c r="K2920" s="4">
        <f>IFERROR(__xludf.DUMMYFUNCTION("IF(H2920="""","""",
SUM(
ARRAYFORMULA(
IF(
REGEXMATCH(
"" ""&amp;H2920&amp;"" "",
"" ""&amp;Sentiment_Words!B$2:B3730&amp;"" ""
),
1,
0
)
)
)
)"),1.0)</f>
        <v>1</v>
      </c>
      <c r="L2920" s="7" t="str">
        <f t="shared" si="3"/>
        <v>Other</v>
      </c>
      <c r="M2920" s="7" t="str">
        <f t="shared" si="4"/>
        <v>Negative</v>
      </c>
      <c r="N2920" s="7" t="str">
        <f>IFERROR(__xludf.DUMMYFUNCTION("LOWER(
TRIM(
REGEXREPLACE(B2920,""[^a-zA-Z\s]"","""")
)
)
"),"cecelia duvall")</f>
        <v>cecelia duvall</v>
      </c>
      <c r="O2920" s="7">
        <f t="shared" si="5"/>
        <v>1</v>
      </c>
      <c r="P2920" s="8" t="str">
        <f t="shared" si="6"/>
        <v>No</v>
      </c>
    </row>
    <row r="2921">
      <c r="A2921" s="4" t="s">
        <v>16</v>
      </c>
      <c r="B2921" s="4" t="s">
        <v>56</v>
      </c>
      <c r="C2921" s="5">
        <v>44610.0</v>
      </c>
      <c r="D2921" s="10">
        <v>44610.0</v>
      </c>
      <c r="E2921" s="4" t="s">
        <v>8128</v>
      </c>
      <c r="F2921" s="4" t="s">
        <v>8129</v>
      </c>
      <c r="G2921" s="6" t="str">
        <f>IFERROR(__xludf.DUMMYFUNCTION("REGEXREPLACE(LOWER(F2921),""[^a-z\s]"","""")"),"i ordered prescription cat food said it was in stock but it wasnt after waiting for shipping confirmation that never cae after several emails i was informed that you canceled my order ")</f>
        <v>i ordered prescription cat food said it was in stock but it wasnt after waiting for shipping confirmation that never cae after several emails i was informed that you canceled my order </v>
      </c>
      <c r="H2921" s="4" t="str">
        <f t="shared" si="1"/>
        <v>i ordered prescription cat food said it was in stock but it wasnt after waiting shipping confirmation that never cae after several emails i was informed that you canceled my order</v>
      </c>
      <c r="I2921" s="6">
        <f t="shared" si="2"/>
        <v>31</v>
      </c>
      <c r="J2921" s="6">
        <f>IFERROR(__xludf.DUMMYFUNCTION("IF(H2921="""","""",
SUM(
ARRAYFORMULA(
IF(
REGEXMATCH(
"" ""&amp;H2921&amp;"" "",
"" ""&amp;Sentiment_Words!A$2:A3730&amp;"" ""
),
1,
0
)
)
)
)"),0.0)</f>
        <v>0</v>
      </c>
      <c r="K2921" s="4">
        <f>IFERROR(__xludf.DUMMYFUNCTION("IF(H2921="""","""",
SUM(
ARRAYFORMULA(
IF(
REGEXMATCH(
"" ""&amp;H2921&amp;"" "",
"" ""&amp;Sentiment_Words!B$2:B3730&amp;"" ""
),
1,
0
)
)
)
)"),0.0)</f>
        <v>0</v>
      </c>
      <c r="L2921" s="7" t="str">
        <f t="shared" si="3"/>
        <v>Other</v>
      </c>
      <c r="M2921" s="7" t="str">
        <f t="shared" si="4"/>
        <v>Neutral</v>
      </c>
      <c r="N2921" s="7" t="str">
        <f>IFERROR(__xludf.DUMMYFUNCTION("LOWER(
TRIM(
REGEXREPLACE(B2921,""[^a-zA-Z\s]"","""")
)
)
"),"customer")</f>
        <v>customer</v>
      </c>
      <c r="O2921" s="7">
        <f t="shared" si="5"/>
        <v>54</v>
      </c>
      <c r="P2921" s="8" t="str">
        <f t="shared" si="6"/>
        <v>Yes</v>
      </c>
    </row>
    <row r="2922">
      <c r="A2922" s="4" t="s">
        <v>16</v>
      </c>
      <c r="B2922" s="4" t="s">
        <v>8130</v>
      </c>
      <c r="C2922" s="5">
        <v>44610.0</v>
      </c>
      <c r="D2922" s="10">
        <v>44610.0</v>
      </c>
      <c r="E2922" s="4" t="s">
        <v>8131</v>
      </c>
      <c r="F2922" s="4" t="s">
        <v>8132</v>
      </c>
      <c r="G2922" s="6" t="str">
        <f>IFERROR(__xludf.DUMMYFUNCTION("REGEXREPLACE(LOWER(F2922),""[^a-z\s]"","""")"),"petflow needs some serious work on its autoship program i am supposed to get a shipment of dog food every three weeks my autoship records show my last shipped  and my next ship date  considering this is only february your autoship program needs some serio"&amp;"us work")</f>
        <v>petflow needs some serious work on its autoship program i am supposed to get a shipment of dog food every three weeks my autoship records show my last shipped  and my next ship date  considering this is only february your autoship program needs some serious work</v>
      </c>
      <c r="H2922" s="4" t="str">
        <f t="shared" si="1"/>
        <v>petflow needs some serious work on its autoship program i am supposed get a shipment of dog food every three weeks my autoship records show my last shipped my next ship date considering this only february your autoship program needs some serious work</v>
      </c>
      <c r="I2922" s="6">
        <f t="shared" si="2"/>
        <v>43</v>
      </c>
      <c r="J2922" s="6">
        <f>IFERROR(__xludf.DUMMYFUNCTION("IF(H2922="""","""",
SUM(
ARRAYFORMULA(
IF(
REGEXMATCH(
"" ""&amp;H2922&amp;"" "",
"" ""&amp;Sentiment_Words!A$2:A3730&amp;"" ""
),
1,
0
)
)
)
)"),0.0)</f>
        <v>0</v>
      </c>
      <c r="K2922" s="4">
        <f>IFERROR(__xludf.DUMMYFUNCTION("IF(H2922="""","""",
SUM(
ARRAYFORMULA(
IF(
REGEXMATCH(
"" ""&amp;H2922&amp;"" "",
"" ""&amp;Sentiment_Words!B$2:B3730&amp;"" ""
),
1,
0
)
)
)
)"),0.0)</f>
        <v>0</v>
      </c>
      <c r="L2922" s="7" t="str">
        <f t="shared" si="3"/>
        <v>Other</v>
      </c>
      <c r="M2922" s="7" t="str">
        <f t="shared" si="4"/>
        <v>Neutral</v>
      </c>
      <c r="N2922" s="7" t="str">
        <f>IFERROR(__xludf.DUMMYFUNCTION("LOWER(
TRIM(
REGEXREPLACE(B2922,""[^a-zA-Z\s]"","""")
)
)
"),"patrick willer")</f>
        <v>patrick willer</v>
      </c>
      <c r="O2922" s="7">
        <f t="shared" si="5"/>
        <v>1</v>
      </c>
      <c r="P2922" s="8" t="str">
        <f t="shared" si="6"/>
        <v>No</v>
      </c>
    </row>
    <row r="2923">
      <c r="A2923" s="4" t="s">
        <v>16</v>
      </c>
      <c r="B2923" s="4" t="s">
        <v>8133</v>
      </c>
      <c r="C2923" s="5">
        <v>44610.0</v>
      </c>
      <c r="D2923" s="10">
        <v>44610.0</v>
      </c>
      <c r="E2923" s="4" t="s">
        <v>8134</v>
      </c>
      <c r="F2923" s="4" t="s">
        <v>8135</v>
      </c>
      <c r="G2923" s="6" t="str">
        <f>IFERROR(__xludf.DUMMYFUNCTION("REGEXREPLACE(LOWER(F2923),""[^a-z\s]"","""")"),"you provided excellent service my order was shipped when i was told and it was complete i will definitely be reordering thank you")</f>
        <v>you provided excellent service my order was shipped when i was told and it was complete i will definitely be reordering thank you</v>
      </c>
      <c r="H2923" s="4" t="str">
        <f t="shared" si="1"/>
        <v>you provided excellent service my order was shipped when i was told it was complete i will definitely be reordering thank you</v>
      </c>
      <c r="I2923" s="6">
        <f t="shared" si="2"/>
        <v>22</v>
      </c>
      <c r="J2923" s="6">
        <f>IFERROR(__xludf.DUMMYFUNCTION("IF(H2923="""","""",
SUM(
ARRAYFORMULA(
IF(
REGEXMATCH(
"" ""&amp;H2923&amp;"" "",
"" ""&amp;Sentiment_Words!A$2:A3730&amp;"" ""
),
1,
0
)
)
)
)"),0.0)</f>
        <v>0</v>
      </c>
      <c r="K2923" s="4">
        <f>IFERROR(__xludf.DUMMYFUNCTION("IF(H2923="""","""",
SUM(
ARRAYFORMULA(
IF(
REGEXMATCH(
"" ""&amp;H2923&amp;"" "",
"" ""&amp;Sentiment_Words!B$2:B3730&amp;"" ""
),
1,
0
)
)
)
)"),0.0)</f>
        <v>0</v>
      </c>
      <c r="L2923" s="7" t="str">
        <f t="shared" si="3"/>
        <v>Customer Support</v>
      </c>
      <c r="M2923" s="7" t="str">
        <f t="shared" si="4"/>
        <v>Neutral</v>
      </c>
      <c r="N2923" s="7" t="str">
        <f>IFERROR(__xludf.DUMMYFUNCTION("LOWER(
TRIM(
REGEXREPLACE(B2923,""[^a-zA-Z\s]"","""")
)
)
"),"janet stard")</f>
        <v>janet stard</v>
      </c>
      <c r="O2923" s="7">
        <f t="shared" si="5"/>
        <v>1</v>
      </c>
      <c r="P2923" s="8" t="str">
        <f t="shared" si="6"/>
        <v>No</v>
      </c>
    </row>
    <row r="2924">
      <c r="A2924" s="4" t="s">
        <v>16</v>
      </c>
      <c r="B2924" s="4" t="s">
        <v>8136</v>
      </c>
      <c r="C2924" s="5">
        <v>44610.0</v>
      </c>
      <c r="D2924" s="10">
        <v>44610.0</v>
      </c>
      <c r="E2924" s="4" t="s">
        <v>8137</v>
      </c>
      <c r="F2924" s="4" t="s">
        <v>8138</v>
      </c>
      <c r="G2924" s="6" t="str">
        <f>IFERROR(__xludf.DUMMYFUNCTION("REGEXREPLACE(LOWER(F2924),""[^a-z\s]"","""")"),"fast easy ordering and my dog loves the food")</f>
        <v>fast easy ordering and my dog loves the food</v>
      </c>
      <c r="H2924" s="4" t="str">
        <f t="shared" si="1"/>
        <v>fast easy ordering my dog loves food</v>
      </c>
      <c r="I2924" s="6">
        <f t="shared" si="2"/>
        <v>7</v>
      </c>
      <c r="J2924" s="6">
        <f>IFERROR(__xludf.DUMMYFUNCTION("IF(H2924="""","""",
SUM(
ARRAYFORMULA(
IF(
REGEXMATCH(
"" ""&amp;H2924&amp;"" "",
"" ""&amp;Sentiment_Words!A$2:A3730&amp;"" ""
),
1,
0
)
)
)
)"),2.0)</f>
        <v>2</v>
      </c>
      <c r="K2924" s="4">
        <f>IFERROR(__xludf.DUMMYFUNCTION("IF(H2924="""","""",
SUM(
ARRAYFORMULA(
IF(
REGEXMATCH(
"" ""&amp;H2924&amp;"" "",
"" ""&amp;Sentiment_Words!B$2:B3730&amp;"" ""
),
1,
0
)
)
)
)"),0.0)</f>
        <v>0</v>
      </c>
      <c r="L2924" s="7" t="str">
        <f t="shared" si="3"/>
        <v>Other</v>
      </c>
      <c r="M2924" s="7" t="str">
        <f t="shared" si="4"/>
        <v>Positive</v>
      </c>
      <c r="N2924" s="7" t="str">
        <f>IFERROR(__xludf.DUMMYFUNCTION("LOWER(
TRIM(
REGEXREPLACE(B2924,""[^a-zA-Z\s]"","""")
)
)
"),"cheryl dettmers")</f>
        <v>cheryl dettmers</v>
      </c>
      <c r="O2924" s="7">
        <f t="shared" si="5"/>
        <v>1</v>
      </c>
      <c r="P2924" s="8" t="str">
        <f t="shared" si="6"/>
        <v>No</v>
      </c>
    </row>
    <row r="2925">
      <c r="A2925" s="4" t="s">
        <v>16</v>
      </c>
      <c r="B2925" s="4" t="s">
        <v>8139</v>
      </c>
      <c r="C2925" s="5">
        <v>44609.0</v>
      </c>
      <c r="D2925" s="10">
        <v>44609.0</v>
      </c>
      <c r="E2925" s="4" t="s">
        <v>8140</v>
      </c>
      <c r="F2925" s="4" t="s">
        <v>8141</v>
      </c>
      <c r="G2925" s="6" t="str">
        <f>IFERROR(__xludf.DUMMYFUNCTION("REGEXREPLACE(LOWER(F2925),""[^a-z\s]"","""")"),"petflow is a wonderful place to get everything for your furbaby their prices and stock are superb and they ship immediately im so glad i found them")</f>
        <v>petflow is a wonderful place to get everything for your furbaby their prices and stock are superb and they ship immediately im so glad i found them</v>
      </c>
      <c r="H2925" s="4" t="str">
        <f t="shared" si="1"/>
        <v>petflow a wonderful place get everything your furbaby their prices stock are superb they ship immediately im so glad i found them</v>
      </c>
      <c r="I2925" s="6">
        <f t="shared" si="2"/>
        <v>22</v>
      </c>
      <c r="J2925" s="6">
        <f>IFERROR(__xludf.DUMMYFUNCTION("IF(H2925="""","""",
SUM(
ARRAYFORMULA(
IF(
REGEXMATCH(
"" ""&amp;H2925&amp;"" "",
"" ""&amp;Sentiment_Words!A$2:A3730&amp;"" ""
),
1,
0
)
)
)
)"),3.0)</f>
        <v>3</v>
      </c>
      <c r="K2925" s="4">
        <f>IFERROR(__xludf.DUMMYFUNCTION("IF(H2925="""","""",
SUM(
ARRAYFORMULA(
IF(
REGEXMATCH(
"" ""&amp;H2925&amp;"" "",
"" ""&amp;Sentiment_Words!B$2:B3730&amp;"" ""
),
1,
0
)
)
)
)"),0.0)</f>
        <v>0</v>
      </c>
      <c r="L2925" s="7" t="str">
        <f t="shared" si="3"/>
        <v>Other</v>
      </c>
      <c r="M2925" s="7" t="str">
        <f t="shared" si="4"/>
        <v>Positive</v>
      </c>
      <c r="N2925" s="7" t="str">
        <f>IFERROR(__xludf.DUMMYFUNCTION("LOWER(
TRIM(
REGEXREPLACE(B2925,""[^a-zA-Z\s]"","""")
)
)
"),"wynne guglielmo")</f>
        <v>wynne guglielmo</v>
      </c>
      <c r="O2925" s="7">
        <f t="shared" si="5"/>
        <v>1</v>
      </c>
      <c r="P2925" s="8" t="str">
        <f t="shared" si="6"/>
        <v>No</v>
      </c>
    </row>
    <row r="2926">
      <c r="A2926" s="4" t="s">
        <v>16</v>
      </c>
      <c r="B2926" s="4" t="s">
        <v>8142</v>
      </c>
      <c r="C2926" s="5">
        <v>44609.0</v>
      </c>
      <c r="D2926" s="10">
        <v>44609.0</v>
      </c>
      <c r="E2926" s="4" t="s">
        <v>8143</v>
      </c>
      <c r="F2926" s="4" t="s">
        <v>8144</v>
      </c>
      <c r="G2926" s="6" t="str">
        <f>IFERROR(__xludf.DUMMYFUNCTION("REGEXREPLACE(LOWER(F2926),""[^a-z\s]"","""")"),"weve ordered from this company many times and have only had one issue which was out of their control canned food arrived badly dented but pet flow immediately issued us a replacement other than that their delivery service is fast and good i would recommen"&amp;"d this company to everyone")</f>
        <v>weve ordered from this company many times and have only had one issue which was out of their control canned food arrived badly dented but pet flow immediately issued us a replacement other than that their delivery service is fast and good i would recommend this company to everyone</v>
      </c>
      <c r="H2926" s="4" t="str">
        <f t="shared" si="1"/>
        <v>weve ordered from this company many times have only had one issue which was out of their control canned food arrived badly dented but pet flow immediately issued us a replacement other than that their delivery service fast good i would recommend this company everyone</v>
      </c>
      <c r="I2926" s="6">
        <f t="shared" si="2"/>
        <v>45</v>
      </c>
      <c r="J2926" s="6">
        <f>IFERROR(__xludf.DUMMYFUNCTION("IF(H2926="""","""",
SUM(
ARRAYFORMULA(
IF(
REGEXMATCH(
"" ""&amp;H2926&amp;"" "",
"" ""&amp;Sentiment_Words!A$2:A3730&amp;"" ""
),
1,
0
)
)
)
)"),3.0)</f>
        <v>3</v>
      </c>
      <c r="K2926" s="4">
        <f>IFERROR(__xludf.DUMMYFUNCTION("IF(H2926="""","""",
SUM(
ARRAYFORMULA(
IF(
REGEXMATCH(
"" ""&amp;H2926&amp;"" "",
"" ""&amp;Sentiment_Words!B$2:B3730&amp;"" ""
),
1,
0
)
)
)
)"),2.0)</f>
        <v>2</v>
      </c>
      <c r="L2926" s="7" t="str">
        <f t="shared" si="3"/>
        <v>Customer Support</v>
      </c>
      <c r="M2926" s="7" t="str">
        <f t="shared" si="4"/>
        <v>Positive</v>
      </c>
      <c r="N2926" s="7" t="str">
        <f>IFERROR(__xludf.DUMMYFUNCTION("LOWER(
TRIM(
REGEXREPLACE(B2926,""[^a-zA-Z\s]"","""")
)
)
"),"jan williams")</f>
        <v>jan williams</v>
      </c>
      <c r="O2926" s="7">
        <f t="shared" si="5"/>
        <v>1</v>
      </c>
      <c r="P2926" s="8" t="str">
        <f t="shared" si="6"/>
        <v>No</v>
      </c>
    </row>
    <row r="2927">
      <c r="A2927" s="4" t="s">
        <v>16</v>
      </c>
      <c r="B2927" s="4" t="s">
        <v>8145</v>
      </c>
      <c r="C2927" s="5">
        <v>44609.0</v>
      </c>
      <c r="D2927" s="10">
        <v>44609.0</v>
      </c>
      <c r="E2927" s="4" t="s">
        <v>8146</v>
      </c>
      <c r="F2927" s="4" t="s">
        <v>8147</v>
      </c>
      <c r="G2927" s="6" t="str">
        <f>IFERROR(__xludf.DUMMYFUNCTION("REGEXREPLACE(LOWER(F2927),""[^a-z\s]"","""")"),"i reached out to customer support they responded very quickly and were very helpful and easy to work with")</f>
        <v>i reached out to customer support they responded very quickly and were very helpful and easy to work with</v>
      </c>
      <c r="H2927" s="4" t="str">
        <f t="shared" si="1"/>
        <v>i reached out customer support they responded very quickly were very helpful easy work with</v>
      </c>
      <c r="I2927" s="6">
        <f t="shared" si="2"/>
        <v>15</v>
      </c>
      <c r="J2927" s="6">
        <f>IFERROR(__xludf.DUMMYFUNCTION("IF(H2927="""","""",
SUM(
ARRAYFORMULA(
IF(
REGEXMATCH(
"" ""&amp;H2927&amp;"" "",
"" ""&amp;Sentiment_Words!A$2:A3730&amp;"" ""
),
1,
0
)
)
)
)"),2.0)</f>
        <v>2</v>
      </c>
      <c r="K2927" s="4">
        <f>IFERROR(__xludf.DUMMYFUNCTION("IF(H2927="""","""",
SUM(
ARRAYFORMULA(
IF(
REGEXMATCH(
"" ""&amp;H2927&amp;"" "",
"" ""&amp;Sentiment_Words!B$2:B3730&amp;"" ""
),
1,
0
)
)
)
)"),0.0)</f>
        <v>0</v>
      </c>
      <c r="L2927" s="7" t="str">
        <f t="shared" si="3"/>
        <v>Customer Support</v>
      </c>
      <c r="M2927" s="7" t="str">
        <f t="shared" si="4"/>
        <v>Positive</v>
      </c>
      <c r="N2927" s="7" t="str">
        <f>IFERROR(__xludf.DUMMYFUNCTION("LOWER(
TRIM(
REGEXREPLACE(B2927,""[^a-zA-Z\s]"","""")
)
)
"),"c kegley")</f>
        <v>c kegley</v>
      </c>
      <c r="O2927" s="7">
        <f t="shared" si="5"/>
        <v>1</v>
      </c>
      <c r="P2927" s="8" t="str">
        <f t="shared" si="6"/>
        <v>No</v>
      </c>
    </row>
    <row r="2928">
      <c r="A2928" s="4" t="s">
        <v>16</v>
      </c>
      <c r="B2928" s="4" t="s">
        <v>8148</v>
      </c>
      <c r="C2928" s="5">
        <v>44609.0</v>
      </c>
      <c r="D2928" s="10">
        <v>44609.0</v>
      </c>
      <c r="E2928" s="4" t="s">
        <v>8149</v>
      </c>
      <c r="F2928" s="4" t="s">
        <v>8150</v>
      </c>
      <c r="G2928" s="6" t="str">
        <f>IFERROR(__xludf.DUMMYFUNCTION("REGEXREPLACE(LOWER(F2928),""[^a-z\s]"","""")"),"i have not received my order and have not heard back from petflow")</f>
        <v>i have not received my order and have not heard back from petflow</v>
      </c>
      <c r="H2928" s="4" t="str">
        <f t="shared" si="1"/>
        <v>i have not received my order have not heard back from petflow</v>
      </c>
      <c r="I2928" s="6">
        <f t="shared" si="2"/>
        <v>12</v>
      </c>
      <c r="J2928" s="6">
        <f>IFERROR(__xludf.DUMMYFUNCTION("IF(H2928="""","""",
SUM(
ARRAYFORMULA(
IF(
REGEXMATCH(
"" ""&amp;H2928&amp;"" "",
"" ""&amp;Sentiment_Words!A$2:A3730&amp;"" ""
),
1,
0
)
)
)
)"),0.0)</f>
        <v>0</v>
      </c>
      <c r="K2928" s="4">
        <f>IFERROR(__xludf.DUMMYFUNCTION("IF(H2928="""","""",
SUM(
ARRAYFORMULA(
IF(
REGEXMATCH(
"" ""&amp;H2928&amp;"" "",
"" ""&amp;Sentiment_Words!B$2:B3730&amp;"" ""
),
1,
0
)
)
)
)"),0.0)</f>
        <v>0</v>
      </c>
      <c r="L2928" s="7" t="str">
        <f t="shared" si="3"/>
        <v>Other</v>
      </c>
      <c r="M2928" s="7" t="str">
        <f t="shared" si="4"/>
        <v>Neutral</v>
      </c>
      <c r="N2928" s="7" t="str">
        <f>IFERROR(__xludf.DUMMYFUNCTION("LOWER(
TRIM(
REGEXREPLACE(B2928,""[^a-zA-Z\s]"","""")
)
)
"),"susan wickes")</f>
        <v>susan wickes</v>
      </c>
      <c r="O2928" s="7">
        <f t="shared" si="5"/>
        <v>1</v>
      </c>
      <c r="P2928" s="8" t="str">
        <f t="shared" si="6"/>
        <v>No</v>
      </c>
    </row>
    <row r="2929">
      <c r="A2929" s="4" t="s">
        <v>16</v>
      </c>
      <c r="B2929" s="4" t="s">
        <v>2707</v>
      </c>
      <c r="C2929" s="5">
        <v>44609.0</v>
      </c>
      <c r="D2929" s="10">
        <v>44609.0</v>
      </c>
      <c r="E2929" s="4" t="s">
        <v>8151</v>
      </c>
      <c r="F2929" s="4" t="s">
        <v>8152</v>
      </c>
      <c r="G2929" s="6" t="str">
        <f>IFERROR(__xludf.DUMMYFUNCTION("REGEXREPLACE(LOWER(F2929),""[^a-z\s]"","""")"),"you had the prescription food i needed when no one else did  thank you")</f>
        <v>you had the prescription food i needed when no one else did  thank you</v>
      </c>
      <c r="H2929" s="4" t="str">
        <f t="shared" si="1"/>
        <v>you had prescription food i needed when no one else did thank you</v>
      </c>
      <c r="I2929" s="6">
        <f t="shared" si="2"/>
        <v>13</v>
      </c>
      <c r="J2929" s="6">
        <f>IFERROR(__xludf.DUMMYFUNCTION("IF(H2929="""","""",
SUM(
ARRAYFORMULA(
IF(
REGEXMATCH(
"" ""&amp;H2929&amp;"" "",
"" ""&amp;Sentiment_Words!A$2:A3730&amp;"" ""
),
1,
0
)
)
)
)"),0.0)</f>
        <v>0</v>
      </c>
      <c r="K2929" s="4">
        <f>IFERROR(__xludf.DUMMYFUNCTION("IF(H2929="""","""",
SUM(
ARRAYFORMULA(
IF(
REGEXMATCH(
"" ""&amp;H2929&amp;"" "",
"" ""&amp;Sentiment_Words!B$2:B3730&amp;"" ""
),
1,
0
)
)
)
)"),0.0)</f>
        <v>0</v>
      </c>
      <c r="L2929" s="7" t="str">
        <f t="shared" si="3"/>
        <v>Other</v>
      </c>
      <c r="M2929" s="7" t="str">
        <f t="shared" si="4"/>
        <v>Neutral</v>
      </c>
      <c r="N2929" s="7" t="str">
        <f>IFERROR(__xludf.DUMMYFUNCTION("LOWER(
TRIM(
REGEXREPLACE(B2929,""[^a-zA-Z\s]"","""")
)
)
"),"debi")</f>
        <v>debi</v>
      </c>
      <c r="O2929" s="7">
        <f t="shared" si="5"/>
        <v>3</v>
      </c>
      <c r="P2929" s="8" t="str">
        <f t="shared" si="6"/>
        <v>Yes</v>
      </c>
    </row>
    <row r="2930">
      <c r="A2930" s="4" t="s">
        <v>16</v>
      </c>
      <c r="B2930" s="4" t="s">
        <v>8153</v>
      </c>
      <c r="C2930" s="5">
        <v>44609.0</v>
      </c>
      <c r="D2930" s="10">
        <v>44609.0</v>
      </c>
      <c r="E2930" s="4" t="s">
        <v>8154</v>
      </c>
      <c r="F2930" s="4" t="s">
        <v>8155</v>
      </c>
      <c r="G2930" s="6" t="str">
        <f>IFERROR(__xludf.DUMMYFUNCTION("REGEXREPLACE(LOWER(F2930),""[^a-z\s]"","""")"),"i texted petflow with an issue i was having with my account they contacted me shortly afterwards asked for my email address associated with my account and fixed the issue within minutes the associate who helped me was polite informative and a pleasure to "&amp;"communicate with about my concern i will gladly continue to use petflow for both my puppies needs thank you for great customer service")</f>
        <v>i texted petflow with an issue i was having with my account they contacted me shortly afterwards asked for my email address associated with my account and fixed the issue within minutes the associate who helped me was polite informative and a pleasure to communicate with about my concern i will gladly continue to use petflow for both my puppies needs thank you for great customer service</v>
      </c>
      <c r="H2930" s="4" t="str">
        <f t="shared" si="1"/>
        <v>i texted petflow with an issue i was having with my account they contacted me shortly afterwards asked my email address associated with my account fixed issue within minutes associate who helped me was polite informative a pleasure communicate with about my concern i will gladly continue use petflow both my puppies needs thank you great customer service</v>
      </c>
      <c r="I2930" s="6">
        <f t="shared" si="2"/>
        <v>58</v>
      </c>
      <c r="J2930" s="6">
        <f>IFERROR(__xludf.DUMMYFUNCTION("IF(H2930="""","""",
SUM(
ARRAYFORMULA(
IF(
REGEXMATCH(
"" ""&amp;H2930&amp;"" "",
"" ""&amp;Sentiment_Words!A$2:A3730&amp;"" ""
),
1,
0
)
)
)
)"),3.0)</f>
        <v>3</v>
      </c>
      <c r="K2930" s="4">
        <f>IFERROR(__xludf.DUMMYFUNCTION("IF(H2930="""","""",
SUM(
ARRAYFORMULA(
IF(
REGEXMATCH(
"" ""&amp;H2930&amp;"" "",
"" ""&amp;Sentiment_Words!B$2:B3730&amp;"" ""
),
1,
0
)
)
)
)"),2.0)</f>
        <v>2</v>
      </c>
      <c r="L2930" s="7" t="str">
        <f t="shared" si="3"/>
        <v>Customer Support</v>
      </c>
      <c r="M2930" s="7" t="str">
        <f t="shared" si="4"/>
        <v>Positive</v>
      </c>
      <c r="N2930" s="7" t="str">
        <f>IFERROR(__xludf.DUMMYFUNCTION("LOWER(
TRIM(
REGEXREPLACE(B2930,""[^a-zA-Z\s]"","""")
)
)
"),"marylou roberts")</f>
        <v>marylou roberts</v>
      </c>
      <c r="O2930" s="7">
        <f t="shared" si="5"/>
        <v>1</v>
      </c>
      <c r="P2930" s="8" t="str">
        <f t="shared" si="6"/>
        <v>No</v>
      </c>
    </row>
    <row r="2931">
      <c r="A2931" s="4" t="s">
        <v>16</v>
      </c>
      <c r="B2931" s="4" t="s">
        <v>8156</v>
      </c>
      <c r="C2931" s="5">
        <v>44609.0</v>
      </c>
      <c r="D2931" s="10">
        <v>44609.0</v>
      </c>
      <c r="E2931" s="4" t="s">
        <v>8157</v>
      </c>
      <c r="F2931" s="4" t="s">
        <v>8158</v>
      </c>
      <c r="G2931" s="6" t="str">
        <f>IFERROR(__xludf.DUMMYFUNCTION("REGEXREPLACE(LOWER(F2931),""[^a-z\s]"","""")"),"shipment was much faster than chewy within my own state whose ship center is only maybe an hour away from where i live thank you as i had ran out of food for my dogs and this shipment was well packaged and super fast")</f>
        <v>shipment was much faster than chewy within my own state whose ship center is only maybe an hour away from where i live thank you as i had ran out of food for my dogs and this shipment was well packaged and super fast</v>
      </c>
      <c r="H2931" s="4" t="str">
        <f t="shared" si="1"/>
        <v>shipment was much faster than chewy within my own state whose ship center only maybe an hour away from where i live thank you as i had ran out of food my dogs this shipment was well packaged super fast</v>
      </c>
      <c r="I2931" s="6">
        <f t="shared" si="2"/>
        <v>40</v>
      </c>
      <c r="J2931" s="6">
        <f>IFERROR(__xludf.DUMMYFUNCTION("IF(H2931="""","""",
SUM(
ARRAYFORMULA(
IF(
REGEXMATCH(
"" ""&amp;H2931&amp;"" "",
"" ""&amp;Sentiment_Words!A$2:A3730&amp;"" ""
),
1,
0
)
)
)
)"),1.0)</f>
        <v>1</v>
      </c>
      <c r="K2931" s="4">
        <f>IFERROR(__xludf.DUMMYFUNCTION("IF(H2931="""","""",
SUM(
ARRAYFORMULA(
IF(
REGEXMATCH(
"" ""&amp;H2931&amp;"" "",
"" ""&amp;Sentiment_Words!B$2:B3730&amp;"" ""
),
1,
0
)
)
)
)"),0.0)</f>
        <v>0</v>
      </c>
      <c r="L2931" s="7" t="str">
        <f t="shared" si="3"/>
        <v>Other</v>
      </c>
      <c r="M2931" s="7" t="str">
        <f t="shared" si="4"/>
        <v>Positive</v>
      </c>
      <c r="N2931" s="7" t="str">
        <f>IFERROR(__xludf.DUMMYFUNCTION("LOWER(
TRIM(
REGEXREPLACE(B2931,""[^a-zA-Z\s]"","""")
)
)
"),"jeanine edler")</f>
        <v>jeanine edler</v>
      </c>
      <c r="O2931" s="7">
        <f t="shared" si="5"/>
        <v>1</v>
      </c>
      <c r="P2931" s="8" t="str">
        <f t="shared" si="6"/>
        <v>No</v>
      </c>
    </row>
    <row r="2932">
      <c r="A2932" s="4" t="s">
        <v>16</v>
      </c>
      <c r="B2932" s="4" t="s">
        <v>8159</v>
      </c>
      <c r="C2932" s="5">
        <v>44608.0</v>
      </c>
      <c r="D2932" s="10">
        <v>44609.0</v>
      </c>
      <c r="E2932" s="4" t="s">
        <v>8160</v>
      </c>
      <c r="F2932" s="4" t="s">
        <v>8161</v>
      </c>
      <c r="G2932" s="6" t="str">
        <f>IFERROR(__xludf.DUMMYFUNCTION("REGEXREPLACE(LOWER(F2932),""[^a-z\s]"","""")"),"i adopted a special needs cat and we rely on hills prescription diet digestive care canned food he came to me with a  can supply and it works really well for him to maintain his weight and keep his tummy happy its the only food he can eat without it comin"&amp;"g back up if you know what i mean my usual supplier they advertise on tv a lot emailed me  hours before my scheduled shipment of the food telling me it was out of stock and my order was canceled like tough luck for you and your kitty the other pet supplie"&amp;"rs who advertise on cable were out of stock as well i searched online to find another source and happily found petflow once they confirmed the prescription with my vet the order was shipped and i had it in  days  wellpacked and exactly what i ordered
my "&amp;"cat and i are looking forward to a long relationship with petflow")</f>
        <v>i adopted a special needs cat and we rely on hills prescription diet digestive care canned food he came to me with a  can supply and it works really well for him to maintain his weight and keep his tummy happy its the only food he can eat without it coming back up if you know what i mean my usual supplier they advertise on tv a lot emailed me  hours before my scheduled shipment of the food telling me it was out of stock and my order was canceled like tough luck for you and your kitty the other pet suppliers who advertise on cable were out of stock as well i searched online to find another source and happily found petflow once they confirmed the prescription with my vet the order was shipped and i had it in  days  wellpacked and exactly what i ordered
my cat and i are looking forward to a long relationship with petflow</v>
      </c>
      <c r="H2932" s="4" t="str">
        <f t="shared" si="1"/>
        <v>i adopted a special needs cat we rely on hills prescription diet digestive care canned food he came me with a can supply it works really well him maintain his weight keep his tummy happy its only food he can eat without it coming back up if you know what i mean my usual supplier they advertise on tv a lot emailed me hours before my scheduled shipment of food telling me it was out of stock my order was canceled like tough luck you your kitty other pet suppliers who advertise on cable were out of stock as well i searched online find another source happily found petflow once they confirmed prescription with my vet order was shipped i had it in days wellpacked exactly what i ordered
my cat i are looking forward a long relationship with petflow</v>
      </c>
      <c r="I2932" s="6">
        <f t="shared" si="2"/>
        <v>139</v>
      </c>
      <c r="J2932" s="6">
        <f>IFERROR(__xludf.DUMMYFUNCTION("IF(H2932="""","""",
SUM(
ARRAYFORMULA(
IF(
REGEXMATCH(
"" ""&amp;H2932&amp;"" "",
"" ""&amp;Sentiment_Words!A$2:A3730&amp;"" ""
),
1,
0
)
)
)
)"),3.0)</f>
        <v>3</v>
      </c>
      <c r="K2932" s="4">
        <f>IFERROR(__xludf.DUMMYFUNCTION("IF(H2932="""","""",
SUM(
ARRAYFORMULA(
IF(
REGEXMATCH(
"" ""&amp;H2932&amp;"" "",
"" ""&amp;Sentiment_Words!B$2:B3730&amp;"" ""
),
1,
0
)
)
)
)"),1.0)</f>
        <v>1</v>
      </c>
      <c r="L2932" s="7" t="str">
        <f t="shared" si="3"/>
        <v>Availability</v>
      </c>
      <c r="M2932" s="7" t="str">
        <f t="shared" si="4"/>
        <v>Positive</v>
      </c>
      <c r="N2932" s="7" t="str">
        <f>IFERROR(__xludf.DUMMYFUNCTION("LOWER(
TRIM(
REGEXREPLACE(B2932,""[^a-zA-Z\s]"","""")
)
)
"),"ellejay")</f>
        <v>ellejay</v>
      </c>
      <c r="O2932" s="7">
        <f t="shared" si="5"/>
        <v>1</v>
      </c>
      <c r="P2932" s="8" t="str">
        <f t="shared" si="6"/>
        <v>No</v>
      </c>
    </row>
    <row r="2933">
      <c r="A2933" s="4" t="s">
        <v>16</v>
      </c>
      <c r="B2933" s="4" t="s">
        <v>8162</v>
      </c>
      <c r="C2933" s="5">
        <v>44608.0</v>
      </c>
      <c r="D2933" s="10">
        <v>44609.0</v>
      </c>
      <c r="E2933" s="4" t="s">
        <v>2239</v>
      </c>
      <c r="F2933" s="4" t="s">
        <v>8163</v>
      </c>
      <c r="G2933" s="6" t="str">
        <f>IFERROR(__xludf.DUMMYFUNCTION("REGEXREPLACE(LOWER(F2933),""[^a-z\s]"","""")"),"on time when product is available")</f>
        <v>on time when product is available</v>
      </c>
      <c r="H2933" s="4" t="str">
        <f t="shared" si="1"/>
        <v>on time when product available</v>
      </c>
      <c r="I2933" s="6">
        <f t="shared" si="2"/>
        <v>5</v>
      </c>
      <c r="J2933" s="6">
        <f>IFERROR(__xludf.DUMMYFUNCTION("IF(H2933="""","""",
SUM(
ARRAYFORMULA(
IF(
REGEXMATCH(
"" ""&amp;H2933&amp;"" "",
"" ""&amp;Sentiment_Words!A$2:A3730&amp;"" ""
),
1,
0
)
)
)
)"),2.0)</f>
        <v>2</v>
      </c>
      <c r="K2933" s="4">
        <f>IFERROR(__xludf.DUMMYFUNCTION("IF(H2933="""","""",
SUM(
ARRAYFORMULA(
IF(
REGEXMATCH(
"" ""&amp;H2933&amp;"" "",
"" ""&amp;Sentiment_Words!B$2:B3730&amp;"" ""
),
1,
0
)
)
)
)"),0.0)</f>
        <v>0</v>
      </c>
      <c r="L2933" s="7" t="str">
        <f t="shared" si="3"/>
        <v>Other</v>
      </c>
      <c r="M2933" s="7" t="str">
        <f t="shared" si="4"/>
        <v>Positive</v>
      </c>
      <c r="N2933" s="7" t="str">
        <f>IFERROR(__xludf.DUMMYFUNCTION("LOWER(
TRIM(
REGEXREPLACE(B2933,""[^a-zA-Z\s]"","""")
)
)
"),"vincent dipietro")</f>
        <v>vincent dipietro</v>
      </c>
      <c r="O2933" s="7">
        <f t="shared" si="5"/>
        <v>1</v>
      </c>
      <c r="P2933" s="8" t="str">
        <f t="shared" si="6"/>
        <v>No</v>
      </c>
    </row>
    <row r="2934">
      <c r="A2934" s="4" t="s">
        <v>16</v>
      </c>
      <c r="B2934" s="4" t="s">
        <v>8164</v>
      </c>
      <c r="C2934" s="5">
        <v>44608.0</v>
      </c>
      <c r="D2934" s="10">
        <v>44608.0</v>
      </c>
      <c r="E2934" s="4" t="s">
        <v>8165</v>
      </c>
      <c r="F2934" s="4" t="s">
        <v>8166</v>
      </c>
      <c r="G2934" s="6" t="str">
        <f>IFERROR(__xludf.DUMMYFUNCTION("REGEXREPLACE(LOWER(F2934),""[^a-z\s]"","""")"),"great product but i knew that glad i could get it deliveredseemed almost twice as expensive as my local source")</f>
        <v>great product but i knew that glad i could get it deliveredseemed almost twice as expensive as my local source</v>
      </c>
      <c r="H2934" s="4" t="str">
        <f t="shared" si="1"/>
        <v>great product but i knew that glad i could get it deliveredseemed almost twice as expensive as my local source</v>
      </c>
      <c r="I2934" s="6">
        <f t="shared" si="2"/>
        <v>20</v>
      </c>
      <c r="J2934" s="6">
        <f>IFERROR(__xludf.DUMMYFUNCTION("IF(H2934="""","""",
SUM(
ARRAYFORMULA(
IF(
REGEXMATCH(
"" ""&amp;H2934&amp;"" "",
"" ""&amp;Sentiment_Words!A$2:A3730&amp;"" ""
),
1,
0
)
)
)
)"),1.0)</f>
        <v>1</v>
      </c>
      <c r="K2934" s="4">
        <f>IFERROR(__xludf.DUMMYFUNCTION("IF(H2934="""","""",
SUM(
ARRAYFORMULA(
IF(
REGEXMATCH(
"" ""&amp;H2934&amp;"" "",
"" ""&amp;Sentiment_Words!B$2:B3730&amp;"" ""
),
1,
0
)
)
)
)"),0.0)</f>
        <v>0</v>
      </c>
      <c r="L2934" s="7" t="str">
        <f t="shared" si="3"/>
        <v>Other</v>
      </c>
      <c r="M2934" s="7" t="str">
        <f t="shared" si="4"/>
        <v>Positive</v>
      </c>
      <c r="N2934" s="7" t="str">
        <f>IFERROR(__xludf.DUMMYFUNCTION("LOWER(
TRIM(
REGEXREPLACE(B2934,""[^a-zA-Z\s]"","""")
)
)
"),"sherrie")</f>
        <v>sherrie</v>
      </c>
      <c r="O2934" s="7">
        <f t="shared" si="5"/>
        <v>1</v>
      </c>
      <c r="P2934" s="8" t="str">
        <f t="shared" si="6"/>
        <v>No</v>
      </c>
    </row>
    <row r="2935">
      <c r="A2935" s="4" t="s">
        <v>16</v>
      </c>
      <c r="B2935" s="4" t="s">
        <v>8167</v>
      </c>
      <c r="C2935" s="5">
        <v>44608.0</v>
      </c>
      <c r="D2935" s="10">
        <v>44608.0</v>
      </c>
      <c r="E2935" s="4" t="s">
        <v>8168</v>
      </c>
      <c r="F2935" s="4" t="s">
        <v>8169</v>
      </c>
      <c r="G2935" s="6" t="str">
        <f>IFERROR(__xludf.DUMMYFUNCTION("REGEXREPLACE(LOWER(F2935),""[^a-z\s]"","""")"),"great shoplow pricefast delivery")</f>
        <v>great shoplow pricefast delivery</v>
      </c>
      <c r="H2935" s="4" t="str">
        <f t="shared" si="1"/>
        <v>great shoplow pricefast delivery</v>
      </c>
      <c r="I2935" s="6">
        <f t="shared" si="2"/>
        <v>4</v>
      </c>
      <c r="J2935" s="6">
        <f>IFERROR(__xludf.DUMMYFUNCTION("IF(H2935="""","""",
SUM(
ARRAYFORMULA(
IF(
REGEXMATCH(
"" ""&amp;H2935&amp;"" "",
"" ""&amp;Sentiment_Words!A$2:A3730&amp;"" ""
),
1,
0
)
)
)
)"),1.0)</f>
        <v>1</v>
      </c>
      <c r="K2935" s="4">
        <f>IFERROR(__xludf.DUMMYFUNCTION("IF(H2935="""","""",
SUM(
ARRAYFORMULA(
IF(
REGEXMATCH(
"" ""&amp;H2935&amp;"" "",
"" ""&amp;Sentiment_Words!B$2:B3730&amp;"" ""
),
1,
0
)
)
)
)"),0.0)</f>
        <v>0</v>
      </c>
      <c r="L2935" s="7" t="str">
        <f t="shared" si="3"/>
        <v>Other</v>
      </c>
      <c r="M2935" s="7" t="str">
        <f t="shared" si="4"/>
        <v>Positive</v>
      </c>
      <c r="N2935" s="7" t="str">
        <f>IFERROR(__xludf.DUMMYFUNCTION("LOWER(
TRIM(
REGEXREPLACE(B2935,""[^a-zA-Z\s]"","""")
)
)
"),"dzianis sazanchuk")</f>
        <v>dzianis sazanchuk</v>
      </c>
      <c r="O2935" s="7">
        <f t="shared" si="5"/>
        <v>1</v>
      </c>
      <c r="P2935" s="8" t="str">
        <f t="shared" si="6"/>
        <v>No</v>
      </c>
    </row>
    <row r="2936">
      <c r="A2936" s="4" t="s">
        <v>16</v>
      </c>
      <c r="B2936" s="4" t="s">
        <v>8170</v>
      </c>
      <c r="C2936" s="5">
        <v>44608.0</v>
      </c>
      <c r="D2936" s="10">
        <v>44608.0</v>
      </c>
      <c r="E2936" s="4" t="s">
        <v>8171</v>
      </c>
      <c r="F2936" s="4" t="s">
        <v>8172</v>
      </c>
      <c r="G2936" s="6" t="str">
        <f>IFERROR(__xludf.DUMMYFUNCTION("REGEXREPLACE(LOWER(F2936),""[^a-z\s]"","""")"),"no issues order was received quickly except for the bengals shirt wasnt in time for the game but understand it")</f>
        <v>no issues order was received quickly except for the bengals shirt wasnt in time for the game but understand it</v>
      </c>
      <c r="H2936" s="4" t="str">
        <f t="shared" si="1"/>
        <v>no issues order was received quickly except bengals shirt wasnt in time game but understand it</v>
      </c>
      <c r="I2936" s="6">
        <f t="shared" si="2"/>
        <v>16</v>
      </c>
      <c r="J2936" s="6">
        <f>IFERROR(__xludf.DUMMYFUNCTION("IF(H2936="""","""",
SUM(
ARRAYFORMULA(
IF(
REGEXMATCH(
"" ""&amp;H2936&amp;"" "",
"" ""&amp;Sentiment_Words!A$2:A3730&amp;"" ""
),
1,
0
)
)
)
)"),1.0)</f>
        <v>1</v>
      </c>
      <c r="K2936" s="4">
        <f>IFERROR(__xludf.DUMMYFUNCTION("IF(H2936="""","""",
SUM(
ARRAYFORMULA(
IF(
REGEXMATCH(
"" ""&amp;H2936&amp;"" "",
"" ""&amp;Sentiment_Words!B$2:B3730&amp;"" ""
),
1,
0
)
)
)
)"),0.0)</f>
        <v>0</v>
      </c>
      <c r="L2936" s="7" t="str">
        <f t="shared" si="3"/>
        <v>Other</v>
      </c>
      <c r="M2936" s="7" t="str">
        <f t="shared" si="4"/>
        <v>Positive</v>
      </c>
      <c r="N2936" s="7" t="str">
        <f>IFERROR(__xludf.DUMMYFUNCTION("LOWER(
TRIM(
REGEXREPLACE(B2936,""[^a-zA-Z\s]"","""")
)
)
"),"jean smith")</f>
        <v>jean smith</v>
      </c>
      <c r="O2936" s="7">
        <f t="shared" si="5"/>
        <v>1</v>
      </c>
      <c r="P2936" s="8" t="str">
        <f t="shared" si="6"/>
        <v>No</v>
      </c>
    </row>
    <row r="2937">
      <c r="A2937" s="4" t="s">
        <v>16</v>
      </c>
      <c r="B2937" s="4" t="s">
        <v>8173</v>
      </c>
      <c r="C2937" s="5">
        <v>44608.0</v>
      </c>
      <c r="D2937" s="10">
        <v>44608.0</v>
      </c>
      <c r="E2937" s="4" t="s">
        <v>8174</v>
      </c>
      <c r="F2937" s="4" t="s">
        <v>8175</v>
      </c>
      <c r="G2937" s="6" t="str">
        <f>IFERROR(__xludf.DUMMYFUNCTION("REGEXREPLACE(LOWER(F2937),""[^a-z\s]"","""")"),"great deals on dog food with quick delivery")</f>
        <v>great deals on dog food with quick delivery</v>
      </c>
      <c r="H2937" s="4" t="str">
        <f t="shared" si="1"/>
        <v>great deals on dog food with quick delivery</v>
      </c>
      <c r="I2937" s="6">
        <f t="shared" si="2"/>
        <v>8</v>
      </c>
      <c r="J2937" s="6">
        <f>IFERROR(__xludf.DUMMYFUNCTION("IF(H2937="""","""",
SUM(
ARRAYFORMULA(
IF(
REGEXMATCH(
"" ""&amp;H2937&amp;"" "",
"" ""&amp;Sentiment_Words!A$2:A3730&amp;"" ""
),
1,
0
)
)
)
)"),2.0)</f>
        <v>2</v>
      </c>
      <c r="K2937" s="4">
        <f>IFERROR(__xludf.DUMMYFUNCTION("IF(H2937="""","""",
SUM(
ARRAYFORMULA(
IF(
REGEXMATCH(
"" ""&amp;H2937&amp;"" "",
"" ""&amp;Sentiment_Words!B$2:B3730&amp;"" ""
),
1,
0
)
)
)
)"),0.0)</f>
        <v>0</v>
      </c>
      <c r="L2937" s="7" t="str">
        <f t="shared" si="3"/>
        <v>Other</v>
      </c>
      <c r="M2937" s="7" t="str">
        <f t="shared" si="4"/>
        <v>Positive</v>
      </c>
      <c r="N2937" s="7" t="str">
        <f>IFERROR(__xludf.DUMMYFUNCTION("LOWER(
TRIM(
REGEXREPLACE(B2937,""[^a-zA-Z\s]"","""")
)
)
"),"paul brouillette")</f>
        <v>paul brouillette</v>
      </c>
      <c r="O2937" s="7">
        <f t="shared" si="5"/>
        <v>1</v>
      </c>
      <c r="P2937" s="8" t="str">
        <f t="shared" si="6"/>
        <v>No</v>
      </c>
    </row>
    <row r="2938">
      <c r="A2938" s="4" t="s">
        <v>16</v>
      </c>
      <c r="B2938" s="4" t="s">
        <v>8176</v>
      </c>
      <c r="C2938" s="5">
        <v>44608.0</v>
      </c>
      <c r="D2938" s="10">
        <v>44608.0</v>
      </c>
      <c r="E2938" s="4" t="s">
        <v>8177</v>
      </c>
      <c r="F2938" s="4" t="s">
        <v>8178</v>
      </c>
      <c r="G2938" s="6" t="str">
        <f>IFERROR(__xludf.DUMMYFUNCTION("REGEXREPLACE(LOWER(F2938),""[^a-z\s]"","""")"),"this was my first order and was pleased with the entire experience
looking forward to ordering when i need food again")</f>
        <v>this was my first order and was pleased with the entire experience
looking forward to ordering when i need food again</v>
      </c>
      <c r="H2938" s="4" t="str">
        <f t="shared" si="1"/>
        <v>this was my first order was pleased with entire experience
looking forward ordering when i need food again</v>
      </c>
      <c r="I2938" s="6">
        <f t="shared" si="2"/>
        <v>17</v>
      </c>
      <c r="J2938" s="6">
        <f>IFERROR(__xludf.DUMMYFUNCTION("IF(H2938="""","""",
SUM(
ARRAYFORMULA(
IF(
REGEXMATCH(
"" ""&amp;H2938&amp;"" "",
"" ""&amp;Sentiment_Words!A$2:A3730&amp;"" ""
),
1,
0
)
)
)
)"),0.0)</f>
        <v>0</v>
      </c>
      <c r="K2938" s="4">
        <f>IFERROR(__xludf.DUMMYFUNCTION("IF(H2938="""","""",
SUM(
ARRAYFORMULA(
IF(
REGEXMATCH(
"" ""&amp;H2938&amp;"" "",
"" ""&amp;Sentiment_Words!B$2:B3730&amp;"" ""
),
1,
0
)
)
)
)"),0.0)</f>
        <v>0</v>
      </c>
      <c r="L2938" s="7" t="str">
        <f t="shared" si="3"/>
        <v>Other</v>
      </c>
      <c r="M2938" s="7" t="str">
        <f t="shared" si="4"/>
        <v>Neutral</v>
      </c>
      <c r="N2938" s="7" t="str">
        <f>IFERROR(__xludf.DUMMYFUNCTION("LOWER(
TRIM(
REGEXREPLACE(B2938,""[^a-zA-Z\s]"","""")
)
)
"),"sherry")</f>
        <v>sherry</v>
      </c>
      <c r="O2938" s="7">
        <f t="shared" si="5"/>
        <v>1</v>
      </c>
      <c r="P2938" s="8" t="str">
        <f t="shared" si="6"/>
        <v>No</v>
      </c>
    </row>
    <row r="2939">
      <c r="A2939" s="4" t="s">
        <v>16</v>
      </c>
      <c r="B2939" s="4" t="s">
        <v>8179</v>
      </c>
      <c r="C2939" s="5">
        <v>44607.0</v>
      </c>
      <c r="D2939" s="10">
        <v>44608.0</v>
      </c>
      <c r="E2939" s="4" t="s">
        <v>8180</v>
      </c>
      <c r="F2939" s="4" t="s">
        <v>8181</v>
      </c>
      <c r="G2939" s="6" t="str">
        <f>IFERROR(__xludf.DUMMYFUNCTION("REGEXREPLACE(LOWER(F2939),""[^a-z\s]"","""")"),"i ordered the van ness medium crock heavyweight dishes the dishes were delivered in a timely manor and in excellent condition the price was outstanding we are very happy with petflow and will order again")</f>
        <v>i ordered the van ness medium crock heavyweight dishes the dishes were delivered in a timely manor and in excellent condition the price was outstanding we are very happy with petflow and will order again</v>
      </c>
      <c r="H2939" s="4" t="str">
        <f t="shared" si="1"/>
        <v>i ordered van ness medium crock heavyweight dishes dishes were delivered in a timely manor in excellent condition price was outstanding we are very happy with petflow will order again</v>
      </c>
      <c r="I2939" s="6">
        <f t="shared" si="2"/>
        <v>30</v>
      </c>
      <c r="J2939" s="6">
        <f>IFERROR(__xludf.DUMMYFUNCTION("IF(H2939="""","""",
SUM(
ARRAYFORMULA(
IF(
REGEXMATCH(
"" ""&amp;H2939&amp;"" "",
"" ""&amp;Sentiment_Words!A$2:A3730&amp;"" ""
),
1,
0
)
)
)
)"),2.0)</f>
        <v>2</v>
      </c>
      <c r="K2939" s="4">
        <f>IFERROR(__xludf.DUMMYFUNCTION("IF(H2939="""","""",
SUM(
ARRAYFORMULA(
IF(
REGEXMATCH(
"" ""&amp;H2939&amp;"" "",
"" ""&amp;Sentiment_Words!B$2:B3730&amp;"" ""
),
1,
0
)
)
)
)"),0.0)</f>
        <v>0</v>
      </c>
      <c r="L2939" s="7" t="str">
        <f t="shared" si="3"/>
        <v>Other</v>
      </c>
      <c r="M2939" s="7" t="str">
        <f t="shared" si="4"/>
        <v>Positive</v>
      </c>
      <c r="N2939" s="7" t="str">
        <f>IFERROR(__xludf.DUMMYFUNCTION("LOWER(
TRIM(
REGEXREPLACE(B2939,""[^a-zA-Z\s]"","""")
)
)
"),"jody hunt")</f>
        <v>jody hunt</v>
      </c>
      <c r="O2939" s="7">
        <f t="shared" si="5"/>
        <v>1</v>
      </c>
      <c r="P2939" s="8" t="str">
        <f t="shared" si="6"/>
        <v>No</v>
      </c>
    </row>
    <row r="2940">
      <c r="A2940" s="4" t="s">
        <v>16</v>
      </c>
      <c r="B2940" s="4" t="s">
        <v>8182</v>
      </c>
      <c r="C2940" s="5">
        <v>44607.0</v>
      </c>
      <c r="D2940" s="10">
        <v>44607.0</v>
      </c>
      <c r="E2940" s="4" t="s">
        <v>8183</v>
      </c>
      <c r="F2940" s="4" t="s">
        <v>8184</v>
      </c>
      <c r="G2940" s="6" t="str">
        <f>IFERROR(__xludf.DUMMYFUNCTION("REGEXREPLACE(LOWER(F2940),""[^a-z\s]"","""")"),"was disappointed in how long it took my order to get here")</f>
        <v>was disappointed in how long it took my order to get here</v>
      </c>
      <c r="H2940" s="4" t="str">
        <f t="shared" si="1"/>
        <v>was disappointed in how long it took my order get here</v>
      </c>
      <c r="I2940" s="6">
        <f t="shared" si="2"/>
        <v>11</v>
      </c>
      <c r="J2940" s="6">
        <f>IFERROR(__xludf.DUMMYFUNCTION("IF(H2940="""","""",
SUM(
ARRAYFORMULA(
IF(
REGEXMATCH(
"" ""&amp;H2940&amp;"" "",
"" ""&amp;Sentiment_Words!A$2:A3730&amp;"" ""
),
1,
0
)
)
)
)"),0.0)</f>
        <v>0</v>
      </c>
      <c r="K2940" s="4">
        <f>IFERROR(__xludf.DUMMYFUNCTION("IF(H2940="""","""",
SUM(
ARRAYFORMULA(
IF(
REGEXMATCH(
"" ""&amp;H2940&amp;"" "",
"" ""&amp;Sentiment_Words!B$2:B3730&amp;"" ""
),
1,
0
)
)
)
)"),0.0)</f>
        <v>0</v>
      </c>
      <c r="L2940" s="7" t="str">
        <f t="shared" si="3"/>
        <v>Trust &amp; Experience</v>
      </c>
      <c r="M2940" s="7" t="str">
        <f t="shared" si="4"/>
        <v>Neutral</v>
      </c>
      <c r="N2940" s="7" t="str">
        <f>IFERROR(__xludf.DUMMYFUNCTION("LOWER(
TRIM(
REGEXREPLACE(B2940,""[^a-zA-Z\s]"","""")
)
)
"),"lori lamey")</f>
        <v>lori lamey</v>
      </c>
      <c r="O2940" s="7">
        <f t="shared" si="5"/>
        <v>1</v>
      </c>
      <c r="P2940" s="8" t="str">
        <f t="shared" si="6"/>
        <v>No</v>
      </c>
    </row>
    <row r="2941">
      <c r="A2941" s="4" t="s">
        <v>16</v>
      </c>
      <c r="B2941" s="4" t="s">
        <v>8185</v>
      </c>
      <c r="C2941" s="5">
        <v>44607.0</v>
      </c>
      <c r="D2941" s="10">
        <v>44607.0</v>
      </c>
      <c r="E2941" s="4" t="s">
        <v>8186</v>
      </c>
      <c r="F2941" s="4" t="s">
        <v>8187</v>
      </c>
      <c r="G2941" s="6" t="str">
        <f>IFERROR(__xludf.DUMMYFUNCTION("REGEXREPLACE(LOWER(F2941),""[^a-z\s]"","""")"),"petflow was efficient with excellent customer service will continue to order from this fabulous pet source")</f>
        <v>petflow was efficient with excellent customer service will continue to order from this fabulous pet source</v>
      </c>
      <c r="H2941" s="4" t="str">
        <f t="shared" si="1"/>
        <v>petflow was efficient with excellent customer service will continue order from this fabulous pet source</v>
      </c>
      <c r="I2941" s="6">
        <f t="shared" si="2"/>
        <v>15</v>
      </c>
      <c r="J2941" s="6">
        <f>IFERROR(__xludf.DUMMYFUNCTION("IF(H2941="""","""",
SUM(
ARRAYFORMULA(
IF(
REGEXMATCH(
"" ""&amp;H2941&amp;"" "",
"" ""&amp;Sentiment_Words!A$2:A3730&amp;"" ""
),
1,
0
)
)
)
)"),1.0)</f>
        <v>1</v>
      </c>
      <c r="K2941" s="4">
        <f>IFERROR(__xludf.DUMMYFUNCTION("IF(H2941="""","""",
SUM(
ARRAYFORMULA(
IF(
REGEXMATCH(
"" ""&amp;H2941&amp;"" "",
"" ""&amp;Sentiment_Words!B$2:B3730&amp;"" ""
),
1,
0
)
)
)
)"),1.0)</f>
        <v>1</v>
      </c>
      <c r="L2941" s="7" t="str">
        <f t="shared" si="3"/>
        <v>Customer Support</v>
      </c>
      <c r="M2941" s="7" t="str">
        <f t="shared" si="4"/>
        <v>Neutral</v>
      </c>
      <c r="N2941" s="7" t="str">
        <f>IFERROR(__xludf.DUMMYFUNCTION("LOWER(
TRIM(
REGEXREPLACE(B2941,""[^a-zA-Z\s]"","""")
)
)
"),"alice cheren")</f>
        <v>alice cheren</v>
      </c>
      <c r="O2941" s="7">
        <f t="shared" si="5"/>
        <v>1</v>
      </c>
      <c r="P2941" s="8" t="str">
        <f t="shared" si="6"/>
        <v>No</v>
      </c>
    </row>
    <row r="2942">
      <c r="A2942" s="4" t="s">
        <v>16</v>
      </c>
      <c r="B2942" s="4" t="s">
        <v>8188</v>
      </c>
      <c r="C2942" s="5">
        <v>44607.0</v>
      </c>
      <c r="D2942" s="10">
        <v>44607.0</v>
      </c>
      <c r="E2942" s="4" t="s">
        <v>8189</v>
      </c>
      <c r="F2942" s="4" t="s">
        <v>8190</v>
      </c>
      <c r="G2942" s="6" t="str">
        <f>IFERROR(__xludf.DUMMYFUNCTION("REGEXREPLACE(LOWER(F2942),""[^a-z\s]"","""")"),"my order never arrived fed ex said it did but there is no  pound box of dog food anywhere")</f>
        <v>my order never arrived fed ex said it did but there is no  pound box of dog food anywhere</v>
      </c>
      <c r="H2942" s="4" t="str">
        <f t="shared" si="1"/>
        <v>my order never arrived fed ex said it did but there no pound box of dog food anywhere</v>
      </c>
      <c r="I2942" s="6">
        <f t="shared" si="2"/>
        <v>18</v>
      </c>
      <c r="J2942" s="6">
        <f>IFERROR(__xludf.DUMMYFUNCTION("IF(H2942="""","""",
SUM(
ARRAYFORMULA(
IF(
REGEXMATCH(
"" ""&amp;H2942&amp;"" "",
"" ""&amp;Sentiment_Words!A$2:A3730&amp;"" ""
),
1,
0
)
)
)
)"),0.0)</f>
        <v>0</v>
      </c>
      <c r="K2942" s="4">
        <f>IFERROR(__xludf.DUMMYFUNCTION("IF(H2942="""","""",
SUM(
ARRAYFORMULA(
IF(
REGEXMATCH(
"" ""&amp;H2942&amp;"" "",
"" ""&amp;Sentiment_Words!B$2:B3730&amp;"" ""
),
1,
0
)
)
)
)"),0.0)</f>
        <v>0</v>
      </c>
      <c r="L2942" s="7" t="str">
        <f t="shared" si="3"/>
        <v>Other</v>
      </c>
      <c r="M2942" s="7" t="str">
        <f t="shared" si="4"/>
        <v>Neutral</v>
      </c>
      <c r="N2942" s="7" t="str">
        <f>IFERROR(__xludf.DUMMYFUNCTION("LOWER(
TRIM(
REGEXREPLACE(B2942,""[^a-zA-Z\s]"","""")
)
)
"),"susan mortensen")</f>
        <v>susan mortensen</v>
      </c>
      <c r="O2942" s="7">
        <f t="shared" si="5"/>
        <v>1</v>
      </c>
      <c r="P2942" s="8" t="str">
        <f t="shared" si="6"/>
        <v>No</v>
      </c>
    </row>
    <row r="2943">
      <c r="A2943" s="4" t="s">
        <v>16</v>
      </c>
      <c r="B2943" s="4" t="s">
        <v>8191</v>
      </c>
      <c r="C2943" s="5">
        <v>44607.0</v>
      </c>
      <c r="D2943" s="10">
        <v>44607.0</v>
      </c>
      <c r="E2943" s="4" t="s">
        <v>8192</v>
      </c>
      <c r="F2943" s="4" t="s">
        <v>8193</v>
      </c>
      <c r="G2943" s="6" t="str">
        <f>IFERROR(__xludf.DUMMYFUNCTION("REGEXREPLACE(LOWER(F2943),""[^a-z\s]"","""")"),"by requiring our vet to set up an account with your company you made it impossible to purchase our cats prescription diet so we went with another company that easily connected with our vet and got the job done your customer service was friendly and easy t"&amp;"o communicate with")</f>
        <v>by requiring our vet to set up an account with your company you made it impossible to purchase our cats prescription diet so we went with another company that easily connected with our vet and got the job done your customer service was friendly and easy to communicate with</v>
      </c>
      <c r="H2943" s="4" t="str">
        <f t="shared" si="1"/>
        <v>by requiring our vet set up an account with your company you made it impossible purchase our cats prescription diet so we went with another company that easily connected with our vet got job done your customer service was friendly easy communicate with</v>
      </c>
      <c r="I2943" s="6">
        <f t="shared" si="2"/>
        <v>43</v>
      </c>
      <c r="J2943" s="6">
        <f>IFERROR(__xludf.DUMMYFUNCTION("IF(H2943="""","""",
SUM(
ARRAYFORMULA(
IF(
REGEXMATCH(
"" ""&amp;H2943&amp;"" "",
"" ""&amp;Sentiment_Words!A$2:A3730&amp;"" ""
),
1,
0
)
)
)
)"),1.0)</f>
        <v>1</v>
      </c>
      <c r="K2943" s="4">
        <f>IFERROR(__xludf.DUMMYFUNCTION("IF(H2943="""","""",
SUM(
ARRAYFORMULA(
IF(
REGEXMATCH(
"" ""&amp;H2943&amp;"" "",
"" ""&amp;Sentiment_Words!B$2:B3730&amp;"" ""
),
1,
0
)
)
)
)"),1.0)</f>
        <v>1</v>
      </c>
      <c r="L2943" s="7" t="str">
        <f t="shared" si="3"/>
        <v>Customer Support</v>
      </c>
      <c r="M2943" s="7" t="str">
        <f t="shared" si="4"/>
        <v>Neutral</v>
      </c>
      <c r="N2943" s="7" t="str">
        <f>IFERROR(__xludf.DUMMYFUNCTION("LOWER(
TRIM(
REGEXREPLACE(B2943,""[^a-zA-Z\s]"","""")
)
)
"),"robin abbott")</f>
        <v>robin abbott</v>
      </c>
      <c r="O2943" s="7">
        <f t="shared" si="5"/>
        <v>1</v>
      </c>
      <c r="P2943" s="8" t="str">
        <f t="shared" si="6"/>
        <v>No</v>
      </c>
    </row>
    <row r="2944">
      <c r="A2944" s="4" t="s">
        <v>16</v>
      </c>
      <c r="B2944" s="4" t="s">
        <v>8194</v>
      </c>
      <c r="C2944" s="5">
        <v>44607.0</v>
      </c>
      <c r="D2944" s="10">
        <v>44607.0</v>
      </c>
      <c r="E2944" s="4" t="s">
        <v>8195</v>
      </c>
      <c r="F2944" s="4" t="s">
        <v>8196</v>
      </c>
      <c r="G2944" s="6" t="str">
        <f>IFERROR(__xludf.DUMMYFUNCTION("REGEXREPLACE(LOWER(F2944),""[^a-z\s]"","""")"),"i have had my dog food delivered by petflow for several years all was good until the last  mo of  my orders were delayed to the point of having to go to a retail store and purchase dog food on  occasions one order was  days late thankfully as of  things a"&amp;"re looking upknock on wood happy days are here again")</f>
        <v>i have had my dog food delivered by petflow for several years all was good until the last  mo of  my orders were delayed to the point of having to go to a retail store and purchase dog food on  occasions one order was  days late thankfully as of  things are looking upknock on wood happy days are here again</v>
      </c>
      <c r="H2944" s="4" t="str">
        <f t="shared" si="1"/>
        <v>i have had my dog food delivered by petflow several years all was good until last mo of my orders were delayed point of having go a retail store purchase dog food on occasions one order was days late thankfully as of things are looking upknock on wood happy days are here again</v>
      </c>
      <c r="I2944" s="6">
        <f t="shared" si="2"/>
        <v>53</v>
      </c>
      <c r="J2944" s="6">
        <f>IFERROR(__xludf.DUMMYFUNCTION("IF(H2944="""","""",
SUM(
ARRAYFORMULA(
IF(
REGEXMATCH(
"" ""&amp;H2944&amp;"" "",
"" ""&amp;Sentiment_Words!A$2:A3730&amp;"" ""
),
1,
0
)
)
)
)"),4.0)</f>
        <v>4</v>
      </c>
      <c r="K2944" s="4">
        <f>IFERROR(__xludf.DUMMYFUNCTION("IF(H2944="""","""",
SUM(
ARRAYFORMULA(
IF(
REGEXMATCH(
"" ""&amp;H2944&amp;"" "",
"" ""&amp;Sentiment_Words!B$2:B3730&amp;"" ""
),
1,
0
)
)
)
)"),1.0)</f>
        <v>1</v>
      </c>
      <c r="L2944" s="7" t="str">
        <f t="shared" si="3"/>
        <v>Fulfillment &amp; Shipping</v>
      </c>
      <c r="M2944" s="7" t="str">
        <f t="shared" si="4"/>
        <v>Positive</v>
      </c>
      <c r="N2944" s="7" t="str">
        <f>IFERROR(__xludf.DUMMYFUNCTION("LOWER(
TRIM(
REGEXREPLACE(B2944,""[^a-zA-Z\s]"","""")
)
)
"),"brendan")</f>
        <v>brendan</v>
      </c>
      <c r="O2944" s="7">
        <f t="shared" si="5"/>
        <v>1</v>
      </c>
      <c r="P2944" s="8" t="str">
        <f t="shared" si="6"/>
        <v>No</v>
      </c>
    </row>
    <row r="2945">
      <c r="A2945" s="4" t="s">
        <v>16</v>
      </c>
      <c r="B2945" s="4" t="s">
        <v>8197</v>
      </c>
      <c r="C2945" s="5">
        <v>44607.0</v>
      </c>
      <c r="D2945" s="10">
        <v>44607.0</v>
      </c>
      <c r="E2945" s="4" t="s">
        <v>8198</v>
      </c>
      <c r="F2945" s="4" t="s">
        <v>8199</v>
      </c>
      <c r="G2945" s="6" t="str">
        <f>IFERROR(__xludf.DUMMYFUNCTION("REGEXREPLACE(LOWER(F2945),""[^a-z\s]"","""")"),"very angry with you because i could not buy the food for my puppy since you asked the veterinary clinic for a code in the mail that you sent and they did not know what the code was i hope that in the future you will cause fewer problems and help more")</f>
        <v>very angry with you because i could not buy the food for my puppy since you asked the veterinary clinic for a code in the mail that you sent and they did not know what the code was i hope that in the future you will cause fewer problems and help more</v>
      </c>
      <c r="H2945" s="4" t="str">
        <f t="shared" si="1"/>
        <v>very angry with you because i could not buy food my puppy since you asked veterinary clinic a code in mail that you sent they did not know what code was i hope that in future you will cause fewer problems help more</v>
      </c>
      <c r="I2945" s="6">
        <f t="shared" si="2"/>
        <v>43</v>
      </c>
      <c r="J2945" s="6">
        <f>IFERROR(__xludf.DUMMYFUNCTION("IF(H2945="""","""",
SUM(
ARRAYFORMULA(
IF(
REGEXMATCH(
"" ""&amp;H2945&amp;"" "",
"" ""&amp;Sentiment_Words!A$2:A3730&amp;"" ""
),
1,
0
)
)
)
)"),0.0)</f>
        <v>0</v>
      </c>
      <c r="K2945" s="4">
        <f>IFERROR(__xludf.DUMMYFUNCTION("IF(H2945="""","""",
SUM(
ARRAYFORMULA(
IF(
REGEXMATCH(
"" ""&amp;H2945&amp;"" "",
"" ""&amp;Sentiment_Words!B$2:B3730&amp;"" ""
),
1,
0
)
)
)
)"),0.0)</f>
        <v>0</v>
      </c>
      <c r="L2945" s="7" t="str">
        <f t="shared" si="3"/>
        <v>Account &amp; Website</v>
      </c>
      <c r="M2945" s="7" t="str">
        <f t="shared" si="4"/>
        <v>Neutral</v>
      </c>
      <c r="N2945" s="7" t="str">
        <f>IFERROR(__xludf.DUMMYFUNCTION("LOWER(
TRIM(
REGEXREPLACE(B2945,""[^a-zA-Z\s]"","""")
)
)
"),"mike gehring")</f>
        <v>mike gehring</v>
      </c>
      <c r="O2945" s="7">
        <f t="shared" si="5"/>
        <v>1</v>
      </c>
      <c r="P2945" s="8" t="str">
        <f t="shared" si="6"/>
        <v>No</v>
      </c>
    </row>
    <row r="2946">
      <c r="A2946" s="4" t="s">
        <v>16</v>
      </c>
      <c r="B2946" s="4" t="s">
        <v>8200</v>
      </c>
      <c r="C2946" s="5">
        <v>44607.0</v>
      </c>
      <c r="D2946" s="10">
        <v>44607.0</v>
      </c>
      <c r="E2946" s="4" t="s">
        <v>8201</v>
      </c>
      <c r="F2946" s="4" t="s">
        <v>8202</v>
      </c>
      <c r="G2946" s="6" t="str">
        <f>IFERROR(__xludf.DUMMYFUNCTION("REGEXREPLACE(LOWER(F2946),""[^a-z\s]"","""")"),"pet flow never disappoints me or my fur babies my orders are sent quickly and always correct rarely do i have to call customer service and only if i need to make a change to my auto orders i am a very loyal customer and dont plan on changing ")</f>
        <v>pet flow never disappoints me or my fur babies my orders are sent quickly and always correct rarely do i have to call customer service and only if i need to make a change to my auto orders i am a very loyal customer and dont plan on changing </v>
      </c>
      <c r="H2946" s="4" t="str">
        <f t="shared" si="1"/>
        <v>pet flow never disappoints me or my fur babies my orders are sent quickly always correct rarely do i have call customer service only if i need make a change my auto orders i am a very loyal customer dont plan on changing</v>
      </c>
      <c r="I2946" s="6">
        <f t="shared" si="2"/>
        <v>43</v>
      </c>
      <c r="J2946" s="6">
        <f>IFERROR(__xludf.DUMMYFUNCTION("IF(H2946="""","""",
SUM(
ARRAYFORMULA(
IF(
REGEXMATCH(
"" ""&amp;H2946&amp;"" "",
"" ""&amp;Sentiment_Words!A$2:A3730&amp;"" ""
),
1,
0
)
)
)
)"),0.0)</f>
        <v>0</v>
      </c>
      <c r="K2946" s="4">
        <f>IFERROR(__xludf.DUMMYFUNCTION("IF(H2946="""","""",
SUM(
ARRAYFORMULA(
IF(
REGEXMATCH(
"" ""&amp;H2946&amp;"" "",
"" ""&amp;Sentiment_Words!B$2:B3730&amp;"" ""
),
1,
0
)
)
)
)"),1.0)</f>
        <v>1</v>
      </c>
      <c r="L2946" s="7" t="str">
        <f t="shared" si="3"/>
        <v>Customer Support</v>
      </c>
      <c r="M2946" s="7" t="str">
        <f t="shared" si="4"/>
        <v>Negative</v>
      </c>
      <c r="N2946" s="7" t="str">
        <f>IFERROR(__xludf.DUMMYFUNCTION("LOWER(
TRIM(
REGEXREPLACE(B2946,""[^a-zA-Z\s]"","""")
)
)
"),"arturo santaella")</f>
        <v>arturo santaella</v>
      </c>
      <c r="O2946" s="7">
        <f t="shared" si="5"/>
        <v>1</v>
      </c>
      <c r="P2946" s="8" t="str">
        <f t="shared" si="6"/>
        <v>No</v>
      </c>
    </row>
    <row r="2947">
      <c r="A2947" s="4" t="s">
        <v>16</v>
      </c>
      <c r="B2947" s="4" t="s">
        <v>8203</v>
      </c>
      <c r="C2947" s="5">
        <v>44607.0</v>
      </c>
      <c r="D2947" s="10">
        <v>44607.0</v>
      </c>
      <c r="E2947" s="4" t="s">
        <v>8204</v>
      </c>
      <c r="F2947" s="4" t="s">
        <v>8205</v>
      </c>
      <c r="G2947" s="6" t="str">
        <f>IFERROR(__xludf.DUMMYFUNCTION("REGEXREPLACE(LOWER(F2947),""[^a-z\s]"","""")"),"easy ordering quick delivery makes it so easy thank you")</f>
        <v>easy ordering quick delivery makes it so easy thank you</v>
      </c>
      <c r="H2947" s="4" t="str">
        <f t="shared" si="1"/>
        <v>easy ordering quick delivery makes it so easy thank you</v>
      </c>
      <c r="I2947" s="6">
        <f t="shared" si="2"/>
        <v>10</v>
      </c>
      <c r="J2947" s="6">
        <f>IFERROR(__xludf.DUMMYFUNCTION("IF(H2947="""","""",
SUM(
ARRAYFORMULA(
IF(
REGEXMATCH(
"" ""&amp;H2947&amp;"" "",
"" ""&amp;Sentiment_Words!A$2:A3730&amp;"" ""
),
1,
0
)
)
)
)"),2.0)</f>
        <v>2</v>
      </c>
      <c r="K2947" s="4">
        <f>IFERROR(__xludf.DUMMYFUNCTION("IF(H2947="""","""",
SUM(
ARRAYFORMULA(
IF(
REGEXMATCH(
"" ""&amp;H2947&amp;"" "",
"" ""&amp;Sentiment_Words!B$2:B3730&amp;"" ""
),
1,
0
)
)
)
)"),0.0)</f>
        <v>0</v>
      </c>
      <c r="L2947" s="7" t="str">
        <f t="shared" si="3"/>
        <v>Other</v>
      </c>
      <c r="M2947" s="7" t="str">
        <f t="shared" si="4"/>
        <v>Positive</v>
      </c>
      <c r="N2947" s="7" t="str">
        <f>IFERROR(__xludf.DUMMYFUNCTION("LOWER(
TRIM(
REGEXREPLACE(B2947,""[^a-zA-Z\s]"","""")
)
)
"),"jan underwood")</f>
        <v>jan underwood</v>
      </c>
      <c r="O2947" s="7">
        <f t="shared" si="5"/>
        <v>1</v>
      </c>
      <c r="P2947" s="8" t="str">
        <f t="shared" si="6"/>
        <v>No</v>
      </c>
    </row>
    <row r="2948">
      <c r="A2948" s="4" t="s">
        <v>16</v>
      </c>
      <c r="B2948" s="4" t="s">
        <v>8206</v>
      </c>
      <c r="C2948" s="5">
        <v>44607.0</v>
      </c>
      <c r="D2948" s="10">
        <v>44607.0</v>
      </c>
      <c r="E2948" s="4" t="s">
        <v>8207</v>
      </c>
      <c r="F2948" s="4" t="s">
        <v>8208</v>
      </c>
      <c r="G2948" s="6" t="str">
        <f>IFERROR(__xludf.DUMMYFUNCTION("REGEXREPLACE(LOWER(F2948),""[^a-z\s]"","""")"),"i ordered a product
there was some type of glitch in my credit card process
waited and waited for the delivery
finally called and then was told of the issue
no email
no notifications
just left in the dark
i ran out of dog food for my dog while at my "&amp;"home in new hampshire
had to drive three hours to get dog food because the order never arrived
poor customer service
ill remain with chewy
never again")</f>
        <v>i ordered a product
there was some type of glitch in my credit card process
waited and waited for the delivery
finally called and then was told of the issue
no email
no notifications
just left in the dark
i ran out of dog food for my dog while at my home in new hampshire
had to drive three hours to get dog food because the order never arrived
poor customer service
ill remain with chewy
never again</v>
      </c>
      <c r="H2948" s="4" t="str">
        <f t="shared" si="1"/>
        <v>i ordered a product
there was some type of glitch in my credit card process
waited waited delivery
finally called then was told of issue
no email
no notifications
just left in dark
i ran out of dog food my dog while at my home in new hampshire
had drive three hours get dog food because order never arrived
poor customer service
ill remain with chewy
never again</v>
      </c>
      <c r="I2948" s="6">
        <f t="shared" si="2"/>
        <v>57</v>
      </c>
      <c r="J2948" s="6">
        <f>IFERROR(__xludf.DUMMYFUNCTION("IF(H2948="""","""",
SUM(
ARRAYFORMULA(
IF(
REGEXMATCH(
"" ""&amp;H2948&amp;"" "",
"" ""&amp;Sentiment_Words!A$2:A3730&amp;"" ""
),
1,
0
)
)
)
)"),0.0)</f>
        <v>0</v>
      </c>
      <c r="K2948" s="4">
        <f>IFERROR(__xludf.DUMMYFUNCTION("IF(H2948="""","""",
SUM(
ARRAYFORMULA(
IF(
REGEXMATCH(
"" ""&amp;H2948&amp;"" "",
"" ""&amp;Sentiment_Words!B$2:B3730&amp;"" ""
),
1,
0
)
)
)
)"),0.0)</f>
        <v>0</v>
      </c>
      <c r="L2948" s="7" t="str">
        <f t="shared" si="3"/>
        <v>Customer Support</v>
      </c>
      <c r="M2948" s="7" t="str">
        <f t="shared" si="4"/>
        <v>Neutral</v>
      </c>
      <c r="N2948" s="7" t="str">
        <f>IFERROR(__xludf.DUMMYFUNCTION("LOWER(
TRIM(
REGEXREPLACE(B2948,""[^a-zA-Z\s]"","""")
)
)
"),"felicia wood")</f>
        <v>felicia wood</v>
      </c>
      <c r="O2948" s="7">
        <f t="shared" si="5"/>
        <v>1</v>
      </c>
      <c r="P2948" s="8" t="str">
        <f t="shared" si="6"/>
        <v>No</v>
      </c>
    </row>
    <row r="2949">
      <c r="A2949" s="4" t="s">
        <v>16</v>
      </c>
      <c r="B2949" s="4" t="s">
        <v>8209</v>
      </c>
      <c r="C2949" s="5">
        <v>44607.0</v>
      </c>
      <c r="D2949" s="10">
        <v>44607.0</v>
      </c>
      <c r="E2949" s="4" t="s">
        <v>8210</v>
      </c>
      <c r="F2949" s="4" t="s">
        <v>8211</v>
      </c>
      <c r="G2949" s="6" t="str">
        <f>IFERROR(__xludf.DUMMYFUNCTION("REGEXREPLACE(LOWER(F2949),""[^a-z\s]"","""")"),"this was my first order with petflow they had product in stock that i couldnt find elsewhere and they shipped fast very pleased")</f>
        <v>this was my first order with petflow they had product in stock that i couldnt find elsewhere and they shipped fast very pleased</v>
      </c>
      <c r="H2949" s="4" t="str">
        <f t="shared" si="1"/>
        <v>this was my first order with petflow they had product in stock that i couldnt find elsewhere they shipped fast very pleased</v>
      </c>
      <c r="I2949" s="6">
        <f t="shared" si="2"/>
        <v>22</v>
      </c>
      <c r="J2949" s="6">
        <f>IFERROR(__xludf.DUMMYFUNCTION("IF(H2949="""","""",
SUM(
ARRAYFORMULA(
IF(
REGEXMATCH(
"" ""&amp;H2949&amp;"" "",
"" ""&amp;Sentiment_Words!A$2:A3730&amp;"" ""
),
1,
0
)
)
)
)"),1.0)</f>
        <v>1</v>
      </c>
      <c r="K2949" s="4">
        <f>IFERROR(__xludf.DUMMYFUNCTION("IF(H2949="""","""",
SUM(
ARRAYFORMULA(
IF(
REGEXMATCH(
"" ""&amp;H2949&amp;"" "",
"" ""&amp;Sentiment_Words!B$2:B3730&amp;"" ""
),
1,
0
)
)
)
)"),0.0)</f>
        <v>0</v>
      </c>
      <c r="L2949" s="7" t="str">
        <f t="shared" si="3"/>
        <v>Other</v>
      </c>
      <c r="M2949" s="7" t="str">
        <f t="shared" si="4"/>
        <v>Positive</v>
      </c>
      <c r="N2949" s="7" t="str">
        <f>IFERROR(__xludf.DUMMYFUNCTION("LOWER(
TRIM(
REGEXREPLACE(B2949,""[^a-zA-Z\s]"","""")
)
)
"),"c l")</f>
        <v>c l</v>
      </c>
      <c r="O2949" s="7">
        <f t="shared" si="5"/>
        <v>1</v>
      </c>
      <c r="P2949" s="8" t="str">
        <f t="shared" si="6"/>
        <v>No</v>
      </c>
    </row>
    <row r="2950">
      <c r="A2950" s="4" t="s">
        <v>16</v>
      </c>
      <c r="B2950" s="4" t="s">
        <v>8212</v>
      </c>
      <c r="C2950" s="5">
        <v>44607.0</v>
      </c>
      <c r="D2950" s="10">
        <v>44607.0</v>
      </c>
      <c r="E2950" s="4" t="s">
        <v>8213</v>
      </c>
      <c r="F2950" s="4" t="s">
        <v>8214</v>
      </c>
      <c r="G2950" s="6" t="str">
        <f>IFERROR(__xludf.DUMMYFUNCTION("REGEXREPLACE(LOWER(F2950),""[^a-z\s]"","""")"),"with the problems today about getting pet food it is reassuring to me that when i order food for my cat or dog it is never out of stock well done and thank you")</f>
        <v>with the problems today about getting pet food it is reassuring to me that when i order food for my cat or dog it is never out of stock well done and thank you</v>
      </c>
      <c r="H2950" s="4" t="str">
        <f t="shared" si="1"/>
        <v>with problems today about getting pet food it reassuring me that when i order food my cat or dog it never out of stock well done thank you</v>
      </c>
      <c r="I2950" s="6">
        <f t="shared" si="2"/>
        <v>28</v>
      </c>
      <c r="J2950" s="6">
        <f>IFERROR(__xludf.DUMMYFUNCTION("IF(H2950="""","""",
SUM(
ARRAYFORMULA(
IF(
REGEXMATCH(
"" ""&amp;H2950&amp;"" "",
"" ""&amp;Sentiment_Words!A$2:A3730&amp;"" ""
),
1,
0
)
)
)
)"),0.0)</f>
        <v>0</v>
      </c>
      <c r="K2950" s="4">
        <f>IFERROR(__xludf.DUMMYFUNCTION("IF(H2950="""","""",
SUM(
ARRAYFORMULA(
IF(
REGEXMATCH(
"" ""&amp;H2950&amp;"" "",
"" ""&amp;Sentiment_Words!B$2:B3730&amp;"" ""
),
1,
0
)
)
)
)"),1.0)</f>
        <v>1</v>
      </c>
      <c r="L2950" s="7" t="str">
        <f t="shared" si="3"/>
        <v>Availability</v>
      </c>
      <c r="M2950" s="7" t="str">
        <f t="shared" si="4"/>
        <v>Negative</v>
      </c>
      <c r="N2950" s="7" t="str">
        <f>IFERROR(__xludf.DUMMYFUNCTION("LOWER(
TRIM(
REGEXREPLACE(B2950,""[^a-zA-Z\s]"","""")
)
)
"),"m")</f>
        <v>m</v>
      </c>
      <c r="O2950" s="7">
        <f t="shared" si="5"/>
        <v>1</v>
      </c>
      <c r="P2950" s="8" t="str">
        <f t="shared" si="6"/>
        <v>No</v>
      </c>
    </row>
    <row r="2951">
      <c r="A2951" s="4" t="s">
        <v>16</v>
      </c>
      <c r="B2951" s="4" t="s">
        <v>8215</v>
      </c>
      <c r="C2951" s="5">
        <v>44607.0</v>
      </c>
      <c r="D2951" s="4" t="s">
        <v>8216</v>
      </c>
      <c r="E2951" s="4" t="s">
        <v>2239</v>
      </c>
      <c r="F2951" s="4" t="s">
        <v>8217</v>
      </c>
      <c r="G2951" s="6" t="str">
        <f>IFERROR(__xludf.DUMMYFUNCTION("REGEXREPLACE(LOWER(F2951),""[^a-z\s]"","""")"),"the site shows in stock when in fact it is not
when you call customer service they tell you it was just purchased  its now unavailable
yet a few days  now weeks later it still shows it is in stock
this place cannot be trusted")</f>
        <v>the site shows in stock when in fact it is not
when you call customer service they tell you it was just purchased  its now unavailable
yet a few days  now weeks later it still shows it is in stock
this place cannot be trusted</v>
      </c>
      <c r="H2951" s="4" t="str">
        <f t="shared" si="1"/>
        <v>site shows in stock when in fact it not
when you call customer service they tell you it was just purchased its now unavailable
yet a few days now weeks later it still shows it in stock
this place cannot be trusted</v>
      </c>
      <c r="I2951" s="6">
        <f t="shared" si="2"/>
        <v>39</v>
      </c>
      <c r="J2951" s="6">
        <f>IFERROR(__xludf.DUMMYFUNCTION("IF(H2951="""","""",
SUM(
ARRAYFORMULA(
IF(
REGEXMATCH(
"" ""&amp;H2951&amp;"" "",
"" ""&amp;Sentiment_Words!A$2:A3730&amp;"" ""
),
1,
0
)
)
)
)"),0.0)</f>
        <v>0</v>
      </c>
      <c r="K2951" s="4">
        <f>IFERROR(__xludf.DUMMYFUNCTION("IF(H2951="""","""",
SUM(
ARRAYFORMULA(
IF(
REGEXMATCH(
"" ""&amp;H2951&amp;"" "",
"" ""&amp;Sentiment_Words!B$2:B3730&amp;"" ""
),
1,
0
)
)
)
)"),1.0)</f>
        <v>1</v>
      </c>
      <c r="L2951" s="7" t="str">
        <f t="shared" si="3"/>
        <v>Customer Support</v>
      </c>
      <c r="M2951" s="7" t="str">
        <f t="shared" si="4"/>
        <v>Negative</v>
      </c>
      <c r="N2951" s="7" t="str">
        <f>IFERROR(__xludf.DUMMYFUNCTION("LOWER(
TRIM(
REGEXREPLACE(B2951,""[^a-zA-Z\s]"","""")
)
)
"),"lorraine ferguson")</f>
        <v>lorraine ferguson</v>
      </c>
      <c r="O2951" s="7">
        <f t="shared" si="5"/>
        <v>1</v>
      </c>
      <c r="P2951" s="8" t="str">
        <f t="shared" si="6"/>
        <v>No</v>
      </c>
    </row>
    <row r="2952">
      <c r="A2952" s="4" t="s">
        <v>16</v>
      </c>
      <c r="B2952" s="4" t="s">
        <v>8218</v>
      </c>
      <c r="C2952" s="5">
        <v>44606.0</v>
      </c>
      <c r="D2952" s="10">
        <v>44606.0</v>
      </c>
      <c r="E2952" s="4" t="s">
        <v>8219</v>
      </c>
      <c r="F2952" s="4" t="s">
        <v>8220</v>
      </c>
      <c r="G2952" s="6" t="str">
        <f>IFERROR(__xludf.DUMMYFUNCTION("REGEXREPLACE(LOWER(F2952),""[^a-z\s]"","""")"),"ill have an opinion when i confirm the new bag my dogs food came in and more often than not the bags are slicedripped open slipping in the box theyre delivered in resulting in having to get a new bag which costs your company more money your staff needs to"&amp;" get with the program its been going on for years")</f>
        <v>ill have an opinion when i confirm the new bag my dogs food came in and more often than not the bags are slicedripped open slipping in the box theyre delivered in resulting in having to get a new bag which costs your company more money your staff needs to get with the program its been going on for years</v>
      </c>
      <c r="H2952" s="4" t="str">
        <f t="shared" si="1"/>
        <v>ill have an opinion when i confirm new bag my dogs food came in more often than not bags are slicedripped open slipping in box theyre delivered in resulting in having get a new bag which costs your company more money your staff needs get with program its been going on years</v>
      </c>
      <c r="I2952" s="6">
        <f t="shared" si="2"/>
        <v>52</v>
      </c>
      <c r="J2952" s="6">
        <f>IFERROR(__xludf.DUMMYFUNCTION("IF(H2952="""","""",
SUM(
ARRAYFORMULA(
IF(
REGEXMATCH(
"" ""&amp;H2952&amp;"" "",
"" ""&amp;Sentiment_Words!A$2:A3730&amp;"" ""
),
1,
0
)
)
)
)"),1.0)</f>
        <v>1</v>
      </c>
      <c r="K2952" s="4">
        <f>IFERROR(__xludf.DUMMYFUNCTION("IF(H2952="""","""",
SUM(
ARRAYFORMULA(
IF(
REGEXMATCH(
"" ""&amp;H2952&amp;"" "",
"" ""&amp;Sentiment_Words!B$2:B3730&amp;"" ""
),
1,
0
)
)
)
)"),0.0)</f>
        <v>0</v>
      </c>
      <c r="L2952" s="7" t="str">
        <f t="shared" si="3"/>
        <v>Other</v>
      </c>
      <c r="M2952" s="7" t="str">
        <f t="shared" si="4"/>
        <v>Positive</v>
      </c>
      <c r="N2952" s="7" t="str">
        <f>IFERROR(__xludf.DUMMYFUNCTION("LOWER(
TRIM(
REGEXREPLACE(B2952,""[^a-zA-Z\s]"","""")
)
)
"),"raymond")</f>
        <v>raymond</v>
      </c>
      <c r="O2952" s="7">
        <f t="shared" si="5"/>
        <v>2</v>
      </c>
      <c r="P2952" s="8" t="str">
        <f t="shared" si="6"/>
        <v>Yes</v>
      </c>
    </row>
    <row r="2953">
      <c r="A2953" s="4" t="s">
        <v>16</v>
      </c>
      <c r="B2953" s="4" t="s">
        <v>8221</v>
      </c>
      <c r="C2953" s="5">
        <v>44606.0</v>
      </c>
      <c r="D2953" s="10">
        <v>44606.0</v>
      </c>
      <c r="E2953" s="4" t="s">
        <v>8222</v>
      </c>
      <c r="F2953" s="4" t="s">
        <v>8223</v>
      </c>
      <c r="G2953" s="6" t="str">
        <f>IFERROR(__xludf.DUMMYFUNCTION("REGEXREPLACE(LOWER(F2953),""[^a-z\s]"","""")"),"use a different shipping company took  days to get to me ")</f>
        <v>use a different shipping company took  days to get to me </v>
      </c>
      <c r="H2953" s="4" t="str">
        <f t="shared" si="1"/>
        <v>use a different shipping company took days get me</v>
      </c>
      <c r="I2953" s="6">
        <f t="shared" si="2"/>
        <v>9</v>
      </c>
      <c r="J2953" s="6">
        <f>IFERROR(__xludf.DUMMYFUNCTION("IF(H2953="""","""",
SUM(
ARRAYFORMULA(
IF(
REGEXMATCH(
"" ""&amp;H2953&amp;"" "",
"" ""&amp;Sentiment_Words!A$2:A3730&amp;"" ""
),
1,
0
)
)
)
)"),0.0)</f>
        <v>0</v>
      </c>
      <c r="K2953" s="4">
        <f>IFERROR(__xludf.DUMMYFUNCTION("IF(H2953="""","""",
SUM(
ARRAYFORMULA(
IF(
REGEXMATCH(
"" ""&amp;H2953&amp;"" "",
"" ""&amp;Sentiment_Words!B$2:B3730&amp;"" ""
),
1,
0
)
)
)
)"),0.0)</f>
        <v>0</v>
      </c>
      <c r="L2953" s="7" t="str">
        <f t="shared" si="3"/>
        <v>Other</v>
      </c>
      <c r="M2953" s="7" t="str">
        <f t="shared" si="4"/>
        <v>Neutral</v>
      </c>
      <c r="N2953" s="7" t="str">
        <f>IFERROR(__xludf.DUMMYFUNCTION("LOWER(
TRIM(
REGEXREPLACE(B2953,""[^a-zA-Z\s]"","""")
)
)
"),"ken")</f>
        <v>ken</v>
      </c>
      <c r="O2953" s="7">
        <f t="shared" si="5"/>
        <v>3</v>
      </c>
      <c r="P2953" s="8" t="str">
        <f t="shared" si="6"/>
        <v>Yes</v>
      </c>
    </row>
    <row r="2954">
      <c r="A2954" s="4" t="s">
        <v>16</v>
      </c>
      <c r="B2954" s="4" t="s">
        <v>8224</v>
      </c>
      <c r="C2954" s="5">
        <v>44606.0</v>
      </c>
      <c r="D2954" s="10">
        <v>44606.0</v>
      </c>
      <c r="E2954" s="4" t="s">
        <v>8225</v>
      </c>
      <c r="F2954" s="4" t="s">
        <v>331</v>
      </c>
      <c r="G2954" s="6" t="str">
        <f>IFERROR(__xludf.DUMMYFUNCTION("REGEXREPLACE(LOWER(F2954),""[^a-z\s]"","""")"),"none")</f>
        <v>none</v>
      </c>
      <c r="H2954" s="4" t="str">
        <f t="shared" si="1"/>
        <v>none</v>
      </c>
      <c r="I2954" s="6">
        <f t="shared" si="2"/>
        <v>1</v>
      </c>
      <c r="J2954" s="6">
        <f>IFERROR(__xludf.DUMMYFUNCTION("IF(H2954="""","""",
SUM(
ARRAYFORMULA(
IF(
REGEXMATCH(
"" ""&amp;H2954&amp;"" "",
"" ""&amp;Sentiment_Words!A$2:A3730&amp;"" ""
),
1,
0
)
)
)
)"),0.0)</f>
        <v>0</v>
      </c>
      <c r="K2954" s="4">
        <f>IFERROR(__xludf.DUMMYFUNCTION("IF(H2954="""","""",
SUM(
ARRAYFORMULA(
IF(
REGEXMATCH(
"" ""&amp;H2954&amp;"" "",
"" ""&amp;Sentiment_Words!B$2:B3730&amp;"" ""
),
1,
0
)
)
)
)"),0.0)</f>
        <v>0</v>
      </c>
      <c r="L2954" s="7" t="str">
        <f t="shared" si="3"/>
        <v>Other</v>
      </c>
      <c r="M2954" s="7" t="str">
        <f t="shared" si="4"/>
        <v>Neutral</v>
      </c>
      <c r="N2954" s="7" t="str">
        <f>IFERROR(__xludf.DUMMYFUNCTION("LOWER(
TRIM(
REGEXREPLACE(B2954,""[^a-zA-Z\s]"","""")
)
)
"),"kc")</f>
        <v>kc</v>
      </c>
      <c r="O2954" s="7">
        <f t="shared" si="5"/>
        <v>1</v>
      </c>
      <c r="P2954" s="8" t="str">
        <f t="shared" si="6"/>
        <v>No</v>
      </c>
    </row>
    <row r="2955">
      <c r="A2955" s="4" t="s">
        <v>16</v>
      </c>
      <c r="B2955" s="4" t="s">
        <v>8226</v>
      </c>
      <c r="C2955" s="5">
        <v>44606.0</v>
      </c>
      <c r="D2955" s="10">
        <v>44606.0</v>
      </c>
      <c r="E2955" s="4" t="s">
        <v>8227</v>
      </c>
      <c r="F2955" s="4" t="s">
        <v>331</v>
      </c>
      <c r="G2955" s="6" t="str">
        <f>IFERROR(__xludf.DUMMYFUNCTION("REGEXREPLACE(LOWER(F2955),""[^a-z\s]"","""")"),"none")</f>
        <v>none</v>
      </c>
      <c r="H2955" s="4" t="str">
        <f t="shared" si="1"/>
        <v>none</v>
      </c>
      <c r="I2955" s="6">
        <f t="shared" si="2"/>
        <v>1</v>
      </c>
      <c r="J2955" s="6">
        <f>IFERROR(__xludf.DUMMYFUNCTION("IF(H2955="""","""",
SUM(
ARRAYFORMULA(
IF(
REGEXMATCH(
"" ""&amp;H2955&amp;"" "",
"" ""&amp;Sentiment_Words!A$2:A3730&amp;"" ""
),
1,
0
)
)
)
)"),0.0)</f>
        <v>0</v>
      </c>
      <c r="K2955" s="4">
        <f>IFERROR(__xludf.DUMMYFUNCTION("IF(H2955="""","""",
SUM(
ARRAYFORMULA(
IF(
REGEXMATCH(
"" ""&amp;H2955&amp;"" "",
"" ""&amp;Sentiment_Words!B$2:B3730&amp;"" ""
),
1,
0
)
)
)
)"),0.0)</f>
        <v>0</v>
      </c>
      <c r="L2955" s="7" t="str">
        <f t="shared" si="3"/>
        <v>Other</v>
      </c>
      <c r="M2955" s="7" t="str">
        <f t="shared" si="4"/>
        <v>Neutral</v>
      </c>
      <c r="N2955" s="7" t="str">
        <f>IFERROR(__xludf.DUMMYFUNCTION("LOWER(
TRIM(
REGEXREPLACE(B2955,""[^a-zA-Z\s]"","""")
)
)
"),"jaclyn f")</f>
        <v>jaclyn f</v>
      </c>
      <c r="O2955" s="7">
        <f t="shared" si="5"/>
        <v>1</v>
      </c>
      <c r="P2955" s="8" t="str">
        <f t="shared" si="6"/>
        <v>No</v>
      </c>
    </row>
    <row r="2956">
      <c r="A2956" s="4" t="s">
        <v>16</v>
      </c>
      <c r="B2956" s="4" t="s">
        <v>8228</v>
      </c>
      <c r="C2956" s="5">
        <v>44606.0</v>
      </c>
      <c r="D2956" s="10">
        <v>44606.0</v>
      </c>
      <c r="E2956" s="4" t="s">
        <v>8229</v>
      </c>
      <c r="F2956" s="4" t="s">
        <v>331</v>
      </c>
      <c r="G2956" s="6" t="str">
        <f>IFERROR(__xludf.DUMMYFUNCTION("REGEXREPLACE(LOWER(F2956),""[^a-z\s]"","""")"),"none")</f>
        <v>none</v>
      </c>
      <c r="H2956" s="4" t="str">
        <f t="shared" si="1"/>
        <v>none</v>
      </c>
      <c r="I2956" s="6">
        <f t="shared" si="2"/>
        <v>1</v>
      </c>
      <c r="J2956" s="6">
        <f>IFERROR(__xludf.DUMMYFUNCTION("IF(H2956="""","""",
SUM(
ARRAYFORMULA(
IF(
REGEXMATCH(
"" ""&amp;H2956&amp;"" "",
"" ""&amp;Sentiment_Words!A$2:A3730&amp;"" ""
),
1,
0
)
)
)
)"),0.0)</f>
        <v>0</v>
      </c>
      <c r="K2956" s="4">
        <f>IFERROR(__xludf.DUMMYFUNCTION("IF(H2956="""","""",
SUM(
ARRAYFORMULA(
IF(
REGEXMATCH(
"" ""&amp;H2956&amp;"" "",
"" ""&amp;Sentiment_Words!B$2:B3730&amp;"" ""
),
1,
0
)
)
)
)"),0.0)</f>
        <v>0</v>
      </c>
      <c r="L2956" s="7" t="str">
        <f t="shared" si="3"/>
        <v>Other</v>
      </c>
      <c r="M2956" s="7" t="str">
        <f t="shared" si="4"/>
        <v>Neutral</v>
      </c>
      <c r="N2956" s="7" t="str">
        <f>IFERROR(__xludf.DUMMYFUNCTION("LOWER(
TRIM(
REGEXREPLACE(B2956,""[^a-zA-Z\s]"","""")
)
)
"),"dan manchester")</f>
        <v>dan manchester</v>
      </c>
      <c r="O2956" s="7">
        <f t="shared" si="5"/>
        <v>1</v>
      </c>
      <c r="P2956" s="8" t="str">
        <f t="shared" si="6"/>
        <v>No</v>
      </c>
    </row>
    <row r="2957">
      <c r="A2957" s="4" t="s">
        <v>16</v>
      </c>
      <c r="B2957" s="4" t="s">
        <v>8230</v>
      </c>
      <c r="C2957" s="5">
        <v>44606.0</v>
      </c>
      <c r="D2957" s="10">
        <v>44606.0</v>
      </c>
      <c r="E2957" s="4" t="s">
        <v>8231</v>
      </c>
      <c r="F2957" s="4" t="s">
        <v>331</v>
      </c>
      <c r="G2957" s="6" t="str">
        <f>IFERROR(__xludf.DUMMYFUNCTION("REGEXREPLACE(LOWER(F2957),""[^a-z\s]"","""")"),"none")</f>
        <v>none</v>
      </c>
      <c r="H2957" s="4" t="str">
        <f t="shared" si="1"/>
        <v>none</v>
      </c>
      <c r="I2957" s="6">
        <f t="shared" si="2"/>
        <v>1</v>
      </c>
      <c r="J2957" s="6">
        <f>IFERROR(__xludf.DUMMYFUNCTION("IF(H2957="""","""",
SUM(
ARRAYFORMULA(
IF(
REGEXMATCH(
"" ""&amp;H2957&amp;"" "",
"" ""&amp;Sentiment_Words!A$2:A3730&amp;"" ""
),
1,
0
)
)
)
)"),0.0)</f>
        <v>0</v>
      </c>
      <c r="K2957" s="4">
        <f>IFERROR(__xludf.DUMMYFUNCTION("IF(H2957="""","""",
SUM(
ARRAYFORMULA(
IF(
REGEXMATCH(
"" ""&amp;H2957&amp;"" "",
"" ""&amp;Sentiment_Words!B$2:B3730&amp;"" ""
),
1,
0
)
)
)
)"),0.0)</f>
        <v>0</v>
      </c>
      <c r="L2957" s="7" t="str">
        <f t="shared" si="3"/>
        <v>Other</v>
      </c>
      <c r="M2957" s="7" t="str">
        <f t="shared" si="4"/>
        <v>Neutral</v>
      </c>
      <c r="N2957" s="7" t="str">
        <f>IFERROR(__xludf.DUMMYFUNCTION("LOWER(
TRIM(
REGEXREPLACE(B2957,""[^a-zA-Z\s]"","""")
)
)
"),"ron hauser")</f>
        <v>ron hauser</v>
      </c>
      <c r="O2957" s="7">
        <f t="shared" si="5"/>
        <v>1</v>
      </c>
      <c r="P2957" s="8" t="str">
        <f t="shared" si="6"/>
        <v>No</v>
      </c>
    </row>
    <row r="2958">
      <c r="A2958" s="4" t="s">
        <v>16</v>
      </c>
      <c r="B2958" s="4" t="s">
        <v>8232</v>
      </c>
      <c r="C2958" s="5">
        <v>44605.0</v>
      </c>
      <c r="D2958" s="4" t="s">
        <v>8233</v>
      </c>
      <c r="E2958" s="4" t="s">
        <v>8234</v>
      </c>
      <c r="F2958" s="4" t="s">
        <v>8235</v>
      </c>
      <c r="G2958" s="6" t="str">
        <f>IFERROR(__xludf.DUMMYFUNCTION("REGEXREPLACE(LOWER(F2958),""[^a-z\s]"","""")"),"my cat had emergency surgery for bladder stones i had to immediately switch his food and everything was prescription level i couldnt find it anywhere locally this happened over the weekend the price from pet flow was among the lowest i could find if not t"&amp;"he exact same as competitors the ordering process was easy and smooth they had to contact the vet before fulfilling the order i believe it was shipped out within  days of me placing the order if im remembering correctly i received the food within  days of"&amp;" ordering not sure but it seemed very reasonable everything went well and i will continue to order from pet flow in the future
update i was triple charged for a prescription food order suppose to be  was charged for  orders so  also they dont allow you t"&amp;"o take your card off and stop autoship without a customer service agent doing it they take the order then when its time to ship they say its out of stock so no time to prepare ahead and get it somewhere else i had to switch to chewy")</f>
        <v>my cat had emergency surgery for bladder stones i had to immediately switch his food and everything was prescription level i couldnt find it anywhere locally this happened over the weekend the price from pet flow was among the lowest i could find if not the exact same as competitors the ordering process was easy and smooth they had to contact the vet before fulfilling the order i believe it was shipped out within  days of me placing the order if im remembering correctly i received the food within  days of ordering not sure but it seemed very reasonable everything went well and i will continue to order from pet flow in the future
update i was triple charged for a prescription food order suppose to be  was charged for  orders so  also they dont allow you to take your card off and stop autoship without a customer service agent doing it they take the order then when its time to ship they say its out of stock so no time to prepare ahead and get it somewhere else i had to switch to chewy</v>
      </c>
      <c r="H2958" s="4" t="str">
        <f t="shared" si="1"/>
        <v>my cat had emergency surgery bladder stones i had immediately switch his food everything was prescription level i couldnt find it anywhere locally this happened over weekend price from pet flow was among lowest i could find if not exact same as competitors ordering process was easy smooth they had contact vet before fulfilling order i believe it was shipped out within days of me placing order if im remembering correctly i received food within days of ordering not sure but it seemed very reasonable everything went well i will continue order from pet flow in future
update i was triple charged a prescription food order suppose be was charged orders so also they dont allow you take your card off stop autoship without a customer service agent doing it they take order then when its time ship they say its out of stock so no time prepare ahead get it somewhere else i had switch chewy</v>
      </c>
      <c r="I2958" s="6">
        <f t="shared" si="2"/>
        <v>156</v>
      </c>
      <c r="J2958" s="6">
        <f>IFERROR(__xludf.DUMMYFUNCTION("IF(H2958="""","""",
SUM(
ARRAYFORMULA(
IF(
REGEXMATCH(
"" ""&amp;H2958&amp;"" "",
"" ""&amp;Sentiment_Words!A$2:A3730&amp;"" ""
),
1,
0
)
)
)
)"),2.0)</f>
        <v>2</v>
      </c>
      <c r="K2958" s="4">
        <f>IFERROR(__xludf.DUMMYFUNCTION("IF(H2958="""","""",
SUM(
ARRAYFORMULA(
IF(
REGEXMATCH(
"" ""&amp;H2958&amp;"" "",
"" ""&amp;Sentiment_Words!B$2:B3730&amp;"" ""
),
1,
0
)
)
)
)"),2.0)</f>
        <v>2</v>
      </c>
      <c r="L2958" s="7" t="str">
        <f t="shared" si="3"/>
        <v>Customer Support</v>
      </c>
      <c r="M2958" s="7" t="str">
        <f t="shared" si="4"/>
        <v>Neutral</v>
      </c>
      <c r="N2958" s="7" t="str">
        <f>IFERROR(__xludf.DUMMYFUNCTION("LOWER(
TRIM(
REGEXREPLACE(B2958,""[^a-zA-Z\s]"","""")
)
)
"),"ea")</f>
        <v>ea</v>
      </c>
      <c r="O2958" s="7">
        <f t="shared" si="5"/>
        <v>1</v>
      </c>
      <c r="P2958" s="8" t="str">
        <f t="shared" si="6"/>
        <v>No</v>
      </c>
    </row>
    <row r="2959">
      <c r="A2959" s="4" t="s">
        <v>16</v>
      </c>
      <c r="B2959" s="4" t="s">
        <v>8236</v>
      </c>
      <c r="C2959" s="5">
        <v>44605.0</v>
      </c>
      <c r="D2959" s="10">
        <v>44605.0</v>
      </c>
      <c r="E2959" s="4" t="s">
        <v>8237</v>
      </c>
      <c r="F2959" s="4" t="s">
        <v>8238</v>
      </c>
      <c r="G2959" s="6" t="str">
        <f>IFERROR(__xludf.DUMMYFUNCTION("REGEXREPLACE(LOWER(F2959),""[^a-z\s]"","""")"),"the shipment was packed the best that i have seen no bent cans package was far better than other vendors that i have bought from")</f>
        <v>the shipment was packed the best that i have seen no bent cans package was far better than other vendors that i have bought from</v>
      </c>
      <c r="H2959" s="4" t="str">
        <f t="shared" si="1"/>
        <v>shipment was packed best that i have seen no bent cans package was far better than other vendors that i have bought from</v>
      </c>
      <c r="I2959" s="6">
        <f t="shared" si="2"/>
        <v>23</v>
      </c>
      <c r="J2959" s="6">
        <f>IFERROR(__xludf.DUMMYFUNCTION("IF(H2959="""","""",
SUM(
ARRAYFORMULA(
IF(
REGEXMATCH(
"" ""&amp;H2959&amp;"" "",
"" ""&amp;Sentiment_Words!A$2:A3730&amp;"" ""
),
1,
0
)
)
)
)"),0.0)</f>
        <v>0</v>
      </c>
      <c r="K2959" s="4">
        <f>IFERROR(__xludf.DUMMYFUNCTION("IF(H2959="""","""",
SUM(
ARRAYFORMULA(
IF(
REGEXMATCH(
"" ""&amp;H2959&amp;"" "",
"" ""&amp;Sentiment_Words!B$2:B3730&amp;"" ""
),
1,
0
)
)
)
)"),0.0)</f>
        <v>0</v>
      </c>
      <c r="L2959" s="7" t="str">
        <f t="shared" si="3"/>
        <v>Other</v>
      </c>
      <c r="M2959" s="7" t="str">
        <f t="shared" si="4"/>
        <v>Neutral</v>
      </c>
      <c r="N2959" s="7" t="str">
        <f>IFERROR(__xludf.DUMMYFUNCTION("LOWER(
TRIM(
REGEXREPLACE(B2959,""[^a-zA-Z\s]"","""")
)
)
"),"bradley grubbs")</f>
        <v>bradley grubbs</v>
      </c>
      <c r="O2959" s="7">
        <f t="shared" si="5"/>
        <v>1</v>
      </c>
      <c r="P2959" s="8" t="str">
        <f t="shared" si="6"/>
        <v>No</v>
      </c>
    </row>
    <row r="2960">
      <c r="A2960" s="4" t="s">
        <v>16</v>
      </c>
      <c r="B2960" s="4" t="s">
        <v>8239</v>
      </c>
      <c r="C2960" s="5">
        <v>44605.0</v>
      </c>
      <c r="D2960" s="10">
        <v>44605.0</v>
      </c>
      <c r="E2960" s="4" t="s">
        <v>8240</v>
      </c>
      <c r="F2960" s="4" t="s">
        <v>8241</v>
      </c>
      <c r="G2960" s="6" t="str">
        <f>IFERROR(__xludf.DUMMYFUNCTION("REGEXREPLACE(LOWER(F2960),""[^a-z\s]"","""")"),"i have been using auto ship with this company for quite sometime and have liked the product for my dogs recently tho the food we choose has been out of stock and this disappointing hopefully this will be in stock again soon")</f>
        <v>i have been using auto ship with this company for quite sometime and have liked the product for my dogs recently tho the food we choose has been out of stock and this disappointing hopefully this will be in stock again soon</v>
      </c>
      <c r="H2960" s="4" t="str">
        <f t="shared" si="1"/>
        <v>i have been using auto ship with this company quite sometime have liked product my dogs recently tho food we choose has been out of stock this disappointing hopefully this will be in stock again soon</v>
      </c>
      <c r="I2960" s="6">
        <f t="shared" si="2"/>
        <v>36</v>
      </c>
      <c r="J2960" s="6">
        <f>IFERROR(__xludf.DUMMYFUNCTION("IF(H2960="""","""",
SUM(
ARRAYFORMULA(
IF(
REGEXMATCH(
"" ""&amp;H2960&amp;"" "",
"" ""&amp;Sentiment_Words!A$2:A3730&amp;"" ""
),
1,
0
)
)
)
)"),1.0)</f>
        <v>1</v>
      </c>
      <c r="K2960" s="4">
        <f>IFERROR(__xludf.DUMMYFUNCTION("IF(H2960="""","""",
SUM(
ARRAYFORMULA(
IF(
REGEXMATCH(
"" ""&amp;H2960&amp;"" "",
"" ""&amp;Sentiment_Words!B$2:B3730&amp;"" ""
),
1,
0
)
)
)
)"),1.0)</f>
        <v>1</v>
      </c>
      <c r="L2960" s="7" t="str">
        <f t="shared" si="3"/>
        <v>Availability</v>
      </c>
      <c r="M2960" s="7" t="str">
        <f t="shared" si="4"/>
        <v>Neutral</v>
      </c>
      <c r="N2960" s="7" t="str">
        <f>IFERROR(__xludf.DUMMYFUNCTION("LOWER(
TRIM(
REGEXREPLACE(B2960,""[^a-zA-Z\s]"","""")
)
)
"),"michael g")</f>
        <v>michael g</v>
      </c>
      <c r="O2960" s="7">
        <f t="shared" si="5"/>
        <v>2</v>
      </c>
      <c r="P2960" s="8" t="str">
        <f t="shared" si="6"/>
        <v>Yes</v>
      </c>
    </row>
    <row r="2961">
      <c r="A2961" s="4" t="s">
        <v>16</v>
      </c>
      <c r="B2961" s="4" t="s">
        <v>8242</v>
      </c>
      <c r="C2961" s="5">
        <v>44605.0</v>
      </c>
      <c r="D2961" s="10">
        <v>44605.0</v>
      </c>
      <c r="E2961" s="4" t="s">
        <v>8243</v>
      </c>
      <c r="F2961" s="4" t="s">
        <v>8244</v>
      </c>
      <c r="G2961" s="6" t="str">
        <f>IFERROR(__xludf.DUMMYFUNCTION("REGEXREPLACE(LOWER(F2961),""[^a-z\s]"","""")"),"my papillons love fromm duck  veg i mixed it with their old dry food  they would sit  pick out the fromm duck")</f>
        <v>my papillons love fromm duck  veg i mixed it with their old dry food  they would sit  pick out the fromm duck</v>
      </c>
      <c r="H2961" s="4" t="str">
        <f t="shared" si="1"/>
        <v>my papillons love fromm duck veg i mixed it with their old dry food they would sit pick out fromm duck</v>
      </c>
      <c r="I2961" s="6">
        <f t="shared" si="2"/>
        <v>21</v>
      </c>
      <c r="J2961" s="6">
        <f>IFERROR(__xludf.DUMMYFUNCTION("IF(H2961="""","""",
SUM(
ARRAYFORMULA(
IF(
REGEXMATCH(
"" ""&amp;H2961&amp;"" "",
"" ""&amp;Sentiment_Words!A$2:A3730&amp;"" ""
),
1,
0
)
)
)
)"),1.0)</f>
        <v>1</v>
      </c>
      <c r="K2961" s="4">
        <f>IFERROR(__xludf.DUMMYFUNCTION("IF(H2961="""","""",
SUM(
ARRAYFORMULA(
IF(
REGEXMATCH(
"" ""&amp;H2961&amp;"" "",
"" ""&amp;Sentiment_Words!B$2:B3730&amp;"" ""
),
1,
0
)
)
)
)"),0.0)</f>
        <v>0</v>
      </c>
      <c r="L2961" s="7" t="str">
        <f t="shared" si="3"/>
        <v>Other</v>
      </c>
      <c r="M2961" s="7" t="str">
        <f t="shared" si="4"/>
        <v>Positive</v>
      </c>
      <c r="N2961" s="7" t="str">
        <f>IFERROR(__xludf.DUMMYFUNCTION("LOWER(
TRIM(
REGEXREPLACE(B2961,""[^a-zA-Z\s]"","""")
)
)
"),"customer sally")</f>
        <v>customer sally</v>
      </c>
      <c r="O2961" s="7">
        <f t="shared" si="5"/>
        <v>1</v>
      </c>
      <c r="P2961" s="8" t="str">
        <f t="shared" si="6"/>
        <v>No</v>
      </c>
    </row>
    <row r="2962">
      <c r="A2962" s="4" t="s">
        <v>16</v>
      </c>
      <c r="B2962" s="4" t="s">
        <v>8245</v>
      </c>
      <c r="C2962" s="5">
        <v>44605.0</v>
      </c>
      <c r="D2962" s="10">
        <v>44605.0</v>
      </c>
      <c r="E2962" s="4" t="s">
        <v>8246</v>
      </c>
      <c r="F2962" s="4" t="s">
        <v>8247</v>
      </c>
      <c r="G2962" s="6" t="str">
        <f>IFERROR(__xludf.DUMMYFUNCTION("REGEXREPLACE(LOWER(F2962),""[^a-z\s]"","""")"),"the order was filled as promised i ordered aquarium supplies gravel and lighting and arrived as ordered shipping was a little slow but there were delays due to weather from fedex the new jersey warehouse was out of one of the items i ordered but quickly f"&amp;"illed the order via the las vegas warehouse thank you petflow good job")</f>
        <v>the order was filled as promised i ordered aquarium supplies gravel and lighting and arrived as ordered shipping was a little slow but there were delays due to weather from fedex the new jersey warehouse was out of one of the items i ordered but quickly filled the order via the las vegas warehouse thank you petflow good job</v>
      </c>
      <c r="H2962" s="4" t="str">
        <f t="shared" si="1"/>
        <v>order was filled as promised i ordered aquarium supplies gravel lighting arrived as ordered shipping was a little slow but there were delays due weather from fedex new jersey warehouse was out of one of items i ordered but quickly filled order via las vegas warehouse thank you petflow good job</v>
      </c>
      <c r="I2962" s="6">
        <f t="shared" si="2"/>
        <v>51</v>
      </c>
      <c r="J2962" s="6">
        <f>IFERROR(__xludf.DUMMYFUNCTION("IF(H2962="""","""",
SUM(
ARRAYFORMULA(
IF(
REGEXMATCH(
"" ""&amp;H2962&amp;"" "",
"" ""&amp;Sentiment_Words!A$2:A3730&amp;"" ""
),
1,
0
)
)
)
)"),1.0)</f>
        <v>1</v>
      </c>
      <c r="K2962" s="4">
        <f>IFERROR(__xludf.DUMMYFUNCTION("IF(H2962="""","""",
SUM(
ARRAYFORMULA(
IF(
REGEXMATCH(
"" ""&amp;H2962&amp;"" "",
"" ""&amp;Sentiment_Words!B$2:B3730&amp;"" ""
),
1,
0
)
)
)
)"),0.0)</f>
        <v>0</v>
      </c>
      <c r="L2962" s="7" t="str">
        <f t="shared" si="3"/>
        <v>Fulfillment &amp; Shipping</v>
      </c>
      <c r="M2962" s="7" t="str">
        <f t="shared" si="4"/>
        <v>Positive</v>
      </c>
      <c r="N2962" s="7" t="str">
        <f>IFERROR(__xludf.DUMMYFUNCTION("LOWER(
TRIM(
REGEXREPLACE(B2962,""[^a-zA-Z\s]"","""")
)
)
"),"lee rundall")</f>
        <v>lee rundall</v>
      </c>
      <c r="O2962" s="7">
        <f t="shared" si="5"/>
        <v>1</v>
      </c>
      <c r="P2962" s="8" t="str">
        <f t="shared" si="6"/>
        <v>No</v>
      </c>
    </row>
    <row r="2963">
      <c r="A2963" s="4" t="s">
        <v>16</v>
      </c>
      <c r="B2963" s="4" t="s">
        <v>8248</v>
      </c>
      <c r="C2963" s="5">
        <v>44605.0</v>
      </c>
      <c r="D2963" s="10">
        <v>44605.0</v>
      </c>
      <c r="E2963" s="4" t="s">
        <v>1319</v>
      </c>
      <c r="F2963" s="4" t="s">
        <v>8249</v>
      </c>
      <c r="G2963" s="6" t="str">
        <f>IFERROR(__xludf.DUMMYFUNCTION("REGEXREPLACE(LOWER(F2963),""[^a-z\s]"","""")"),"petflow provides everything i need for my senior dog nora prices are competitive items are in stock quick delivery and outstanding customer service we are happy and loyal customers")</f>
        <v>petflow provides everything i need for my senior dog nora prices are competitive items are in stock quick delivery and outstanding customer service we are happy and loyal customers</v>
      </c>
      <c r="H2963" s="4" t="str">
        <f t="shared" si="1"/>
        <v>petflow provides everything i need my senior dog nora prices are competitive items are in stock quick delivery outstanding customer service we are happy loyal customers</v>
      </c>
      <c r="I2963" s="6">
        <f t="shared" si="2"/>
        <v>26</v>
      </c>
      <c r="J2963" s="6">
        <f>IFERROR(__xludf.DUMMYFUNCTION("IF(H2963="""","""",
SUM(
ARRAYFORMULA(
IF(
REGEXMATCH(
"" ""&amp;H2963&amp;"" "",
"" ""&amp;Sentiment_Words!A$2:A3730&amp;"" ""
),
1,
0
)
)
)
)"),2.0)</f>
        <v>2</v>
      </c>
      <c r="K2963" s="4">
        <f>IFERROR(__xludf.DUMMYFUNCTION("IF(H2963="""","""",
SUM(
ARRAYFORMULA(
IF(
REGEXMATCH(
"" ""&amp;H2963&amp;"" "",
"" ""&amp;Sentiment_Words!B$2:B3730&amp;"" ""
),
1,
0
)
)
)
)"),1.0)</f>
        <v>1</v>
      </c>
      <c r="L2963" s="7" t="str">
        <f t="shared" si="3"/>
        <v>Customer Support</v>
      </c>
      <c r="M2963" s="7" t="str">
        <f t="shared" si="4"/>
        <v>Positive</v>
      </c>
      <c r="N2963" s="7" t="str">
        <f>IFERROR(__xludf.DUMMYFUNCTION("LOWER(
TRIM(
REGEXREPLACE(B2963,""[^a-zA-Z\s]"","""")
)
)
"),"elizabeth caruso")</f>
        <v>elizabeth caruso</v>
      </c>
      <c r="O2963" s="7">
        <f t="shared" si="5"/>
        <v>1</v>
      </c>
      <c r="P2963" s="8" t="str">
        <f t="shared" si="6"/>
        <v>No</v>
      </c>
    </row>
    <row r="2964">
      <c r="A2964" s="4" t="s">
        <v>16</v>
      </c>
      <c r="B2964" s="4" t="s">
        <v>8250</v>
      </c>
      <c r="C2964" s="5">
        <v>44605.0</v>
      </c>
      <c r="D2964" s="10">
        <v>44605.0</v>
      </c>
      <c r="E2964" s="4" t="s">
        <v>8251</v>
      </c>
      <c r="F2964" s="4" t="s">
        <v>8252</v>
      </c>
      <c r="G2964" s="6" t="str">
        <f>IFERROR(__xludf.DUMMYFUNCTION("REGEXREPLACE(LOWER(F2964),""[^a-z\s]"","""")"),"i ordered cat food
the order didnt go through  petflow said that the vet didnt think they were a reputable vendor
never heard that before")</f>
        <v>i ordered cat food
the order didnt go through  petflow said that the vet didnt think they were a reputable vendor
never heard that before</v>
      </c>
      <c r="H2964" s="4" t="str">
        <f t="shared" si="1"/>
        <v>i ordered cat food
the order didnt go through petflow said that vet didnt think they were a reputable vendor
never heard that before</v>
      </c>
      <c r="I2964" s="6">
        <f t="shared" si="2"/>
        <v>22</v>
      </c>
      <c r="J2964" s="6">
        <f>IFERROR(__xludf.DUMMYFUNCTION("IF(H2964="""","""",
SUM(
ARRAYFORMULA(
IF(
REGEXMATCH(
"" ""&amp;H2964&amp;"" "",
"" ""&amp;Sentiment_Words!A$2:A3730&amp;"" ""
),
1,
0
)
)
)
)"),0.0)</f>
        <v>0</v>
      </c>
      <c r="K2964" s="4">
        <f>IFERROR(__xludf.DUMMYFUNCTION("IF(H2964="""","""",
SUM(
ARRAYFORMULA(
IF(
REGEXMATCH(
"" ""&amp;H2964&amp;"" "",
"" ""&amp;Sentiment_Words!B$2:B3730&amp;"" ""
),
1,
0
)
)
)
)"),0.0)</f>
        <v>0</v>
      </c>
      <c r="L2964" s="7" t="str">
        <f t="shared" si="3"/>
        <v>Other</v>
      </c>
      <c r="M2964" s="7" t="str">
        <f t="shared" si="4"/>
        <v>Neutral</v>
      </c>
      <c r="N2964" s="7" t="str">
        <f>IFERROR(__xludf.DUMMYFUNCTION("LOWER(
TRIM(
REGEXREPLACE(B2964,""[^a-zA-Z\s]"","""")
)
)
"),"msnora")</f>
        <v>msnora</v>
      </c>
      <c r="O2964" s="7">
        <f t="shared" si="5"/>
        <v>1</v>
      </c>
      <c r="P2964" s="8" t="str">
        <f t="shared" si="6"/>
        <v>No</v>
      </c>
    </row>
    <row r="2965">
      <c r="A2965" s="4" t="s">
        <v>16</v>
      </c>
      <c r="B2965" s="4" t="s">
        <v>8253</v>
      </c>
      <c r="C2965" s="5">
        <v>44605.0</v>
      </c>
      <c r="D2965" s="10">
        <v>44605.0</v>
      </c>
      <c r="E2965" s="4" t="s">
        <v>8254</v>
      </c>
      <c r="F2965" s="4" t="s">
        <v>8255</v>
      </c>
      <c r="G2965" s="6" t="str">
        <f>IFERROR(__xludf.DUMMYFUNCTION("REGEXREPLACE(LOWER(F2965),""[^a-z\s]"","""")"),"have been using petflow for years
love the price and free delivery phone staff are always friendly products are what i want for my furrbabbies usually get them a toy great selection")</f>
        <v>have been using petflow for years
love the price and free delivery phone staff are always friendly products are what i want for my furrbabbies usually get them a toy great selection</v>
      </c>
      <c r="H2965" s="4" t="str">
        <f t="shared" si="1"/>
        <v>have been using petflow years
love price free delivery phone staff are always friendly products are what i want my furrbabbies usually get them a toy great selection</v>
      </c>
      <c r="I2965" s="6">
        <f t="shared" si="2"/>
        <v>27</v>
      </c>
      <c r="J2965" s="6">
        <f>IFERROR(__xludf.DUMMYFUNCTION("IF(H2965="""","""",
SUM(
ARRAYFORMULA(
IF(
REGEXMATCH(
"" ""&amp;H2965&amp;"" "",
"" ""&amp;Sentiment_Words!A$2:A3730&amp;"" ""
),
1,
0
)
)
)
)"),1.0)</f>
        <v>1</v>
      </c>
      <c r="K2965" s="4">
        <f>IFERROR(__xludf.DUMMYFUNCTION("IF(H2965="""","""",
SUM(
ARRAYFORMULA(
IF(
REGEXMATCH(
"" ""&amp;H2965&amp;"" "",
"" ""&amp;Sentiment_Words!B$2:B3730&amp;"" ""
),
1,
0
)
)
)
)"),0.0)</f>
        <v>0</v>
      </c>
      <c r="L2965" s="7" t="str">
        <f t="shared" si="3"/>
        <v>Other</v>
      </c>
      <c r="M2965" s="7" t="str">
        <f t="shared" si="4"/>
        <v>Positive</v>
      </c>
      <c r="N2965" s="7" t="str">
        <f>IFERROR(__xludf.DUMMYFUNCTION("LOWER(
TRIM(
REGEXREPLACE(B2965,""[^a-zA-Z\s]"","""")
)
)
"),"avi")</f>
        <v>avi</v>
      </c>
      <c r="O2965" s="7">
        <f t="shared" si="5"/>
        <v>1</v>
      </c>
      <c r="P2965" s="8" t="str">
        <f t="shared" si="6"/>
        <v>No</v>
      </c>
    </row>
    <row r="2966">
      <c r="A2966" s="4" t="s">
        <v>16</v>
      </c>
      <c r="B2966" s="4" t="s">
        <v>8256</v>
      </c>
      <c r="C2966" s="5">
        <v>44605.0</v>
      </c>
      <c r="D2966" s="10">
        <v>44605.0</v>
      </c>
      <c r="E2966" s="4" t="s">
        <v>8257</v>
      </c>
      <c r="F2966" s="4" t="s">
        <v>8258</v>
      </c>
      <c r="G2966" s="6" t="str">
        <f>IFERROR(__xludf.DUMMYFUNCTION("REGEXREPLACE(LOWER(F2966),""[^a-z\s]"","""")"),"website listed my cats prescription cat food as available so i ordered it several days later i receive notice that it is out of stock so now my cat has to go a few days without her prescription cat food this was my first time using your company and it wil"&amp;"l most likely be the last")</f>
        <v>website listed my cats prescription cat food as available so i ordered it several days later i receive notice that it is out of stock so now my cat has to go a few days without her prescription cat food this was my first time using your company and it will most likely be the last</v>
      </c>
      <c r="H2966" s="4" t="str">
        <f t="shared" si="1"/>
        <v>website listed my cats prescription cat food as available so i ordered it several days later i receive notice that it out of stock so now my cat has go a few days without her prescription cat food this was my first time using your company it will most likely be last</v>
      </c>
      <c r="I2966" s="6">
        <f t="shared" si="2"/>
        <v>52</v>
      </c>
      <c r="J2966" s="6">
        <f>IFERROR(__xludf.DUMMYFUNCTION("IF(H2966="""","""",
SUM(
ARRAYFORMULA(
IF(
REGEXMATCH(
"" ""&amp;H2966&amp;"" "",
"" ""&amp;Sentiment_Words!A$2:A3730&amp;"" ""
),
1,
0
)
)
)
)"),1.0)</f>
        <v>1</v>
      </c>
      <c r="K2966" s="4">
        <f>IFERROR(__xludf.DUMMYFUNCTION("IF(H2966="""","""",
SUM(
ARRAYFORMULA(
IF(
REGEXMATCH(
"" ""&amp;H2966&amp;"" "",
"" ""&amp;Sentiment_Words!B$2:B3730&amp;"" ""
),
1,
0
)
)
)
)"),1.0)</f>
        <v>1</v>
      </c>
      <c r="L2966" s="7" t="str">
        <f t="shared" si="3"/>
        <v>Fulfillment &amp; Shipping</v>
      </c>
      <c r="M2966" s="7" t="str">
        <f t="shared" si="4"/>
        <v>Neutral</v>
      </c>
      <c r="N2966" s="7" t="str">
        <f>IFERROR(__xludf.DUMMYFUNCTION("LOWER(
TRIM(
REGEXREPLACE(B2966,""[^a-zA-Z\s]"","""")
)
)
"),"sharon eagle")</f>
        <v>sharon eagle</v>
      </c>
      <c r="O2966" s="7">
        <f t="shared" si="5"/>
        <v>1</v>
      </c>
      <c r="P2966" s="8" t="str">
        <f t="shared" si="6"/>
        <v>No</v>
      </c>
    </row>
    <row r="2967">
      <c r="A2967" s="4" t="s">
        <v>16</v>
      </c>
      <c r="B2967" s="4" t="s">
        <v>8259</v>
      </c>
      <c r="C2967" s="5">
        <v>44605.0</v>
      </c>
      <c r="D2967" s="10">
        <v>44605.0</v>
      </c>
      <c r="E2967" s="4" t="s">
        <v>8260</v>
      </c>
      <c r="F2967" s="4" t="s">
        <v>8261</v>
      </c>
      <c r="G2967" s="6" t="str">
        <f>IFERROR(__xludf.DUMMYFUNCTION("REGEXREPLACE(LOWER(F2967),""[^a-z\s]"","""")"),"very nice company to work with ")</f>
        <v>very nice company to work with </v>
      </c>
      <c r="H2967" s="4" t="str">
        <f t="shared" si="1"/>
        <v>very nice company work with</v>
      </c>
      <c r="I2967" s="6">
        <f t="shared" si="2"/>
        <v>5</v>
      </c>
      <c r="J2967" s="6">
        <f>IFERROR(__xludf.DUMMYFUNCTION("IF(H2967="""","""",
SUM(
ARRAYFORMULA(
IF(
REGEXMATCH(
"" ""&amp;H2967&amp;"" "",
"" ""&amp;Sentiment_Words!A$2:A3730&amp;"" ""
),
1,
0
)
)
)
)"),0.0)</f>
        <v>0</v>
      </c>
      <c r="K2967" s="4">
        <f>IFERROR(__xludf.DUMMYFUNCTION("IF(H2967="""","""",
SUM(
ARRAYFORMULA(
IF(
REGEXMATCH(
"" ""&amp;H2967&amp;"" "",
"" ""&amp;Sentiment_Words!B$2:B3730&amp;"" ""
),
1,
0
)
)
)
)"),0.0)</f>
        <v>0</v>
      </c>
      <c r="L2967" s="7" t="str">
        <f t="shared" si="3"/>
        <v>Other</v>
      </c>
      <c r="M2967" s="7" t="str">
        <f t="shared" si="4"/>
        <v>Neutral</v>
      </c>
      <c r="N2967" s="7" t="str">
        <f>IFERROR(__xludf.DUMMYFUNCTION("LOWER(
TRIM(
REGEXREPLACE(B2967,""[^a-zA-Z\s]"","""")
)
)
"),"anne h san antonio tx")</f>
        <v>anne h san antonio tx</v>
      </c>
      <c r="O2967" s="7">
        <f t="shared" si="5"/>
        <v>1</v>
      </c>
      <c r="P2967" s="8" t="str">
        <f t="shared" si="6"/>
        <v>No</v>
      </c>
    </row>
    <row r="2968">
      <c r="A2968" s="4" t="s">
        <v>16</v>
      </c>
      <c r="B2968" s="4" t="s">
        <v>8262</v>
      </c>
      <c r="C2968" s="5">
        <v>44605.0</v>
      </c>
      <c r="D2968" s="10">
        <v>44605.0</v>
      </c>
      <c r="E2968" s="4" t="s">
        <v>8263</v>
      </c>
      <c r="F2968" s="4" t="s">
        <v>8264</v>
      </c>
      <c r="G2968" s="6" t="str">
        <f>IFERROR(__xludf.DUMMYFUNCTION("REGEXREPLACE(LOWER(F2968),""[^a-z\s]"","""")"),"i was very pleased with the order that i received and how promptly it was delivered and i certainly recommend this company for your pets food ordering online was very simple and id say i received my shipment within maybe less than a week after i placed th"&amp;"e order and theyre a pleasure to deal with")</f>
        <v>i was very pleased with the order that i received and how promptly it was delivered and i certainly recommend this company for your pets food ordering online was very simple and id say i received my shipment within maybe less than a week after i placed the order and theyre a pleasure to deal with</v>
      </c>
      <c r="H2968" s="4" t="str">
        <f t="shared" si="1"/>
        <v>i was very pleased with order that i received how promptly it was delivered i certainly recommend this company your pets food ordering online was very simple id say i received my shipment within maybe less than a week after i placed order theyre a pleasure deal with</v>
      </c>
      <c r="I2968" s="6">
        <f t="shared" si="2"/>
        <v>48</v>
      </c>
      <c r="J2968" s="6">
        <f>IFERROR(__xludf.DUMMYFUNCTION("IF(H2968="""","""",
SUM(
ARRAYFORMULA(
IF(
REGEXMATCH(
"" ""&amp;H2968&amp;"" "",
"" ""&amp;Sentiment_Words!A$2:A3730&amp;"" ""
),
1,
0
)
)
)
)"),1.0)</f>
        <v>1</v>
      </c>
      <c r="K2968" s="4">
        <f>IFERROR(__xludf.DUMMYFUNCTION("IF(H2968="""","""",
SUM(
ARRAYFORMULA(
IF(
REGEXMATCH(
"" ""&amp;H2968&amp;"" "",
"" ""&amp;Sentiment_Words!B$2:B3730&amp;"" ""
),
1,
0
)
)
)
)"),0.0)</f>
        <v>0</v>
      </c>
      <c r="L2968" s="7" t="str">
        <f t="shared" si="3"/>
        <v>Other</v>
      </c>
      <c r="M2968" s="7" t="str">
        <f t="shared" si="4"/>
        <v>Positive</v>
      </c>
      <c r="N2968" s="7" t="str">
        <f>IFERROR(__xludf.DUMMYFUNCTION("LOWER(
TRIM(
REGEXREPLACE(B2968,""[^a-zA-Z\s]"","""")
)
)
"),"susan smith")</f>
        <v>susan smith</v>
      </c>
      <c r="O2968" s="7">
        <f t="shared" si="5"/>
        <v>1</v>
      </c>
      <c r="P2968" s="8" t="str">
        <f t="shared" si="6"/>
        <v>No</v>
      </c>
    </row>
    <row r="2969">
      <c r="A2969" s="4" t="s">
        <v>16</v>
      </c>
      <c r="B2969" s="4" t="s">
        <v>8265</v>
      </c>
      <c r="C2969" s="5">
        <v>44605.0</v>
      </c>
      <c r="D2969" s="10">
        <v>44605.0</v>
      </c>
      <c r="E2969" s="4" t="s">
        <v>8266</v>
      </c>
      <c r="F2969" s="4" t="s">
        <v>8267</v>
      </c>
      <c r="G2969" s="6" t="str">
        <f>IFERROR(__xludf.DUMMYFUNCTION("REGEXREPLACE(LOWER(F2969),""[^a-z\s]"","""")"),"available inventory and good pricing made this the go to choice to feed my pets")</f>
        <v>available inventory and good pricing made this the go to choice to feed my pets</v>
      </c>
      <c r="H2969" s="4" t="str">
        <f t="shared" si="1"/>
        <v>available inventory good pricing made this go choice feed my pets</v>
      </c>
      <c r="I2969" s="6">
        <f t="shared" si="2"/>
        <v>11</v>
      </c>
      <c r="J2969" s="6">
        <f>IFERROR(__xludf.DUMMYFUNCTION("IF(H2969="""","""",
SUM(
ARRAYFORMULA(
IF(
REGEXMATCH(
"" ""&amp;H2969&amp;"" "",
"" ""&amp;Sentiment_Words!A$2:A3730&amp;"" ""
),
1,
0
)
)
)
)"),2.0)</f>
        <v>2</v>
      </c>
      <c r="K2969" s="4">
        <f>IFERROR(__xludf.DUMMYFUNCTION("IF(H2969="""","""",
SUM(
ARRAYFORMULA(
IF(
REGEXMATCH(
"" ""&amp;H2969&amp;"" "",
"" ""&amp;Sentiment_Words!B$2:B3730&amp;"" ""
),
1,
0
)
)
)
)"),0.0)</f>
        <v>0</v>
      </c>
      <c r="L2969" s="7" t="str">
        <f t="shared" si="3"/>
        <v>Other</v>
      </c>
      <c r="M2969" s="7" t="str">
        <f t="shared" si="4"/>
        <v>Positive</v>
      </c>
      <c r="N2969" s="7" t="str">
        <f>IFERROR(__xludf.DUMMYFUNCTION("LOWER(
TRIM(
REGEXREPLACE(B2969,""[^a-zA-Z\s]"","""")
)
)
"),"shari costaney")</f>
        <v>shari costaney</v>
      </c>
      <c r="O2969" s="7">
        <f t="shared" si="5"/>
        <v>1</v>
      </c>
      <c r="P2969" s="8" t="str">
        <f t="shared" si="6"/>
        <v>No</v>
      </c>
    </row>
    <row r="2970">
      <c r="A2970" s="4" t="s">
        <v>16</v>
      </c>
      <c r="B2970" s="4" t="s">
        <v>8268</v>
      </c>
      <c r="C2970" s="5">
        <v>44604.0</v>
      </c>
      <c r="D2970" s="10">
        <v>44605.0</v>
      </c>
      <c r="E2970" s="4" t="s">
        <v>8269</v>
      </c>
      <c r="F2970" s="4" t="s">
        <v>8270</v>
      </c>
      <c r="G2970" s="6" t="str">
        <f>IFERROR(__xludf.DUMMYFUNCTION("REGEXREPLACE(LOWER(F2970),""[^a-z\s]"","""")"),"i like shopping at petflow have been doing it for over  years and like ordering nutrisource dog food since they are probably the only ones that carry it online lately ive been taking advantage of their  discount on nutrisource but on the negative side my "&amp;"last bag came with about an inch slit on the bag this is about the rd time it happens in  years")</f>
        <v>i like shopping at petflow have been doing it for over  years and like ordering nutrisource dog food since they are probably the only ones that carry it online lately ive been taking advantage of their  discount on nutrisource but on the negative side my last bag came with about an inch slit on the bag this is about the rd time it happens in  years</v>
      </c>
      <c r="H2970" s="4" t="str">
        <f t="shared" si="1"/>
        <v>i like shopping at petflow have been doing it over years like ordering nutrisource dog food since they are probably only ones that carry it online lately ive been taking advantage of their discount on nutrisource but on negative side my last bag came with about an inch slit on bag this about rd time it happens in years</v>
      </c>
      <c r="I2970" s="6">
        <f t="shared" si="2"/>
        <v>59</v>
      </c>
      <c r="J2970" s="6">
        <f>IFERROR(__xludf.DUMMYFUNCTION("IF(H2970="""","""",
SUM(
ARRAYFORMULA(
IF(
REGEXMATCH(
"" ""&amp;H2970&amp;"" "",
"" ""&amp;Sentiment_Words!A$2:A3730&amp;"" ""
),
1,
0
)
)
)
)"),0.0)</f>
        <v>0</v>
      </c>
      <c r="K2970" s="4">
        <f>IFERROR(__xludf.DUMMYFUNCTION("IF(H2970="""","""",
SUM(
ARRAYFORMULA(
IF(
REGEXMATCH(
"" ""&amp;H2970&amp;"" "",
"" ""&amp;Sentiment_Words!B$2:B3730&amp;"" ""
),
1,
0
)
)
)
)"),0.0)</f>
        <v>0</v>
      </c>
      <c r="L2970" s="7" t="str">
        <f t="shared" si="3"/>
        <v>Fulfillment &amp; Shipping</v>
      </c>
      <c r="M2970" s="7" t="str">
        <f t="shared" si="4"/>
        <v>Neutral</v>
      </c>
      <c r="N2970" s="7" t="str">
        <f>IFERROR(__xludf.DUMMYFUNCTION("LOWER(
TRIM(
REGEXREPLACE(B2970,""[^a-zA-Z\s]"","""")
)
)
"),"lydio demaala")</f>
        <v>lydio demaala</v>
      </c>
      <c r="O2970" s="7">
        <f t="shared" si="5"/>
        <v>1</v>
      </c>
      <c r="P2970" s="8" t="str">
        <f t="shared" si="6"/>
        <v>No</v>
      </c>
    </row>
    <row r="2971">
      <c r="A2971" s="4" t="s">
        <v>16</v>
      </c>
      <c r="B2971" s="4" t="s">
        <v>8271</v>
      </c>
      <c r="C2971" s="5">
        <v>44604.0</v>
      </c>
      <c r="D2971" s="10">
        <v>44604.0</v>
      </c>
      <c r="E2971" s="4" t="s">
        <v>8272</v>
      </c>
      <c r="F2971" s="4" t="s">
        <v>8273</v>
      </c>
      <c r="G2971" s="6" t="str">
        <f>IFERROR(__xludf.DUMMYFUNCTION("REGEXREPLACE(LOWER(F2971),""[^a-z\s]"","""")"),"you had my hard to find food
i like your tracking method
arrived timely")</f>
        <v>you had my hard to find food
i like your tracking method
arrived timely</v>
      </c>
      <c r="H2971" s="4" t="str">
        <f t="shared" si="1"/>
        <v>you had my hard find food
i like your tracking method
arrived timely</v>
      </c>
      <c r="I2971" s="6">
        <f t="shared" si="2"/>
        <v>11</v>
      </c>
      <c r="J2971" s="6">
        <f>IFERROR(__xludf.DUMMYFUNCTION("IF(H2971="""","""",
SUM(
ARRAYFORMULA(
IF(
REGEXMATCH(
"" ""&amp;H2971&amp;"" "",
"" ""&amp;Sentiment_Words!A$2:A3730&amp;"" ""
),
1,
0
)
)
)
)"),0.0)</f>
        <v>0</v>
      </c>
      <c r="K2971" s="4">
        <f>IFERROR(__xludf.DUMMYFUNCTION("IF(H2971="""","""",
SUM(
ARRAYFORMULA(
IF(
REGEXMATCH(
"" ""&amp;H2971&amp;"" "",
"" ""&amp;Sentiment_Words!B$2:B3730&amp;"" ""
),
1,
0
)
)
)
)"),0.0)</f>
        <v>0</v>
      </c>
      <c r="L2971" s="7" t="str">
        <f t="shared" si="3"/>
        <v>Other</v>
      </c>
      <c r="M2971" s="7" t="str">
        <f t="shared" si="4"/>
        <v>Neutral</v>
      </c>
      <c r="N2971" s="7" t="str">
        <f>IFERROR(__xludf.DUMMYFUNCTION("LOWER(
TRIM(
REGEXREPLACE(B2971,""[^a-zA-Z\s]"","""")
)
)
"),"mg ny")</f>
        <v>mg ny</v>
      </c>
      <c r="O2971" s="7">
        <f t="shared" si="5"/>
        <v>1</v>
      </c>
      <c r="P2971" s="8" t="str">
        <f t="shared" si="6"/>
        <v>No</v>
      </c>
    </row>
    <row r="2972">
      <c r="A2972" s="4" t="s">
        <v>16</v>
      </c>
      <c r="B2972" s="4" t="s">
        <v>8274</v>
      </c>
      <c r="C2972" s="5">
        <v>44604.0</v>
      </c>
      <c r="D2972" s="10">
        <v>44604.0</v>
      </c>
      <c r="E2972" s="4" t="s">
        <v>8275</v>
      </c>
      <c r="F2972" s="4" t="s">
        <v>8276</v>
      </c>
      <c r="G2972" s="6" t="str">
        <f>IFERROR(__xludf.DUMMYFUNCTION("REGEXREPLACE(LOWER(F2972),""[^a-z\s]"","""")"),"lady who took my order was very professional knowledgeable helpful and caring she placed my order fast and without any trouble great experience")</f>
        <v>lady who took my order was very professional knowledgeable helpful and caring she placed my order fast and without any trouble great experience</v>
      </c>
      <c r="H2972" s="4" t="str">
        <f t="shared" si="1"/>
        <v>lady who took my order was very professional knowledgeable helpful caring she placed my order fast without any trouble great experience</v>
      </c>
      <c r="I2972" s="6">
        <f t="shared" si="2"/>
        <v>21</v>
      </c>
      <c r="J2972" s="6">
        <f>IFERROR(__xludf.DUMMYFUNCTION("IF(H2972="""","""",
SUM(
ARRAYFORMULA(
IF(
REGEXMATCH(
"" ""&amp;H2972&amp;"" "",
"" ""&amp;Sentiment_Words!A$2:A3730&amp;"" ""
),
1,
0
)
)
)
)"),3.0)</f>
        <v>3</v>
      </c>
      <c r="K2972" s="4">
        <f>IFERROR(__xludf.DUMMYFUNCTION("IF(H2972="""","""",
SUM(
ARRAYFORMULA(
IF(
REGEXMATCH(
"" ""&amp;H2972&amp;"" "",
"" ""&amp;Sentiment_Words!B$2:B3730&amp;"" ""
),
1,
0
)
)
)
)"),0.0)</f>
        <v>0</v>
      </c>
      <c r="L2972" s="7" t="str">
        <f t="shared" si="3"/>
        <v>Other</v>
      </c>
      <c r="M2972" s="7" t="str">
        <f t="shared" si="4"/>
        <v>Positive</v>
      </c>
      <c r="N2972" s="7" t="str">
        <f>IFERROR(__xludf.DUMMYFUNCTION("LOWER(
TRIM(
REGEXREPLACE(B2972,""[^a-zA-Z\s]"","""")
)
)
"),"luis de los santos")</f>
        <v>luis de los santos</v>
      </c>
      <c r="O2972" s="7">
        <f t="shared" si="5"/>
        <v>1</v>
      </c>
      <c r="P2972" s="8" t="str">
        <f t="shared" si="6"/>
        <v>No</v>
      </c>
    </row>
    <row r="2973">
      <c r="A2973" s="4" t="s">
        <v>16</v>
      </c>
      <c r="B2973" s="4" t="s">
        <v>8277</v>
      </c>
      <c r="C2973" s="5">
        <v>44604.0</v>
      </c>
      <c r="D2973" s="10">
        <v>44604.0</v>
      </c>
      <c r="E2973" s="4" t="s">
        <v>8278</v>
      </c>
      <c r="F2973" s="4" t="s">
        <v>8279</v>
      </c>
      <c r="G2973" s="6" t="str">
        <f>IFERROR(__xludf.DUMMYFUNCTION("REGEXREPLACE(LOWER(F2973),""[^a-z\s]"","""")"),"the one thing about petflow is they just get it done you order your product you get instant verification and confirmation to your email and then when shipped you get the tracking number along with any updates from the carrier that might come up this is th"&amp;"e main reason i use them above anyone else especially amazon they not only give you the product you wantneed but they keep you informed until it is delivered sounds simple but these days even the big boys like amazon are dropping the ball i appreciate tha"&amp;"t me and my pets can depend on the products and level of service petflow offers")</f>
        <v>the one thing about petflow is they just get it done you order your product you get instant verification and confirmation to your email and then when shipped you get the tracking number along with any updates from the carrier that might come up this is the main reason i use them above anyone else especially amazon they not only give you the product you wantneed but they keep you informed until it is delivered sounds simple but these days even the big boys like amazon are dropping the ball i appreciate that me and my pets can depend on the products and level of service petflow offers</v>
      </c>
      <c r="H2973" s="4" t="str">
        <f t="shared" si="1"/>
        <v>one thing about petflow they just get it done you order your product you get instant verification confirmation your email then when shipped you get tracking number along with any updates from carrier that might come up this main reason i use them above anyone else especially amazon they not only give you product you wantneed but they keep you informed until it delivered sounds simple but these days even big boys like amazon are dropping ball i appreciate that me my pets can depend on products level of service petflow offers</v>
      </c>
      <c r="I2973" s="6">
        <f t="shared" si="2"/>
        <v>92</v>
      </c>
      <c r="J2973" s="6">
        <f>IFERROR(__xludf.DUMMYFUNCTION("IF(H2973="""","""",
SUM(
ARRAYFORMULA(
IF(
REGEXMATCH(
"" ""&amp;H2973&amp;"" "",
"" ""&amp;Sentiment_Words!A$2:A3730&amp;"" ""
),
1,
0
)
)
)
)"),1.0)</f>
        <v>1</v>
      </c>
      <c r="K2973" s="4">
        <f>IFERROR(__xludf.DUMMYFUNCTION("IF(H2973="""","""",
SUM(
ARRAYFORMULA(
IF(
REGEXMATCH(
"" ""&amp;H2973&amp;"" "",
"" ""&amp;Sentiment_Words!B$2:B3730&amp;"" ""
),
1,
0
)
)
)
)"),0.0)</f>
        <v>0</v>
      </c>
      <c r="L2973" s="7" t="str">
        <f t="shared" si="3"/>
        <v>Customer Support</v>
      </c>
      <c r="M2973" s="7" t="str">
        <f t="shared" si="4"/>
        <v>Positive</v>
      </c>
      <c r="N2973" s="7" t="str">
        <f>IFERROR(__xludf.DUMMYFUNCTION("LOWER(
TRIM(
REGEXREPLACE(B2973,""[^a-zA-Z\s]"","""")
)
)
"),"suzette mahneke")</f>
        <v>suzette mahneke</v>
      </c>
      <c r="O2973" s="7">
        <f t="shared" si="5"/>
        <v>1</v>
      </c>
      <c r="P2973" s="8" t="str">
        <f t="shared" si="6"/>
        <v>No</v>
      </c>
    </row>
    <row r="2974">
      <c r="A2974" s="4" t="s">
        <v>16</v>
      </c>
      <c r="B2974" s="4" t="s">
        <v>727</v>
      </c>
      <c r="C2974" s="5">
        <v>44604.0</v>
      </c>
      <c r="D2974" s="10">
        <v>44604.0</v>
      </c>
      <c r="E2974" s="4" t="s">
        <v>8280</v>
      </c>
      <c r="F2974" s="4" t="s">
        <v>8281</v>
      </c>
      <c r="G2974" s="6" t="str">
        <f>IFERROR(__xludf.DUMMYFUNCTION("REGEXREPLACE(LOWER(F2974),""[^a-z\s]"","""")"),"i shopped online for royal canin digest sensitive cat food and your website showed you had it in stock i placed  orders each for  cans within  minutes of your website updating that it had stock your email confirmation stated that the first order would shi"&amp;"p out the same day the second order was cancelled by petflow the following day citing lack of stock following that i was notified that you had no stock remaining to fulfill my first order and it was backordered when i called petflow the representative tol"&amp;"d me that if stock wasnt received within  weeks my first order would be cancelled this is not the customer service i expected on my first experience with petflow in the past years i have been using chewy petco and petsmart and never had a negative experie"&amp;"nce thanks for the opportunity to explain the situation in a straight forward and honest way now its up to you to actually take some action after this feedback if my first order gets cancelled you have lost me as a customer")</f>
        <v>i shopped online for royal canin digest sensitive cat food and your website showed you had it in stock i placed  orders each for  cans within  minutes of your website updating that it had stock your email confirmation stated that the first order would ship out the same day the second order was cancelled by petflow the following day citing lack of stock following that i was notified that you had no stock remaining to fulfill my first order and it was backordered when i called petflow the representative told me that if stock wasnt received within  weeks my first order would be cancelled this is not the customer service i expected on my first experience with petflow in the past years i have been using chewy petco and petsmart and never had a negative experience thanks for the opportunity to explain the situation in a straight forward and honest way now its up to you to actually take some action after this feedback if my first order gets cancelled you have lost me as a customer</v>
      </c>
      <c r="H2974" s="4" t="str">
        <f t="shared" si="1"/>
        <v>i shopped online royal canin digest sensitive cat food your website showed you had it in stock i placed orders each cans within minutes of your website updating that it had stock your email confirmation stated that first order would ship out same day second order was cancelled by petflow following day citing lack of stock following that i was notified that you had no stock remaining fulfill my first order it was backordered when i called petflow representative told me that if stock wasnt received within weeks my first order would be cancelled this not customer service i expected on my first experience with petflow in past years i have been using chewy petco petsmart never had a negative experience thanks opportunity explain situation in a straight forward honest way now its up you actually take some action after this feedback if my first order gets cancelled you have lost me as a customer</v>
      </c>
      <c r="I2974" s="6">
        <f t="shared" si="2"/>
        <v>155</v>
      </c>
      <c r="J2974" s="6">
        <f>IFERROR(__xludf.DUMMYFUNCTION("IF(H2974="""","""",
SUM(
ARRAYFORMULA(
IF(
REGEXMATCH(
"" ""&amp;H2974&amp;"" "",
"" ""&amp;Sentiment_Words!A$2:A3730&amp;"" ""
),
1,
0
)
)
)
)"),0.0)</f>
        <v>0</v>
      </c>
      <c r="K2974" s="4">
        <f>IFERROR(__xludf.DUMMYFUNCTION("IF(H2974="""","""",
SUM(
ARRAYFORMULA(
IF(
REGEXMATCH(
"" ""&amp;H2974&amp;"" "",
"" ""&amp;Sentiment_Words!B$2:B3730&amp;"" ""
),
1,
0
)
)
)
)"),2.0)</f>
        <v>2</v>
      </c>
      <c r="L2974" s="7" t="str">
        <f t="shared" si="3"/>
        <v>Customer Support</v>
      </c>
      <c r="M2974" s="7" t="str">
        <f t="shared" si="4"/>
        <v>Negative</v>
      </c>
      <c r="N2974" s="7" t="str">
        <f>IFERROR(__xludf.DUMMYFUNCTION("LOWER(
TRIM(
REGEXREPLACE(B2974,""[^a-zA-Z\s]"","""")
)
)
"),"jean")</f>
        <v>jean</v>
      </c>
      <c r="O2974" s="7">
        <f t="shared" si="5"/>
        <v>5</v>
      </c>
      <c r="P2974" s="8" t="str">
        <f t="shared" si="6"/>
        <v>Yes</v>
      </c>
    </row>
    <row r="2975">
      <c r="A2975" s="4" t="s">
        <v>16</v>
      </c>
      <c r="B2975" s="4" t="s">
        <v>8282</v>
      </c>
      <c r="C2975" s="5">
        <v>44604.0</v>
      </c>
      <c r="D2975" s="10">
        <v>44604.0</v>
      </c>
      <c r="E2975" s="4" t="s">
        <v>8283</v>
      </c>
      <c r="F2975" s="4" t="s">
        <v>8284</v>
      </c>
      <c r="G2975" s="6" t="str">
        <f>IFERROR(__xludf.DUMMYFUNCTION("REGEXREPLACE(LOWER(F2975),""[^a-z\s]"","""")"),"great company product arrived quickly and not damaged i am a very happy customer")</f>
        <v>great company product arrived quickly and not damaged i am a very happy customer</v>
      </c>
      <c r="H2975" s="4" t="str">
        <f t="shared" si="1"/>
        <v>great company product arrived quickly not damaged i am a very happy customer</v>
      </c>
      <c r="I2975" s="6">
        <f t="shared" si="2"/>
        <v>13</v>
      </c>
      <c r="J2975" s="6">
        <f>IFERROR(__xludf.DUMMYFUNCTION("IF(H2975="""","""",
SUM(
ARRAYFORMULA(
IF(
REGEXMATCH(
"" ""&amp;H2975&amp;"" "",
"" ""&amp;Sentiment_Words!A$2:A3730&amp;"" ""
),
1,
0
)
)
)
)"),2.0)</f>
        <v>2</v>
      </c>
      <c r="K2975" s="4">
        <f>IFERROR(__xludf.DUMMYFUNCTION("IF(H2975="""","""",
SUM(
ARRAYFORMULA(
IF(
REGEXMATCH(
"" ""&amp;H2975&amp;"" "",
"" ""&amp;Sentiment_Words!B$2:B3730&amp;"" ""
),
1,
0
)
)
)
)"),0.0)</f>
        <v>0</v>
      </c>
      <c r="L2975" s="7" t="str">
        <f t="shared" si="3"/>
        <v>Other</v>
      </c>
      <c r="M2975" s="7" t="str">
        <f t="shared" si="4"/>
        <v>Positive</v>
      </c>
      <c r="N2975" s="7" t="str">
        <f>IFERROR(__xludf.DUMMYFUNCTION("LOWER(
TRIM(
REGEXREPLACE(B2975,""[^a-zA-Z\s]"","""")
)
)
"),"john wynn")</f>
        <v>john wynn</v>
      </c>
      <c r="O2975" s="7">
        <f t="shared" si="5"/>
        <v>1</v>
      </c>
      <c r="P2975" s="8" t="str">
        <f t="shared" si="6"/>
        <v>No</v>
      </c>
    </row>
    <row r="2976">
      <c r="A2976" s="4" t="s">
        <v>16</v>
      </c>
      <c r="B2976" s="4" t="s">
        <v>8285</v>
      </c>
      <c r="C2976" s="5">
        <v>44604.0</v>
      </c>
      <c r="D2976" s="10">
        <v>44604.0</v>
      </c>
      <c r="E2976" s="4" t="s">
        <v>8286</v>
      </c>
      <c r="F2976" s="4" t="s">
        <v>331</v>
      </c>
      <c r="G2976" s="6" t="str">
        <f>IFERROR(__xludf.DUMMYFUNCTION("REGEXREPLACE(LOWER(F2976),""[^a-z\s]"","""")"),"none")</f>
        <v>none</v>
      </c>
      <c r="H2976" s="4" t="str">
        <f t="shared" si="1"/>
        <v>none</v>
      </c>
      <c r="I2976" s="6">
        <f t="shared" si="2"/>
        <v>1</v>
      </c>
      <c r="J2976" s="6">
        <f>IFERROR(__xludf.DUMMYFUNCTION("IF(H2976="""","""",
SUM(
ARRAYFORMULA(
IF(
REGEXMATCH(
"" ""&amp;H2976&amp;"" "",
"" ""&amp;Sentiment_Words!A$2:A3730&amp;"" ""
),
1,
0
)
)
)
)"),0.0)</f>
        <v>0</v>
      </c>
      <c r="K2976" s="4">
        <f>IFERROR(__xludf.DUMMYFUNCTION("IF(H2976="""","""",
SUM(
ARRAYFORMULA(
IF(
REGEXMATCH(
"" ""&amp;H2976&amp;"" "",
"" ""&amp;Sentiment_Words!B$2:B3730&amp;"" ""
),
1,
0
)
)
)
)"),0.0)</f>
        <v>0</v>
      </c>
      <c r="L2976" s="7" t="str">
        <f t="shared" si="3"/>
        <v>Other</v>
      </c>
      <c r="M2976" s="7" t="str">
        <f t="shared" si="4"/>
        <v>Neutral</v>
      </c>
      <c r="N2976" s="7" t="str">
        <f>IFERROR(__xludf.DUMMYFUNCTION("LOWER(
TRIM(
REGEXREPLACE(B2976,""[^a-zA-Z\s]"","""")
)
)
"),"fred s")</f>
        <v>fred s</v>
      </c>
      <c r="O2976" s="7">
        <f t="shared" si="5"/>
        <v>1</v>
      </c>
      <c r="P2976" s="8" t="str">
        <f t="shared" si="6"/>
        <v>No</v>
      </c>
    </row>
    <row r="2977">
      <c r="A2977" s="4" t="s">
        <v>16</v>
      </c>
      <c r="B2977" s="4" t="s">
        <v>8287</v>
      </c>
      <c r="C2977" s="5">
        <v>44603.0</v>
      </c>
      <c r="D2977" s="10">
        <v>44603.0</v>
      </c>
      <c r="E2977" s="4" t="s">
        <v>8288</v>
      </c>
      <c r="F2977" s="4" t="s">
        <v>331</v>
      </c>
      <c r="G2977" s="6" t="str">
        <f>IFERROR(__xludf.DUMMYFUNCTION("REGEXREPLACE(LOWER(F2977),""[^a-z\s]"","""")"),"none")</f>
        <v>none</v>
      </c>
      <c r="H2977" s="4" t="str">
        <f t="shared" si="1"/>
        <v>none</v>
      </c>
      <c r="I2977" s="6">
        <f t="shared" si="2"/>
        <v>1</v>
      </c>
      <c r="J2977" s="6">
        <f>IFERROR(__xludf.DUMMYFUNCTION("IF(H2977="""","""",
SUM(
ARRAYFORMULA(
IF(
REGEXMATCH(
"" ""&amp;H2977&amp;"" "",
"" ""&amp;Sentiment_Words!A$2:A3730&amp;"" ""
),
1,
0
)
)
)
)"),0.0)</f>
        <v>0</v>
      </c>
      <c r="K2977" s="4">
        <f>IFERROR(__xludf.DUMMYFUNCTION("IF(H2977="""","""",
SUM(
ARRAYFORMULA(
IF(
REGEXMATCH(
"" ""&amp;H2977&amp;"" "",
"" ""&amp;Sentiment_Words!B$2:B3730&amp;"" ""
),
1,
0
)
)
)
)"),0.0)</f>
        <v>0</v>
      </c>
      <c r="L2977" s="7" t="str">
        <f t="shared" si="3"/>
        <v>Other</v>
      </c>
      <c r="M2977" s="7" t="str">
        <f t="shared" si="4"/>
        <v>Neutral</v>
      </c>
      <c r="N2977" s="7" t="str">
        <f>IFERROR(__xludf.DUMMYFUNCTION("LOWER(
TRIM(
REGEXREPLACE(B2977,""[^a-zA-Z\s]"","""")
)
)
"),"sheree turnbull")</f>
        <v>sheree turnbull</v>
      </c>
      <c r="O2977" s="7">
        <f t="shared" si="5"/>
        <v>1</v>
      </c>
      <c r="P2977" s="8" t="str">
        <f t="shared" si="6"/>
        <v>No</v>
      </c>
    </row>
    <row r="2978">
      <c r="A2978" s="4" t="s">
        <v>16</v>
      </c>
      <c r="B2978" s="4" t="s">
        <v>8289</v>
      </c>
      <c r="C2978" s="5">
        <v>44603.0</v>
      </c>
      <c r="D2978" s="10">
        <v>44603.0</v>
      </c>
      <c r="E2978" s="4" t="s">
        <v>8290</v>
      </c>
      <c r="F2978" s="4" t="s">
        <v>8291</v>
      </c>
      <c r="G2978" s="6" t="str">
        <f>IFERROR(__xludf.DUMMYFUNCTION("REGEXREPLACE(LOWER(F2978),""[^a-z\s]"","""")"),"very fast and accurate delivery
thank you")</f>
        <v>very fast and accurate delivery
thank you</v>
      </c>
      <c r="H2978" s="4" t="str">
        <f t="shared" si="1"/>
        <v>very fast accurate delivery
thank you</v>
      </c>
      <c r="I2978" s="6">
        <f t="shared" si="2"/>
        <v>5</v>
      </c>
      <c r="J2978" s="6">
        <f>IFERROR(__xludf.DUMMYFUNCTION("IF(H2978="""","""",
SUM(
ARRAYFORMULA(
IF(
REGEXMATCH(
"" ""&amp;H2978&amp;"" "",
"" ""&amp;Sentiment_Words!A$2:A3730&amp;"" ""
),
1,
0
)
)
)
)"),1.0)</f>
        <v>1</v>
      </c>
      <c r="K2978" s="4">
        <f>IFERROR(__xludf.DUMMYFUNCTION("IF(H2978="""","""",
SUM(
ARRAYFORMULA(
IF(
REGEXMATCH(
"" ""&amp;H2978&amp;"" "",
"" ""&amp;Sentiment_Words!B$2:B3730&amp;"" ""
),
1,
0
)
)
)
)"),0.0)</f>
        <v>0</v>
      </c>
      <c r="L2978" s="7" t="str">
        <f t="shared" si="3"/>
        <v>Other</v>
      </c>
      <c r="M2978" s="7" t="str">
        <f t="shared" si="4"/>
        <v>Positive</v>
      </c>
      <c r="N2978" s="7" t="str">
        <f>IFERROR(__xludf.DUMMYFUNCTION("LOWER(
TRIM(
REGEXREPLACE(B2978,""[^a-zA-Z\s]"","""")
)
)
"),"katie johnson")</f>
        <v>katie johnson</v>
      </c>
      <c r="O2978" s="7">
        <f t="shared" si="5"/>
        <v>1</v>
      </c>
      <c r="P2978" s="8" t="str">
        <f t="shared" si="6"/>
        <v>No</v>
      </c>
    </row>
    <row r="2979">
      <c r="A2979" s="4" t="s">
        <v>16</v>
      </c>
      <c r="B2979" s="4" t="s">
        <v>4659</v>
      </c>
      <c r="C2979" s="5">
        <v>44603.0</v>
      </c>
      <c r="D2979" s="10">
        <v>44603.0</v>
      </c>
      <c r="E2979" s="4" t="s">
        <v>515</v>
      </c>
      <c r="F2979" s="4" t="s">
        <v>8292</v>
      </c>
      <c r="G2979" s="6" t="str">
        <f>IFERROR(__xludf.DUMMYFUNCTION("REGEXREPLACE(LOWER(F2979),""[^a-z\s]"","""")"),"good price quick delivery good product")</f>
        <v>good price quick delivery good product</v>
      </c>
      <c r="H2979" s="4" t="str">
        <f t="shared" si="1"/>
        <v>good price quick delivery good product</v>
      </c>
      <c r="I2979" s="6">
        <f t="shared" si="2"/>
        <v>6</v>
      </c>
      <c r="J2979" s="6">
        <f>IFERROR(__xludf.DUMMYFUNCTION("IF(H2979="""","""",
SUM(
ARRAYFORMULA(
IF(
REGEXMATCH(
"" ""&amp;H2979&amp;"" "",
"" ""&amp;Sentiment_Words!A$2:A3730&amp;"" ""
),
1,
0
)
)
)
)"),2.0)</f>
        <v>2</v>
      </c>
      <c r="K2979" s="4">
        <f>IFERROR(__xludf.DUMMYFUNCTION("IF(H2979="""","""",
SUM(
ARRAYFORMULA(
IF(
REGEXMATCH(
"" ""&amp;H2979&amp;"" "",
"" ""&amp;Sentiment_Words!B$2:B3730&amp;"" ""
),
1,
0
)
)
)
)"),0.0)</f>
        <v>0</v>
      </c>
      <c r="L2979" s="7" t="str">
        <f t="shared" si="3"/>
        <v>Other</v>
      </c>
      <c r="M2979" s="7" t="str">
        <f t="shared" si="4"/>
        <v>Positive</v>
      </c>
      <c r="N2979" s="7" t="str">
        <f>IFERROR(__xludf.DUMMYFUNCTION("LOWER(
TRIM(
REGEXREPLACE(B2979,""[^a-zA-Z\s]"","""")
)
)
"),"carol")</f>
        <v>carol</v>
      </c>
      <c r="O2979" s="7">
        <f t="shared" si="5"/>
        <v>8</v>
      </c>
      <c r="P2979" s="8" t="str">
        <f t="shared" si="6"/>
        <v>Yes</v>
      </c>
    </row>
    <row r="2980">
      <c r="A2980" s="4" t="s">
        <v>16</v>
      </c>
      <c r="B2980" s="4" t="s">
        <v>8293</v>
      </c>
      <c r="C2980" s="5">
        <v>44603.0</v>
      </c>
      <c r="D2980" s="10">
        <v>44603.0</v>
      </c>
      <c r="E2980" s="4" t="s">
        <v>8294</v>
      </c>
      <c r="F2980" s="4" t="s">
        <v>8295</v>
      </c>
      <c r="G2980" s="6" t="str">
        <f>IFERROR(__xludf.DUMMYFUNCTION("REGEXREPLACE(LOWER(F2980),""[^a-z\s]"","""")"),"they have the food i want for my dogs and it arrives quickly")</f>
        <v>they have the food i want for my dogs and it arrives quickly</v>
      </c>
      <c r="H2980" s="4" t="str">
        <f t="shared" si="1"/>
        <v>they have food i want my dogs it arrives quickly</v>
      </c>
      <c r="I2980" s="6">
        <f t="shared" si="2"/>
        <v>10</v>
      </c>
      <c r="J2980" s="6">
        <f>IFERROR(__xludf.DUMMYFUNCTION("IF(H2980="""","""",
SUM(
ARRAYFORMULA(
IF(
REGEXMATCH(
"" ""&amp;H2980&amp;"" "",
"" ""&amp;Sentiment_Words!A$2:A3730&amp;"" ""
),
1,
0
)
)
)
)"),0.0)</f>
        <v>0</v>
      </c>
      <c r="K2980" s="4">
        <f>IFERROR(__xludf.DUMMYFUNCTION("IF(H2980="""","""",
SUM(
ARRAYFORMULA(
IF(
REGEXMATCH(
"" ""&amp;H2980&amp;"" "",
"" ""&amp;Sentiment_Words!B$2:B3730&amp;"" ""
),
1,
0
)
)
)
)"),0.0)</f>
        <v>0</v>
      </c>
      <c r="L2980" s="7" t="str">
        <f t="shared" si="3"/>
        <v>Other</v>
      </c>
      <c r="M2980" s="7" t="str">
        <f t="shared" si="4"/>
        <v>Neutral</v>
      </c>
      <c r="N2980" s="7" t="str">
        <f>IFERROR(__xludf.DUMMYFUNCTION("LOWER(
TRIM(
REGEXREPLACE(B2980,""[^a-zA-Z\s]"","""")
)
)
"),"rena")</f>
        <v>rena</v>
      </c>
      <c r="O2980" s="7">
        <f t="shared" si="5"/>
        <v>1</v>
      </c>
      <c r="P2980" s="8" t="str">
        <f t="shared" si="6"/>
        <v>No</v>
      </c>
    </row>
    <row r="2981">
      <c r="A2981" s="4" t="s">
        <v>16</v>
      </c>
      <c r="B2981" s="4" t="s">
        <v>8296</v>
      </c>
      <c r="C2981" s="5">
        <v>44602.0</v>
      </c>
      <c r="D2981" s="10">
        <v>44603.0</v>
      </c>
      <c r="E2981" s="4" t="s">
        <v>8297</v>
      </c>
      <c r="F2981" s="4" t="s">
        <v>8298</v>
      </c>
      <c r="G2981" s="6" t="str">
        <f>IFERROR(__xludf.DUMMYFUNCTION("REGEXREPLACE(LOWER(F2981),""[^a-z\s]"","""")"),"i just want to share a wow from petflow i received the collar i purchased but the release button was so difficult to open that i called to ask if easier to just buy a new one or replace it first the guy was sooo nice he said no thats fine we will ship you"&amp;" a new one just throw out the old one it cost  and they immediately said we will replace it without any issues never had a better experience")</f>
        <v>i just want to share a wow from petflow i received the collar i purchased but the release button was so difficult to open that i called to ask if easier to just buy a new one or replace it first the guy was sooo nice he said no thats fine we will ship you a new one just throw out the old one it cost  and they immediately said we will replace it without any issues never had a better experience</v>
      </c>
      <c r="H2981" s="4" t="str">
        <f t="shared" si="1"/>
        <v>i just want share a wow from petflow i received collar i purchased but release button was so difficult open that i called ask if easier just buy a new one or replace it first guy was sooo nice he said no thats fine we will ship you a new one just throw out old one it cost they immediately said we will replace it without any issues never had a better experience</v>
      </c>
      <c r="I2981" s="6">
        <f t="shared" si="2"/>
        <v>73</v>
      </c>
      <c r="J2981" s="6">
        <f>IFERROR(__xludf.DUMMYFUNCTION("IF(H2981="""","""",
SUM(
ARRAYFORMULA(
IF(
REGEXMATCH(
"" ""&amp;H2981&amp;"" "",
"" ""&amp;Sentiment_Words!A$2:A3730&amp;"" ""
),
1,
0
)
)
)
)"),1.0)</f>
        <v>1</v>
      </c>
      <c r="K2981" s="4">
        <f>IFERROR(__xludf.DUMMYFUNCTION("IF(H2981="""","""",
SUM(
ARRAYFORMULA(
IF(
REGEXMATCH(
"" ""&amp;H2981&amp;"" "",
"" ""&amp;Sentiment_Words!B$2:B3730&amp;"" ""
),
1,
0
)
)
)
)"),0.0)</f>
        <v>0</v>
      </c>
      <c r="L2981" s="7" t="str">
        <f t="shared" si="3"/>
        <v>Other</v>
      </c>
      <c r="M2981" s="7" t="str">
        <f t="shared" si="4"/>
        <v>Positive</v>
      </c>
      <c r="N2981" s="7" t="str">
        <f>IFERROR(__xludf.DUMMYFUNCTION("LOWER(
TRIM(
REGEXREPLACE(B2981,""[^a-zA-Z\s]"","""")
)
)
"),"denise buran")</f>
        <v>denise buran</v>
      </c>
      <c r="O2981" s="7">
        <f t="shared" si="5"/>
        <v>1</v>
      </c>
      <c r="P2981" s="8" t="str">
        <f t="shared" si="6"/>
        <v>No</v>
      </c>
    </row>
    <row r="2982">
      <c r="A2982" s="4" t="s">
        <v>16</v>
      </c>
      <c r="B2982" s="4" t="s">
        <v>8299</v>
      </c>
      <c r="C2982" s="5">
        <v>44602.0</v>
      </c>
      <c r="D2982" s="10">
        <v>44603.0</v>
      </c>
      <c r="E2982" s="4" t="s">
        <v>8300</v>
      </c>
      <c r="F2982" s="4" t="s">
        <v>8301</v>
      </c>
      <c r="G2982" s="6" t="str">
        <f>IFERROR(__xludf.DUMMYFUNCTION("REGEXREPLACE(LOWER(F2982),""[^a-z\s]"","""")"),"everything is always prefect packaging and shipping is great")</f>
        <v>everything is always prefect packaging and shipping is great</v>
      </c>
      <c r="H2982" s="4" t="str">
        <f t="shared" si="1"/>
        <v>everything always prefect packaging shipping great</v>
      </c>
      <c r="I2982" s="6">
        <f t="shared" si="2"/>
        <v>6</v>
      </c>
      <c r="J2982" s="6">
        <f>IFERROR(__xludf.DUMMYFUNCTION("IF(H2982="""","""",
SUM(
ARRAYFORMULA(
IF(
REGEXMATCH(
"" ""&amp;H2982&amp;"" "",
"" ""&amp;Sentiment_Words!A$2:A3730&amp;"" ""
),
1,
0
)
)
)
)"),1.0)</f>
        <v>1</v>
      </c>
      <c r="K2982" s="4">
        <f>IFERROR(__xludf.DUMMYFUNCTION("IF(H2982="""","""",
SUM(
ARRAYFORMULA(
IF(
REGEXMATCH(
"" ""&amp;H2982&amp;"" "",
"" ""&amp;Sentiment_Words!B$2:B3730&amp;"" ""
),
1,
0
)
)
)
)"),0.0)</f>
        <v>0</v>
      </c>
      <c r="L2982" s="7" t="str">
        <f t="shared" si="3"/>
        <v>Other</v>
      </c>
      <c r="M2982" s="7" t="str">
        <f t="shared" si="4"/>
        <v>Positive</v>
      </c>
      <c r="N2982" s="7" t="str">
        <f>IFERROR(__xludf.DUMMYFUNCTION("LOWER(
TRIM(
REGEXREPLACE(B2982,""[^a-zA-Z\s]"","""")
)
)
"),"susan dolstra")</f>
        <v>susan dolstra</v>
      </c>
      <c r="O2982" s="7">
        <f t="shared" si="5"/>
        <v>1</v>
      </c>
      <c r="P2982" s="8" t="str">
        <f t="shared" si="6"/>
        <v>No</v>
      </c>
    </row>
    <row r="2983">
      <c r="A2983" s="4" t="s">
        <v>16</v>
      </c>
      <c r="B2983" s="4" t="s">
        <v>8302</v>
      </c>
      <c r="C2983" s="5">
        <v>44602.0</v>
      </c>
      <c r="D2983" s="10">
        <v>44602.0</v>
      </c>
      <c r="E2983" s="4" t="s">
        <v>8303</v>
      </c>
      <c r="F2983" s="4" t="s">
        <v>8304</v>
      </c>
      <c r="G2983" s="6" t="str">
        <f>IFERROR(__xludf.DUMMYFUNCTION("REGEXREPLACE(LOWER(F2983),""[^a-z\s]"","""")"),"love petflow they have the fromm brand i want which is hard to find for delivery
i sometimes wish packages would come quicker but last delivery was faster than previous
good prices easy checkout process like that they save previous orders i dont do auto"&amp;"mated because i have not yet figured out my dogs rhythm of when they run out but nice that they offer a discount if you do that")</f>
        <v>love petflow they have the fromm brand i want which is hard to find for delivery
i sometimes wish packages would come quicker but last delivery was faster than previous
good prices easy checkout process like that they save previous orders i dont do automated because i have not yet figured out my dogs rhythm of when they run out but nice that they offer a discount if you do that</v>
      </c>
      <c r="H2983" s="4" t="str">
        <f t="shared" si="1"/>
        <v>love petflow they have fromm brand i want which hard find delivery
i sometimes wish packages would come quicker but last delivery was faster than previous
good prices easy checkout process like that they save previous orders i dont do automated because i have not yet figured out my dogs rhythm of when they run out but nice that they offer a discount if you do that</v>
      </c>
      <c r="I2983" s="6">
        <f t="shared" si="2"/>
        <v>65</v>
      </c>
      <c r="J2983" s="6">
        <f>IFERROR(__xludf.DUMMYFUNCTION("IF(H2983="""","""",
SUM(
ARRAYFORMULA(
IF(
REGEXMATCH(
"" ""&amp;H2983&amp;"" "",
"" ""&amp;Sentiment_Words!A$2:A3730&amp;"" ""
),
1,
0
)
)
)
)"),2.0)</f>
        <v>2</v>
      </c>
      <c r="K2983" s="4">
        <f>IFERROR(__xludf.DUMMYFUNCTION("IF(H2983="""","""",
SUM(
ARRAYFORMULA(
IF(
REGEXMATCH(
"" ""&amp;H2983&amp;"" "",
"" ""&amp;Sentiment_Words!B$2:B3730&amp;"" ""
),
1,
0
)
)
)
)"),0.0)</f>
        <v>0</v>
      </c>
      <c r="L2983" s="7" t="str">
        <f t="shared" si="3"/>
        <v>Other</v>
      </c>
      <c r="M2983" s="7" t="str">
        <f t="shared" si="4"/>
        <v>Positive</v>
      </c>
      <c r="N2983" s="7" t="str">
        <f>IFERROR(__xludf.DUMMYFUNCTION("LOWER(
TRIM(
REGEXREPLACE(B2983,""[^a-zA-Z\s]"","""")
)
)
"),"april ritchotte")</f>
        <v>april ritchotte</v>
      </c>
      <c r="O2983" s="7">
        <f t="shared" si="5"/>
        <v>1</v>
      </c>
      <c r="P2983" s="8" t="str">
        <f t="shared" si="6"/>
        <v>No</v>
      </c>
    </row>
    <row r="2984">
      <c r="A2984" s="4" t="s">
        <v>16</v>
      </c>
      <c r="B2984" s="4" t="s">
        <v>8305</v>
      </c>
      <c r="C2984" s="5">
        <v>44602.0</v>
      </c>
      <c r="D2984" s="10">
        <v>44602.0</v>
      </c>
      <c r="E2984" s="4" t="s">
        <v>8306</v>
      </c>
      <c r="F2984" s="4" t="s">
        <v>8307</v>
      </c>
      <c r="G2984" s="6" t="str">
        <f>IFERROR(__xludf.DUMMYFUNCTION("REGEXREPLACE(LOWER(F2984),""[^a-z\s]"","""")"),"my first time using g pet flow very pleasant experience")</f>
        <v>my first time using g pet flow very pleasant experience</v>
      </c>
      <c r="H2984" s="4" t="str">
        <f t="shared" si="1"/>
        <v>my first time using g pet flow very pleasant experience</v>
      </c>
      <c r="I2984" s="6">
        <f t="shared" si="2"/>
        <v>10</v>
      </c>
      <c r="J2984" s="6">
        <f>IFERROR(__xludf.DUMMYFUNCTION("IF(H2984="""","""",
SUM(
ARRAYFORMULA(
IF(
REGEXMATCH(
"" ""&amp;H2984&amp;"" "",
"" ""&amp;Sentiment_Words!A$2:A3730&amp;"" ""
),
1,
0
)
)
)
)"),0.0)</f>
        <v>0</v>
      </c>
      <c r="K2984" s="4">
        <f>IFERROR(__xludf.DUMMYFUNCTION("IF(H2984="""","""",
SUM(
ARRAYFORMULA(
IF(
REGEXMATCH(
"" ""&amp;H2984&amp;"" "",
"" ""&amp;Sentiment_Words!B$2:B3730&amp;"" ""
),
1,
0
)
)
)
)"),0.0)</f>
        <v>0</v>
      </c>
      <c r="L2984" s="7" t="str">
        <f t="shared" si="3"/>
        <v>Other</v>
      </c>
      <c r="M2984" s="7" t="str">
        <f t="shared" si="4"/>
        <v>Neutral</v>
      </c>
      <c r="N2984" s="7" t="str">
        <f>IFERROR(__xludf.DUMMYFUNCTION("LOWER(
TRIM(
REGEXREPLACE(B2984,""[^a-zA-Z\s]"","""")
)
)
"),"mickey mittong")</f>
        <v>mickey mittong</v>
      </c>
      <c r="O2984" s="7">
        <f t="shared" si="5"/>
        <v>1</v>
      </c>
      <c r="P2984" s="8" t="str">
        <f t="shared" si="6"/>
        <v>No</v>
      </c>
    </row>
    <row r="2985">
      <c r="A2985" s="4" t="s">
        <v>16</v>
      </c>
      <c r="B2985" s="4" t="s">
        <v>8308</v>
      </c>
      <c r="C2985" s="5">
        <v>44602.0</v>
      </c>
      <c r="D2985" s="10">
        <v>44602.0</v>
      </c>
      <c r="E2985" s="4" t="s">
        <v>8309</v>
      </c>
      <c r="F2985" s="4" t="s">
        <v>8310</v>
      </c>
      <c r="G2985" s="6" t="str">
        <f>IFERROR(__xludf.DUMMYFUNCTION("REGEXREPLACE(LOWER(F2985),""[^a-z\s]"","""")"),"have a good product selectionprompt delivery and give discounts for long time customers thanks")</f>
        <v>have a good product selectionprompt delivery and give discounts for long time customers thanks</v>
      </c>
      <c r="H2985" s="4" t="str">
        <f t="shared" si="1"/>
        <v>have a good product selectionprompt delivery give discounts long time customers thanks</v>
      </c>
      <c r="I2985" s="6">
        <f t="shared" si="2"/>
        <v>12</v>
      </c>
      <c r="J2985" s="6">
        <f>IFERROR(__xludf.DUMMYFUNCTION("IF(H2985="""","""",
SUM(
ARRAYFORMULA(
IF(
REGEXMATCH(
"" ""&amp;H2985&amp;"" "",
"" ""&amp;Sentiment_Words!A$2:A3730&amp;"" ""
),
1,
0
)
)
)
)"),1.0)</f>
        <v>1</v>
      </c>
      <c r="K2985" s="4">
        <f>IFERROR(__xludf.DUMMYFUNCTION("IF(H2985="""","""",
SUM(
ARRAYFORMULA(
IF(
REGEXMATCH(
"" ""&amp;H2985&amp;"" "",
"" ""&amp;Sentiment_Words!B$2:B3730&amp;"" ""
),
1,
0
)
)
)
)"),0.0)</f>
        <v>0</v>
      </c>
      <c r="L2985" s="7" t="str">
        <f t="shared" si="3"/>
        <v>Other</v>
      </c>
      <c r="M2985" s="7" t="str">
        <f t="shared" si="4"/>
        <v>Positive</v>
      </c>
      <c r="N2985" s="7" t="str">
        <f>IFERROR(__xludf.DUMMYFUNCTION("LOWER(
TRIM(
REGEXREPLACE(B2985,""[^a-zA-Z\s]"","""")
)
)
"),"linda borders")</f>
        <v>linda borders</v>
      </c>
      <c r="O2985" s="7">
        <f t="shared" si="5"/>
        <v>1</v>
      </c>
      <c r="P2985" s="8" t="str">
        <f t="shared" si="6"/>
        <v>No</v>
      </c>
    </row>
    <row r="2986">
      <c r="A2986" s="4" t="s">
        <v>16</v>
      </c>
      <c r="B2986" s="4" t="s">
        <v>8311</v>
      </c>
      <c r="C2986" s="9">
        <v>44601.0</v>
      </c>
      <c r="D2986" s="10">
        <v>44601.0</v>
      </c>
      <c r="E2986" s="4" t="s">
        <v>8312</v>
      </c>
      <c r="F2986" s="4" t="s">
        <v>8313</v>
      </c>
      <c r="G2986" s="6" t="str">
        <f>IFERROR(__xludf.DUMMYFUNCTION("REGEXREPLACE(LOWER(F2986),""[^a-z\s]"","""")"),"transaction was perfect ordering was easy shipping and handling was completed in a timely manor order was received as ordered henry was thrilled with a new ball pleasant surprise")</f>
        <v>transaction was perfect ordering was easy shipping and handling was completed in a timely manor order was received as ordered henry was thrilled with a new ball pleasant surprise</v>
      </c>
      <c r="H2986" s="4" t="str">
        <f t="shared" si="1"/>
        <v>transaction was perfect ordering was easy shipping handling was completed in a timely manor order was received as ordered henry was thrilled with a new ball pleasant surprise</v>
      </c>
      <c r="I2986" s="6">
        <f t="shared" si="2"/>
        <v>28</v>
      </c>
      <c r="J2986" s="6">
        <f>IFERROR(__xludf.DUMMYFUNCTION("IF(H2986="""","""",
SUM(
ARRAYFORMULA(
IF(
REGEXMATCH(
"" ""&amp;H2986&amp;"" "",
"" ""&amp;Sentiment_Words!A$2:A3730&amp;"" ""
),
1,
0
)
)
)
)"),1.0)</f>
        <v>1</v>
      </c>
      <c r="K2986" s="4">
        <f>IFERROR(__xludf.DUMMYFUNCTION("IF(H2986="""","""",
SUM(
ARRAYFORMULA(
IF(
REGEXMATCH(
"" ""&amp;H2986&amp;"" "",
"" ""&amp;Sentiment_Words!B$2:B3730&amp;"" ""
),
1,
0
)
)
)
)"),0.0)</f>
        <v>0</v>
      </c>
      <c r="L2986" s="7" t="str">
        <f t="shared" si="3"/>
        <v>Other</v>
      </c>
      <c r="M2986" s="7" t="str">
        <f t="shared" si="4"/>
        <v>Positive</v>
      </c>
      <c r="N2986" s="7" t="str">
        <f>IFERROR(__xludf.DUMMYFUNCTION("LOWER(
TRIM(
REGEXREPLACE(B2986,""[^a-zA-Z\s]"","""")
)
)
"),"carol sutton")</f>
        <v>carol sutton</v>
      </c>
      <c r="O2986" s="7">
        <f t="shared" si="5"/>
        <v>1</v>
      </c>
      <c r="P2986" s="8" t="str">
        <f t="shared" si="6"/>
        <v>No</v>
      </c>
    </row>
    <row r="2987">
      <c r="A2987" s="4" t="s">
        <v>16</v>
      </c>
      <c r="B2987" s="4" t="s">
        <v>8314</v>
      </c>
      <c r="C2987" s="9">
        <v>44601.0</v>
      </c>
      <c r="D2987" s="10">
        <v>44601.0</v>
      </c>
      <c r="E2987" s="4" t="s">
        <v>1319</v>
      </c>
      <c r="F2987" s="4" t="s">
        <v>8315</v>
      </c>
      <c r="G2987" s="6" t="str">
        <f>IFERROR(__xludf.DUMMYFUNCTION("REGEXREPLACE(LOWER(F2987),""[^a-z\s]"","""")"),"excellent service arrived quickly and very healthy dog food")</f>
        <v>excellent service arrived quickly and very healthy dog food</v>
      </c>
      <c r="H2987" s="4" t="str">
        <f t="shared" si="1"/>
        <v>excellent service arrived quickly very healthy dog food</v>
      </c>
      <c r="I2987" s="6">
        <f t="shared" si="2"/>
        <v>8</v>
      </c>
      <c r="J2987" s="6">
        <f>IFERROR(__xludf.DUMMYFUNCTION("IF(H2987="""","""",
SUM(
ARRAYFORMULA(
IF(
REGEXMATCH(
"" ""&amp;H2987&amp;"" "",
"" ""&amp;Sentiment_Words!A$2:A3730&amp;"" ""
),
1,
0
)
)
)
)"),0.0)</f>
        <v>0</v>
      </c>
      <c r="K2987" s="4">
        <f>IFERROR(__xludf.DUMMYFUNCTION("IF(H2987="""","""",
SUM(
ARRAYFORMULA(
IF(
REGEXMATCH(
"" ""&amp;H2987&amp;"" "",
"" ""&amp;Sentiment_Words!B$2:B3730&amp;"" ""
),
1,
0
)
)
)
)"),0.0)</f>
        <v>0</v>
      </c>
      <c r="L2987" s="7" t="str">
        <f t="shared" si="3"/>
        <v>Customer Support</v>
      </c>
      <c r="M2987" s="7" t="str">
        <f t="shared" si="4"/>
        <v>Neutral</v>
      </c>
      <c r="N2987" s="7" t="str">
        <f>IFERROR(__xludf.DUMMYFUNCTION("LOWER(
TRIM(
REGEXREPLACE(B2987,""[^a-zA-Z\s]"","""")
)
)
"),"patty heineck")</f>
        <v>patty heineck</v>
      </c>
      <c r="O2987" s="7">
        <f t="shared" si="5"/>
        <v>1</v>
      </c>
      <c r="P2987" s="8" t="str">
        <f t="shared" si="6"/>
        <v>No</v>
      </c>
    </row>
    <row r="2988">
      <c r="A2988" s="4" t="s">
        <v>16</v>
      </c>
      <c r="B2988" s="4" t="s">
        <v>8316</v>
      </c>
      <c r="C2988" s="9">
        <v>44601.0</v>
      </c>
      <c r="D2988" s="10">
        <v>44601.0</v>
      </c>
      <c r="E2988" s="4" t="s">
        <v>8317</v>
      </c>
      <c r="F2988" s="4" t="s">
        <v>8318</v>
      </c>
      <c r="G2988" s="6" t="str">
        <f>IFERROR(__xludf.DUMMYFUNCTION("REGEXREPLACE(LOWER(F2988),""[^a-z\s]"","""")"),"excellent shipping excellent packaging competitive prices easy ordering")</f>
        <v>excellent shipping excellent packaging competitive prices easy ordering</v>
      </c>
      <c r="H2988" s="4" t="str">
        <f t="shared" si="1"/>
        <v>excellent shipping excellent packaging competitive prices easy ordering</v>
      </c>
      <c r="I2988" s="6">
        <f t="shared" si="2"/>
        <v>8</v>
      </c>
      <c r="J2988" s="6">
        <f>IFERROR(__xludf.DUMMYFUNCTION("IF(H2988="""","""",
SUM(
ARRAYFORMULA(
IF(
REGEXMATCH(
"" ""&amp;H2988&amp;"" "",
"" ""&amp;Sentiment_Words!A$2:A3730&amp;"" ""
),
1,
0
)
)
)
)"),1.0)</f>
        <v>1</v>
      </c>
      <c r="K2988" s="4">
        <f>IFERROR(__xludf.DUMMYFUNCTION("IF(H2988="""","""",
SUM(
ARRAYFORMULA(
IF(
REGEXMATCH(
"" ""&amp;H2988&amp;"" "",
"" ""&amp;Sentiment_Words!B$2:B3730&amp;"" ""
),
1,
0
)
)
)
)"),0.0)</f>
        <v>0</v>
      </c>
      <c r="L2988" s="7" t="str">
        <f t="shared" si="3"/>
        <v>Other</v>
      </c>
      <c r="M2988" s="7" t="str">
        <f t="shared" si="4"/>
        <v>Positive</v>
      </c>
      <c r="N2988" s="7" t="str">
        <f>IFERROR(__xludf.DUMMYFUNCTION("LOWER(
TRIM(
REGEXREPLACE(B2988,""[^a-zA-Z\s]"","""")
)
)
"),"janice demadona")</f>
        <v>janice demadona</v>
      </c>
      <c r="O2988" s="7">
        <f t="shared" si="5"/>
        <v>1</v>
      </c>
      <c r="P2988" s="8" t="str">
        <f t="shared" si="6"/>
        <v>No</v>
      </c>
    </row>
    <row r="2989">
      <c r="A2989" s="4" t="s">
        <v>16</v>
      </c>
      <c r="B2989" s="4" t="s">
        <v>8319</v>
      </c>
      <c r="C2989" s="9">
        <v>44601.0</v>
      </c>
      <c r="D2989" s="10">
        <v>44601.0</v>
      </c>
      <c r="E2989" s="4" t="s">
        <v>8320</v>
      </c>
      <c r="F2989" s="4" t="s">
        <v>8321</v>
      </c>
      <c r="G2989" s="6" t="str">
        <f>IFERROR(__xludf.DUMMYFUNCTION("REGEXREPLACE(LOWER(F2989),""[^a-z\s]"","""")"),"they have a great selection of foods i love that they help pets in need and they offer rewards for referrals")</f>
        <v>they have a great selection of foods i love that they help pets in need and they offer rewards for referrals</v>
      </c>
      <c r="H2989" s="4" t="str">
        <f t="shared" si="1"/>
        <v>they have a great selection of foods i love that they help pets in need they offer rewards referrals</v>
      </c>
      <c r="I2989" s="6">
        <f t="shared" si="2"/>
        <v>19</v>
      </c>
      <c r="J2989" s="6">
        <f>IFERROR(__xludf.DUMMYFUNCTION("IF(H2989="""","""",
SUM(
ARRAYFORMULA(
IF(
REGEXMATCH(
"" ""&amp;H2989&amp;"" "",
"" ""&amp;Sentiment_Words!A$2:A3730&amp;"" ""
),
1,
0
)
)
)
)"),2.0)</f>
        <v>2</v>
      </c>
      <c r="K2989" s="4">
        <f>IFERROR(__xludf.DUMMYFUNCTION("IF(H2989="""","""",
SUM(
ARRAYFORMULA(
IF(
REGEXMATCH(
"" ""&amp;H2989&amp;"" "",
"" ""&amp;Sentiment_Words!B$2:B3730&amp;"" ""
),
1,
0
)
)
)
)"),0.0)</f>
        <v>0</v>
      </c>
      <c r="L2989" s="7" t="str">
        <f t="shared" si="3"/>
        <v>Other</v>
      </c>
      <c r="M2989" s="7" t="str">
        <f t="shared" si="4"/>
        <v>Positive</v>
      </c>
      <c r="N2989" s="7" t="str">
        <f>IFERROR(__xludf.DUMMYFUNCTION("LOWER(
TRIM(
REGEXREPLACE(B2989,""[^a-zA-Z\s]"","""")
)
)
"),"kendel m")</f>
        <v>kendel m</v>
      </c>
      <c r="O2989" s="7">
        <f t="shared" si="5"/>
        <v>1</v>
      </c>
      <c r="P2989" s="8" t="str">
        <f t="shared" si="6"/>
        <v>No</v>
      </c>
    </row>
    <row r="2990">
      <c r="A2990" s="4" t="s">
        <v>16</v>
      </c>
      <c r="B2990" s="4" t="s">
        <v>5934</v>
      </c>
      <c r="C2990" s="9">
        <v>44600.0</v>
      </c>
      <c r="D2990" s="10">
        <v>44600.0</v>
      </c>
      <c r="E2990" s="4" t="s">
        <v>8322</v>
      </c>
      <c r="F2990" s="4" t="s">
        <v>8323</v>
      </c>
      <c r="G2990" s="6" t="str">
        <f>IFERROR(__xludf.DUMMYFUNCTION("REGEXREPLACE(LOWER(F2990),""[^a-z\s]"","""")"),"excellent source for my sweet frenchies needs wonderful customer service they very quickly replaced  cases of canned fromms that were damaged in shipping and i enjoy looking thru the site to find special treats and maybe another toy ")</f>
        <v>excellent source for my sweet frenchies needs wonderful customer service they very quickly replaced  cases of canned fromms that were damaged in shipping and i enjoy looking thru the site to find special treats and maybe another toy </v>
      </c>
      <c r="H2990" s="4" t="str">
        <f t="shared" si="1"/>
        <v>excellent source my sweet frenchies needs wonderful customer service they very quickly replaced cases of canned fromms that were damaged in shipping i enjoy looking thru site find special treats maybe another toy</v>
      </c>
      <c r="I2990" s="6">
        <f t="shared" si="2"/>
        <v>33</v>
      </c>
      <c r="J2990" s="6">
        <f>IFERROR(__xludf.DUMMYFUNCTION("IF(H2990="""","""",
SUM(
ARRAYFORMULA(
IF(
REGEXMATCH(
"" ""&amp;H2990&amp;"" "",
"" ""&amp;Sentiment_Words!A$2:A3730&amp;"" ""
),
1,
0
)
)
)
)"),1.0)</f>
        <v>1</v>
      </c>
      <c r="K2990" s="4">
        <f>IFERROR(__xludf.DUMMYFUNCTION("IF(H2990="""","""",
SUM(
ARRAYFORMULA(
IF(
REGEXMATCH(
"" ""&amp;H2990&amp;"" "",
"" ""&amp;Sentiment_Words!B$2:B3730&amp;"" ""
),
1,
0
)
)
)
)"),1.0)</f>
        <v>1</v>
      </c>
      <c r="L2990" s="7" t="str">
        <f t="shared" si="3"/>
        <v>Customer Support</v>
      </c>
      <c r="M2990" s="7" t="str">
        <f t="shared" si="4"/>
        <v>Neutral</v>
      </c>
      <c r="N2990" s="7" t="str">
        <f>IFERROR(__xludf.DUMMYFUNCTION("LOWER(
TRIM(
REGEXREPLACE(B2990,""[^a-zA-Z\s]"","""")
)
)
"),"patrick")</f>
        <v>patrick</v>
      </c>
      <c r="O2990" s="7">
        <f t="shared" si="5"/>
        <v>3</v>
      </c>
      <c r="P2990" s="8" t="str">
        <f t="shared" si="6"/>
        <v>Yes</v>
      </c>
    </row>
    <row r="2991">
      <c r="A2991" s="4" t="s">
        <v>16</v>
      </c>
      <c r="B2991" s="4" t="s">
        <v>8324</v>
      </c>
      <c r="C2991" s="9">
        <v>44600.0</v>
      </c>
      <c r="D2991" s="10">
        <v>44600.0</v>
      </c>
      <c r="E2991" s="4" t="s">
        <v>8325</v>
      </c>
      <c r="F2991" s="4" t="s">
        <v>8326</v>
      </c>
      <c r="G2991" s="6" t="str">
        <f>IFERROR(__xludf.DUMMYFUNCTION("REGEXREPLACE(LOWER(F2991),""[^a-z\s]"","""")"),"petflow had the brand of dog food i needed and it arrived in  days your online ordering was quick and efficient keep up the great service")</f>
        <v>petflow had the brand of dog food i needed and it arrived in  days your online ordering was quick and efficient keep up the great service</v>
      </c>
      <c r="H2991" s="4" t="str">
        <f t="shared" si="1"/>
        <v>petflow had brand of dog food i needed it arrived in days your online ordering was quick efficient keep up great service</v>
      </c>
      <c r="I2991" s="6">
        <f t="shared" si="2"/>
        <v>22</v>
      </c>
      <c r="J2991" s="6">
        <f>IFERROR(__xludf.DUMMYFUNCTION("IF(H2991="""","""",
SUM(
ARRAYFORMULA(
IF(
REGEXMATCH(
"" ""&amp;H2991&amp;"" "",
"" ""&amp;Sentiment_Words!A$2:A3730&amp;"" ""
),
1,
0
)
)
)
)"),2.0)</f>
        <v>2</v>
      </c>
      <c r="K2991" s="4">
        <f>IFERROR(__xludf.DUMMYFUNCTION("IF(H2991="""","""",
SUM(
ARRAYFORMULA(
IF(
REGEXMATCH(
"" ""&amp;H2991&amp;"" "",
"" ""&amp;Sentiment_Words!B$2:B3730&amp;"" ""
),
1,
0
)
)
)
)"),0.0)</f>
        <v>0</v>
      </c>
      <c r="L2991" s="7" t="str">
        <f t="shared" si="3"/>
        <v>Customer Support</v>
      </c>
      <c r="M2991" s="7" t="str">
        <f t="shared" si="4"/>
        <v>Positive</v>
      </c>
      <c r="N2991" s="7" t="str">
        <f>IFERROR(__xludf.DUMMYFUNCTION("LOWER(
TRIM(
REGEXREPLACE(B2991,""[^a-zA-Z\s]"","""")
)
)
"),"cheryl brockington")</f>
        <v>cheryl brockington</v>
      </c>
      <c r="O2991" s="7">
        <f t="shared" si="5"/>
        <v>1</v>
      </c>
      <c r="P2991" s="8" t="str">
        <f t="shared" si="6"/>
        <v>No</v>
      </c>
    </row>
    <row r="2992">
      <c r="A2992" s="4" t="s">
        <v>16</v>
      </c>
      <c r="B2992" s="4" t="s">
        <v>8327</v>
      </c>
      <c r="C2992" s="9">
        <v>44600.0</v>
      </c>
      <c r="D2992" s="10">
        <v>44600.0</v>
      </c>
      <c r="E2992" s="4" t="s">
        <v>8328</v>
      </c>
      <c r="F2992" s="4" t="s">
        <v>8329</v>
      </c>
      <c r="G2992" s="6" t="str">
        <f>IFERROR(__xludf.DUMMYFUNCTION("REGEXREPLACE(LOWER(F2992),""[^a-z\s]"","""")"),"wonderful company the shipping time was super fast and the customer service team was very helpful i had an issue with my order and when i called customer service they were quick to help solve the issue i have never used petflow before but i will stick wit"&amp;"h them going forward")</f>
        <v>wonderful company the shipping time was super fast and the customer service team was very helpful i had an issue with my order and when i called customer service they were quick to help solve the issue i have never used petflow before but i will stick with them going forward</v>
      </c>
      <c r="H2992" s="4" t="str">
        <f t="shared" si="1"/>
        <v>wonderful company shipping time was super fast customer service team was very helpful i had an issue with my order when i called customer service they were quick help solve issue i have never used petflow before but i will stick with them going forward</v>
      </c>
      <c r="I2992" s="6">
        <f t="shared" si="2"/>
        <v>45</v>
      </c>
      <c r="J2992" s="6">
        <f>IFERROR(__xludf.DUMMYFUNCTION("IF(H2992="""","""",
SUM(
ARRAYFORMULA(
IF(
REGEXMATCH(
"" ""&amp;H2992&amp;"" "",
"" ""&amp;Sentiment_Words!A$2:A3730&amp;"" ""
),
1,
0
)
)
)
)"),3.0)</f>
        <v>3</v>
      </c>
      <c r="K2992" s="4">
        <f>IFERROR(__xludf.DUMMYFUNCTION("IF(H2992="""","""",
SUM(
ARRAYFORMULA(
IF(
REGEXMATCH(
"" ""&amp;H2992&amp;"" "",
"" ""&amp;Sentiment_Words!B$2:B3730&amp;"" ""
),
1,
0
)
)
)
)"),2.0)</f>
        <v>2</v>
      </c>
      <c r="L2992" s="7" t="str">
        <f t="shared" si="3"/>
        <v>Customer Support</v>
      </c>
      <c r="M2992" s="7" t="str">
        <f t="shared" si="4"/>
        <v>Positive</v>
      </c>
      <c r="N2992" s="7" t="str">
        <f>IFERROR(__xludf.DUMMYFUNCTION("LOWER(
TRIM(
REGEXREPLACE(B2992,""[^a-zA-Z\s]"","""")
)
)
"),"jenny perkins")</f>
        <v>jenny perkins</v>
      </c>
      <c r="O2992" s="7">
        <f t="shared" si="5"/>
        <v>1</v>
      </c>
      <c r="P2992" s="8" t="str">
        <f t="shared" si="6"/>
        <v>No</v>
      </c>
    </row>
    <row r="2993">
      <c r="A2993" s="4" t="s">
        <v>16</v>
      </c>
      <c r="B2993" s="4" t="s">
        <v>8330</v>
      </c>
      <c r="C2993" s="9">
        <v>44600.0</v>
      </c>
      <c r="D2993" s="10">
        <v>44600.0</v>
      </c>
      <c r="E2993" s="4" t="s">
        <v>1025</v>
      </c>
      <c r="F2993" s="4" t="s">
        <v>8331</v>
      </c>
      <c r="G2993" s="6" t="str">
        <f>IFERROR(__xludf.DUMMYFUNCTION("REGEXREPLACE(LOWER(F2993),""[^a-z\s]"","""")"),"excellent transaction")</f>
        <v>excellent transaction</v>
      </c>
      <c r="H2993" s="4" t="str">
        <f t="shared" si="1"/>
        <v>excellent transaction</v>
      </c>
      <c r="I2993" s="6">
        <f t="shared" si="2"/>
        <v>2</v>
      </c>
      <c r="J2993" s="6">
        <f>IFERROR(__xludf.DUMMYFUNCTION("IF(H2993="""","""",
SUM(
ARRAYFORMULA(
IF(
REGEXMATCH(
"" ""&amp;H2993&amp;"" "",
"" ""&amp;Sentiment_Words!A$2:A3730&amp;"" ""
),
1,
0
)
)
)
)"),0.0)</f>
        <v>0</v>
      </c>
      <c r="K2993" s="4">
        <f>IFERROR(__xludf.DUMMYFUNCTION("IF(H2993="""","""",
SUM(
ARRAYFORMULA(
IF(
REGEXMATCH(
"" ""&amp;H2993&amp;"" "",
"" ""&amp;Sentiment_Words!B$2:B3730&amp;"" ""
),
1,
0
)
)
)
)"),0.0)</f>
        <v>0</v>
      </c>
      <c r="L2993" s="7" t="str">
        <f t="shared" si="3"/>
        <v>Other</v>
      </c>
      <c r="M2993" s="7" t="str">
        <f t="shared" si="4"/>
        <v>Neutral</v>
      </c>
      <c r="N2993" s="7" t="str">
        <f>IFERROR(__xludf.DUMMYFUNCTION("LOWER(
TRIM(
REGEXREPLACE(B2993,""[^a-zA-Z\s]"","""")
)
)
"),"elisabeth")</f>
        <v>elisabeth</v>
      </c>
      <c r="O2993" s="7">
        <f t="shared" si="5"/>
        <v>1</v>
      </c>
      <c r="P2993" s="8" t="str">
        <f t="shared" si="6"/>
        <v>No</v>
      </c>
    </row>
    <row r="2994">
      <c r="A2994" s="4" t="s">
        <v>16</v>
      </c>
      <c r="B2994" s="4" t="s">
        <v>8332</v>
      </c>
      <c r="C2994" s="9">
        <v>44600.0</v>
      </c>
      <c r="D2994" s="10">
        <v>44600.0</v>
      </c>
      <c r="E2994" s="4" t="s">
        <v>8333</v>
      </c>
      <c r="F2994" s="4" t="s">
        <v>8334</v>
      </c>
      <c r="G2994" s="6" t="str">
        <f>IFERROR(__xludf.DUMMYFUNCTION("REGEXREPLACE(LOWER(F2994),""[^a-z\s]"","""")"),"your company sucks im never buying any thing from you again ")</f>
        <v>your company sucks im never buying any thing from you again </v>
      </c>
      <c r="H2994" s="4" t="str">
        <f t="shared" si="1"/>
        <v>your company sucks im never buying any thing from you again</v>
      </c>
      <c r="I2994" s="6">
        <f t="shared" si="2"/>
        <v>11</v>
      </c>
      <c r="J2994" s="6">
        <f>IFERROR(__xludf.DUMMYFUNCTION("IF(H2994="""","""",
SUM(
ARRAYFORMULA(
IF(
REGEXMATCH(
"" ""&amp;H2994&amp;"" "",
"" ""&amp;Sentiment_Words!A$2:A3730&amp;"" ""
),
1,
0
)
)
)
)"),0.0)</f>
        <v>0</v>
      </c>
      <c r="K2994" s="4">
        <f>IFERROR(__xludf.DUMMYFUNCTION("IF(H2994="""","""",
SUM(
ARRAYFORMULA(
IF(
REGEXMATCH(
"" ""&amp;H2994&amp;"" "",
"" ""&amp;Sentiment_Words!B$2:B3730&amp;"" ""
),
1,
0
)
)
)
)"),0.0)</f>
        <v>0</v>
      </c>
      <c r="L2994" s="7" t="str">
        <f t="shared" si="3"/>
        <v>Other</v>
      </c>
      <c r="M2994" s="7" t="str">
        <f t="shared" si="4"/>
        <v>Neutral</v>
      </c>
      <c r="N2994" s="7" t="str">
        <f>IFERROR(__xludf.DUMMYFUNCTION("LOWER(
TRIM(
REGEXREPLACE(B2994,""[^a-zA-Z\s]"","""")
)
)
"),"candice")</f>
        <v>candice</v>
      </c>
      <c r="O2994" s="7">
        <f t="shared" si="5"/>
        <v>1</v>
      </c>
      <c r="P2994" s="8" t="str">
        <f t="shared" si="6"/>
        <v>No</v>
      </c>
    </row>
    <row r="2995">
      <c r="A2995" s="4" t="s">
        <v>16</v>
      </c>
      <c r="B2995" s="4" t="s">
        <v>8335</v>
      </c>
      <c r="C2995" s="9">
        <v>44600.0</v>
      </c>
      <c r="D2995" s="10">
        <v>44600.0</v>
      </c>
      <c r="E2995" s="4" t="s">
        <v>8336</v>
      </c>
      <c r="F2995" s="4" t="s">
        <v>8337</v>
      </c>
      <c r="G2995" s="6" t="str">
        <f>IFERROR(__xludf.DUMMYFUNCTION("REGEXREPLACE(LOWER(F2995),""[^a-z\s]"","""")"),"cat food in stock quick shipping everything in good shape")</f>
        <v>cat food in stock quick shipping everything in good shape</v>
      </c>
      <c r="H2995" s="4" t="str">
        <f t="shared" si="1"/>
        <v>cat food in stock quick shipping everything in good shape</v>
      </c>
      <c r="I2995" s="6">
        <f t="shared" si="2"/>
        <v>10</v>
      </c>
      <c r="J2995" s="6">
        <f>IFERROR(__xludf.DUMMYFUNCTION("IF(H2995="""","""",
SUM(
ARRAYFORMULA(
IF(
REGEXMATCH(
"" ""&amp;H2995&amp;"" "",
"" ""&amp;Sentiment_Words!A$2:A3730&amp;"" ""
),
1,
0
)
)
)
)"),1.0)</f>
        <v>1</v>
      </c>
      <c r="K2995" s="4">
        <f>IFERROR(__xludf.DUMMYFUNCTION("IF(H2995="""","""",
SUM(
ARRAYFORMULA(
IF(
REGEXMATCH(
"" ""&amp;H2995&amp;"" "",
"" ""&amp;Sentiment_Words!B$2:B3730&amp;"" ""
),
1,
0
)
)
)
)"),0.0)</f>
        <v>0</v>
      </c>
      <c r="L2995" s="7" t="str">
        <f t="shared" si="3"/>
        <v>Other</v>
      </c>
      <c r="M2995" s="7" t="str">
        <f t="shared" si="4"/>
        <v>Positive</v>
      </c>
      <c r="N2995" s="7" t="str">
        <f>IFERROR(__xludf.DUMMYFUNCTION("LOWER(
TRIM(
REGEXREPLACE(B2995,""[^a-zA-Z\s]"","""")
)
)
"),"dean kopp")</f>
        <v>dean kopp</v>
      </c>
      <c r="O2995" s="7">
        <f t="shared" si="5"/>
        <v>1</v>
      </c>
      <c r="P2995" s="8" t="str">
        <f t="shared" si="6"/>
        <v>No</v>
      </c>
    </row>
    <row r="2996">
      <c r="A2996" s="4" t="s">
        <v>16</v>
      </c>
      <c r="B2996" s="4" t="s">
        <v>8338</v>
      </c>
      <c r="C2996" s="9">
        <v>44600.0</v>
      </c>
      <c r="D2996" s="10">
        <v>44600.0</v>
      </c>
      <c r="E2996" s="4" t="s">
        <v>8339</v>
      </c>
      <c r="F2996" s="4" t="s">
        <v>8340</v>
      </c>
      <c r="G2996" s="6" t="str">
        <f>IFERROR(__xludf.DUMMYFUNCTION("REGEXREPLACE(LOWER(F2996),""[^a-z\s]"","""")"),"i am very happy with my order from petflow i found cat food on their site that i was unable to find any where else it was shipped quickly great place to shop for pets")</f>
        <v>i am very happy with my order from petflow i found cat food on their site that i was unable to find any where else it was shipped quickly great place to shop for pets</v>
      </c>
      <c r="H2996" s="4" t="str">
        <f t="shared" si="1"/>
        <v>i am very happy with my order from petflow i found cat food on their site that i was unable find any where else it was shipped quickly great place shop pets</v>
      </c>
      <c r="I2996" s="6">
        <f t="shared" si="2"/>
        <v>32</v>
      </c>
      <c r="J2996" s="6">
        <f>IFERROR(__xludf.DUMMYFUNCTION("IF(H2996="""","""",
SUM(
ARRAYFORMULA(
IF(
REGEXMATCH(
"" ""&amp;H2996&amp;"" "",
"" ""&amp;Sentiment_Words!A$2:A3730&amp;"" ""
),
1,
0
)
)
)
)"),4.0)</f>
        <v>4</v>
      </c>
      <c r="K2996" s="4">
        <f>IFERROR(__xludf.DUMMYFUNCTION("IF(H2996="""","""",
SUM(
ARRAYFORMULA(
IF(
REGEXMATCH(
"" ""&amp;H2996&amp;"" "",
"" ""&amp;Sentiment_Words!B$2:B3730&amp;"" ""
),
1,
0
)
)
)
)"),0.0)</f>
        <v>0</v>
      </c>
      <c r="L2996" s="7" t="str">
        <f t="shared" si="3"/>
        <v>Other</v>
      </c>
      <c r="M2996" s="7" t="str">
        <f t="shared" si="4"/>
        <v>Positive</v>
      </c>
      <c r="N2996" s="7" t="str">
        <f>IFERROR(__xludf.DUMMYFUNCTION("LOWER(
TRIM(
REGEXREPLACE(B2996,""[^a-zA-Z\s]"","""")
)
)
"),"lisa peet")</f>
        <v>lisa peet</v>
      </c>
      <c r="O2996" s="7">
        <f t="shared" si="5"/>
        <v>1</v>
      </c>
      <c r="P2996" s="8" t="str">
        <f t="shared" si="6"/>
        <v>No</v>
      </c>
    </row>
    <row r="2997">
      <c r="A2997" s="4" t="s">
        <v>16</v>
      </c>
      <c r="B2997" s="4" t="s">
        <v>3332</v>
      </c>
      <c r="C2997" s="9">
        <v>44600.0</v>
      </c>
      <c r="D2997" s="10">
        <v>44600.0</v>
      </c>
      <c r="E2997" s="4" t="s">
        <v>8341</v>
      </c>
      <c r="F2997" s="4" t="s">
        <v>331</v>
      </c>
      <c r="G2997" s="6" t="str">
        <f>IFERROR(__xludf.DUMMYFUNCTION("REGEXREPLACE(LOWER(F2997),""[^a-z\s]"","""")"),"none")</f>
        <v>none</v>
      </c>
      <c r="H2997" s="4" t="str">
        <f t="shared" si="1"/>
        <v>none</v>
      </c>
      <c r="I2997" s="6">
        <f t="shared" si="2"/>
        <v>1</v>
      </c>
      <c r="J2997" s="6">
        <f>IFERROR(__xludf.DUMMYFUNCTION("IF(H2997="""","""",
SUM(
ARRAYFORMULA(
IF(
REGEXMATCH(
"" ""&amp;H2997&amp;"" "",
"" ""&amp;Sentiment_Words!A$2:A3730&amp;"" ""
),
1,
0
)
)
)
)"),0.0)</f>
        <v>0</v>
      </c>
      <c r="K2997" s="4">
        <f>IFERROR(__xludf.DUMMYFUNCTION("IF(H2997="""","""",
SUM(
ARRAYFORMULA(
IF(
REGEXMATCH(
"" ""&amp;H2997&amp;"" "",
"" ""&amp;Sentiment_Words!B$2:B3730&amp;"" ""
),
1,
0
)
)
)
)"),0.0)</f>
        <v>0</v>
      </c>
      <c r="L2997" s="7" t="str">
        <f t="shared" si="3"/>
        <v>Other</v>
      </c>
      <c r="M2997" s="7" t="str">
        <f t="shared" si="4"/>
        <v>Neutral</v>
      </c>
      <c r="N2997" s="7" t="str">
        <f>IFERROR(__xludf.DUMMYFUNCTION("LOWER(
TRIM(
REGEXREPLACE(B2997,""[^a-zA-Z\s]"","""")
)
)
"),"karen")</f>
        <v>karen</v>
      </c>
      <c r="O2997" s="7">
        <f t="shared" si="5"/>
        <v>8</v>
      </c>
      <c r="P2997" s="8" t="str">
        <f t="shared" si="6"/>
        <v>Yes</v>
      </c>
    </row>
    <row r="2998">
      <c r="A2998" s="4" t="s">
        <v>16</v>
      </c>
      <c r="B2998" s="4" t="s">
        <v>8342</v>
      </c>
      <c r="C2998" s="9">
        <v>44600.0</v>
      </c>
      <c r="D2998" s="10">
        <v>44600.0</v>
      </c>
      <c r="E2998" s="4" t="s">
        <v>8343</v>
      </c>
      <c r="F2998" s="4" t="s">
        <v>8344</v>
      </c>
      <c r="G2998" s="6" t="str">
        <f>IFERROR(__xludf.DUMMYFUNCTION("REGEXREPLACE(LOWER(F2998),""[^a-z\s]"","""")"),"super fast shipping and easy to deal with processed my dogs prescription food fast with a straightforward process switched from chewy who were awful to deal with")</f>
        <v>super fast shipping and easy to deal with processed my dogs prescription food fast with a straightforward process switched from chewy who were awful to deal with</v>
      </c>
      <c r="H2998" s="4" t="str">
        <f t="shared" si="1"/>
        <v>super fast shipping easy deal with processed my dogs prescription food fast with a straightforward process switched from chewy who were awful deal with</v>
      </c>
      <c r="I2998" s="6">
        <f t="shared" si="2"/>
        <v>24</v>
      </c>
      <c r="J2998" s="6">
        <f>IFERROR(__xludf.DUMMYFUNCTION("IF(H2998="""","""",
SUM(
ARRAYFORMULA(
IF(
REGEXMATCH(
"" ""&amp;H2998&amp;"" "",
"" ""&amp;Sentiment_Words!A$2:A3730&amp;"" ""
),
1,
0
)
)
)
)"),2.0)</f>
        <v>2</v>
      </c>
      <c r="K2998" s="4">
        <f>IFERROR(__xludf.DUMMYFUNCTION("IF(H2998="""","""",
SUM(
ARRAYFORMULA(
IF(
REGEXMATCH(
"" ""&amp;H2998&amp;"" "",
"" ""&amp;Sentiment_Words!B$2:B3730&amp;"" ""
),
1,
0
)
)
)
)"),0.0)</f>
        <v>0</v>
      </c>
      <c r="L2998" s="7" t="str">
        <f t="shared" si="3"/>
        <v>Other</v>
      </c>
      <c r="M2998" s="7" t="str">
        <f t="shared" si="4"/>
        <v>Positive</v>
      </c>
      <c r="N2998" s="7" t="str">
        <f>IFERROR(__xludf.DUMMYFUNCTION("LOWER(
TRIM(
REGEXREPLACE(B2998,""[^a-zA-Z\s]"","""")
)
)
"),"jason drake")</f>
        <v>jason drake</v>
      </c>
      <c r="O2998" s="7">
        <f t="shared" si="5"/>
        <v>1</v>
      </c>
      <c r="P2998" s="8" t="str">
        <f t="shared" si="6"/>
        <v>No</v>
      </c>
    </row>
    <row r="2999">
      <c r="A2999" s="4" t="s">
        <v>16</v>
      </c>
      <c r="B2999" s="4" t="s">
        <v>8345</v>
      </c>
      <c r="C2999" s="9">
        <v>44599.0</v>
      </c>
      <c r="D2999" s="10">
        <v>44600.0</v>
      </c>
      <c r="E2999" s="4" t="s">
        <v>8346</v>
      </c>
      <c r="F2999" s="4" t="s">
        <v>8347</v>
      </c>
      <c r="G2999" s="6" t="str">
        <f>IFERROR(__xludf.DUMMYFUNCTION("REGEXREPLACE(LOWER(F2999),""[^a-z\s]"","""")"),"i have had a very hard time finding taste of the wild wet dog food anywhere for my dog and pet flow had it i ordered it and they sent it right out their site was easy to use and the ordering process was easy as well i will be using pet flow again")</f>
        <v>i have had a very hard time finding taste of the wild wet dog food anywhere for my dog and pet flow had it i ordered it and they sent it right out their site was easy to use and the ordering process was easy as well i will be using pet flow again</v>
      </c>
      <c r="H2999" s="4" t="str">
        <f t="shared" si="1"/>
        <v>i have had a very hard time finding taste of wild wet dog food anywhere my dog pet flow had it i ordered it they sent it right out their site was easy use ordering process was easy as well i will be using pet flow again</v>
      </c>
      <c r="I2999" s="6">
        <f t="shared" si="2"/>
        <v>47</v>
      </c>
      <c r="J2999" s="6">
        <f>IFERROR(__xludf.DUMMYFUNCTION("IF(H2999="""","""",
SUM(
ARRAYFORMULA(
IF(
REGEXMATCH(
"" ""&amp;H2999&amp;"" "",
"" ""&amp;Sentiment_Words!A$2:A3730&amp;"" ""
),
1,
0
)
)
)
)"),1.0)</f>
        <v>1</v>
      </c>
      <c r="K2999" s="4">
        <f>IFERROR(__xludf.DUMMYFUNCTION("IF(H2999="""","""",
SUM(
ARRAYFORMULA(
IF(
REGEXMATCH(
"" ""&amp;H2999&amp;"" "",
"" ""&amp;Sentiment_Words!B$2:B3730&amp;"" ""
),
1,
0
)
)
)
)"),0.0)</f>
        <v>0</v>
      </c>
      <c r="L2999" s="7" t="str">
        <f t="shared" si="3"/>
        <v>Other</v>
      </c>
      <c r="M2999" s="7" t="str">
        <f t="shared" si="4"/>
        <v>Positive</v>
      </c>
      <c r="N2999" s="7" t="str">
        <f>IFERROR(__xludf.DUMMYFUNCTION("LOWER(
TRIM(
REGEXREPLACE(B2999,""[^a-zA-Z\s]"","""")
)
)
"),"mallory")</f>
        <v>mallory</v>
      </c>
      <c r="O2999" s="7">
        <f t="shared" si="5"/>
        <v>1</v>
      </c>
      <c r="P2999" s="8" t="str">
        <f t="shared" si="6"/>
        <v>No</v>
      </c>
    </row>
    <row r="3000">
      <c r="A3000" s="4" t="s">
        <v>16</v>
      </c>
      <c r="B3000" s="4" t="s">
        <v>8348</v>
      </c>
      <c r="C3000" s="9">
        <v>44599.0</v>
      </c>
      <c r="D3000" s="10">
        <v>44599.0</v>
      </c>
      <c r="E3000" s="4" t="s">
        <v>8349</v>
      </c>
      <c r="F3000" s="4" t="s">
        <v>8350</v>
      </c>
      <c r="G3000" s="6" t="str">
        <f>IFERROR(__xludf.DUMMYFUNCTION("REGEXREPLACE(LOWER(F3000),""[^a-z\s]"","""")"),"petflow has been charging me for dog food they couldnt source they charged my credit card for two bags of dog food but only delivered one i had to call monthly to get the refund after showing them the shipping weight did not equate to the  bags but one i "&amp;"missed a few calls and now theyve overcharged my by  and got a sorry but cant help you as you didnt call us within  days i provided the documentation to show they were in error but still nothing was done this overcharge has negated any discounts they prov"&amp;"ided if you use petflow make sure you check your shipments and credit card charges")</f>
        <v>petflow has been charging me for dog food they couldnt source they charged my credit card for two bags of dog food but only delivered one i had to call monthly to get the refund after showing them the shipping weight did not equate to the  bags but one i missed a few calls and now theyve overcharged my by  and got a sorry but cant help you as you didnt call us within  days i provided the documentation to show they were in error but still nothing was done this overcharge has negated any discounts they provided if you use petflow make sure you check your shipments and credit card charges</v>
      </c>
      <c r="H3000" s="4" t="str">
        <f t="shared" si="1"/>
        <v>petflow has been charging me dog food they couldnt source they charged my credit card two bags of dog food but only delivered one i had call monthly get refund after showing them shipping weight did not equate bags but one i missed a few calls now theyve overcharged my by got a sorry but cant help you as you didnt call us within days i provided documentation show they were in error but still nothing was done this overcharge has negated any discounts they provided if you use petflow make sure you check your shipments credit card charges</v>
      </c>
      <c r="I3000" s="6">
        <f t="shared" si="2"/>
        <v>99</v>
      </c>
      <c r="J3000" s="6">
        <f>IFERROR(__xludf.DUMMYFUNCTION("IF(H3000="""","""",
SUM(
ARRAYFORMULA(
IF(
REGEXMATCH(
"" ""&amp;H3000&amp;"" "",
"" ""&amp;Sentiment_Words!A$2:A3730&amp;"" ""
),
1,
0
)
)
)
)"),1.0)</f>
        <v>1</v>
      </c>
      <c r="K3000" s="4">
        <f>IFERROR(__xludf.DUMMYFUNCTION("IF(H3000="""","""",
SUM(
ARRAYFORMULA(
IF(
REGEXMATCH(
"" ""&amp;H3000&amp;"" "",
"" ""&amp;Sentiment_Words!B$2:B3730&amp;"" ""
),
1,
0
)
)
)
)"),1.0)</f>
        <v>1</v>
      </c>
      <c r="L3000" s="7" t="str">
        <f t="shared" si="3"/>
        <v>Other</v>
      </c>
      <c r="M3000" s="7" t="str">
        <f t="shared" si="4"/>
        <v>Neutral</v>
      </c>
      <c r="N3000" s="7" t="str">
        <f>IFERROR(__xludf.DUMMYFUNCTION("LOWER(
TRIM(
REGEXREPLACE(B3000,""[^a-zA-Z\s]"","""")
)
)
"),"erik foubert")</f>
        <v>erik foubert</v>
      </c>
      <c r="O3000" s="7">
        <f t="shared" si="5"/>
        <v>1</v>
      </c>
      <c r="P3000" s="8" t="str">
        <f t="shared" si="6"/>
        <v>No</v>
      </c>
    </row>
    <row r="3001">
      <c r="A3001" s="4" t="s">
        <v>16</v>
      </c>
      <c r="B3001" s="4" t="s">
        <v>8351</v>
      </c>
      <c r="C3001" s="9">
        <v>44599.0</v>
      </c>
      <c r="D3001" s="10">
        <v>44599.0</v>
      </c>
      <c r="E3001" s="4" t="s">
        <v>8352</v>
      </c>
      <c r="F3001" s="4" t="s">
        <v>8353</v>
      </c>
      <c r="G3001" s="6" t="str">
        <f>IFERROR(__xludf.DUMMYFUNCTION("REGEXREPLACE(LOWER(F3001),""[^a-z\s]"","""")"),"pet flow is doing an excellent job of coping with the shipping issues generated by the pandemic i appreciate that you keep me informed about my orders and shipments as you deal with events that compact my order it enables me to plan for our pet needs than"&amp;"ks so much
gunnys grandma")</f>
        <v>pet flow is doing an excellent job of coping with the shipping issues generated by the pandemic i appreciate that you keep me informed about my orders and shipments as you deal with events that compact my order it enables me to plan for our pet needs thanks so much
gunnys grandma</v>
      </c>
      <c r="H3001" s="4" t="str">
        <f t="shared" si="1"/>
        <v>pet flow doing an excellent job of coping with shipping issues generated by pandemic i appreciate that you keep me informed about my orders shipments as you deal with events that compact my order it enables me plan our pet needs thanks so much
gunnys grandma</v>
      </c>
      <c r="I3001" s="6">
        <f t="shared" si="2"/>
        <v>45</v>
      </c>
      <c r="J3001" s="6">
        <f>IFERROR(__xludf.DUMMYFUNCTION("IF(H3001="""","""",
SUM(
ARRAYFORMULA(
IF(
REGEXMATCH(
"" ""&amp;H3001&amp;"" "",
"" ""&amp;Sentiment_Words!A$2:A3730&amp;"" ""
),
1,
0
)
)
)
)"),0.0)</f>
        <v>0</v>
      </c>
      <c r="K3001" s="4">
        <f>IFERROR(__xludf.DUMMYFUNCTION("IF(H3001="""","""",
SUM(
ARRAYFORMULA(
IF(
REGEXMATCH(
"" ""&amp;H3001&amp;"" "",
"" ""&amp;Sentiment_Words!B$2:B3730&amp;"" ""
),
1,
0
)
)
)
)"),0.0)</f>
        <v>0</v>
      </c>
      <c r="L3001" s="7" t="str">
        <f t="shared" si="3"/>
        <v>Other</v>
      </c>
      <c r="M3001" s="7" t="str">
        <f t="shared" si="4"/>
        <v>Neutral</v>
      </c>
      <c r="N3001" s="7" t="str">
        <f>IFERROR(__xludf.DUMMYFUNCTION("LOWER(
TRIM(
REGEXREPLACE(B3001,""[^a-zA-Z\s]"","""")
)
)
"),"joan abrahamson")</f>
        <v>joan abrahamson</v>
      </c>
      <c r="O3001" s="7">
        <f t="shared" si="5"/>
        <v>1</v>
      </c>
      <c r="P3001" s="8" t="str">
        <f t="shared" si="6"/>
        <v>No</v>
      </c>
    </row>
    <row r="3002">
      <c r="A3002" s="4" t="s">
        <v>16</v>
      </c>
      <c r="B3002" s="4" t="s">
        <v>8354</v>
      </c>
      <c r="C3002" s="9">
        <v>44599.0</v>
      </c>
      <c r="D3002" s="10">
        <v>44599.0</v>
      </c>
      <c r="E3002" s="4" t="s">
        <v>8355</v>
      </c>
      <c r="F3002" s="4" t="s">
        <v>8356</v>
      </c>
      <c r="G3002" s="6" t="str">
        <f>IFERROR(__xludf.DUMMYFUNCTION("REGEXREPLACE(LOWER(F3002),""[^a-z\s]"","""")"),"all are ok thank you")</f>
        <v>all are ok thank you</v>
      </c>
      <c r="H3002" s="4" t="str">
        <f t="shared" si="1"/>
        <v>all are ok thank you</v>
      </c>
      <c r="I3002" s="6">
        <f t="shared" si="2"/>
        <v>5</v>
      </c>
      <c r="J3002" s="6">
        <f>IFERROR(__xludf.DUMMYFUNCTION("IF(H3002="""","""",
SUM(
ARRAYFORMULA(
IF(
REGEXMATCH(
"" ""&amp;H3002&amp;"" "",
"" ""&amp;Sentiment_Words!A$2:A3730&amp;"" ""
),
1,
0
)
)
)
)"),0.0)</f>
        <v>0</v>
      </c>
      <c r="K3002" s="4">
        <f>IFERROR(__xludf.DUMMYFUNCTION("IF(H3002="""","""",
SUM(
ARRAYFORMULA(
IF(
REGEXMATCH(
"" ""&amp;H3002&amp;"" "",
"" ""&amp;Sentiment_Words!B$2:B3730&amp;"" ""
),
1,
0
)
)
)
)"),0.0)</f>
        <v>0</v>
      </c>
      <c r="L3002" s="7" t="str">
        <f t="shared" si="3"/>
        <v>Other</v>
      </c>
      <c r="M3002" s="7" t="str">
        <f t="shared" si="4"/>
        <v>Neutral</v>
      </c>
      <c r="N3002" s="7" t="str">
        <f>IFERROR(__xludf.DUMMYFUNCTION("LOWER(
TRIM(
REGEXREPLACE(B3002,""[^a-zA-Z\s]"","""")
)
)
"),"faina lekakh")</f>
        <v>faina lekakh</v>
      </c>
      <c r="O3002" s="7">
        <f t="shared" si="5"/>
        <v>1</v>
      </c>
      <c r="P3002" s="8" t="str">
        <f t="shared" si="6"/>
        <v>No</v>
      </c>
    </row>
    <row r="3003">
      <c r="A3003" s="4" t="s">
        <v>16</v>
      </c>
      <c r="B3003" s="4" t="s">
        <v>8357</v>
      </c>
      <c r="C3003" s="9">
        <v>44599.0</v>
      </c>
      <c r="D3003" s="10">
        <v>44599.0</v>
      </c>
      <c r="E3003" s="4" t="s">
        <v>8358</v>
      </c>
      <c r="F3003" s="4" t="s">
        <v>8359</v>
      </c>
      <c r="G3003" s="6" t="str">
        <f>IFERROR(__xludf.DUMMYFUNCTION("REGEXREPLACE(LOWER(F3003),""[^a-z\s]"","""")"),"i am so thrilled with the fast delivery and awesome service thank you for the great job")</f>
        <v>i am so thrilled with the fast delivery and awesome service thank you for the great job</v>
      </c>
      <c r="H3003" s="4" t="str">
        <f t="shared" si="1"/>
        <v>i am so thrilled with fast delivery awesome service thank you great job</v>
      </c>
      <c r="I3003" s="6">
        <f t="shared" si="2"/>
        <v>13</v>
      </c>
      <c r="J3003" s="6">
        <f>IFERROR(__xludf.DUMMYFUNCTION("IF(H3003="""","""",
SUM(
ARRAYFORMULA(
IF(
REGEXMATCH(
"" ""&amp;H3003&amp;"" "",
"" ""&amp;Sentiment_Words!A$2:A3730&amp;"" ""
),
1,
0
)
)
)
)"),3.0)</f>
        <v>3</v>
      </c>
      <c r="K3003" s="4">
        <f>IFERROR(__xludf.DUMMYFUNCTION("IF(H3003="""","""",
SUM(
ARRAYFORMULA(
IF(
REGEXMATCH(
"" ""&amp;H3003&amp;"" "",
"" ""&amp;Sentiment_Words!B$2:B3730&amp;"" ""
),
1,
0
)
)
)
)"),0.0)</f>
        <v>0</v>
      </c>
      <c r="L3003" s="7" t="str">
        <f t="shared" si="3"/>
        <v>Customer Support</v>
      </c>
      <c r="M3003" s="7" t="str">
        <f t="shared" si="4"/>
        <v>Positive</v>
      </c>
      <c r="N3003" s="7" t="str">
        <f>IFERROR(__xludf.DUMMYFUNCTION("LOWER(
TRIM(
REGEXREPLACE(B3003,""[^a-zA-Z\s]"","""")
)
)
"),"ryan stackhouse")</f>
        <v>ryan stackhouse</v>
      </c>
      <c r="O3003" s="7">
        <f t="shared" si="5"/>
        <v>1</v>
      </c>
      <c r="P3003" s="8" t="str">
        <f t="shared" si="6"/>
        <v>No</v>
      </c>
    </row>
    <row r="3004">
      <c r="A3004" s="4" t="s">
        <v>16</v>
      </c>
      <c r="B3004" s="4" t="s">
        <v>8360</v>
      </c>
      <c r="C3004" s="9">
        <v>44599.0</v>
      </c>
      <c r="D3004" s="10">
        <v>44599.0</v>
      </c>
      <c r="E3004" s="4" t="s">
        <v>8361</v>
      </c>
      <c r="F3004" s="4" t="s">
        <v>8362</v>
      </c>
      <c r="G3004" s="6" t="str">
        <f>IFERROR(__xludf.DUMMYFUNCTION("REGEXREPLACE(LOWER(F3004),""[^a-z\s]"","""")"),"as a new customer to petflow it is worth nothing that their website prices and delivery was outstanding and exceeded my expectation thank you")</f>
        <v>as a new customer to petflow it is worth nothing that their website prices and delivery was outstanding and exceeded my expectation thank you</v>
      </c>
      <c r="H3004" s="4" t="str">
        <f t="shared" si="1"/>
        <v>as a new customer petflow it worth nothing that their website prices delivery was outstanding exceeded my expectation thank you</v>
      </c>
      <c r="I3004" s="6">
        <f t="shared" si="2"/>
        <v>20</v>
      </c>
      <c r="J3004" s="6">
        <f>IFERROR(__xludf.DUMMYFUNCTION("IF(H3004="""","""",
SUM(
ARRAYFORMULA(
IF(
REGEXMATCH(
"" ""&amp;H3004&amp;"" "",
"" ""&amp;Sentiment_Words!A$2:A3730&amp;"" ""
),
1,
0
)
)
)
)"),1.0)</f>
        <v>1</v>
      </c>
      <c r="K3004" s="4">
        <f>IFERROR(__xludf.DUMMYFUNCTION("IF(H3004="""","""",
SUM(
ARRAYFORMULA(
IF(
REGEXMATCH(
"" ""&amp;H3004&amp;"" "",
"" ""&amp;Sentiment_Words!B$2:B3730&amp;"" ""
),
1,
0
)
)
)
)"),0.0)</f>
        <v>0</v>
      </c>
      <c r="L3004" s="7" t="str">
        <f t="shared" si="3"/>
        <v>Account &amp; Website</v>
      </c>
      <c r="M3004" s="7" t="str">
        <f t="shared" si="4"/>
        <v>Positive</v>
      </c>
      <c r="N3004" s="7" t="str">
        <f>IFERROR(__xludf.DUMMYFUNCTION("LOWER(
TRIM(
REGEXREPLACE(B3004,""[^a-zA-Z\s]"","""")
)
)
"),"kourosh massarat")</f>
        <v>kourosh massarat</v>
      </c>
      <c r="O3004" s="7">
        <f t="shared" si="5"/>
        <v>1</v>
      </c>
      <c r="P3004" s="8" t="str">
        <f t="shared" si="6"/>
        <v>No</v>
      </c>
    </row>
    <row r="3005">
      <c r="A3005" s="4" t="s">
        <v>16</v>
      </c>
      <c r="B3005" s="4" t="s">
        <v>8363</v>
      </c>
      <c r="C3005" s="9">
        <v>44599.0</v>
      </c>
      <c r="D3005" s="10">
        <v>44599.0</v>
      </c>
      <c r="E3005" s="4" t="s">
        <v>1319</v>
      </c>
      <c r="F3005" s="4" t="s">
        <v>8364</v>
      </c>
      <c r="G3005" s="6" t="str">
        <f>IFERROR(__xludf.DUMMYFUNCTION("REGEXREPLACE(LOWER(F3005),""[^a-z\s]"","""")"),"excellent service the price was right and the delivery was super fast")</f>
        <v>excellent service the price was right and the delivery was super fast</v>
      </c>
      <c r="H3005" s="4" t="str">
        <f t="shared" si="1"/>
        <v>excellent service price was right delivery was super fast</v>
      </c>
      <c r="I3005" s="6">
        <f t="shared" si="2"/>
        <v>9</v>
      </c>
      <c r="J3005" s="6">
        <f>IFERROR(__xludf.DUMMYFUNCTION("IF(H3005="""","""",
SUM(
ARRAYFORMULA(
IF(
REGEXMATCH(
"" ""&amp;H3005&amp;"" "",
"" ""&amp;Sentiment_Words!A$2:A3730&amp;"" ""
),
1,
0
)
)
)
)"),1.0)</f>
        <v>1</v>
      </c>
      <c r="K3005" s="4">
        <f>IFERROR(__xludf.DUMMYFUNCTION("IF(H3005="""","""",
SUM(
ARRAYFORMULA(
IF(
REGEXMATCH(
"" ""&amp;H3005&amp;"" "",
"" ""&amp;Sentiment_Words!B$2:B3730&amp;"" ""
),
1,
0
)
)
)
)"),0.0)</f>
        <v>0</v>
      </c>
      <c r="L3005" s="7" t="str">
        <f t="shared" si="3"/>
        <v>Customer Support</v>
      </c>
      <c r="M3005" s="7" t="str">
        <f t="shared" si="4"/>
        <v>Positive</v>
      </c>
      <c r="N3005" s="7" t="str">
        <f>IFERROR(__xludf.DUMMYFUNCTION("LOWER(
TRIM(
REGEXREPLACE(B3005,""[^a-zA-Z\s]"","""")
)
)
"),"dott")</f>
        <v>dott</v>
      </c>
      <c r="O3005" s="7">
        <f t="shared" si="5"/>
        <v>1</v>
      </c>
      <c r="P3005" s="8" t="str">
        <f t="shared" si="6"/>
        <v>No</v>
      </c>
    </row>
    <row r="3006">
      <c r="A3006" s="4" t="s">
        <v>16</v>
      </c>
      <c r="B3006" s="4" t="s">
        <v>8365</v>
      </c>
      <c r="C3006" s="9">
        <v>44599.0</v>
      </c>
      <c r="D3006" s="10">
        <v>44599.0</v>
      </c>
      <c r="E3006" s="4" t="s">
        <v>8366</v>
      </c>
      <c r="F3006" s="4" t="s">
        <v>8367</v>
      </c>
      <c r="G3006" s="6" t="str">
        <f>IFERROR(__xludf.DUMMYFUNCTION("REGEXREPLACE(LOWER(F3006),""[^a-z\s]"","""")"),"hello
what a difficult experience ordered rx food for a very sick kitten on january  th then reached to customer service on the th to enquire about the timelines for a local store was out of stock and was running out of food for the kitten then was reassu"&amp;"red that the purchase would be shipped as soon as the rx verified called again on the th was told that the rx was verified so package would be shipped and i would get it by february nd when there still was neither package or a tracking number called the c"&amp;"ustomer service again for the d time was told that no shipping info was available so i asked to talk to the supervisor and was told that hed call me within  hrs needless to say no one called me or reached out to me via email
i had no choice but cancel my "&amp;"purchase on february th and order the food on a more reliable site just hope the money would be promptly returned
thanks")</f>
        <v>hello
what a difficult experience ordered rx food for a very sick kitten on january  th then reached to customer service on the th to enquire about the timelines for a local store was out of stock and was running out of food for the kitten then was reassured that the purchase would be shipped as soon as the rx verified called again on the th was told that the rx was verified so package would be shipped and i would get it by february nd when there still was neither package or a tracking number called the customer service again for the d time was told that no shipping info was available so i asked to talk to the supervisor and was told that hed call me within  hrs needless to say no one called me or reached out to me via email
i had no choice but cancel my purchase on february th and order the food on a more reliable site just hope the money would be promptly returned
thanks</v>
      </c>
      <c r="H3006" s="4" t="str">
        <f t="shared" si="1"/>
        <v>hello
what a difficult experience ordered rx food a very sick kitten on january th then reached customer service on th enquire about timelines a local store was out of stock was running out of food kitten then was reassured that purchase would be shipped as soon as rx verified called again on th was told that rx was verified so package would be shipped i would get it by february nd when there still was neither package or a tracking number called customer service again d time was told that no shipping info was available so i asked talk supervisor was told that hed call me within hrs needless say no one called me or reached out me via email
i had no choice but cancel my purchase on february th order food on a more reliable site just hope money would be promptly returned
thanks</v>
      </c>
      <c r="I3006" s="6">
        <f t="shared" si="2"/>
        <v>144</v>
      </c>
      <c r="J3006" s="6">
        <f>IFERROR(__xludf.DUMMYFUNCTION("IF(H3006="""","""",
SUM(
ARRAYFORMULA(
IF(
REGEXMATCH(
"" ""&amp;H3006&amp;"" "",
"" ""&amp;Sentiment_Words!A$2:A3730&amp;"" ""
),
1,
0
)
)
)
)"),2.0)</f>
        <v>2</v>
      </c>
      <c r="K3006" s="4">
        <f>IFERROR(__xludf.DUMMYFUNCTION("IF(H3006="""","""",
SUM(
ARRAYFORMULA(
IF(
REGEXMATCH(
"" ""&amp;H3006&amp;"" "",
"" ""&amp;Sentiment_Words!B$2:B3730&amp;"" ""
),
1,
0
)
)
)
)"),2.0)</f>
        <v>2</v>
      </c>
      <c r="L3006" s="7" t="str">
        <f t="shared" si="3"/>
        <v>Customer Support</v>
      </c>
      <c r="M3006" s="7" t="str">
        <f t="shared" si="4"/>
        <v>Neutral</v>
      </c>
      <c r="N3006" s="7" t="str">
        <f>IFERROR(__xludf.DUMMYFUNCTION("LOWER(
TRIM(
REGEXREPLACE(B3006,""[^a-zA-Z\s]"","""")
)
)
"),"isabella")</f>
        <v>isabella</v>
      </c>
      <c r="O3006" s="7">
        <f t="shared" si="5"/>
        <v>1</v>
      </c>
      <c r="P3006" s="8" t="str">
        <f t="shared" si="6"/>
        <v>No</v>
      </c>
    </row>
    <row r="3007">
      <c r="A3007" s="4" t="s">
        <v>16</v>
      </c>
      <c r="B3007" s="4" t="s">
        <v>8368</v>
      </c>
      <c r="C3007" s="9">
        <v>44599.0</v>
      </c>
      <c r="D3007" s="10">
        <v>44599.0</v>
      </c>
      <c r="E3007" s="4" t="s">
        <v>8369</v>
      </c>
      <c r="F3007" s="4" t="s">
        <v>8370</v>
      </c>
      <c r="G3007" s="6" t="str">
        <f>IFERROR(__xludf.DUMMYFUNCTION("REGEXREPLACE(LOWER(F3007),""[^a-z\s]"","""")"),"freeze dried dog food if handled wrong will arrive as powder order arrived next day in excellent condition thank you")</f>
        <v>freeze dried dog food if handled wrong will arrive as powder order arrived next day in excellent condition thank you</v>
      </c>
      <c r="H3007" s="4" t="str">
        <f t="shared" si="1"/>
        <v>freeze dried dog food if handled wrong will arrive as powder order arrived next day in excellent condition thank you</v>
      </c>
      <c r="I3007" s="6">
        <f t="shared" si="2"/>
        <v>20</v>
      </c>
      <c r="J3007" s="6">
        <f>IFERROR(__xludf.DUMMYFUNCTION("IF(H3007="""","""",
SUM(
ARRAYFORMULA(
IF(
REGEXMATCH(
"" ""&amp;H3007&amp;"" "",
"" ""&amp;Sentiment_Words!A$2:A3730&amp;"" ""
),
1,
0
)
)
)
)"),0.0)</f>
        <v>0</v>
      </c>
      <c r="K3007" s="4">
        <f>IFERROR(__xludf.DUMMYFUNCTION("IF(H3007="""","""",
SUM(
ARRAYFORMULA(
IF(
REGEXMATCH(
"" ""&amp;H3007&amp;"" "",
"" ""&amp;Sentiment_Words!B$2:B3730&amp;"" ""
),
1,
0
)
)
)
)"),1.0)</f>
        <v>1</v>
      </c>
      <c r="L3007" s="7" t="str">
        <f t="shared" si="3"/>
        <v>Fulfillment &amp; Shipping</v>
      </c>
      <c r="M3007" s="7" t="str">
        <f t="shared" si="4"/>
        <v>Negative</v>
      </c>
      <c r="N3007" s="7" t="str">
        <f>IFERROR(__xludf.DUMMYFUNCTION("LOWER(
TRIM(
REGEXREPLACE(B3007,""[^a-zA-Z\s]"","""")
)
)
"),"pam coyne")</f>
        <v>pam coyne</v>
      </c>
      <c r="O3007" s="7">
        <f t="shared" si="5"/>
        <v>1</v>
      </c>
      <c r="P3007" s="8" t="str">
        <f t="shared" si="6"/>
        <v>No</v>
      </c>
    </row>
    <row r="3008">
      <c r="A3008" s="4" t="s">
        <v>16</v>
      </c>
      <c r="B3008" s="4" t="s">
        <v>4340</v>
      </c>
      <c r="C3008" s="9">
        <v>44599.0</v>
      </c>
      <c r="D3008" s="10">
        <v>44599.0</v>
      </c>
      <c r="E3008" s="4" t="s">
        <v>8371</v>
      </c>
      <c r="F3008" s="4" t="s">
        <v>8372</v>
      </c>
      <c r="G3008" s="6" t="str">
        <f>IFERROR(__xludf.DUMMYFUNCTION("REGEXREPLACE(LOWER(F3008),""[^a-z\s]"","""")"),"ive used petflow for a number of years now and have not been disappointed once  even during the crazy shipping times of covid their site is easy to shop and they provide me with lots of flexibility when i need to adjust my standing dog food shipment if yo"&amp;"ure looking for a friendly alternative to a big box partner petflow is just that alternative thanks for helping me keep my pets happy  healthy")</f>
        <v>ive used petflow for a number of years now and have not been disappointed once  even during the crazy shipping times of covid their site is easy to shop and they provide me with lots of flexibility when i need to adjust my standing dog food shipment if youre looking for a friendly alternative to a big box partner petflow is just that alternative thanks for helping me keep my pets happy  healthy</v>
      </c>
      <c r="H3008" s="4" t="str">
        <f t="shared" si="1"/>
        <v>ive used petflow a number of years now have not been disappointed once even during crazy shipping times of covid their site easy shop they provide me with lots of flexibility when i need adjust my standing dog food shipment if youre looking a friendly alternative a big box partner petflow just that alternative thanks helping me keep my pets happy healthy</v>
      </c>
      <c r="I3008" s="6">
        <f t="shared" si="2"/>
        <v>62</v>
      </c>
      <c r="J3008" s="6">
        <f>IFERROR(__xludf.DUMMYFUNCTION("IF(H3008="""","""",
SUM(
ARRAYFORMULA(
IF(
REGEXMATCH(
"" ""&amp;H3008&amp;"" "",
"" ""&amp;Sentiment_Words!A$2:A3730&amp;"" ""
),
1,
0
)
)
)
)"),2.0)</f>
        <v>2</v>
      </c>
      <c r="K3008" s="4">
        <f>IFERROR(__xludf.DUMMYFUNCTION("IF(H3008="""","""",
SUM(
ARRAYFORMULA(
IF(
REGEXMATCH(
"" ""&amp;H3008&amp;"" "",
"" ""&amp;Sentiment_Words!B$2:B3730&amp;"" ""
),
1,
0
)
)
)
)"),0.0)</f>
        <v>0</v>
      </c>
      <c r="L3008" s="7" t="str">
        <f t="shared" si="3"/>
        <v>Trust &amp; Experience</v>
      </c>
      <c r="M3008" s="7" t="str">
        <f t="shared" si="4"/>
        <v>Positive</v>
      </c>
      <c r="N3008" s="7" t="str">
        <f>IFERROR(__xludf.DUMMYFUNCTION("LOWER(
TRIM(
REGEXREPLACE(B3008,""[^a-zA-Z\s]"","""")
)
)
"),"nancy")</f>
        <v>nancy</v>
      </c>
      <c r="O3008" s="7">
        <f t="shared" si="5"/>
        <v>7</v>
      </c>
      <c r="P3008" s="8" t="str">
        <f t="shared" si="6"/>
        <v>Yes</v>
      </c>
    </row>
    <row r="3009">
      <c r="A3009" s="4" t="s">
        <v>16</v>
      </c>
      <c r="B3009" s="4" t="s">
        <v>8373</v>
      </c>
      <c r="C3009" s="9">
        <v>44598.0</v>
      </c>
      <c r="D3009" s="10">
        <v>44599.0</v>
      </c>
      <c r="E3009" s="4" t="s">
        <v>8374</v>
      </c>
      <c r="F3009" s="4" t="s">
        <v>8375</v>
      </c>
      <c r="G3009" s="6" t="str">
        <f>IFERROR(__xludf.DUMMYFUNCTION("REGEXREPLACE(LOWER(F3009),""[^a-z\s]"","""")"),"easily found the dog food i wanted many other sites and all local stores were out of the royal canin yorkshire terrier loaf in sauce that both my daughter and i feed our yorkies not only did you have it but the delivery was exceptionally quick even ahead "&amp;"of your predicted date i set upanishad account for renewal and look forward to dealing with you for a long time to come
thanks for the exceptional service")</f>
        <v>easily found the dog food i wanted many other sites and all local stores were out of the royal canin yorkshire terrier loaf in sauce that both my daughter and i feed our yorkies not only did you have it but the delivery was exceptionally quick even ahead of your predicted date i set upanishad account for renewal and look forward to dealing with you for a long time to come
thanks for the exceptional service</v>
      </c>
      <c r="H3009" s="4" t="str">
        <f t="shared" si="1"/>
        <v>easily found dog food i wanted many other sites all local stores were out of royal canin yorkshire terrier loaf in sauce that both my daughter i feed our yorkies not only did you have it but delivery was exceptionally quick even ahead of your predicted date i set upanishad account renewal look forward dealing with you a long time come
thanks exceptional service</v>
      </c>
      <c r="I3009" s="6">
        <f t="shared" si="2"/>
        <v>63</v>
      </c>
      <c r="J3009" s="6">
        <f>IFERROR(__xludf.DUMMYFUNCTION("IF(H3009="""","""",
SUM(
ARRAYFORMULA(
IF(
REGEXMATCH(
"" ""&amp;H3009&amp;"" "",
"" ""&amp;Sentiment_Words!A$2:A3730&amp;"" ""
),
1,
0
)
)
)
)"),1.0)</f>
        <v>1</v>
      </c>
      <c r="K3009" s="4">
        <f>IFERROR(__xludf.DUMMYFUNCTION("IF(H3009="""","""",
SUM(
ARRAYFORMULA(
IF(
REGEXMATCH(
"" ""&amp;H3009&amp;"" "",
"" ""&amp;Sentiment_Words!B$2:B3730&amp;"" ""
),
1,
0
)
)
)
)"),0.0)</f>
        <v>0</v>
      </c>
      <c r="L3009" s="7" t="str">
        <f t="shared" si="3"/>
        <v>Customer Support</v>
      </c>
      <c r="M3009" s="7" t="str">
        <f t="shared" si="4"/>
        <v>Positive</v>
      </c>
      <c r="N3009" s="7" t="str">
        <f>IFERROR(__xludf.DUMMYFUNCTION("LOWER(
TRIM(
REGEXREPLACE(B3009,""[^a-zA-Z\s]"","""")
)
)
"),"elisabeth ellis")</f>
        <v>elisabeth ellis</v>
      </c>
      <c r="O3009" s="7">
        <f t="shared" si="5"/>
        <v>1</v>
      </c>
      <c r="P3009" s="8" t="str">
        <f t="shared" si="6"/>
        <v>No</v>
      </c>
    </row>
    <row r="3010">
      <c r="A3010" s="4" t="s">
        <v>16</v>
      </c>
      <c r="B3010" s="4" t="s">
        <v>8376</v>
      </c>
      <c r="C3010" s="9">
        <v>44598.0</v>
      </c>
      <c r="D3010" s="10">
        <v>44599.0</v>
      </c>
      <c r="E3010" s="4" t="s">
        <v>8377</v>
      </c>
      <c r="F3010" s="4" t="s">
        <v>8378</v>
      </c>
      <c r="G3010" s="6" t="str">
        <f>IFERROR(__xludf.DUMMYFUNCTION("REGEXREPLACE(LOWER(F3010),""[^a-z\s]"","""")"),"finally found a store that has my preferred dog food in stock thanks for your prompt service")</f>
        <v>finally found a store that has my preferred dog food in stock thanks for your prompt service</v>
      </c>
      <c r="H3010" s="4" t="str">
        <f t="shared" si="1"/>
        <v>finally found a store that has my preferred dog food in stock thanks your prompt service</v>
      </c>
      <c r="I3010" s="6">
        <f t="shared" si="2"/>
        <v>16</v>
      </c>
      <c r="J3010" s="6">
        <f>IFERROR(__xludf.DUMMYFUNCTION("IF(H3010="""","""",
SUM(
ARRAYFORMULA(
IF(
REGEXMATCH(
"" ""&amp;H3010&amp;"" "",
"" ""&amp;Sentiment_Words!A$2:A3730&amp;"" ""
),
1,
0
)
)
)
)"),2.0)</f>
        <v>2</v>
      </c>
      <c r="K3010" s="4">
        <f>IFERROR(__xludf.DUMMYFUNCTION("IF(H3010="""","""",
SUM(
ARRAYFORMULA(
IF(
REGEXMATCH(
"" ""&amp;H3010&amp;"" "",
"" ""&amp;Sentiment_Words!B$2:B3730&amp;"" ""
),
1,
0
)
)
)
)"),0.0)</f>
        <v>0</v>
      </c>
      <c r="L3010" s="7" t="str">
        <f t="shared" si="3"/>
        <v>Customer Support</v>
      </c>
      <c r="M3010" s="7" t="str">
        <f t="shared" si="4"/>
        <v>Positive</v>
      </c>
      <c r="N3010" s="7" t="str">
        <f>IFERROR(__xludf.DUMMYFUNCTION("LOWER(
TRIM(
REGEXREPLACE(B3010,""[^a-zA-Z\s]"","""")
)
)
"),"carole humenchuk")</f>
        <v>carole humenchuk</v>
      </c>
      <c r="O3010" s="7">
        <f t="shared" si="5"/>
        <v>1</v>
      </c>
      <c r="P3010" s="8" t="str">
        <f t="shared" si="6"/>
        <v>No</v>
      </c>
    </row>
    <row r="3011">
      <c r="A3011" s="4" t="s">
        <v>16</v>
      </c>
      <c r="B3011" s="4" t="s">
        <v>8379</v>
      </c>
      <c r="C3011" s="9">
        <v>44598.0</v>
      </c>
      <c r="D3011" s="10">
        <v>44598.0</v>
      </c>
      <c r="E3011" s="4" t="s">
        <v>8380</v>
      </c>
      <c r="F3011" s="4" t="s">
        <v>8381</v>
      </c>
      <c r="G3011" s="6" t="str">
        <f>IFERROR(__xludf.DUMMYFUNCTION("REGEXREPLACE(LOWER(F3011),""[^a-z\s]"","""")")," wish you had a place where buyers could communicate with shippers upon purchase on where to place packages shipper left package out on stairs in full view of potential thieves packages need to be placed inside of my  ft gate at front door
 several cans "&amp;"are damaged and not packaged properly to prevent this they dont stack well for storage when theyre damaged")</f>
        <v> wish you had a place where buyers could communicate with shippers upon purchase on where to place packages shipper left package out on stairs in full view of potential thieves packages need to be placed inside of my  ft gate at front door
 several cans are damaged and not packaged properly to prevent this they dont stack well for storage when theyre damaged</v>
      </c>
      <c r="H3011" s="4" t="str">
        <f t="shared" si="1"/>
        <v>wish you had a place where buyers could communicate with shippers upon purchase on where place packages shipper left package out on stairs in full view of potential thieves packages need be placed inside of my ft gate at front door
 several cans are damaged not packaged properly prevent this they dont stack well storage when theyre damaged</v>
      </c>
      <c r="I3011" s="6">
        <f t="shared" si="2"/>
        <v>58</v>
      </c>
      <c r="J3011" s="6">
        <f>IFERROR(__xludf.DUMMYFUNCTION("IF(H3011="""","""",
SUM(
ARRAYFORMULA(
IF(
REGEXMATCH(
"" ""&amp;H3011&amp;"" "",
"" ""&amp;Sentiment_Words!A$2:A3730&amp;"" ""
),
1,
0
)
)
)
)"),0.0)</f>
        <v>0</v>
      </c>
      <c r="K3011" s="4">
        <f>IFERROR(__xludf.DUMMYFUNCTION("IF(H3011="""","""",
SUM(
ARRAYFORMULA(
IF(
REGEXMATCH(
"" ""&amp;H3011&amp;"" "",
"" ""&amp;Sentiment_Words!B$2:B3730&amp;"" ""
),
1,
0
)
)
)
)"),0.0)</f>
        <v>0</v>
      </c>
      <c r="L3011" s="7" t="str">
        <f t="shared" si="3"/>
        <v>Other</v>
      </c>
      <c r="M3011" s="7" t="str">
        <f t="shared" si="4"/>
        <v>Neutral</v>
      </c>
      <c r="N3011" s="7" t="str">
        <f>IFERROR(__xludf.DUMMYFUNCTION("LOWER(
TRIM(
REGEXREPLACE(B3011,""[^a-zA-Z\s]"","""")
)
)
"),"lynne")</f>
        <v>lynne</v>
      </c>
      <c r="O3011" s="7">
        <f t="shared" si="5"/>
        <v>1</v>
      </c>
      <c r="P3011" s="8" t="str">
        <f t="shared" si="6"/>
        <v>No</v>
      </c>
    </row>
    <row r="3012">
      <c r="A3012" s="4" t="s">
        <v>16</v>
      </c>
      <c r="B3012" s="4" t="s">
        <v>8382</v>
      </c>
      <c r="C3012" s="9">
        <v>44598.0</v>
      </c>
      <c r="D3012" s="10">
        <v>44598.0</v>
      </c>
      <c r="E3012" s="4" t="s">
        <v>8383</v>
      </c>
      <c r="F3012" s="4" t="s">
        <v>8384</v>
      </c>
      <c r="G3012" s="6" t="str">
        <f>IFERROR(__xludf.DUMMYFUNCTION("REGEXREPLACE(LOWER(F3012),""[^a-z\s]"","""")"),"petflow online shopping is a great way to shop we live in a rural area not a lot of places to shop at petflow i can get fromme pet food for my pets to eat healthy i also can get healthy treats for my pets if not for pet flow online i would be driving  mil"&amp;"es one way to shop in stores")</f>
        <v>petflow online shopping is a great way to shop we live in a rural area not a lot of places to shop at petflow i can get fromme pet food for my pets to eat healthy i also can get healthy treats for my pets if not for pet flow online i would be driving  miles one way to shop in stores</v>
      </c>
      <c r="H3012" s="4" t="str">
        <f t="shared" si="1"/>
        <v>petflow online shopping a great way shop we live in a rural area not a lot of places shop at petflow i can get fromme pet food my pets eat healthy i also can get healthy treats my pets if not pet flow online i would be driving miles one way shop in stores</v>
      </c>
      <c r="I3012" s="6">
        <f t="shared" si="2"/>
        <v>54</v>
      </c>
      <c r="J3012" s="6">
        <f>IFERROR(__xludf.DUMMYFUNCTION("IF(H3012="""","""",
SUM(
ARRAYFORMULA(
IF(
REGEXMATCH(
"" ""&amp;H3012&amp;"" "",
"" ""&amp;Sentiment_Words!A$2:A3730&amp;"" ""
),
1,
0
)
)
)
)"),1.0)</f>
        <v>1</v>
      </c>
      <c r="K3012" s="4">
        <f>IFERROR(__xludf.DUMMYFUNCTION("IF(H3012="""","""",
SUM(
ARRAYFORMULA(
IF(
REGEXMATCH(
"" ""&amp;H3012&amp;"" "",
"" ""&amp;Sentiment_Words!B$2:B3730&amp;"" ""
),
1,
0
)
)
)
)"),0.0)</f>
        <v>0</v>
      </c>
      <c r="L3012" s="7" t="str">
        <f t="shared" si="3"/>
        <v>Other</v>
      </c>
      <c r="M3012" s="7" t="str">
        <f t="shared" si="4"/>
        <v>Positive</v>
      </c>
      <c r="N3012" s="7" t="str">
        <f>IFERROR(__xludf.DUMMYFUNCTION("LOWER(
TRIM(
REGEXREPLACE(B3012,""[^a-zA-Z\s]"","""")
)
)
"),"irene hagen")</f>
        <v>irene hagen</v>
      </c>
      <c r="O3012" s="7">
        <f t="shared" si="5"/>
        <v>1</v>
      </c>
      <c r="P3012" s="8" t="str">
        <f t="shared" si="6"/>
        <v>No</v>
      </c>
    </row>
    <row r="3013">
      <c r="A3013" s="4" t="s">
        <v>16</v>
      </c>
      <c r="B3013" s="4" t="s">
        <v>8385</v>
      </c>
      <c r="C3013" s="9">
        <v>44598.0</v>
      </c>
      <c r="D3013" s="10">
        <v>44598.0</v>
      </c>
      <c r="E3013" s="4" t="s">
        <v>8386</v>
      </c>
      <c r="F3013" s="4" t="s">
        <v>8387</v>
      </c>
      <c r="G3013" s="6" t="str">
        <f>IFERROR(__xludf.DUMMYFUNCTION("REGEXREPLACE(LOWER(F3013),""[^a-z\s]"","""")"),"these tail wagers  beef rib bones  are so loved by my dogs but i am only allowed to buy  at a time which i dont like but they are way cheaper than publix which is where i was buying them i will continue to purchase because the dogs love them but i may hav"&amp;"e found a replacement for them somewhere else")</f>
        <v>these tail wagers  beef rib bones  are so loved by my dogs but i am only allowed to buy  at a time which i dont like but they are way cheaper than publix which is where i was buying them i will continue to purchase because the dogs love them but i may have found a replacement for them somewhere else</v>
      </c>
      <c r="H3013" s="4" t="str">
        <f t="shared" si="1"/>
        <v>these tail wagers beef rib bones are so loved by my dogs but i am only allowed buy at a time which i dont like but they are way cheaper than publix which where i was buying them i will continue purchase because dogs love them but i may have found a replacement them somewhere else</v>
      </c>
      <c r="I3013" s="6">
        <f t="shared" si="2"/>
        <v>56</v>
      </c>
      <c r="J3013" s="6">
        <f>IFERROR(__xludf.DUMMYFUNCTION("IF(H3013="""","""",
SUM(
ARRAYFORMULA(
IF(
REGEXMATCH(
"" ""&amp;H3013&amp;"" "",
"" ""&amp;Sentiment_Words!A$2:A3730&amp;"" ""
),
1,
0
)
)
)
)"),3.0)</f>
        <v>3</v>
      </c>
      <c r="K3013" s="4">
        <f>IFERROR(__xludf.DUMMYFUNCTION("IF(H3013="""","""",
SUM(
ARRAYFORMULA(
IF(
REGEXMATCH(
"" ""&amp;H3013&amp;"" "",
"" ""&amp;Sentiment_Words!B$2:B3730&amp;"" ""
),
1,
0
)
)
)
)"),0.0)</f>
        <v>0</v>
      </c>
      <c r="L3013" s="7" t="str">
        <f t="shared" si="3"/>
        <v>Value &amp; Convenience</v>
      </c>
      <c r="M3013" s="7" t="str">
        <f t="shared" si="4"/>
        <v>Positive</v>
      </c>
      <c r="N3013" s="7" t="str">
        <f>IFERROR(__xludf.DUMMYFUNCTION("LOWER(
TRIM(
REGEXREPLACE(B3013,""[^a-zA-Z\s]"","""")
)
)
"),"sharon dickson")</f>
        <v>sharon dickson</v>
      </c>
      <c r="O3013" s="7">
        <f t="shared" si="5"/>
        <v>1</v>
      </c>
      <c r="P3013" s="8" t="str">
        <f t="shared" si="6"/>
        <v>No</v>
      </c>
    </row>
    <row r="3014">
      <c r="A3014" s="4" t="s">
        <v>16</v>
      </c>
      <c r="B3014" s="4" t="s">
        <v>8388</v>
      </c>
      <c r="C3014" s="9">
        <v>44598.0</v>
      </c>
      <c r="D3014" s="10">
        <v>44598.0</v>
      </c>
      <c r="E3014" s="4" t="s">
        <v>8389</v>
      </c>
      <c r="F3014" s="4" t="s">
        <v>8390</v>
      </c>
      <c r="G3014" s="6" t="str">
        <f>IFERROR(__xludf.DUMMYFUNCTION("REGEXREPLACE(LOWER(F3014),""[^a-z\s]"","""")"),"price was good shipping was good but one bag of rabbit food out of about  identical bags in the order was not rabbit food but hampster food to their credit i did not pursue this or notify them of the problem just wasnt worth my time i need things to be co"&amp;"rrect the first time i place an order which is why i probably wont use this company again unless they have a really great deal going on also they sent me an unsolicited annoying email asking for this rating i strongly prefer zero emails everrrrr seriously"&amp;" no emails ever unless theyre directly related to processingshipping")</f>
        <v>price was good shipping was good but one bag of rabbit food out of about  identical bags in the order was not rabbit food but hampster food to their credit i did not pursue this or notify them of the problem just wasnt worth my time i need things to be correct the first time i place an order which is why i probably wont use this company again unless they have a really great deal going on also they sent me an unsolicited annoying email asking for this rating i strongly prefer zero emails everrrrr seriously no emails ever unless theyre directly related to processingshipping</v>
      </c>
      <c r="H3014" s="4" t="str">
        <f t="shared" si="1"/>
        <v>price was good shipping was good but one bag of rabbit food out of about identical bags in order was not rabbit food but hampster food their credit i did not pursue this or notify them of problem just wasnt worth my time i need things be correct first time i place an order which why i probably wont use this company again unless they have a really great deal going on also they sent me an unsolicited annoying email asking this rating i strongly prefer zero emails everrrrr seriously no emails ever unless theyre directly related processingshipping</v>
      </c>
      <c r="I3014" s="6">
        <f t="shared" si="2"/>
        <v>98</v>
      </c>
      <c r="J3014" s="6">
        <f>IFERROR(__xludf.DUMMYFUNCTION("IF(H3014="""","""",
SUM(
ARRAYFORMULA(
IF(
REGEXMATCH(
"" ""&amp;H3014&amp;"" "",
"" ""&amp;Sentiment_Words!A$2:A3730&amp;"" ""
),
1,
0
)
)
)
)"),4.0)</f>
        <v>4</v>
      </c>
      <c r="K3014" s="4">
        <f>IFERROR(__xludf.DUMMYFUNCTION("IF(H3014="""","""",
SUM(
ARRAYFORMULA(
IF(
REGEXMATCH(
"" ""&amp;H3014&amp;"" "",
"" ""&amp;Sentiment_Words!B$2:B3730&amp;"" ""
),
1,
0
)
)
)
)"),1.0)</f>
        <v>1</v>
      </c>
      <c r="L3014" s="7" t="str">
        <f t="shared" si="3"/>
        <v>Fulfillment &amp; Shipping</v>
      </c>
      <c r="M3014" s="7" t="str">
        <f t="shared" si="4"/>
        <v>Positive</v>
      </c>
      <c r="N3014" s="7" t="str">
        <f>IFERROR(__xludf.DUMMYFUNCTION("LOWER(
TRIM(
REGEXREPLACE(B3014,""[^a-zA-Z\s]"","""")
)
)
"),"dr bodly")</f>
        <v>dr bodly</v>
      </c>
      <c r="O3014" s="7">
        <f t="shared" si="5"/>
        <v>1</v>
      </c>
      <c r="P3014" s="8" t="str">
        <f t="shared" si="6"/>
        <v>No</v>
      </c>
    </row>
    <row r="3015">
      <c r="A3015" s="4" t="s">
        <v>16</v>
      </c>
      <c r="B3015" s="4" t="s">
        <v>8391</v>
      </c>
      <c r="C3015" s="9">
        <v>44598.0</v>
      </c>
      <c r="D3015" s="10">
        <v>44598.0</v>
      </c>
      <c r="E3015" s="4" t="s">
        <v>8392</v>
      </c>
      <c r="F3015" s="4" t="s">
        <v>8393</v>
      </c>
      <c r="G3015" s="6" t="str">
        <f>IFERROR(__xludf.DUMMYFUNCTION("REGEXREPLACE(LOWER(F3015),""[^a-z\s]"","""")"),"repeat customer  love them")</f>
        <v>repeat customer  love them</v>
      </c>
      <c r="H3015" s="4" t="str">
        <f t="shared" si="1"/>
        <v>repeat customer love them</v>
      </c>
      <c r="I3015" s="6">
        <f t="shared" si="2"/>
        <v>4</v>
      </c>
      <c r="J3015" s="6">
        <f>IFERROR(__xludf.DUMMYFUNCTION("IF(H3015="""","""",
SUM(
ARRAYFORMULA(
IF(
REGEXMATCH(
"" ""&amp;H3015&amp;"" "",
"" ""&amp;Sentiment_Words!A$2:A3730&amp;"" ""
),
1,
0
)
)
)
)"),1.0)</f>
        <v>1</v>
      </c>
      <c r="K3015" s="4">
        <f>IFERROR(__xludf.DUMMYFUNCTION("IF(H3015="""","""",
SUM(
ARRAYFORMULA(
IF(
REGEXMATCH(
"" ""&amp;H3015&amp;"" "",
"" ""&amp;Sentiment_Words!B$2:B3730&amp;"" ""
),
1,
0
)
)
)
)"),0.0)</f>
        <v>0</v>
      </c>
      <c r="L3015" s="7" t="str">
        <f t="shared" si="3"/>
        <v>Other</v>
      </c>
      <c r="M3015" s="7" t="str">
        <f t="shared" si="4"/>
        <v>Positive</v>
      </c>
      <c r="N3015" s="7" t="str">
        <f>IFERROR(__xludf.DUMMYFUNCTION("LOWER(
TRIM(
REGEXREPLACE(B3015,""[^a-zA-Z\s]"","""")
)
)
"),"jeanice")</f>
        <v>jeanice</v>
      </c>
      <c r="O3015" s="7">
        <f t="shared" si="5"/>
        <v>1</v>
      </c>
      <c r="P3015" s="8" t="str">
        <f t="shared" si="6"/>
        <v>No</v>
      </c>
    </row>
    <row r="3016">
      <c r="A3016" s="4" t="s">
        <v>16</v>
      </c>
      <c r="B3016" s="4" t="s">
        <v>5784</v>
      </c>
      <c r="C3016" s="9">
        <v>44597.0</v>
      </c>
      <c r="D3016" s="10">
        <v>44597.0</v>
      </c>
      <c r="E3016" s="4" t="s">
        <v>8394</v>
      </c>
      <c r="F3016" s="4" t="s">
        <v>8395</v>
      </c>
      <c r="G3016" s="6" t="str">
        <f>IFERROR(__xludf.DUMMYFUNCTION("REGEXREPLACE(LOWER(F3016),""[^a-z\s]"","""")"),"it is so nice to have a reliable way to get what i need for my cat")</f>
        <v>it is so nice to have a reliable way to get what i need for my cat</v>
      </c>
      <c r="H3016" s="4" t="str">
        <f t="shared" si="1"/>
        <v>it so nice have a reliable way get what i need my cat</v>
      </c>
      <c r="I3016" s="6">
        <f t="shared" si="2"/>
        <v>13</v>
      </c>
      <c r="J3016" s="6">
        <f>IFERROR(__xludf.DUMMYFUNCTION("IF(H3016="""","""",
SUM(
ARRAYFORMULA(
IF(
REGEXMATCH(
"" ""&amp;H3016&amp;"" "",
"" ""&amp;Sentiment_Words!A$2:A3730&amp;"" ""
),
1,
0
)
)
)
)"),1.0)</f>
        <v>1</v>
      </c>
      <c r="K3016" s="4">
        <f>IFERROR(__xludf.DUMMYFUNCTION("IF(H3016="""","""",
SUM(
ARRAYFORMULA(
IF(
REGEXMATCH(
"" ""&amp;H3016&amp;"" "",
"" ""&amp;Sentiment_Words!B$2:B3730&amp;"" ""
),
1,
0
)
)
)
)"),0.0)</f>
        <v>0</v>
      </c>
      <c r="L3016" s="7" t="str">
        <f t="shared" si="3"/>
        <v>Other</v>
      </c>
      <c r="M3016" s="7" t="str">
        <f t="shared" si="4"/>
        <v>Positive</v>
      </c>
      <c r="N3016" s="7" t="str">
        <f>IFERROR(__xludf.DUMMYFUNCTION("LOWER(
TRIM(
REGEXREPLACE(B3016,""[^a-zA-Z\s]"","""")
)
)
"),"sarah")</f>
        <v>sarah</v>
      </c>
      <c r="O3016" s="7">
        <f t="shared" si="5"/>
        <v>4</v>
      </c>
      <c r="P3016" s="8" t="str">
        <f t="shared" si="6"/>
        <v>Yes</v>
      </c>
    </row>
    <row r="3017">
      <c r="A3017" s="4" t="s">
        <v>16</v>
      </c>
      <c r="B3017" s="4" t="s">
        <v>8396</v>
      </c>
      <c r="C3017" s="9">
        <v>44597.0</v>
      </c>
      <c r="D3017" s="10">
        <v>44597.0</v>
      </c>
      <c r="E3017" s="4" t="s">
        <v>54</v>
      </c>
      <c r="F3017" s="4" t="s">
        <v>331</v>
      </c>
      <c r="G3017" s="6" t="str">
        <f>IFERROR(__xludf.DUMMYFUNCTION("REGEXREPLACE(LOWER(F3017),""[^a-z\s]"","""")"),"none")</f>
        <v>none</v>
      </c>
      <c r="H3017" s="4" t="str">
        <f t="shared" si="1"/>
        <v>none</v>
      </c>
      <c r="I3017" s="6">
        <f t="shared" si="2"/>
        <v>1</v>
      </c>
      <c r="J3017" s="6">
        <f>IFERROR(__xludf.DUMMYFUNCTION("IF(H3017="""","""",
SUM(
ARRAYFORMULA(
IF(
REGEXMATCH(
"" ""&amp;H3017&amp;"" "",
"" ""&amp;Sentiment_Words!A$2:A3730&amp;"" ""
),
1,
0
)
)
)
)"),0.0)</f>
        <v>0</v>
      </c>
      <c r="K3017" s="4">
        <f>IFERROR(__xludf.DUMMYFUNCTION("IF(H3017="""","""",
SUM(
ARRAYFORMULA(
IF(
REGEXMATCH(
"" ""&amp;H3017&amp;"" "",
"" ""&amp;Sentiment_Words!B$2:B3730&amp;"" ""
),
1,
0
)
)
)
)"),0.0)</f>
        <v>0</v>
      </c>
      <c r="L3017" s="7" t="str">
        <f t="shared" si="3"/>
        <v>Other</v>
      </c>
      <c r="M3017" s="7" t="str">
        <f t="shared" si="4"/>
        <v>Neutral</v>
      </c>
      <c r="N3017" s="7" t="str">
        <f>IFERROR(__xludf.DUMMYFUNCTION("LOWER(
TRIM(
REGEXREPLACE(B3017,""[^a-zA-Z\s]"","""")
)
)
"),"julie")</f>
        <v>julie</v>
      </c>
      <c r="O3017" s="7">
        <f t="shared" si="5"/>
        <v>2</v>
      </c>
      <c r="P3017" s="8" t="str">
        <f t="shared" si="6"/>
        <v>Yes</v>
      </c>
    </row>
    <row r="3018">
      <c r="A3018" s="4" t="s">
        <v>16</v>
      </c>
      <c r="B3018" s="4" t="s">
        <v>8397</v>
      </c>
      <c r="C3018" s="9">
        <v>44597.0</v>
      </c>
      <c r="D3018" s="10">
        <v>44597.0</v>
      </c>
      <c r="E3018" s="4" t="s">
        <v>8398</v>
      </c>
      <c r="F3018" s="4" t="s">
        <v>8399</v>
      </c>
      <c r="G3018" s="6" t="str">
        <f>IFERROR(__xludf.DUMMYFUNCTION("REGEXREPLACE(LOWER(F3018),""[^a-z\s]"","""")"),"first order and didnt have any difficulties or problems")</f>
        <v>first order and didnt have any difficulties or problems</v>
      </c>
      <c r="H3018" s="4" t="str">
        <f t="shared" si="1"/>
        <v>first order didnt have any difficulties or problems</v>
      </c>
      <c r="I3018" s="6">
        <f t="shared" si="2"/>
        <v>8</v>
      </c>
      <c r="J3018" s="6">
        <f>IFERROR(__xludf.DUMMYFUNCTION("IF(H3018="""","""",
SUM(
ARRAYFORMULA(
IF(
REGEXMATCH(
"" ""&amp;H3018&amp;"" "",
"" ""&amp;Sentiment_Words!A$2:A3730&amp;"" ""
),
1,
0
)
)
)
)"),0.0)</f>
        <v>0</v>
      </c>
      <c r="K3018" s="4">
        <f>IFERROR(__xludf.DUMMYFUNCTION("IF(H3018="""","""",
SUM(
ARRAYFORMULA(
IF(
REGEXMATCH(
"" ""&amp;H3018&amp;"" "",
"" ""&amp;Sentiment_Words!B$2:B3730&amp;"" ""
),
1,
0
)
)
)
)"),0.0)</f>
        <v>0</v>
      </c>
      <c r="L3018" s="7" t="str">
        <f t="shared" si="3"/>
        <v>Other</v>
      </c>
      <c r="M3018" s="7" t="str">
        <f t="shared" si="4"/>
        <v>Neutral</v>
      </c>
      <c r="N3018" s="7" t="str">
        <f>IFERROR(__xludf.DUMMYFUNCTION("LOWER(
TRIM(
REGEXREPLACE(B3018,""[^a-zA-Z\s]"","""")
)
)
"),"sll")</f>
        <v>sll</v>
      </c>
      <c r="O3018" s="7">
        <f t="shared" si="5"/>
        <v>1</v>
      </c>
      <c r="P3018" s="8" t="str">
        <f t="shared" si="6"/>
        <v>No</v>
      </c>
    </row>
    <row r="3019">
      <c r="A3019" s="4" t="s">
        <v>16</v>
      </c>
      <c r="B3019" s="4" t="s">
        <v>2695</v>
      </c>
      <c r="C3019" s="9">
        <v>44597.0</v>
      </c>
      <c r="D3019" s="10">
        <v>44597.0</v>
      </c>
      <c r="E3019" s="4" t="s">
        <v>8400</v>
      </c>
      <c r="F3019" s="4" t="s">
        <v>8401</v>
      </c>
      <c r="G3019" s="6" t="str">
        <f>IFERROR(__xludf.DUMMYFUNCTION("REGEXREPLACE(LOWER(F3019),""[^a-z\s]"","""")"),"i ordered treats for my fur babies i got a great price on them this was the first time i had ordered got the treats in a few days best service thank you")</f>
        <v>i ordered treats for my fur babies i got a great price on them this was the first time i had ordered got the treats in a few days best service thank you</v>
      </c>
      <c r="H3019" s="4" t="str">
        <f t="shared" si="1"/>
        <v>i ordered treats my fur babies i got a great price on them this was first time i had ordered got treats in a few days best service thank you</v>
      </c>
      <c r="I3019" s="6">
        <f t="shared" si="2"/>
        <v>30</v>
      </c>
      <c r="J3019" s="6">
        <f>IFERROR(__xludf.DUMMYFUNCTION("IF(H3019="""","""",
SUM(
ARRAYFORMULA(
IF(
REGEXMATCH(
"" ""&amp;H3019&amp;"" "",
"" ""&amp;Sentiment_Words!A$2:A3730&amp;"" ""
),
1,
0
)
)
)
)"),1.0)</f>
        <v>1</v>
      </c>
      <c r="K3019" s="4">
        <f>IFERROR(__xludf.DUMMYFUNCTION("IF(H3019="""","""",
SUM(
ARRAYFORMULA(
IF(
REGEXMATCH(
"" ""&amp;H3019&amp;"" "",
"" ""&amp;Sentiment_Words!B$2:B3730&amp;"" ""
),
1,
0
)
)
)
)"),0.0)</f>
        <v>0</v>
      </c>
      <c r="L3019" s="7" t="str">
        <f t="shared" si="3"/>
        <v>Customer Support</v>
      </c>
      <c r="M3019" s="7" t="str">
        <f t="shared" si="4"/>
        <v>Positive</v>
      </c>
      <c r="N3019" s="7" t="str">
        <f>IFERROR(__xludf.DUMMYFUNCTION("LOWER(
TRIM(
REGEXREPLACE(B3019,""[^a-zA-Z\s]"","""")
)
)
"),"barbara")</f>
        <v>barbara</v>
      </c>
      <c r="O3019" s="7">
        <f t="shared" si="5"/>
        <v>3</v>
      </c>
      <c r="P3019" s="8" t="str">
        <f t="shared" si="6"/>
        <v>Yes</v>
      </c>
    </row>
    <row r="3020">
      <c r="A3020" s="4" t="s">
        <v>16</v>
      </c>
      <c r="B3020" s="4" t="s">
        <v>8402</v>
      </c>
      <c r="C3020" s="9">
        <v>44597.0</v>
      </c>
      <c r="D3020" s="10">
        <v>44597.0</v>
      </c>
      <c r="E3020" s="4" t="s">
        <v>8403</v>
      </c>
      <c r="F3020" s="4" t="s">
        <v>8404</v>
      </c>
      <c r="G3020" s="6" t="str">
        <f>IFERROR(__xludf.DUMMYFUNCTION("REGEXREPLACE(LOWER(F3020),""[^a-z\s]"","""")"),"product was on time buy packaging was smashed you need to strengthen you packaging")</f>
        <v>product was on time buy packaging was smashed you need to strengthen you packaging</v>
      </c>
      <c r="H3020" s="4" t="str">
        <f t="shared" si="1"/>
        <v>product was on time buy packaging was smashed you need strengthen you packaging</v>
      </c>
      <c r="I3020" s="6">
        <f t="shared" si="2"/>
        <v>13</v>
      </c>
      <c r="J3020" s="6">
        <f>IFERROR(__xludf.DUMMYFUNCTION("IF(H3020="""","""",
SUM(
ARRAYFORMULA(
IF(
REGEXMATCH(
"" ""&amp;H3020&amp;"" "",
"" ""&amp;Sentiment_Words!A$2:A3730&amp;"" ""
),
1,
0
)
)
)
)"),1.0)</f>
        <v>1</v>
      </c>
      <c r="K3020" s="4">
        <f>IFERROR(__xludf.DUMMYFUNCTION("IF(H3020="""","""",
SUM(
ARRAYFORMULA(
IF(
REGEXMATCH(
"" ""&amp;H3020&amp;"" "",
"" ""&amp;Sentiment_Words!B$2:B3730&amp;"" ""
),
1,
0
)
)
)
)"),0.0)</f>
        <v>0</v>
      </c>
      <c r="L3020" s="7" t="str">
        <f t="shared" si="3"/>
        <v>Other</v>
      </c>
      <c r="M3020" s="7" t="str">
        <f t="shared" si="4"/>
        <v>Positive</v>
      </c>
      <c r="N3020" s="7" t="str">
        <f>IFERROR(__xludf.DUMMYFUNCTION("LOWER(
TRIM(
REGEXREPLACE(B3020,""[^a-zA-Z\s]"","""")
)
)
"),"cindy orin")</f>
        <v>cindy orin</v>
      </c>
      <c r="O3020" s="7">
        <f t="shared" si="5"/>
        <v>1</v>
      </c>
      <c r="P3020" s="8" t="str">
        <f t="shared" si="6"/>
        <v>No</v>
      </c>
    </row>
    <row r="3021">
      <c r="A3021" s="4" t="s">
        <v>16</v>
      </c>
      <c r="B3021" s="4" t="s">
        <v>56</v>
      </c>
      <c r="C3021" s="9">
        <v>44597.0</v>
      </c>
      <c r="D3021" s="10">
        <v>44597.0</v>
      </c>
      <c r="E3021" s="4" t="s">
        <v>8405</v>
      </c>
      <c r="F3021" s="4" t="s">
        <v>8406</v>
      </c>
      <c r="G3021" s="6" t="str">
        <f>IFERROR(__xludf.DUMMYFUNCTION("REGEXREPLACE(LOWER(F3021),""[^a-z\s]"","""")"),"enjoyed the prompt service will use them in the future")</f>
        <v>enjoyed the prompt service will use them in the future</v>
      </c>
      <c r="H3021" s="4" t="str">
        <f t="shared" si="1"/>
        <v>enjoyed prompt service will use them in future</v>
      </c>
      <c r="I3021" s="6">
        <f t="shared" si="2"/>
        <v>8</v>
      </c>
      <c r="J3021" s="6">
        <f>IFERROR(__xludf.DUMMYFUNCTION("IF(H3021="""","""",
SUM(
ARRAYFORMULA(
IF(
REGEXMATCH(
"" ""&amp;H3021&amp;"" "",
"" ""&amp;Sentiment_Words!A$2:A3730&amp;"" ""
),
1,
0
)
)
)
)"),1.0)</f>
        <v>1</v>
      </c>
      <c r="K3021" s="4">
        <f>IFERROR(__xludf.DUMMYFUNCTION("IF(H3021="""","""",
SUM(
ARRAYFORMULA(
IF(
REGEXMATCH(
"" ""&amp;H3021&amp;"" "",
"" ""&amp;Sentiment_Words!B$2:B3730&amp;"" ""
),
1,
0
)
)
)
)"),0.0)</f>
        <v>0</v>
      </c>
      <c r="L3021" s="7" t="str">
        <f t="shared" si="3"/>
        <v>Customer Support</v>
      </c>
      <c r="M3021" s="7" t="str">
        <f t="shared" si="4"/>
        <v>Positive</v>
      </c>
      <c r="N3021" s="7" t="str">
        <f>IFERROR(__xludf.DUMMYFUNCTION("LOWER(
TRIM(
REGEXREPLACE(B3021,""[^a-zA-Z\s]"","""")
)
)
"),"customer")</f>
        <v>customer</v>
      </c>
      <c r="O3021" s="7">
        <f t="shared" si="5"/>
        <v>54</v>
      </c>
      <c r="P3021" s="8" t="str">
        <f t="shared" si="6"/>
        <v>Yes</v>
      </c>
    </row>
    <row r="3022">
      <c r="A3022" s="4" t="s">
        <v>16</v>
      </c>
      <c r="B3022" s="4" t="s">
        <v>8407</v>
      </c>
      <c r="C3022" s="9">
        <v>44597.0</v>
      </c>
      <c r="D3022" s="10">
        <v>44597.0</v>
      </c>
      <c r="E3022" s="4" t="s">
        <v>8408</v>
      </c>
      <c r="F3022" s="4" t="s">
        <v>8409</v>
      </c>
      <c r="G3022" s="6" t="str">
        <f>IFERROR(__xludf.DUMMYFUNCTION("REGEXREPLACE(LOWER(F3022),""[^a-z\s]"","""")"),"im happy they had the product i need and that theyre willing to do the autoship the only thing is that i requested for it to be delivered by the th and now its going to be five days late so i had to go somewhere else and pay full price in the interim beca"&amp;"use they didnt ship at all in the time period that i requested on the original order i placed it over a week ahead of time and somehow its still going to be almost a week late because of a delay on their end with no notification to meit just made things r"&amp;"eally inconvenient")</f>
        <v>im happy they had the product i need and that theyre willing to do the autoship the only thing is that i requested for it to be delivered by the th and now its going to be five days late so i had to go somewhere else and pay full price in the interim because they didnt ship at all in the time period that i requested on the original order i placed it over a week ahead of time and somehow its still going to be almost a week late because of a delay on their end with no notification to meit just made things really inconvenient</v>
      </c>
      <c r="H3022" s="4" t="str">
        <f t="shared" si="1"/>
        <v>im happy they had product i need that theyre willing do autoship only thing that i requested it be delivered by th now its going be five days late so i had go somewhere else pay full price in interim because they didnt ship at all in time period that i requested on original order i placed it over a week ahead of time somehow its still going be almost a week late because of a delay on their end with no notification meit just made things really inconvenient</v>
      </c>
      <c r="I3022" s="6">
        <f t="shared" si="2"/>
        <v>89</v>
      </c>
      <c r="J3022" s="6">
        <f>IFERROR(__xludf.DUMMYFUNCTION("IF(H3022="""","""",
SUM(
ARRAYFORMULA(
IF(
REGEXMATCH(
"" ""&amp;H3022&amp;"" "",
"" ""&amp;Sentiment_Words!A$2:A3730&amp;"" ""
),
1,
0
)
)
)
)"),2.0)</f>
        <v>2</v>
      </c>
      <c r="K3022" s="4">
        <f>IFERROR(__xludf.DUMMYFUNCTION("IF(H3022="""","""",
SUM(
ARRAYFORMULA(
IF(
REGEXMATCH(
"" ""&amp;H3022&amp;"" "",
"" ""&amp;Sentiment_Words!B$2:B3730&amp;"" ""
),
1,
0
)
)
)
)"),1.0)</f>
        <v>1</v>
      </c>
      <c r="L3022" s="7" t="str">
        <f t="shared" si="3"/>
        <v>Fulfillment &amp; Shipping</v>
      </c>
      <c r="M3022" s="7" t="str">
        <f t="shared" si="4"/>
        <v>Positive</v>
      </c>
      <c r="N3022" s="7" t="str">
        <f>IFERROR(__xludf.DUMMYFUNCTION("LOWER(
TRIM(
REGEXREPLACE(B3022,""[^a-zA-Z\s]"","""")
)
)
"),"mary taylor")</f>
        <v>mary taylor</v>
      </c>
      <c r="O3022" s="7">
        <f t="shared" si="5"/>
        <v>1</v>
      </c>
      <c r="P3022" s="8" t="str">
        <f t="shared" si="6"/>
        <v>No</v>
      </c>
    </row>
    <row r="3023">
      <c r="A3023" s="4" t="s">
        <v>16</v>
      </c>
      <c r="B3023" s="4" t="s">
        <v>8410</v>
      </c>
      <c r="C3023" s="9">
        <v>44597.0</v>
      </c>
      <c r="D3023" s="10">
        <v>44597.0</v>
      </c>
      <c r="E3023" s="4" t="s">
        <v>8411</v>
      </c>
      <c r="F3023" s="4" t="s">
        <v>8412</v>
      </c>
      <c r="G3023" s="6" t="str">
        <f>IFERROR(__xludf.DUMMYFUNCTION("REGEXREPLACE(LOWER(F3023),""[^a-z\s]"","""")"),"delivery is always super fast and much appreciated")</f>
        <v>delivery is always super fast and much appreciated</v>
      </c>
      <c r="H3023" s="4" t="str">
        <f t="shared" si="1"/>
        <v>delivery always super fast much appreciated</v>
      </c>
      <c r="I3023" s="6">
        <f t="shared" si="2"/>
        <v>6</v>
      </c>
      <c r="J3023" s="6">
        <f>IFERROR(__xludf.DUMMYFUNCTION("IF(H3023="""","""",
SUM(
ARRAYFORMULA(
IF(
REGEXMATCH(
"" ""&amp;H3023&amp;"" "",
"" ""&amp;Sentiment_Words!A$2:A3730&amp;"" ""
),
1,
0
)
)
)
)"),1.0)</f>
        <v>1</v>
      </c>
      <c r="K3023" s="4">
        <f>IFERROR(__xludf.DUMMYFUNCTION("IF(H3023="""","""",
SUM(
ARRAYFORMULA(
IF(
REGEXMATCH(
"" ""&amp;H3023&amp;"" "",
"" ""&amp;Sentiment_Words!B$2:B3730&amp;"" ""
),
1,
0
)
)
)
)"),0.0)</f>
        <v>0</v>
      </c>
      <c r="L3023" s="7" t="str">
        <f t="shared" si="3"/>
        <v>Other</v>
      </c>
      <c r="M3023" s="7" t="str">
        <f t="shared" si="4"/>
        <v>Positive</v>
      </c>
      <c r="N3023" s="7" t="str">
        <f>IFERROR(__xludf.DUMMYFUNCTION("LOWER(
TRIM(
REGEXREPLACE(B3023,""[^a-zA-Z\s]"","""")
)
)
"),"meghan parker")</f>
        <v>meghan parker</v>
      </c>
      <c r="O3023" s="7">
        <f t="shared" si="5"/>
        <v>1</v>
      </c>
      <c r="P3023" s="8" t="str">
        <f t="shared" si="6"/>
        <v>No</v>
      </c>
    </row>
    <row r="3024">
      <c r="A3024" s="4" t="s">
        <v>16</v>
      </c>
      <c r="B3024" s="4" t="s">
        <v>2124</v>
      </c>
      <c r="C3024" s="9">
        <v>44596.0</v>
      </c>
      <c r="D3024" s="10">
        <v>44596.0</v>
      </c>
      <c r="E3024" s="4" t="s">
        <v>8413</v>
      </c>
      <c r="F3024" s="4" t="s">
        <v>8414</v>
      </c>
      <c r="G3024" s="6" t="str">
        <f>IFERROR(__xludf.DUMMYFUNCTION("REGEXREPLACE(LOWER(F3024),""[^a-z\s]"","""")"),"prompt service and competively priced")</f>
        <v>prompt service and competively priced</v>
      </c>
      <c r="H3024" s="4" t="str">
        <f t="shared" si="1"/>
        <v>prompt service competively priced</v>
      </c>
      <c r="I3024" s="6">
        <f t="shared" si="2"/>
        <v>4</v>
      </c>
      <c r="J3024" s="6">
        <f>IFERROR(__xludf.DUMMYFUNCTION("IF(H3024="""","""",
SUM(
ARRAYFORMULA(
IF(
REGEXMATCH(
"" ""&amp;H3024&amp;"" "",
"" ""&amp;Sentiment_Words!A$2:A3730&amp;"" ""
),
1,
0
)
)
)
)"),1.0)</f>
        <v>1</v>
      </c>
      <c r="K3024" s="4">
        <f>IFERROR(__xludf.DUMMYFUNCTION("IF(H3024="""","""",
SUM(
ARRAYFORMULA(
IF(
REGEXMATCH(
"" ""&amp;H3024&amp;"" "",
"" ""&amp;Sentiment_Words!B$2:B3730&amp;"" ""
),
1,
0
)
)
)
)"),0.0)</f>
        <v>0</v>
      </c>
      <c r="L3024" s="7" t="str">
        <f t="shared" si="3"/>
        <v>Customer Support</v>
      </c>
      <c r="M3024" s="7" t="str">
        <f t="shared" si="4"/>
        <v>Positive</v>
      </c>
      <c r="N3024" s="7" t="str">
        <f>IFERROR(__xludf.DUMMYFUNCTION("LOWER(
TRIM(
REGEXREPLACE(B3024,""[^a-zA-Z\s]"","""")
)
)
"),"kevin")</f>
        <v>kevin</v>
      </c>
      <c r="O3024" s="7">
        <f t="shared" si="5"/>
        <v>2</v>
      </c>
      <c r="P3024" s="8" t="str">
        <f t="shared" si="6"/>
        <v>Yes</v>
      </c>
    </row>
    <row r="3025">
      <c r="A3025" s="4" t="s">
        <v>16</v>
      </c>
      <c r="B3025" s="4" t="s">
        <v>8415</v>
      </c>
      <c r="C3025" s="9">
        <v>44596.0</v>
      </c>
      <c r="D3025" s="10">
        <v>44596.0</v>
      </c>
      <c r="E3025" s="4" t="s">
        <v>623</v>
      </c>
      <c r="F3025" s="4" t="s">
        <v>8416</v>
      </c>
      <c r="G3025" s="6" t="str">
        <f>IFERROR(__xludf.DUMMYFUNCTION("REGEXREPLACE(LOWER(F3025),""[^a-z\s]"","""")"),"paid for order to only be refunded days later as it was not in stock though it is not the fault that dog food companies cannot get the ingredients to make the food it is petflows fault that the food appears on the website as being in stock when it is not "&amp;"dont sell things you dont actually have im not thrilled that you had you hands in my account unnecessarily")</f>
        <v>paid for order to only be refunded days later as it was not in stock though it is not the fault that dog food companies cannot get the ingredients to make the food it is petflows fault that the food appears on the website as being in stock when it is not dont sell things you dont actually have im not thrilled that you had you hands in my account unnecessarily</v>
      </c>
      <c r="H3025" s="4" t="str">
        <f t="shared" si="1"/>
        <v>paid order only be refunded days later as it was not in stock though it not fault that dog food companies cannot get ingredients make food it petflows fault that food appears on website as being in stock when it not dont sell things you dont actually have im not thrilled that you had you hands in my account unnecessarily</v>
      </c>
      <c r="I3025" s="6">
        <f t="shared" si="2"/>
        <v>60</v>
      </c>
      <c r="J3025" s="6">
        <f>IFERROR(__xludf.DUMMYFUNCTION("IF(H3025="""","""",
SUM(
ARRAYFORMULA(
IF(
REGEXMATCH(
"" ""&amp;H3025&amp;"" "",
"" ""&amp;Sentiment_Words!A$2:A3730&amp;"" ""
),
1,
0
)
)
)
)"),0.0)</f>
        <v>0</v>
      </c>
      <c r="K3025" s="4">
        <f>IFERROR(__xludf.DUMMYFUNCTION("IF(H3025="""","""",
SUM(
ARRAYFORMULA(
IF(
REGEXMATCH(
"" ""&amp;H3025&amp;"" "",
"" ""&amp;Sentiment_Words!B$2:B3730&amp;"" ""
),
1,
0
)
)
)
)"),0.0)</f>
        <v>0</v>
      </c>
      <c r="L3025" s="7" t="str">
        <f t="shared" si="3"/>
        <v>Fulfillment &amp; Shipping</v>
      </c>
      <c r="M3025" s="7" t="str">
        <f t="shared" si="4"/>
        <v>Neutral</v>
      </c>
      <c r="N3025" s="7" t="str">
        <f>IFERROR(__xludf.DUMMYFUNCTION("LOWER(
TRIM(
REGEXREPLACE(B3025,""[^a-zA-Z\s]"","""")
)
)
"),"gerard")</f>
        <v>gerard</v>
      </c>
      <c r="O3025" s="7">
        <f t="shared" si="5"/>
        <v>1</v>
      </c>
      <c r="P3025" s="8" t="str">
        <f t="shared" si="6"/>
        <v>No</v>
      </c>
    </row>
    <row r="3026">
      <c r="A3026" s="4" t="s">
        <v>16</v>
      </c>
      <c r="B3026" s="4" t="s">
        <v>8417</v>
      </c>
      <c r="C3026" s="9">
        <v>44596.0</v>
      </c>
      <c r="D3026" s="10">
        <v>44596.0</v>
      </c>
      <c r="E3026" s="4" t="s">
        <v>8418</v>
      </c>
      <c r="F3026" s="4" t="s">
        <v>8419</v>
      </c>
      <c r="G3026" s="6" t="str">
        <f>IFERROR(__xludf.DUMMYFUNCTION("REGEXREPLACE(LOWER(F3026),""[^a-z\s]"","""")"),"ordered  products two were out of stock i contacted petfllow multiple times to cancel the two out of stock products one cancelled correctly but the other already shipped so i received a  off inconvenience discount on it then after all that two of the same"&amp;" product was shipped and i was charged for the second of that same product appreciated the inconvenience discount but then to receive two of the same product and charged i was very annoyed the product was a case of wet canned dog food which i purchased el"&amp;"sewhere because they originally told me it would be cancelled on top of that ai now gave  cases for my dog that may pass before one case is used up i told them i only wanted the one case after they had said it shipped because my dog is old and may not liv"&amp;"e overall disappointed with the service and communication")</f>
        <v>ordered  products two were out of stock i contacted petfllow multiple times to cancel the two out of stock products one cancelled correctly but the other already shipped so i received a  off inconvenience discount on it then after all that two of the same product was shipped and i was charged for the second of that same product appreciated the inconvenience discount but then to receive two of the same product and charged i was very annoyed the product was a case of wet canned dog food which i purchased elsewhere because they originally told me it would be cancelled on top of that ai now gave  cases for my dog that may pass before one case is used up i told them i only wanted the one case after they had said it shipped because my dog is old and may not live overall disappointed with the service and communication</v>
      </c>
      <c r="H3026" s="4" t="str">
        <f t="shared" si="1"/>
        <v>ordered products two were out of stock i contacted petfllow multiple times cancel two out of stock products one cancelled correctly but other already shipped so i received a off inconvenience discount on it then after all that two of same product was shipped i was charged second of that same product appreciated inconvenience discount but then receive two of same product charged i was very annoyed product was a case of wet canned dog food which i purchased elsewhere because they originally told me it would be cancelled on top of that ai now gave cases my dog that may pass before one case used up i told them i only wanted one case after they had said it shipped because my dog old may not live overall disappointed with service communication</v>
      </c>
      <c r="I3026" s="6">
        <f t="shared" si="2"/>
        <v>133</v>
      </c>
      <c r="J3026" s="6">
        <f>IFERROR(__xludf.DUMMYFUNCTION("IF(H3026="""","""",
SUM(
ARRAYFORMULA(
IF(
REGEXMATCH(
"" ""&amp;H3026&amp;"" "",
"" ""&amp;Sentiment_Words!A$2:A3730&amp;"" ""
),
1,
0
)
)
)
)"),0.0)</f>
        <v>0</v>
      </c>
      <c r="K3026" s="4">
        <f>IFERROR(__xludf.DUMMYFUNCTION("IF(H3026="""","""",
SUM(
ARRAYFORMULA(
IF(
REGEXMATCH(
"" ""&amp;H3026&amp;"" "",
"" ""&amp;Sentiment_Words!B$2:B3730&amp;"" ""
),
1,
0
)
)
)
)"),2.0)</f>
        <v>2</v>
      </c>
      <c r="L3026" s="7" t="str">
        <f t="shared" si="3"/>
        <v>Customer Support</v>
      </c>
      <c r="M3026" s="7" t="str">
        <f t="shared" si="4"/>
        <v>Negative</v>
      </c>
      <c r="N3026" s="7" t="str">
        <f>IFERROR(__xludf.DUMMYFUNCTION("LOWER(
TRIM(
REGEXREPLACE(B3026,""[^a-zA-Z\s]"","""")
)
)
"),"danielle corning")</f>
        <v>danielle corning</v>
      </c>
      <c r="O3026" s="7">
        <f t="shared" si="5"/>
        <v>1</v>
      </c>
      <c r="P3026" s="8" t="str">
        <f t="shared" si="6"/>
        <v>No</v>
      </c>
    </row>
    <row r="3027">
      <c r="A3027" s="4" t="s">
        <v>16</v>
      </c>
      <c r="B3027" s="4" t="s">
        <v>6829</v>
      </c>
      <c r="C3027" s="9">
        <v>44596.0</v>
      </c>
      <c r="D3027" s="10">
        <v>44596.0</v>
      </c>
      <c r="E3027" s="4" t="s">
        <v>8420</v>
      </c>
      <c r="F3027" s="4" t="s">
        <v>8421</v>
      </c>
      <c r="G3027" s="6" t="str">
        <f>IFERROR(__xludf.DUMMYFUNCTION("REGEXREPLACE(LOWER(F3027),""[^a-z\s]"","""")"),"i ordered prescription dog food and it was listed in stock placed the order and sent in the prescription to the email listed two days later got an email saying they were having difficulty getting the prescription i sent it again and they confirmed receivi"&amp;"ng it five days later no dog food no tracking number checked my order on line and said it had shipped called petflow and they said it was out of stock and didnt know when it would be in poor communication and im stuck without prescription dog food i cance"&amp;"lled the order")</f>
        <v>i ordered prescription dog food and it was listed in stock placed the order and sent in the prescription to the email listed two days later got an email saying they were having difficulty getting the prescription i sent it again and they confirmed receiving it five days later no dog food no tracking number checked my order on line and said it had shipped called petflow and they said it was out of stock and didnt know when it would be in poor communication and im stuck without prescription dog food i cancelled the order</v>
      </c>
      <c r="H3027" s="4" t="str">
        <f t="shared" si="1"/>
        <v>i ordered prescription dog food it was listed in stock placed order sent in prescription email listed two days later got an email saying they were having difficulty getting prescription i sent it again they confirmed receiving it five days later no dog food no tracking number checked my order on line said it had shipped called petflow they said it was out of stock didnt know when it would be in poor communication im stuck without prescription dog food i cancelled order</v>
      </c>
      <c r="I3027" s="6">
        <f t="shared" si="2"/>
        <v>83</v>
      </c>
      <c r="J3027" s="6">
        <f>IFERROR(__xludf.DUMMYFUNCTION("IF(H3027="""","""",
SUM(
ARRAYFORMULA(
IF(
REGEXMATCH(
"" ""&amp;H3027&amp;"" "",
"" ""&amp;Sentiment_Words!A$2:A3730&amp;"" ""
),
1,
0
)
)
)
)"),0.0)</f>
        <v>0</v>
      </c>
      <c r="K3027" s="4">
        <f>IFERROR(__xludf.DUMMYFUNCTION("IF(H3027="""","""",
SUM(
ARRAYFORMULA(
IF(
REGEXMATCH(
"" ""&amp;H3027&amp;"" "",
"" ""&amp;Sentiment_Words!B$2:B3730&amp;"" ""
),
1,
0
)
)
)
)"),2.0)</f>
        <v>2</v>
      </c>
      <c r="L3027" s="7" t="str">
        <f t="shared" si="3"/>
        <v>Fulfillment &amp; Shipping</v>
      </c>
      <c r="M3027" s="7" t="str">
        <f t="shared" si="4"/>
        <v>Negative</v>
      </c>
      <c r="N3027" s="7" t="str">
        <f>IFERROR(__xludf.DUMMYFUNCTION("LOWER(
TRIM(
REGEXREPLACE(B3027,""[^a-zA-Z\s]"","""")
)
)
"),"sb")</f>
        <v>sb</v>
      </c>
      <c r="O3027" s="7">
        <f t="shared" si="5"/>
        <v>2</v>
      </c>
      <c r="P3027" s="8" t="str">
        <f t="shared" si="6"/>
        <v>Yes</v>
      </c>
    </row>
    <row r="3028">
      <c r="A3028" s="4" t="s">
        <v>16</v>
      </c>
      <c r="B3028" s="4" t="s">
        <v>8422</v>
      </c>
      <c r="C3028" s="9">
        <v>44596.0</v>
      </c>
      <c r="D3028" s="10">
        <v>44596.0</v>
      </c>
      <c r="E3028" s="4" t="s">
        <v>8423</v>
      </c>
      <c r="F3028" s="4" t="s">
        <v>8424</v>
      </c>
      <c r="G3028" s="6" t="str">
        <f>IFERROR(__xludf.DUMMYFUNCTION("REGEXREPLACE(LOWER(F3028),""[^a-z\s]"","""")"),"local vets out of prescribed cat food  could not find any anywhere on line either even with a popular and well known pet supplier accidentally found pet flow and they had the food out cat needs they got the prescription right away and processed i sent it "&amp;"and it arrived when we were on the last can the customer service is excellent letting me know each step of the way where the order was too bad government leaders dont consider pet supplies as crucial for some backlog of undelivered products and delayed sh"&amp;"ipping is avoidable and flat wrong it becomes the hunger games for our pets thank you pet flow")</f>
        <v>local vets out of prescribed cat food  could not find any anywhere on line either even with a popular and well known pet supplier accidentally found pet flow and they had the food out cat needs they got the prescription right away and processed i sent it and it arrived when we were on the last can the customer service is excellent letting me know each step of the way where the order was too bad government leaders dont consider pet supplies as crucial for some backlog of undelivered products and delayed shipping is avoidable and flat wrong it becomes the hunger games for our pets thank you pet flow</v>
      </c>
      <c r="H3028" s="4" t="str">
        <f t="shared" si="1"/>
        <v>local vets out of prescribed cat food could not find any anywhere on line either even with a popular well known pet supplier accidentally found pet flow they had food out cat needs they got prescription right away processed i sent it it arrived when we were on last can customer service excellent letting me know each step of way where order was too bad government leaders dont consider pet supplies as crucial some backlog of undelivered products delayed shipping avoidable flat wrong it becomes hunger games our pets thank you pet flow</v>
      </c>
      <c r="I3028" s="6">
        <f t="shared" si="2"/>
        <v>93</v>
      </c>
      <c r="J3028" s="6">
        <f>IFERROR(__xludf.DUMMYFUNCTION("IF(H3028="""","""",
SUM(
ARRAYFORMULA(
IF(
REGEXMATCH(
"" ""&amp;H3028&amp;"" "",
"" ""&amp;Sentiment_Words!A$2:A3730&amp;"" ""
),
1,
0
)
)
)
)"),1.0)</f>
        <v>1</v>
      </c>
      <c r="K3028" s="4">
        <f>IFERROR(__xludf.DUMMYFUNCTION("IF(H3028="""","""",
SUM(
ARRAYFORMULA(
IF(
REGEXMATCH(
"" ""&amp;H3028&amp;"" "",
"" ""&amp;Sentiment_Words!B$2:B3730&amp;"" ""
),
1,
0
)
)
)
)"),3.0)</f>
        <v>3</v>
      </c>
      <c r="L3028" s="7" t="str">
        <f t="shared" si="3"/>
        <v>Customer Support</v>
      </c>
      <c r="M3028" s="7" t="str">
        <f t="shared" si="4"/>
        <v>Negative</v>
      </c>
      <c r="N3028" s="7" t="str">
        <f>IFERROR(__xludf.DUMMYFUNCTION("LOWER(
TRIM(
REGEXREPLACE(B3028,""[^a-zA-Z\s]"","""")
)
)
"),"kathy goddard")</f>
        <v>kathy goddard</v>
      </c>
      <c r="O3028" s="7">
        <f t="shared" si="5"/>
        <v>1</v>
      </c>
      <c r="P3028" s="8" t="str">
        <f t="shared" si="6"/>
        <v>No</v>
      </c>
    </row>
    <row r="3029">
      <c r="A3029" s="4" t="s">
        <v>16</v>
      </c>
      <c r="B3029" s="4" t="s">
        <v>8425</v>
      </c>
      <c r="C3029" s="9">
        <v>44596.0</v>
      </c>
      <c r="D3029" s="10">
        <v>44596.0</v>
      </c>
      <c r="E3029" s="4" t="s">
        <v>8426</v>
      </c>
      <c r="F3029" s="4" t="s">
        <v>8427</v>
      </c>
      <c r="G3029" s="6" t="str">
        <f>IFERROR(__xludf.DUMMYFUNCTION("REGEXREPLACE(LOWER(F3029),""[^a-z\s]"","""")"),"items shipped wrong twice customer service promised to let me know if the items were discontinued or if they were going to replace them yet again and never emailed or called back terrible customer support still havent been credited back for my items")</f>
        <v>items shipped wrong twice customer service promised to let me know if the items were discontinued or if they were going to replace them yet again and never emailed or called back terrible customer support still havent been credited back for my items</v>
      </c>
      <c r="H3029" s="4" t="str">
        <f t="shared" si="1"/>
        <v>items shipped wrong twice customer service promised let me know if items were discontinued or if they were going replace them yet again never emailed or called back terrible customer support still havent been credited back my items</v>
      </c>
      <c r="I3029" s="6">
        <f t="shared" si="2"/>
        <v>38</v>
      </c>
      <c r="J3029" s="6">
        <f>IFERROR(__xludf.DUMMYFUNCTION("IF(H3029="""","""",
SUM(
ARRAYFORMULA(
IF(
REGEXMATCH(
"" ""&amp;H3029&amp;"" "",
"" ""&amp;Sentiment_Words!A$2:A3730&amp;"" ""
),
1,
0
)
)
)
)"),0.0)</f>
        <v>0</v>
      </c>
      <c r="K3029" s="4">
        <f>IFERROR(__xludf.DUMMYFUNCTION("IF(H3029="""","""",
SUM(
ARRAYFORMULA(
IF(
REGEXMATCH(
"" ""&amp;H3029&amp;"" "",
"" ""&amp;Sentiment_Words!B$2:B3730&amp;"" ""
),
1,
0
)
)
)
)"),3.0)</f>
        <v>3</v>
      </c>
      <c r="L3029" s="7" t="str">
        <f t="shared" si="3"/>
        <v>Customer Support</v>
      </c>
      <c r="M3029" s="7" t="str">
        <f t="shared" si="4"/>
        <v>Negative</v>
      </c>
      <c r="N3029" s="7" t="str">
        <f>IFERROR(__xludf.DUMMYFUNCTION("LOWER(
TRIM(
REGEXREPLACE(B3029,""[^a-zA-Z\s]"","""")
)
)
"),"joan paris")</f>
        <v>joan paris</v>
      </c>
      <c r="O3029" s="7">
        <f t="shared" si="5"/>
        <v>1</v>
      </c>
      <c r="P3029" s="8" t="str">
        <f t="shared" si="6"/>
        <v>No</v>
      </c>
    </row>
    <row r="3030">
      <c r="A3030" s="4" t="s">
        <v>16</v>
      </c>
      <c r="B3030" s="4" t="s">
        <v>8428</v>
      </c>
      <c r="C3030" s="9">
        <v>44596.0</v>
      </c>
      <c r="D3030" s="10">
        <v>44596.0</v>
      </c>
      <c r="E3030" s="4" t="s">
        <v>8429</v>
      </c>
      <c r="F3030" s="4" t="s">
        <v>8430</v>
      </c>
      <c r="G3030" s="6" t="str">
        <f>IFERROR(__xludf.DUMMYFUNCTION("REGEXREPLACE(LOWER(F3030),""[^a-z\s]"","""")"),"quick service n delivery")</f>
        <v>quick service n delivery</v>
      </c>
      <c r="H3030" s="4" t="str">
        <f t="shared" si="1"/>
        <v>quick service n delivery</v>
      </c>
      <c r="I3030" s="6">
        <f t="shared" si="2"/>
        <v>4</v>
      </c>
      <c r="J3030" s="6">
        <f>IFERROR(__xludf.DUMMYFUNCTION("IF(H3030="""","""",
SUM(
ARRAYFORMULA(
IF(
REGEXMATCH(
"" ""&amp;H3030&amp;"" "",
"" ""&amp;Sentiment_Words!A$2:A3730&amp;"" ""
),
1,
0
)
)
)
)"),0.0)</f>
        <v>0</v>
      </c>
      <c r="K3030" s="4">
        <f>IFERROR(__xludf.DUMMYFUNCTION("IF(H3030="""","""",
SUM(
ARRAYFORMULA(
IF(
REGEXMATCH(
"" ""&amp;H3030&amp;"" "",
"" ""&amp;Sentiment_Words!B$2:B3730&amp;"" ""
),
1,
0
)
)
)
)"),0.0)</f>
        <v>0</v>
      </c>
      <c r="L3030" s="7" t="str">
        <f t="shared" si="3"/>
        <v>Customer Support</v>
      </c>
      <c r="M3030" s="7" t="str">
        <f t="shared" si="4"/>
        <v>Neutral</v>
      </c>
      <c r="N3030" s="7" t="str">
        <f>IFERROR(__xludf.DUMMYFUNCTION("LOWER(
TRIM(
REGEXREPLACE(B3030,""[^a-zA-Z\s]"","""")
)
)
"),"jackie berman")</f>
        <v>jackie berman</v>
      </c>
      <c r="O3030" s="7">
        <f t="shared" si="5"/>
        <v>1</v>
      </c>
      <c r="P3030" s="8" t="str">
        <f t="shared" si="6"/>
        <v>No</v>
      </c>
    </row>
    <row r="3031">
      <c r="A3031" s="4" t="s">
        <v>16</v>
      </c>
      <c r="B3031" s="4" t="s">
        <v>8431</v>
      </c>
      <c r="C3031" s="9">
        <v>44595.0</v>
      </c>
      <c r="D3031" s="10">
        <v>44596.0</v>
      </c>
      <c r="E3031" s="4" t="s">
        <v>8432</v>
      </c>
      <c r="F3031" s="4" t="s">
        <v>8433</v>
      </c>
      <c r="G3031" s="6" t="str">
        <f>IFERROR(__xludf.DUMMYFUNCTION("REGEXREPLACE(LOWER(F3031),""[^a-z\s]"","""")"),"items arrived promptly im very pleased they offer bones made in the usa which my dogs love")</f>
        <v>items arrived promptly im very pleased they offer bones made in the usa which my dogs love</v>
      </c>
      <c r="H3031" s="4" t="str">
        <f t="shared" si="1"/>
        <v>items arrived promptly im very pleased they offer bones made in usa which my dogs love</v>
      </c>
      <c r="I3031" s="6">
        <f t="shared" si="2"/>
        <v>16</v>
      </c>
      <c r="J3031" s="6">
        <f>IFERROR(__xludf.DUMMYFUNCTION("IF(H3031="""","""",
SUM(
ARRAYFORMULA(
IF(
REGEXMATCH(
"" ""&amp;H3031&amp;"" "",
"" ""&amp;Sentiment_Words!A$2:A3730&amp;"" ""
),
1,
0
)
)
)
)"),1.0)</f>
        <v>1</v>
      </c>
      <c r="K3031" s="4">
        <f>IFERROR(__xludf.DUMMYFUNCTION("IF(H3031="""","""",
SUM(
ARRAYFORMULA(
IF(
REGEXMATCH(
"" ""&amp;H3031&amp;"" "",
"" ""&amp;Sentiment_Words!B$2:B3730&amp;"" ""
),
1,
0
)
)
)
)"),0.0)</f>
        <v>0</v>
      </c>
      <c r="L3031" s="7" t="str">
        <f t="shared" si="3"/>
        <v>Other</v>
      </c>
      <c r="M3031" s="7" t="str">
        <f t="shared" si="4"/>
        <v>Positive</v>
      </c>
      <c r="N3031" s="7" t="str">
        <f>IFERROR(__xludf.DUMMYFUNCTION("LOWER(
TRIM(
REGEXREPLACE(B3031,""[^a-zA-Z\s]"","""")
)
)
"),"sandra reed")</f>
        <v>sandra reed</v>
      </c>
      <c r="O3031" s="7">
        <f t="shared" si="5"/>
        <v>1</v>
      </c>
      <c r="P3031" s="8" t="str">
        <f t="shared" si="6"/>
        <v>No</v>
      </c>
    </row>
    <row r="3032">
      <c r="A3032" s="4" t="s">
        <v>16</v>
      </c>
      <c r="B3032" s="4" t="s">
        <v>5954</v>
      </c>
      <c r="C3032" s="9">
        <v>44595.0</v>
      </c>
      <c r="D3032" s="10">
        <v>44595.0</v>
      </c>
      <c r="E3032" s="4" t="s">
        <v>8434</v>
      </c>
      <c r="F3032" s="4" t="s">
        <v>8435</v>
      </c>
      <c r="G3032" s="6" t="str">
        <f>IFERROR(__xludf.DUMMYFUNCTION("REGEXREPLACE(LOWER(F3032),""[^a-z\s]"","""")"),"i would have preferred to get my items a bit sooner as i have from other pet vendors i also wish i could get the grain version of honest kitchens base mix i had to go elsewhere to do so")</f>
        <v>i would have preferred to get my items a bit sooner as i have from other pet vendors i also wish i could get the grain version of honest kitchens base mix i had to go elsewhere to do so</v>
      </c>
      <c r="H3032" s="4" t="str">
        <f t="shared" si="1"/>
        <v>i would have preferred get my items a bit sooner as i have from other pet vendors i also wish i could get grain version of honest kitchens base mix i had go elsewhere do so</v>
      </c>
      <c r="I3032" s="6">
        <f t="shared" si="2"/>
        <v>36</v>
      </c>
      <c r="J3032" s="6">
        <f>IFERROR(__xludf.DUMMYFUNCTION("IF(H3032="""","""",
SUM(
ARRAYFORMULA(
IF(
REGEXMATCH(
"" ""&amp;H3032&amp;"" "",
"" ""&amp;Sentiment_Words!A$2:A3730&amp;"" ""
),
1,
0
)
)
)
)"),0.0)</f>
        <v>0</v>
      </c>
      <c r="K3032" s="4">
        <f>IFERROR(__xludf.DUMMYFUNCTION("IF(H3032="""","""",
SUM(
ARRAYFORMULA(
IF(
REGEXMATCH(
"" ""&amp;H3032&amp;"" "",
"" ""&amp;Sentiment_Words!B$2:B3730&amp;"" ""
),
1,
0
)
)
)
)"),0.0)</f>
        <v>0</v>
      </c>
      <c r="L3032" s="7" t="str">
        <f t="shared" si="3"/>
        <v>Other</v>
      </c>
      <c r="M3032" s="7" t="str">
        <f t="shared" si="4"/>
        <v>Neutral</v>
      </c>
      <c r="N3032" s="7" t="str">
        <f>IFERROR(__xludf.DUMMYFUNCTION("LOWER(
TRIM(
REGEXREPLACE(B3032,""[^a-zA-Z\s]"","""")
)
)
"),"nancy")</f>
        <v>nancy</v>
      </c>
      <c r="O3032" s="7">
        <f t="shared" si="5"/>
        <v>7</v>
      </c>
      <c r="P3032" s="8" t="str">
        <f t="shared" si="6"/>
        <v>Yes</v>
      </c>
    </row>
    <row r="3033">
      <c r="A3033" s="4" t="s">
        <v>16</v>
      </c>
      <c r="B3033" s="4" t="s">
        <v>8436</v>
      </c>
      <c r="C3033" s="9">
        <v>44595.0</v>
      </c>
      <c r="D3033" s="10">
        <v>44595.0</v>
      </c>
      <c r="E3033" s="4" t="s">
        <v>8437</v>
      </c>
      <c r="F3033" s="4" t="s">
        <v>8438</v>
      </c>
      <c r="G3033" s="6" t="str">
        <f>IFERROR(__xludf.DUMMYFUNCTION("REGEXREPLACE(LOWER(F3033),""[^a-z\s]"","""")"),"we started using pet flow a year ago to order pet treatsour regular place was out of stock so i searched around  found pet flowthey are better priced and price doesnt go up and down constantlysuper easy to order but if you need to callcustomer service is "&amp;"greatthey also have an autoship program you can save money using for your first  ordersso after a year im giving them a definite  star rating
     ")</f>
        <v>we started using pet flow a year ago to order pet treatsour regular place was out of stock so i searched around  found pet flowthey are better priced and price doesnt go up and down constantlysuper easy to order but if you need to callcustomer service is greatthey also have an autoship program you can save money using for your first  ordersso after a year im giving them a definite  star rating
     </v>
      </c>
      <c r="H3033" s="4" t="str">
        <f t="shared" si="1"/>
        <v>we started using pet flow a year ago order pet treatsour regular place was out of stock so i searched around found pet flowthey are better priced price doesnt go up down constantlysuper easy order but if you need callcustomer service greatthey also have an autoship program you can save money using your first ordersso after a year im giving them a definite star rating</v>
      </c>
      <c r="I3033" s="6">
        <f t="shared" si="2"/>
        <v>65</v>
      </c>
      <c r="J3033" s="6">
        <f>IFERROR(__xludf.DUMMYFUNCTION("IF(H3033="""","""",
SUM(
ARRAYFORMULA(
IF(
REGEXMATCH(
"" ""&amp;H3033&amp;"" "",
"" ""&amp;Sentiment_Words!A$2:A3730&amp;"" ""
),
1,
0
)
)
)
)"),2.0)</f>
        <v>2</v>
      </c>
      <c r="K3033" s="4">
        <f>IFERROR(__xludf.DUMMYFUNCTION("IF(H3033="""","""",
SUM(
ARRAYFORMULA(
IF(
REGEXMATCH(
"" ""&amp;H3033&amp;"" "",
"" ""&amp;Sentiment_Words!B$2:B3730&amp;"" ""
),
1,
0
)
)
)
)"),1.0)</f>
        <v>1</v>
      </c>
      <c r="L3033" s="7" t="str">
        <f t="shared" si="3"/>
        <v>Customer Support</v>
      </c>
      <c r="M3033" s="7" t="str">
        <f t="shared" si="4"/>
        <v>Positive</v>
      </c>
      <c r="N3033" s="7" t="str">
        <f>IFERROR(__xludf.DUMMYFUNCTION("LOWER(
TRIM(
REGEXREPLACE(B3033,""[^a-zA-Z\s]"","""")
)
)
"),"sharyl amovitz")</f>
        <v>sharyl amovitz</v>
      </c>
      <c r="O3033" s="7">
        <f t="shared" si="5"/>
        <v>1</v>
      </c>
      <c r="P3033" s="8" t="str">
        <f t="shared" si="6"/>
        <v>No</v>
      </c>
    </row>
    <row r="3034">
      <c r="A3034" s="4" t="s">
        <v>16</v>
      </c>
      <c r="B3034" s="4" t="s">
        <v>8439</v>
      </c>
      <c r="C3034" s="9">
        <v>44595.0</v>
      </c>
      <c r="D3034" s="10">
        <v>44595.0</v>
      </c>
      <c r="E3034" s="4" t="s">
        <v>8440</v>
      </c>
      <c r="F3034" s="4" t="s">
        <v>8441</v>
      </c>
      <c r="G3034" s="6" t="str">
        <f>IFERROR(__xludf.DUMMYFUNCTION("REGEXREPLACE(LOWER(F3034),""[^a-z\s]"","""")"),"i have  macaw parrots so the ae toys i ordered are the same quality i have ordered for  years now from other companies price was reasonable and shipping time very reasonable plus i paid no shipping costs will definitely order again in a couple months")</f>
        <v>i have  macaw parrots so the ae toys i ordered are the same quality i have ordered for  years now from other companies price was reasonable and shipping time very reasonable plus i paid no shipping costs will definitely order again in a couple months</v>
      </c>
      <c r="H3034" s="4" t="str">
        <f t="shared" si="1"/>
        <v>i have macaw parrots so ae toys i ordered are same quality i have ordered years now from other companies price was reasonable shipping time very reasonable plus i paid no shipping costs will definitely order again in a couple months</v>
      </c>
      <c r="I3034" s="6">
        <f t="shared" si="2"/>
        <v>41</v>
      </c>
      <c r="J3034" s="6">
        <f>IFERROR(__xludf.DUMMYFUNCTION("IF(H3034="""","""",
SUM(
ARRAYFORMULA(
IF(
REGEXMATCH(
"" ""&amp;H3034&amp;"" "",
"" ""&amp;Sentiment_Words!A$2:A3730&amp;"" ""
),
1,
0
)
)
)
)"),0.0)</f>
        <v>0</v>
      </c>
      <c r="K3034" s="4">
        <f>IFERROR(__xludf.DUMMYFUNCTION("IF(H3034="""","""",
SUM(
ARRAYFORMULA(
IF(
REGEXMATCH(
"" ""&amp;H3034&amp;"" "",
"" ""&amp;Sentiment_Words!B$2:B3730&amp;"" ""
),
1,
0
)
)
)
)"),0.0)</f>
        <v>0</v>
      </c>
      <c r="L3034" s="7" t="str">
        <f t="shared" si="3"/>
        <v>Other</v>
      </c>
      <c r="M3034" s="7" t="str">
        <f t="shared" si="4"/>
        <v>Neutral</v>
      </c>
      <c r="N3034" s="7" t="str">
        <f>IFERROR(__xludf.DUMMYFUNCTION("LOWER(
TRIM(
REGEXREPLACE(B3034,""[^a-zA-Z\s]"","""")
)
)
"),"retail shopper")</f>
        <v>retail shopper</v>
      </c>
      <c r="O3034" s="7">
        <f t="shared" si="5"/>
        <v>1</v>
      </c>
      <c r="P3034" s="8" t="str">
        <f t="shared" si="6"/>
        <v>No</v>
      </c>
    </row>
    <row r="3035">
      <c r="A3035" s="4" t="s">
        <v>16</v>
      </c>
      <c r="B3035" s="4" t="s">
        <v>8442</v>
      </c>
      <c r="C3035" s="9">
        <v>44595.0</v>
      </c>
      <c r="D3035" s="10">
        <v>44595.0</v>
      </c>
      <c r="E3035" s="4" t="s">
        <v>8443</v>
      </c>
      <c r="F3035" s="4" t="s">
        <v>8444</v>
      </c>
      <c r="G3035" s="6" t="str">
        <f>IFERROR(__xludf.DUMMYFUNCTION("REGEXREPLACE(LOWER(F3035),""[^a-z\s]"","""")"),"very easy to use and very fast shipping thank you i will use you again for my future orders")</f>
        <v>very easy to use and very fast shipping thank you i will use you again for my future orders</v>
      </c>
      <c r="H3035" s="4" t="str">
        <f t="shared" si="1"/>
        <v>very easy use very fast shipping thank you i will use you again my future orders</v>
      </c>
      <c r="I3035" s="6">
        <f t="shared" si="2"/>
        <v>16</v>
      </c>
      <c r="J3035" s="6">
        <f>IFERROR(__xludf.DUMMYFUNCTION("IF(H3035="""","""",
SUM(
ARRAYFORMULA(
IF(
REGEXMATCH(
"" ""&amp;H3035&amp;"" "",
"" ""&amp;Sentiment_Words!A$2:A3730&amp;"" ""
),
1,
0
)
)
)
)"),2.0)</f>
        <v>2</v>
      </c>
      <c r="K3035" s="4">
        <f>IFERROR(__xludf.DUMMYFUNCTION("IF(H3035="""","""",
SUM(
ARRAYFORMULA(
IF(
REGEXMATCH(
"" ""&amp;H3035&amp;"" "",
"" ""&amp;Sentiment_Words!B$2:B3730&amp;"" ""
),
1,
0
)
)
)
)"),0.0)</f>
        <v>0</v>
      </c>
      <c r="L3035" s="7" t="str">
        <f t="shared" si="3"/>
        <v>Other</v>
      </c>
      <c r="M3035" s="7" t="str">
        <f t="shared" si="4"/>
        <v>Positive</v>
      </c>
      <c r="N3035" s="7" t="str">
        <f>IFERROR(__xludf.DUMMYFUNCTION("LOWER(
TRIM(
REGEXREPLACE(B3035,""[^a-zA-Z\s]"","""")
)
)
"),"maureen hudson")</f>
        <v>maureen hudson</v>
      </c>
      <c r="O3035" s="7">
        <f t="shared" si="5"/>
        <v>1</v>
      </c>
      <c r="P3035" s="8" t="str">
        <f t="shared" si="6"/>
        <v>No</v>
      </c>
    </row>
    <row r="3036">
      <c r="A3036" s="4" t="s">
        <v>16</v>
      </c>
      <c r="B3036" s="4" t="s">
        <v>6795</v>
      </c>
      <c r="C3036" s="9">
        <v>44595.0</v>
      </c>
      <c r="D3036" s="10">
        <v>44595.0</v>
      </c>
      <c r="E3036" s="4" t="s">
        <v>8445</v>
      </c>
      <c r="F3036" s="4" t="s">
        <v>8446</v>
      </c>
      <c r="G3036" s="6" t="str">
        <f>IFERROR(__xludf.DUMMYFUNCTION("REGEXREPLACE(LOWER(F3036),""[^a-z\s]"","""")"),"from start to finish my order was handled with professional ease i will continue to purchase from petflow")</f>
        <v>from start to finish my order was handled with professional ease i will continue to purchase from petflow</v>
      </c>
      <c r="H3036" s="4" t="str">
        <f t="shared" si="1"/>
        <v>from start finish my order was handled with professional ease i will continue purchase from petflow</v>
      </c>
      <c r="I3036" s="6">
        <f t="shared" si="2"/>
        <v>16</v>
      </c>
      <c r="J3036" s="6">
        <f>IFERROR(__xludf.DUMMYFUNCTION("IF(H3036="""","""",
SUM(
ARRAYFORMULA(
IF(
REGEXMATCH(
"" ""&amp;H3036&amp;"" "",
"" ""&amp;Sentiment_Words!A$2:A3730&amp;"" ""
),
1,
0
)
)
)
)"),0.0)</f>
        <v>0</v>
      </c>
      <c r="K3036" s="4">
        <f>IFERROR(__xludf.DUMMYFUNCTION("IF(H3036="""","""",
SUM(
ARRAYFORMULA(
IF(
REGEXMATCH(
"" ""&amp;H3036&amp;"" "",
"" ""&amp;Sentiment_Words!B$2:B3730&amp;"" ""
),
1,
0
)
)
)
)"),0.0)</f>
        <v>0</v>
      </c>
      <c r="L3036" s="7" t="str">
        <f t="shared" si="3"/>
        <v>Service Recovery</v>
      </c>
      <c r="M3036" s="7" t="str">
        <f t="shared" si="4"/>
        <v>Neutral</v>
      </c>
      <c r="N3036" s="7" t="str">
        <f>IFERROR(__xludf.DUMMYFUNCTION("LOWER(
TRIM(
REGEXREPLACE(B3036,""[^a-zA-Z\s]"","""")
)
)
"),"mike")</f>
        <v>mike</v>
      </c>
      <c r="O3036" s="7">
        <f t="shared" si="5"/>
        <v>4</v>
      </c>
      <c r="P3036" s="8" t="str">
        <f t="shared" si="6"/>
        <v>Yes</v>
      </c>
    </row>
    <row r="3037">
      <c r="A3037" s="4" t="s">
        <v>16</v>
      </c>
      <c r="B3037" s="4" t="s">
        <v>8447</v>
      </c>
      <c r="C3037" s="9">
        <v>44595.0</v>
      </c>
      <c r="D3037" s="10">
        <v>44595.0</v>
      </c>
      <c r="E3037" s="4" t="s">
        <v>8448</v>
      </c>
      <c r="F3037" s="4" t="s">
        <v>331</v>
      </c>
      <c r="G3037" s="6" t="str">
        <f>IFERROR(__xludf.DUMMYFUNCTION("REGEXREPLACE(LOWER(F3037),""[^a-z\s]"","""")"),"none")</f>
        <v>none</v>
      </c>
      <c r="H3037" s="4" t="str">
        <f t="shared" si="1"/>
        <v>none</v>
      </c>
      <c r="I3037" s="6">
        <f t="shared" si="2"/>
        <v>1</v>
      </c>
      <c r="J3037" s="6">
        <f>IFERROR(__xludf.DUMMYFUNCTION("IF(H3037="""","""",
SUM(
ARRAYFORMULA(
IF(
REGEXMATCH(
"" ""&amp;H3037&amp;"" "",
"" ""&amp;Sentiment_Words!A$2:A3730&amp;"" ""
),
1,
0
)
)
)
)"),0.0)</f>
        <v>0</v>
      </c>
      <c r="K3037" s="4">
        <f>IFERROR(__xludf.DUMMYFUNCTION("IF(H3037="""","""",
SUM(
ARRAYFORMULA(
IF(
REGEXMATCH(
"" ""&amp;H3037&amp;"" "",
"" ""&amp;Sentiment_Words!B$2:B3730&amp;"" ""
),
1,
0
)
)
)
)"),0.0)</f>
        <v>0</v>
      </c>
      <c r="L3037" s="7" t="str">
        <f t="shared" si="3"/>
        <v>Other</v>
      </c>
      <c r="M3037" s="7" t="str">
        <f t="shared" si="4"/>
        <v>Neutral</v>
      </c>
      <c r="N3037" s="7" t="str">
        <f>IFERROR(__xludf.DUMMYFUNCTION("LOWER(
TRIM(
REGEXREPLACE(B3037,""[^a-zA-Z\s]"","""")
)
)
"),"colette")</f>
        <v>colette</v>
      </c>
      <c r="O3037" s="7">
        <f t="shared" si="5"/>
        <v>1</v>
      </c>
      <c r="P3037" s="8" t="str">
        <f t="shared" si="6"/>
        <v>No</v>
      </c>
    </row>
    <row r="3038">
      <c r="A3038" s="4" t="s">
        <v>16</v>
      </c>
      <c r="B3038" s="4" t="s">
        <v>8449</v>
      </c>
      <c r="C3038" s="9">
        <v>44595.0</v>
      </c>
      <c r="D3038" s="10">
        <v>44595.0</v>
      </c>
      <c r="E3038" s="4" t="s">
        <v>8450</v>
      </c>
      <c r="F3038" s="4" t="s">
        <v>8451</v>
      </c>
      <c r="G3038" s="6" t="str">
        <f>IFERROR(__xludf.DUMMYFUNCTION("REGEXREPLACE(LOWER(F3038),""[^a-z\s]"","""")"),"i ordered puppy food through petflow because it was the only place beside amazon that i could get it i was getting a new puppy on tuesday and i chose petflow because it said oneday shipping i didnt choose amazon because theres was twoday and i needed it f"&amp;"aster than that even then the first notice i received said i would receive the delivery one the th i received the puppy on the th the breeder was kind enough to send some food to get the puppy through for a couple of days i ran out of food saturday mornin"&amp;"g long after i should have received the food i ended up buying a bag of dog food not the kinds the breeder had been using i didnt not receive the food from petflow until january st because of this my new little puppy has had stomach issues for several day"&amp;"s now i will never purchase from petflow again")</f>
        <v>i ordered puppy food through petflow because it was the only place beside amazon that i could get it i was getting a new puppy on tuesday and i chose petflow because it said oneday shipping i didnt choose amazon because theres was twoday and i needed it faster than that even then the first notice i received said i would receive the delivery one the th i received the puppy on the th the breeder was kind enough to send some food to get the puppy through for a couple of days i ran out of food saturday morning long after i should have received the food i ended up buying a bag of dog food not the kinds the breeder had been using i didnt not receive the food from petflow until january st because of this my new little puppy has had stomach issues for several days now i will never purchase from petflow again</v>
      </c>
      <c r="H3038" s="4" t="str">
        <f t="shared" si="1"/>
        <v>i ordered puppy food through petflow because it was only place beside amazon that i could get it i was getting a new puppy on tuesday i chose petflow because it said oneday shipping i didnt choose amazon because theres was twoday i needed it faster than that even then first notice i received said i would receive delivery one th i received puppy on th breeder was kind enough send some food get puppy through a couple of days i ran out of food saturday morning long after i should have received food i ended up buying a bag of dog food not kinds breeder had been using i didnt not receive food from petflow until january st because of this my new little puppy has had stomach issues several days now i will never purchase from petflow again</v>
      </c>
      <c r="I3038" s="6">
        <f t="shared" si="2"/>
        <v>140</v>
      </c>
      <c r="J3038" s="6">
        <f>IFERROR(__xludf.DUMMYFUNCTION("IF(H3038="""","""",
SUM(
ARRAYFORMULA(
IF(
REGEXMATCH(
"" ""&amp;H3038&amp;"" "",
"" ""&amp;Sentiment_Words!A$2:A3730&amp;"" ""
),
1,
0
)
)
)
)"),0.0)</f>
        <v>0</v>
      </c>
      <c r="K3038" s="4">
        <f>IFERROR(__xludf.DUMMYFUNCTION("IF(H3038="""","""",
SUM(
ARRAYFORMULA(
IF(
REGEXMATCH(
"" ""&amp;H3038&amp;"" "",
"" ""&amp;Sentiment_Words!B$2:B3730&amp;"" ""
),
1,
0
)
)
)
)"),0.0)</f>
        <v>0</v>
      </c>
      <c r="L3038" s="7" t="str">
        <f t="shared" si="3"/>
        <v>Other</v>
      </c>
      <c r="M3038" s="7" t="str">
        <f t="shared" si="4"/>
        <v>Neutral</v>
      </c>
      <c r="N3038" s="7" t="str">
        <f>IFERROR(__xludf.DUMMYFUNCTION("LOWER(
TRIM(
REGEXREPLACE(B3038,""[^a-zA-Z\s]"","""")
)
)
"),"danille weaver")</f>
        <v>danille weaver</v>
      </c>
      <c r="O3038" s="7">
        <f t="shared" si="5"/>
        <v>1</v>
      </c>
      <c r="P3038" s="8" t="str">
        <f t="shared" si="6"/>
        <v>No</v>
      </c>
    </row>
    <row r="3039">
      <c r="A3039" s="4" t="s">
        <v>16</v>
      </c>
      <c r="B3039" s="4" t="s">
        <v>8452</v>
      </c>
      <c r="C3039" s="9">
        <v>44595.0</v>
      </c>
      <c r="D3039" s="10">
        <v>44595.0</v>
      </c>
      <c r="E3039" s="4" t="s">
        <v>2590</v>
      </c>
      <c r="F3039" s="4" t="s">
        <v>8453</v>
      </c>
      <c r="G3039" s="6" t="str">
        <f>IFERROR(__xludf.DUMMYFUNCTION("REGEXREPLACE(LOWER(F3039),""[^a-z\s]"","""")"),"i recently ordered  pounds of kibble it was delivered quickly and the next day i found out my puppy had some dietary restrictions i contacted petflow and they were very helpful i was able to return the unopened bag and receive a full refund i am so impres"&amp;"sed with this kind of customer service and i immediately ordered the new food through them thank you")</f>
        <v>i recently ordered  pounds of kibble it was delivered quickly and the next day i found out my puppy had some dietary restrictions i contacted petflow and they were very helpful i was able to return the unopened bag and receive a full refund i am so impressed with this kind of customer service and i immediately ordered the new food through them thank you</v>
      </c>
      <c r="H3039" s="4" t="str">
        <f t="shared" si="1"/>
        <v>i recently ordered pounds of kibble it was delivered quickly next day i found out my puppy had some dietary restrictions i contacted petflow they were very helpful i was able return unopened bag receive a full refund i am so impressed with this kind of customer service i immediately ordered new food through them thank you</v>
      </c>
      <c r="I3039" s="6">
        <f t="shared" si="2"/>
        <v>57</v>
      </c>
      <c r="J3039" s="6">
        <f>IFERROR(__xludf.DUMMYFUNCTION("IF(H3039="""","""",
SUM(
ARRAYFORMULA(
IF(
REGEXMATCH(
"" ""&amp;H3039&amp;"" "",
"" ""&amp;Sentiment_Words!A$2:A3730&amp;"" ""
),
1,
0
)
)
)
)"),6.0)</f>
        <v>6</v>
      </c>
      <c r="K3039" s="4">
        <f>IFERROR(__xludf.DUMMYFUNCTION("IF(H3039="""","""",
SUM(
ARRAYFORMULA(
IF(
REGEXMATCH(
"" ""&amp;H3039&amp;"" "",
"" ""&amp;Sentiment_Words!B$2:B3730&amp;"" ""
),
1,
0
)
)
)
)"),2.0)</f>
        <v>2</v>
      </c>
      <c r="L3039" s="7" t="str">
        <f t="shared" si="3"/>
        <v>Customer Support</v>
      </c>
      <c r="M3039" s="7" t="str">
        <f t="shared" si="4"/>
        <v>Positive</v>
      </c>
      <c r="N3039" s="7" t="str">
        <f>IFERROR(__xludf.DUMMYFUNCTION("LOWER(
TRIM(
REGEXREPLACE(B3039,""[^a-zA-Z\s]"","""")
)
)
"),"olivia larsson")</f>
        <v>olivia larsson</v>
      </c>
      <c r="O3039" s="7">
        <f t="shared" si="5"/>
        <v>1</v>
      </c>
      <c r="P3039" s="8" t="str">
        <f t="shared" si="6"/>
        <v>No</v>
      </c>
    </row>
    <row r="3040">
      <c r="A3040" s="4" t="s">
        <v>16</v>
      </c>
      <c r="B3040" s="4" t="s">
        <v>8454</v>
      </c>
      <c r="C3040" s="9">
        <v>44595.0</v>
      </c>
      <c r="D3040" s="10">
        <v>44595.0</v>
      </c>
      <c r="E3040" s="4" t="s">
        <v>8455</v>
      </c>
      <c r="F3040" s="4" t="s">
        <v>8456</v>
      </c>
      <c r="G3040" s="6" t="str">
        <f>IFERROR(__xludf.DUMMYFUNCTION("REGEXREPLACE(LOWER(F3040),""[^a-z\s]"","""")"),"i have ordered from petflow almost  years the service and prices are wonderful your staff is so responsive and knowledgeable best quality of products would never use anyone else im a true fan")</f>
        <v>i have ordered from petflow almost  years the service and prices are wonderful your staff is so responsive and knowledgeable best quality of products would never use anyone else im a true fan</v>
      </c>
      <c r="H3040" s="4" t="str">
        <f t="shared" si="1"/>
        <v>i have ordered from petflow almost years service prices are wonderful your staff so responsive knowledgeable best quality of products would never use anyone else im a true fan</v>
      </c>
      <c r="I3040" s="6">
        <f t="shared" si="2"/>
        <v>29</v>
      </c>
      <c r="J3040" s="6">
        <f>IFERROR(__xludf.DUMMYFUNCTION("IF(H3040="""","""",
SUM(
ARRAYFORMULA(
IF(
REGEXMATCH(
"" ""&amp;H3040&amp;"" "",
"" ""&amp;Sentiment_Words!A$2:A3730&amp;"" ""
),
1,
0
)
)
)
)"),1.0)</f>
        <v>1</v>
      </c>
      <c r="K3040" s="4">
        <f>IFERROR(__xludf.DUMMYFUNCTION("IF(H3040="""","""",
SUM(
ARRAYFORMULA(
IF(
REGEXMATCH(
"" ""&amp;H3040&amp;"" "",
"" ""&amp;Sentiment_Words!B$2:B3730&amp;"" ""
),
1,
0
)
)
)
)"),0.0)</f>
        <v>0</v>
      </c>
      <c r="L3040" s="7" t="str">
        <f t="shared" si="3"/>
        <v>Customer Support</v>
      </c>
      <c r="M3040" s="7" t="str">
        <f t="shared" si="4"/>
        <v>Positive</v>
      </c>
      <c r="N3040" s="7" t="str">
        <f>IFERROR(__xludf.DUMMYFUNCTION("LOWER(
TRIM(
REGEXREPLACE(B3040,""[^a-zA-Z\s]"","""")
)
)
"),"laura hunt")</f>
        <v>laura hunt</v>
      </c>
      <c r="O3040" s="7">
        <f t="shared" si="5"/>
        <v>1</v>
      </c>
      <c r="P3040" s="8" t="str">
        <f t="shared" si="6"/>
        <v>No</v>
      </c>
    </row>
    <row r="3041">
      <c r="A3041" s="4" t="s">
        <v>16</v>
      </c>
      <c r="B3041" s="4" t="s">
        <v>8457</v>
      </c>
      <c r="C3041" s="9">
        <v>44595.0</v>
      </c>
      <c r="D3041" s="10">
        <v>44595.0</v>
      </c>
      <c r="E3041" s="4" t="s">
        <v>8458</v>
      </c>
      <c r="F3041" s="4" t="s">
        <v>8459</v>
      </c>
      <c r="G3041" s="6" t="str">
        <f>IFERROR(__xludf.DUMMYFUNCTION("REGEXREPLACE(LOWER(F3041),""[^a-z\s]"","""")"),"the right products delivered on a timely basis and in good shape")</f>
        <v>the right products delivered on a timely basis and in good shape</v>
      </c>
      <c r="H3041" s="4" t="str">
        <f t="shared" si="1"/>
        <v>right products delivered on a timely basis in good shape</v>
      </c>
      <c r="I3041" s="6">
        <f t="shared" si="2"/>
        <v>10</v>
      </c>
      <c r="J3041" s="6">
        <f>IFERROR(__xludf.DUMMYFUNCTION("IF(H3041="""","""",
SUM(
ARRAYFORMULA(
IF(
REGEXMATCH(
"" ""&amp;H3041&amp;"" "",
"" ""&amp;Sentiment_Words!A$2:A3730&amp;"" ""
),
1,
0
)
)
)
)"),2.0)</f>
        <v>2</v>
      </c>
      <c r="K3041" s="4">
        <f>IFERROR(__xludf.DUMMYFUNCTION("IF(H3041="""","""",
SUM(
ARRAYFORMULA(
IF(
REGEXMATCH(
"" ""&amp;H3041&amp;"" "",
"" ""&amp;Sentiment_Words!B$2:B3730&amp;"" ""
),
1,
0
)
)
)
)"),0.0)</f>
        <v>0</v>
      </c>
      <c r="L3041" s="7" t="str">
        <f t="shared" si="3"/>
        <v>Other</v>
      </c>
      <c r="M3041" s="7" t="str">
        <f t="shared" si="4"/>
        <v>Positive</v>
      </c>
      <c r="N3041" s="7" t="str">
        <f>IFERROR(__xludf.DUMMYFUNCTION("LOWER(
TRIM(
REGEXREPLACE(B3041,""[^a-zA-Z\s]"","""")
)
)
"),"susan l frederickson")</f>
        <v>susan l frederickson</v>
      </c>
      <c r="O3041" s="7">
        <f t="shared" si="5"/>
        <v>1</v>
      </c>
      <c r="P3041" s="8" t="str">
        <f t="shared" si="6"/>
        <v>No</v>
      </c>
    </row>
    <row r="3042">
      <c r="A3042" s="4" t="s">
        <v>16</v>
      </c>
      <c r="B3042" s="4" t="s">
        <v>8460</v>
      </c>
      <c r="C3042" s="9">
        <v>44594.0</v>
      </c>
      <c r="D3042" s="10">
        <v>44594.0</v>
      </c>
      <c r="E3042" s="4" t="s">
        <v>8461</v>
      </c>
      <c r="F3042" s="4" t="s">
        <v>8462</v>
      </c>
      <c r="G3042" s="6" t="str">
        <f>IFERROR(__xludf.DUMMYFUNCTION("REGEXREPLACE(LOWER(F3042),""[^a-z\s]"","""")"),"the reason why i did not give  stars because its not vacuum sealed i guess for easy stocking of the product but it wont be fresh anymore who ever is i charged of the stocking the product put a pin hole in each bag tell me if im wrong")</f>
        <v>the reason why i did not give  stars because its not vacuum sealed i guess for easy stocking of the product but it wont be fresh anymore who ever is i charged of the stocking the product put a pin hole in each bag tell me if im wrong</v>
      </c>
      <c r="H3042" s="4" t="str">
        <f t="shared" si="1"/>
        <v>reason why i did not give stars because its not vacuum sealed i guess easy stocking of product but it wont be fresh anymore who ever i charged of stocking product put a pin hole in each bag tell me if im wrong</v>
      </c>
      <c r="I3042" s="6">
        <f t="shared" si="2"/>
        <v>43</v>
      </c>
      <c r="J3042" s="6">
        <f>IFERROR(__xludf.DUMMYFUNCTION("IF(H3042="""","""",
SUM(
ARRAYFORMULA(
IF(
REGEXMATCH(
"" ""&amp;H3042&amp;"" "",
"" ""&amp;Sentiment_Words!A$2:A3730&amp;"" ""
),
1,
0
)
)
)
)"),1.0)</f>
        <v>1</v>
      </c>
      <c r="K3042" s="4">
        <f>IFERROR(__xludf.DUMMYFUNCTION("IF(H3042="""","""",
SUM(
ARRAYFORMULA(
IF(
REGEXMATCH(
"" ""&amp;H3042&amp;"" "",
"" ""&amp;Sentiment_Words!B$2:B3730&amp;"" ""
),
1,
0
)
)
)
)"),1.0)</f>
        <v>1</v>
      </c>
      <c r="L3042" s="7" t="str">
        <f t="shared" si="3"/>
        <v>Fulfillment &amp; Shipping</v>
      </c>
      <c r="M3042" s="7" t="str">
        <f t="shared" si="4"/>
        <v>Neutral</v>
      </c>
      <c r="N3042" s="7" t="str">
        <f>IFERROR(__xludf.DUMMYFUNCTION("LOWER(
TRIM(
REGEXREPLACE(B3042,""[^a-zA-Z\s]"","""")
)
)
"),"tom batcheller")</f>
        <v>tom batcheller</v>
      </c>
      <c r="O3042" s="7">
        <f t="shared" si="5"/>
        <v>1</v>
      </c>
      <c r="P3042" s="8" t="str">
        <f t="shared" si="6"/>
        <v>No</v>
      </c>
    </row>
    <row r="3043">
      <c r="A3043" s="4" t="s">
        <v>16</v>
      </c>
      <c r="B3043" s="4" t="s">
        <v>8463</v>
      </c>
      <c r="C3043" s="9">
        <v>44594.0</v>
      </c>
      <c r="D3043" s="10">
        <v>44594.0</v>
      </c>
      <c r="E3043" s="4" t="s">
        <v>8464</v>
      </c>
      <c r="F3043" s="4" t="s">
        <v>8465</v>
      </c>
      <c r="G3043" s="6" t="str">
        <f>IFERROR(__xludf.DUMMYFUNCTION("REGEXREPLACE(LOWER(F3043),""[^a-z\s]"","""")"),"very happy that what i need for my dog is in stock and it ships in a timely manner
thank you
jean havens")</f>
        <v>very happy that what i need for my dog is in stock and it ships in a timely manner
thank you
jean havens</v>
      </c>
      <c r="H3043" s="4" t="str">
        <f t="shared" si="1"/>
        <v>very happy that what i need my dog in stock it ships in a timely manner
thank you
jean havens</v>
      </c>
      <c r="I3043" s="6">
        <f t="shared" si="2"/>
        <v>18</v>
      </c>
      <c r="J3043" s="6">
        <f>IFERROR(__xludf.DUMMYFUNCTION("IF(H3043="""","""",
SUM(
ARRAYFORMULA(
IF(
REGEXMATCH(
"" ""&amp;H3043&amp;"" "",
"" ""&amp;Sentiment_Words!A$2:A3730&amp;"" ""
),
1,
0
)
)
)
)"),1.0)</f>
        <v>1</v>
      </c>
      <c r="K3043" s="4">
        <f>IFERROR(__xludf.DUMMYFUNCTION("IF(H3043="""","""",
SUM(
ARRAYFORMULA(
IF(
REGEXMATCH(
"" ""&amp;H3043&amp;"" "",
"" ""&amp;Sentiment_Words!B$2:B3730&amp;"" ""
),
1,
0
)
)
)
)"),0.0)</f>
        <v>0</v>
      </c>
      <c r="L3043" s="7" t="str">
        <f t="shared" si="3"/>
        <v>Other</v>
      </c>
      <c r="M3043" s="7" t="str">
        <f t="shared" si="4"/>
        <v>Positive</v>
      </c>
      <c r="N3043" s="7" t="str">
        <f>IFERROR(__xludf.DUMMYFUNCTION("LOWER(
TRIM(
REGEXREPLACE(B3043,""[^a-zA-Z\s]"","""")
)
)
"),"lucia longenbach")</f>
        <v>lucia longenbach</v>
      </c>
      <c r="O3043" s="7">
        <f t="shared" si="5"/>
        <v>1</v>
      </c>
      <c r="P3043" s="8" t="str">
        <f t="shared" si="6"/>
        <v>No</v>
      </c>
    </row>
    <row r="3044">
      <c r="A3044" s="4" t="s">
        <v>16</v>
      </c>
      <c r="B3044" s="4" t="s">
        <v>8466</v>
      </c>
      <c r="C3044" s="9">
        <v>44594.0</v>
      </c>
      <c r="D3044" s="10">
        <v>44594.0</v>
      </c>
      <c r="E3044" s="4" t="s">
        <v>8467</v>
      </c>
      <c r="F3044" s="4" t="s">
        <v>8468</v>
      </c>
      <c r="G3044" s="6" t="str">
        <f>IFERROR(__xludf.DUMMYFUNCTION("REGEXREPLACE(LOWER(F3044),""[^a-z\s]"","""")"),"i signed up for the automatic order to find this dog food my dog would eat that according to reviews was healthy friday january    am est pet flow wrote order received order    my order did not get a tracking order at first so i confirmed via email the em"&amp;"ail was apologetic and offered me another  off next order splinters dad ryan pet flow customer support he sent a very nice email the next day i got a confirm email great news your order  has shipped a follow up email the day after order  
your package wil"&amp;"l arrive tomorrow thursday jan  and 
order  
your package has arrived friday jan  i have to say wow that was quick and excellent updates with emails it alleviated my concern and kept me informed thank you to ryan for the help and emails for the info
you"&amp;"r tracking number is 
your tracking number is 
jan    am pst")</f>
        <v>i signed up for the automatic order to find this dog food my dog would eat that according to reviews was healthy friday january    am est pet flow wrote order received order    my order did not get a tracking order at first so i confirmed via email the email was apologetic and offered me another  off next order splinters dad ryan pet flow customer support he sent a very nice email the next day i got a confirm email great news your order  has shipped a follow up email the day after order  
your package will arrive tomorrow thursday jan  and 
order  
your package has arrived friday jan  i have to say wow that was quick and excellent updates with emails it alleviated my concern and kept me informed thank you to ryan for the help and emails for the info
your tracking number is 
your tracking number is 
jan    am pst</v>
      </c>
      <c r="H3044" s="4" t="str">
        <f t="shared" si="1"/>
        <v>i signed up automatic order find this dog food my dog would eat that according reviews was healthy friday january am est pet flow wrote order received order my order did not get a tracking order at first so i confirmed via email email was apologetic offered me another off next order splinters dad ryan pet flow customer support he sent a very nice email next day i got a confirm email great news your order has shipped a follow up email day after order 
your package will arrive tomorrow thursday jan 
order 
your package has arrived friday jan i have say wow that was quick excellent updates with emails it alleviated my concern kept me informed thank you ryan help emails info
your tracking number 
your tracking number 
jan am pst</v>
      </c>
      <c r="I3044" s="6">
        <f t="shared" si="2"/>
        <v>131</v>
      </c>
      <c r="J3044" s="6">
        <f>IFERROR(__xludf.DUMMYFUNCTION("IF(H3044="""","""",
SUM(
ARRAYFORMULA(
IF(
REGEXMATCH(
"" ""&amp;H3044&amp;"" "",
"" ""&amp;Sentiment_Words!A$2:A3730&amp;"" ""
),
1,
0
)
)
)
)"),1.0)</f>
        <v>1</v>
      </c>
      <c r="K3044" s="4">
        <f>IFERROR(__xludf.DUMMYFUNCTION("IF(H3044="""","""",
SUM(
ARRAYFORMULA(
IF(
REGEXMATCH(
"" ""&amp;H3044&amp;"" "",
"" ""&amp;Sentiment_Words!B$2:B3730&amp;"" ""
),
1,
0
)
)
)
)"),0.0)</f>
        <v>0</v>
      </c>
      <c r="L3044" s="7" t="str">
        <f t="shared" si="3"/>
        <v>Customer Support</v>
      </c>
      <c r="M3044" s="7" t="str">
        <f t="shared" si="4"/>
        <v>Positive</v>
      </c>
      <c r="N3044" s="7" t="str">
        <f>IFERROR(__xludf.DUMMYFUNCTION("LOWER(
TRIM(
REGEXREPLACE(B3044,""[^a-zA-Z\s]"","""")
)
)
"),"jean havens")</f>
        <v>jean havens</v>
      </c>
      <c r="O3044" s="7">
        <f t="shared" si="5"/>
        <v>1</v>
      </c>
      <c r="P3044" s="8" t="str">
        <f t="shared" si="6"/>
        <v>No</v>
      </c>
    </row>
    <row r="3045">
      <c r="A3045" s="4" t="s">
        <v>16</v>
      </c>
      <c r="B3045" s="4" t="s">
        <v>8469</v>
      </c>
      <c r="C3045" s="9">
        <v>44594.0</v>
      </c>
      <c r="D3045" s="10">
        <v>44594.0</v>
      </c>
      <c r="E3045" s="4" t="s">
        <v>8470</v>
      </c>
      <c r="F3045" s="4" t="s">
        <v>8471</v>
      </c>
      <c r="G3045" s="6" t="str">
        <f>IFERROR(__xludf.DUMMYFUNCTION("REGEXREPLACE(LOWER(F3045),""[^a-z\s]"","""")"),"i placed my order  days ago i still have not been advised when it will be shipped")</f>
        <v>i placed my order  days ago i still have not been advised when it will be shipped</v>
      </c>
      <c r="H3045" s="4" t="str">
        <f t="shared" si="1"/>
        <v>i placed my order days ago i still have not been advised when it will be shipped</v>
      </c>
      <c r="I3045" s="6">
        <f t="shared" si="2"/>
        <v>17</v>
      </c>
      <c r="J3045" s="6">
        <f>IFERROR(__xludf.DUMMYFUNCTION("IF(H3045="""","""",
SUM(
ARRAYFORMULA(
IF(
REGEXMATCH(
"" ""&amp;H3045&amp;"" "",
"" ""&amp;Sentiment_Words!A$2:A3730&amp;"" ""
),
1,
0
)
)
)
)"),0.0)</f>
        <v>0</v>
      </c>
      <c r="K3045" s="4">
        <f>IFERROR(__xludf.DUMMYFUNCTION("IF(H3045="""","""",
SUM(
ARRAYFORMULA(
IF(
REGEXMATCH(
"" ""&amp;H3045&amp;"" "",
"" ""&amp;Sentiment_Words!B$2:B3730&amp;"" ""
),
1,
0
)
)
)
)"),0.0)</f>
        <v>0</v>
      </c>
      <c r="L3045" s="7" t="str">
        <f t="shared" si="3"/>
        <v>Other</v>
      </c>
      <c r="M3045" s="7" t="str">
        <f t="shared" si="4"/>
        <v>Neutral</v>
      </c>
      <c r="N3045" s="7" t="str">
        <f>IFERROR(__xludf.DUMMYFUNCTION("LOWER(
TRIM(
REGEXREPLACE(B3045,""[^a-zA-Z\s]"","""")
)
)
"),"james moore")</f>
        <v>james moore</v>
      </c>
      <c r="O3045" s="7">
        <f t="shared" si="5"/>
        <v>1</v>
      </c>
      <c r="P3045" s="8" t="str">
        <f t="shared" si="6"/>
        <v>No</v>
      </c>
    </row>
    <row r="3046">
      <c r="A3046" s="4" t="s">
        <v>16</v>
      </c>
      <c r="B3046" s="4" t="s">
        <v>2695</v>
      </c>
      <c r="C3046" s="9">
        <v>44594.0</v>
      </c>
      <c r="D3046" s="10">
        <v>44594.0</v>
      </c>
      <c r="E3046" s="4" t="s">
        <v>8472</v>
      </c>
      <c r="F3046" s="4" t="s">
        <v>8473</v>
      </c>
      <c r="G3046" s="6" t="str">
        <f>IFERROR(__xludf.DUMMYFUNCTION("REGEXREPLACE(LOWER(F3046),""[^a-z\s]"","""")"),"my order was canceled and no one bothered to tell me first time trying to order  not happy with this")</f>
        <v>my order was canceled and no one bothered to tell me first time trying to order  not happy with this</v>
      </c>
      <c r="H3046" s="4" t="str">
        <f t="shared" si="1"/>
        <v>my order was canceled no one bothered tell me first time trying order not happy with this</v>
      </c>
      <c r="I3046" s="6">
        <f t="shared" si="2"/>
        <v>17</v>
      </c>
      <c r="J3046" s="6">
        <f>IFERROR(__xludf.DUMMYFUNCTION("IF(H3046="""","""",
SUM(
ARRAYFORMULA(
IF(
REGEXMATCH(
"" ""&amp;H3046&amp;"" "",
"" ""&amp;Sentiment_Words!A$2:A3730&amp;"" ""
),
1,
0
)
)
)
)"),1.0)</f>
        <v>1</v>
      </c>
      <c r="K3046" s="4">
        <f>IFERROR(__xludf.DUMMYFUNCTION("IF(H3046="""","""",
SUM(
ARRAYFORMULA(
IF(
REGEXMATCH(
"" ""&amp;H3046&amp;"" "",
"" ""&amp;Sentiment_Words!B$2:B3730&amp;"" ""
),
1,
0
)
)
)
)"),0.0)</f>
        <v>0</v>
      </c>
      <c r="L3046" s="7" t="str">
        <f t="shared" si="3"/>
        <v>Other</v>
      </c>
      <c r="M3046" s="7" t="str">
        <f t="shared" si="4"/>
        <v>Positive</v>
      </c>
      <c r="N3046" s="7" t="str">
        <f>IFERROR(__xludf.DUMMYFUNCTION("LOWER(
TRIM(
REGEXREPLACE(B3046,""[^a-zA-Z\s]"","""")
)
)
"),"barbara")</f>
        <v>barbara</v>
      </c>
      <c r="O3046" s="7">
        <f t="shared" si="5"/>
        <v>3</v>
      </c>
      <c r="P3046" s="8" t="str">
        <f t="shared" si="6"/>
        <v>Yes</v>
      </c>
    </row>
    <row r="3047">
      <c r="A3047" s="4" t="s">
        <v>16</v>
      </c>
      <c r="B3047" s="4" t="s">
        <v>8474</v>
      </c>
      <c r="C3047" s="9">
        <v>44594.0</v>
      </c>
      <c r="D3047" s="10">
        <v>44594.0</v>
      </c>
      <c r="E3047" s="4" t="s">
        <v>8475</v>
      </c>
      <c r="F3047" s="4" t="s">
        <v>8476</v>
      </c>
      <c r="G3047" s="6" t="str">
        <f>IFERROR(__xludf.DUMMYFUNCTION("REGEXREPLACE(LOWER(F3047),""[^a-z\s]"","""")"),"i found petflow after searching high and low for the royal canin pv wet cat food when the company i usually buy from was out of stock due to the nature of the situation with our cat it was very important we located this food and thanks to petflow and thei"&amp;"r customer service they exceeded my expectations")</f>
        <v>i found petflow after searching high and low for the royal canin pv wet cat food when the company i usually buy from was out of stock due to the nature of the situation with our cat it was very important we located this food and thanks to petflow and their customer service they exceeded my expectations</v>
      </c>
      <c r="H3047" s="4" t="str">
        <f t="shared" si="1"/>
        <v>i found petflow after searching high low royal canin pv wet cat food when company i usually buy from was out of stock due nature of situation with our cat it was very important we located this food thanks petflow their customer service they exceeded my expectations</v>
      </c>
      <c r="I3047" s="6">
        <f t="shared" si="2"/>
        <v>47</v>
      </c>
      <c r="J3047" s="6">
        <f>IFERROR(__xludf.DUMMYFUNCTION("IF(H3047="""","""",
SUM(
ARRAYFORMULA(
IF(
REGEXMATCH(
"" ""&amp;H3047&amp;"" "",
"" ""&amp;Sentiment_Words!A$2:A3730&amp;"" ""
),
1,
0
)
)
)
)"),1.0)</f>
        <v>1</v>
      </c>
      <c r="K3047" s="4">
        <f>IFERROR(__xludf.DUMMYFUNCTION("IF(H3047="""","""",
SUM(
ARRAYFORMULA(
IF(
REGEXMATCH(
"" ""&amp;H3047&amp;"" "",
"" ""&amp;Sentiment_Words!B$2:B3730&amp;"" ""
),
1,
0
)
)
)
)"),2.0)</f>
        <v>2</v>
      </c>
      <c r="L3047" s="7" t="str">
        <f t="shared" si="3"/>
        <v>Customer Support</v>
      </c>
      <c r="M3047" s="7" t="str">
        <f t="shared" si="4"/>
        <v>Negative</v>
      </c>
      <c r="N3047" s="7" t="str">
        <f>IFERROR(__xludf.DUMMYFUNCTION("LOWER(
TRIM(
REGEXREPLACE(B3047,""[^a-zA-Z\s]"","""")
)
)
"),"sandra w")</f>
        <v>sandra w</v>
      </c>
      <c r="O3047" s="7">
        <f t="shared" si="5"/>
        <v>1</v>
      </c>
      <c r="P3047" s="8" t="str">
        <f t="shared" si="6"/>
        <v>No</v>
      </c>
    </row>
    <row r="3048">
      <c r="A3048" s="4" t="s">
        <v>16</v>
      </c>
      <c r="B3048" s="4" t="s">
        <v>2088</v>
      </c>
      <c r="C3048" s="9">
        <v>44594.0</v>
      </c>
      <c r="D3048" s="10">
        <v>44594.0</v>
      </c>
      <c r="E3048" s="4" t="s">
        <v>8477</v>
      </c>
      <c r="F3048" s="4" t="s">
        <v>8478</v>
      </c>
      <c r="G3048" s="6" t="str">
        <f>IFERROR(__xludf.DUMMYFUNCTION("REGEXREPLACE(LOWER(F3048),""[^a-z\s]"","""")"),"sent me the wrong product twice in a row customer service was great in apologizing and refunding my payment after two wrong shipments but i shouldnt have to go through calling them twice for a simple order i think they need to educate their warehouse peop"&amp;"le wont be ordering from them again")</f>
        <v>sent me the wrong product twice in a row customer service was great in apologizing and refunding my payment after two wrong shipments but i shouldnt have to go through calling them twice for a simple order i think they need to educate their warehouse people wont be ordering from them again</v>
      </c>
      <c r="H3048" s="4" t="str">
        <f t="shared" si="1"/>
        <v>sent me wrong product twice in a row customer service was great in apologizing refunding my payment after two wrong shipments but i shouldnt have go through calling them twice a simple order i think they need educate their warehouse people wont be ordering from them again</v>
      </c>
      <c r="I3048" s="6">
        <f t="shared" si="2"/>
        <v>47</v>
      </c>
      <c r="J3048" s="6">
        <f>IFERROR(__xludf.DUMMYFUNCTION("IF(H3048="""","""",
SUM(
ARRAYFORMULA(
IF(
REGEXMATCH(
"" ""&amp;H3048&amp;"" "",
"" ""&amp;Sentiment_Words!A$2:A3730&amp;"" ""
),
1,
0
)
)
)
)"),1.0)</f>
        <v>1</v>
      </c>
      <c r="K3048" s="4">
        <f>IFERROR(__xludf.DUMMYFUNCTION("IF(H3048="""","""",
SUM(
ARRAYFORMULA(
IF(
REGEXMATCH(
"" ""&amp;H3048&amp;"" "",
"" ""&amp;Sentiment_Words!B$2:B3730&amp;"" ""
),
1,
0
)
)
)
)"),2.0)</f>
        <v>2</v>
      </c>
      <c r="L3048" s="7" t="str">
        <f t="shared" si="3"/>
        <v>Customer Support</v>
      </c>
      <c r="M3048" s="7" t="str">
        <f t="shared" si="4"/>
        <v>Negative</v>
      </c>
      <c r="N3048" s="7" t="str">
        <f>IFERROR(__xludf.DUMMYFUNCTION("LOWER(
TRIM(
REGEXREPLACE(B3048,""[^a-zA-Z\s]"","""")
)
)
"),"stephen")</f>
        <v>stephen</v>
      </c>
      <c r="O3048" s="7">
        <f t="shared" si="5"/>
        <v>4</v>
      </c>
      <c r="P3048" s="8" t="str">
        <f t="shared" si="6"/>
        <v>Yes</v>
      </c>
    </row>
    <row r="3049">
      <c r="A3049" s="4" t="s">
        <v>16</v>
      </c>
      <c r="B3049" s="4" t="s">
        <v>6795</v>
      </c>
      <c r="C3049" s="9">
        <v>44594.0</v>
      </c>
      <c r="D3049" s="10">
        <v>44594.0</v>
      </c>
      <c r="E3049" s="4" t="s">
        <v>8479</v>
      </c>
      <c r="F3049" s="4" t="s">
        <v>8480</v>
      </c>
      <c r="G3049" s="6" t="str">
        <f>IFERROR(__xludf.DUMMYFUNCTION("REGEXREPLACE(LOWER(F3049),""[^a-z\s]"","""")"),"they carry the fromm food our jack russell terriers love great website easy to find what we want reorder function makes shopping easy orders ship quickly been using this site for several years and we are very happy using")</f>
        <v>they carry the fromm food our jack russell terriers love great website easy to find what we want reorder function makes shopping easy orders ship quickly been using this site for several years and we are very happy using</v>
      </c>
      <c r="H3049" s="4" t="str">
        <f t="shared" si="1"/>
        <v>they carry fromm food our jack russell terriers love great website easy find what we want reorder function makes shopping easy orders ship quickly been using this site several years we are very happy using</v>
      </c>
      <c r="I3049" s="6">
        <f t="shared" si="2"/>
        <v>35</v>
      </c>
      <c r="J3049" s="6">
        <f>IFERROR(__xludf.DUMMYFUNCTION("IF(H3049="""","""",
SUM(
ARRAYFORMULA(
IF(
REGEXMATCH(
"" ""&amp;H3049&amp;"" "",
"" ""&amp;Sentiment_Words!A$2:A3730&amp;"" ""
),
1,
0
)
)
)
)"),4.0)</f>
        <v>4</v>
      </c>
      <c r="K3049" s="4">
        <f>IFERROR(__xludf.DUMMYFUNCTION("IF(H3049="""","""",
SUM(
ARRAYFORMULA(
IF(
REGEXMATCH(
"" ""&amp;H3049&amp;"" "",
"" ""&amp;Sentiment_Words!B$2:B3730&amp;"" ""
),
1,
0
)
)
)
)"),0.0)</f>
        <v>0</v>
      </c>
      <c r="L3049" s="7" t="str">
        <f t="shared" si="3"/>
        <v>Account &amp; Website</v>
      </c>
      <c r="M3049" s="7" t="str">
        <f t="shared" si="4"/>
        <v>Positive</v>
      </c>
      <c r="N3049" s="7" t="str">
        <f>IFERROR(__xludf.DUMMYFUNCTION("LOWER(
TRIM(
REGEXREPLACE(B3049,""[^a-zA-Z\s]"","""")
)
)
"),"mike")</f>
        <v>mike</v>
      </c>
      <c r="O3049" s="7">
        <f t="shared" si="5"/>
        <v>4</v>
      </c>
      <c r="P3049" s="8" t="str">
        <f t="shared" si="6"/>
        <v>Yes</v>
      </c>
    </row>
    <row r="3050">
      <c r="A3050" s="4" t="s">
        <v>16</v>
      </c>
      <c r="B3050" s="4" t="s">
        <v>455</v>
      </c>
      <c r="C3050" s="9">
        <v>44594.0</v>
      </c>
      <c r="D3050" s="10">
        <v>44594.0</v>
      </c>
      <c r="E3050" s="4" t="s">
        <v>8481</v>
      </c>
      <c r="F3050" s="4" t="s">
        <v>8482</v>
      </c>
      <c r="G3050" s="6" t="str">
        <f>IFERROR(__xludf.DUMMYFUNCTION("REGEXREPLACE(LOWER(F3050),""[^a-z\s]"","""")"),"absolute scam of a company twice now they have sent an autoship that i had paused and charged me then when you call they want you do go and ship it back to them for their mistake instead of sending someone to pick it up
also you cant cancel autoships on "&amp;"the website you have to physically talk to a customer service person for some reason and that reason is so you forget to do it and they can keep charging you shop anywhere else for pet supplies")</f>
        <v>absolute scam of a company twice now they have sent an autoship that i had paused and charged me then when you call they want you do go and ship it back to them for their mistake instead of sending someone to pick it up
also you cant cancel autoships on the website you have to physically talk to a customer service person for some reason and that reason is so you forget to do it and they can keep charging you shop anywhere else for pet supplies</v>
      </c>
      <c r="H3050" s="4" t="str">
        <f t="shared" si="1"/>
        <v>absolute scam of a company twice now they have sent an autoship that i had paused charged me then when you call they want you do go ship it back them their mistake instead of sending someone pick it up
also you cant cancel autoships on website you have physically talk a customer service person some reason that reason so you forget do it they can keep charging you shop anywhere else pet supplies</v>
      </c>
      <c r="I3050" s="6">
        <f t="shared" si="2"/>
        <v>73</v>
      </c>
      <c r="J3050" s="6">
        <f>IFERROR(__xludf.DUMMYFUNCTION("IF(H3050="""","""",
SUM(
ARRAYFORMULA(
IF(
REGEXMATCH(
"" ""&amp;H3050&amp;"" "",
"" ""&amp;Sentiment_Words!A$2:A3730&amp;"" ""
),
1,
0
)
)
)
)"),0.0)</f>
        <v>0</v>
      </c>
      <c r="K3050" s="4">
        <f>IFERROR(__xludf.DUMMYFUNCTION("IF(H3050="""","""",
SUM(
ARRAYFORMULA(
IF(
REGEXMATCH(
"" ""&amp;H3050&amp;"" "",
"" ""&amp;Sentiment_Words!B$2:B3730&amp;"" ""
),
1,
0
)
)
)
)"),1.0)</f>
        <v>1</v>
      </c>
      <c r="L3050" s="7" t="str">
        <f t="shared" si="3"/>
        <v>Customer Support</v>
      </c>
      <c r="M3050" s="7" t="str">
        <f t="shared" si="4"/>
        <v>Negative</v>
      </c>
      <c r="N3050" s="7" t="str">
        <f>IFERROR(__xludf.DUMMYFUNCTION("LOWER(
TRIM(
REGEXREPLACE(B3050,""[^a-zA-Z\s]"","""")
)
)
"),"anonymous")</f>
        <v>anonymous</v>
      </c>
      <c r="O3050" s="7">
        <f t="shared" si="5"/>
        <v>9</v>
      </c>
      <c r="P3050" s="8" t="str">
        <f t="shared" si="6"/>
        <v>Yes</v>
      </c>
    </row>
    <row r="3051">
      <c r="A3051" s="4" t="s">
        <v>16</v>
      </c>
      <c r="B3051" s="4" t="s">
        <v>8483</v>
      </c>
      <c r="C3051" s="9">
        <v>44593.0</v>
      </c>
      <c r="D3051" s="10">
        <v>44593.0</v>
      </c>
      <c r="E3051" s="4" t="s">
        <v>8484</v>
      </c>
      <c r="F3051" s="4" t="s">
        <v>8485</v>
      </c>
      <c r="G3051" s="6" t="str">
        <f>IFERROR(__xludf.DUMMYFUNCTION("REGEXREPLACE(LOWER(F3051),""[^a-z\s]"","""")"),"i was running really low on my dog petes dry food
i could not find royal canin adult bulldog food anywhere over the last month even my automatic delivery sevice was out of stock
i looked online and petflow had it in stock yippee
i ordered it with a discou"&amp;"nt and it arrived a few days later
thank you")</f>
        <v>i was running really low on my dog petes dry food
i could not find royal canin adult bulldog food anywhere over the last month even my automatic delivery sevice was out of stock
i looked online and petflow had it in stock yippee
i ordered it with a discount and it arrived a few days later
thank you</v>
      </c>
      <c r="H3051" s="4" t="str">
        <f t="shared" si="1"/>
        <v>i was running really low on my dog petes dry food
i could not find royal canin adult bulldog food anywhere over last month even my automatic delivery sevice was out of stock
i looked online petflow had it in stock yippee
i ordered it with a discount it arrived a few days later
thank you</v>
      </c>
      <c r="I3051" s="6">
        <f t="shared" si="2"/>
        <v>52</v>
      </c>
      <c r="J3051" s="6">
        <f>IFERROR(__xludf.DUMMYFUNCTION("IF(H3051="""","""",
SUM(
ARRAYFORMULA(
IF(
REGEXMATCH(
"" ""&amp;H3051&amp;"" "",
"" ""&amp;Sentiment_Words!A$2:A3730&amp;"" ""
),
1,
0
)
)
)
)"),0.0)</f>
        <v>0</v>
      </c>
      <c r="K3051" s="4">
        <f>IFERROR(__xludf.DUMMYFUNCTION("IF(H3051="""","""",
SUM(
ARRAYFORMULA(
IF(
REGEXMATCH(
"" ""&amp;H3051&amp;"" "",
"" ""&amp;Sentiment_Words!B$2:B3730&amp;"" ""
),
1,
0
)
)
)
)"),0.0)</f>
        <v>0</v>
      </c>
      <c r="L3051" s="7" t="str">
        <f t="shared" si="3"/>
        <v>Fulfillment &amp; Shipping</v>
      </c>
      <c r="M3051" s="7" t="str">
        <f t="shared" si="4"/>
        <v>Neutral</v>
      </c>
      <c r="N3051" s="7" t="str">
        <f>IFERROR(__xludf.DUMMYFUNCTION("LOWER(
TRIM(
REGEXREPLACE(B3051,""[^a-zA-Z\s]"","""")
)
)
"),"tucker wilson")</f>
        <v>tucker wilson</v>
      </c>
      <c r="O3051" s="7">
        <f t="shared" si="5"/>
        <v>1</v>
      </c>
      <c r="P3051" s="8" t="str">
        <f t="shared" si="6"/>
        <v>No</v>
      </c>
    </row>
    <row r="3052">
      <c r="A3052" s="4" t="s">
        <v>16</v>
      </c>
      <c r="B3052" s="4" t="s">
        <v>5374</v>
      </c>
      <c r="C3052" s="9">
        <v>44593.0</v>
      </c>
      <c r="D3052" s="10">
        <v>44593.0</v>
      </c>
      <c r="E3052" s="4" t="s">
        <v>8486</v>
      </c>
      <c r="F3052" s="4" t="s">
        <v>8487</v>
      </c>
      <c r="G3052" s="6" t="str">
        <f>IFERROR(__xludf.DUMMYFUNCTION("REGEXREPLACE(LOWER(F3052),""[^a-z\s]"","""")"),"ordered from pet flow for the first time my dogs food arrived quickly and i got a great price on the food wil be ordering again")</f>
        <v>ordered from pet flow for the first time my dogs food arrived quickly and i got a great price on the food wil be ordering again</v>
      </c>
      <c r="H3052" s="4" t="str">
        <f t="shared" si="1"/>
        <v>ordered from pet flow first time my dogs food arrived quickly i got a great price on food wil be ordering again</v>
      </c>
      <c r="I3052" s="6">
        <f t="shared" si="2"/>
        <v>22</v>
      </c>
      <c r="J3052" s="6">
        <f>IFERROR(__xludf.DUMMYFUNCTION("IF(H3052="""","""",
SUM(
ARRAYFORMULA(
IF(
REGEXMATCH(
"" ""&amp;H3052&amp;"" "",
"" ""&amp;Sentiment_Words!A$2:A3730&amp;"" ""
),
1,
0
)
)
)
)"),1.0)</f>
        <v>1</v>
      </c>
      <c r="K3052" s="4">
        <f>IFERROR(__xludf.DUMMYFUNCTION("IF(H3052="""","""",
SUM(
ARRAYFORMULA(
IF(
REGEXMATCH(
"" ""&amp;H3052&amp;"" "",
"" ""&amp;Sentiment_Words!B$2:B3730&amp;"" ""
),
1,
0
)
)
)
)"),0.0)</f>
        <v>0</v>
      </c>
      <c r="L3052" s="7" t="str">
        <f t="shared" si="3"/>
        <v>Other</v>
      </c>
      <c r="M3052" s="7" t="str">
        <f t="shared" si="4"/>
        <v>Positive</v>
      </c>
      <c r="N3052" s="7" t="str">
        <f>IFERROR(__xludf.DUMMYFUNCTION("LOWER(
TRIM(
REGEXREPLACE(B3052,""[^a-zA-Z\s]"","""")
)
)
"),"linda")</f>
        <v>linda</v>
      </c>
      <c r="O3052" s="7">
        <f t="shared" si="5"/>
        <v>10</v>
      </c>
      <c r="P3052" s="8" t="str">
        <f t="shared" si="6"/>
        <v>Yes</v>
      </c>
    </row>
    <row r="3053">
      <c r="A3053" s="4" t="s">
        <v>16</v>
      </c>
      <c r="B3053" s="4" t="s">
        <v>8488</v>
      </c>
      <c r="C3053" s="9">
        <v>44593.0</v>
      </c>
      <c r="D3053" s="10">
        <v>44593.0</v>
      </c>
      <c r="E3053" s="4" t="s">
        <v>8489</v>
      </c>
      <c r="F3053" s="4" t="s">
        <v>8490</v>
      </c>
      <c r="G3053" s="6" t="str">
        <f>IFERROR(__xludf.DUMMYFUNCTION("REGEXREPLACE(LOWER(F3053),""[^a-z\s]"","""")"),"i still havent received my product it was estimated  days for delivery and we are almost  weeks out no updates whatsoever")</f>
        <v>i still havent received my product it was estimated  days for delivery and we are almost  weeks out no updates whatsoever</v>
      </c>
      <c r="H3053" s="4" t="str">
        <f t="shared" si="1"/>
        <v>i still havent received my product it was estimated days delivery we are almost weeks out no updates whatsoever</v>
      </c>
      <c r="I3053" s="6">
        <f t="shared" si="2"/>
        <v>19</v>
      </c>
      <c r="J3053" s="6">
        <f>IFERROR(__xludf.DUMMYFUNCTION("IF(H3053="""","""",
SUM(
ARRAYFORMULA(
IF(
REGEXMATCH(
"" ""&amp;H3053&amp;"" "",
"" ""&amp;Sentiment_Words!A$2:A3730&amp;"" ""
),
1,
0
)
)
)
)"),0.0)</f>
        <v>0</v>
      </c>
      <c r="K3053" s="4">
        <f>IFERROR(__xludf.DUMMYFUNCTION("IF(H3053="""","""",
SUM(
ARRAYFORMULA(
IF(
REGEXMATCH(
"" ""&amp;H3053&amp;"" "",
"" ""&amp;Sentiment_Words!B$2:B3730&amp;"" ""
),
1,
0
)
)
)
)"),0.0)</f>
        <v>0</v>
      </c>
      <c r="L3053" s="7" t="str">
        <f t="shared" si="3"/>
        <v>Other</v>
      </c>
      <c r="M3053" s="7" t="str">
        <f t="shared" si="4"/>
        <v>Neutral</v>
      </c>
      <c r="N3053" s="7" t="str">
        <f>IFERROR(__xludf.DUMMYFUNCTION("LOWER(
TRIM(
REGEXREPLACE(B3053,""[^a-zA-Z\s]"","""")
)
)
"),"alvin")</f>
        <v>alvin</v>
      </c>
      <c r="O3053" s="7">
        <f t="shared" si="5"/>
        <v>2</v>
      </c>
      <c r="P3053" s="8" t="str">
        <f t="shared" si="6"/>
        <v>Yes</v>
      </c>
    </row>
    <row r="3054">
      <c r="A3054" s="4" t="s">
        <v>16</v>
      </c>
      <c r="B3054" s="4" t="s">
        <v>8491</v>
      </c>
      <c r="C3054" s="9">
        <v>44593.0</v>
      </c>
      <c r="D3054" s="10">
        <v>44593.0</v>
      </c>
      <c r="E3054" s="4" t="s">
        <v>8492</v>
      </c>
      <c r="F3054" s="4" t="s">
        <v>8493</v>
      </c>
      <c r="G3054" s="6" t="str">
        <f>IFERROR(__xludf.DUMMYFUNCTION("REGEXREPLACE(LOWER(F3054),""[^a-z\s]"","""")"),"this was my first order with petflow one item arrived in days but the other item is still pending with zero communication if its out of stock as it is in so many places just communicate that")</f>
        <v>this was my first order with petflow one item arrived in days but the other item is still pending with zero communication if its out of stock as it is in so many places just communicate that</v>
      </c>
      <c r="H3054" s="4" t="str">
        <f t="shared" si="1"/>
        <v>this was my first order with petflow one item arrived in days but other item still pending with zero communication if its out of stock as it in so many places just communicate that</v>
      </c>
      <c r="I3054" s="6">
        <f t="shared" si="2"/>
        <v>34</v>
      </c>
      <c r="J3054" s="6">
        <f>IFERROR(__xludf.DUMMYFUNCTION("IF(H3054="""","""",
SUM(
ARRAYFORMULA(
IF(
REGEXMATCH(
"" ""&amp;H3054&amp;"" "",
"" ""&amp;Sentiment_Words!A$2:A3730&amp;"" ""
),
1,
0
)
)
)
)"),0.0)</f>
        <v>0</v>
      </c>
      <c r="K3054" s="4">
        <f>IFERROR(__xludf.DUMMYFUNCTION("IF(H3054="""","""",
SUM(
ARRAYFORMULA(
IF(
REGEXMATCH(
"" ""&amp;H3054&amp;"" "",
"" ""&amp;Sentiment_Words!B$2:B3730&amp;"" ""
),
1,
0
)
)
)
)"),1.0)</f>
        <v>1</v>
      </c>
      <c r="L3054" s="7" t="str">
        <f t="shared" si="3"/>
        <v>Availability</v>
      </c>
      <c r="M3054" s="7" t="str">
        <f t="shared" si="4"/>
        <v>Negative</v>
      </c>
      <c r="N3054" s="7" t="str">
        <f>IFERROR(__xludf.DUMMYFUNCTION("LOWER(
TRIM(
REGEXREPLACE(B3054,""[^a-zA-Z\s]"","""")
)
)
"),"waiting")</f>
        <v>waiting</v>
      </c>
      <c r="O3054" s="7">
        <f t="shared" si="5"/>
        <v>1</v>
      </c>
      <c r="P3054" s="8" t="str">
        <f t="shared" si="6"/>
        <v>No</v>
      </c>
    </row>
    <row r="3055">
      <c r="A3055" s="4" t="s">
        <v>16</v>
      </c>
      <c r="B3055" s="4" t="s">
        <v>8494</v>
      </c>
      <c r="C3055" s="9">
        <v>44593.0</v>
      </c>
      <c r="D3055" s="10">
        <v>44593.0</v>
      </c>
      <c r="E3055" s="4" t="s">
        <v>8495</v>
      </c>
      <c r="F3055" s="4" t="s">
        <v>8496</v>
      </c>
      <c r="G3055" s="6" t="str">
        <f>IFERROR(__xludf.DUMMYFUNCTION("REGEXREPLACE(LOWER(F3055),""[^a-z\s]"","""")"),"i went online to order my dogs prescription food  it showed that it was in stock when i ordered it said that i would receive in about  days when this date past i emailed the response made no mention that it was out of stock  days later i called  was infor"&amp;"med that it was indefinitely out this is a prescription mind you that my dog relies on")</f>
        <v>i went online to order my dogs prescription food  it showed that it was in stock when i ordered it said that i would receive in about  days when this date past i emailed the response made no mention that it was out of stock  days later i called  was informed that it was indefinitely out this is a prescription mind you that my dog relies on</v>
      </c>
      <c r="H3055" s="4" t="str">
        <f t="shared" si="1"/>
        <v>i went online order my dogs prescription food it showed that it was in stock when i ordered it said that i would receive in about days when this date past i emailed response made no mention that it was out of stock days later i called was informed that it was indefinitely out this a prescription mind you that my dog relies on</v>
      </c>
      <c r="I3055" s="6">
        <f t="shared" si="2"/>
        <v>64</v>
      </c>
      <c r="J3055" s="6">
        <f>IFERROR(__xludf.DUMMYFUNCTION("IF(H3055="""","""",
SUM(
ARRAYFORMULA(
IF(
REGEXMATCH(
"" ""&amp;H3055&amp;"" "",
"" ""&amp;Sentiment_Words!A$2:A3730&amp;"" ""
),
1,
0
)
)
)
)"),0.0)</f>
        <v>0</v>
      </c>
      <c r="K3055" s="4">
        <f>IFERROR(__xludf.DUMMYFUNCTION("IF(H3055="""","""",
SUM(
ARRAYFORMULA(
IF(
REGEXMATCH(
"" ""&amp;H3055&amp;"" "",
"" ""&amp;Sentiment_Words!B$2:B3730&amp;"" ""
),
1,
0
)
)
)
)"),1.0)</f>
        <v>1</v>
      </c>
      <c r="L3055" s="7" t="str">
        <f t="shared" si="3"/>
        <v>Fulfillment &amp; Shipping</v>
      </c>
      <c r="M3055" s="7" t="str">
        <f t="shared" si="4"/>
        <v>Negative</v>
      </c>
      <c r="N3055" s="7" t="str">
        <f>IFERROR(__xludf.DUMMYFUNCTION("LOWER(
TRIM(
REGEXREPLACE(B3055,""[^a-zA-Z\s]"","""")
)
)
"),"beth")</f>
        <v>beth</v>
      </c>
      <c r="O3055" s="7">
        <f t="shared" si="5"/>
        <v>1</v>
      </c>
      <c r="P3055" s="8" t="str">
        <f t="shared" si="6"/>
        <v>No</v>
      </c>
    </row>
    <row r="3056">
      <c r="A3056" s="4" t="s">
        <v>16</v>
      </c>
      <c r="B3056" s="4" t="s">
        <v>8497</v>
      </c>
      <c r="C3056" s="9">
        <v>44593.0</v>
      </c>
      <c r="D3056" s="10">
        <v>44593.0</v>
      </c>
      <c r="E3056" s="4" t="s">
        <v>8498</v>
      </c>
      <c r="F3056" s="4" t="s">
        <v>331</v>
      </c>
      <c r="G3056" s="6" t="str">
        <f>IFERROR(__xludf.DUMMYFUNCTION("REGEXREPLACE(LOWER(F3056),""[^a-z\s]"","""")"),"none")</f>
        <v>none</v>
      </c>
      <c r="H3056" s="4" t="str">
        <f t="shared" si="1"/>
        <v>none</v>
      </c>
      <c r="I3056" s="6">
        <f t="shared" si="2"/>
        <v>1</v>
      </c>
      <c r="J3056" s="6">
        <f>IFERROR(__xludf.DUMMYFUNCTION("IF(H3056="""","""",
SUM(
ARRAYFORMULA(
IF(
REGEXMATCH(
"" ""&amp;H3056&amp;"" "",
"" ""&amp;Sentiment_Words!A$2:A3730&amp;"" ""
),
1,
0
)
)
)
)"),0.0)</f>
        <v>0</v>
      </c>
      <c r="K3056" s="4">
        <f>IFERROR(__xludf.DUMMYFUNCTION("IF(H3056="""","""",
SUM(
ARRAYFORMULA(
IF(
REGEXMATCH(
"" ""&amp;H3056&amp;"" "",
"" ""&amp;Sentiment_Words!B$2:B3730&amp;"" ""
),
1,
0
)
)
)
)"),0.0)</f>
        <v>0</v>
      </c>
      <c r="L3056" s="7" t="str">
        <f t="shared" si="3"/>
        <v>Other</v>
      </c>
      <c r="M3056" s="7" t="str">
        <f t="shared" si="4"/>
        <v>Neutral</v>
      </c>
      <c r="N3056" s="7" t="str">
        <f>IFERROR(__xludf.DUMMYFUNCTION("LOWER(
TRIM(
REGEXREPLACE(B3056,""[^a-zA-Z\s]"","""")
)
)
"),"jan kissko")</f>
        <v>jan kissko</v>
      </c>
      <c r="O3056" s="7">
        <f t="shared" si="5"/>
        <v>1</v>
      </c>
      <c r="P3056" s="8" t="str">
        <f t="shared" si="6"/>
        <v>No</v>
      </c>
    </row>
    <row r="3057">
      <c r="A3057" s="4" t="s">
        <v>16</v>
      </c>
      <c r="B3057" s="4" t="s">
        <v>8499</v>
      </c>
      <c r="C3057" s="5">
        <v>44592.0</v>
      </c>
      <c r="D3057" s="10">
        <v>44592.0</v>
      </c>
      <c r="E3057" s="4" t="s">
        <v>8500</v>
      </c>
      <c r="F3057" s="4" t="s">
        <v>331</v>
      </c>
      <c r="G3057" s="6" t="str">
        <f>IFERROR(__xludf.DUMMYFUNCTION("REGEXREPLACE(LOWER(F3057),""[^a-z\s]"","""")"),"none")</f>
        <v>none</v>
      </c>
      <c r="H3057" s="4" t="str">
        <f t="shared" si="1"/>
        <v>none</v>
      </c>
      <c r="I3057" s="6">
        <f t="shared" si="2"/>
        <v>1</v>
      </c>
      <c r="J3057" s="6">
        <f>IFERROR(__xludf.DUMMYFUNCTION("IF(H3057="""","""",
SUM(
ARRAYFORMULA(
IF(
REGEXMATCH(
"" ""&amp;H3057&amp;"" "",
"" ""&amp;Sentiment_Words!A$2:A3730&amp;"" ""
),
1,
0
)
)
)
)"),0.0)</f>
        <v>0</v>
      </c>
      <c r="K3057" s="4">
        <f>IFERROR(__xludf.DUMMYFUNCTION("IF(H3057="""","""",
SUM(
ARRAYFORMULA(
IF(
REGEXMATCH(
"" ""&amp;H3057&amp;"" "",
"" ""&amp;Sentiment_Words!B$2:B3730&amp;"" ""
),
1,
0
)
)
)
)"),0.0)</f>
        <v>0</v>
      </c>
      <c r="L3057" s="7" t="str">
        <f t="shared" si="3"/>
        <v>Other</v>
      </c>
      <c r="M3057" s="7" t="str">
        <f t="shared" si="4"/>
        <v>Neutral</v>
      </c>
      <c r="N3057" s="7" t="str">
        <f>IFERROR(__xludf.DUMMYFUNCTION("LOWER(
TRIM(
REGEXREPLACE(B3057,""[^a-zA-Z\s]"","""")
)
)
"),"marguerite kazalas")</f>
        <v>marguerite kazalas</v>
      </c>
      <c r="O3057" s="7">
        <f t="shared" si="5"/>
        <v>1</v>
      </c>
      <c r="P3057" s="8" t="str">
        <f t="shared" si="6"/>
        <v>No</v>
      </c>
    </row>
    <row r="3058">
      <c r="A3058" s="4" t="s">
        <v>16</v>
      </c>
      <c r="B3058" s="4" t="s">
        <v>8501</v>
      </c>
      <c r="C3058" s="5">
        <v>44592.0</v>
      </c>
      <c r="D3058" s="10">
        <v>44592.0</v>
      </c>
      <c r="E3058" s="4" t="s">
        <v>8502</v>
      </c>
      <c r="F3058" s="4" t="s">
        <v>8503</v>
      </c>
      <c r="G3058" s="6" t="str">
        <f>IFERROR(__xludf.DUMMYFUNCTION("REGEXREPLACE(LOWER(F3058),""[^a-z\s]"","""")"),"order as expected and on time prices great value")</f>
        <v>order as expected and on time prices great value</v>
      </c>
      <c r="H3058" s="4" t="str">
        <f t="shared" si="1"/>
        <v>order as expected on time prices great value</v>
      </c>
      <c r="I3058" s="6">
        <f t="shared" si="2"/>
        <v>8</v>
      </c>
      <c r="J3058" s="6">
        <f>IFERROR(__xludf.DUMMYFUNCTION("IF(H3058="""","""",
SUM(
ARRAYFORMULA(
IF(
REGEXMATCH(
"" ""&amp;H3058&amp;"" "",
"" ""&amp;Sentiment_Words!A$2:A3730&amp;"" ""
),
1,
0
)
)
)
)"),3.0)</f>
        <v>3</v>
      </c>
      <c r="K3058" s="4">
        <f>IFERROR(__xludf.DUMMYFUNCTION("IF(H3058="""","""",
SUM(
ARRAYFORMULA(
IF(
REGEXMATCH(
"" ""&amp;H3058&amp;"" "",
"" ""&amp;Sentiment_Words!B$2:B3730&amp;"" ""
),
1,
0
)
)
)
)"),0.0)</f>
        <v>0</v>
      </c>
      <c r="L3058" s="7" t="str">
        <f t="shared" si="3"/>
        <v>Value &amp; Convenience</v>
      </c>
      <c r="M3058" s="7" t="str">
        <f t="shared" si="4"/>
        <v>Positive</v>
      </c>
      <c r="N3058" s="7" t="str">
        <f>IFERROR(__xludf.DUMMYFUNCTION("LOWER(
TRIM(
REGEXREPLACE(B3058,""[^a-zA-Z\s]"","""")
)
)
"),"sagarika devarakonda")</f>
        <v>sagarika devarakonda</v>
      </c>
      <c r="O3058" s="7">
        <f t="shared" si="5"/>
        <v>1</v>
      </c>
      <c r="P3058" s="8" t="str">
        <f t="shared" si="6"/>
        <v>No</v>
      </c>
    </row>
    <row r="3059">
      <c r="A3059" s="4" t="s">
        <v>16</v>
      </c>
      <c r="B3059" s="4" t="s">
        <v>8504</v>
      </c>
      <c r="C3059" s="5">
        <v>44592.0</v>
      </c>
      <c r="D3059" s="10">
        <v>44592.0</v>
      </c>
      <c r="E3059" s="4" t="s">
        <v>8505</v>
      </c>
      <c r="F3059" s="4" t="s">
        <v>8506</v>
      </c>
      <c r="G3059" s="6" t="str">
        <f>IFERROR(__xludf.DUMMYFUNCTION("REGEXREPLACE(LOWER(F3059),""[^a-z\s]"","""")"),"petflow was literally the only source for my dogs hills hypotreats which are on back order customer service was really helpful and product was delivered on a timely basis with adequate followup")</f>
        <v>petflow was literally the only source for my dogs hills hypotreats which are on back order customer service was really helpful and product was delivered on a timely basis with adequate followup</v>
      </c>
      <c r="H3059" s="4" t="str">
        <f t="shared" si="1"/>
        <v>petflow was literally only source my dogs hills hypotreats which are on back order customer service was really helpful product was delivered on a timely basis with adequate followup</v>
      </c>
      <c r="I3059" s="6">
        <f t="shared" si="2"/>
        <v>29</v>
      </c>
      <c r="J3059" s="6">
        <f>IFERROR(__xludf.DUMMYFUNCTION("IF(H3059="""","""",
SUM(
ARRAYFORMULA(
IF(
REGEXMATCH(
"" ""&amp;H3059&amp;"" "",
"" ""&amp;Sentiment_Words!A$2:A3730&amp;"" ""
),
1,
0
)
)
)
)"),2.0)</f>
        <v>2</v>
      </c>
      <c r="K3059" s="4">
        <f>IFERROR(__xludf.DUMMYFUNCTION("IF(H3059="""","""",
SUM(
ARRAYFORMULA(
IF(
REGEXMATCH(
"" ""&amp;H3059&amp;"" "",
"" ""&amp;Sentiment_Words!B$2:B3730&amp;"" ""
),
1,
0
)
)
)
)"),1.0)</f>
        <v>1</v>
      </c>
      <c r="L3059" s="7" t="str">
        <f t="shared" si="3"/>
        <v>Customer Support</v>
      </c>
      <c r="M3059" s="7" t="str">
        <f t="shared" si="4"/>
        <v>Positive</v>
      </c>
      <c r="N3059" s="7" t="str">
        <f>IFERROR(__xludf.DUMMYFUNCTION("LOWER(
TRIM(
REGEXREPLACE(B3059,""[^a-zA-Z\s]"","""")
)
)
"),"michelle boles")</f>
        <v>michelle boles</v>
      </c>
      <c r="O3059" s="7">
        <f t="shared" si="5"/>
        <v>1</v>
      </c>
      <c r="P3059" s="8" t="str">
        <f t="shared" si="6"/>
        <v>No</v>
      </c>
    </row>
    <row r="3060">
      <c r="A3060" s="4" t="s">
        <v>16</v>
      </c>
      <c r="B3060" s="4" t="s">
        <v>8507</v>
      </c>
      <c r="C3060" s="5">
        <v>44592.0</v>
      </c>
      <c r="D3060" s="10">
        <v>44592.0</v>
      </c>
      <c r="E3060" s="4" t="s">
        <v>8508</v>
      </c>
      <c r="F3060" s="4" t="s">
        <v>8509</v>
      </c>
      <c r="G3060" s="6" t="str">
        <f>IFERROR(__xludf.DUMMYFUNCTION("REGEXREPLACE(LOWER(F3060),""[^a-z\s]"","""")"),"always get my order fast and accurate")</f>
        <v>always get my order fast and accurate</v>
      </c>
      <c r="H3060" s="4" t="str">
        <f t="shared" si="1"/>
        <v>always get my order fast accurate</v>
      </c>
      <c r="I3060" s="6">
        <f t="shared" si="2"/>
        <v>6</v>
      </c>
      <c r="J3060" s="6">
        <f>IFERROR(__xludf.DUMMYFUNCTION("IF(H3060="""","""",
SUM(
ARRAYFORMULA(
IF(
REGEXMATCH(
"" ""&amp;H3060&amp;"" "",
"" ""&amp;Sentiment_Words!A$2:A3730&amp;"" ""
),
1,
0
)
)
)
)"),1.0)</f>
        <v>1</v>
      </c>
      <c r="K3060" s="4">
        <f>IFERROR(__xludf.DUMMYFUNCTION("IF(H3060="""","""",
SUM(
ARRAYFORMULA(
IF(
REGEXMATCH(
"" ""&amp;H3060&amp;"" "",
"" ""&amp;Sentiment_Words!B$2:B3730&amp;"" ""
),
1,
0
)
)
)
)"),0.0)</f>
        <v>0</v>
      </c>
      <c r="L3060" s="7" t="str">
        <f t="shared" si="3"/>
        <v>Other</v>
      </c>
      <c r="M3060" s="7" t="str">
        <f t="shared" si="4"/>
        <v>Positive</v>
      </c>
      <c r="N3060" s="7" t="str">
        <f>IFERROR(__xludf.DUMMYFUNCTION("LOWER(
TRIM(
REGEXREPLACE(B3060,""[^a-zA-Z\s]"","""")
)
)
"),"em")</f>
        <v>em</v>
      </c>
      <c r="O3060" s="7">
        <f t="shared" si="5"/>
        <v>2</v>
      </c>
      <c r="P3060" s="8" t="str">
        <f t="shared" si="6"/>
        <v>Yes</v>
      </c>
    </row>
    <row r="3061">
      <c r="A3061" s="4" t="s">
        <v>16</v>
      </c>
      <c r="B3061" s="4" t="s">
        <v>8510</v>
      </c>
      <c r="C3061" s="5">
        <v>44592.0</v>
      </c>
      <c r="D3061" s="10">
        <v>44592.0</v>
      </c>
      <c r="E3061" s="4" t="s">
        <v>8511</v>
      </c>
      <c r="F3061" s="4" t="s">
        <v>8512</v>
      </c>
      <c r="G3061" s="6" t="str">
        <f>IFERROR(__xludf.DUMMYFUNCTION("REGEXREPLACE(LOWER(F3061),""[^a-z\s]"","""")"),"my experience overall has been very positive during the past two years my order is processed and shipped within a reasonable timeframe it has been very convenient to have heavy bags of dog food delivered to my door petflow also helps me to keep from havin"&amp;"g to stop at the pet store at the last minute to buy food and treats when i use the auto delivery i have also had to ship food to multiple addresses its convenient to have one account and ship anywhere what a relief")</f>
        <v>my experience overall has been very positive during the past two years my order is processed and shipped within a reasonable timeframe it has been very convenient to have heavy bags of dog food delivered to my door petflow also helps me to keep from having to stop at the pet store at the last minute to buy food and treats when i use the auto delivery i have also had to ship food to multiple addresses its convenient to have one account and ship anywhere what a relief</v>
      </c>
      <c r="H3061" s="4" t="str">
        <f t="shared" si="1"/>
        <v>my experience overall has been very positive during past two years my order processed shipped within a reasonable timeframe it has been very convenient have heavy bags of dog food delivered my door petflow also helps me keep from having stop at pet store at last minute buy food treats when i use auto delivery i have also had ship food multiple addresses its convenient have one account ship anywhere what a relief</v>
      </c>
      <c r="I3061" s="6">
        <f t="shared" si="2"/>
        <v>73</v>
      </c>
      <c r="J3061" s="6">
        <f>IFERROR(__xludf.DUMMYFUNCTION("IF(H3061="""","""",
SUM(
ARRAYFORMULA(
IF(
REGEXMATCH(
"" ""&amp;H3061&amp;"" "",
"" ""&amp;Sentiment_Words!A$2:A3730&amp;"" ""
),
1,
0
)
)
)
)"),2.0)</f>
        <v>2</v>
      </c>
      <c r="K3061" s="4">
        <f>IFERROR(__xludf.DUMMYFUNCTION("IF(H3061="""","""",
SUM(
ARRAYFORMULA(
IF(
REGEXMATCH(
"" ""&amp;H3061&amp;"" "",
"" ""&amp;Sentiment_Words!B$2:B3730&amp;"" ""
),
1,
0
)
)
)
)"),0.0)</f>
        <v>0</v>
      </c>
      <c r="L3061" s="7" t="str">
        <f t="shared" si="3"/>
        <v>Account &amp; Website</v>
      </c>
      <c r="M3061" s="7" t="str">
        <f t="shared" si="4"/>
        <v>Positive</v>
      </c>
      <c r="N3061" s="7" t="str">
        <f>IFERROR(__xludf.DUMMYFUNCTION("LOWER(
TRIM(
REGEXREPLACE(B3061,""[^a-zA-Z\s]"","""")
)
)
"),"debra williams")</f>
        <v>debra williams</v>
      </c>
      <c r="O3061" s="7">
        <f t="shared" si="5"/>
        <v>1</v>
      </c>
      <c r="P3061" s="8" t="str">
        <f t="shared" si="6"/>
        <v>No</v>
      </c>
    </row>
    <row r="3062">
      <c r="A3062" s="4" t="s">
        <v>16</v>
      </c>
      <c r="B3062" s="4" t="s">
        <v>8513</v>
      </c>
      <c r="C3062" s="5">
        <v>44591.0</v>
      </c>
      <c r="D3062" s="10">
        <v>44592.0</v>
      </c>
      <c r="E3062" s="4" t="s">
        <v>8514</v>
      </c>
      <c r="F3062" s="4" t="s">
        <v>8515</v>
      </c>
      <c r="G3062" s="6" t="str">
        <f>IFERROR(__xludf.DUMMYFUNCTION("REGEXREPLACE(LOWER(F3062),""[^a-z\s]"","""")"),"fast shipping great pricesamazing customer service")</f>
        <v>fast shipping great pricesamazing customer service</v>
      </c>
      <c r="H3062" s="4" t="str">
        <f t="shared" si="1"/>
        <v>fast shipping great pricesamazing customer service</v>
      </c>
      <c r="I3062" s="6">
        <f t="shared" si="2"/>
        <v>6</v>
      </c>
      <c r="J3062" s="6">
        <f>IFERROR(__xludf.DUMMYFUNCTION("IF(H3062="""","""",
SUM(
ARRAYFORMULA(
IF(
REGEXMATCH(
"" ""&amp;H3062&amp;"" "",
"" ""&amp;Sentiment_Words!A$2:A3730&amp;"" ""
),
1,
0
)
)
)
)"),2.0)</f>
        <v>2</v>
      </c>
      <c r="K3062" s="4">
        <f>IFERROR(__xludf.DUMMYFUNCTION("IF(H3062="""","""",
SUM(
ARRAYFORMULA(
IF(
REGEXMATCH(
"" ""&amp;H3062&amp;"" "",
"" ""&amp;Sentiment_Words!B$2:B3730&amp;"" ""
),
1,
0
)
)
)
)"),1.0)</f>
        <v>1</v>
      </c>
      <c r="L3062" s="7" t="str">
        <f t="shared" si="3"/>
        <v>Customer Support</v>
      </c>
      <c r="M3062" s="7" t="str">
        <f t="shared" si="4"/>
        <v>Positive</v>
      </c>
      <c r="N3062" s="7" t="str">
        <f>IFERROR(__xludf.DUMMYFUNCTION("LOWER(
TRIM(
REGEXREPLACE(B3062,""[^a-zA-Z\s]"","""")
)
)
"),"diane mellott")</f>
        <v>diane mellott</v>
      </c>
      <c r="O3062" s="7">
        <f t="shared" si="5"/>
        <v>1</v>
      </c>
      <c r="P3062" s="8" t="str">
        <f t="shared" si="6"/>
        <v>No</v>
      </c>
    </row>
    <row r="3063">
      <c r="A3063" s="4" t="s">
        <v>16</v>
      </c>
      <c r="B3063" s="4" t="s">
        <v>7833</v>
      </c>
      <c r="C3063" s="5">
        <v>44591.0</v>
      </c>
      <c r="D3063" s="10">
        <v>44591.0</v>
      </c>
      <c r="E3063" s="4" t="s">
        <v>8516</v>
      </c>
      <c r="F3063" s="4" t="s">
        <v>8517</v>
      </c>
      <c r="G3063" s="6" t="str">
        <f>IFERROR(__xludf.DUMMYFUNCTION("REGEXREPLACE(LOWER(F3063),""[^a-z\s]"","""")"),"website showed the prescription food i needed as available for quite some time since i placed my order i received my shipment of toys and no food was delivered i called on the status of the prescription dog food and was told i would get a response back an"&amp;"d did not i was told by the representative who was going to call me back that it was in another warehouse i called back a few days later and was told it was out of stock and that they would keep the order for a couple of weeks and cancel it if the food di"&amp;"d not come in i canceled the order because i felt the communication and customer service was extremely poor")</f>
        <v>website showed the prescription food i needed as available for quite some time since i placed my order i received my shipment of toys and no food was delivered i called on the status of the prescription dog food and was told i would get a response back and did not i was told by the representative who was going to call me back that it was in another warehouse i called back a few days later and was told it was out of stock and that they would keep the order for a couple of weeks and cancel it if the food did not come in i canceled the order because i felt the communication and customer service was extremely poor</v>
      </c>
      <c r="H3063" s="4" t="str">
        <f t="shared" si="1"/>
        <v>website showed prescription food i needed as available quite some time since i placed my order i received my shipment of toys no food was delivered i called on status of prescription dog food was told i would get a response back did not i was told by representative who was going call me back that it was in another warehouse i called back a few days later was told it was out of stock that they would keep order a couple of weeks cancel it if food did not come in i canceled order because i felt communication customer service was extremely poor</v>
      </c>
      <c r="I3063" s="6">
        <f t="shared" si="2"/>
        <v>104</v>
      </c>
      <c r="J3063" s="6">
        <f>IFERROR(__xludf.DUMMYFUNCTION("IF(H3063="""","""",
SUM(
ARRAYFORMULA(
IF(
REGEXMATCH(
"" ""&amp;H3063&amp;"" "",
"" ""&amp;Sentiment_Words!A$2:A3730&amp;"" ""
),
1,
0
)
)
)
)"),2.0)</f>
        <v>2</v>
      </c>
      <c r="K3063" s="4">
        <f>IFERROR(__xludf.DUMMYFUNCTION("IF(H3063="""","""",
SUM(
ARRAYFORMULA(
IF(
REGEXMATCH(
"" ""&amp;H3063&amp;"" "",
"" ""&amp;Sentiment_Words!B$2:B3730&amp;"" ""
),
1,
0
)
)
)
)"),2.0)</f>
        <v>2</v>
      </c>
      <c r="L3063" s="7" t="str">
        <f t="shared" si="3"/>
        <v>Customer Support</v>
      </c>
      <c r="M3063" s="7" t="str">
        <f t="shared" si="4"/>
        <v>Neutral</v>
      </c>
      <c r="N3063" s="7" t="str">
        <f>IFERROR(__xludf.DUMMYFUNCTION("LOWER(
TRIM(
REGEXREPLACE(B3063,""[^a-zA-Z\s]"","""")
)
)
"),"vicki")</f>
        <v>vicki</v>
      </c>
      <c r="O3063" s="7">
        <f t="shared" si="5"/>
        <v>5</v>
      </c>
      <c r="P3063" s="8" t="str">
        <f t="shared" si="6"/>
        <v>Yes</v>
      </c>
    </row>
    <row r="3064">
      <c r="A3064" s="4" t="s">
        <v>16</v>
      </c>
      <c r="B3064" s="4" t="s">
        <v>8518</v>
      </c>
      <c r="C3064" s="5">
        <v>44591.0</v>
      </c>
      <c r="D3064" s="10">
        <v>44591.0</v>
      </c>
      <c r="E3064" s="4" t="s">
        <v>8519</v>
      </c>
      <c r="F3064" s="4" t="s">
        <v>8520</v>
      </c>
      <c r="G3064" s="6" t="str">
        <f>IFERROR(__xludf.DUMMYFUNCTION("REGEXREPLACE(LOWER(F3064),""[^a-z\s]"","""")"),"i had a problem with a shipment not being delivered petflow solved the problem quickly and kept me informed")</f>
        <v>i had a problem with a shipment not being delivered petflow solved the problem quickly and kept me informed</v>
      </c>
      <c r="H3064" s="4" t="str">
        <f t="shared" si="1"/>
        <v>i had a problem with a shipment not being delivered petflow solved problem quickly kept me informed</v>
      </c>
      <c r="I3064" s="6">
        <f t="shared" si="2"/>
        <v>17</v>
      </c>
      <c r="J3064" s="6">
        <f>IFERROR(__xludf.DUMMYFUNCTION("IF(H3064="""","""",
SUM(
ARRAYFORMULA(
IF(
REGEXMATCH(
"" ""&amp;H3064&amp;"" "",
"" ""&amp;Sentiment_Words!A$2:A3730&amp;"" ""
),
1,
0
)
)
)
)"),1.0)</f>
        <v>1</v>
      </c>
      <c r="K3064" s="4">
        <f>IFERROR(__xludf.DUMMYFUNCTION("IF(H3064="""","""",
SUM(
ARRAYFORMULA(
IF(
REGEXMATCH(
"" ""&amp;H3064&amp;"" "",
"" ""&amp;Sentiment_Words!B$2:B3730&amp;"" ""
),
1,
0
)
)
)
)"),1.0)</f>
        <v>1</v>
      </c>
      <c r="L3064" s="7" t="str">
        <f t="shared" si="3"/>
        <v>Other</v>
      </c>
      <c r="M3064" s="7" t="str">
        <f t="shared" si="4"/>
        <v>Neutral</v>
      </c>
      <c r="N3064" s="7" t="str">
        <f>IFERROR(__xludf.DUMMYFUNCTION("LOWER(
TRIM(
REGEXREPLACE(B3064,""[^a-zA-Z\s]"","""")
)
)
"),"ken williams")</f>
        <v>ken williams</v>
      </c>
      <c r="O3064" s="7">
        <f t="shared" si="5"/>
        <v>1</v>
      </c>
      <c r="P3064" s="8" t="str">
        <f t="shared" si="6"/>
        <v>No</v>
      </c>
    </row>
    <row r="3065">
      <c r="A3065" s="4" t="s">
        <v>16</v>
      </c>
      <c r="B3065" s="4" t="s">
        <v>6268</v>
      </c>
      <c r="C3065" s="5">
        <v>44591.0</v>
      </c>
      <c r="D3065" s="10">
        <v>44591.0</v>
      </c>
      <c r="E3065" s="4" t="s">
        <v>8521</v>
      </c>
      <c r="F3065" s="4" t="s">
        <v>8522</v>
      </c>
      <c r="G3065" s="6" t="str">
        <f>IFERROR(__xludf.DUMMYFUNCTION("REGEXREPLACE(LOWER(F3065),""[^a-z\s]"","""")"),"i am so impressed with every stage in purchasing the cat food i needed i set up auto purchase that gave me a discount but when i went to check out they did not have enough to send so i thought i would lose it no same deal they notified me every step of th"&amp;"e way and made sure it arrived i am a loyal customer to thoughful companies and especially family businesses whether they are blood relatives or not i will let them know if they disappoint me but i am quite sure they will mot")</f>
        <v>i am so impressed with every stage in purchasing the cat food i needed i set up auto purchase that gave me a discount but when i went to check out they did not have enough to send so i thought i would lose it no same deal they notified me every step of the way and made sure it arrived i am a loyal customer to thoughful companies and especially family businesses whether they are blood relatives or not i will let them know if they disappoint me but i am quite sure they will mot</v>
      </c>
      <c r="H3065" s="4" t="str">
        <f t="shared" si="1"/>
        <v>i am so impressed with every stage in purchasing cat food i needed i set up auto purchase that gave me a discount but when i went check out they did not have enough send so i thought i would lose it no same deal they notified me every step of way made sure it arrived i am a loyal customer thoughful companies especially family businesses whether they are blood relatives or not i will let them know if they disappoint me but i am quite sure they will mot</v>
      </c>
      <c r="I3065" s="6">
        <f t="shared" si="2"/>
        <v>90</v>
      </c>
      <c r="J3065" s="6">
        <f>IFERROR(__xludf.DUMMYFUNCTION("IF(H3065="""","""",
SUM(
ARRAYFORMULA(
IF(
REGEXMATCH(
"" ""&amp;H3065&amp;"" "",
"" ""&amp;Sentiment_Words!A$2:A3730&amp;"" ""
),
1,
0
)
)
)
)"),1.0)</f>
        <v>1</v>
      </c>
      <c r="K3065" s="4">
        <f>IFERROR(__xludf.DUMMYFUNCTION("IF(H3065="""","""",
SUM(
ARRAYFORMULA(
IF(
REGEXMATCH(
"" ""&amp;H3065&amp;"" "",
"" ""&amp;Sentiment_Words!B$2:B3730&amp;"" ""
),
1,
0
)
)
)
)"),0.0)</f>
        <v>0</v>
      </c>
      <c r="L3065" s="7" t="str">
        <f t="shared" si="3"/>
        <v>Service Recovery</v>
      </c>
      <c r="M3065" s="7" t="str">
        <f t="shared" si="4"/>
        <v>Positive</v>
      </c>
      <c r="N3065" s="7" t="str">
        <f>IFERROR(__xludf.DUMMYFUNCTION("LOWER(
TRIM(
REGEXREPLACE(B3065,""[^a-zA-Z\s]"","""")
)
)
"),"jennifer")</f>
        <v>jennifer</v>
      </c>
      <c r="O3065" s="7">
        <f t="shared" si="5"/>
        <v>5</v>
      </c>
      <c r="P3065" s="8" t="str">
        <f t="shared" si="6"/>
        <v>Yes</v>
      </c>
    </row>
    <row r="3066">
      <c r="A3066" s="4" t="s">
        <v>16</v>
      </c>
      <c r="B3066" s="4" t="s">
        <v>8523</v>
      </c>
      <c r="C3066" s="5">
        <v>44591.0</v>
      </c>
      <c r="D3066" s="10">
        <v>44591.0</v>
      </c>
      <c r="E3066" s="4" t="s">
        <v>8524</v>
      </c>
      <c r="F3066" s="4" t="s">
        <v>8525</v>
      </c>
      <c r="G3066" s="6" t="str">
        <f>IFERROR(__xludf.DUMMYFUNCTION("REGEXREPLACE(LOWER(F3066),""[^a-z\s]"","""")"),"always pleased with petflow been with them for years")</f>
        <v>always pleased with petflow been with them for years</v>
      </c>
      <c r="H3066" s="4" t="str">
        <f t="shared" si="1"/>
        <v>always pleased with petflow been with them years</v>
      </c>
      <c r="I3066" s="6">
        <f t="shared" si="2"/>
        <v>8</v>
      </c>
      <c r="J3066" s="6">
        <f>IFERROR(__xludf.DUMMYFUNCTION("IF(H3066="""","""",
SUM(
ARRAYFORMULA(
IF(
REGEXMATCH(
"" ""&amp;H3066&amp;"" "",
"" ""&amp;Sentiment_Words!A$2:A3730&amp;"" ""
),
1,
0
)
)
)
)"),0.0)</f>
        <v>0</v>
      </c>
      <c r="K3066" s="4">
        <f>IFERROR(__xludf.DUMMYFUNCTION("IF(H3066="""","""",
SUM(
ARRAYFORMULA(
IF(
REGEXMATCH(
"" ""&amp;H3066&amp;"" "",
"" ""&amp;Sentiment_Words!B$2:B3730&amp;"" ""
),
1,
0
)
)
)
)"),0.0)</f>
        <v>0</v>
      </c>
      <c r="L3066" s="7" t="str">
        <f t="shared" si="3"/>
        <v>Other</v>
      </c>
      <c r="M3066" s="7" t="str">
        <f t="shared" si="4"/>
        <v>Neutral</v>
      </c>
      <c r="N3066" s="7" t="str">
        <f>IFERROR(__xludf.DUMMYFUNCTION("LOWER(
TRIM(
REGEXREPLACE(B3066,""[^a-zA-Z\s]"","""")
)
)
"),"sandra")</f>
        <v>sandra</v>
      </c>
      <c r="O3066" s="7">
        <f t="shared" si="5"/>
        <v>2</v>
      </c>
      <c r="P3066" s="8" t="str">
        <f t="shared" si="6"/>
        <v>Yes</v>
      </c>
    </row>
    <row r="3067">
      <c r="A3067" s="4" t="s">
        <v>16</v>
      </c>
      <c r="B3067" s="4" t="s">
        <v>8526</v>
      </c>
      <c r="C3067" s="5">
        <v>44591.0</v>
      </c>
      <c r="D3067" s="10">
        <v>44591.0</v>
      </c>
      <c r="E3067" s="4" t="s">
        <v>8527</v>
      </c>
      <c r="F3067" s="4" t="s">
        <v>8528</v>
      </c>
      <c r="G3067" s="6" t="str">
        <f>IFERROR(__xludf.DUMMYFUNCTION("REGEXREPLACE(LOWER(F3067),""[^a-z\s]"","""")"),"very fast shipping which is really important all the products i need are on this website")</f>
        <v>very fast shipping which is really important all the products i need are on this website</v>
      </c>
      <c r="H3067" s="4" t="str">
        <f t="shared" si="1"/>
        <v>very fast shipping which really important all products i need are on this website</v>
      </c>
      <c r="I3067" s="6">
        <f t="shared" si="2"/>
        <v>14</v>
      </c>
      <c r="J3067" s="6">
        <f>IFERROR(__xludf.DUMMYFUNCTION("IF(H3067="""","""",
SUM(
ARRAYFORMULA(
IF(
REGEXMATCH(
"" ""&amp;H3067&amp;"" "",
"" ""&amp;Sentiment_Words!A$2:A3730&amp;"" ""
),
1,
0
)
)
)
)"),1.0)</f>
        <v>1</v>
      </c>
      <c r="K3067" s="4">
        <f>IFERROR(__xludf.DUMMYFUNCTION("IF(H3067="""","""",
SUM(
ARRAYFORMULA(
IF(
REGEXMATCH(
"" ""&amp;H3067&amp;"" "",
"" ""&amp;Sentiment_Words!B$2:B3730&amp;"" ""
),
1,
0
)
)
)
)"),0.0)</f>
        <v>0</v>
      </c>
      <c r="L3067" s="7" t="str">
        <f t="shared" si="3"/>
        <v>Account &amp; Website</v>
      </c>
      <c r="M3067" s="7" t="str">
        <f t="shared" si="4"/>
        <v>Positive</v>
      </c>
      <c r="N3067" s="7" t="str">
        <f>IFERROR(__xludf.DUMMYFUNCTION("LOWER(
TRIM(
REGEXREPLACE(B3067,""[^a-zA-Z\s]"","""")
)
)
"),"sande king")</f>
        <v>sande king</v>
      </c>
      <c r="O3067" s="7">
        <f t="shared" si="5"/>
        <v>1</v>
      </c>
      <c r="P3067" s="8" t="str">
        <f t="shared" si="6"/>
        <v>No</v>
      </c>
    </row>
    <row r="3068">
      <c r="A3068" s="4" t="s">
        <v>16</v>
      </c>
      <c r="B3068" s="4" t="s">
        <v>8529</v>
      </c>
      <c r="C3068" s="5">
        <v>44591.0</v>
      </c>
      <c r="D3068" s="10">
        <v>44591.0</v>
      </c>
      <c r="E3068" s="4" t="s">
        <v>8530</v>
      </c>
      <c r="F3068" s="4" t="s">
        <v>8531</v>
      </c>
      <c r="G3068" s="6" t="str">
        <f>IFERROR(__xludf.DUMMYFUNCTION("REGEXREPLACE(LOWER(F3068),""[^a-z\s]"","""")"),"good food good  and delivered to the front door
great service too")</f>
        <v>good food good  and delivered to the front door
great service too</v>
      </c>
      <c r="H3068" s="4" t="str">
        <f t="shared" si="1"/>
        <v>good food good delivered front door
great service too</v>
      </c>
      <c r="I3068" s="6">
        <f t="shared" si="2"/>
        <v>8</v>
      </c>
      <c r="J3068" s="6">
        <f>IFERROR(__xludf.DUMMYFUNCTION("IF(H3068="""","""",
SUM(
ARRAYFORMULA(
IF(
REGEXMATCH(
"" ""&amp;H3068&amp;"" "",
"" ""&amp;Sentiment_Words!A$2:A3730&amp;"" ""
),
1,
0
)
)
)
)"),2.0)</f>
        <v>2</v>
      </c>
      <c r="K3068" s="4">
        <f>IFERROR(__xludf.DUMMYFUNCTION("IF(H3068="""","""",
SUM(
ARRAYFORMULA(
IF(
REGEXMATCH(
"" ""&amp;H3068&amp;"" "",
"" ""&amp;Sentiment_Words!B$2:B3730&amp;"" ""
),
1,
0
)
)
)
)"),0.0)</f>
        <v>0</v>
      </c>
      <c r="L3068" s="7" t="str">
        <f t="shared" si="3"/>
        <v>Customer Support</v>
      </c>
      <c r="M3068" s="7" t="str">
        <f t="shared" si="4"/>
        <v>Positive</v>
      </c>
      <c r="N3068" s="7" t="str">
        <f>IFERROR(__xludf.DUMMYFUNCTION("LOWER(
TRIM(
REGEXREPLACE(B3068,""[^a-zA-Z\s]"","""")
)
)
"),"raechelle freeman")</f>
        <v>raechelle freeman</v>
      </c>
      <c r="O3068" s="7">
        <f t="shared" si="5"/>
        <v>1</v>
      </c>
      <c r="P3068" s="8" t="str">
        <f t="shared" si="6"/>
        <v>No</v>
      </c>
    </row>
    <row r="3069">
      <c r="A3069" s="4" t="s">
        <v>16</v>
      </c>
      <c r="B3069" s="4" t="s">
        <v>8532</v>
      </c>
      <c r="C3069" s="5">
        <v>44591.0</v>
      </c>
      <c r="D3069" s="10">
        <v>44591.0</v>
      </c>
      <c r="E3069" s="4" t="s">
        <v>8533</v>
      </c>
      <c r="F3069" s="4" t="s">
        <v>8534</v>
      </c>
      <c r="G3069" s="6" t="str">
        <f>IFERROR(__xludf.DUMMYFUNCTION("REGEXREPLACE(LOWER(F3069),""[^a-z\s]"","""")"),"this was the first time i ordered from pet flow they were really great i got my order within a few days will definitely order from them again")</f>
        <v>this was the first time i ordered from pet flow they were really great i got my order within a few days will definitely order from them again</v>
      </c>
      <c r="H3069" s="4" t="str">
        <f t="shared" si="1"/>
        <v>this was first time i ordered from pet flow they were really great i got my order within a few days will definitely order from them again</v>
      </c>
      <c r="I3069" s="6">
        <f t="shared" si="2"/>
        <v>27</v>
      </c>
      <c r="J3069" s="6">
        <f>IFERROR(__xludf.DUMMYFUNCTION("IF(H3069="""","""",
SUM(
ARRAYFORMULA(
IF(
REGEXMATCH(
"" ""&amp;H3069&amp;"" "",
"" ""&amp;Sentiment_Words!A$2:A3730&amp;"" ""
),
1,
0
)
)
)
)"),1.0)</f>
        <v>1</v>
      </c>
      <c r="K3069" s="4">
        <f>IFERROR(__xludf.DUMMYFUNCTION("IF(H3069="""","""",
SUM(
ARRAYFORMULA(
IF(
REGEXMATCH(
"" ""&amp;H3069&amp;"" "",
"" ""&amp;Sentiment_Words!B$2:B3730&amp;"" ""
),
1,
0
)
)
)
)"),0.0)</f>
        <v>0</v>
      </c>
      <c r="L3069" s="7" t="str">
        <f t="shared" si="3"/>
        <v>Other</v>
      </c>
      <c r="M3069" s="7" t="str">
        <f t="shared" si="4"/>
        <v>Positive</v>
      </c>
      <c r="N3069" s="7" t="str">
        <f>IFERROR(__xludf.DUMMYFUNCTION("LOWER(
TRIM(
REGEXREPLACE(B3069,""[^a-zA-Z\s]"","""")
)
)
"),"susan lue")</f>
        <v>susan lue</v>
      </c>
      <c r="O3069" s="7">
        <f t="shared" si="5"/>
        <v>1</v>
      </c>
      <c r="P3069" s="8" t="str">
        <f t="shared" si="6"/>
        <v>No</v>
      </c>
    </row>
    <row r="3070">
      <c r="A3070" s="4" t="s">
        <v>16</v>
      </c>
      <c r="B3070" s="4" t="s">
        <v>8535</v>
      </c>
      <c r="C3070" s="5">
        <v>44591.0</v>
      </c>
      <c r="D3070" s="10">
        <v>44591.0</v>
      </c>
      <c r="E3070" s="4" t="s">
        <v>8536</v>
      </c>
      <c r="F3070" s="4" t="s">
        <v>8537</v>
      </c>
      <c r="G3070" s="6" t="str">
        <f>IFERROR(__xludf.DUMMYFUNCTION("REGEXREPLACE(LOWER(F3070),""[^a-z\s]"","""")"),"your service has been very good i will continue to use your products")</f>
        <v>your service has been very good i will continue to use your products</v>
      </c>
      <c r="H3070" s="4" t="str">
        <f t="shared" si="1"/>
        <v>your service has been very good i will continue use your products</v>
      </c>
      <c r="I3070" s="6">
        <f t="shared" si="2"/>
        <v>12</v>
      </c>
      <c r="J3070" s="6">
        <f>IFERROR(__xludf.DUMMYFUNCTION("IF(H3070="""","""",
SUM(
ARRAYFORMULA(
IF(
REGEXMATCH(
"" ""&amp;H3070&amp;"" "",
"" ""&amp;Sentiment_Words!A$2:A3730&amp;"" ""
),
1,
0
)
)
)
)"),1.0)</f>
        <v>1</v>
      </c>
      <c r="K3070" s="4">
        <f>IFERROR(__xludf.DUMMYFUNCTION("IF(H3070="""","""",
SUM(
ARRAYFORMULA(
IF(
REGEXMATCH(
"" ""&amp;H3070&amp;"" "",
"" ""&amp;Sentiment_Words!B$2:B3730&amp;"" ""
),
1,
0
)
)
)
)"),0.0)</f>
        <v>0</v>
      </c>
      <c r="L3070" s="7" t="str">
        <f t="shared" si="3"/>
        <v>Customer Support</v>
      </c>
      <c r="M3070" s="7" t="str">
        <f t="shared" si="4"/>
        <v>Positive</v>
      </c>
      <c r="N3070" s="7" t="str">
        <f>IFERROR(__xludf.DUMMYFUNCTION("LOWER(
TRIM(
REGEXREPLACE(B3070,""[^a-zA-Z\s]"","""")
)
)
"),"greg hyde")</f>
        <v>greg hyde</v>
      </c>
      <c r="O3070" s="7">
        <f t="shared" si="5"/>
        <v>1</v>
      </c>
      <c r="P3070" s="8" t="str">
        <f t="shared" si="6"/>
        <v>No</v>
      </c>
    </row>
    <row r="3071">
      <c r="A3071" s="4" t="s">
        <v>16</v>
      </c>
      <c r="B3071" s="4" t="s">
        <v>8538</v>
      </c>
      <c r="C3071" s="5">
        <v>44590.0</v>
      </c>
      <c r="D3071" s="10">
        <v>44591.0</v>
      </c>
      <c r="E3071" s="4" t="s">
        <v>8539</v>
      </c>
      <c r="F3071" s="4" t="s">
        <v>8540</v>
      </c>
      <c r="G3071" s="6" t="str">
        <f>IFERROR(__xludf.DUMMYFUNCTION("REGEXREPLACE(LOWER(F3071),""[^a-z\s]"","""")"),"have been ordering from petflow for more than  years and have never been disappointed with their service and prices they keep you informed on the progress of your order and items arrive in a timely manor auto ship is the best service they offer")</f>
        <v>have been ordering from petflow for more than  years and have never been disappointed with their service and prices they keep you informed on the progress of your order and items arrive in a timely manor auto ship is the best service they offer</v>
      </c>
      <c r="H3071" s="4" t="str">
        <f t="shared" si="1"/>
        <v>have been ordering from petflow more than years have never been disappointed with their service prices they keep you informed on progress of your order items arrive in a timely manor auto ship best service they offer</v>
      </c>
      <c r="I3071" s="6">
        <f t="shared" si="2"/>
        <v>37</v>
      </c>
      <c r="J3071" s="6">
        <f>IFERROR(__xludf.DUMMYFUNCTION("IF(H3071="""","""",
SUM(
ARRAYFORMULA(
IF(
REGEXMATCH(
"" ""&amp;H3071&amp;"" "",
"" ""&amp;Sentiment_Words!A$2:A3730&amp;"" ""
),
1,
0
)
)
)
)"),1.0)</f>
        <v>1</v>
      </c>
      <c r="K3071" s="4">
        <f>IFERROR(__xludf.DUMMYFUNCTION("IF(H3071="""","""",
SUM(
ARRAYFORMULA(
IF(
REGEXMATCH(
"" ""&amp;H3071&amp;"" "",
"" ""&amp;Sentiment_Words!B$2:B3730&amp;"" ""
),
1,
0
)
)
)
)"),0.0)</f>
        <v>0</v>
      </c>
      <c r="L3071" s="7" t="str">
        <f t="shared" si="3"/>
        <v>Customer Support</v>
      </c>
      <c r="M3071" s="7" t="str">
        <f t="shared" si="4"/>
        <v>Positive</v>
      </c>
      <c r="N3071" s="7" t="str">
        <f>IFERROR(__xludf.DUMMYFUNCTION("LOWER(
TRIM(
REGEXREPLACE(B3071,""[^a-zA-Z\s]"","""")
)
)
"),"andrea amorosi")</f>
        <v>andrea amorosi</v>
      </c>
      <c r="O3071" s="7">
        <f t="shared" si="5"/>
        <v>1</v>
      </c>
      <c r="P3071" s="8" t="str">
        <f t="shared" si="6"/>
        <v>No</v>
      </c>
    </row>
    <row r="3072">
      <c r="A3072" s="4" t="s">
        <v>16</v>
      </c>
      <c r="B3072" s="4" t="s">
        <v>8541</v>
      </c>
      <c r="C3072" s="5">
        <v>44590.0</v>
      </c>
      <c r="D3072" s="10">
        <v>44590.0</v>
      </c>
      <c r="E3072" s="4" t="s">
        <v>8542</v>
      </c>
      <c r="F3072" s="4" t="s">
        <v>8543</v>
      </c>
      <c r="G3072" s="6" t="str">
        <f>IFERROR(__xludf.DUMMYFUNCTION("REGEXREPLACE(LOWER(F3072),""[^a-z\s]"","""")"),"always very helpfulprofessionalunderstanding if you have a question or concern or if you need guidance on something willing to match pricing and more than likely do better than competition only down side is they use fed ex who leaves the package somewhere"&amp;" in the vicinity of my address and never picks up a package when left out for them with a return label on it")</f>
        <v>always very helpfulprofessionalunderstanding if you have a question or concern or if you need guidance on something willing to match pricing and more than likely do better than competition only down side is they use fed ex who leaves the package somewhere in the vicinity of my address and never picks up a package when left out for them with a return label on it</v>
      </c>
      <c r="H3072" s="4" t="str">
        <f t="shared" si="1"/>
        <v>always very helpfulprofessionalunderstanding if you have a question or concern or if you need guidance on something willing match pricing more than likely do better than competition only down side they use fed ex who leaves package somewhere in vicinity of my address never picks up a package when left out them with a return label on it</v>
      </c>
      <c r="I3072" s="6">
        <f t="shared" si="2"/>
        <v>58</v>
      </c>
      <c r="J3072" s="6">
        <f>IFERROR(__xludf.DUMMYFUNCTION("IF(H3072="""","""",
SUM(
ARRAYFORMULA(
IF(
REGEXMATCH(
"" ""&amp;H3072&amp;"" "",
"" ""&amp;Sentiment_Words!A$2:A3730&amp;"" ""
),
1,
0
)
)
)
)"),0.0)</f>
        <v>0</v>
      </c>
      <c r="K3072" s="4">
        <f>IFERROR(__xludf.DUMMYFUNCTION("IF(H3072="""","""",
SUM(
ARRAYFORMULA(
IF(
REGEXMATCH(
"" ""&amp;H3072&amp;"" "",
"" ""&amp;Sentiment_Words!B$2:B3730&amp;"" ""
),
1,
0
)
)
)
)"),0.0)</f>
        <v>0</v>
      </c>
      <c r="L3072" s="7" t="str">
        <f t="shared" si="3"/>
        <v>Other</v>
      </c>
      <c r="M3072" s="7" t="str">
        <f t="shared" si="4"/>
        <v>Neutral</v>
      </c>
      <c r="N3072" s="7" t="str">
        <f>IFERROR(__xludf.DUMMYFUNCTION("LOWER(
TRIM(
REGEXREPLACE(B3072,""[^a-zA-Z\s]"","""")
)
)
"),"virginia lockner")</f>
        <v>virginia lockner</v>
      </c>
      <c r="O3072" s="7">
        <f t="shared" si="5"/>
        <v>1</v>
      </c>
      <c r="P3072" s="8" t="str">
        <f t="shared" si="6"/>
        <v>No</v>
      </c>
    </row>
    <row r="3073">
      <c r="A3073" s="4" t="s">
        <v>16</v>
      </c>
      <c r="B3073" s="4" t="s">
        <v>8544</v>
      </c>
      <c r="C3073" s="5">
        <v>44590.0</v>
      </c>
      <c r="D3073" s="10">
        <v>44590.0</v>
      </c>
      <c r="E3073" s="4" t="s">
        <v>8545</v>
      </c>
      <c r="F3073" s="4" t="s">
        <v>8546</v>
      </c>
      <c r="G3073" s="6" t="str">
        <f>IFERROR(__xludf.DUMMYFUNCTION("REGEXREPLACE(LOWER(F3073),""[^a-z\s]"","""")"),"i love this company i have always got what i need from them you should give them a try")</f>
        <v>i love this company i have always got what i need from them you should give them a try</v>
      </c>
      <c r="H3073" s="4" t="str">
        <f t="shared" si="1"/>
        <v>i love this company i have always got what i need from them you should give them a try</v>
      </c>
      <c r="I3073" s="6">
        <f t="shared" si="2"/>
        <v>19</v>
      </c>
      <c r="J3073" s="6">
        <f>IFERROR(__xludf.DUMMYFUNCTION("IF(H3073="""","""",
SUM(
ARRAYFORMULA(
IF(
REGEXMATCH(
"" ""&amp;H3073&amp;"" "",
"" ""&amp;Sentiment_Words!A$2:A3730&amp;"" ""
),
1,
0
)
)
)
)"),1.0)</f>
        <v>1</v>
      </c>
      <c r="K3073" s="4">
        <f>IFERROR(__xludf.DUMMYFUNCTION("IF(H3073="""","""",
SUM(
ARRAYFORMULA(
IF(
REGEXMATCH(
"" ""&amp;H3073&amp;"" "",
"" ""&amp;Sentiment_Words!B$2:B3730&amp;"" ""
),
1,
0
)
)
)
)"),0.0)</f>
        <v>0</v>
      </c>
      <c r="L3073" s="7" t="str">
        <f t="shared" si="3"/>
        <v>Other</v>
      </c>
      <c r="M3073" s="7" t="str">
        <f t="shared" si="4"/>
        <v>Positive</v>
      </c>
      <c r="N3073" s="7" t="str">
        <f>IFERROR(__xludf.DUMMYFUNCTION("LOWER(
TRIM(
REGEXREPLACE(B3073,""[^a-zA-Z\s]"","""")
)
)
"),"vtlabladi")</f>
        <v>vtlabladi</v>
      </c>
      <c r="O3073" s="7">
        <f t="shared" si="5"/>
        <v>1</v>
      </c>
      <c r="P3073" s="8" t="str">
        <f t="shared" si="6"/>
        <v>No</v>
      </c>
    </row>
    <row r="3074">
      <c r="A3074" s="4" t="s">
        <v>16</v>
      </c>
      <c r="B3074" s="4" t="s">
        <v>8547</v>
      </c>
      <c r="C3074" s="5">
        <v>44590.0</v>
      </c>
      <c r="D3074" s="10">
        <v>44590.0</v>
      </c>
      <c r="E3074" s="4" t="s">
        <v>8548</v>
      </c>
      <c r="F3074" s="4" t="s">
        <v>8549</v>
      </c>
      <c r="G3074" s="6" t="str">
        <f>IFERROR(__xludf.DUMMYFUNCTION("REGEXREPLACE(LOWER(F3074),""[^a-z\s]"","""")"),"i like that some of my auto ship order wasnt ready for shipment and you shipped each individual packages automatically without charging me a shipping fee even though the contents of either package didnt meet the cost requirement for free shipping im so ap"&amp;"preciative i didnt have to cal and complain about that every time i do call customer service the call is handled quickly and efficiently thanks for that too")</f>
        <v>i like that some of my auto ship order wasnt ready for shipment and you shipped each individual packages automatically without charging me a shipping fee even though the contents of either package didnt meet the cost requirement for free shipping im so appreciative i didnt have to cal and complain about that every time i do call customer service the call is handled quickly and efficiently thanks for that too</v>
      </c>
      <c r="H3074" s="4" t="str">
        <f t="shared" si="1"/>
        <v>i like that some of my auto ship order wasnt ready shipment you shipped each individual packages automatically without charging me a shipping fee even though contents of either package didnt meet cost requirement free shipping im so appreciative i didnt have cal complain about that every time i do call customer service call handled quickly efficiently thanks that too</v>
      </c>
      <c r="I3074" s="6">
        <f t="shared" si="2"/>
        <v>60</v>
      </c>
      <c r="J3074" s="6">
        <f>IFERROR(__xludf.DUMMYFUNCTION("IF(H3074="""","""",
SUM(
ARRAYFORMULA(
IF(
REGEXMATCH(
"" ""&amp;H3074&amp;"" "",
"" ""&amp;Sentiment_Words!A$2:A3730&amp;"" ""
),
1,
0
)
)
)
)"),2.0)</f>
        <v>2</v>
      </c>
      <c r="K3074" s="4">
        <f>IFERROR(__xludf.DUMMYFUNCTION("IF(H3074="""","""",
SUM(
ARRAYFORMULA(
IF(
REGEXMATCH(
"" ""&amp;H3074&amp;"" "",
"" ""&amp;Sentiment_Words!B$2:B3730&amp;"" ""
),
1,
0
)
)
)
)"),1.0)</f>
        <v>1</v>
      </c>
      <c r="L3074" s="7" t="str">
        <f t="shared" si="3"/>
        <v>Customer Support</v>
      </c>
      <c r="M3074" s="7" t="str">
        <f t="shared" si="4"/>
        <v>Positive</v>
      </c>
      <c r="N3074" s="7" t="str">
        <f>IFERROR(__xludf.DUMMYFUNCTION("LOWER(
TRIM(
REGEXREPLACE(B3074,""[^a-zA-Z\s]"","""")
)
)
"),"c palkimas")</f>
        <v>c palkimas</v>
      </c>
      <c r="O3074" s="7">
        <f t="shared" si="5"/>
        <v>1</v>
      </c>
      <c r="P3074" s="8" t="str">
        <f t="shared" si="6"/>
        <v>No</v>
      </c>
    </row>
    <row r="3075">
      <c r="A3075" s="4" t="s">
        <v>16</v>
      </c>
      <c r="B3075" s="4" t="s">
        <v>8550</v>
      </c>
      <c r="C3075" s="5">
        <v>44590.0</v>
      </c>
      <c r="D3075" s="10">
        <v>44590.0</v>
      </c>
      <c r="E3075" s="4" t="s">
        <v>8551</v>
      </c>
      <c r="F3075" s="4" t="s">
        <v>8552</v>
      </c>
      <c r="G3075" s="6" t="str">
        <f>IFERROR(__xludf.DUMMYFUNCTION("REGEXREPLACE(LOWER(F3075),""[^a-z\s]"","""")"),"i have been ordering from petflow for years now even have auto ship it works out great and have recommended it to friends")</f>
        <v>i have been ordering from petflow for years now even have auto ship it works out great and have recommended it to friends</v>
      </c>
      <c r="H3075" s="4" t="str">
        <f t="shared" si="1"/>
        <v>i have been ordering from petflow years now even have auto ship it works out great have recommended it friends</v>
      </c>
      <c r="I3075" s="6">
        <f t="shared" si="2"/>
        <v>20</v>
      </c>
      <c r="J3075" s="6">
        <f>IFERROR(__xludf.DUMMYFUNCTION("IF(H3075="""","""",
SUM(
ARRAYFORMULA(
IF(
REGEXMATCH(
"" ""&amp;H3075&amp;"" "",
"" ""&amp;Sentiment_Words!A$2:A3730&amp;"" ""
),
1,
0
)
)
)
)"),3.0)</f>
        <v>3</v>
      </c>
      <c r="K3075" s="4">
        <f>IFERROR(__xludf.DUMMYFUNCTION("IF(H3075="""","""",
SUM(
ARRAYFORMULA(
IF(
REGEXMATCH(
"" ""&amp;H3075&amp;"" "",
"" ""&amp;Sentiment_Words!B$2:B3730&amp;"" ""
),
1,
0
)
)
)
)"),0.0)</f>
        <v>0</v>
      </c>
      <c r="L3075" s="7" t="str">
        <f t="shared" si="3"/>
        <v>Other</v>
      </c>
      <c r="M3075" s="7" t="str">
        <f t="shared" si="4"/>
        <v>Positive</v>
      </c>
      <c r="N3075" s="7" t="str">
        <f>IFERROR(__xludf.DUMMYFUNCTION("LOWER(
TRIM(
REGEXREPLACE(B3075,""[^a-zA-Z\s]"","""")
)
)
"),"dinah stevens")</f>
        <v>dinah stevens</v>
      </c>
      <c r="O3075" s="7">
        <f t="shared" si="5"/>
        <v>1</v>
      </c>
      <c r="P3075" s="8" t="str">
        <f t="shared" si="6"/>
        <v>No</v>
      </c>
    </row>
    <row r="3076">
      <c r="A3076" s="4" t="s">
        <v>16</v>
      </c>
      <c r="B3076" s="4" t="s">
        <v>8553</v>
      </c>
      <c r="C3076" s="5">
        <v>44590.0</v>
      </c>
      <c r="D3076" s="10">
        <v>44590.0</v>
      </c>
      <c r="E3076" s="4" t="s">
        <v>8554</v>
      </c>
      <c r="F3076" s="4" t="s">
        <v>331</v>
      </c>
      <c r="G3076" s="6" t="str">
        <f>IFERROR(__xludf.DUMMYFUNCTION("REGEXREPLACE(LOWER(F3076),""[^a-z\s]"","""")"),"none")</f>
        <v>none</v>
      </c>
      <c r="H3076" s="4" t="str">
        <f t="shared" si="1"/>
        <v>none</v>
      </c>
      <c r="I3076" s="6">
        <f t="shared" si="2"/>
        <v>1</v>
      </c>
      <c r="J3076" s="6">
        <f>IFERROR(__xludf.DUMMYFUNCTION("IF(H3076="""","""",
SUM(
ARRAYFORMULA(
IF(
REGEXMATCH(
"" ""&amp;H3076&amp;"" "",
"" ""&amp;Sentiment_Words!A$2:A3730&amp;"" ""
),
1,
0
)
)
)
)"),0.0)</f>
        <v>0</v>
      </c>
      <c r="K3076" s="4">
        <f>IFERROR(__xludf.DUMMYFUNCTION("IF(H3076="""","""",
SUM(
ARRAYFORMULA(
IF(
REGEXMATCH(
"" ""&amp;H3076&amp;"" "",
"" ""&amp;Sentiment_Words!B$2:B3730&amp;"" ""
),
1,
0
)
)
)
)"),0.0)</f>
        <v>0</v>
      </c>
      <c r="L3076" s="7" t="str">
        <f t="shared" si="3"/>
        <v>Other</v>
      </c>
      <c r="M3076" s="7" t="str">
        <f t="shared" si="4"/>
        <v>Neutral</v>
      </c>
      <c r="N3076" s="7" t="str">
        <f>IFERROR(__xludf.DUMMYFUNCTION("LOWER(
TRIM(
REGEXREPLACE(B3076,""[^a-zA-Z\s]"","""")
)
)
"),"tammy frontera")</f>
        <v>tammy frontera</v>
      </c>
      <c r="O3076" s="7">
        <f t="shared" si="5"/>
        <v>1</v>
      </c>
      <c r="P3076" s="8" t="str">
        <f t="shared" si="6"/>
        <v>No</v>
      </c>
    </row>
    <row r="3077">
      <c r="A3077" s="4" t="s">
        <v>16</v>
      </c>
      <c r="B3077" s="4" t="s">
        <v>346</v>
      </c>
      <c r="C3077" s="5">
        <v>44590.0</v>
      </c>
      <c r="D3077" s="10">
        <v>44590.0</v>
      </c>
      <c r="E3077" s="4" t="s">
        <v>8555</v>
      </c>
      <c r="F3077" s="4" t="s">
        <v>331</v>
      </c>
      <c r="G3077" s="6" t="str">
        <f>IFERROR(__xludf.DUMMYFUNCTION("REGEXREPLACE(LOWER(F3077),""[^a-z\s]"","""")"),"none")</f>
        <v>none</v>
      </c>
      <c r="H3077" s="4" t="str">
        <f t="shared" si="1"/>
        <v>none</v>
      </c>
      <c r="I3077" s="6">
        <f t="shared" si="2"/>
        <v>1</v>
      </c>
      <c r="J3077" s="6">
        <f>IFERROR(__xludf.DUMMYFUNCTION("IF(H3077="""","""",
SUM(
ARRAYFORMULA(
IF(
REGEXMATCH(
"" ""&amp;H3077&amp;"" "",
"" ""&amp;Sentiment_Words!A$2:A3730&amp;"" ""
),
1,
0
)
)
)
)"),0.0)</f>
        <v>0</v>
      </c>
      <c r="K3077" s="4">
        <f>IFERROR(__xludf.DUMMYFUNCTION("IF(H3077="""","""",
SUM(
ARRAYFORMULA(
IF(
REGEXMATCH(
"" ""&amp;H3077&amp;"" "",
"" ""&amp;Sentiment_Words!B$2:B3730&amp;"" ""
),
1,
0
)
)
)
)"),0.0)</f>
        <v>0</v>
      </c>
      <c r="L3077" s="7" t="str">
        <f t="shared" si="3"/>
        <v>Other</v>
      </c>
      <c r="M3077" s="7" t="str">
        <f t="shared" si="4"/>
        <v>Neutral</v>
      </c>
      <c r="N3077" s="7" t="str">
        <f>IFERROR(__xludf.DUMMYFUNCTION("LOWER(
TRIM(
REGEXREPLACE(B3077,""[^a-zA-Z\s]"","""")
)
)
"),"vickie")</f>
        <v>vickie</v>
      </c>
      <c r="O3077" s="7">
        <f t="shared" si="5"/>
        <v>2</v>
      </c>
      <c r="P3077" s="8" t="str">
        <f t="shared" si="6"/>
        <v>Yes</v>
      </c>
    </row>
    <row r="3078">
      <c r="A3078" s="4" t="s">
        <v>16</v>
      </c>
      <c r="B3078" s="4" t="s">
        <v>8556</v>
      </c>
      <c r="C3078" s="5">
        <v>44590.0</v>
      </c>
      <c r="D3078" s="10">
        <v>44590.0</v>
      </c>
      <c r="E3078" s="4" t="s">
        <v>8557</v>
      </c>
      <c r="F3078" s="4" t="s">
        <v>8558</v>
      </c>
      <c r="G3078" s="6" t="str">
        <f>IFERROR(__xludf.DUMMYFUNCTION("REGEXREPLACE(LOWER(F3078),""[^a-z\s]"","""")"),"fast convenient delivery never a problem so much easier than shopping at the pet or grocery store love petflow")</f>
        <v>fast convenient delivery never a problem so much easier than shopping at the pet or grocery store love petflow</v>
      </c>
      <c r="H3078" s="4" t="str">
        <f t="shared" si="1"/>
        <v>fast convenient delivery never a problem so much easier than shopping at pet or grocery store love petflow</v>
      </c>
      <c r="I3078" s="6">
        <f t="shared" si="2"/>
        <v>18</v>
      </c>
      <c r="J3078" s="6">
        <f>IFERROR(__xludf.DUMMYFUNCTION("IF(H3078="""","""",
SUM(
ARRAYFORMULA(
IF(
REGEXMATCH(
"" ""&amp;H3078&amp;"" "",
"" ""&amp;Sentiment_Words!A$2:A3730&amp;"" ""
),
1,
0
)
)
)
)"),3.0)</f>
        <v>3</v>
      </c>
      <c r="K3078" s="4">
        <f>IFERROR(__xludf.DUMMYFUNCTION("IF(H3078="""","""",
SUM(
ARRAYFORMULA(
IF(
REGEXMATCH(
"" ""&amp;H3078&amp;"" "",
"" ""&amp;Sentiment_Words!B$2:B3730&amp;"" ""
),
1,
0
)
)
)
)"),1.0)</f>
        <v>1</v>
      </c>
      <c r="L3078" s="7" t="str">
        <f t="shared" si="3"/>
        <v>Value &amp; Convenience</v>
      </c>
      <c r="M3078" s="7" t="str">
        <f t="shared" si="4"/>
        <v>Positive</v>
      </c>
      <c r="N3078" s="7" t="str">
        <f>IFERROR(__xludf.DUMMYFUNCTION("LOWER(
TRIM(
REGEXREPLACE(B3078,""[^a-zA-Z\s]"","""")
)
)
"),"jjg florida connecticut")</f>
        <v>jjg florida connecticut</v>
      </c>
      <c r="O3078" s="7">
        <f t="shared" si="5"/>
        <v>1</v>
      </c>
      <c r="P3078" s="8" t="str">
        <f t="shared" si="6"/>
        <v>No</v>
      </c>
    </row>
    <row r="3079">
      <c r="A3079" s="4" t="s">
        <v>16</v>
      </c>
      <c r="B3079" s="4" t="s">
        <v>8559</v>
      </c>
      <c r="C3079" s="5">
        <v>44590.0</v>
      </c>
      <c r="D3079" s="10">
        <v>44590.0</v>
      </c>
      <c r="E3079" s="4" t="s">
        <v>8560</v>
      </c>
      <c r="F3079" s="4" t="s">
        <v>8561</v>
      </c>
      <c r="G3079" s="6" t="str">
        <f>IFERROR(__xludf.DUMMYFUNCTION("REGEXREPLACE(LOWER(F3079),""[^a-z\s]"","""")"),"always reliable with super fast shipping and a lot of choices
highly recommend")</f>
        <v>always reliable with super fast shipping and a lot of choices
highly recommend</v>
      </c>
      <c r="H3079" s="4" t="str">
        <f t="shared" si="1"/>
        <v>always reliable with super fast shipping a lot of choices
highly recommend</v>
      </c>
      <c r="I3079" s="6">
        <f t="shared" si="2"/>
        <v>11</v>
      </c>
      <c r="J3079" s="6">
        <f>IFERROR(__xludf.DUMMYFUNCTION("IF(H3079="""","""",
SUM(
ARRAYFORMULA(
IF(
REGEXMATCH(
"" ""&amp;H3079&amp;"" "",
"" ""&amp;Sentiment_Words!A$2:A3730&amp;"" ""
),
1,
0
)
)
)
)"),2.0)</f>
        <v>2</v>
      </c>
      <c r="K3079" s="4">
        <f>IFERROR(__xludf.DUMMYFUNCTION("IF(H3079="""","""",
SUM(
ARRAYFORMULA(
IF(
REGEXMATCH(
"" ""&amp;H3079&amp;"" "",
"" ""&amp;Sentiment_Words!B$2:B3730&amp;"" ""
),
1,
0
)
)
)
)"),0.0)</f>
        <v>0</v>
      </c>
      <c r="L3079" s="7" t="str">
        <f t="shared" si="3"/>
        <v>Other</v>
      </c>
      <c r="M3079" s="7" t="str">
        <f t="shared" si="4"/>
        <v>Positive</v>
      </c>
      <c r="N3079" s="7" t="str">
        <f>IFERROR(__xludf.DUMMYFUNCTION("LOWER(
TRIM(
REGEXREPLACE(B3079,""[^a-zA-Z\s]"","""")
)
)
"),"pernilleh")</f>
        <v>pernilleh</v>
      </c>
      <c r="O3079" s="7">
        <f t="shared" si="5"/>
        <v>1</v>
      </c>
      <c r="P3079" s="8" t="str">
        <f t="shared" si="6"/>
        <v>No</v>
      </c>
    </row>
    <row r="3080">
      <c r="A3080" s="4" t="s">
        <v>16</v>
      </c>
      <c r="B3080" s="4" t="s">
        <v>8562</v>
      </c>
      <c r="C3080" s="5">
        <v>44590.0</v>
      </c>
      <c r="D3080" s="10">
        <v>44590.0</v>
      </c>
      <c r="E3080" s="4" t="s">
        <v>8563</v>
      </c>
      <c r="F3080" s="4" t="s">
        <v>8564</v>
      </c>
      <c r="G3080" s="6" t="str">
        <f>IFERROR(__xludf.DUMMYFUNCTION("REGEXREPLACE(LOWER(F3080),""[^a-z\s]"","""")"),"my experience with petflow has been all positive they care about there customers")</f>
        <v>my experience with petflow has been all positive they care about there customers</v>
      </c>
      <c r="H3080" s="4" t="str">
        <f t="shared" si="1"/>
        <v>my experience with petflow has been all positive they care about there customers</v>
      </c>
      <c r="I3080" s="6">
        <f t="shared" si="2"/>
        <v>13</v>
      </c>
      <c r="J3080" s="6">
        <f>IFERROR(__xludf.DUMMYFUNCTION("IF(H3080="""","""",
SUM(
ARRAYFORMULA(
IF(
REGEXMATCH(
"" ""&amp;H3080&amp;"" "",
"" ""&amp;Sentiment_Words!A$2:A3730&amp;"" ""
),
1,
0
)
)
)
)"),0.0)</f>
        <v>0</v>
      </c>
      <c r="K3080" s="4">
        <f>IFERROR(__xludf.DUMMYFUNCTION("IF(H3080="""","""",
SUM(
ARRAYFORMULA(
IF(
REGEXMATCH(
"" ""&amp;H3080&amp;"" "",
"" ""&amp;Sentiment_Words!B$2:B3730&amp;"" ""
),
1,
0
)
)
)
)"),0.0)</f>
        <v>0</v>
      </c>
      <c r="L3080" s="7" t="str">
        <f t="shared" si="3"/>
        <v>Other</v>
      </c>
      <c r="M3080" s="7" t="str">
        <f t="shared" si="4"/>
        <v>Neutral</v>
      </c>
      <c r="N3080" s="7" t="str">
        <f>IFERROR(__xludf.DUMMYFUNCTION("LOWER(
TRIM(
REGEXREPLACE(B3080,""[^a-zA-Z\s]"","""")
)
)
"),"philip h")</f>
        <v>philip h</v>
      </c>
      <c r="O3080" s="7">
        <f t="shared" si="5"/>
        <v>1</v>
      </c>
      <c r="P3080" s="8" t="str">
        <f t="shared" si="6"/>
        <v>No</v>
      </c>
    </row>
    <row r="3081">
      <c r="A3081" s="4" t="s">
        <v>16</v>
      </c>
      <c r="B3081" s="4" t="s">
        <v>8565</v>
      </c>
      <c r="C3081" s="5">
        <v>44589.0</v>
      </c>
      <c r="D3081" s="10">
        <v>44589.0</v>
      </c>
      <c r="E3081" s="4" t="s">
        <v>8566</v>
      </c>
      <c r="F3081" s="4" t="s">
        <v>8567</v>
      </c>
      <c r="G3081" s="6" t="str">
        <f>IFERROR(__xludf.DUMMYFUNCTION("REGEXREPLACE(LOWER(F3081),""[^a-z\s]"","""")"),"this was my first order it arrived promptly petflow was the only vendor that had the item in stock i would and will order from this vendor again very satisfied with them")</f>
        <v>this was my first order it arrived promptly petflow was the only vendor that had the item in stock i would and will order from this vendor again very satisfied with them</v>
      </c>
      <c r="H3081" s="4" t="str">
        <f t="shared" si="1"/>
        <v>this was my first order it arrived promptly petflow was only vendor that had item in stock i would will order from this vendor again very satisfied with them</v>
      </c>
      <c r="I3081" s="6">
        <f t="shared" si="2"/>
        <v>29</v>
      </c>
      <c r="J3081" s="6">
        <f>IFERROR(__xludf.DUMMYFUNCTION("IF(H3081="""","""",
SUM(
ARRAYFORMULA(
IF(
REGEXMATCH(
"" ""&amp;H3081&amp;"" "",
"" ""&amp;Sentiment_Words!A$2:A3730&amp;"" ""
),
1,
0
)
)
)
)"),1.0)</f>
        <v>1</v>
      </c>
      <c r="K3081" s="4">
        <f>IFERROR(__xludf.DUMMYFUNCTION("IF(H3081="""","""",
SUM(
ARRAYFORMULA(
IF(
REGEXMATCH(
"" ""&amp;H3081&amp;"" "",
"" ""&amp;Sentiment_Words!B$2:B3730&amp;"" ""
),
1,
0
)
)
)
)"),0.0)</f>
        <v>0</v>
      </c>
      <c r="L3081" s="7" t="str">
        <f t="shared" si="3"/>
        <v>Other</v>
      </c>
      <c r="M3081" s="7" t="str">
        <f t="shared" si="4"/>
        <v>Positive</v>
      </c>
      <c r="N3081" s="7" t="str">
        <f>IFERROR(__xludf.DUMMYFUNCTION("LOWER(
TRIM(
REGEXREPLACE(B3081,""[^a-zA-Z\s]"","""")
)
)
"),"gordon sloan")</f>
        <v>gordon sloan</v>
      </c>
      <c r="O3081" s="7">
        <f t="shared" si="5"/>
        <v>1</v>
      </c>
      <c r="P3081" s="8" t="str">
        <f t="shared" si="6"/>
        <v>No</v>
      </c>
    </row>
    <row r="3082">
      <c r="A3082" s="4" t="s">
        <v>16</v>
      </c>
      <c r="B3082" s="4" t="s">
        <v>8568</v>
      </c>
      <c r="C3082" s="5">
        <v>44589.0</v>
      </c>
      <c r="D3082" s="10">
        <v>44589.0</v>
      </c>
      <c r="E3082" s="4" t="s">
        <v>8569</v>
      </c>
      <c r="F3082" s="4" t="s">
        <v>8570</v>
      </c>
      <c r="G3082" s="6" t="str">
        <f>IFERROR(__xludf.DUMMYFUNCTION("REGEXREPLACE(LOWER(F3082),""[^a-z\s]"","""")"),"food came in a timely manner")</f>
        <v>food came in a timely manner</v>
      </c>
      <c r="H3082" s="4" t="str">
        <f t="shared" si="1"/>
        <v>food came in a timely manner</v>
      </c>
      <c r="I3082" s="6">
        <f t="shared" si="2"/>
        <v>6</v>
      </c>
      <c r="J3082" s="6">
        <f>IFERROR(__xludf.DUMMYFUNCTION("IF(H3082="""","""",
SUM(
ARRAYFORMULA(
IF(
REGEXMATCH(
"" ""&amp;H3082&amp;"" "",
"" ""&amp;Sentiment_Words!A$2:A3730&amp;"" ""
),
1,
0
)
)
)
)"),0.0)</f>
        <v>0</v>
      </c>
      <c r="K3082" s="4">
        <f>IFERROR(__xludf.DUMMYFUNCTION("IF(H3082="""","""",
SUM(
ARRAYFORMULA(
IF(
REGEXMATCH(
"" ""&amp;H3082&amp;"" "",
"" ""&amp;Sentiment_Words!B$2:B3730&amp;"" ""
),
1,
0
)
)
)
)"),0.0)</f>
        <v>0</v>
      </c>
      <c r="L3082" s="7" t="str">
        <f t="shared" si="3"/>
        <v>Other</v>
      </c>
      <c r="M3082" s="7" t="str">
        <f t="shared" si="4"/>
        <v>Neutral</v>
      </c>
      <c r="N3082" s="7" t="str">
        <f>IFERROR(__xludf.DUMMYFUNCTION("LOWER(
TRIM(
REGEXREPLACE(B3082,""[^a-zA-Z\s]"","""")
)
)
"),"margie swartz")</f>
        <v>margie swartz</v>
      </c>
      <c r="O3082" s="7">
        <f t="shared" si="5"/>
        <v>1</v>
      </c>
      <c r="P3082" s="8" t="str">
        <f t="shared" si="6"/>
        <v>No</v>
      </c>
    </row>
    <row r="3083">
      <c r="A3083" s="4" t="s">
        <v>16</v>
      </c>
      <c r="B3083" s="4" t="s">
        <v>8571</v>
      </c>
      <c r="C3083" s="5">
        <v>44589.0</v>
      </c>
      <c r="D3083" s="10">
        <v>44589.0</v>
      </c>
      <c r="E3083" s="4" t="s">
        <v>8572</v>
      </c>
      <c r="F3083" s="4" t="s">
        <v>8573</v>
      </c>
      <c r="G3083" s="6" t="str">
        <f>IFERROR(__xludf.DUMMYFUNCTION("REGEXREPLACE(LOWER(F3083),""[^a-z\s]"","""")"),"ordered dog food and the food was received in a timely manner never had a problem with petflow")</f>
        <v>ordered dog food and the food was received in a timely manner never had a problem with petflow</v>
      </c>
      <c r="H3083" s="4" t="str">
        <f t="shared" si="1"/>
        <v>ordered dog food food was received in a timely manner never had a problem with petflow</v>
      </c>
      <c r="I3083" s="6">
        <f t="shared" si="2"/>
        <v>16</v>
      </c>
      <c r="J3083" s="6">
        <f>IFERROR(__xludf.DUMMYFUNCTION("IF(H3083="""","""",
SUM(
ARRAYFORMULA(
IF(
REGEXMATCH(
"" ""&amp;H3083&amp;"" "",
"" ""&amp;Sentiment_Words!A$2:A3730&amp;"" ""
),
1,
0
)
)
)
)"),0.0)</f>
        <v>0</v>
      </c>
      <c r="K3083" s="4">
        <f>IFERROR(__xludf.DUMMYFUNCTION("IF(H3083="""","""",
SUM(
ARRAYFORMULA(
IF(
REGEXMATCH(
"" ""&amp;H3083&amp;"" "",
"" ""&amp;Sentiment_Words!B$2:B3730&amp;"" ""
),
1,
0
)
)
)
)"),1.0)</f>
        <v>1</v>
      </c>
      <c r="L3083" s="7" t="str">
        <f t="shared" si="3"/>
        <v>Other</v>
      </c>
      <c r="M3083" s="7" t="str">
        <f t="shared" si="4"/>
        <v>Negative</v>
      </c>
      <c r="N3083" s="7" t="str">
        <f>IFERROR(__xludf.DUMMYFUNCTION("LOWER(
TRIM(
REGEXREPLACE(B3083,""[^a-zA-Z\s]"","""")
)
)
"),"chances grammy")</f>
        <v>chances grammy</v>
      </c>
      <c r="O3083" s="7">
        <f t="shared" si="5"/>
        <v>1</v>
      </c>
      <c r="P3083" s="8" t="str">
        <f t="shared" si="6"/>
        <v>No</v>
      </c>
    </row>
    <row r="3084">
      <c r="A3084" s="4" t="s">
        <v>16</v>
      </c>
      <c r="B3084" s="4" t="s">
        <v>8574</v>
      </c>
      <c r="C3084" s="5">
        <v>44589.0</v>
      </c>
      <c r="D3084" s="4" t="s">
        <v>8575</v>
      </c>
      <c r="E3084" s="4" t="s">
        <v>8576</v>
      </c>
      <c r="F3084" s="4" t="s">
        <v>8577</v>
      </c>
      <c r="G3084" s="6" t="str">
        <f>IFERROR(__xludf.DUMMYFUNCTION("REGEXREPLACE(LOWER(F3084),""[^a-z\s]"","""")"),"ordered a veterinarian prescription diet for my dog the food was delivered promptly in  to  days this was at a time when the food was back ordered and couldnt get it at many other places will now be using petflow as my main supplier been very happy with t"&amp;"hem")</f>
        <v>ordered a veterinarian prescription diet for my dog the food was delivered promptly in  to  days this was at a time when the food was back ordered and couldnt get it at many other places will now be using petflow as my main supplier been very happy with them</v>
      </c>
      <c r="H3084" s="4" t="str">
        <f t="shared" si="1"/>
        <v>ordered a veterinarian prescription diet my dog food was delivered promptly in days this was at a time when food was back ordered couldnt get it at many other places will now be using petflow as my main supplier been very happy with them</v>
      </c>
      <c r="I3084" s="6">
        <f t="shared" si="2"/>
        <v>44</v>
      </c>
      <c r="J3084" s="6">
        <f>IFERROR(__xludf.DUMMYFUNCTION("IF(H3084="""","""",
SUM(
ARRAYFORMULA(
IF(
REGEXMATCH(
"" ""&amp;H3084&amp;"" "",
"" ""&amp;Sentiment_Words!A$2:A3730&amp;"" ""
),
1,
0
)
)
)
)"),2.0)</f>
        <v>2</v>
      </c>
      <c r="K3084" s="4">
        <f>IFERROR(__xludf.DUMMYFUNCTION("IF(H3084="""","""",
SUM(
ARRAYFORMULA(
IF(
REGEXMATCH(
"" ""&amp;H3084&amp;"" "",
"" ""&amp;Sentiment_Words!B$2:B3730&amp;"" ""
),
1,
0
)
)
)
)"),0.0)</f>
        <v>0</v>
      </c>
      <c r="L3084" s="7" t="str">
        <f t="shared" si="3"/>
        <v>Other</v>
      </c>
      <c r="M3084" s="7" t="str">
        <f t="shared" si="4"/>
        <v>Positive</v>
      </c>
      <c r="N3084" s="7" t="str">
        <f>IFERROR(__xludf.DUMMYFUNCTION("LOWER(
TRIM(
REGEXREPLACE(B3084,""[^a-zA-Z\s]"","""")
)
)
"),"gary s")</f>
        <v>gary s</v>
      </c>
      <c r="O3084" s="7">
        <f t="shared" si="5"/>
        <v>1</v>
      </c>
      <c r="P3084" s="8" t="str">
        <f t="shared" si="6"/>
        <v>No</v>
      </c>
    </row>
    <row r="3085">
      <c r="A3085" s="4" t="s">
        <v>16</v>
      </c>
      <c r="B3085" s="4" t="s">
        <v>8578</v>
      </c>
      <c r="C3085" s="5">
        <v>44589.0</v>
      </c>
      <c r="D3085" s="10">
        <v>44589.0</v>
      </c>
      <c r="E3085" s="4" t="s">
        <v>8579</v>
      </c>
      <c r="F3085" s="4" t="s">
        <v>8580</v>
      </c>
      <c r="G3085" s="6" t="str">
        <f>IFERROR(__xludf.DUMMYFUNCTION("REGEXREPLACE(LOWER(F3085),""[^a-z\s]"","""")"),"perfect  every order")</f>
        <v>perfect  every order</v>
      </c>
      <c r="H3085" s="4" t="str">
        <f t="shared" si="1"/>
        <v>perfect every order</v>
      </c>
      <c r="I3085" s="6">
        <f t="shared" si="2"/>
        <v>3</v>
      </c>
      <c r="J3085" s="6">
        <f>IFERROR(__xludf.DUMMYFUNCTION("IF(H3085="""","""",
SUM(
ARRAYFORMULA(
IF(
REGEXMATCH(
"" ""&amp;H3085&amp;"" "",
"" ""&amp;Sentiment_Words!A$2:A3730&amp;"" ""
),
1,
0
)
)
)
)"),0.0)</f>
        <v>0</v>
      </c>
      <c r="K3085" s="4">
        <f>IFERROR(__xludf.DUMMYFUNCTION("IF(H3085="""","""",
SUM(
ARRAYFORMULA(
IF(
REGEXMATCH(
"" ""&amp;H3085&amp;"" "",
"" ""&amp;Sentiment_Words!B$2:B3730&amp;"" ""
),
1,
0
)
)
)
)"),0.0)</f>
        <v>0</v>
      </c>
      <c r="L3085" s="7" t="str">
        <f t="shared" si="3"/>
        <v>Other</v>
      </c>
      <c r="M3085" s="7" t="str">
        <f t="shared" si="4"/>
        <v>Neutral</v>
      </c>
      <c r="N3085" s="7" t="str">
        <f>IFERROR(__xludf.DUMMYFUNCTION("LOWER(
TRIM(
REGEXREPLACE(B3085,""[^a-zA-Z\s]"","""")
)
)
"),"vickye mike and cowboy gallowa")</f>
        <v>vickye mike and cowboy gallowa</v>
      </c>
      <c r="O3085" s="7">
        <f t="shared" si="5"/>
        <v>1</v>
      </c>
      <c r="P3085" s="8" t="str">
        <f t="shared" si="6"/>
        <v>No</v>
      </c>
    </row>
    <row r="3086">
      <c r="A3086" s="4" t="s">
        <v>16</v>
      </c>
      <c r="B3086" s="4" t="s">
        <v>8581</v>
      </c>
      <c r="C3086" s="5">
        <v>44589.0</v>
      </c>
      <c r="D3086" s="10">
        <v>44589.0</v>
      </c>
      <c r="E3086" s="4" t="s">
        <v>8582</v>
      </c>
      <c r="F3086" s="4" t="s">
        <v>8583</v>
      </c>
      <c r="G3086" s="6" t="str">
        <f>IFERROR(__xludf.DUMMYFUNCTION("REGEXREPLACE(LOWER(F3086),""[^a-z\s]"","""")"),"although there are supply issues the customer service team is excellent and so helpful i also receive email letting me know they are still on top of my backorder when it comes in")</f>
        <v>although there are supply issues the customer service team is excellent and so helpful i also receive email letting me know they are still on top of my backorder when it comes in</v>
      </c>
      <c r="H3086" s="4" t="str">
        <f t="shared" si="1"/>
        <v>although there are supply issues customer service team excellent so helpful i also receive email letting me know they are still on top of my backorder when it comes in</v>
      </c>
      <c r="I3086" s="6">
        <f t="shared" si="2"/>
        <v>30</v>
      </c>
      <c r="J3086" s="6">
        <f>IFERROR(__xludf.DUMMYFUNCTION("IF(H3086="""","""",
SUM(
ARRAYFORMULA(
IF(
REGEXMATCH(
"" ""&amp;H3086&amp;"" "",
"" ""&amp;Sentiment_Words!A$2:A3730&amp;"" ""
),
1,
0
)
)
)
)"),1.0)</f>
        <v>1</v>
      </c>
      <c r="K3086" s="4">
        <f>IFERROR(__xludf.DUMMYFUNCTION("IF(H3086="""","""",
SUM(
ARRAYFORMULA(
IF(
REGEXMATCH(
"" ""&amp;H3086&amp;"" "",
"" ""&amp;Sentiment_Words!B$2:B3730&amp;"" ""
),
1,
0
)
)
)
)"),1.0)</f>
        <v>1</v>
      </c>
      <c r="L3086" s="7" t="str">
        <f t="shared" si="3"/>
        <v>Customer Support</v>
      </c>
      <c r="M3086" s="7" t="str">
        <f t="shared" si="4"/>
        <v>Neutral</v>
      </c>
      <c r="N3086" s="7" t="str">
        <f>IFERROR(__xludf.DUMMYFUNCTION("LOWER(
TRIM(
REGEXREPLACE(B3086,""[^a-zA-Z\s]"","""")
)
)
"),"gail blattler")</f>
        <v>gail blattler</v>
      </c>
      <c r="O3086" s="7">
        <f t="shared" si="5"/>
        <v>1</v>
      </c>
      <c r="P3086" s="8" t="str">
        <f t="shared" si="6"/>
        <v>No</v>
      </c>
    </row>
    <row r="3087">
      <c r="A3087" s="4" t="s">
        <v>16</v>
      </c>
      <c r="B3087" s="4" t="s">
        <v>8584</v>
      </c>
      <c r="C3087" s="5">
        <v>44589.0</v>
      </c>
      <c r="D3087" s="10">
        <v>44589.0</v>
      </c>
      <c r="E3087" s="4" t="s">
        <v>312</v>
      </c>
      <c r="F3087" s="4" t="s">
        <v>8585</v>
      </c>
      <c r="G3087" s="6" t="str">
        <f>IFERROR(__xludf.DUMMYFUNCTION("REGEXREPLACE(LOWER(F3087),""[^a-z\s]"","""")"),"i love pet flow the shipping is fast and their prices cant be beat super cute products and a great variety of dog treats")</f>
        <v>i love pet flow the shipping is fast and their prices cant be beat super cute products and a great variety of dog treats</v>
      </c>
      <c r="H3087" s="4" t="str">
        <f t="shared" si="1"/>
        <v>i love pet flow shipping fast their prices cant be beat super cute products a great variety of dog treats</v>
      </c>
      <c r="I3087" s="6">
        <f t="shared" si="2"/>
        <v>20</v>
      </c>
      <c r="J3087" s="6">
        <f>IFERROR(__xludf.DUMMYFUNCTION("IF(H3087="""","""",
SUM(
ARRAYFORMULA(
IF(
REGEXMATCH(
"" ""&amp;H3087&amp;"" "",
"" ""&amp;Sentiment_Words!A$2:A3730&amp;"" ""
),
1,
0
)
)
)
)"),3.0)</f>
        <v>3</v>
      </c>
      <c r="K3087" s="4">
        <f>IFERROR(__xludf.DUMMYFUNCTION("IF(H3087="""","""",
SUM(
ARRAYFORMULA(
IF(
REGEXMATCH(
"" ""&amp;H3087&amp;"" "",
"" ""&amp;Sentiment_Words!B$2:B3730&amp;"" ""
),
1,
0
)
)
)
)"),0.0)</f>
        <v>0</v>
      </c>
      <c r="L3087" s="7" t="str">
        <f t="shared" si="3"/>
        <v>Other</v>
      </c>
      <c r="M3087" s="7" t="str">
        <f t="shared" si="4"/>
        <v>Positive</v>
      </c>
      <c r="N3087" s="7" t="str">
        <f>IFERROR(__xludf.DUMMYFUNCTION("LOWER(
TRIM(
REGEXREPLACE(B3087,""[^a-zA-Z\s]"","""")
)
)
"),"amanda depierro")</f>
        <v>amanda depierro</v>
      </c>
      <c r="O3087" s="7">
        <f t="shared" si="5"/>
        <v>1</v>
      </c>
      <c r="P3087" s="8" t="str">
        <f t="shared" si="6"/>
        <v>No</v>
      </c>
    </row>
    <row r="3088">
      <c r="A3088" s="4" t="s">
        <v>16</v>
      </c>
      <c r="B3088" s="4" t="s">
        <v>8586</v>
      </c>
      <c r="C3088" s="5">
        <v>44588.0</v>
      </c>
      <c r="D3088" s="10">
        <v>44588.0</v>
      </c>
      <c r="E3088" s="4" t="s">
        <v>8587</v>
      </c>
      <c r="F3088" s="4" t="s">
        <v>8588</v>
      </c>
      <c r="G3088" s="6" t="str">
        <f>IFERROR(__xludf.DUMMYFUNCTION("REGEXREPLACE(LOWER(F3088),""[^a-z\s]"","""")"),"petflow not only had what i needed but also at a price that was lower than where i purchase locally my order came in a timely manner and i received free shipping which i was very happy about")</f>
        <v>petflow not only had what i needed but also at a price that was lower than where i purchase locally my order came in a timely manner and i received free shipping which i was very happy about</v>
      </c>
      <c r="H3088" s="4" t="str">
        <f t="shared" si="1"/>
        <v>petflow not only had what i needed but also at a price that was lower than where i purchase locally my order came in a timely manner i received free shipping which i was very happy about</v>
      </c>
      <c r="I3088" s="6">
        <f t="shared" si="2"/>
        <v>37</v>
      </c>
      <c r="J3088" s="6">
        <f>IFERROR(__xludf.DUMMYFUNCTION("IF(H3088="""","""",
SUM(
ARRAYFORMULA(
IF(
REGEXMATCH(
"" ""&amp;H3088&amp;"" "",
"" ""&amp;Sentiment_Words!A$2:A3730&amp;"" ""
),
1,
0
)
)
)
)"),1.0)</f>
        <v>1</v>
      </c>
      <c r="K3088" s="4">
        <f>IFERROR(__xludf.DUMMYFUNCTION("IF(H3088="""","""",
SUM(
ARRAYFORMULA(
IF(
REGEXMATCH(
"" ""&amp;H3088&amp;"" "",
"" ""&amp;Sentiment_Words!B$2:B3730&amp;"" ""
),
1,
0
)
)
)
)"),0.0)</f>
        <v>0</v>
      </c>
      <c r="L3088" s="7" t="str">
        <f t="shared" si="3"/>
        <v>Other</v>
      </c>
      <c r="M3088" s="7" t="str">
        <f t="shared" si="4"/>
        <v>Positive</v>
      </c>
      <c r="N3088" s="7" t="str">
        <f>IFERROR(__xludf.DUMMYFUNCTION("LOWER(
TRIM(
REGEXREPLACE(B3088,""[^a-zA-Z\s]"","""")
)
)
"),"mary perkins")</f>
        <v>mary perkins</v>
      </c>
      <c r="O3088" s="7">
        <f t="shared" si="5"/>
        <v>1</v>
      </c>
      <c r="P3088" s="8" t="str">
        <f t="shared" si="6"/>
        <v>No</v>
      </c>
    </row>
    <row r="3089">
      <c r="A3089" s="4" t="s">
        <v>16</v>
      </c>
      <c r="B3089" s="4" t="s">
        <v>8589</v>
      </c>
      <c r="C3089" s="5">
        <v>44588.0</v>
      </c>
      <c r="D3089" s="10">
        <v>44588.0</v>
      </c>
      <c r="E3089" s="4" t="s">
        <v>8590</v>
      </c>
      <c r="F3089" s="4" t="s">
        <v>8591</v>
      </c>
      <c r="G3089" s="6" t="str">
        <f>IFERROR(__xludf.DUMMYFUNCTION("REGEXREPLACE(LOWER(F3089),""[^a-z\s]"","""")"),"petflow has always been there wfull answers great delivery no bs about anything")</f>
        <v>petflow has always been there wfull answers great delivery no bs about anything</v>
      </c>
      <c r="H3089" s="4" t="str">
        <f t="shared" si="1"/>
        <v>petflow has always been there wfull answers great delivery no bs about anything</v>
      </c>
      <c r="I3089" s="6">
        <f t="shared" si="2"/>
        <v>13</v>
      </c>
      <c r="J3089" s="6">
        <f>IFERROR(__xludf.DUMMYFUNCTION("IF(H3089="""","""",
SUM(
ARRAYFORMULA(
IF(
REGEXMATCH(
"" ""&amp;H3089&amp;"" "",
"" ""&amp;Sentiment_Words!A$2:A3730&amp;"" ""
),
1,
0
)
)
)
)"),1.0)</f>
        <v>1</v>
      </c>
      <c r="K3089" s="4">
        <f>IFERROR(__xludf.DUMMYFUNCTION("IF(H3089="""","""",
SUM(
ARRAYFORMULA(
IF(
REGEXMATCH(
"" ""&amp;H3089&amp;"" "",
"" ""&amp;Sentiment_Words!B$2:B3730&amp;"" ""
),
1,
0
)
)
)
)"),0.0)</f>
        <v>0</v>
      </c>
      <c r="L3089" s="7" t="str">
        <f t="shared" si="3"/>
        <v>Other</v>
      </c>
      <c r="M3089" s="7" t="str">
        <f t="shared" si="4"/>
        <v>Positive</v>
      </c>
      <c r="N3089" s="7" t="str">
        <f>IFERROR(__xludf.DUMMYFUNCTION("LOWER(
TRIM(
REGEXREPLACE(B3089,""[^a-zA-Z\s]"","""")
)
)
"),"frances browne")</f>
        <v>frances browne</v>
      </c>
      <c r="O3089" s="7">
        <f t="shared" si="5"/>
        <v>1</v>
      </c>
      <c r="P3089" s="8" t="str">
        <f t="shared" si="6"/>
        <v>No</v>
      </c>
    </row>
    <row r="3090">
      <c r="A3090" s="4" t="s">
        <v>16</v>
      </c>
      <c r="B3090" s="4" t="s">
        <v>8592</v>
      </c>
      <c r="C3090" s="5">
        <v>44588.0</v>
      </c>
      <c r="D3090" s="10">
        <v>44588.0</v>
      </c>
      <c r="E3090" s="4" t="s">
        <v>8593</v>
      </c>
      <c r="F3090" s="4" t="s">
        <v>8594</v>
      </c>
      <c r="G3090" s="6" t="str">
        <f>IFERROR(__xludf.DUMMYFUNCTION("REGEXREPLACE(LOWER(F3090),""[^a-z\s]"","""")"),"petflow makes it easy for me to get a specialty dog food that i am unable to get locally as i live in a rural area so far no damages to any of my shipments and delivery has been fast i also like how they have a variety of toys at reasonable prices")</f>
        <v>petflow makes it easy for me to get a specialty dog food that i am unable to get locally as i live in a rural area so far no damages to any of my shipments and delivery has been fast i also like how they have a variety of toys at reasonable prices</v>
      </c>
      <c r="H3090" s="4" t="str">
        <f t="shared" si="1"/>
        <v>petflow makes it easy me get a specialty dog food that i am unable get locally as i live in a rural area so far no damages any of my shipments delivery has been fast i also like how they have a variety of toys at reasonable prices</v>
      </c>
      <c r="I3090" s="6">
        <f t="shared" si="2"/>
        <v>48</v>
      </c>
      <c r="J3090" s="6">
        <f>IFERROR(__xludf.DUMMYFUNCTION("IF(H3090="""","""",
SUM(
ARRAYFORMULA(
IF(
REGEXMATCH(
"" ""&amp;H3090&amp;"" "",
"" ""&amp;Sentiment_Words!A$2:A3730&amp;"" ""
),
1,
0
)
)
)
)"),2.0)</f>
        <v>2</v>
      </c>
      <c r="K3090" s="4">
        <f>IFERROR(__xludf.DUMMYFUNCTION("IF(H3090="""","""",
SUM(
ARRAYFORMULA(
IF(
REGEXMATCH(
"" ""&amp;H3090&amp;"" "",
"" ""&amp;Sentiment_Words!B$2:B3730&amp;"" ""
),
1,
0
)
)
)
)"),0.0)</f>
        <v>0</v>
      </c>
      <c r="L3090" s="7" t="str">
        <f t="shared" si="3"/>
        <v>Other</v>
      </c>
      <c r="M3090" s="7" t="str">
        <f t="shared" si="4"/>
        <v>Positive</v>
      </c>
      <c r="N3090" s="7" t="str">
        <f>IFERROR(__xludf.DUMMYFUNCTION("LOWER(
TRIM(
REGEXREPLACE(B3090,""[^a-zA-Z\s]"","""")
)
)
"),"brittney g")</f>
        <v>brittney g</v>
      </c>
      <c r="O3090" s="7">
        <f t="shared" si="5"/>
        <v>1</v>
      </c>
      <c r="P3090" s="8" t="str">
        <f t="shared" si="6"/>
        <v>No</v>
      </c>
    </row>
    <row r="3091">
      <c r="A3091" s="4" t="s">
        <v>16</v>
      </c>
      <c r="B3091" s="4" t="s">
        <v>8595</v>
      </c>
      <c r="C3091" s="5">
        <v>44588.0</v>
      </c>
      <c r="D3091" s="10">
        <v>44588.0</v>
      </c>
      <c r="E3091" s="4" t="s">
        <v>4467</v>
      </c>
      <c r="F3091" s="4" t="s">
        <v>8596</v>
      </c>
      <c r="G3091" s="6" t="str">
        <f>IFERROR(__xludf.DUMMYFUNCTION("REGEXREPLACE(LOWER(F3091),""[^a-z\s]"","""")"),"ive only used your company once so i cant give an honest opinion of pet flow
what i can see is that you should look at switching which company you ship with or at least give options of other shipping companies fedex is horrible i used u use them at the cl"&amp;"inic i work and because theyre not reliable switched to ups i wont be ordering from pet flow again until i know a different shipping company can be used i do appreciate being sent a new shipment since the initial one was given to someone else at a differe"&amp;"nt address")</f>
        <v>ive only used your company once so i cant give an honest opinion of pet flow
what i can see is that you should look at switching which company you ship with or at least give options of other shipping companies fedex is horrible i used u use them at the clinic i work and because theyre not reliable switched to ups i wont be ordering from pet flow again until i know a different shipping company can be used i do appreciate being sent a new shipment since the initial one was given to someone else at a different address</v>
      </c>
      <c r="H3091" s="4" t="str">
        <f t="shared" si="1"/>
        <v>ive only used your company once so i cant give an honest opinion of pet flow
what i can see that you should look at switching which company you ship with or at least give options of other shipping companies fedex horrible i used u use them at clinic i work because theyre not reliable switched ups i wont be ordering from pet flow again until i know a different shipping company can be used i do appreciate being sent a new shipment since initial one was given someone else at a different address</v>
      </c>
      <c r="I3091" s="6">
        <f t="shared" si="2"/>
        <v>93</v>
      </c>
      <c r="J3091" s="6">
        <f>IFERROR(__xludf.DUMMYFUNCTION("IF(H3091="""","""",
SUM(
ARRAYFORMULA(
IF(
REGEXMATCH(
"" ""&amp;H3091&amp;"" "",
"" ""&amp;Sentiment_Words!A$2:A3730&amp;"" ""
),
1,
0
)
)
)
)"),1.0)</f>
        <v>1</v>
      </c>
      <c r="K3091" s="4">
        <f>IFERROR(__xludf.DUMMYFUNCTION("IF(H3091="""","""",
SUM(
ARRAYFORMULA(
IF(
REGEXMATCH(
"" ""&amp;H3091&amp;"" "",
"" ""&amp;Sentiment_Words!B$2:B3730&amp;"" ""
),
1,
0
)
)
)
)"),0.0)</f>
        <v>0</v>
      </c>
      <c r="L3091" s="7" t="str">
        <f t="shared" si="3"/>
        <v>Other</v>
      </c>
      <c r="M3091" s="7" t="str">
        <f t="shared" si="4"/>
        <v>Positive</v>
      </c>
      <c r="N3091" s="7" t="str">
        <f>IFERROR(__xludf.DUMMYFUNCTION("LOWER(
TRIM(
REGEXREPLACE(B3091,""[^a-zA-Z\s]"","""")
)
)
"),"christy ownbey")</f>
        <v>christy ownbey</v>
      </c>
      <c r="O3091" s="7">
        <f t="shared" si="5"/>
        <v>1</v>
      </c>
      <c r="P3091" s="8" t="str">
        <f t="shared" si="6"/>
        <v>No</v>
      </c>
    </row>
    <row r="3092">
      <c r="A3092" s="4" t="s">
        <v>16</v>
      </c>
      <c r="B3092" s="4" t="s">
        <v>8597</v>
      </c>
      <c r="C3092" s="5">
        <v>44588.0</v>
      </c>
      <c r="D3092" s="10">
        <v>44588.0</v>
      </c>
      <c r="E3092" s="4" t="s">
        <v>8598</v>
      </c>
      <c r="F3092" s="4" t="s">
        <v>8599</v>
      </c>
      <c r="G3092" s="6" t="str">
        <f>IFERROR(__xludf.DUMMYFUNCTION("REGEXREPLACE(LOWER(F3092),""[^a-z\s]"","""")"),"this is the second ordered i placed with you i had hoped it was going to be a lasting relationship sadly it is not in the first case i placed my order only part of the order was shipped when it arrived i was notified that the other item was out of stock t"&amp;"his happened again recently this time it was after a few days later that the item was not in stock you need to tell customers when the order is placed of availability
very disappointed")</f>
        <v>this is the second ordered i placed with you i had hoped it was going to be a lasting relationship sadly it is not in the first case i placed my order only part of the order was shipped when it arrived i was notified that the other item was out of stock this happened again recently this time it was after a few days later that the item was not in stock you need to tell customers when the order is placed of availability
very disappointed</v>
      </c>
      <c r="H3092" s="4" t="str">
        <f t="shared" si="1"/>
        <v>this second ordered i placed with you i had hoped it was going be a lasting relationship sadly it not in first case i placed my order only part of order was shipped when it arrived i was notified that other item was out of stock this happened again recently this time it was after a few days later that item was not in stock you need tell customers when order placed of availability
very disappointed</v>
      </c>
      <c r="I3092" s="6">
        <f t="shared" si="2"/>
        <v>75</v>
      </c>
      <c r="J3092" s="6">
        <f>IFERROR(__xludf.DUMMYFUNCTION("IF(H3092="""","""",
SUM(
ARRAYFORMULA(
IF(
REGEXMATCH(
"" ""&amp;H3092&amp;"" "",
"" ""&amp;Sentiment_Words!A$2:A3730&amp;"" ""
),
1,
0
)
)
)
)"),0.0)</f>
        <v>0</v>
      </c>
      <c r="K3092" s="4">
        <f>IFERROR(__xludf.DUMMYFUNCTION("IF(H3092="""","""",
SUM(
ARRAYFORMULA(
IF(
REGEXMATCH(
"" ""&amp;H3092&amp;"" "",
"" ""&amp;Sentiment_Words!B$2:B3730&amp;"" ""
),
1,
0
)
)
)
)"),1.0)</f>
        <v>1</v>
      </c>
      <c r="L3092" s="7" t="str">
        <f t="shared" si="3"/>
        <v>Fulfillment &amp; Shipping</v>
      </c>
      <c r="M3092" s="7" t="str">
        <f t="shared" si="4"/>
        <v>Negative</v>
      </c>
      <c r="N3092" s="7" t="str">
        <f>IFERROR(__xludf.DUMMYFUNCTION("LOWER(
TRIM(
REGEXREPLACE(B3092,""[^a-zA-Z\s]"","""")
)
)
"),"elaine donohue")</f>
        <v>elaine donohue</v>
      </c>
      <c r="O3092" s="7">
        <f t="shared" si="5"/>
        <v>1</v>
      </c>
      <c r="P3092" s="8" t="str">
        <f t="shared" si="6"/>
        <v>No</v>
      </c>
    </row>
    <row r="3093">
      <c r="A3093" s="4" t="s">
        <v>16</v>
      </c>
      <c r="B3093" s="4" t="s">
        <v>8600</v>
      </c>
      <c r="C3093" s="5">
        <v>44588.0</v>
      </c>
      <c r="D3093" s="10">
        <v>44588.0</v>
      </c>
      <c r="E3093" s="4" t="s">
        <v>4041</v>
      </c>
      <c r="F3093" s="4" t="s">
        <v>8601</v>
      </c>
      <c r="G3093" s="6" t="str">
        <f>IFERROR(__xludf.DUMMYFUNCTION("REGEXREPLACE(LOWER(F3093),""[^a-z\s]"","""")"),"great website glad i found it as an alternative to my usual my usual store was out of a specific food and i was able to find it here for a good price")</f>
        <v>great website glad i found it as an alternative to my usual my usual store was out of a specific food and i was able to find it here for a good price</v>
      </c>
      <c r="H3093" s="4" t="str">
        <f t="shared" si="1"/>
        <v>great website glad i found it as an alternative my usual my usual store was out of a specific food i was able find it here a good price</v>
      </c>
      <c r="I3093" s="6">
        <f t="shared" si="2"/>
        <v>29</v>
      </c>
      <c r="J3093" s="6">
        <f>IFERROR(__xludf.DUMMYFUNCTION("IF(H3093="""","""",
SUM(
ARRAYFORMULA(
IF(
REGEXMATCH(
"" ""&amp;H3093&amp;"" "",
"" ""&amp;Sentiment_Words!A$2:A3730&amp;"" ""
),
1,
0
)
)
)
)"),4.0)</f>
        <v>4</v>
      </c>
      <c r="K3093" s="4">
        <f>IFERROR(__xludf.DUMMYFUNCTION("IF(H3093="""","""",
SUM(
ARRAYFORMULA(
IF(
REGEXMATCH(
"" ""&amp;H3093&amp;"" "",
"" ""&amp;Sentiment_Words!B$2:B3730&amp;"" ""
),
1,
0
)
)
)
)"),0.0)</f>
        <v>0</v>
      </c>
      <c r="L3093" s="7" t="str">
        <f t="shared" si="3"/>
        <v>Account &amp; Website</v>
      </c>
      <c r="M3093" s="7" t="str">
        <f t="shared" si="4"/>
        <v>Positive</v>
      </c>
      <c r="N3093" s="7" t="str">
        <f>IFERROR(__xludf.DUMMYFUNCTION("LOWER(
TRIM(
REGEXREPLACE(B3093,""[^a-zA-Z\s]"","""")
)
)
"),"tara smith")</f>
        <v>tara smith</v>
      </c>
      <c r="O3093" s="7">
        <f t="shared" si="5"/>
        <v>1</v>
      </c>
      <c r="P3093" s="8" t="str">
        <f t="shared" si="6"/>
        <v>No</v>
      </c>
    </row>
    <row r="3094">
      <c r="A3094" s="4" t="s">
        <v>16</v>
      </c>
      <c r="B3094" s="4" t="s">
        <v>8602</v>
      </c>
      <c r="C3094" s="5">
        <v>44588.0</v>
      </c>
      <c r="D3094" s="10">
        <v>44588.0</v>
      </c>
      <c r="E3094" s="4" t="s">
        <v>8603</v>
      </c>
      <c r="F3094" s="4" t="s">
        <v>8604</v>
      </c>
      <c r="G3094" s="6" t="str">
        <f>IFERROR(__xludf.DUMMYFUNCTION("REGEXREPLACE(LOWER(F3094),""[^a-z\s]"","""")"),"website and order process were both easy shipping was efficient")</f>
        <v>website and order process were both easy shipping was efficient</v>
      </c>
      <c r="H3094" s="4" t="str">
        <f t="shared" si="1"/>
        <v>website order process were both easy shipping was efficient</v>
      </c>
      <c r="I3094" s="6">
        <f t="shared" si="2"/>
        <v>9</v>
      </c>
      <c r="J3094" s="6">
        <f>IFERROR(__xludf.DUMMYFUNCTION("IF(H3094="""","""",
SUM(
ARRAYFORMULA(
IF(
REGEXMATCH(
"" ""&amp;H3094&amp;"" "",
"" ""&amp;Sentiment_Words!A$2:A3730&amp;"" ""
),
1,
0
)
)
)
)"),2.0)</f>
        <v>2</v>
      </c>
      <c r="K3094" s="4">
        <f>IFERROR(__xludf.DUMMYFUNCTION("IF(H3094="""","""",
SUM(
ARRAYFORMULA(
IF(
REGEXMATCH(
"" ""&amp;H3094&amp;"" "",
"" ""&amp;Sentiment_Words!B$2:B3730&amp;"" ""
),
1,
0
)
)
)
)"),0.0)</f>
        <v>0</v>
      </c>
      <c r="L3094" s="7" t="str">
        <f t="shared" si="3"/>
        <v>Account &amp; Website</v>
      </c>
      <c r="M3094" s="7" t="str">
        <f t="shared" si="4"/>
        <v>Positive</v>
      </c>
      <c r="N3094" s="7" t="str">
        <f>IFERROR(__xludf.DUMMYFUNCTION("LOWER(
TRIM(
REGEXREPLACE(B3094,""[^a-zA-Z\s]"","""")
)
)
"),"molly werner")</f>
        <v>molly werner</v>
      </c>
      <c r="O3094" s="7">
        <f t="shared" si="5"/>
        <v>1</v>
      </c>
      <c r="P3094" s="8" t="str">
        <f t="shared" si="6"/>
        <v>No</v>
      </c>
    </row>
    <row r="3095">
      <c r="A3095" s="4" t="s">
        <v>16</v>
      </c>
      <c r="B3095" s="4" t="s">
        <v>8605</v>
      </c>
      <c r="C3095" s="5">
        <v>44588.0</v>
      </c>
      <c r="D3095" s="10">
        <v>44588.0</v>
      </c>
      <c r="E3095" s="4" t="s">
        <v>857</v>
      </c>
      <c r="F3095" s="4" t="s">
        <v>8606</v>
      </c>
      <c r="G3095" s="6" t="str">
        <f>IFERROR(__xludf.DUMMYFUNCTION("REGEXREPLACE(LOWER(F3095),""[^a-z\s]"","""")"),"better prices than chewy fast shipping thank you")</f>
        <v>better prices than chewy fast shipping thank you</v>
      </c>
      <c r="H3095" s="4" t="str">
        <f t="shared" si="1"/>
        <v>better prices than chewy fast shipping thank you</v>
      </c>
      <c r="I3095" s="6">
        <f t="shared" si="2"/>
        <v>8</v>
      </c>
      <c r="J3095" s="6">
        <f>IFERROR(__xludf.DUMMYFUNCTION("IF(H3095="""","""",
SUM(
ARRAYFORMULA(
IF(
REGEXMATCH(
"" ""&amp;H3095&amp;"" "",
"" ""&amp;Sentiment_Words!A$2:A3730&amp;"" ""
),
1,
0
)
)
)
)"),1.0)</f>
        <v>1</v>
      </c>
      <c r="K3095" s="4">
        <f>IFERROR(__xludf.DUMMYFUNCTION("IF(H3095="""","""",
SUM(
ARRAYFORMULA(
IF(
REGEXMATCH(
"" ""&amp;H3095&amp;"" "",
"" ""&amp;Sentiment_Words!B$2:B3730&amp;"" ""
),
1,
0
)
)
)
)"),0.0)</f>
        <v>0</v>
      </c>
      <c r="L3095" s="7" t="str">
        <f t="shared" si="3"/>
        <v>Other</v>
      </c>
      <c r="M3095" s="7" t="str">
        <f t="shared" si="4"/>
        <v>Positive</v>
      </c>
      <c r="N3095" s="7" t="str">
        <f>IFERROR(__xludf.DUMMYFUNCTION("LOWER(
TRIM(
REGEXREPLACE(B3095,""[^a-zA-Z\s]"","""")
)
)
"),"derek")</f>
        <v>derek</v>
      </c>
      <c r="O3095" s="7">
        <f t="shared" si="5"/>
        <v>1</v>
      </c>
      <c r="P3095" s="8" t="str">
        <f t="shared" si="6"/>
        <v>No</v>
      </c>
    </row>
    <row r="3096">
      <c r="A3096" s="4" t="s">
        <v>16</v>
      </c>
      <c r="B3096" s="4" t="s">
        <v>8607</v>
      </c>
      <c r="C3096" s="5">
        <v>44588.0</v>
      </c>
      <c r="D3096" s="10">
        <v>44588.0</v>
      </c>
      <c r="E3096" s="4" t="s">
        <v>4119</v>
      </c>
      <c r="F3096" s="4" t="s">
        <v>8608</v>
      </c>
      <c r="G3096" s="6" t="str">
        <f>IFERROR(__xludf.DUMMYFUNCTION("REGEXREPLACE(LOWER(F3096),""[^a-z\s]"","""")"),"first time buyer impressed by variety and choices of products wonderful service")</f>
        <v>first time buyer impressed by variety and choices of products wonderful service</v>
      </c>
      <c r="H3096" s="4" t="str">
        <f t="shared" si="1"/>
        <v>first time buyer impressed by variety choices of products wonderful service</v>
      </c>
      <c r="I3096" s="6">
        <f t="shared" si="2"/>
        <v>11</v>
      </c>
      <c r="J3096" s="6">
        <f>IFERROR(__xludf.DUMMYFUNCTION("IF(H3096="""","""",
SUM(
ARRAYFORMULA(
IF(
REGEXMATCH(
"" ""&amp;H3096&amp;"" "",
"" ""&amp;Sentiment_Words!A$2:A3730&amp;"" ""
),
1,
0
)
)
)
)"),2.0)</f>
        <v>2</v>
      </c>
      <c r="K3096" s="4">
        <f>IFERROR(__xludf.DUMMYFUNCTION("IF(H3096="""","""",
SUM(
ARRAYFORMULA(
IF(
REGEXMATCH(
"" ""&amp;H3096&amp;"" "",
"" ""&amp;Sentiment_Words!B$2:B3730&amp;"" ""
),
1,
0
)
)
)
)"),0.0)</f>
        <v>0</v>
      </c>
      <c r="L3096" s="7" t="str">
        <f t="shared" si="3"/>
        <v>Customer Support</v>
      </c>
      <c r="M3096" s="7" t="str">
        <f t="shared" si="4"/>
        <v>Positive</v>
      </c>
      <c r="N3096" s="7" t="str">
        <f>IFERROR(__xludf.DUMMYFUNCTION("LOWER(
TRIM(
REGEXREPLACE(B3096,""[^a-zA-Z\s]"","""")
)
)
"),"m davis")</f>
        <v>m davis</v>
      </c>
      <c r="O3096" s="7">
        <f t="shared" si="5"/>
        <v>1</v>
      </c>
      <c r="P3096" s="8" t="str">
        <f t="shared" si="6"/>
        <v>No</v>
      </c>
    </row>
    <row r="3097">
      <c r="A3097" s="4" t="s">
        <v>16</v>
      </c>
      <c r="B3097" s="4" t="s">
        <v>8609</v>
      </c>
      <c r="C3097" s="5">
        <v>44588.0</v>
      </c>
      <c r="D3097" s="10">
        <v>44588.0</v>
      </c>
      <c r="E3097" s="4" t="s">
        <v>8610</v>
      </c>
      <c r="F3097" s="4" t="s">
        <v>8611</v>
      </c>
      <c r="G3097" s="6" t="str">
        <f>IFERROR(__xludf.DUMMYFUNCTION("REGEXREPLACE(LOWER(F3097),""[^a-z\s]"","""")"),"hi for over a week told me food item was in stock and would be shipped shortly called several times and was told the same story yesterday i was emailed a message that it was out of stock and they would let me know when they had it in inventory that doesnt"&amp;" work when it is the food for your pet")</f>
        <v>hi for over a week told me food item was in stock and would be shipped shortly called several times and was told the same story yesterday i was emailed a message that it was out of stock and they would let me know when they had it in inventory that doesnt work when it is the food for your pet</v>
      </c>
      <c r="H3097" s="4" t="str">
        <f t="shared" si="1"/>
        <v>hi over a week told me food item was in stock would be shipped shortly called several times was told same story yesterday i was emailed a message that it was out of stock they would let me know when they had it in inventory that doesnt work when it food your pet</v>
      </c>
      <c r="I3097" s="6">
        <f t="shared" si="2"/>
        <v>53</v>
      </c>
      <c r="J3097" s="6">
        <f>IFERROR(__xludf.DUMMYFUNCTION("IF(H3097="""","""",
SUM(
ARRAYFORMULA(
IF(
REGEXMATCH(
"" ""&amp;H3097&amp;"" "",
"" ""&amp;Sentiment_Words!A$2:A3730&amp;"" ""
),
1,
0
)
)
)
)"),0.0)</f>
        <v>0</v>
      </c>
      <c r="K3097" s="4">
        <f>IFERROR(__xludf.DUMMYFUNCTION("IF(H3097="""","""",
SUM(
ARRAYFORMULA(
IF(
REGEXMATCH(
"" ""&amp;H3097&amp;"" "",
"" ""&amp;Sentiment_Words!B$2:B3730&amp;"" ""
),
1,
0
)
)
)
)"),1.0)</f>
        <v>1</v>
      </c>
      <c r="L3097" s="7" t="str">
        <f t="shared" si="3"/>
        <v>Availability</v>
      </c>
      <c r="M3097" s="7" t="str">
        <f t="shared" si="4"/>
        <v>Negative</v>
      </c>
      <c r="N3097" s="7" t="str">
        <f>IFERROR(__xludf.DUMMYFUNCTION("LOWER(
TRIM(
REGEXREPLACE(B3097,""[^a-zA-Z\s]"","""")
)
)
"),"stan freed")</f>
        <v>stan freed</v>
      </c>
      <c r="O3097" s="7">
        <f t="shared" si="5"/>
        <v>1</v>
      </c>
      <c r="P3097" s="8" t="str">
        <f t="shared" si="6"/>
        <v>No</v>
      </c>
    </row>
    <row r="3098">
      <c r="A3098" s="4" t="s">
        <v>16</v>
      </c>
      <c r="B3098" s="4" t="s">
        <v>8612</v>
      </c>
      <c r="C3098" s="5">
        <v>44588.0</v>
      </c>
      <c r="D3098" s="10">
        <v>44588.0</v>
      </c>
      <c r="E3098" s="4" t="s">
        <v>2344</v>
      </c>
      <c r="F3098" s="4" t="s">
        <v>8613</v>
      </c>
      <c r="G3098" s="6" t="str">
        <f>IFERROR(__xludf.DUMMYFUNCTION("REGEXREPLACE(LOWER(F3098),""[^a-z\s]"","""")"),"thank you kittys love theirs items")</f>
        <v>thank you kittys love theirs items</v>
      </c>
      <c r="H3098" s="4" t="str">
        <f t="shared" si="1"/>
        <v>thank you kittys love theirs items</v>
      </c>
      <c r="I3098" s="6">
        <f t="shared" si="2"/>
        <v>6</v>
      </c>
      <c r="J3098" s="6">
        <f>IFERROR(__xludf.DUMMYFUNCTION("IF(H3098="""","""",
SUM(
ARRAYFORMULA(
IF(
REGEXMATCH(
"" ""&amp;H3098&amp;"" "",
"" ""&amp;Sentiment_Words!A$2:A3730&amp;"" ""
),
1,
0
)
)
)
)"),1.0)</f>
        <v>1</v>
      </c>
      <c r="K3098" s="4">
        <f>IFERROR(__xludf.DUMMYFUNCTION("IF(H3098="""","""",
SUM(
ARRAYFORMULA(
IF(
REGEXMATCH(
"" ""&amp;H3098&amp;"" "",
"" ""&amp;Sentiment_Words!B$2:B3730&amp;"" ""
),
1,
0
)
)
)
)"),0.0)</f>
        <v>0</v>
      </c>
      <c r="L3098" s="7" t="str">
        <f t="shared" si="3"/>
        <v>Other</v>
      </c>
      <c r="M3098" s="7" t="str">
        <f t="shared" si="4"/>
        <v>Positive</v>
      </c>
      <c r="N3098" s="7" t="str">
        <f>IFERROR(__xludf.DUMMYFUNCTION("LOWER(
TRIM(
REGEXREPLACE(B3098,""[^a-zA-Z\s]"","""")
)
)
"),"mikabelove")</f>
        <v>mikabelove</v>
      </c>
      <c r="O3098" s="7">
        <f t="shared" si="5"/>
        <v>1</v>
      </c>
      <c r="P3098" s="8" t="str">
        <f t="shared" si="6"/>
        <v>No</v>
      </c>
    </row>
    <row r="3099">
      <c r="A3099" s="4" t="s">
        <v>16</v>
      </c>
      <c r="B3099" s="4" t="s">
        <v>8614</v>
      </c>
      <c r="C3099" s="5">
        <v>44588.0</v>
      </c>
      <c r="D3099" s="10">
        <v>44588.0</v>
      </c>
      <c r="E3099" s="4" t="s">
        <v>8615</v>
      </c>
      <c r="F3099" s="4" t="s">
        <v>8616</v>
      </c>
      <c r="G3099" s="6" t="str">
        <f>IFERROR(__xludf.DUMMYFUNCTION("REGEXREPLACE(LOWER(F3099),""[^a-z\s]"","""")"),"i phoned prior to placing an order to verify that my finicky cats food was in stock and informed that it was three days later it still hadnt shipped when i phoned again to ask when it would ship i was informed that it was out of stock
i should have been "&amp;"notified of this situation within  hours and not had to waste three days only to have to initiate the inquiry of why it had not shipped")</f>
        <v>i phoned prior to placing an order to verify that my finicky cats food was in stock and informed that it was three days later it still hadnt shipped when i phoned again to ask when it would ship i was informed that it was out of stock
i should have been notified of this situation within  hours and not had to waste three days only to have to initiate the inquiry of why it had not shipped</v>
      </c>
      <c r="H3099" s="4" t="str">
        <f t="shared" si="1"/>
        <v>i phoned prior placing an order verify that my finicky cats food was in stock informed that it was three days later it still hadnt shipped when i phoned again ask when it would ship i was informed that it was out of stock
i should have been notified of this situation within hours not had waste three days only have initiate inquiry of why it had not shipped</v>
      </c>
      <c r="I3099" s="6">
        <f t="shared" si="2"/>
        <v>68</v>
      </c>
      <c r="J3099" s="6">
        <f>IFERROR(__xludf.DUMMYFUNCTION("IF(H3099="""","""",
SUM(
ARRAYFORMULA(
IF(
REGEXMATCH(
"" ""&amp;H3099&amp;"" "",
"" ""&amp;Sentiment_Words!A$2:A3730&amp;"" ""
),
1,
0
)
)
)
)"),0.0)</f>
        <v>0</v>
      </c>
      <c r="K3099" s="4">
        <f>IFERROR(__xludf.DUMMYFUNCTION("IF(H3099="""","""",
SUM(
ARRAYFORMULA(
IF(
REGEXMATCH(
"" ""&amp;H3099&amp;"" "",
"" ""&amp;Sentiment_Words!B$2:B3730&amp;"" ""
),
1,
0
)
)
)
)"),0.0)</f>
        <v>0</v>
      </c>
      <c r="L3099" s="7" t="str">
        <f t="shared" si="3"/>
        <v>Fulfillment &amp; Shipping</v>
      </c>
      <c r="M3099" s="7" t="str">
        <f t="shared" si="4"/>
        <v>Neutral</v>
      </c>
      <c r="N3099" s="7" t="str">
        <f>IFERROR(__xludf.DUMMYFUNCTION("LOWER(
TRIM(
REGEXREPLACE(B3099,""[^a-zA-Z\s]"","""")
)
)
"),"bart")</f>
        <v>bart</v>
      </c>
      <c r="O3099" s="7">
        <f t="shared" si="5"/>
        <v>1</v>
      </c>
      <c r="P3099" s="8" t="str">
        <f t="shared" si="6"/>
        <v>No</v>
      </c>
    </row>
    <row r="3100">
      <c r="A3100" s="4" t="s">
        <v>16</v>
      </c>
      <c r="B3100" s="4" t="s">
        <v>8617</v>
      </c>
      <c r="C3100" s="5">
        <v>44587.0</v>
      </c>
      <c r="D3100" s="10">
        <v>44588.0</v>
      </c>
      <c r="E3100" s="4" t="s">
        <v>8618</v>
      </c>
      <c r="F3100" s="4" t="s">
        <v>8619</v>
      </c>
      <c r="G3100" s="6" t="str">
        <f>IFERROR(__xludf.DUMMYFUNCTION("REGEXREPLACE(LOWER(F3100),""[^a-z\s]"","""")"),"so glad i found petflow recently i moved to another city and state and i was having a hard time finding the food that my standard poodle had been eating i ordered from another company when i was getting low however  weeks after my order i still had not re"&amp;"ceived it  i ordered from petflow a few times and each time i have received my order within a week now no more looking or wondering if and when i will get my order thanks again petflow for being on the ball")</f>
        <v>so glad i found petflow recently i moved to another city and state and i was having a hard time finding the food that my standard poodle had been eating i ordered from another company when i was getting low however  weeks after my order i still had not received it  i ordered from petflow a few times and each time i have received my order within a week now no more looking or wondering if and when i will get my order thanks again petflow for being on the ball</v>
      </c>
      <c r="H3100" s="4" t="str">
        <f t="shared" si="1"/>
        <v>so glad i found petflow recently i moved another city state i was having a hard time finding food that my standard poodle had been eating i ordered from another company when i was getting low however weeks after my order i still had not received it i ordered from petflow a few times each time i have received my order within a week now no more looking or wondering if when i will get my order thanks again petflow being on ball</v>
      </c>
      <c r="I3100" s="6">
        <f t="shared" si="2"/>
        <v>83</v>
      </c>
      <c r="J3100" s="6">
        <f>IFERROR(__xludf.DUMMYFUNCTION("IF(H3100="""","""",
SUM(
ARRAYFORMULA(
IF(
REGEXMATCH(
"" ""&amp;H3100&amp;"" "",
"" ""&amp;Sentiment_Words!A$2:A3730&amp;"" ""
),
1,
0
)
)
)
)"),1.0)</f>
        <v>1</v>
      </c>
      <c r="K3100" s="4">
        <f>IFERROR(__xludf.DUMMYFUNCTION("IF(H3100="""","""",
SUM(
ARRAYFORMULA(
IF(
REGEXMATCH(
"" ""&amp;H3100&amp;"" "",
"" ""&amp;Sentiment_Words!B$2:B3730&amp;"" ""
),
1,
0
)
)
)
)"),0.0)</f>
        <v>0</v>
      </c>
      <c r="L3100" s="7" t="str">
        <f t="shared" si="3"/>
        <v>Other</v>
      </c>
      <c r="M3100" s="7" t="str">
        <f t="shared" si="4"/>
        <v>Positive</v>
      </c>
      <c r="N3100" s="7" t="str">
        <f>IFERROR(__xludf.DUMMYFUNCTION("LOWER(
TRIM(
REGEXREPLACE(B3100,""[^a-zA-Z\s]"","""")
)
)
"),"caroline kinsey")</f>
        <v>caroline kinsey</v>
      </c>
      <c r="O3100" s="7">
        <f t="shared" si="5"/>
        <v>1</v>
      </c>
      <c r="P3100" s="8" t="str">
        <f t="shared" si="6"/>
        <v>No</v>
      </c>
    </row>
    <row r="3101">
      <c r="A3101" s="4" t="s">
        <v>16</v>
      </c>
      <c r="B3101" s="4" t="s">
        <v>8620</v>
      </c>
      <c r="C3101" s="5">
        <v>44587.0</v>
      </c>
      <c r="D3101" s="10">
        <v>44587.0</v>
      </c>
      <c r="E3101" s="4" t="s">
        <v>8621</v>
      </c>
      <c r="F3101" s="4" t="s">
        <v>8622</v>
      </c>
      <c r="G3101" s="6" t="str">
        <f>IFERROR(__xludf.DUMMYFUNCTION("REGEXREPLACE(LOWER(F3101),""[^a-z\s]"","""")"),"i order a bag of fromm dog food and the process could not have been any smoother the order came very quickly i would definitely order from petflow again")</f>
        <v>i order a bag of fromm dog food and the process could not have been any smoother the order came very quickly i would definitely order from petflow again</v>
      </c>
      <c r="H3101" s="4" t="str">
        <f t="shared" si="1"/>
        <v>i order a bag of fromm dog food process could not have been any smoother order came very quickly i would definitely order from petflow again</v>
      </c>
      <c r="I3101" s="6">
        <f t="shared" si="2"/>
        <v>26</v>
      </c>
      <c r="J3101" s="6">
        <f>IFERROR(__xludf.DUMMYFUNCTION("IF(H3101="""","""",
SUM(
ARRAYFORMULA(
IF(
REGEXMATCH(
"" ""&amp;H3101&amp;"" "",
"" ""&amp;Sentiment_Words!A$2:A3730&amp;"" ""
),
1,
0
)
)
)
)"),0.0)</f>
        <v>0</v>
      </c>
      <c r="K3101" s="4">
        <f>IFERROR(__xludf.DUMMYFUNCTION("IF(H3101="""","""",
SUM(
ARRAYFORMULA(
IF(
REGEXMATCH(
"" ""&amp;H3101&amp;"" "",
"" ""&amp;Sentiment_Words!B$2:B3730&amp;"" ""
),
1,
0
)
)
)
)"),0.0)</f>
        <v>0</v>
      </c>
      <c r="L3101" s="7" t="str">
        <f t="shared" si="3"/>
        <v>Other</v>
      </c>
      <c r="M3101" s="7" t="str">
        <f t="shared" si="4"/>
        <v>Neutral</v>
      </c>
      <c r="N3101" s="7" t="str">
        <f>IFERROR(__xludf.DUMMYFUNCTION("LOWER(
TRIM(
REGEXREPLACE(B3101,""[^a-zA-Z\s]"","""")
)
)
"),"kat g")</f>
        <v>kat g</v>
      </c>
      <c r="O3101" s="7">
        <f t="shared" si="5"/>
        <v>1</v>
      </c>
      <c r="P3101" s="8" t="str">
        <f t="shared" si="6"/>
        <v>No</v>
      </c>
    </row>
    <row r="3102">
      <c r="A3102" s="4" t="s">
        <v>16</v>
      </c>
      <c r="B3102" s="4" t="s">
        <v>3805</v>
      </c>
      <c r="C3102" s="5">
        <v>44587.0</v>
      </c>
      <c r="D3102" s="10">
        <v>44587.0</v>
      </c>
      <c r="E3102" s="4" t="s">
        <v>8623</v>
      </c>
      <c r="F3102" s="4" t="s">
        <v>8624</v>
      </c>
      <c r="G3102" s="6" t="str">
        <f>IFERROR(__xludf.DUMMYFUNCTION("REGEXREPLACE(LOWER(F3102),""[^a-z\s]"","""")"),"i couldnt find the pet food i have been using in stock at all of my regular vendors so i tried petflow because they had it and i have no complaints shipped and arrived on time and i was sent updates along the way which i really appreciate")</f>
        <v>i couldnt find the pet food i have been using in stock at all of my regular vendors so i tried petflow because they had it and i have no complaints shipped and arrived on time and i was sent updates along the way which i really appreciate</v>
      </c>
      <c r="H3102" s="4" t="str">
        <f t="shared" si="1"/>
        <v>i couldnt find pet food i have been using in stock at all of my regular vendors so i tried petflow because they had it i have no complaints shipped arrived on time i was sent updates along way which i really appreciate</v>
      </c>
      <c r="I3102" s="6">
        <f t="shared" si="2"/>
        <v>43</v>
      </c>
      <c r="J3102" s="6">
        <f>IFERROR(__xludf.DUMMYFUNCTION("IF(H3102="""","""",
SUM(
ARRAYFORMULA(
IF(
REGEXMATCH(
"" ""&amp;H3102&amp;"" "",
"" ""&amp;Sentiment_Words!A$2:A3730&amp;"" ""
),
1,
0
)
)
)
)"),1.0)</f>
        <v>1</v>
      </c>
      <c r="K3102" s="4">
        <f>IFERROR(__xludf.DUMMYFUNCTION("IF(H3102="""","""",
SUM(
ARRAYFORMULA(
IF(
REGEXMATCH(
"" ""&amp;H3102&amp;"" "",
"" ""&amp;Sentiment_Words!B$2:B3730&amp;"" ""
),
1,
0
)
)
)
)"),0.0)</f>
        <v>0</v>
      </c>
      <c r="L3102" s="7" t="str">
        <f t="shared" si="3"/>
        <v>Other</v>
      </c>
      <c r="M3102" s="7" t="str">
        <f t="shared" si="4"/>
        <v>Positive</v>
      </c>
      <c r="N3102" s="7" t="str">
        <f>IFERROR(__xludf.DUMMYFUNCTION("LOWER(
TRIM(
REGEXREPLACE(B3102,""[^a-zA-Z\s]"","""")
)
)
"),"jane")</f>
        <v>jane</v>
      </c>
      <c r="O3102" s="7">
        <f t="shared" si="5"/>
        <v>4</v>
      </c>
      <c r="P3102" s="8" t="str">
        <f t="shared" si="6"/>
        <v>Yes</v>
      </c>
    </row>
    <row r="3103">
      <c r="A3103" s="4" t="s">
        <v>16</v>
      </c>
      <c r="B3103" s="4" t="s">
        <v>8625</v>
      </c>
      <c r="C3103" s="5">
        <v>44587.0</v>
      </c>
      <c r="D3103" s="10">
        <v>44587.0</v>
      </c>
      <c r="E3103" s="4" t="s">
        <v>8626</v>
      </c>
      <c r="F3103" s="4" t="s">
        <v>8627</v>
      </c>
      <c r="G3103" s="6" t="str">
        <f>IFERROR(__xludf.DUMMYFUNCTION("REGEXREPLACE(LOWER(F3103),""[^a-z\s]"","""")"),"i ordered purina pro plan veterinary diet ha on  it showed that it was in stock and my prescription was verified but as of  still has not shipped")</f>
        <v>i ordered purina pro plan veterinary diet ha on  it showed that it was in stock and my prescription was verified but as of  still has not shipped</v>
      </c>
      <c r="H3103" s="4" t="str">
        <f t="shared" si="1"/>
        <v>i ordered purina pro plan veterinary diet ha on it showed that it was in stock my prescription was verified but as of still has not shipped</v>
      </c>
      <c r="I3103" s="6">
        <f t="shared" si="2"/>
        <v>27</v>
      </c>
      <c r="J3103" s="6">
        <f>IFERROR(__xludf.DUMMYFUNCTION("IF(H3103="""","""",
SUM(
ARRAYFORMULA(
IF(
REGEXMATCH(
"" ""&amp;H3103&amp;"" "",
"" ""&amp;Sentiment_Words!A$2:A3730&amp;"" ""
),
1,
0
)
)
)
)"),0.0)</f>
        <v>0</v>
      </c>
      <c r="K3103" s="4">
        <f>IFERROR(__xludf.DUMMYFUNCTION("IF(H3103="""","""",
SUM(
ARRAYFORMULA(
IF(
REGEXMATCH(
"" ""&amp;H3103&amp;"" "",
"" ""&amp;Sentiment_Words!B$2:B3730&amp;"" ""
),
1,
0
)
)
)
)"),0.0)</f>
        <v>0</v>
      </c>
      <c r="L3103" s="7" t="str">
        <f t="shared" si="3"/>
        <v>Other</v>
      </c>
      <c r="M3103" s="7" t="str">
        <f t="shared" si="4"/>
        <v>Neutral</v>
      </c>
      <c r="N3103" s="7" t="str">
        <f>IFERROR(__xludf.DUMMYFUNCTION("LOWER(
TRIM(
REGEXREPLACE(B3103,""[^a-zA-Z\s]"","""")
)
)
"),"heidi w")</f>
        <v>heidi w</v>
      </c>
      <c r="O3103" s="7">
        <f t="shared" si="5"/>
        <v>1</v>
      </c>
      <c r="P3103" s="8" t="str">
        <f t="shared" si="6"/>
        <v>No</v>
      </c>
    </row>
    <row r="3104">
      <c r="A3104" s="4" t="s">
        <v>16</v>
      </c>
      <c r="B3104" s="4" t="s">
        <v>8628</v>
      </c>
      <c r="C3104" s="5">
        <v>44587.0</v>
      </c>
      <c r="D3104" s="10">
        <v>44587.0</v>
      </c>
      <c r="E3104" s="4" t="s">
        <v>8629</v>
      </c>
      <c r="F3104" s="4" t="s">
        <v>8630</v>
      </c>
      <c r="G3104" s="6" t="str">
        <f>IFERROR(__xludf.DUMMYFUNCTION("REGEXREPLACE(LOWER(F3104),""[^a-z\s]"","""")"),"placed order by phone on the th was told the order would ship either that evening or monday never received a shipping notice so i finally called on wednesday to check on status was told by recording to leave a message and a rep would get back to me no cal"&amp;"l just received an email informing me that my order was shipped that evening upon review of shipping number found out that the information was sent to fedex at around midnight bottom line is i did not receive my order until the rd as this was coming from "&amp;"the east coast i acknowledge part of the delay was the storm that occurred")</f>
        <v>placed order by phone on the th was told the order would ship either that evening or monday never received a shipping notice so i finally called on wednesday to check on status was told by recording to leave a message and a rep would get back to me no call just received an email informing me that my order was shipped that evening upon review of shipping number found out that the information was sent to fedex at around midnight bottom line is i did not receive my order until the rd as this was coming from the east coast i acknowledge part of the delay was the storm that occurred</v>
      </c>
      <c r="H3104" s="4" t="str">
        <f t="shared" si="1"/>
        <v>placed order by phone on th was told order would ship either that evening or monday never received a shipping notice so i finally called on wednesday check on status was told by recording leave a message a rep would get back me no call just received an email informing me that my order was shipped that evening upon review of shipping number found out that information was sent fedex at around midnight bottom line i did not receive my order until rd as this was coming from east coast i acknowledge part of delay was storm that occurred</v>
      </c>
      <c r="I3104" s="6">
        <f t="shared" si="2"/>
        <v>99</v>
      </c>
      <c r="J3104" s="6">
        <f>IFERROR(__xludf.DUMMYFUNCTION("IF(H3104="""","""",
SUM(
ARRAYFORMULA(
IF(
REGEXMATCH(
"" ""&amp;H3104&amp;"" "",
"" ""&amp;Sentiment_Words!A$2:A3730&amp;"" ""
),
1,
0
)
)
)
)"),1.0)</f>
        <v>1</v>
      </c>
      <c r="K3104" s="4">
        <f>IFERROR(__xludf.DUMMYFUNCTION("IF(H3104="""","""",
SUM(
ARRAYFORMULA(
IF(
REGEXMATCH(
"" ""&amp;H3104&amp;"" "",
"" ""&amp;Sentiment_Words!B$2:B3730&amp;"" ""
),
1,
0
)
)
)
)"),1.0)</f>
        <v>1</v>
      </c>
      <c r="L3104" s="7" t="str">
        <f t="shared" si="3"/>
        <v>Fulfillment &amp; Shipping</v>
      </c>
      <c r="M3104" s="7" t="str">
        <f t="shared" si="4"/>
        <v>Neutral</v>
      </c>
      <c r="N3104" s="7" t="str">
        <f>IFERROR(__xludf.DUMMYFUNCTION("LOWER(
TRIM(
REGEXREPLACE(B3104,""[^a-zA-Z\s]"","""")
)
)
"),"mary evans")</f>
        <v>mary evans</v>
      </c>
      <c r="O3104" s="7">
        <f t="shared" si="5"/>
        <v>1</v>
      </c>
      <c r="P3104" s="8" t="str">
        <f t="shared" si="6"/>
        <v>No</v>
      </c>
    </row>
    <row r="3105">
      <c r="A3105" s="4" t="s">
        <v>16</v>
      </c>
      <c r="B3105" s="4" t="s">
        <v>2244</v>
      </c>
      <c r="C3105" s="5">
        <v>44587.0</v>
      </c>
      <c r="D3105" s="10">
        <v>44587.0</v>
      </c>
      <c r="E3105" s="4" t="s">
        <v>8631</v>
      </c>
      <c r="F3105" s="4" t="s">
        <v>8632</v>
      </c>
      <c r="G3105" s="6" t="str">
        <f>IFERROR(__xludf.DUMMYFUNCTION("REGEXREPLACE(LOWER(F3105),""[^a-z\s]"","""")"),"the company carries great products and is quick to respond with customer service if you wish to cancel your auto ship it is cumbersome but it does get done
the biggest drawback is that they use fedex as their shipper and no other option fedex is absolutel"&amp;"y terrible and their customer service is non existent unfortunately for companies like this one that rely on their shipping company they lose customers like me")</f>
        <v>the company carries great products and is quick to respond with customer service if you wish to cancel your auto ship it is cumbersome but it does get done
the biggest drawback is that they use fedex as their shipper and no other option fedex is absolutely terrible and their customer service is non existent unfortunately for companies like this one that rely on their shipping company they lose customers like me</v>
      </c>
      <c r="H3105" s="4" t="str">
        <f t="shared" si="1"/>
        <v>company carries great products quick respond with customer service if you wish cancel your auto ship it cumbersome but it does get done
the biggest drawback that they use fedex as their shipper no other option fedex absolutely terrible their customer service non existent unfortunately companies like this one that rely on their shipping company they lose customers like me</v>
      </c>
      <c r="I3105" s="6">
        <f t="shared" si="2"/>
        <v>59</v>
      </c>
      <c r="J3105" s="6">
        <f>IFERROR(__xludf.DUMMYFUNCTION("IF(H3105="""","""",
SUM(
ARRAYFORMULA(
IF(
REGEXMATCH(
"" ""&amp;H3105&amp;"" "",
"" ""&amp;Sentiment_Words!A$2:A3730&amp;"" ""
),
1,
0
)
)
)
)"),2.0)</f>
        <v>2</v>
      </c>
      <c r="K3105" s="4">
        <f>IFERROR(__xludf.DUMMYFUNCTION("IF(H3105="""","""",
SUM(
ARRAYFORMULA(
IF(
REGEXMATCH(
"" ""&amp;H3105&amp;"" "",
"" ""&amp;Sentiment_Words!B$2:B3730&amp;"" ""
),
1,
0
)
)
)
)"),2.0)</f>
        <v>2</v>
      </c>
      <c r="L3105" s="7" t="str">
        <f t="shared" si="3"/>
        <v>Customer Support</v>
      </c>
      <c r="M3105" s="7" t="str">
        <f t="shared" si="4"/>
        <v>Neutral</v>
      </c>
      <c r="N3105" s="7" t="str">
        <f>IFERROR(__xludf.DUMMYFUNCTION("LOWER(
TRIM(
REGEXREPLACE(B3105,""[^a-zA-Z\s]"","""")
)
)
"),"michael")</f>
        <v>michael</v>
      </c>
      <c r="O3105" s="7">
        <f t="shared" si="5"/>
        <v>8</v>
      </c>
      <c r="P3105" s="8" t="str">
        <f t="shared" si="6"/>
        <v>Yes</v>
      </c>
    </row>
    <row r="3106">
      <c r="A3106" s="4" t="s">
        <v>16</v>
      </c>
      <c r="B3106" s="4" t="s">
        <v>8633</v>
      </c>
      <c r="C3106" s="5">
        <v>44587.0</v>
      </c>
      <c r="D3106" s="10">
        <v>44587.0</v>
      </c>
      <c r="E3106" s="4" t="s">
        <v>8634</v>
      </c>
      <c r="F3106" s="4" t="s">
        <v>8635</v>
      </c>
      <c r="G3106" s="6" t="str">
        <f>IFERROR(__xludf.DUMMYFUNCTION("REGEXREPLACE(LOWER(F3106),""[^a-z\s]"","""")"),"your website and customer reps have no idea if products you have are in stock
i place and order thinking you have food for my pets then i get an email stating food is on back order
i need a more reliable company that has food in stock to buy")</f>
        <v>your website and customer reps have no idea if products you have are in stock
i place and order thinking you have food for my pets then i get an email stating food is on back order
i need a more reliable company that has food in stock to buy</v>
      </c>
      <c r="H3106" s="4" t="str">
        <f t="shared" si="1"/>
        <v>your website customer reps have no idea if products you have are in stock
i place order thinking you have food my pets then i get an email stating food on back order
i need a more reliable company that has food in stock buy</v>
      </c>
      <c r="I3106" s="6">
        <f t="shared" si="2"/>
        <v>43</v>
      </c>
      <c r="J3106" s="6">
        <f>IFERROR(__xludf.DUMMYFUNCTION("IF(H3106="""","""",
SUM(
ARRAYFORMULA(
IF(
REGEXMATCH(
"" ""&amp;H3106&amp;"" "",
"" ""&amp;Sentiment_Words!A$2:A3730&amp;"" ""
),
1,
0
)
)
)
)"),1.0)</f>
        <v>1</v>
      </c>
      <c r="K3106" s="4">
        <f>IFERROR(__xludf.DUMMYFUNCTION("IF(H3106="""","""",
SUM(
ARRAYFORMULA(
IF(
REGEXMATCH(
"" ""&amp;H3106&amp;"" "",
"" ""&amp;Sentiment_Words!B$2:B3730&amp;"" ""
),
1,
0
)
)
)
)"),0.0)</f>
        <v>0</v>
      </c>
      <c r="L3106" s="7" t="str">
        <f t="shared" si="3"/>
        <v>Account &amp; Website</v>
      </c>
      <c r="M3106" s="7" t="str">
        <f t="shared" si="4"/>
        <v>Positive</v>
      </c>
      <c r="N3106" s="7" t="str">
        <f>IFERROR(__xludf.DUMMYFUNCTION("LOWER(
TRIM(
REGEXREPLACE(B3106,""[^a-zA-Z\s]"","""")
)
)
"),"randy harden")</f>
        <v>randy harden</v>
      </c>
      <c r="O3106" s="7">
        <f t="shared" si="5"/>
        <v>1</v>
      </c>
      <c r="P3106" s="8" t="str">
        <f t="shared" si="6"/>
        <v>No</v>
      </c>
    </row>
    <row r="3107">
      <c r="A3107" s="4" t="s">
        <v>16</v>
      </c>
      <c r="B3107" s="4" t="s">
        <v>8636</v>
      </c>
      <c r="C3107" s="5">
        <v>44587.0</v>
      </c>
      <c r="D3107" s="10">
        <v>44587.0</v>
      </c>
      <c r="E3107" s="4" t="s">
        <v>8637</v>
      </c>
      <c r="F3107" s="4" t="s">
        <v>8638</v>
      </c>
      <c r="G3107" s="6" t="str">
        <f>IFERROR(__xludf.DUMMYFUNCTION("REGEXREPLACE(LOWER(F3107),""[^a-z\s]"","""")"),"when i order a prescription diet cat food it should not take  phone calls to get it shipped this is not optional food that can be replaced with something else temporarily it is something my cat needs to live on my first phone call i was told the authoriza"&amp;"tion from my vet had gone through i believed this because my vet is very organized and always approves appropriate prescriptions in less than  hours on the fourth phone call i was told the authorization had not come through what gives get your act togethe"&amp;"r this order was shipped a full week after it was placed")</f>
        <v>when i order a prescription diet cat food it should not take  phone calls to get it shipped this is not optional food that can be replaced with something else temporarily it is something my cat needs to live on my first phone call i was told the authorization from my vet had gone through i believed this because my vet is very organized and always approves appropriate prescriptions in less than  hours on the fourth phone call i was told the authorization had not come through what gives get your act together this order was shipped a full week after it was placed</v>
      </c>
      <c r="H3107" s="4" t="str">
        <f t="shared" si="1"/>
        <v>when i order a prescription diet cat food it should not take phone calls get it shipped this not optional food that can be replaced with something else temporarily it something my cat needs live on my first phone call i was told authorization from my vet had gone through i believed this because my vet very organized always approves appropriate prescriptions in less than hours on fourth phone call i was told authorization had not come through what gives get your act together this order was shipped a full week after it was placed</v>
      </c>
      <c r="I3107" s="6">
        <f t="shared" si="2"/>
        <v>95</v>
      </c>
      <c r="J3107" s="6">
        <f>IFERROR(__xludf.DUMMYFUNCTION("IF(H3107="""","""",
SUM(
ARRAYFORMULA(
IF(
REGEXMATCH(
"" ""&amp;H3107&amp;"" "",
"" ""&amp;Sentiment_Words!A$2:A3730&amp;"" ""
),
1,
0
)
)
)
)"),0.0)</f>
        <v>0</v>
      </c>
      <c r="K3107" s="4">
        <f>IFERROR(__xludf.DUMMYFUNCTION("IF(H3107="""","""",
SUM(
ARRAYFORMULA(
IF(
REGEXMATCH(
"" ""&amp;H3107&amp;"" "",
"" ""&amp;Sentiment_Words!B$2:B3730&amp;"" ""
),
1,
0
)
)
)
)"),0.0)</f>
        <v>0</v>
      </c>
      <c r="L3107" s="7" t="str">
        <f t="shared" si="3"/>
        <v>Other</v>
      </c>
      <c r="M3107" s="7" t="str">
        <f t="shared" si="4"/>
        <v>Neutral</v>
      </c>
      <c r="N3107" s="7" t="str">
        <f>IFERROR(__xludf.DUMMYFUNCTION("LOWER(
TRIM(
REGEXREPLACE(B3107,""[^a-zA-Z\s]"","""")
)
)
"),"david gordon")</f>
        <v>david gordon</v>
      </c>
      <c r="O3107" s="7">
        <f t="shared" si="5"/>
        <v>1</v>
      </c>
      <c r="P3107" s="8" t="str">
        <f t="shared" si="6"/>
        <v>No</v>
      </c>
    </row>
    <row r="3108">
      <c r="A3108" s="4" t="s">
        <v>16</v>
      </c>
      <c r="B3108" s="4" t="s">
        <v>8639</v>
      </c>
      <c r="C3108" s="5">
        <v>44586.0</v>
      </c>
      <c r="D3108" s="10">
        <v>44587.0</v>
      </c>
      <c r="E3108" s="4" t="s">
        <v>8640</v>
      </c>
      <c r="F3108" s="4" t="s">
        <v>8641</v>
      </c>
      <c r="G3108" s="6" t="str">
        <f>IFERROR(__xludf.DUMMYFUNCTION("REGEXREPLACE(LOWER(F3108),""[^a-z\s]"","""")"),"this was my first time using pet flow i found the site very east to use and the package came earlier than expected with no problem in packaging they deserve a  star")</f>
        <v>this was my first time using pet flow i found the site very east to use and the package came earlier than expected with no problem in packaging they deserve a  star</v>
      </c>
      <c r="H3108" s="4" t="str">
        <f t="shared" si="1"/>
        <v>this was my first time using pet flow i found site very east use package came earlier than expected with no problem in packaging they deserve a star</v>
      </c>
      <c r="I3108" s="6">
        <f t="shared" si="2"/>
        <v>28</v>
      </c>
      <c r="J3108" s="6">
        <f>IFERROR(__xludf.DUMMYFUNCTION("IF(H3108="""","""",
SUM(
ARRAYFORMULA(
IF(
REGEXMATCH(
"" ""&amp;H3108&amp;"" "",
"" ""&amp;Sentiment_Words!A$2:A3730&amp;"" ""
),
1,
0
)
)
)
)"),1.0)</f>
        <v>1</v>
      </c>
      <c r="K3108" s="4">
        <f>IFERROR(__xludf.DUMMYFUNCTION("IF(H3108="""","""",
SUM(
ARRAYFORMULA(
IF(
REGEXMATCH(
"" ""&amp;H3108&amp;"" "",
"" ""&amp;Sentiment_Words!B$2:B3730&amp;"" ""
),
1,
0
)
)
)
)"),1.0)</f>
        <v>1</v>
      </c>
      <c r="L3108" s="7" t="str">
        <f t="shared" si="3"/>
        <v>Other</v>
      </c>
      <c r="M3108" s="7" t="str">
        <f t="shared" si="4"/>
        <v>Neutral</v>
      </c>
      <c r="N3108" s="7" t="str">
        <f>IFERROR(__xludf.DUMMYFUNCTION("LOWER(
TRIM(
REGEXREPLACE(B3108,""[^a-zA-Z\s]"","""")
)
)
"),"donna largent")</f>
        <v>donna largent</v>
      </c>
      <c r="O3108" s="7">
        <f t="shared" si="5"/>
        <v>1</v>
      </c>
      <c r="P3108" s="8" t="str">
        <f t="shared" si="6"/>
        <v>No</v>
      </c>
    </row>
    <row r="3109">
      <c r="A3109" s="4" t="s">
        <v>16</v>
      </c>
      <c r="B3109" s="4" t="s">
        <v>8642</v>
      </c>
      <c r="C3109" s="5">
        <v>44586.0</v>
      </c>
      <c r="D3109" s="10">
        <v>44586.0</v>
      </c>
      <c r="E3109" s="4" t="s">
        <v>8643</v>
      </c>
      <c r="F3109" s="4" t="s">
        <v>8644</v>
      </c>
      <c r="G3109" s="6" t="str">
        <f>IFERROR(__xludf.DUMMYFUNCTION("REGEXREPLACE(LOWER(F3109),""[^a-z\s]"","""")"),"i got my exact order very quickly i was impressed because i buy online often and it usually is not what i ordered poor quality shipped in separate boxes andor late as all get out
not petflow all nice quality good condition quick delivery in same box five "&amp;"stars")</f>
        <v>i got my exact order very quickly i was impressed because i buy online often and it usually is not what i ordered poor quality shipped in separate boxes andor late as all get out
not petflow all nice quality good condition quick delivery in same box five stars</v>
      </c>
      <c r="H3109" s="4" t="str">
        <f t="shared" si="1"/>
        <v>i got my exact order very quickly i was impressed because i buy online often it usually not what i ordered poor quality shipped in separate boxes andor late as all get out
not petflow all nice quality good condition quick delivery in same box five stars</v>
      </c>
      <c r="I3109" s="6">
        <f t="shared" si="2"/>
        <v>46</v>
      </c>
      <c r="J3109" s="6">
        <f>IFERROR(__xludf.DUMMYFUNCTION("IF(H3109="""","""",
SUM(
ARRAYFORMULA(
IF(
REGEXMATCH(
"" ""&amp;H3109&amp;"" "",
"" ""&amp;Sentiment_Words!A$2:A3730&amp;"" ""
),
1,
0
)
)
)
)"),3.0)</f>
        <v>3</v>
      </c>
      <c r="K3109" s="4">
        <f>IFERROR(__xludf.DUMMYFUNCTION("IF(H3109="""","""",
SUM(
ARRAYFORMULA(
IF(
REGEXMATCH(
"" ""&amp;H3109&amp;"" "",
"" ""&amp;Sentiment_Words!B$2:B3730&amp;"" ""
),
1,
0
)
)
)
)"),0.0)</f>
        <v>0</v>
      </c>
      <c r="L3109" s="7" t="str">
        <f t="shared" si="3"/>
        <v>Fulfillment &amp; Shipping</v>
      </c>
      <c r="M3109" s="7" t="str">
        <f t="shared" si="4"/>
        <v>Positive</v>
      </c>
      <c r="N3109" s="7" t="str">
        <f>IFERROR(__xludf.DUMMYFUNCTION("LOWER(
TRIM(
REGEXREPLACE(B3109,""[^a-zA-Z\s]"","""")
)
)
"),"jackie rubino")</f>
        <v>jackie rubino</v>
      </c>
      <c r="O3109" s="7">
        <f t="shared" si="5"/>
        <v>1</v>
      </c>
      <c r="P3109" s="8" t="str">
        <f t="shared" si="6"/>
        <v>No</v>
      </c>
    </row>
    <row r="3110">
      <c r="A3110" s="4" t="s">
        <v>16</v>
      </c>
      <c r="B3110" s="4" t="s">
        <v>739</v>
      </c>
      <c r="C3110" s="5">
        <v>44586.0</v>
      </c>
      <c r="D3110" s="10">
        <v>44586.0</v>
      </c>
      <c r="E3110" s="4" t="s">
        <v>8645</v>
      </c>
      <c r="F3110" s="4" t="s">
        <v>8646</v>
      </c>
      <c r="G3110" s="6" t="str">
        <f>IFERROR(__xludf.DUMMYFUNCTION("REGEXREPLACE(LOWER(F3110),""[^a-z\s]"","""")"),"web site ordering and autoship process is terrible very clunky and has caused problems with orders twice now most recently resulted in receiving double order of  lbs of dog food and charged  different prices texted customer about this almost a week ago an"&amp;"d have not heard a word")</f>
        <v>web site ordering and autoship process is terrible very clunky and has caused problems with orders twice now most recently resulted in receiving double order of  lbs of dog food and charged  different prices texted customer about this almost a week ago and have not heard a word</v>
      </c>
      <c r="H3110" s="4" t="str">
        <f t="shared" si="1"/>
        <v>web site ordering autoship process terrible very clunky has caused problems with orders twice now most recently resulted in receiving double order of lbs of dog food charged different prices texted customer about this almost a week ago have not heard a word</v>
      </c>
      <c r="I3110" s="6">
        <f t="shared" si="2"/>
        <v>43</v>
      </c>
      <c r="J3110" s="6">
        <f>IFERROR(__xludf.DUMMYFUNCTION("IF(H3110="""","""",
SUM(
ARRAYFORMULA(
IF(
REGEXMATCH(
"" ""&amp;H3110&amp;"" "",
"" ""&amp;Sentiment_Words!A$2:A3730&amp;"" ""
),
1,
0
)
)
)
)"),0.0)</f>
        <v>0</v>
      </c>
      <c r="K3110" s="4">
        <f>IFERROR(__xludf.DUMMYFUNCTION("IF(H3110="""","""",
SUM(
ARRAYFORMULA(
IF(
REGEXMATCH(
"" ""&amp;H3110&amp;"" "",
"" ""&amp;Sentiment_Words!B$2:B3730&amp;"" ""
),
1,
0
)
)
)
)"),1.0)</f>
        <v>1</v>
      </c>
      <c r="L3110" s="7" t="str">
        <f t="shared" si="3"/>
        <v>Other</v>
      </c>
      <c r="M3110" s="7" t="str">
        <f t="shared" si="4"/>
        <v>Negative</v>
      </c>
      <c r="N3110" s="7" t="str">
        <f>IFERROR(__xludf.DUMMYFUNCTION("LOWER(
TRIM(
REGEXREPLACE(B3110,""[^a-zA-Z\s]"","""")
)
)
"),"customer")</f>
        <v>customer</v>
      </c>
      <c r="O3110" s="7">
        <f t="shared" si="5"/>
        <v>54</v>
      </c>
      <c r="P3110" s="8" t="str">
        <f t="shared" si="6"/>
        <v>Yes</v>
      </c>
    </row>
    <row r="3111">
      <c r="A3111" s="4" t="s">
        <v>16</v>
      </c>
      <c r="B3111" s="4" t="s">
        <v>8647</v>
      </c>
      <c r="C3111" s="5">
        <v>44586.0</v>
      </c>
      <c r="D3111" s="10">
        <v>44586.0</v>
      </c>
      <c r="E3111" s="4" t="s">
        <v>8648</v>
      </c>
      <c r="F3111" s="4" t="s">
        <v>8649</v>
      </c>
      <c r="G3111" s="6" t="str">
        <f>IFERROR(__xludf.DUMMYFUNCTION("REGEXREPLACE(LOWER(F3111),""[^a-z\s]"","""")"),"my last order had  items that were out of stock and therefore didnt make my monthly order i received communication regarding one item being shipped upon it being restocked but the nd item was never acknowledged restocked nor substituted for")</f>
        <v>my last order had  items that were out of stock and therefore didnt make my monthly order i received communication regarding one item being shipped upon it being restocked but the nd item was never acknowledged restocked nor substituted for</v>
      </c>
      <c r="H3111" s="4" t="str">
        <f t="shared" si="1"/>
        <v>my last order had items that were out of stock therefore didnt make my monthly order i received communication regarding one item being shipped upon it being restocked but nd item was never acknowledged restocked nor substituted</v>
      </c>
      <c r="I3111" s="6">
        <f t="shared" si="2"/>
        <v>37</v>
      </c>
      <c r="J3111" s="6">
        <f>IFERROR(__xludf.DUMMYFUNCTION("IF(H3111="""","""",
SUM(
ARRAYFORMULA(
IF(
REGEXMATCH(
"" ""&amp;H3111&amp;"" "",
"" ""&amp;Sentiment_Words!A$2:A3730&amp;"" ""
),
1,
0
)
)
)
)"),0.0)</f>
        <v>0</v>
      </c>
      <c r="K3111" s="4">
        <f>IFERROR(__xludf.DUMMYFUNCTION("IF(H3111="""","""",
SUM(
ARRAYFORMULA(
IF(
REGEXMATCH(
"" ""&amp;H3111&amp;"" "",
"" ""&amp;Sentiment_Words!B$2:B3730&amp;"" ""
),
1,
0
)
)
)
)"),1.0)</f>
        <v>1</v>
      </c>
      <c r="L3111" s="7" t="str">
        <f t="shared" si="3"/>
        <v>Availability</v>
      </c>
      <c r="M3111" s="7" t="str">
        <f t="shared" si="4"/>
        <v>Negative</v>
      </c>
      <c r="N3111" s="7" t="str">
        <f>IFERROR(__xludf.DUMMYFUNCTION("LOWER(
TRIM(
REGEXREPLACE(B3111,""[^a-zA-Z\s]"","""")
)
)
"),"scott steiner")</f>
        <v>scott steiner</v>
      </c>
      <c r="O3111" s="7">
        <f t="shared" si="5"/>
        <v>1</v>
      </c>
      <c r="P3111" s="8" t="str">
        <f t="shared" si="6"/>
        <v>No</v>
      </c>
    </row>
    <row r="3112">
      <c r="A3112" s="4" t="s">
        <v>16</v>
      </c>
      <c r="B3112" s="4" t="s">
        <v>8650</v>
      </c>
      <c r="C3112" s="5">
        <v>44586.0</v>
      </c>
      <c r="D3112" s="10">
        <v>44586.0</v>
      </c>
      <c r="E3112" s="4" t="s">
        <v>8651</v>
      </c>
      <c r="F3112" s="4" t="s">
        <v>8652</v>
      </c>
      <c r="G3112" s="6" t="str">
        <f>IFERROR(__xludf.DUMMYFUNCTION("REGEXREPLACE(LOWER(F3112),""[^a-z\s]"","""")"),"easy to order prices are comparable and shipping right to my door great ive had one order that was messed up i called customer service and the lady was very helpful professional and quickly fixed my issue petflow is fantastic the only issue im having now "&amp;"is backordered products but thats everywhere now so certainly not upset with petflow for that keep up the good work")</f>
        <v>easy to order prices are comparable and shipping right to my door great ive had one order that was messed up i called customer service and the lady was very helpful professional and quickly fixed my issue petflow is fantastic the only issue im having now is backordered products but thats everywhere now so certainly not upset with petflow for that keep up the good work</v>
      </c>
      <c r="H3112" s="4" t="str">
        <f t="shared" si="1"/>
        <v>easy order prices are comparable shipping right my door great ive had one order that was messed up i called customer service lady was very helpful professional quickly fixed my issue petflow fantastic only issue im having now backordered products but thats everywhere now so certainly not upset with petflow that keep up good work</v>
      </c>
      <c r="I3112" s="6">
        <f t="shared" si="2"/>
        <v>55</v>
      </c>
      <c r="J3112" s="6">
        <f>IFERROR(__xludf.DUMMYFUNCTION("IF(H3112="""","""",
SUM(
ARRAYFORMULA(
IF(
REGEXMATCH(
"" ""&amp;H3112&amp;"" "",
"" ""&amp;Sentiment_Words!A$2:A3730&amp;"" ""
),
1,
0
)
)
)
)"),4.0)</f>
        <v>4</v>
      </c>
      <c r="K3112" s="4">
        <f>IFERROR(__xludf.DUMMYFUNCTION("IF(H3112="""","""",
SUM(
ARRAYFORMULA(
IF(
REGEXMATCH(
"" ""&amp;H3112&amp;"" "",
"" ""&amp;Sentiment_Words!B$2:B3730&amp;"" ""
),
1,
0
)
)
)
)"),2.0)</f>
        <v>2</v>
      </c>
      <c r="L3112" s="7" t="str">
        <f t="shared" si="3"/>
        <v>Customer Support</v>
      </c>
      <c r="M3112" s="7" t="str">
        <f t="shared" si="4"/>
        <v>Positive</v>
      </c>
      <c r="N3112" s="7" t="str">
        <f>IFERROR(__xludf.DUMMYFUNCTION("LOWER(
TRIM(
REGEXREPLACE(B3112,""[^a-zA-Z\s]"","""")
)
)
"),"terri elliott")</f>
        <v>terri elliott</v>
      </c>
      <c r="O3112" s="7">
        <f t="shared" si="5"/>
        <v>1</v>
      </c>
      <c r="P3112" s="8" t="str">
        <f t="shared" si="6"/>
        <v>No</v>
      </c>
    </row>
    <row r="3113">
      <c r="A3113" s="4" t="s">
        <v>16</v>
      </c>
      <c r="B3113" s="4" t="s">
        <v>8653</v>
      </c>
      <c r="C3113" s="5">
        <v>44586.0</v>
      </c>
      <c r="D3113" s="10">
        <v>44586.0</v>
      </c>
      <c r="E3113" s="4" t="s">
        <v>8654</v>
      </c>
      <c r="F3113" s="4" t="s">
        <v>8655</v>
      </c>
      <c r="G3113" s="6" t="str">
        <f>IFERROR(__xludf.DUMMYFUNCTION("REGEXREPLACE(LOWER(F3113),""[^a-z\s]"","""")"),"in a world where cat food is an item on the hard to find list i googled where can i find and discovered your website i am thankful you were able to supply and continue to supply the food my kitties love thank you")</f>
        <v>in a world where cat food is an item on the hard to find list i googled where can i find and discovered your website i am thankful you were able to supply and continue to supply the food my kitties love thank you</v>
      </c>
      <c r="H3113" s="4" t="str">
        <f t="shared" si="1"/>
        <v>in a world where cat food an item on hard find list i googled where can i find discovered your website i am thankful you were able supply continue supply food my kitties love thank you</v>
      </c>
      <c r="I3113" s="6">
        <f t="shared" si="2"/>
        <v>36</v>
      </c>
      <c r="J3113" s="6">
        <f>IFERROR(__xludf.DUMMYFUNCTION("IF(H3113="""","""",
SUM(
ARRAYFORMULA(
IF(
REGEXMATCH(
"" ""&amp;H3113&amp;"" "",
"" ""&amp;Sentiment_Words!A$2:A3730&amp;"" ""
),
1,
0
)
)
)
)"),2.0)</f>
        <v>2</v>
      </c>
      <c r="K3113" s="4">
        <f>IFERROR(__xludf.DUMMYFUNCTION("IF(H3113="""","""",
SUM(
ARRAYFORMULA(
IF(
REGEXMATCH(
"" ""&amp;H3113&amp;"" "",
"" ""&amp;Sentiment_Words!B$2:B3730&amp;"" ""
),
1,
0
)
)
)
)"),0.0)</f>
        <v>0</v>
      </c>
      <c r="L3113" s="7" t="str">
        <f t="shared" si="3"/>
        <v>Account &amp; Website</v>
      </c>
      <c r="M3113" s="7" t="str">
        <f t="shared" si="4"/>
        <v>Positive</v>
      </c>
      <c r="N3113" s="7" t="str">
        <f>IFERROR(__xludf.DUMMYFUNCTION("LOWER(
TRIM(
REGEXREPLACE(B3113,""[^a-zA-Z\s]"","""")
)
)
"),"chris reagan")</f>
        <v>chris reagan</v>
      </c>
      <c r="O3113" s="7">
        <f t="shared" si="5"/>
        <v>1</v>
      </c>
      <c r="P3113" s="8" t="str">
        <f t="shared" si="6"/>
        <v>No</v>
      </c>
    </row>
    <row r="3114">
      <c r="A3114" s="4" t="s">
        <v>16</v>
      </c>
      <c r="B3114" s="4" t="s">
        <v>8656</v>
      </c>
      <c r="C3114" s="5">
        <v>44586.0</v>
      </c>
      <c r="D3114" s="10">
        <v>44586.0</v>
      </c>
      <c r="E3114" s="4" t="s">
        <v>8657</v>
      </c>
      <c r="F3114" s="4" t="s">
        <v>8658</v>
      </c>
      <c r="G3114" s="6" t="str">
        <f>IFERROR(__xludf.DUMMYFUNCTION("REGEXREPLACE(LOWER(F3114),""[^a-z\s]"","""")"),"good selection easy to shop and a good price the only thing i could ask for is a way to check order status if its there i couldnt find it otherwise a very good first experience and ill be back")</f>
        <v>good selection easy to shop and a good price the only thing i could ask for is a way to check order status if its there i couldnt find it otherwise a very good first experience and ill be back</v>
      </c>
      <c r="H3114" s="4" t="str">
        <f t="shared" si="1"/>
        <v>good selection easy shop a good price only thing i could ask a way check order status if its there i couldnt find it otherwise a very good first experience ill be back</v>
      </c>
      <c r="I3114" s="6">
        <f t="shared" si="2"/>
        <v>33</v>
      </c>
      <c r="J3114" s="6">
        <f>IFERROR(__xludf.DUMMYFUNCTION("IF(H3114="""","""",
SUM(
ARRAYFORMULA(
IF(
REGEXMATCH(
"" ""&amp;H3114&amp;"" "",
"" ""&amp;Sentiment_Words!A$2:A3730&amp;"" ""
),
1,
0
)
)
)
)"),2.0)</f>
        <v>2</v>
      </c>
      <c r="K3114" s="4">
        <f>IFERROR(__xludf.DUMMYFUNCTION("IF(H3114="""","""",
SUM(
ARRAYFORMULA(
IF(
REGEXMATCH(
"" ""&amp;H3114&amp;"" "",
"" ""&amp;Sentiment_Words!B$2:B3730&amp;"" ""
),
1,
0
)
)
)
)"),0.0)</f>
        <v>0</v>
      </c>
      <c r="L3114" s="7" t="str">
        <f t="shared" si="3"/>
        <v>Other</v>
      </c>
      <c r="M3114" s="7" t="str">
        <f t="shared" si="4"/>
        <v>Positive</v>
      </c>
      <c r="N3114" s="7" t="str">
        <f>IFERROR(__xludf.DUMMYFUNCTION("LOWER(
TRIM(
REGEXREPLACE(B3114,""[^a-zA-Z\s]"","""")
)
)
"),"michelle")</f>
        <v>michelle</v>
      </c>
      <c r="O3114" s="7">
        <f t="shared" si="5"/>
        <v>2</v>
      </c>
      <c r="P3114" s="8" t="str">
        <f t="shared" si="6"/>
        <v>Yes</v>
      </c>
    </row>
    <row r="3115">
      <c r="A3115" s="4" t="s">
        <v>16</v>
      </c>
      <c r="B3115" s="4" t="s">
        <v>8659</v>
      </c>
      <c r="C3115" s="5">
        <v>44586.0</v>
      </c>
      <c r="D3115" s="10">
        <v>44586.0</v>
      </c>
      <c r="E3115" s="4" t="s">
        <v>7529</v>
      </c>
      <c r="F3115" s="4" t="s">
        <v>8660</v>
      </c>
      <c r="G3115" s="6" t="str">
        <f>IFERROR(__xludf.DUMMYFUNCTION("REGEXREPLACE(LOWER(F3115),""[^a-z\s]"","""")"),"so happy to find yall and be able to order and receive the product a lot of places are out thank you")</f>
        <v>so happy to find yall and be able to order and receive the product a lot of places are out thank you</v>
      </c>
      <c r="H3115" s="4" t="str">
        <f t="shared" si="1"/>
        <v>so happy find yall be able order receive product a lot of places are out thank you</v>
      </c>
      <c r="I3115" s="6">
        <f t="shared" si="2"/>
        <v>17</v>
      </c>
      <c r="J3115" s="6">
        <f>IFERROR(__xludf.DUMMYFUNCTION("IF(H3115="""","""",
SUM(
ARRAYFORMULA(
IF(
REGEXMATCH(
"" ""&amp;H3115&amp;"" "",
"" ""&amp;Sentiment_Words!A$2:A3730&amp;"" ""
),
1,
0
)
)
)
)"),2.0)</f>
        <v>2</v>
      </c>
      <c r="K3115" s="4">
        <f>IFERROR(__xludf.DUMMYFUNCTION("IF(H3115="""","""",
SUM(
ARRAYFORMULA(
IF(
REGEXMATCH(
"" ""&amp;H3115&amp;"" "",
"" ""&amp;Sentiment_Words!B$2:B3730&amp;"" ""
),
1,
0
)
)
)
)"),0.0)</f>
        <v>0</v>
      </c>
      <c r="L3115" s="7" t="str">
        <f t="shared" si="3"/>
        <v>Other</v>
      </c>
      <c r="M3115" s="7" t="str">
        <f t="shared" si="4"/>
        <v>Positive</v>
      </c>
      <c r="N3115" s="7" t="str">
        <f>IFERROR(__xludf.DUMMYFUNCTION("LOWER(
TRIM(
REGEXREPLACE(B3115,""[^a-zA-Z\s]"","""")
)
)
"),"louis")</f>
        <v>louis</v>
      </c>
      <c r="O3115" s="7">
        <f t="shared" si="5"/>
        <v>1</v>
      </c>
      <c r="P3115" s="8" t="str">
        <f t="shared" si="6"/>
        <v>No</v>
      </c>
    </row>
    <row r="3116">
      <c r="A3116" s="4" t="s">
        <v>16</v>
      </c>
      <c r="B3116" s="4" t="s">
        <v>8661</v>
      </c>
      <c r="C3116" s="5">
        <v>44586.0</v>
      </c>
      <c r="D3116" s="4" t="s">
        <v>8662</v>
      </c>
      <c r="E3116" s="4" t="s">
        <v>8663</v>
      </c>
      <c r="F3116" s="4" t="s">
        <v>8664</v>
      </c>
      <c r="G3116" s="6" t="str">
        <f>IFERROR(__xludf.DUMMYFUNCTION("REGEXREPLACE(LOWER(F3116),""[^a-z\s]"","""")"),"the worst dont buy from them they screw everything up from the spelling of my name my phone number and not telling me they were out of something i paid for and it was an urgent order")</f>
        <v>the worst dont buy from them they screw everything up from the spelling of my name my phone number and not telling me they were out of something i paid for and it was an urgent order</v>
      </c>
      <c r="H3116" s="4" t="str">
        <f t="shared" si="1"/>
        <v>worst dont buy from them they screw everything up from spelling of my name my phone number not telling me they were out of something i paid it was an urgent order</v>
      </c>
      <c r="I3116" s="6">
        <f t="shared" si="2"/>
        <v>32</v>
      </c>
      <c r="J3116" s="6">
        <f>IFERROR(__xludf.DUMMYFUNCTION("IF(H3116="""","""",
SUM(
ARRAYFORMULA(
IF(
REGEXMATCH(
"" ""&amp;H3116&amp;"" "",
"" ""&amp;Sentiment_Words!A$2:A3730&amp;"" ""
),
1,
0
)
)
)
)"),0.0)</f>
        <v>0</v>
      </c>
      <c r="K3116" s="4">
        <f>IFERROR(__xludf.DUMMYFUNCTION("IF(H3116="""","""",
SUM(
ARRAYFORMULA(
IF(
REGEXMATCH(
"" ""&amp;H3116&amp;"" "",
"" ""&amp;Sentiment_Words!B$2:B3730&amp;"" ""
),
1,
0
)
)
)
)"),0.0)</f>
        <v>0</v>
      </c>
      <c r="L3116" s="7" t="str">
        <f t="shared" si="3"/>
        <v>Other</v>
      </c>
      <c r="M3116" s="7" t="str">
        <f t="shared" si="4"/>
        <v>Neutral</v>
      </c>
      <c r="N3116" s="7" t="str">
        <f>IFERROR(__xludf.DUMMYFUNCTION("LOWER(
TRIM(
REGEXREPLACE(B3116,""[^a-zA-Z\s]"","""")
)
)
"),"jacque jenkins")</f>
        <v>jacque jenkins</v>
      </c>
      <c r="O3116" s="7">
        <f t="shared" si="5"/>
        <v>1</v>
      </c>
      <c r="P3116" s="8" t="str">
        <f t="shared" si="6"/>
        <v>No</v>
      </c>
    </row>
    <row r="3117">
      <c r="A3117" s="4" t="s">
        <v>16</v>
      </c>
      <c r="B3117" s="4" t="s">
        <v>8665</v>
      </c>
      <c r="C3117" s="5">
        <v>44586.0</v>
      </c>
      <c r="D3117" s="10">
        <v>44586.0</v>
      </c>
      <c r="E3117" s="4" t="s">
        <v>8666</v>
      </c>
      <c r="F3117" s="4" t="s">
        <v>331</v>
      </c>
      <c r="G3117" s="6" t="str">
        <f>IFERROR(__xludf.DUMMYFUNCTION("REGEXREPLACE(LOWER(F3117),""[^a-z\s]"","""")"),"none")</f>
        <v>none</v>
      </c>
      <c r="H3117" s="4" t="str">
        <f t="shared" si="1"/>
        <v>none</v>
      </c>
      <c r="I3117" s="6">
        <f t="shared" si="2"/>
        <v>1</v>
      </c>
      <c r="J3117" s="6">
        <f>IFERROR(__xludf.DUMMYFUNCTION("IF(H3117="""","""",
SUM(
ARRAYFORMULA(
IF(
REGEXMATCH(
"" ""&amp;H3117&amp;"" "",
"" ""&amp;Sentiment_Words!A$2:A3730&amp;"" ""
),
1,
0
)
)
)
)"),0.0)</f>
        <v>0</v>
      </c>
      <c r="K3117" s="4">
        <f>IFERROR(__xludf.DUMMYFUNCTION("IF(H3117="""","""",
SUM(
ARRAYFORMULA(
IF(
REGEXMATCH(
"" ""&amp;H3117&amp;"" "",
"" ""&amp;Sentiment_Words!B$2:B3730&amp;"" ""
),
1,
0
)
)
)
)"),0.0)</f>
        <v>0</v>
      </c>
      <c r="L3117" s="7" t="str">
        <f t="shared" si="3"/>
        <v>Other</v>
      </c>
      <c r="M3117" s="7" t="str">
        <f t="shared" si="4"/>
        <v>Neutral</v>
      </c>
      <c r="N3117" s="7" t="str">
        <f>IFERROR(__xludf.DUMMYFUNCTION("LOWER(
TRIM(
REGEXREPLACE(B3117,""[^a-zA-Z\s]"","""")
)
)
"),"lulu")</f>
        <v>lulu</v>
      </c>
      <c r="O3117" s="7">
        <f t="shared" si="5"/>
        <v>1</v>
      </c>
      <c r="P3117" s="8" t="str">
        <f t="shared" si="6"/>
        <v>No</v>
      </c>
    </row>
    <row r="3118">
      <c r="A3118" s="4" t="s">
        <v>16</v>
      </c>
      <c r="B3118" s="4" t="s">
        <v>8667</v>
      </c>
      <c r="C3118" s="5">
        <v>44586.0</v>
      </c>
      <c r="D3118" s="10">
        <v>44586.0</v>
      </c>
      <c r="E3118" s="4" t="s">
        <v>8668</v>
      </c>
      <c r="F3118" s="4" t="s">
        <v>8669</v>
      </c>
      <c r="G3118" s="6" t="str">
        <f>IFERROR(__xludf.DUMMYFUNCTION("REGEXREPLACE(LOWER(F3118),""[^a-z\s]"","""")"),"the pet service i usually use was out of the cat food i needed you had it your service is as good or better than what i usually use you were fast and you kept me aware of its status you have a new customer im very pleased thank you")</f>
        <v>the pet service i usually use was out of the cat food i needed you had it your service is as good or better than what i usually use you were fast and you kept me aware of its status you have a new customer im very pleased thank you</v>
      </c>
      <c r="H3118" s="4" t="str">
        <f t="shared" si="1"/>
        <v>pet service i usually use was out of cat food i needed you had it your service as good or better than what i usually use you were fast you kept me aware of its status you have a new customer im very pleased thank you</v>
      </c>
      <c r="I3118" s="6">
        <f t="shared" si="2"/>
        <v>46</v>
      </c>
      <c r="J3118" s="6">
        <f>IFERROR(__xludf.DUMMYFUNCTION("IF(H3118="""","""",
SUM(
ARRAYFORMULA(
IF(
REGEXMATCH(
"" ""&amp;H3118&amp;"" "",
"" ""&amp;Sentiment_Words!A$2:A3730&amp;"" ""
),
1,
0
)
)
)
)"),2.0)</f>
        <v>2</v>
      </c>
      <c r="K3118" s="4">
        <f>IFERROR(__xludf.DUMMYFUNCTION("IF(H3118="""","""",
SUM(
ARRAYFORMULA(
IF(
REGEXMATCH(
"" ""&amp;H3118&amp;"" "",
"" ""&amp;Sentiment_Words!B$2:B3730&amp;"" ""
),
1,
0
)
)
)
)"),0.0)</f>
        <v>0</v>
      </c>
      <c r="L3118" s="7" t="str">
        <f t="shared" si="3"/>
        <v>Customer Support</v>
      </c>
      <c r="M3118" s="7" t="str">
        <f t="shared" si="4"/>
        <v>Positive</v>
      </c>
      <c r="N3118" s="7" t="str">
        <f>IFERROR(__xludf.DUMMYFUNCTION("LOWER(
TRIM(
REGEXREPLACE(B3118,""[^a-zA-Z\s]"","""")
)
)
"),"mike kellers")</f>
        <v>mike kellers</v>
      </c>
      <c r="O3118" s="7">
        <f t="shared" si="5"/>
        <v>1</v>
      </c>
      <c r="P3118" s="8" t="str">
        <f t="shared" si="6"/>
        <v>No</v>
      </c>
    </row>
    <row r="3119">
      <c r="A3119" s="4" t="s">
        <v>16</v>
      </c>
      <c r="B3119" s="4" t="s">
        <v>8670</v>
      </c>
      <c r="C3119" s="5">
        <v>44586.0</v>
      </c>
      <c r="D3119" s="10">
        <v>44586.0</v>
      </c>
      <c r="E3119" s="4" t="s">
        <v>8671</v>
      </c>
      <c r="F3119" s="4" t="s">
        <v>8672</v>
      </c>
      <c r="G3119" s="6" t="str">
        <f>IFERROR(__xludf.DUMMYFUNCTION("REGEXREPLACE(LOWER(F3119),""[^a-z\s]"","""")"),"unfortunately my last  ordered have taken over a week to arrive the last order apparently got stuck in the system and sat for a week in order shipping status promoting a phone call to resolve")</f>
        <v>unfortunately my last  ordered have taken over a week to arrive the last order apparently got stuck in the system and sat for a week in order shipping status promoting a phone call to resolve</v>
      </c>
      <c r="H3119" s="4" t="str">
        <f t="shared" si="1"/>
        <v>unfortunately my last ordered have taken over a week arrive last order apparently got stuck in system sat a week in order shipping status promoting a phone call resolve</v>
      </c>
      <c r="I3119" s="6">
        <f t="shared" si="2"/>
        <v>29</v>
      </c>
      <c r="J3119" s="6">
        <f>IFERROR(__xludf.DUMMYFUNCTION("IF(H3119="""","""",
SUM(
ARRAYFORMULA(
IF(
REGEXMATCH(
"" ""&amp;H3119&amp;"" "",
"" ""&amp;Sentiment_Words!A$2:A3730&amp;"" ""
),
1,
0
)
)
)
)"),0.0)</f>
        <v>0</v>
      </c>
      <c r="K3119" s="4">
        <f>IFERROR(__xludf.DUMMYFUNCTION("IF(H3119="""","""",
SUM(
ARRAYFORMULA(
IF(
REGEXMATCH(
"" ""&amp;H3119&amp;"" "",
"" ""&amp;Sentiment_Words!B$2:B3730&amp;"" ""
),
1,
0
)
)
)
)"),0.0)</f>
        <v>0</v>
      </c>
      <c r="L3119" s="7" t="str">
        <f t="shared" si="3"/>
        <v>Other</v>
      </c>
      <c r="M3119" s="7" t="str">
        <f t="shared" si="4"/>
        <v>Neutral</v>
      </c>
      <c r="N3119" s="7" t="str">
        <f>IFERROR(__xludf.DUMMYFUNCTION("LOWER(
TRIM(
REGEXREPLACE(B3119,""[^a-zA-Z\s]"","""")
)
)
"),"deborah spears")</f>
        <v>deborah spears</v>
      </c>
      <c r="O3119" s="7">
        <f t="shared" si="5"/>
        <v>1</v>
      </c>
      <c r="P3119" s="8" t="str">
        <f t="shared" si="6"/>
        <v>No</v>
      </c>
    </row>
    <row r="3120">
      <c r="A3120" s="4" t="s">
        <v>16</v>
      </c>
      <c r="B3120" s="4" t="s">
        <v>8673</v>
      </c>
      <c r="C3120" s="5">
        <v>44586.0</v>
      </c>
      <c r="D3120" s="10">
        <v>44586.0</v>
      </c>
      <c r="E3120" s="4" t="s">
        <v>8674</v>
      </c>
      <c r="F3120" s="4" t="s">
        <v>8675</v>
      </c>
      <c r="G3120" s="6" t="str">
        <f>IFERROR(__xludf.DUMMYFUNCTION("REGEXREPLACE(LOWER(F3120),""[^a-z\s]"","""")"),"the plus with petflow is that they carry fromm and they dont price the product more than anyone else maybe the company controls that either way that is the plushowevershipping takes way too long that is where chewey excels we are all in a hurry these days"&amp;" including me and i look to receive product with a day or twonot one week if petflow improves the shipping and can match what chewey does petflow would be the preferred company we have been buying from chewey for  yearsreligiously the order was placed wit"&amp;"h petflow because of fromm unfortunately shipping took so long and having stock issues i ended up replenishing direct with fromm")</f>
        <v>the plus with petflow is that they carry fromm and they dont price the product more than anyone else maybe the company controls that either way that is the plushowevershipping takes way too long that is where chewey excels we are all in a hurry these days including me and i look to receive product with a day or twonot one week if petflow improves the shipping and can match what chewey does petflow would be the preferred company we have been buying from chewey for  yearsreligiously the order was placed with petflow because of fromm unfortunately shipping took so long and having stock issues i ended up replenishing direct with fromm</v>
      </c>
      <c r="H3120" s="4" t="str">
        <f t="shared" si="1"/>
        <v>plus with petflow that they carry fromm they dont price product more than anyone else maybe company controls that either way that plushowevershipping takes way too long that where chewey excels we are all in a hurry these days including me i look receive product with a day or twonot one week if petflow improves shipping can match what chewey does petflow would be preferred company we have been buying from chewey yearsreligiously order was placed with petflow because of fromm unfortunately shipping took so long having stock issues i ended up replenishing direct with fromm</v>
      </c>
      <c r="I3120" s="6">
        <f t="shared" si="2"/>
        <v>96</v>
      </c>
      <c r="J3120" s="6">
        <f>IFERROR(__xludf.DUMMYFUNCTION("IF(H3120="""","""",
SUM(
ARRAYFORMULA(
IF(
REGEXMATCH(
"" ""&amp;H3120&amp;"" "",
"" ""&amp;Sentiment_Words!A$2:A3730&amp;"" ""
),
1,
0
)
)
)
)"),0.0)</f>
        <v>0</v>
      </c>
      <c r="K3120" s="4">
        <f>IFERROR(__xludf.DUMMYFUNCTION("IF(H3120="""","""",
SUM(
ARRAYFORMULA(
IF(
REGEXMATCH(
"" ""&amp;H3120&amp;"" "",
"" ""&amp;Sentiment_Words!B$2:B3730&amp;"" ""
),
1,
0
)
)
)
)"),0.0)</f>
        <v>0</v>
      </c>
      <c r="L3120" s="7" t="str">
        <f t="shared" si="3"/>
        <v>Other</v>
      </c>
      <c r="M3120" s="7" t="str">
        <f t="shared" si="4"/>
        <v>Neutral</v>
      </c>
      <c r="N3120" s="7" t="str">
        <f>IFERROR(__xludf.DUMMYFUNCTION("LOWER(
TRIM(
REGEXREPLACE(B3120,""[^a-zA-Z\s]"","""")
)
)
"),"myrna sturgill")</f>
        <v>myrna sturgill</v>
      </c>
      <c r="O3120" s="7">
        <f t="shared" si="5"/>
        <v>1</v>
      </c>
      <c r="P3120" s="8" t="str">
        <f t="shared" si="6"/>
        <v>No</v>
      </c>
    </row>
    <row r="3121">
      <c r="A3121" s="4" t="s">
        <v>16</v>
      </c>
      <c r="B3121" s="4" t="s">
        <v>8676</v>
      </c>
      <c r="C3121" s="5">
        <v>44585.0</v>
      </c>
      <c r="D3121" s="10">
        <v>44585.0</v>
      </c>
      <c r="E3121" s="4" t="s">
        <v>8677</v>
      </c>
      <c r="F3121" s="4" t="s">
        <v>8678</v>
      </c>
      <c r="G3121" s="6" t="str">
        <f>IFERROR(__xludf.DUMMYFUNCTION("REGEXREPLACE(LOWER(F3121),""[^a-z\s]"","""")"),"very accommodating whenever i have to change my auto order they have no problem changing the date")</f>
        <v>very accommodating whenever i have to change my auto order they have no problem changing the date</v>
      </c>
      <c r="H3121" s="4" t="str">
        <f t="shared" si="1"/>
        <v>very accommodating whenever i have change my auto order they have no problem changing date</v>
      </c>
      <c r="I3121" s="6">
        <f t="shared" si="2"/>
        <v>15</v>
      </c>
      <c r="J3121" s="6">
        <f>IFERROR(__xludf.DUMMYFUNCTION("IF(H3121="""","""",
SUM(
ARRAYFORMULA(
IF(
REGEXMATCH(
"" ""&amp;H3121&amp;"" "",
"" ""&amp;Sentiment_Words!A$2:A3730&amp;"" ""
),
1,
0
)
)
)
)"),0.0)</f>
        <v>0</v>
      </c>
      <c r="K3121" s="4">
        <f>IFERROR(__xludf.DUMMYFUNCTION("IF(H3121="""","""",
SUM(
ARRAYFORMULA(
IF(
REGEXMATCH(
"" ""&amp;H3121&amp;"" "",
"" ""&amp;Sentiment_Words!B$2:B3730&amp;"" ""
),
1,
0
)
)
)
)"),1.0)</f>
        <v>1</v>
      </c>
      <c r="L3121" s="7" t="str">
        <f t="shared" si="3"/>
        <v>Other</v>
      </c>
      <c r="M3121" s="7" t="str">
        <f t="shared" si="4"/>
        <v>Negative</v>
      </c>
      <c r="N3121" s="7" t="str">
        <f>IFERROR(__xludf.DUMMYFUNCTION("LOWER(
TRIM(
REGEXREPLACE(B3121,""[^a-zA-Z\s]"","""")
)
)
"),"roxanna rodriguezjenkins")</f>
        <v>roxanna rodriguezjenkins</v>
      </c>
      <c r="O3121" s="7">
        <f t="shared" si="5"/>
        <v>1</v>
      </c>
      <c r="P3121" s="8" t="str">
        <f t="shared" si="6"/>
        <v>No</v>
      </c>
    </row>
    <row r="3122">
      <c r="A3122" s="4" t="s">
        <v>16</v>
      </c>
      <c r="B3122" s="4" t="s">
        <v>8679</v>
      </c>
      <c r="C3122" s="5">
        <v>44585.0</v>
      </c>
      <c r="D3122" s="10">
        <v>44585.0</v>
      </c>
      <c r="E3122" s="4" t="s">
        <v>8680</v>
      </c>
      <c r="F3122" s="4" t="s">
        <v>8681</v>
      </c>
      <c r="G3122" s="6" t="str">
        <f>IFERROR(__xludf.DUMMYFUNCTION("REGEXREPLACE(LOWER(F3122),""[^a-z\s]"","""")"),"horrible customer service repetitive delays in the purchases and buy with petflow made my life harder it lost the good convenience that i previously had")</f>
        <v>horrible customer service repetitive delays in the purchases and buy with petflow made my life harder it lost the good convenience that i previously had</v>
      </c>
      <c r="H3122" s="4" t="str">
        <f t="shared" si="1"/>
        <v>horrible customer service repetitive delays in purchases buy with petflow made my life harder it lost good convenience that i previously had</v>
      </c>
      <c r="I3122" s="6">
        <f t="shared" si="2"/>
        <v>22</v>
      </c>
      <c r="J3122" s="6">
        <f>IFERROR(__xludf.DUMMYFUNCTION("IF(H3122="""","""",
SUM(
ARRAYFORMULA(
IF(
REGEXMATCH(
"" ""&amp;H3122&amp;"" "",
"" ""&amp;Sentiment_Words!A$2:A3730&amp;"" ""
),
1,
0
)
)
)
)"),1.0)</f>
        <v>1</v>
      </c>
      <c r="K3122" s="4">
        <f>IFERROR(__xludf.DUMMYFUNCTION("IF(H3122="""","""",
SUM(
ARRAYFORMULA(
IF(
REGEXMATCH(
"" ""&amp;H3122&amp;"" "",
"" ""&amp;Sentiment_Words!B$2:B3730&amp;"" ""
),
1,
0
)
)
)
)"),1.0)</f>
        <v>1</v>
      </c>
      <c r="L3122" s="7" t="str">
        <f t="shared" si="3"/>
        <v>Customer Support</v>
      </c>
      <c r="M3122" s="7" t="str">
        <f t="shared" si="4"/>
        <v>Neutral</v>
      </c>
      <c r="N3122" s="7" t="str">
        <f>IFERROR(__xludf.DUMMYFUNCTION("LOWER(
TRIM(
REGEXREPLACE(B3122,""[^a-zA-Z\s]"","""")
)
)
"),"peggy allen")</f>
        <v>peggy allen</v>
      </c>
      <c r="O3122" s="7">
        <f t="shared" si="5"/>
        <v>1</v>
      </c>
      <c r="P3122" s="8" t="str">
        <f t="shared" si="6"/>
        <v>No</v>
      </c>
    </row>
    <row r="3123">
      <c r="A3123" s="4" t="s">
        <v>16</v>
      </c>
      <c r="B3123" s="4" t="s">
        <v>8682</v>
      </c>
      <c r="C3123" s="5">
        <v>44585.0</v>
      </c>
      <c r="D3123" s="10">
        <v>44585.0</v>
      </c>
      <c r="E3123" s="4" t="s">
        <v>8683</v>
      </c>
      <c r="F3123" s="4" t="s">
        <v>8684</v>
      </c>
      <c r="G3123" s="6" t="str">
        <f>IFERROR(__xludf.DUMMYFUNCTION("REGEXREPLACE(LOWER(F3123),""[^a-z\s]"","""")"),"petflow has most of the items that i need for my fur babies fast delivery and good communication if something in my auto ship program isnt available their customer service is the best")</f>
        <v>petflow has most of the items that i need for my fur babies fast delivery and good communication if something in my auto ship program isnt available their customer service is the best</v>
      </c>
      <c r="H3123" s="4" t="str">
        <f t="shared" si="1"/>
        <v>petflow has most of items that i need my fur babies fast delivery good communication if something in my auto ship program isnt available their customer service best</v>
      </c>
      <c r="I3123" s="6">
        <f t="shared" si="2"/>
        <v>28</v>
      </c>
      <c r="J3123" s="6">
        <f>IFERROR(__xludf.DUMMYFUNCTION("IF(H3123="""","""",
SUM(
ARRAYFORMULA(
IF(
REGEXMATCH(
"" ""&amp;H3123&amp;"" "",
"" ""&amp;Sentiment_Words!A$2:A3730&amp;"" ""
),
1,
0
)
)
)
)"),5.0)</f>
        <v>5</v>
      </c>
      <c r="K3123" s="4">
        <f>IFERROR(__xludf.DUMMYFUNCTION("IF(H3123="""","""",
SUM(
ARRAYFORMULA(
IF(
REGEXMATCH(
"" ""&amp;H3123&amp;"" "",
"" ""&amp;Sentiment_Words!B$2:B3730&amp;"" ""
),
1,
0
)
)
)
)"),1.0)</f>
        <v>1</v>
      </c>
      <c r="L3123" s="7" t="str">
        <f t="shared" si="3"/>
        <v>Customer Support</v>
      </c>
      <c r="M3123" s="7" t="str">
        <f t="shared" si="4"/>
        <v>Positive</v>
      </c>
      <c r="N3123" s="7" t="str">
        <f>IFERROR(__xludf.DUMMYFUNCTION("LOWER(
TRIM(
REGEXREPLACE(B3123,""[^a-zA-Z\s]"","""")
)
)
"),"paul monteiro mortensen")</f>
        <v>paul monteiro mortensen</v>
      </c>
      <c r="O3123" s="7">
        <f t="shared" si="5"/>
        <v>1</v>
      </c>
      <c r="P3123" s="8" t="str">
        <f t="shared" si="6"/>
        <v>No</v>
      </c>
    </row>
    <row r="3124">
      <c r="A3124" s="4" t="s">
        <v>16</v>
      </c>
      <c r="B3124" s="4" t="s">
        <v>8685</v>
      </c>
      <c r="C3124" s="5">
        <v>44585.0</v>
      </c>
      <c r="D3124" s="10">
        <v>44585.0</v>
      </c>
      <c r="E3124" s="4" t="s">
        <v>8686</v>
      </c>
      <c r="F3124" s="4" t="s">
        <v>8687</v>
      </c>
      <c r="G3124" s="6" t="str">
        <f>IFERROR(__xludf.DUMMYFUNCTION("REGEXREPLACE(LOWER(F3124),""[^a-z\s]"","""")"),"received text stating it was being shipped that dayth six days later received another text stating was being shipped that dayth")</f>
        <v>received text stating it was being shipped that dayth six days later received another text stating was being shipped that dayth</v>
      </c>
      <c r="H3124" s="4" t="str">
        <f t="shared" si="1"/>
        <v>received text stating it was being shipped that dayth six days later received another text stating was being shipped that dayth</v>
      </c>
      <c r="I3124" s="6">
        <f t="shared" si="2"/>
        <v>21</v>
      </c>
      <c r="J3124" s="6">
        <f>IFERROR(__xludf.DUMMYFUNCTION("IF(H3124="""","""",
SUM(
ARRAYFORMULA(
IF(
REGEXMATCH(
"" ""&amp;H3124&amp;"" "",
"" ""&amp;Sentiment_Words!A$2:A3730&amp;"" ""
),
1,
0
)
)
)
)"),0.0)</f>
        <v>0</v>
      </c>
      <c r="K3124" s="4">
        <f>IFERROR(__xludf.DUMMYFUNCTION("IF(H3124="""","""",
SUM(
ARRAYFORMULA(
IF(
REGEXMATCH(
"" ""&amp;H3124&amp;"" "",
"" ""&amp;Sentiment_Words!B$2:B3730&amp;"" ""
),
1,
0
)
)
)
)"),0.0)</f>
        <v>0</v>
      </c>
      <c r="L3124" s="7" t="str">
        <f t="shared" si="3"/>
        <v>Fulfillment &amp; Shipping</v>
      </c>
      <c r="M3124" s="7" t="str">
        <f t="shared" si="4"/>
        <v>Neutral</v>
      </c>
      <c r="N3124" s="7" t="str">
        <f>IFERROR(__xludf.DUMMYFUNCTION("LOWER(
TRIM(
REGEXREPLACE(B3124,""[^a-zA-Z\s]"","""")
)
)
"),"annette lippman")</f>
        <v>annette lippman</v>
      </c>
      <c r="O3124" s="7">
        <f t="shared" si="5"/>
        <v>1</v>
      </c>
      <c r="P3124" s="8" t="str">
        <f t="shared" si="6"/>
        <v>No</v>
      </c>
    </row>
    <row r="3125">
      <c r="A3125" s="4" t="s">
        <v>16</v>
      </c>
      <c r="B3125" s="4" t="s">
        <v>8688</v>
      </c>
      <c r="C3125" s="5">
        <v>44585.0</v>
      </c>
      <c r="D3125" s="10">
        <v>44585.0</v>
      </c>
      <c r="E3125" s="4" t="s">
        <v>8689</v>
      </c>
      <c r="F3125" s="4" t="s">
        <v>8690</v>
      </c>
      <c r="G3125" s="6" t="str">
        <f>IFERROR(__xludf.DUMMYFUNCTION("REGEXREPLACE(LOWER(F3125),""[^a-z\s]"","""")"),"i thought i was ordering small  oz cans of dog food based on my item search and photo results however unknown to me the  oz cans were outofstock so the order defaulted to the larger  oz cans which is what was shipped to me these larger cans spoil before i"&amp;" can finish them as i have a small dog i contacted the company requesting an exchange but was told i could return the larger cans for an account credit however they could not tell me when the smaller cans would be back in stock i believe i should have bee"&amp;"n offered a refund rather than a credit i also believe that it is misleading to not change the photo on the order page if the item is out of stock and a different item is being substituted")</f>
        <v>i thought i was ordering small  oz cans of dog food based on my item search and photo results however unknown to me the  oz cans were outofstock so the order defaulted to the larger  oz cans which is what was shipped to me these larger cans spoil before i can finish them as i have a small dog i contacted the company requesting an exchange but was told i could return the larger cans for an account credit however they could not tell me when the smaller cans would be back in stock i believe i should have been offered a refund rather than a credit i also believe that it is misleading to not change the photo on the order page if the item is out of stock and a different item is being substituted</v>
      </c>
      <c r="H3125" s="4" t="str">
        <f t="shared" si="1"/>
        <v>i thought i was ordering small oz cans of dog food based on my item search photo results however unknown me oz cans were outofstock so order defaulted larger oz cans which what was shipped me these larger cans spoil before i can finish them as i have a small dog i contacted company requesting an exchange but was told i could return larger cans an account credit however they could not tell me when smaller cans would be back in stock i believe i should have been offered a refund rather than a credit i also believe that it misleading not change photo on order page if item out of stock a different item being substituted</v>
      </c>
      <c r="I3125" s="6">
        <f t="shared" si="2"/>
        <v>117</v>
      </c>
      <c r="J3125" s="6">
        <f>IFERROR(__xludf.DUMMYFUNCTION("IF(H3125="""","""",
SUM(
ARRAYFORMULA(
IF(
REGEXMATCH(
"" ""&amp;H3125&amp;"" "",
"" ""&amp;Sentiment_Words!A$2:A3730&amp;"" ""
),
1,
0
)
)
)
)"),0.0)</f>
        <v>0</v>
      </c>
      <c r="K3125" s="4">
        <f>IFERROR(__xludf.DUMMYFUNCTION("IF(H3125="""","""",
SUM(
ARRAYFORMULA(
IF(
REGEXMATCH(
"" ""&amp;H3125&amp;"" "",
"" ""&amp;Sentiment_Words!B$2:B3730&amp;"" ""
),
1,
0
)
)
)
)"),2.0)</f>
        <v>2</v>
      </c>
      <c r="L3125" s="7" t="str">
        <f t="shared" si="3"/>
        <v>Availability</v>
      </c>
      <c r="M3125" s="7" t="str">
        <f t="shared" si="4"/>
        <v>Negative</v>
      </c>
      <c r="N3125" s="7" t="str">
        <f>IFERROR(__xludf.DUMMYFUNCTION("LOWER(
TRIM(
REGEXREPLACE(B3125,""[^a-zA-Z\s]"","""")
)
)
"),"james macari")</f>
        <v>james macari</v>
      </c>
      <c r="O3125" s="7">
        <f t="shared" si="5"/>
        <v>1</v>
      </c>
      <c r="P3125" s="8" t="str">
        <f t="shared" si="6"/>
        <v>No</v>
      </c>
    </row>
    <row r="3126">
      <c r="A3126" s="4" t="s">
        <v>16</v>
      </c>
      <c r="B3126" s="4" t="s">
        <v>8691</v>
      </c>
      <c r="C3126" s="5">
        <v>44585.0</v>
      </c>
      <c r="D3126" s="10">
        <v>44585.0</v>
      </c>
      <c r="E3126" s="4" t="s">
        <v>8692</v>
      </c>
      <c r="F3126" s="4" t="s">
        <v>8693</v>
      </c>
      <c r="G3126" s="6" t="str">
        <f>IFERROR(__xludf.DUMMYFUNCTION("REGEXREPLACE(LOWER(F3126),""[^a-z\s]"","""")"),"arrived quickly and in good condition just what we needed especially when these are so hard to find")</f>
        <v>arrived quickly and in good condition just what we needed especially when these are so hard to find</v>
      </c>
      <c r="H3126" s="4" t="str">
        <f t="shared" si="1"/>
        <v>arrived quickly in good condition just what we needed especially when these are so hard find</v>
      </c>
      <c r="I3126" s="6">
        <f t="shared" si="2"/>
        <v>16</v>
      </c>
      <c r="J3126" s="6">
        <f>IFERROR(__xludf.DUMMYFUNCTION("IF(H3126="""","""",
SUM(
ARRAYFORMULA(
IF(
REGEXMATCH(
"" ""&amp;H3126&amp;"" "",
"" ""&amp;Sentiment_Words!A$2:A3730&amp;"" ""
),
1,
0
)
)
)
)"),1.0)</f>
        <v>1</v>
      </c>
      <c r="K3126" s="4">
        <f>IFERROR(__xludf.DUMMYFUNCTION("IF(H3126="""","""",
SUM(
ARRAYFORMULA(
IF(
REGEXMATCH(
"" ""&amp;H3126&amp;"" "",
"" ""&amp;Sentiment_Words!B$2:B3730&amp;"" ""
),
1,
0
)
)
)
)"),0.0)</f>
        <v>0</v>
      </c>
      <c r="L3126" s="7" t="str">
        <f t="shared" si="3"/>
        <v>Other</v>
      </c>
      <c r="M3126" s="7" t="str">
        <f t="shared" si="4"/>
        <v>Positive</v>
      </c>
      <c r="N3126" s="7" t="str">
        <f>IFERROR(__xludf.DUMMYFUNCTION("LOWER(
TRIM(
REGEXREPLACE(B3126,""[^a-zA-Z\s]"","""")
)
)
"),"steve")</f>
        <v>steve</v>
      </c>
      <c r="O3126" s="7">
        <f t="shared" si="5"/>
        <v>1</v>
      </c>
      <c r="P3126" s="8" t="str">
        <f t="shared" si="6"/>
        <v>No</v>
      </c>
    </row>
    <row r="3127">
      <c r="A3127" s="4" t="s">
        <v>16</v>
      </c>
      <c r="B3127" s="4" t="s">
        <v>8694</v>
      </c>
      <c r="C3127" s="5">
        <v>44585.0</v>
      </c>
      <c r="D3127" s="10">
        <v>44585.0</v>
      </c>
      <c r="E3127" s="4" t="s">
        <v>8695</v>
      </c>
      <c r="F3127" s="4" t="s">
        <v>8696</v>
      </c>
      <c r="G3127" s="6" t="str">
        <f>IFERROR(__xludf.DUMMYFUNCTION("REGEXREPLACE(LOWER(F3127),""[^a-z\s]"","""")")," out of my  items were cracked the packing was horrible  and even though i heard from someone finally today  now your out of stock for my items  you did put the money back on my card i really needed those items")</f>
        <v> out of my  items were cracked the packing was horrible  and even though i heard from someone finally today  now your out of stock for my items  you did put the money back on my card i really needed those items</v>
      </c>
      <c r="H3127" s="4" t="str">
        <f t="shared" si="1"/>
        <v>out of my items were cracked packing was horrible even though i heard from someone finally today now your out of stock my items you did put money back on my card i really needed those items</v>
      </c>
      <c r="I3127" s="6">
        <f t="shared" si="2"/>
        <v>37</v>
      </c>
      <c r="J3127" s="6">
        <f>IFERROR(__xludf.DUMMYFUNCTION("IF(H3127="""","""",
SUM(
ARRAYFORMULA(
IF(
REGEXMATCH(
"" ""&amp;H3127&amp;"" "",
"" ""&amp;Sentiment_Words!A$2:A3730&amp;"" ""
),
1,
0
)
)
)
)"),0.0)</f>
        <v>0</v>
      </c>
      <c r="K3127" s="4">
        <f>IFERROR(__xludf.DUMMYFUNCTION("IF(H3127="""","""",
SUM(
ARRAYFORMULA(
IF(
REGEXMATCH(
"" ""&amp;H3127&amp;"" "",
"" ""&amp;Sentiment_Words!B$2:B3730&amp;"" ""
),
1,
0
)
)
)
)"),1.0)</f>
        <v>1</v>
      </c>
      <c r="L3127" s="7" t="str">
        <f t="shared" si="3"/>
        <v>Availability</v>
      </c>
      <c r="M3127" s="7" t="str">
        <f t="shared" si="4"/>
        <v>Negative</v>
      </c>
      <c r="N3127" s="7" t="str">
        <f>IFERROR(__xludf.DUMMYFUNCTION("LOWER(
TRIM(
REGEXREPLACE(B3127,""[^a-zA-Z\s]"","""")
)
)
"),"me")</f>
        <v>me</v>
      </c>
      <c r="O3127" s="7">
        <f t="shared" si="5"/>
        <v>1</v>
      </c>
      <c r="P3127" s="8" t="str">
        <f t="shared" si="6"/>
        <v>No</v>
      </c>
    </row>
    <row r="3128">
      <c r="A3128" s="4" t="s">
        <v>16</v>
      </c>
      <c r="B3128" s="4" t="s">
        <v>8697</v>
      </c>
      <c r="C3128" s="5">
        <v>44584.0</v>
      </c>
      <c r="D3128" s="10">
        <v>44584.0</v>
      </c>
      <c r="E3128" s="4" t="s">
        <v>8698</v>
      </c>
      <c r="F3128" s="4" t="s">
        <v>8699</v>
      </c>
      <c r="G3128" s="6" t="str">
        <f>IFERROR(__xludf.DUMMYFUNCTION("REGEXREPLACE(LOWER(F3128),""[^a-z\s]"","""")"),"love petflow been using them for years")</f>
        <v>love petflow been using them for years</v>
      </c>
      <c r="H3128" s="4" t="str">
        <f t="shared" si="1"/>
        <v>love petflow been using them years</v>
      </c>
      <c r="I3128" s="6">
        <f t="shared" si="2"/>
        <v>6</v>
      </c>
      <c r="J3128" s="6">
        <f>IFERROR(__xludf.DUMMYFUNCTION("IF(H3128="""","""",
SUM(
ARRAYFORMULA(
IF(
REGEXMATCH(
"" ""&amp;H3128&amp;"" "",
"" ""&amp;Sentiment_Words!A$2:A3730&amp;"" ""
),
1,
0
)
)
)
)"),1.0)</f>
        <v>1</v>
      </c>
      <c r="K3128" s="4">
        <f>IFERROR(__xludf.DUMMYFUNCTION("IF(H3128="""","""",
SUM(
ARRAYFORMULA(
IF(
REGEXMATCH(
"" ""&amp;H3128&amp;"" "",
"" ""&amp;Sentiment_Words!B$2:B3730&amp;"" ""
),
1,
0
)
)
)
)"),0.0)</f>
        <v>0</v>
      </c>
      <c r="L3128" s="7" t="str">
        <f t="shared" si="3"/>
        <v>Other</v>
      </c>
      <c r="M3128" s="7" t="str">
        <f t="shared" si="4"/>
        <v>Positive</v>
      </c>
      <c r="N3128" s="7" t="str">
        <f>IFERROR(__xludf.DUMMYFUNCTION("LOWER(
TRIM(
REGEXREPLACE(B3128,""[^a-zA-Z\s]"","""")
)
)
"),"dale paciotti")</f>
        <v>dale paciotti</v>
      </c>
      <c r="O3128" s="7">
        <f t="shared" si="5"/>
        <v>1</v>
      </c>
      <c r="P3128" s="8" t="str">
        <f t="shared" si="6"/>
        <v>No</v>
      </c>
    </row>
    <row r="3129">
      <c r="A3129" s="4" t="s">
        <v>16</v>
      </c>
      <c r="B3129" s="4" t="s">
        <v>8700</v>
      </c>
      <c r="C3129" s="5">
        <v>44584.0</v>
      </c>
      <c r="D3129" s="10">
        <v>44584.0</v>
      </c>
      <c r="E3129" s="4" t="s">
        <v>1036</v>
      </c>
      <c r="F3129" s="4" t="s">
        <v>8701</v>
      </c>
      <c r="G3129" s="6" t="str">
        <f>IFERROR(__xludf.DUMMYFUNCTION("REGEXREPLACE(LOWER(F3129),""[^a-z\s]"","""")"),"part of my order was defective and i wrote to tell them so i received a form letter of acknowledgement back but it took  days for an actual response the item is being replaced but has not yet shipped and i think their customer service is pretty poor")</f>
        <v>part of my order was defective and i wrote to tell them so i received a form letter of acknowledgement back but it took  days for an actual response the item is being replaced but has not yet shipped and i think their customer service is pretty poor</v>
      </c>
      <c r="H3129" s="4" t="str">
        <f t="shared" si="1"/>
        <v>part of my order was defective i wrote tell them so i received a form letter of acknowledgement back but it took days an actual response item being replaced but has not yet shipped i think their customer service pretty poor</v>
      </c>
      <c r="I3129" s="6">
        <f t="shared" si="2"/>
        <v>41</v>
      </c>
      <c r="J3129" s="6">
        <f>IFERROR(__xludf.DUMMYFUNCTION("IF(H3129="""","""",
SUM(
ARRAYFORMULA(
IF(
REGEXMATCH(
"" ""&amp;H3129&amp;"" "",
"" ""&amp;Sentiment_Words!A$2:A3730&amp;"" ""
),
1,
0
)
)
)
)"),0.0)</f>
        <v>0</v>
      </c>
      <c r="K3129" s="4">
        <f>IFERROR(__xludf.DUMMYFUNCTION("IF(H3129="""","""",
SUM(
ARRAYFORMULA(
IF(
REGEXMATCH(
"" ""&amp;H3129&amp;"" "",
"" ""&amp;Sentiment_Words!B$2:B3730&amp;"" ""
),
1,
0
)
)
)
)"),1.0)</f>
        <v>1</v>
      </c>
      <c r="L3129" s="7" t="str">
        <f t="shared" si="3"/>
        <v>Customer Support</v>
      </c>
      <c r="M3129" s="7" t="str">
        <f t="shared" si="4"/>
        <v>Negative</v>
      </c>
      <c r="N3129" s="7" t="str">
        <f>IFERROR(__xludf.DUMMYFUNCTION("LOWER(
TRIM(
REGEXREPLACE(B3129,""[^a-zA-Z\s]"","""")
)
)
"),"kelly hechinger")</f>
        <v>kelly hechinger</v>
      </c>
      <c r="O3129" s="7">
        <f t="shared" si="5"/>
        <v>1</v>
      </c>
      <c r="P3129" s="8" t="str">
        <f t="shared" si="6"/>
        <v>No</v>
      </c>
    </row>
    <row r="3130">
      <c r="A3130" s="4" t="s">
        <v>16</v>
      </c>
      <c r="B3130" s="4" t="s">
        <v>8702</v>
      </c>
      <c r="C3130" s="5">
        <v>44584.0</v>
      </c>
      <c r="D3130" s="10">
        <v>44584.0</v>
      </c>
      <c r="E3130" s="4" t="s">
        <v>8703</v>
      </c>
      <c r="F3130" s="4" t="s">
        <v>8704</v>
      </c>
      <c r="G3130" s="6" t="str">
        <f>IFERROR(__xludf.DUMMYFUNCTION("REGEXREPLACE(LOWER(F3130),""[^a-z\s]"","""")"),"as soon as i gave him his first taste he wouldnt leave me alone after he ate lol what a great come back")</f>
        <v>as soon as i gave him his first taste he wouldnt leave me alone after he ate lol what a great come back</v>
      </c>
      <c r="H3130" s="4" t="str">
        <f t="shared" si="1"/>
        <v>as soon as i gave him his first taste he wouldnt leave me alone after he ate lol what a great come back</v>
      </c>
      <c r="I3130" s="6">
        <f t="shared" si="2"/>
        <v>23</v>
      </c>
      <c r="J3130" s="6">
        <f>IFERROR(__xludf.DUMMYFUNCTION("IF(H3130="""","""",
SUM(
ARRAYFORMULA(
IF(
REGEXMATCH(
"" ""&amp;H3130&amp;"" "",
"" ""&amp;Sentiment_Words!A$2:A3730&amp;"" ""
),
1,
0
)
)
)
)"),1.0)</f>
        <v>1</v>
      </c>
      <c r="K3130" s="4">
        <f>IFERROR(__xludf.DUMMYFUNCTION("IF(H3130="""","""",
SUM(
ARRAYFORMULA(
IF(
REGEXMATCH(
"" ""&amp;H3130&amp;"" "",
"" ""&amp;Sentiment_Words!B$2:B3730&amp;"" ""
),
1,
0
)
)
)
)"),0.0)</f>
        <v>0</v>
      </c>
      <c r="L3130" s="7" t="str">
        <f t="shared" si="3"/>
        <v>Other</v>
      </c>
      <c r="M3130" s="7" t="str">
        <f t="shared" si="4"/>
        <v>Positive</v>
      </c>
      <c r="N3130" s="7" t="str">
        <f>IFERROR(__xludf.DUMMYFUNCTION("LOWER(
TRIM(
REGEXREPLACE(B3130,""[^a-zA-Z\s]"","""")
)
)
"),"b taylor")</f>
        <v>b taylor</v>
      </c>
      <c r="O3130" s="7">
        <f t="shared" si="5"/>
        <v>1</v>
      </c>
      <c r="P3130" s="8" t="str">
        <f t="shared" si="6"/>
        <v>No</v>
      </c>
    </row>
    <row r="3131">
      <c r="A3131" s="4" t="s">
        <v>16</v>
      </c>
      <c r="B3131" s="4" t="s">
        <v>8705</v>
      </c>
      <c r="C3131" s="5">
        <v>44584.0</v>
      </c>
      <c r="D3131" s="10">
        <v>44584.0</v>
      </c>
      <c r="E3131" s="4" t="s">
        <v>8706</v>
      </c>
      <c r="F3131" s="4" t="s">
        <v>8707</v>
      </c>
      <c r="G3131" s="6" t="str">
        <f>IFERROR(__xludf.DUMMYFUNCTION("REGEXREPLACE(LOWER(F3131),""[^a-z\s]"","""")"),"great i initially got only two of the four items i ordered  but the rest of the items i ordered came the next day")</f>
        <v>great i initially got only two of the four items i ordered  but the rest of the items i ordered came the next day</v>
      </c>
      <c r="H3131" s="4" t="str">
        <f t="shared" si="1"/>
        <v>great i initially got only two of four items i ordered but rest of items i ordered came next day</v>
      </c>
      <c r="I3131" s="6">
        <f t="shared" si="2"/>
        <v>20</v>
      </c>
      <c r="J3131" s="6">
        <f>IFERROR(__xludf.DUMMYFUNCTION("IF(H3131="""","""",
SUM(
ARRAYFORMULA(
IF(
REGEXMATCH(
"" ""&amp;H3131&amp;"" "",
"" ""&amp;Sentiment_Words!A$2:A3730&amp;"" ""
),
1,
0
)
)
)
)"),1.0)</f>
        <v>1</v>
      </c>
      <c r="K3131" s="4">
        <f>IFERROR(__xludf.DUMMYFUNCTION("IF(H3131="""","""",
SUM(
ARRAYFORMULA(
IF(
REGEXMATCH(
"" ""&amp;H3131&amp;"" "",
"" ""&amp;Sentiment_Words!B$2:B3730&amp;"" ""
),
1,
0
)
)
)
)"),0.0)</f>
        <v>0</v>
      </c>
      <c r="L3131" s="7" t="str">
        <f t="shared" si="3"/>
        <v>Other</v>
      </c>
      <c r="M3131" s="7" t="str">
        <f t="shared" si="4"/>
        <v>Positive</v>
      </c>
      <c r="N3131" s="7" t="str">
        <f>IFERROR(__xludf.DUMMYFUNCTION("LOWER(
TRIM(
REGEXREPLACE(B3131,""[^a-zA-Z\s]"","""")
)
)
"),"dj webber")</f>
        <v>dj webber</v>
      </c>
      <c r="O3131" s="7">
        <f t="shared" si="5"/>
        <v>1</v>
      </c>
      <c r="P3131" s="8" t="str">
        <f t="shared" si="6"/>
        <v>No</v>
      </c>
    </row>
    <row r="3132">
      <c r="A3132" s="4" t="s">
        <v>16</v>
      </c>
      <c r="B3132" s="4" t="s">
        <v>8708</v>
      </c>
      <c r="C3132" s="5">
        <v>44584.0</v>
      </c>
      <c r="D3132" s="10">
        <v>44584.0</v>
      </c>
      <c r="E3132" s="4" t="s">
        <v>3622</v>
      </c>
      <c r="F3132" s="4" t="s">
        <v>8709</v>
      </c>
      <c r="G3132" s="6" t="str">
        <f>IFERROR(__xludf.DUMMYFUNCTION("REGEXREPLACE(LOWER(F3132),""[^a-z\s]"","""")"),"this was my first order from petflow but it wont be my last the dog food that i needed was available the website was easy to navigate and the order arrived on time im a happy customer")</f>
        <v>this was my first order from petflow but it wont be my last the dog food that i needed was available the website was easy to navigate and the order arrived on time im a happy customer</v>
      </c>
      <c r="H3132" s="4" t="str">
        <f t="shared" si="1"/>
        <v>this was my first order from petflow but it wont be my last dog food that i needed was available website was easy navigate order arrived on time im a happy customer</v>
      </c>
      <c r="I3132" s="6">
        <f t="shared" si="2"/>
        <v>32</v>
      </c>
      <c r="J3132" s="6">
        <f>IFERROR(__xludf.DUMMYFUNCTION("IF(H3132="""","""",
SUM(
ARRAYFORMULA(
IF(
REGEXMATCH(
"" ""&amp;H3132&amp;"" "",
"" ""&amp;Sentiment_Words!A$2:A3730&amp;"" ""
),
1,
0
)
)
)
)"),4.0)</f>
        <v>4</v>
      </c>
      <c r="K3132" s="4">
        <f>IFERROR(__xludf.DUMMYFUNCTION("IF(H3132="""","""",
SUM(
ARRAYFORMULA(
IF(
REGEXMATCH(
"" ""&amp;H3132&amp;"" "",
"" ""&amp;Sentiment_Words!B$2:B3730&amp;"" ""
),
1,
0
)
)
)
)"),0.0)</f>
        <v>0</v>
      </c>
      <c r="L3132" s="7" t="str">
        <f t="shared" si="3"/>
        <v>Account &amp; Website</v>
      </c>
      <c r="M3132" s="7" t="str">
        <f t="shared" si="4"/>
        <v>Positive</v>
      </c>
      <c r="N3132" s="7" t="str">
        <f>IFERROR(__xludf.DUMMYFUNCTION("LOWER(
TRIM(
REGEXREPLACE(B3132,""[^a-zA-Z\s]"","""")
)
)
"),"sara gonzales")</f>
        <v>sara gonzales</v>
      </c>
      <c r="O3132" s="7">
        <f t="shared" si="5"/>
        <v>1</v>
      </c>
      <c r="P3132" s="8" t="str">
        <f t="shared" si="6"/>
        <v>No</v>
      </c>
    </row>
    <row r="3133">
      <c r="A3133" s="4" t="s">
        <v>16</v>
      </c>
      <c r="B3133" s="4" t="s">
        <v>8710</v>
      </c>
      <c r="C3133" s="5">
        <v>44584.0</v>
      </c>
      <c r="D3133" s="10">
        <v>44584.0</v>
      </c>
      <c r="E3133" s="4" t="s">
        <v>8711</v>
      </c>
      <c r="F3133" s="4" t="s">
        <v>8712</v>
      </c>
      <c r="G3133" s="6" t="str">
        <f>IFERROR(__xludf.DUMMYFUNCTION("REGEXREPLACE(LOWER(F3133),""[^a-z\s]"","""")"),"this would be five stars customers service was fast friendly and helpful i deducted  stars because my order took so long to arrivethis was i m sure due to unforseen circumstances like our recent weathercovid and such however i was told at the time i place"&amp;"d my order that it would arrive in  to  days because of the delay i had to go locally and find a small bag of food to tide me over it was just a hassle but things happen and i ll live lol")</f>
        <v>this would be five stars customers service was fast friendly and helpful i deducted  stars because my order took so long to arrivethis was i m sure due to unforseen circumstances like our recent weathercovid and such however i was told at the time i placed my order that it would arrive in  to  days because of the delay i had to go locally and find a small bag of food to tide me over it was just a hassle but things happen and i ll live lol</v>
      </c>
      <c r="H3133" s="4" t="str">
        <f t="shared" si="1"/>
        <v>this would be five stars customers service was fast friendly helpful i deducted stars because my order took so long arrivethis was i m sure due unforseen circumstances like our recent weathercovid such however i was told at time i placed my order that it would arrive in days because of delay i had go locally find a small bag of food tide me over it was just a hassle but things happen i ll live lol</v>
      </c>
      <c r="I3133" s="6">
        <f t="shared" si="2"/>
        <v>77</v>
      </c>
      <c r="J3133" s="6">
        <f>IFERROR(__xludf.DUMMYFUNCTION("IF(H3133="""","""",
SUM(
ARRAYFORMULA(
IF(
REGEXMATCH(
"" ""&amp;H3133&amp;"" "",
"" ""&amp;Sentiment_Words!A$2:A3730&amp;"" ""
),
1,
0
)
)
)
)"),2.0)</f>
        <v>2</v>
      </c>
      <c r="K3133" s="4">
        <f>IFERROR(__xludf.DUMMYFUNCTION("IF(H3133="""","""",
SUM(
ARRAYFORMULA(
IF(
REGEXMATCH(
"" ""&amp;H3133&amp;"" "",
"" ""&amp;Sentiment_Words!B$2:B3730&amp;"" ""
),
1,
0
)
)
)
)"),1.0)</f>
        <v>1</v>
      </c>
      <c r="L3133" s="7" t="str">
        <f t="shared" si="3"/>
        <v>Customer Support</v>
      </c>
      <c r="M3133" s="7" t="str">
        <f t="shared" si="4"/>
        <v>Positive</v>
      </c>
      <c r="N3133" s="7" t="str">
        <f>IFERROR(__xludf.DUMMYFUNCTION("LOWER(
TRIM(
REGEXREPLACE(B3133,""[^a-zA-Z\s]"","""")
)
)
"),"sandra s")</f>
        <v>sandra s</v>
      </c>
      <c r="O3133" s="7">
        <f t="shared" si="5"/>
        <v>1</v>
      </c>
      <c r="P3133" s="8" t="str">
        <f t="shared" si="6"/>
        <v>No</v>
      </c>
    </row>
    <row r="3134">
      <c r="A3134" s="4" t="s">
        <v>16</v>
      </c>
      <c r="B3134" s="4" t="s">
        <v>8713</v>
      </c>
      <c r="C3134" s="5">
        <v>44583.0</v>
      </c>
      <c r="D3134" s="10">
        <v>44583.0</v>
      </c>
      <c r="E3134" s="4" t="s">
        <v>8714</v>
      </c>
      <c r="F3134" s="4" t="s">
        <v>8715</v>
      </c>
      <c r="G3134" s="6" t="str">
        <f>IFERROR(__xludf.DUMMYFUNCTION("REGEXREPLACE(LOWER(F3134),""[^a-z\s]"","""")"),"ordering dog food and treats online works out great")</f>
        <v>ordering dog food and treats online works out great</v>
      </c>
      <c r="H3134" s="4" t="str">
        <f t="shared" si="1"/>
        <v>ordering dog food treats online works out great</v>
      </c>
      <c r="I3134" s="6">
        <f t="shared" si="2"/>
        <v>8</v>
      </c>
      <c r="J3134" s="6">
        <f>IFERROR(__xludf.DUMMYFUNCTION("IF(H3134="""","""",
SUM(
ARRAYFORMULA(
IF(
REGEXMATCH(
"" ""&amp;H3134&amp;"" "",
"" ""&amp;Sentiment_Words!A$2:A3730&amp;"" ""
),
1,
0
)
)
)
)"),2.0)</f>
        <v>2</v>
      </c>
      <c r="K3134" s="4">
        <f>IFERROR(__xludf.DUMMYFUNCTION("IF(H3134="""","""",
SUM(
ARRAYFORMULA(
IF(
REGEXMATCH(
"" ""&amp;H3134&amp;"" "",
"" ""&amp;Sentiment_Words!B$2:B3730&amp;"" ""
),
1,
0
)
)
)
)"),0.0)</f>
        <v>0</v>
      </c>
      <c r="L3134" s="7" t="str">
        <f t="shared" si="3"/>
        <v>Other</v>
      </c>
      <c r="M3134" s="7" t="str">
        <f t="shared" si="4"/>
        <v>Positive</v>
      </c>
      <c r="N3134" s="7" t="str">
        <f>IFERROR(__xludf.DUMMYFUNCTION("LOWER(
TRIM(
REGEXREPLACE(B3134,""[^a-zA-Z\s]"","""")
)
)
"),"brack")</f>
        <v>brack</v>
      </c>
      <c r="O3134" s="7">
        <f t="shared" si="5"/>
        <v>1</v>
      </c>
      <c r="P3134" s="8" t="str">
        <f t="shared" si="6"/>
        <v>No</v>
      </c>
    </row>
    <row r="3135">
      <c r="A3135" s="4" t="s">
        <v>16</v>
      </c>
      <c r="B3135" s="4" t="s">
        <v>8716</v>
      </c>
      <c r="C3135" s="5">
        <v>44583.0</v>
      </c>
      <c r="D3135" s="10">
        <v>44583.0</v>
      </c>
      <c r="E3135" s="4" t="s">
        <v>8717</v>
      </c>
      <c r="F3135" s="4" t="s">
        <v>8718</v>
      </c>
      <c r="G3135" s="6" t="str">
        <f>IFERROR(__xludf.DUMMYFUNCTION("REGEXREPLACE(LOWER(F3135),""[^a-z\s]"","""")"),"packaging has improved the lb bags i order are finally coming in the proper sized boxes  my last very large order  bags were packed well and the tape helda first your customer service on the phone was awesome luckily for me because i find the website very"&amp;" cumbersome when good savings sales are offered  i must change my auto ship quantities for a one time sale
keep it up youre almost there")</f>
        <v>packaging has improved the lb bags i order are finally coming in the proper sized boxes  my last very large order  bags were packed well and the tape helda first your customer service on the phone was awesome luckily for me because i find the website very cumbersome when good savings sales are offered  i must change my auto ship quantities for a one time sale
keep it up youre almost there</v>
      </c>
      <c r="H3135" s="4" t="str">
        <f t="shared" si="1"/>
        <v>packaging has improved lb bags i order are finally coming in proper sized boxes my last very large order bags were packed well tape helda first your customer service on phone was awesome luckily me because i find website very cumbersome when good savings sales are offered i must change my auto ship quantities a one time sale
keep it up youre almost there</v>
      </c>
      <c r="I3135" s="6">
        <f t="shared" si="2"/>
        <v>63</v>
      </c>
      <c r="J3135" s="6">
        <f>IFERROR(__xludf.DUMMYFUNCTION("IF(H3135="""","""",
SUM(
ARRAYFORMULA(
IF(
REGEXMATCH(
"" ""&amp;H3135&amp;"" "",
"" ""&amp;Sentiment_Words!A$2:A3730&amp;"" ""
),
1,
0
)
)
)
)"),2.0)</f>
        <v>2</v>
      </c>
      <c r="K3135" s="4">
        <f>IFERROR(__xludf.DUMMYFUNCTION("IF(H3135="""","""",
SUM(
ARRAYFORMULA(
IF(
REGEXMATCH(
"" ""&amp;H3135&amp;"" "",
"" ""&amp;Sentiment_Words!B$2:B3730&amp;"" ""
),
1,
0
)
)
)
)"),1.0)</f>
        <v>1</v>
      </c>
      <c r="L3135" s="7" t="str">
        <f t="shared" si="3"/>
        <v>Customer Support</v>
      </c>
      <c r="M3135" s="7" t="str">
        <f t="shared" si="4"/>
        <v>Positive</v>
      </c>
      <c r="N3135" s="7" t="str">
        <f>IFERROR(__xludf.DUMMYFUNCTION("LOWER(
TRIM(
REGEXREPLACE(B3135,""[^a-zA-Z\s]"","""")
)
)
"),"dog owner")</f>
        <v>dog owner</v>
      </c>
      <c r="O3135" s="7">
        <f t="shared" si="5"/>
        <v>2</v>
      </c>
      <c r="P3135" s="8" t="str">
        <f t="shared" si="6"/>
        <v>Yes</v>
      </c>
    </row>
    <row r="3136">
      <c r="A3136" s="4" t="s">
        <v>16</v>
      </c>
      <c r="B3136" s="4" t="s">
        <v>3231</v>
      </c>
      <c r="C3136" s="5">
        <v>44583.0</v>
      </c>
      <c r="D3136" s="10">
        <v>44583.0</v>
      </c>
      <c r="E3136" s="4" t="s">
        <v>8719</v>
      </c>
      <c r="F3136" s="4" t="s">
        <v>8720</v>
      </c>
      <c r="G3136" s="6" t="str">
        <f>IFERROR(__xludf.DUMMYFUNCTION("REGEXREPLACE(LOWER(F3136),""[^a-z\s]"","""")"),"good selection of pet food easy to order and shipping fast")</f>
        <v>good selection of pet food easy to order and shipping fast</v>
      </c>
      <c r="H3136" s="4" t="str">
        <f t="shared" si="1"/>
        <v>good selection of pet food easy order shipping fast</v>
      </c>
      <c r="I3136" s="6">
        <f t="shared" si="2"/>
        <v>9</v>
      </c>
      <c r="J3136" s="6">
        <f>IFERROR(__xludf.DUMMYFUNCTION("IF(H3136="""","""",
SUM(
ARRAYFORMULA(
IF(
REGEXMATCH(
"" ""&amp;H3136&amp;"" "",
"" ""&amp;Sentiment_Words!A$2:A3730&amp;"" ""
),
1,
0
)
)
)
)"),3.0)</f>
        <v>3</v>
      </c>
      <c r="K3136" s="4">
        <f>IFERROR(__xludf.DUMMYFUNCTION("IF(H3136="""","""",
SUM(
ARRAYFORMULA(
IF(
REGEXMATCH(
"" ""&amp;H3136&amp;"" "",
"" ""&amp;Sentiment_Words!B$2:B3730&amp;"" ""
),
1,
0
)
)
)
)"),0.0)</f>
        <v>0</v>
      </c>
      <c r="L3136" s="7" t="str">
        <f t="shared" si="3"/>
        <v>Other</v>
      </c>
      <c r="M3136" s="7" t="str">
        <f t="shared" si="4"/>
        <v>Positive</v>
      </c>
      <c r="N3136" s="7" t="str">
        <f>IFERROR(__xludf.DUMMYFUNCTION("LOWER(
TRIM(
REGEXREPLACE(B3136,""[^a-zA-Z\s]"","""")
)
)
"),"larry")</f>
        <v>larry</v>
      </c>
      <c r="O3136" s="7">
        <f t="shared" si="5"/>
        <v>2</v>
      </c>
      <c r="P3136" s="8" t="str">
        <f t="shared" si="6"/>
        <v>Yes</v>
      </c>
    </row>
    <row r="3137">
      <c r="A3137" s="4" t="s">
        <v>16</v>
      </c>
      <c r="B3137" s="4" t="s">
        <v>8721</v>
      </c>
      <c r="C3137" s="5">
        <v>44583.0</v>
      </c>
      <c r="D3137" s="10">
        <v>44583.0</v>
      </c>
      <c r="E3137" s="4" t="s">
        <v>8722</v>
      </c>
      <c r="F3137" s="4" t="s">
        <v>331</v>
      </c>
      <c r="G3137" s="6" t="str">
        <f>IFERROR(__xludf.DUMMYFUNCTION("REGEXREPLACE(LOWER(F3137),""[^a-z\s]"","""")"),"none")</f>
        <v>none</v>
      </c>
      <c r="H3137" s="4" t="str">
        <f t="shared" si="1"/>
        <v>none</v>
      </c>
      <c r="I3137" s="6">
        <f t="shared" si="2"/>
        <v>1</v>
      </c>
      <c r="J3137" s="6">
        <f>IFERROR(__xludf.DUMMYFUNCTION("IF(H3137="""","""",
SUM(
ARRAYFORMULA(
IF(
REGEXMATCH(
"" ""&amp;H3137&amp;"" "",
"" ""&amp;Sentiment_Words!A$2:A3730&amp;"" ""
),
1,
0
)
)
)
)"),0.0)</f>
        <v>0</v>
      </c>
      <c r="K3137" s="4">
        <f>IFERROR(__xludf.DUMMYFUNCTION("IF(H3137="""","""",
SUM(
ARRAYFORMULA(
IF(
REGEXMATCH(
"" ""&amp;H3137&amp;"" "",
"" ""&amp;Sentiment_Words!B$2:B3730&amp;"" ""
),
1,
0
)
)
)
)"),0.0)</f>
        <v>0</v>
      </c>
      <c r="L3137" s="7" t="str">
        <f t="shared" si="3"/>
        <v>Other</v>
      </c>
      <c r="M3137" s="7" t="str">
        <f t="shared" si="4"/>
        <v>Neutral</v>
      </c>
      <c r="N3137" s="7" t="str">
        <f>IFERROR(__xludf.DUMMYFUNCTION("LOWER(
TRIM(
REGEXREPLACE(B3137,""[^a-zA-Z\s]"","""")
)
)
"),"kathleen")</f>
        <v>kathleen</v>
      </c>
      <c r="O3137" s="7">
        <f t="shared" si="5"/>
        <v>2</v>
      </c>
      <c r="P3137" s="8" t="str">
        <f t="shared" si="6"/>
        <v>Yes</v>
      </c>
    </row>
    <row r="3138">
      <c r="A3138" s="4" t="s">
        <v>16</v>
      </c>
      <c r="B3138" s="4" t="s">
        <v>8723</v>
      </c>
      <c r="C3138" s="5">
        <v>44583.0</v>
      </c>
      <c r="D3138" s="10">
        <v>44583.0</v>
      </c>
      <c r="E3138" s="4" t="s">
        <v>623</v>
      </c>
      <c r="F3138" s="4" t="s">
        <v>8724</v>
      </c>
      <c r="G3138" s="6" t="str">
        <f>IFERROR(__xludf.DUMMYFUNCTION("REGEXREPLACE(LOWER(F3138),""[^a-z\s]"","""")"),"great service quick shipping ive been ordering fromm dog dog food for over  years from petflow and have always been very satisfied with their service")</f>
        <v>great service quick shipping ive been ordering fromm dog dog food for over  years from petflow and have always been very satisfied with their service</v>
      </c>
      <c r="H3138" s="4" t="str">
        <f t="shared" si="1"/>
        <v>great service quick shipping ive been ordering fromm dog dog food over years from petflow have always been very satisfied with their service</v>
      </c>
      <c r="I3138" s="6">
        <f t="shared" si="2"/>
        <v>23</v>
      </c>
      <c r="J3138" s="6">
        <f>IFERROR(__xludf.DUMMYFUNCTION("IF(H3138="""","""",
SUM(
ARRAYFORMULA(
IF(
REGEXMATCH(
"" ""&amp;H3138&amp;"" "",
"" ""&amp;Sentiment_Words!A$2:A3730&amp;"" ""
),
1,
0
)
)
)
)"),2.0)</f>
        <v>2</v>
      </c>
      <c r="K3138" s="4">
        <f>IFERROR(__xludf.DUMMYFUNCTION("IF(H3138="""","""",
SUM(
ARRAYFORMULA(
IF(
REGEXMATCH(
"" ""&amp;H3138&amp;"" "",
"" ""&amp;Sentiment_Words!B$2:B3730&amp;"" ""
),
1,
0
)
)
)
)"),0.0)</f>
        <v>0</v>
      </c>
      <c r="L3138" s="7" t="str">
        <f t="shared" si="3"/>
        <v>Customer Support</v>
      </c>
      <c r="M3138" s="7" t="str">
        <f t="shared" si="4"/>
        <v>Positive</v>
      </c>
      <c r="N3138" s="7" t="str">
        <f>IFERROR(__xludf.DUMMYFUNCTION("LOWER(
TRIM(
REGEXREPLACE(B3138,""[^a-zA-Z\s]"","""")
)
)
"),"joseph ruddy")</f>
        <v>joseph ruddy</v>
      </c>
      <c r="O3138" s="7">
        <f t="shared" si="5"/>
        <v>1</v>
      </c>
      <c r="P3138" s="8" t="str">
        <f t="shared" si="6"/>
        <v>No</v>
      </c>
    </row>
    <row r="3139">
      <c r="A3139" s="4" t="s">
        <v>16</v>
      </c>
      <c r="B3139" s="4" t="s">
        <v>8725</v>
      </c>
      <c r="C3139" s="5">
        <v>44582.0</v>
      </c>
      <c r="D3139" s="10">
        <v>44583.0</v>
      </c>
      <c r="E3139" s="4" t="s">
        <v>8290</v>
      </c>
      <c r="F3139" s="4" t="s">
        <v>8726</v>
      </c>
      <c r="G3139" s="6" t="str">
        <f>IFERROR(__xludf.DUMMYFUNCTION("REGEXREPLACE(LOWER(F3139),""[^a-z\s]"","""")"),"my dog is on a prescription dog food and i couldnt find any i called petflow and talked to the sweetest lady who helped me set up my order for recurring so i dont have to worry about it im sorry i cannot remember that ladys name but a big shout out to her"&amp;" for all her advice and patience with me placing my order i was so frustrated that i couldnt find it but she calmed me down and got it taken care of
im really impressed with petflow and have been recommending them to a lot of people ")</f>
        <v>my dog is on a prescription dog food and i couldnt find any i called petflow and talked to the sweetest lady who helped me set up my order for recurring so i dont have to worry about it im sorry i cannot remember that ladys name but a big shout out to her for all her advice and patience with me placing my order i was so frustrated that i couldnt find it but she calmed me down and got it taken care of
im really impressed with petflow and have been recommending them to a lot of people </v>
      </c>
      <c r="H3139" s="4" t="str">
        <f t="shared" si="1"/>
        <v>my dog on a prescription dog food i couldnt find any i called petflow talked sweetest lady who helped me set up my order recurring so i dont have worry about it im sorry i cannot remember that ladys name but a big shout out her all her advice patience with me placing my order i was so frustrated that i couldnt find it but she calmed me down got it taken care of
im really impressed with petflow have been recommending them a lot of people</v>
      </c>
      <c r="I3139" s="6">
        <f t="shared" si="2"/>
        <v>86</v>
      </c>
      <c r="J3139" s="6">
        <f>IFERROR(__xludf.DUMMYFUNCTION("IF(H3139="""","""",
SUM(
ARRAYFORMULA(
IF(
REGEXMATCH(
"" ""&amp;H3139&amp;"" "",
"" ""&amp;Sentiment_Words!A$2:A3730&amp;"" ""
),
1,
0
)
)
)
)"),1.0)</f>
        <v>1</v>
      </c>
      <c r="K3139" s="4">
        <f>IFERROR(__xludf.DUMMYFUNCTION("IF(H3139="""","""",
SUM(
ARRAYFORMULA(
IF(
REGEXMATCH(
"" ""&amp;H3139&amp;"" "",
"" ""&amp;Sentiment_Words!B$2:B3730&amp;"" ""
),
1,
0
)
)
)
)"),0.0)</f>
        <v>0</v>
      </c>
      <c r="L3139" s="7" t="str">
        <f t="shared" si="3"/>
        <v>Service Recovery</v>
      </c>
      <c r="M3139" s="7" t="str">
        <f t="shared" si="4"/>
        <v>Positive</v>
      </c>
      <c r="N3139" s="7" t="str">
        <f>IFERROR(__xludf.DUMMYFUNCTION("LOWER(
TRIM(
REGEXREPLACE(B3139,""[^a-zA-Z\s]"","""")
)
)
"),"eric sommer")</f>
        <v>eric sommer</v>
      </c>
      <c r="O3139" s="7">
        <f t="shared" si="5"/>
        <v>1</v>
      </c>
      <c r="P3139" s="8" t="str">
        <f t="shared" si="6"/>
        <v>No</v>
      </c>
    </row>
    <row r="3140">
      <c r="A3140" s="4" t="s">
        <v>16</v>
      </c>
      <c r="B3140" s="4" t="s">
        <v>8727</v>
      </c>
      <c r="C3140" s="5">
        <v>44582.0</v>
      </c>
      <c r="D3140" s="10">
        <v>44583.0</v>
      </c>
      <c r="E3140" s="4" t="s">
        <v>8728</v>
      </c>
      <c r="F3140" s="4" t="s">
        <v>8729</v>
      </c>
      <c r="G3140" s="6" t="str">
        <f>IFERROR(__xludf.DUMMYFUNCTION("REGEXREPLACE(LOWER(F3140),""[^a-z\s]"","""")"),"i ordered a lb bag of dog food along with a lb of dog food when the delivery day came i only received the small bag so i called pet flow to find out what happened seemed they ran out of my dogs food at the nearest wearhouse and had to send it to me from l"&amp;"as vegas they had sent me an email but our power had gone out so by the time i called i hadnt revived it yet we did get the dog food a couple of days late but that was because of a major snowstorm moving up the east coast i love pet flow as there send tim"&amp;"e is normally  or  days at most i cant get upset with them over running out at one warehouse and a snowstorm it seems like they do more than humanely possible as fast as they get there items out i tell everyone i know where i get my dogs food but its up t"&amp;"o them where they want to buy it all i can say is thank you pet flow you are the best")</f>
        <v>i ordered a lb bag of dog food along with a lb of dog food when the delivery day came i only received the small bag so i called pet flow to find out what happened seemed they ran out of my dogs food at the nearest wearhouse and had to send it to me from las vegas they had sent me an email but our power had gone out so by the time i called i hadnt revived it yet we did get the dog food a couple of days late but that was because of a major snowstorm moving up the east coast i love pet flow as there send time is normally  or  days at most i cant get upset with them over running out at one warehouse and a snowstorm it seems like they do more than humanely possible as fast as they get there items out i tell everyone i know where i get my dogs food but its up to them where they want to buy it all i can say is thank you pet flow you are the best</v>
      </c>
      <c r="H3140" s="4" t="str">
        <f t="shared" si="1"/>
        <v>i ordered a lb bag of dog food along with a lb of dog food when delivery day came i only received small bag so i called pet flow find out what happened seemed they ran out of my dogs food at nearest wearhouse had send it me from las vegas they had sent me an email but our power had gone out so by time i called i hadnt revived it yet we did get dog food a couple of days late but that was because of a major snowstorm moving up east coast i love pet flow as there send time normally or days at most i cant get upset with them over running out at one warehouse a snowstorm it seems like they do more than humanely possible as fast as they get there items out i tell everyone i know where i get my dogs food but its up them where they want buy it all i can say thank you pet flow you are best</v>
      </c>
      <c r="I3140" s="6">
        <f t="shared" si="2"/>
        <v>170</v>
      </c>
      <c r="J3140" s="6">
        <f>IFERROR(__xludf.DUMMYFUNCTION("IF(H3140="""","""",
SUM(
ARRAYFORMULA(
IF(
REGEXMATCH(
"" ""&amp;H3140&amp;"" "",
"" ""&amp;Sentiment_Words!A$2:A3730&amp;"" ""
),
1,
0
)
)
)
)"),2.0)</f>
        <v>2</v>
      </c>
      <c r="K3140" s="4">
        <f>IFERROR(__xludf.DUMMYFUNCTION("IF(H3140="""","""",
SUM(
ARRAYFORMULA(
IF(
REGEXMATCH(
"" ""&amp;H3140&amp;"" "",
"" ""&amp;Sentiment_Words!B$2:B3730&amp;"" ""
),
1,
0
)
)
)
)"),0.0)</f>
        <v>0</v>
      </c>
      <c r="L3140" s="7" t="str">
        <f t="shared" si="3"/>
        <v>Fulfillment &amp; Shipping</v>
      </c>
      <c r="M3140" s="7" t="str">
        <f t="shared" si="4"/>
        <v>Positive</v>
      </c>
      <c r="N3140" s="7" t="str">
        <f>IFERROR(__xludf.DUMMYFUNCTION("LOWER(
TRIM(
REGEXREPLACE(B3140,""[^a-zA-Z\s]"","""")
)
)
"),"gwyn guild")</f>
        <v>gwyn guild</v>
      </c>
      <c r="O3140" s="7">
        <f t="shared" si="5"/>
        <v>1</v>
      </c>
      <c r="P3140" s="8" t="str">
        <f t="shared" si="6"/>
        <v>No</v>
      </c>
    </row>
    <row r="3141">
      <c r="A3141" s="4" t="s">
        <v>16</v>
      </c>
      <c r="B3141" s="4" t="s">
        <v>8730</v>
      </c>
      <c r="C3141" s="5">
        <v>44582.0</v>
      </c>
      <c r="D3141" s="10">
        <v>44583.0</v>
      </c>
      <c r="E3141" s="4" t="s">
        <v>8731</v>
      </c>
      <c r="F3141" s="4" t="s">
        <v>8732</v>
      </c>
      <c r="G3141" s="6" t="str">
        <f>IFERROR(__xludf.DUMMYFUNCTION("REGEXREPLACE(LOWER(F3141),""[^a-z\s]"","""")"),"great on time delivery box and contents in good condition")</f>
        <v>great on time delivery box and contents in good condition</v>
      </c>
      <c r="H3141" s="4" t="str">
        <f t="shared" si="1"/>
        <v>great on time delivery box contents in good condition</v>
      </c>
      <c r="I3141" s="6">
        <f t="shared" si="2"/>
        <v>9</v>
      </c>
      <c r="J3141" s="6">
        <f>IFERROR(__xludf.DUMMYFUNCTION("IF(H3141="""","""",
SUM(
ARRAYFORMULA(
IF(
REGEXMATCH(
"" ""&amp;H3141&amp;"" "",
"" ""&amp;Sentiment_Words!A$2:A3730&amp;"" ""
),
1,
0
)
)
)
)"),3.0)</f>
        <v>3</v>
      </c>
      <c r="K3141" s="4">
        <f>IFERROR(__xludf.DUMMYFUNCTION("IF(H3141="""","""",
SUM(
ARRAYFORMULA(
IF(
REGEXMATCH(
"" ""&amp;H3141&amp;"" "",
"" ""&amp;Sentiment_Words!B$2:B3730&amp;"" ""
),
1,
0
)
)
)
)"),0.0)</f>
        <v>0</v>
      </c>
      <c r="L3141" s="7" t="str">
        <f t="shared" si="3"/>
        <v>Other</v>
      </c>
      <c r="M3141" s="7" t="str">
        <f t="shared" si="4"/>
        <v>Positive</v>
      </c>
      <c r="N3141" s="7" t="str">
        <f>IFERROR(__xludf.DUMMYFUNCTION("LOWER(
TRIM(
REGEXREPLACE(B3141,""[^a-zA-Z\s]"","""")
)
)
"),"pamela gotthart")</f>
        <v>pamela gotthart</v>
      </c>
      <c r="O3141" s="7">
        <f t="shared" si="5"/>
        <v>1</v>
      </c>
      <c r="P3141" s="8" t="str">
        <f t="shared" si="6"/>
        <v>No</v>
      </c>
    </row>
    <row r="3142">
      <c r="A3142" s="4" t="s">
        <v>16</v>
      </c>
      <c r="B3142" s="4" t="s">
        <v>8733</v>
      </c>
      <c r="C3142" s="5">
        <v>44582.0</v>
      </c>
      <c r="D3142" s="10">
        <v>44582.0</v>
      </c>
      <c r="E3142" s="4" t="s">
        <v>8734</v>
      </c>
      <c r="F3142" s="4" t="s">
        <v>8735</v>
      </c>
      <c r="G3142" s="6" t="str">
        <f>IFERROR(__xludf.DUMMYFUNCTION("REGEXREPLACE(LOWER(F3142),""[^a-z\s]"","""")"),"petflow tries very hard to do what is right i had a code for  off online it took the discount  then on the receipt it was gone i left a message and someone called me back he didnt question the perc and immediately took the  off congrats for returning the "&amp;"call and giving no arguments it was refreshing")</f>
        <v>petflow tries very hard to do what is right i had a code for  off online it took the discount  then on the receipt it was gone i left a message and someone called me back he didnt question the perc and immediately took the  off congrats for returning the call and giving no arguments it was refreshing</v>
      </c>
      <c r="H3142" s="4" t="str">
        <f t="shared" si="1"/>
        <v>petflow tries very hard do what right i had a code off online it took discount then on receipt it was gone i left a message someone called me back he didnt question perc immediately took off congrats returning call giving no arguments it was refreshing</v>
      </c>
      <c r="I3142" s="6">
        <f t="shared" si="2"/>
        <v>46</v>
      </c>
      <c r="J3142" s="6">
        <f>IFERROR(__xludf.DUMMYFUNCTION("IF(H3142="""","""",
SUM(
ARRAYFORMULA(
IF(
REGEXMATCH(
"" ""&amp;H3142&amp;"" "",
"" ""&amp;Sentiment_Words!A$2:A3730&amp;"" ""
),
1,
0
)
)
)
)"),1.0)</f>
        <v>1</v>
      </c>
      <c r="K3142" s="4">
        <f>IFERROR(__xludf.DUMMYFUNCTION("IF(H3142="""","""",
SUM(
ARRAYFORMULA(
IF(
REGEXMATCH(
"" ""&amp;H3142&amp;"" "",
"" ""&amp;Sentiment_Words!B$2:B3730&amp;"" ""
),
1,
0
)
)
)
)"),0.0)</f>
        <v>0</v>
      </c>
      <c r="L3142" s="7" t="str">
        <f t="shared" si="3"/>
        <v>Account &amp; Website</v>
      </c>
      <c r="M3142" s="7" t="str">
        <f t="shared" si="4"/>
        <v>Positive</v>
      </c>
      <c r="N3142" s="7" t="str">
        <f>IFERROR(__xludf.DUMMYFUNCTION("LOWER(
TRIM(
REGEXREPLACE(B3142,""[^a-zA-Z\s]"","""")
)
)
"),"paula goldberg")</f>
        <v>paula goldberg</v>
      </c>
      <c r="O3142" s="7">
        <f t="shared" si="5"/>
        <v>1</v>
      </c>
      <c r="P3142" s="8" t="str">
        <f t="shared" si="6"/>
        <v>No</v>
      </c>
    </row>
    <row r="3143">
      <c r="A3143" s="4" t="s">
        <v>16</v>
      </c>
      <c r="B3143" s="4" t="s">
        <v>8736</v>
      </c>
      <c r="C3143" s="5">
        <v>44582.0</v>
      </c>
      <c r="D3143" s="10">
        <v>44582.0</v>
      </c>
      <c r="E3143" s="4" t="s">
        <v>8737</v>
      </c>
      <c r="F3143" s="4" t="s">
        <v>8738</v>
      </c>
      <c r="G3143" s="6" t="str">
        <f>IFERROR(__xludf.DUMMYFUNCTION("REGEXREPLACE(LOWER(F3143),""[^a-z\s]"","""")")," of my deliveries have had slashes in the bag so i havent been able to use the food ive complained and most times they sent me a new bag but very inconvenient")</f>
        <v> of my deliveries have had slashes in the bag so i havent been able to use the food ive complained and most times they sent me a new bag but very inconvenient</v>
      </c>
      <c r="H3143" s="4" t="str">
        <f t="shared" si="1"/>
        <v>of my deliveries have had slashes in bag so i havent been able use food ive complained most times they sent me a new bag but very inconvenient</v>
      </c>
      <c r="I3143" s="6">
        <f t="shared" si="2"/>
        <v>28</v>
      </c>
      <c r="J3143" s="6">
        <f>IFERROR(__xludf.DUMMYFUNCTION("IF(H3143="""","""",
SUM(
ARRAYFORMULA(
IF(
REGEXMATCH(
"" ""&amp;H3143&amp;"" "",
"" ""&amp;Sentiment_Words!A$2:A3730&amp;"" ""
),
1,
0
)
)
)
)"),1.0)</f>
        <v>1</v>
      </c>
      <c r="K3143" s="4">
        <f>IFERROR(__xludf.DUMMYFUNCTION("IF(H3143="""","""",
SUM(
ARRAYFORMULA(
IF(
REGEXMATCH(
"" ""&amp;H3143&amp;"" "",
"" ""&amp;Sentiment_Words!B$2:B3730&amp;"" ""
),
1,
0
)
)
)
)"),0.0)</f>
        <v>0</v>
      </c>
      <c r="L3143" s="7" t="str">
        <f t="shared" si="3"/>
        <v>Value &amp; Convenience</v>
      </c>
      <c r="M3143" s="7" t="str">
        <f t="shared" si="4"/>
        <v>Positive</v>
      </c>
      <c r="N3143" s="7" t="str">
        <f>IFERROR(__xludf.DUMMYFUNCTION("LOWER(
TRIM(
REGEXREPLACE(B3143,""[^a-zA-Z\s]"","""")
)
)
"),"ri dog owner")</f>
        <v>ri dog owner</v>
      </c>
      <c r="O3143" s="7">
        <f t="shared" si="5"/>
        <v>1</v>
      </c>
      <c r="P3143" s="8" t="str">
        <f t="shared" si="6"/>
        <v>No</v>
      </c>
    </row>
    <row r="3144">
      <c r="A3144" s="4" t="s">
        <v>16</v>
      </c>
      <c r="B3144" s="4" t="s">
        <v>8739</v>
      </c>
      <c r="C3144" s="5">
        <v>44582.0</v>
      </c>
      <c r="D3144" s="10">
        <v>44582.0</v>
      </c>
      <c r="E3144" s="4" t="s">
        <v>8740</v>
      </c>
      <c r="F3144" s="4" t="s">
        <v>8741</v>
      </c>
      <c r="G3144" s="6" t="str">
        <f>IFERROR(__xludf.DUMMYFUNCTION("REGEXREPLACE(LOWER(F3144),""[^a-z\s]"","""")"),"ordered nearly two weeks ago rx dog food status was always shipping had to hound no pun them for status finally just gave up and cancelled the order look elsewhere")</f>
        <v>ordered nearly two weeks ago rx dog food status was always shipping had to hound no pun them for status finally just gave up and cancelled the order look elsewhere</v>
      </c>
      <c r="H3144" s="4" t="str">
        <f t="shared" si="1"/>
        <v>ordered nearly two weeks ago rx dog food status was always shipping had hound no pun them status finally just gave up cancelled order look elsewhere</v>
      </c>
      <c r="I3144" s="6">
        <f t="shared" si="2"/>
        <v>26</v>
      </c>
      <c r="J3144" s="6">
        <f>IFERROR(__xludf.DUMMYFUNCTION("IF(H3144="""","""",
SUM(
ARRAYFORMULA(
IF(
REGEXMATCH(
"" ""&amp;H3144&amp;"" "",
"" ""&amp;Sentiment_Words!A$2:A3730&amp;"" ""
),
1,
0
)
)
)
)"),0.0)</f>
        <v>0</v>
      </c>
      <c r="K3144" s="4">
        <f>IFERROR(__xludf.DUMMYFUNCTION("IF(H3144="""","""",
SUM(
ARRAYFORMULA(
IF(
REGEXMATCH(
"" ""&amp;H3144&amp;"" "",
"" ""&amp;Sentiment_Words!B$2:B3730&amp;"" ""
),
1,
0
)
)
)
)"),1.0)</f>
        <v>1</v>
      </c>
      <c r="L3144" s="7" t="str">
        <f t="shared" si="3"/>
        <v>Other</v>
      </c>
      <c r="M3144" s="7" t="str">
        <f t="shared" si="4"/>
        <v>Negative</v>
      </c>
      <c r="N3144" s="7" t="str">
        <f>IFERROR(__xludf.DUMMYFUNCTION("LOWER(
TRIM(
REGEXREPLACE(B3144,""[^a-zA-Z\s]"","""")
)
)
"),"mh")</f>
        <v>mh</v>
      </c>
      <c r="O3144" s="7">
        <f t="shared" si="5"/>
        <v>2</v>
      </c>
      <c r="P3144" s="8" t="str">
        <f t="shared" si="6"/>
        <v>Yes</v>
      </c>
    </row>
    <row r="3145">
      <c r="A3145" s="4" t="s">
        <v>16</v>
      </c>
      <c r="B3145" s="4" t="s">
        <v>8742</v>
      </c>
      <c r="C3145" s="5">
        <v>44582.0</v>
      </c>
      <c r="D3145" s="10">
        <v>44582.0</v>
      </c>
      <c r="E3145" s="4" t="s">
        <v>8743</v>
      </c>
      <c r="F3145" s="4" t="s">
        <v>8744</v>
      </c>
      <c r="G3145" s="6" t="str">
        <f>IFERROR(__xludf.DUMMYFUNCTION("REGEXREPLACE(LOWER(F3145),""[^a-z\s]"","""")"),"great service prompt delivery")</f>
        <v>great service prompt delivery</v>
      </c>
      <c r="H3145" s="4" t="str">
        <f t="shared" si="1"/>
        <v>great service prompt delivery</v>
      </c>
      <c r="I3145" s="6">
        <f t="shared" si="2"/>
        <v>4</v>
      </c>
      <c r="J3145" s="6">
        <f>IFERROR(__xludf.DUMMYFUNCTION("IF(H3145="""","""",
SUM(
ARRAYFORMULA(
IF(
REGEXMATCH(
"" ""&amp;H3145&amp;"" "",
"" ""&amp;Sentiment_Words!A$2:A3730&amp;"" ""
),
1,
0
)
)
)
)"),2.0)</f>
        <v>2</v>
      </c>
      <c r="K3145" s="4">
        <f>IFERROR(__xludf.DUMMYFUNCTION("IF(H3145="""","""",
SUM(
ARRAYFORMULA(
IF(
REGEXMATCH(
"" ""&amp;H3145&amp;"" "",
"" ""&amp;Sentiment_Words!B$2:B3730&amp;"" ""
),
1,
0
)
)
)
)"),0.0)</f>
        <v>0</v>
      </c>
      <c r="L3145" s="7" t="str">
        <f t="shared" si="3"/>
        <v>Customer Support</v>
      </c>
      <c r="M3145" s="7" t="str">
        <f t="shared" si="4"/>
        <v>Positive</v>
      </c>
      <c r="N3145" s="7" t="str">
        <f>IFERROR(__xludf.DUMMYFUNCTION("LOWER(
TRIM(
REGEXREPLACE(B3145,""[^a-zA-Z\s]"","""")
)
)
"),"christine howse")</f>
        <v>christine howse</v>
      </c>
      <c r="O3145" s="7">
        <f t="shared" si="5"/>
        <v>1</v>
      </c>
      <c r="P3145" s="8" t="str">
        <f t="shared" si="6"/>
        <v>No</v>
      </c>
    </row>
    <row r="3146">
      <c r="A3146" s="4" t="s">
        <v>16</v>
      </c>
      <c r="B3146" s="4" t="s">
        <v>8745</v>
      </c>
      <c r="C3146" s="5">
        <v>44582.0</v>
      </c>
      <c r="D3146" s="10">
        <v>44582.0</v>
      </c>
      <c r="E3146" s="4" t="s">
        <v>8746</v>
      </c>
      <c r="F3146" s="4" t="s">
        <v>8747</v>
      </c>
      <c r="G3146" s="6" t="str">
        <f>IFERROR(__xludf.DUMMYFUNCTION("REGEXREPLACE(LOWER(F3146),""[^a-z\s]"","""")"),"good selection and reasonable shipping times always have trouble ordering")</f>
        <v>good selection and reasonable shipping times always have trouble ordering</v>
      </c>
      <c r="H3146" s="4" t="str">
        <f t="shared" si="1"/>
        <v>good selection reasonable shipping times always have trouble ordering</v>
      </c>
      <c r="I3146" s="6">
        <f t="shared" si="2"/>
        <v>9</v>
      </c>
      <c r="J3146" s="6">
        <f>IFERROR(__xludf.DUMMYFUNCTION("IF(H3146="""","""",
SUM(
ARRAYFORMULA(
IF(
REGEXMATCH(
"" ""&amp;H3146&amp;"" "",
"" ""&amp;Sentiment_Words!A$2:A3730&amp;"" ""
),
1,
0
)
)
)
)"),1.0)</f>
        <v>1</v>
      </c>
      <c r="K3146" s="4">
        <f>IFERROR(__xludf.DUMMYFUNCTION("IF(H3146="""","""",
SUM(
ARRAYFORMULA(
IF(
REGEXMATCH(
"" ""&amp;H3146&amp;"" "",
"" ""&amp;Sentiment_Words!B$2:B3730&amp;"" ""
),
1,
0
)
)
)
)"),0.0)</f>
        <v>0</v>
      </c>
      <c r="L3146" s="7" t="str">
        <f t="shared" si="3"/>
        <v>Other</v>
      </c>
      <c r="M3146" s="7" t="str">
        <f t="shared" si="4"/>
        <v>Positive</v>
      </c>
      <c r="N3146" s="7" t="str">
        <f>IFERROR(__xludf.DUMMYFUNCTION("LOWER(
TRIM(
REGEXREPLACE(B3146,""[^a-zA-Z\s]"","""")
)
)
"),"rcs nunya")</f>
        <v>rcs nunya</v>
      </c>
      <c r="O3146" s="7">
        <f t="shared" si="5"/>
        <v>1</v>
      </c>
      <c r="P3146" s="8" t="str">
        <f t="shared" si="6"/>
        <v>No</v>
      </c>
    </row>
    <row r="3147">
      <c r="A3147" s="4" t="s">
        <v>16</v>
      </c>
      <c r="B3147" s="4" t="s">
        <v>1767</v>
      </c>
      <c r="C3147" s="5">
        <v>44582.0</v>
      </c>
      <c r="D3147" s="10">
        <v>44582.0</v>
      </c>
      <c r="E3147" s="4" t="s">
        <v>6715</v>
      </c>
      <c r="F3147" s="4" t="s">
        <v>8748</v>
      </c>
      <c r="G3147" s="6" t="str">
        <f>IFERROR(__xludf.DUMMYFUNCTION("REGEXREPLACE(LOWER(F3147),""[^a-z\s]"","""")"),"i was very happy with service from customer service")</f>
        <v>i was very happy with service from customer service</v>
      </c>
      <c r="H3147" s="4" t="str">
        <f t="shared" si="1"/>
        <v>i was very happy with service from customer service</v>
      </c>
      <c r="I3147" s="6">
        <f t="shared" si="2"/>
        <v>9</v>
      </c>
      <c r="J3147" s="6">
        <f>IFERROR(__xludf.DUMMYFUNCTION("IF(H3147="""","""",
SUM(
ARRAYFORMULA(
IF(
REGEXMATCH(
"" ""&amp;H3147&amp;"" "",
"" ""&amp;Sentiment_Words!A$2:A3730&amp;"" ""
),
1,
0
)
)
)
)"),1.0)</f>
        <v>1</v>
      </c>
      <c r="K3147" s="4">
        <f>IFERROR(__xludf.DUMMYFUNCTION("IF(H3147="""","""",
SUM(
ARRAYFORMULA(
IF(
REGEXMATCH(
"" ""&amp;H3147&amp;"" "",
"" ""&amp;Sentiment_Words!B$2:B3730&amp;"" ""
),
1,
0
)
)
)
)"),1.0)</f>
        <v>1</v>
      </c>
      <c r="L3147" s="7" t="str">
        <f t="shared" si="3"/>
        <v>Customer Support</v>
      </c>
      <c r="M3147" s="7" t="str">
        <f t="shared" si="4"/>
        <v>Neutral</v>
      </c>
      <c r="N3147" s="7" t="str">
        <f>IFERROR(__xludf.DUMMYFUNCTION("LOWER(
TRIM(
REGEXREPLACE(B3147,""[^a-zA-Z\s]"","""")
)
)
"),"patricia")</f>
        <v>patricia</v>
      </c>
      <c r="O3147" s="7">
        <f t="shared" si="5"/>
        <v>5</v>
      </c>
      <c r="P3147" s="8" t="str">
        <f t="shared" si="6"/>
        <v>Yes</v>
      </c>
    </row>
    <row r="3148">
      <c r="A3148" s="4" t="s">
        <v>16</v>
      </c>
      <c r="B3148" s="4" t="s">
        <v>8749</v>
      </c>
      <c r="C3148" s="5">
        <v>44582.0</v>
      </c>
      <c r="D3148" s="10">
        <v>44582.0</v>
      </c>
      <c r="E3148" s="4" t="s">
        <v>8750</v>
      </c>
      <c r="F3148" s="4" t="s">
        <v>8751</v>
      </c>
      <c r="G3148" s="6" t="str">
        <f>IFERROR(__xludf.DUMMYFUNCTION("REGEXREPLACE(LOWER(F3148),""[^a-z\s]"","""")"),"the one reason i placed an order with this company was for a specific item they listed on their web site i had to order another very small item to qualify for free shipping so i did i was later informed the main item was no longer in stock and never had a"&amp;"n option to cancel the other small item i didnt even want to begin with")</f>
        <v>the one reason i placed an order with this company was for a specific item they listed on their web site i had to order another very small item to qualify for free shipping so i did i was later informed the main item was no longer in stock and never had an option to cancel the other small item i didnt even want to begin with</v>
      </c>
      <c r="H3148" s="4" t="str">
        <f t="shared" si="1"/>
        <v>one reason i placed an order with this company was a specific item they listed on their web site i had order another very small item qualify free shipping so i did i was later informed main item was no longer in stock never had an option cancel other small item i didnt even want begin with</v>
      </c>
      <c r="I3148" s="6">
        <f t="shared" si="2"/>
        <v>57</v>
      </c>
      <c r="J3148" s="6">
        <f>IFERROR(__xludf.DUMMYFUNCTION("IF(H3148="""","""",
SUM(
ARRAYFORMULA(
IF(
REGEXMATCH(
"" ""&amp;H3148&amp;"" "",
"" ""&amp;Sentiment_Words!A$2:A3730&amp;"" ""
),
1,
0
)
)
)
)"),0.0)</f>
        <v>0</v>
      </c>
      <c r="K3148" s="4">
        <f>IFERROR(__xludf.DUMMYFUNCTION("IF(H3148="""","""",
SUM(
ARRAYFORMULA(
IF(
REGEXMATCH(
"" ""&amp;H3148&amp;"" "",
"" ""&amp;Sentiment_Words!B$2:B3730&amp;"" ""
),
1,
0
)
)
)
)"),0.0)</f>
        <v>0</v>
      </c>
      <c r="L3148" s="7" t="str">
        <f t="shared" si="3"/>
        <v>Fulfillment &amp; Shipping</v>
      </c>
      <c r="M3148" s="7" t="str">
        <f t="shared" si="4"/>
        <v>Neutral</v>
      </c>
      <c r="N3148" s="7" t="str">
        <f>IFERROR(__xludf.DUMMYFUNCTION("LOWER(
TRIM(
REGEXREPLACE(B3148,""[^a-zA-Z\s]"","""")
)
)
"),"andrew")</f>
        <v>andrew</v>
      </c>
      <c r="O3148" s="7">
        <f t="shared" si="5"/>
        <v>3</v>
      </c>
      <c r="P3148" s="8" t="str">
        <f t="shared" si="6"/>
        <v>Yes</v>
      </c>
    </row>
    <row r="3149">
      <c r="A3149" s="4" t="s">
        <v>16</v>
      </c>
      <c r="B3149" s="4" t="s">
        <v>8752</v>
      </c>
      <c r="C3149" s="5">
        <v>44581.0</v>
      </c>
      <c r="D3149" s="10">
        <v>44581.0</v>
      </c>
      <c r="E3149" s="4" t="s">
        <v>8753</v>
      </c>
      <c r="F3149" s="4" t="s">
        <v>8754</v>
      </c>
      <c r="G3149" s="6" t="str">
        <f>IFERROR(__xludf.DUMMYFUNCTION("REGEXREPLACE(LOWER(F3149),""[^a-z\s]"","""")"),"was disappointed on my order the item i ordered was out of stock and replacement with something else without informing")</f>
        <v>was disappointed on my order the item i ordered was out of stock and replacement with something else without informing</v>
      </c>
      <c r="H3149" s="4" t="str">
        <f t="shared" si="1"/>
        <v>was disappointed on my order item i ordered was out of stock replacement with something else without informing</v>
      </c>
      <c r="I3149" s="6">
        <f t="shared" si="2"/>
        <v>18</v>
      </c>
      <c r="J3149" s="6">
        <f>IFERROR(__xludf.DUMMYFUNCTION("IF(H3149="""","""",
SUM(
ARRAYFORMULA(
IF(
REGEXMATCH(
"" ""&amp;H3149&amp;"" "",
"" ""&amp;Sentiment_Words!A$2:A3730&amp;"" ""
),
1,
0
)
)
)
)"),0.0)</f>
        <v>0</v>
      </c>
      <c r="K3149" s="4">
        <f>IFERROR(__xludf.DUMMYFUNCTION("IF(H3149="""","""",
SUM(
ARRAYFORMULA(
IF(
REGEXMATCH(
"" ""&amp;H3149&amp;"" "",
"" ""&amp;Sentiment_Words!B$2:B3730&amp;"" ""
),
1,
0
)
)
)
)"),1.0)</f>
        <v>1</v>
      </c>
      <c r="L3149" s="7" t="str">
        <f t="shared" si="3"/>
        <v>Availability</v>
      </c>
      <c r="M3149" s="7" t="str">
        <f t="shared" si="4"/>
        <v>Negative</v>
      </c>
      <c r="N3149" s="7" t="str">
        <f>IFERROR(__xludf.DUMMYFUNCTION("LOWER(
TRIM(
REGEXREPLACE(B3149,""[^a-zA-Z\s]"","""")
)
)
"),"brenda fluharty")</f>
        <v>brenda fluharty</v>
      </c>
      <c r="O3149" s="7">
        <f t="shared" si="5"/>
        <v>1</v>
      </c>
      <c r="P3149" s="8" t="str">
        <f t="shared" si="6"/>
        <v>No</v>
      </c>
    </row>
    <row r="3150">
      <c r="A3150" s="4" t="s">
        <v>16</v>
      </c>
      <c r="B3150" s="4" t="s">
        <v>8755</v>
      </c>
      <c r="C3150" s="5">
        <v>44581.0</v>
      </c>
      <c r="D3150" s="10">
        <v>44581.0</v>
      </c>
      <c r="E3150" s="4" t="s">
        <v>8756</v>
      </c>
      <c r="F3150" s="4" t="s">
        <v>8757</v>
      </c>
      <c r="G3150" s="6" t="str">
        <f>IFERROR(__xludf.DUMMYFUNCTION("REGEXREPLACE(LOWER(F3150),""[^a-z\s]"","""")"),"i give one star only because  wasnt an option i placed my order then get an email stating that the product i ordered was unavailable in fact discontinued then i start getting emails saying my payment through paypal wouldnt authorizeworked fine for everyon"&amp;"e else but why are you even trying to charge it when merchandise was unavailable i email to ask that questionget an email that someone would respond in the meantime i get another email saying my payment method was again declined")</f>
        <v>i give one star only because  wasnt an option i placed my order then get an email stating that the product i ordered was unavailable in fact discontinued then i start getting emails saying my payment through paypal wouldnt authorizeworked fine for everyone else but why are you even trying to charge it when merchandise was unavailable i email to ask that questionget an email that someone would respond in the meantime i get another email saying my payment method was again declined</v>
      </c>
      <c r="H3150" s="4" t="str">
        <f t="shared" si="1"/>
        <v>i give one star only because wasnt an option i placed my order then get an email stating that product i ordered was unavailable in fact discontinued then i start getting emails saying my payment through paypal wouldnt authorizeworked fine everyone else but why are you even trying charge it when merchandise was unavailable i email ask that questionget an email that someone would respond in meantime i get another email saying my payment method was again declined</v>
      </c>
      <c r="I3150" s="6">
        <f t="shared" si="2"/>
        <v>78</v>
      </c>
      <c r="J3150" s="6">
        <f>IFERROR(__xludf.DUMMYFUNCTION("IF(H3150="""","""",
SUM(
ARRAYFORMULA(
IF(
REGEXMATCH(
"" ""&amp;H3150&amp;"" "",
"" ""&amp;Sentiment_Words!A$2:A3730&amp;"" ""
),
1,
0
)
)
)
)"),0.0)</f>
        <v>0</v>
      </c>
      <c r="K3150" s="4">
        <f>IFERROR(__xludf.DUMMYFUNCTION("IF(H3150="""","""",
SUM(
ARRAYFORMULA(
IF(
REGEXMATCH(
"" ""&amp;H3150&amp;"" "",
"" ""&amp;Sentiment_Words!B$2:B3730&amp;"" ""
),
1,
0
)
)
)
)"),1.0)</f>
        <v>1</v>
      </c>
      <c r="L3150" s="7" t="str">
        <f t="shared" si="3"/>
        <v>Availability</v>
      </c>
      <c r="M3150" s="7" t="str">
        <f t="shared" si="4"/>
        <v>Negative</v>
      </c>
      <c r="N3150" s="7" t="str">
        <f>IFERROR(__xludf.DUMMYFUNCTION("LOWER(
TRIM(
REGEXREPLACE(B3150,""[^a-zA-Z\s]"","""")
)
)
"),"jim curtis")</f>
        <v>jim curtis</v>
      </c>
      <c r="O3150" s="7">
        <f t="shared" si="5"/>
        <v>1</v>
      </c>
      <c r="P3150" s="8" t="str">
        <f t="shared" si="6"/>
        <v>No</v>
      </c>
    </row>
    <row r="3151">
      <c r="A3151" s="4" t="s">
        <v>16</v>
      </c>
      <c r="B3151" s="4" t="s">
        <v>8758</v>
      </c>
      <c r="C3151" s="5">
        <v>44581.0</v>
      </c>
      <c r="D3151" s="10">
        <v>44581.0</v>
      </c>
      <c r="E3151" s="4" t="s">
        <v>3565</v>
      </c>
      <c r="F3151" s="4" t="s">
        <v>8759</v>
      </c>
      <c r="G3151" s="6" t="str">
        <f>IFERROR(__xludf.DUMMYFUNCTION("REGEXREPLACE(LOWER(F3151),""[^a-z\s]"","""")"),"the box was falling apart i cant imagine how the delivery driver managed to carry it to the porch fortunately the bags of food are intact and not
damaged")</f>
        <v>the box was falling apart i cant imagine how the delivery driver managed to carry it to the porch fortunately the bags of food are intact and not
damaged</v>
      </c>
      <c r="H3151" s="4" t="str">
        <f t="shared" si="1"/>
        <v>box was falling apart i cant imagine how delivery driver managed carry it porch fortunately bags of food are intact not
damaged</v>
      </c>
      <c r="I3151" s="6">
        <f t="shared" si="2"/>
        <v>21</v>
      </c>
      <c r="J3151" s="6">
        <f>IFERROR(__xludf.DUMMYFUNCTION("IF(H3151="""","""",
SUM(
ARRAYFORMULA(
IF(
REGEXMATCH(
"" ""&amp;H3151&amp;"" "",
"" ""&amp;Sentiment_Words!A$2:A3730&amp;"" ""
),
1,
0
)
)
)
)"),0.0)</f>
        <v>0</v>
      </c>
      <c r="K3151" s="4">
        <f>IFERROR(__xludf.DUMMYFUNCTION("IF(H3151="""","""",
SUM(
ARRAYFORMULA(
IF(
REGEXMATCH(
"" ""&amp;H3151&amp;"" "",
"" ""&amp;Sentiment_Words!B$2:B3730&amp;"" ""
),
1,
0
)
)
)
)"),0.0)</f>
        <v>0</v>
      </c>
      <c r="L3151" s="7" t="str">
        <f t="shared" si="3"/>
        <v>Other</v>
      </c>
      <c r="M3151" s="7" t="str">
        <f t="shared" si="4"/>
        <v>Neutral</v>
      </c>
      <c r="N3151" s="7" t="str">
        <f>IFERROR(__xludf.DUMMYFUNCTION("LOWER(
TRIM(
REGEXREPLACE(B3151,""[^a-zA-Z\s]"","""")
)
)
"),"jodi friedman")</f>
        <v>jodi friedman</v>
      </c>
      <c r="O3151" s="7">
        <f t="shared" si="5"/>
        <v>1</v>
      </c>
      <c r="P3151" s="8" t="str">
        <f t="shared" si="6"/>
        <v>No</v>
      </c>
    </row>
    <row r="3152">
      <c r="A3152" s="4" t="s">
        <v>16</v>
      </c>
      <c r="B3152" s="4" t="s">
        <v>8760</v>
      </c>
      <c r="C3152" s="5">
        <v>44581.0</v>
      </c>
      <c r="D3152" s="10">
        <v>44581.0</v>
      </c>
      <c r="E3152" s="4" t="s">
        <v>8761</v>
      </c>
      <c r="F3152" s="4" t="s">
        <v>8762</v>
      </c>
      <c r="G3152" s="6" t="str">
        <f>IFERROR(__xludf.DUMMYFUNCTION("REGEXREPLACE(LOWER(F3152),""[^a-z\s]"","""")"),"excellent order on time i will order something soon thank you")</f>
        <v>excellent order on time i will order something soon thank you</v>
      </c>
      <c r="H3152" s="4" t="str">
        <f t="shared" si="1"/>
        <v>excellent order on time i will order something soon thank you</v>
      </c>
      <c r="I3152" s="6">
        <f t="shared" si="2"/>
        <v>11</v>
      </c>
      <c r="J3152" s="6">
        <f>IFERROR(__xludf.DUMMYFUNCTION("IF(H3152="""","""",
SUM(
ARRAYFORMULA(
IF(
REGEXMATCH(
"" ""&amp;H3152&amp;"" "",
"" ""&amp;Sentiment_Words!A$2:A3730&amp;"" ""
),
1,
0
)
)
)
)"),1.0)</f>
        <v>1</v>
      </c>
      <c r="K3152" s="4">
        <f>IFERROR(__xludf.DUMMYFUNCTION("IF(H3152="""","""",
SUM(
ARRAYFORMULA(
IF(
REGEXMATCH(
"" ""&amp;H3152&amp;"" "",
"" ""&amp;Sentiment_Words!B$2:B3730&amp;"" ""
),
1,
0
)
)
)
)"),0.0)</f>
        <v>0</v>
      </c>
      <c r="L3152" s="7" t="str">
        <f t="shared" si="3"/>
        <v>Other</v>
      </c>
      <c r="M3152" s="7" t="str">
        <f t="shared" si="4"/>
        <v>Positive</v>
      </c>
      <c r="N3152" s="7" t="str">
        <f>IFERROR(__xludf.DUMMYFUNCTION("LOWER(
TRIM(
REGEXREPLACE(B3152,""[^a-zA-Z\s]"","""")
)
)
"),"phyllis enman")</f>
        <v>phyllis enman</v>
      </c>
      <c r="O3152" s="7">
        <f t="shared" si="5"/>
        <v>1</v>
      </c>
      <c r="P3152" s="8" t="str">
        <f t="shared" si="6"/>
        <v>No</v>
      </c>
    </row>
    <row r="3153">
      <c r="A3153" s="4" t="s">
        <v>16</v>
      </c>
      <c r="B3153" s="4" t="s">
        <v>8763</v>
      </c>
      <c r="C3153" s="5">
        <v>44581.0</v>
      </c>
      <c r="D3153" s="10">
        <v>44581.0</v>
      </c>
      <c r="E3153" s="4" t="s">
        <v>8764</v>
      </c>
      <c r="F3153" s="4" t="s">
        <v>331</v>
      </c>
      <c r="G3153" s="6" t="str">
        <f>IFERROR(__xludf.DUMMYFUNCTION("REGEXREPLACE(LOWER(F3153),""[^a-z\s]"","""")"),"none")</f>
        <v>none</v>
      </c>
      <c r="H3153" s="4" t="str">
        <f t="shared" si="1"/>
        <v>none</v>
      </c>
      <c r="I3153" s="6">
        <f t="shared" si="2"/>
        <v>1</v>
      </c>
      <c r="J3153" s="6">
        <f>IFERROR(__xludf.DUMMYFUNCTION("IF(H3153="""","""",
SUM(
ARRAYFORMULA(
IF(
REGEXMATCH(
"" ""&amp;H3153&amp;"" "",
"" ""&amp;Sentiment_Words!A$2:A3730&amp;"" ""
),
1,
0
)
)
)
)"),0.0)</f>
        <v>0</v>
      </c>
      <c r="K3153" s="4">
        <f>IFERROR(__xludf.DUMMYFUNCTION("IF(H3153="""","""",
SUM(
ARRAYFORMULA(
IF(
REGEXMATCH(
"" ""&amp;H3153&amp;"" "",
"" ""&amp;Sentiment_Words!B$2:B3730&amp;"" ""
),
1,
0
)
)
)
)"),0.0)</f>
        <v>0</v>
      </c>
      <c r="L3153" s="7" t="str">
        <f t="shared" si="3"/>
        <v>Other</v>
      </c>
      <c r="M3153" s="7" t="str">
        <f t="shared" si="4"/>
        <v>Neutral</v>
      </c>
      <c r="N3153" s="7" t="str">
        <f>IFERROR(__xludf.DUMMYFUNCTION("LOWER(
TRIM(
REGEXREPLACE(B3153,""[^a-zA-Z\s]"","""")
)
)
"),"ilona gomez")</f>
        <v>ilona gomez</v>
      </c>
      <c r="O3153" s="7">
        <f t="shared" si="5"/>
        <v>1</v>
      </c>
      <c r="P3153" s="8" t="str">
        <f t="shared" si="6"/>
        <v>No</v>
      </c>
    </row>
    <row r="3154">
      <c r="A3154" s="4" t="s">
        <v>16</v>
      </c>
      <c r="B3154" s="4" t="s">
        <v>8765</v>
      </c>
      <c r="C3154" s="5">
        <v>44581.0</v>
      </c>
      <c r="D3154" s="10">
        <v>44581.0</v>
      </c>
      <c r="E3154" s="4" t="s">
        <v>8766</v>
      </c>
      <c r="F3154" s="4" t="s">
        <v>331</v>
      </c>
      <c r="G3154" s="6" t="str">
        <f>IFERROR(__xludf.DUMMYFUNCTION("REGEXREPLACE(LOWER(F3154),""[^a-z\s]"","""")"),"none")</f>
        <v>none</v>
      </c>
      <c r="H3154" s="4" t="str">
        <f t="shared" si="1"/>
        <v>none</v>
      </c>
      <c r="I3154" s="6">
        <f t="shared" si="2"/>
        <v>1</v>
      </c>
      <c r="J3154" s="6">
        <f>IFERROR(__xludf.DUMMYFUNCTION("IF(H3154="""","""",
SUM(
ARRAYFORMULA(
IF(
REGEXMATCH(
"" ""&amp;H3154&amp;"" "",
"" ""&amp;Sentiment_Words!A$2:A3730&amp;"" ""
),
1,
0
)
)
)
)"),0.0)</f>
        <v>0</v>
      </c>
      <c r="K3154" s="4">
        <f>IFERROR(__xludf.DUMMYFUNCTION("IF(H3154="""","""",
SUM(
ARRAYFORMULA(
IF(
REGEXMATCH(
"" ""&amp;H3154&amp;"" "",
"" ""&amp;Sentiment_Words!B$2:B3730&amp;"" ""
),
1,
0
)
)
)
)"),0.0)</f>
        <v>0</v>
      </c>
      <c r="L3154" s="7" t="str">
        <f t="shared" si="3"/>
        <v>Other</v>
      </c>
      <c r="M3154" s="7" t="str">
        <f t="shared" si="4"/>
        <v>Neutral</v>
      </c>
      <c r="N3154" s="7" t="str">
        <f>IFERROR(__xludf.DUMMYFUNCTION("LOWER(
TRIM(
REGEXREPLACE(B3154,""[^a-zA-Z\s]"","""")
)
)
"),"robert taylor")</f>
        <v>robert taylor</v>
      </c>
      <c r="O3154" s="7">
        <f t="shared" si="5"/>
        <v>1</v>
      </c>
      <c r="P3154" s="8" t="str">
        <f t="shared" si="6"/>
        <v>No</v>
      </c>
    </row>
    <row r="3155">
      <c r="A3155" s="4" t="s">
        <v>16</v>
      </c>
      <c r="B3155" s="4" t="s">
        <v>2179</v>
      </c>
      <c r="C3155" s="5">
        <v>44581.0</v>
      </c>
      <c r="D3155" s="10">
        <v>44581.0</v>
      </c>
      <c r="E3155" s="4" t="s">
        <v>8767</v>
      </c>
      <c r="F3155" s="4" t="s">
        <v>331</v>
      </c>
      <c r="G3155" s="6" t="str">
        <f>IFERROR(__xludf.DUMMYFUNCTION("REGEXREPLACE(LOWER(F3155),""[^a-z\s]"","""")"),"none")</f>
        <v>none</v>
      </c>
      <c r="H3155" s="4" t="str">
        <f t="shared" si="1"/>
        <v>none</v>
      </c>
      <c r="I3155" s="6">
        <f t="shared" si="2"/>
        <v>1</v>
      </c>
      <c r="J3155" s="6">
        <f>IFERROR(__xludf.DUMMYFUNCTION("IF(H3155="""","""",
SUM(
ARRAYFORMULA(
IF(
REGEXMATCH(
"" ""&amp;H3155&amp;"" "",
"" ""&amp;Sentiment_Words!A$2:A3730&amp;"" ""
),
1,
0
)
)
)
)"),0.0)</f>
        <v>0</v>
      </c>
      <c r="K3155" s="4">
        <f>IFERROR(__xludf.DUMMYFUNCTION("IF(H3155="""","""",
SUM(
ARRAYFORMULA(
IF(
REGEXMATCH(
"" ""&amp;H3155&amp;"" "",
"" ""&amp;Sentiment_Words!B$2:B3730&amp;"" ""
),
1,
0
)
)
)
)"),0.0)</f>
        <v>0</v>
      </c>
      <c r="L3155" s="7" t="str">
        <f t="shared" si="3"/>
        <v>Other</v>
      </c>
      <c r="M3155" s="7" t="str">
        <f t="shared" si="4"/>
        <v>Neutral</v>
      </c>
      <c r="N3155" s="7" t="str">
        <f>IFERROR(__xludf.DUMMYFUNCTION("LOWER(
TRIM(
REGEXREPLACE(B3155,""[^a-zA-Z\s]"","""")
)
)
"),"joy")</f>
        <v>joy</v>
      </c>
      <c r="O3155" s="7">
        <f t="shared" si="5"/>
        <v>2</v>
      </c>
      <c r="P3155" s="8" t="str">
        <f t="shared" si="6"/>
        <v>Yes</v>
      </c>
    </row>
    <row r="3156">
      <c r="A3156" s="4" t="s">
        <v>16</v>
      </c>
      <c r="B3156" s="4" t="s">
        <v>1767</v>
      </c>
      <c r="C3156" s="5">
        <v>44581.0</v>
      </c>
      <c r="D3156" s="10">
        <v>44581.0</v>
      </c>
      <c r="E3156" s="4" t="s">
        <v>8768</v>
      </c>
      <c r="F3156" s="4" t="s">
        <v>331</v>
      </c>
      <c r="G3156" s="6" t="str">
        <f>IFERROR(__xludf.DUMMYFUNCTION("REGEXREPLACE(LOWER(F3156),""[^a-z\s]"","""")"),"none")</f>
        <v>none</v>
      </c>
      <c r="H3156" s="4" t="str">
        <f t="shared" si="1"/>
        <v>none</v>
      </c>
      <c r="I3156" s="6">
        <f t="shared" si="2"/>
        <v>1</v>
      </c>
      <c r="J3156" s="6">
        <f>IFERROR(__xludf.DUMMYFUNCTION("IF(H3156="""","""",
SUM(
ARRAYFORMULA(
IF(
REGEXMATCH(
"" ""&amp;H3156&amp;"" "",
"" ""&amp;Sentiment_Words!A$2:A3730&amp;"" ""
),
1,
0
)
)
)
)"),0.0)</f>
        <v>0</v>
      </c>
      <c r="K3156" s="4">
        <f>IFERROR(__xludf.DUMMYFUNCTION("IF(H3156="""","""",
SUM(
ARRAYFORMULA(
IF(
REGEXMATCH(
"" ""&amp;H3156&amp;"" "",
"" ""&amp;Sentiment_Words!B$2:B3730&amp;"" ""
),
1,
0
)
)
)
)"),0.0)</f>
        <v>0</v>
      </c>
      <c r="L3156" s="7" t="str">
        <f t="shared" si="3"/>
        <v>Other</v>
      </c>
      <c r="M3156" s="7" t="str">
        <f t="shared" si="4"/>
        <v>Neutral</v>
      </c>
      <c r="N3156" s="7" t="str">
        <f>IFERROR(__xludf.DUMMYFUNCTION("LOWER(
TRIM(
REGEXREPLACE(B3156,""[^a-zA-Z\s]"","""")
)
)
"),"patricia")</f>
        <v>patricia</v>
      </c>
      <c r="O3156" s="7">
        <f t="shared" si="5"/>
        <v>5</v>
      </c>
      <c r="P3156" s="8" t="str">
        <f t="shared" si="6"/>
        <v>Yes</v>
      </c>
    </row>
    <row r="3157">
      <c r="A3157" s="4" t="s">
        <v>16</v>
      </c>
      <c r="B3157" s="4" t="s">
        <v>8769</v>
      </c>
      <c r="C3157" s="5">
        <v>44581.0</v>
      </c>
      <c r="D3157" s="10">
        <v>44581.0</v>
      </c>
      <c r="E3157" s="4" t="s">
        <v>2524</v>
      </c>
      <c r="F3157" s="4" t="s">
        <v>331</v>
      </c>
      <c r="G3157" s="6" t="str">
        <f>IFERROR(__xludf.DUMMYFUNCTION("REGEXREPLACE(LOWER(F3157),""[^a-z\s]"","""")"),"none")</f>
        <v>none</v>
      </c>
      <c r="H3157" s="4" t="str">
        <f t="shared" si="1"/>
        <v>none</v>
      </c>
      <c r="I3157" s="6">
        <f t="shared" si="2"/>
        <v>1</v>
      </c>
      <c r="J3157" s="6">
        <f>IFERROR(__xludf.DUMMYFUNCTION("IF(H3157="""","""",
SUM(
ARRAYFORMULA(
IF(
REGEXMATCH(
"" ""&amp;H3157&amp;"" "",
"" ""&amp;Sentiment_Words!A$2:A3730&amp;"" ""
),
1,
0
)
)
)
)"),0.0)</f>
        <v>0</v>
      </c>
      <c r="K3157" s="4">
        <f>IFERROR(__xludf.DUMMYFUNCTION("IF(H3157="""","""",
SUM(
ARRAYFORMULA(
IF(
REGEXMATCH(
"" ""&amp;H3157&amp;"" "",
"" ""&amp;Sentiment_Words!B$2:B3730&amp;"" ""
),
1,
0
)
)
)
)"),0.0)</f>
        <v>0</v>
      </c>
      <c r="L3157" s="7" t="str">
        <f t="shared" si="3"/>
        <v>Other</v>
      </c>
      <c r="M3157" s="7" t="str">
        <f t="shared" si="4"/>
        <v>Neutral</v>
      </c>
      <c r="N3157" s="7" t="str">
        <f>IFERROR(__xludf.DUMMYFUNCTION("LOWER(
TRIM(
REGEXREPLACE(B3157,""[^a-zA-Z\s]"","""")
)
)
"),"amar kaur")</f>
        <v>amar kaur</v>
      </c>
      <c r="O3157" s="7">
        <f t="shared" si="5"/>
        <v>1</v>
      </c>
      <c r="P3157" s="8" t="str">
        <f t="shared" si="6"/>
        <v>No</v>
      </c>
    </row>
    <row r="3158">
      <c r="A3158" s="4" t="s">
        <v>16</v>
      </c>
      <c r="B3158" s="4" t="s">
        <v>8770</v>
      </c>
      <c r="C3158" s="5">
        <v>44581.0</v>
      </c>
      <c r="D3158" s="10">
        <v>44581.0</v>
      </c>
      <c r="E3158" s="4" t="s">
        <v>8771</v>
      </c>
      <c r="F3158" s="4" t="s">
        <v>8772</v>
      </c>
      <c r="G3158" s="6" t="str">
        <f>IFERROR(__xludf.DUMMYFUNCTION("REGEXREPLACE(LOWER(F3158),""[^a-z\s]"","""")"),"i really loved my experience with petflow the items i ordered were well packaged and arrived in a timely manner
i plan on continuing to do business with them")</f>
        <v>i really loved my experience with petflow the items i ordered were well packaged and arrived in a timely manner
i plan on continuing to do business with them</v>
      </c>
      <c r="H3158" s="4" t="str">
        <f t="shared" si="1"/>
        <v>i really loved my experience with petflow items i ordered were well packaged arrived in a timely manner
i plan on continuing do business with them</v>
      </c>
      <c r="I3158" s="6">
        <f t="shared" si="2"/>
        <v>25</v>
      </c>
      <c r="J3158" s="6">
        <f>IFERROR(__xludf.DUMMYFUNCTION("IF(H3158="""","""",
SUM(
ARRAYFORMULA(
IF(
REGEXMATCH(
"" ""&amp;H3158&amp;"" "",
"" ""&amp;Sentiment_Words!A$2:A3730&amp;"" ""
),
1,
0
)
)
)
)"),0.0)</f>
        <v>0</v>
      </c>
      <c r="K3158" s="4">
        <f>IFERROR(__xludf.DUMMYFUNCTION("IF(H3158="""","""",
SUM(
ARRAYFORMULA(
IF(
REGEXMATCH(
"" ""&amp;H3158&amp;"" "",
"" ""&amp;Sentiment_Words!B$2:B3730&amp;"" ""
),
1,
0
)
)
)
)"),0.0)</f>
        <v>0</v>
      </c>
      <c r="L3158" s="7" t="str">
        <f t="shared" si="3"/>
        <v>Other</v>
      </c>
      <c r="M3158" s="7" t="str">
        <f t="shared" si="4"/>
        <v>Neutral</v>
      </c>
      <c r="N3158" s="7" t="str">
        <f>IFERROR(__xludf.DUMMYFUNCTION("LOWER(
TRIM(
REGEXREPLACE(B3158,""[^a-zA-Z\s]"","""")
)
)
"),"jacqueline cardoza")</f>
        <v>jacqueline cardoza</v>
      </c>
      <c r="O3158" s="7">
        <f t="shared" si="5"/>
        <v>1</v>
      </c>
      <c r="P3158" s="8" t="str">
        <f t="shared" si="6"/>
        <v>No</v>
      </c>
    </row>
    <row r="3159">
      <c r="A3159" s="4" t="s">
        <v>16</v>
      </c>
      <c r="B3159" s="4" t="s">
        <v>8773</v>
      </c>
      <c r="C3159" s="5">
        <v>44581.0</v>
      </c>
      <c r="D3159" s="10">
        <v>44581.0</v>
      </c>
      <c r="E3159" s="4" t="s">
        <v>8774</v>
      </c>
      <c r="F3159" s="4" t="s">
        <v>8775</v>
      </c>
      <c r="G3159" s="6" t="str">
        <f>IFERROR(__xludf.DUMMYFUNCTION("REGEXREPLACE(LOWER(F3159),""[^a-z\s]"","""")"),"fabulous website  excellent customer support  service ")</f>
        <v>fabulous website  excellent customer support  service </v>
      </c>
      <c r="H3159" s="4" t="str">
        <f t="shared" si="1"/>
        <v>fabulous website excellent customer support service</v>
      </c>
      <c r="I3159" s="6">
        <f t="shared" si="2"/>
        <v>6</v>
      </c>
      <c r="J3159" s="6">
        <f>IFERROR(__xludf.DUMMYFUNCTION("IF(H3159="""","""",
SUM(
ARRAYFORMULA(
IF(
REGEXMATCH(
"" ""&amp;H3159&amp;"" "",
"" ""&amp;Sentiment_Words!A$2:A3730&amp;"" ""
),
1,
0
)
)
)
)"),0.0)</f>
        <v>0</v>
      </c>
      <c r="K3159" s="4">
        <f>IFERROR(__xludf.DUMMYFUNCTION("IF(H3159="""","""",
SUM(
ARRAYFORMULA(
IF(
REGEXMATCH(
"" ""&amp;H3159&amp;"" "",
"" ""&amp;Sentiment_Words!B$2:B3730&amp;"" ""
),
1,
0
)
)
)
)"),0.0)</f>
        <v>0</v>
      </c>
      <c r="L3159" s="7" t="str">
        <f t="shared" si="3"/>
        <v>Customer Support</v>
      </c>
      <c r="M3159" s="7" t="str">
        <f t="shared" si="4"/>
        <v>Neutral</v>
      </c>
      <c r="N3159" s="7" t="str">
        <f>IFERROR(__xludf.DUMMYFUNCTION("LOWER(
TRIM(
REGEXREPLACE(B3159,""[^a-zA-Z\s]"","""")
)
)
"),"audra chmiel")</f>
        <v>audra chmiel</v>
      </c>
      <c r="O3159" s="7">
        <f t="shared" si="5"/>
        <v>1</v>
      </c>
      <c r="P3159" s="8" t="str">
        <f t="shared" si="6"/>
        <v>No</v>
      </c>
    </row>
    <row r="3160">
      <c r="A3160" s="4" t="s">
        <v>16</v>
      </c>
      <c r="B3160" s="4" t="s">
        <v>8776</v>
      </c>
      <c r="C3160" s="5">
        <v>44581.0</v>
      </c>
      <c r="D3160" s="10">
        <v>44581.0</v>
      </c>
      <c r="E3160" s="4" t="s">
        <v>2720</v>
      </c>
      <c r="F3160" s="4" t="s">
        <v>8777</v>
      </c>
      <c r="G3160" s="6" t="str">
        <f>IFERROR(__xludf.DUMMYFUNCTION("REGEXREPLACE(LOWER(F3160),""[^a-z\s]"","""")"),"i placed my order on january and did not receive my package until january i was expecting shipping to be sooner and i almost ran out of food for my  working dogs although i appreciate that petflow carries open farm i will not be ordering the dr tims from "&amp;"petflow any longer  will be going back to chewy")</f>
        <v>i placed my order on january and did not receive my package until january i was expecting shipping to be sooner and i almost ran out of food for my  working dogs although i appreciate that petflow carries open farm i will not be ordering the dr tims from petflow any longer  will be going back to chewy</v>
      </c>
      <c r="H3160" s="4" t="str">
        <f t="shared" si="1"/>
        <v>i placed my order on january did not receive my package until january i was expecting shipping be sooner i almost ran out of food my working dogs although i appreciate that petflow carries open farm i will not be ordering dr tims from petflow any longer will be going back chewy</v>
      </c>
      <c r="I3160" s="6">
        <f t="shared" si="2"/>
        <v>52</v>
      </c>
      <c r="J3160" s="6">
        <f>IFERROR(__xludf.DUMMYFUNCTION("IF(H3160="""","""",
SUM(
ARRAYFORMULA(
IF(
REGEXMATCH(
"" ""&amp;H3160&amp;"" "",
"" ""&amp;Sentiment_Words!A$2:A3730&amp;"" ""
),
1,
0
)
)
)
)"),1.0)</f>
        <v>1</v>
      </c>
      <c r="K3160" s="4">
        <f>IFERROR(__xludf.DUMMYFUNCTION("IF(H3160="""","""",
SUM(
ARRAYFORMULA(
IF(
REGEXMATCH(
"" ""&amp;H3160&amp;"" "",
"" ""&amp;Sentiment_Words!B$2:B3730&amp;"" ""
),
1,
0
)
)
)
)"),0.0)</f>
        <v>0</v>
      </c>
      <c r="L3160" s="7" t="str">
        <f t="shared" si="3"/>
        <v>Other</v>
      </c>
      <c r="M3160" s="7" t="str">
        <f t="shared" si="4"/>
        <v>Positive</v>
      </c>
      <c r="N3160" s="7" t="str">
        <f>IFERROR(__xludf.DUMMYFUNCTION("LOWER(
TRIM(
REGEXREPLACE(B3160,""[^a-zA-Z\s]"","""")
)
)
"),"alex g")</f>
        <v>alex g</v>
      </c>
      <c r="O3160" s="7">
        <f t="shared" si="5"/>
        <v>2</v>
      </c>
      <c r="P3160" s="8" t="str">
        <f t="shared" si="6"/>
        <v>Yes</v>
      </c>
    </row>
    <row r="3161">
      <c r="A3161" s="4" t="s">
        <v>16</v>
      </c>
      <c r="B3161" s="4" t="s">
        <v>8778</v>
      </c>
      <c r="C3161" s="5">
        <v>44581.0</v>
      </c>
      <c r="D3161" s="10">
        <v>44581.0</v>
      </c>
      <c r="E3161" s="4" t="s">
        <v>8779</v>
      </c>
      <c r="F3161" s="4" t="s">
        <v>8780</v>
      </c>
      <c r="G3161" s="6" t="str">
        <f>IFERROR(__xludf.DUMMYFUNCTION("REGEXREPLACE(LOWER(F3161),""[^a-z\s]"","""")"),"excellent company i made a mistake and had to cancel an order and it was  no problem fast great service  highly recommend")</f>
        <v>excellent company i made a mistake and had to cancel an order and it was  no problem fast great service  highly recommend</v>
      </c>
      <c r="H3161" s="4" t="str">
        <f t="shared" si="1"/>
        <v>excellent company i made a mistake had cancel an order it was no problem fast great service highly recommend</v>
      </c>
      <c r="I3161" s="6">
        <f t="shared" si="2"/>
        <v>19</v>
      </c>
      <c r="J3161" s="6">
        <f>IFERROR(__xludf.DUMMYFUNCTION("IF(H3161="""","""",
SUM(
ARRAYFORMULA(
IF(
REGEXMATCH(
"" ""&amp;H3161&amp;"" "",
"" ""&amp;Sentiment_Words!A$2:A3730&amp;"" ""
),
1,
0
)
)
)
)"),2.0)</f>
        <v>2</v>
      </c>
      <c r="K3161" s="4">
        <f>IFERROR(__xludf.DUMMYFUNCTION("IF(H3161="""","""",
SUM(
ARRAYFORMULA(
IF(
REGEXMATCH(
"" ""&amp;H3161&amp;"" "",
"" ""&amp;Sentiment_Words!B$2:B3730&amp;"" ""
),
1,
0
)
)
)
)"),1.0)</f>
        <v>1</v>
      </c>
      <c r="L3161" s="7" t="str">
        <f t="shared" si="3"/>
        <v>Customer Support</v>
      </c>
      <c r="M3161" s="7" t="str">
        <f t="shared" si="4"/>
        <v>Positive</v>
      </c>
      <c r="N3161" s="7" t="str">
        <f>IFERROR(__xludf.DUMMYFUNCTION("LOWER(
TRIM(
REGEXREPLACE(B3161,""[^a-zA-Z\s]"","""")
)
)
"),"leslie goodman")</f>
        <v>leslie goodman</v>
      </c>
      <c r="O3161" s="7">
        <f t="shared" si="5"/>
        <v>1</v>
      </c>
      <c r="P3161" s="8" t="str">
        <f t="shared" si="6"/>
        <v>No</v>
      </c>
    </row>
    <row r="3162">
      <c r="A3162" s="4" t="s">
        <v>16</v>
      </c>
      <c r="B3162" s="4" t="s">
        <v>8781</v>
      </c>
      <c r="C3162" s="5">
        <v>44580.0</v>
      </c>
      <c r="D3162" s="10">
        <v>44580.0</v>
      </c>
      <c r="E3162" s="4" t="s">
        <v>8782</v>
      </c>
      <c r="F3162" s="4" t="s">
        <v>8783</v>
      </c>
      <c r="G3162" s="6" t="str">
        <f>IFERROR(__xludf.DUMMYFUNCTION("REGEXREPLACE(LOWER(F3162),""[^a-z\s]"","""")"),"great company to order products wanted since pet store where i normally gets them have quit handling these wonderful treats great service also")</f>
        <v>great company to order products wanted since pet store where i normally gets them have quit handling these wonderful treats great service also</v>
      </c>
      <c r="H3162" s="4" t="str">
        <f t="shared" si="1"/>
        <v>great company order products wanted since pet store where i normally gets them have quit handling these wonderful treats great service also</v>
      </c>
      <c r="I3162" s="6">
        <f t="shared" si="2"/>
        <v>22</v>
      </c>
      <c r="J3162" s="6">
        <f>IFERROR(__xludf.DUMMYFUNCTION("IF(H3162="""","""",
SUM(
ARRAYFORMULA(
IF(
REGEXMATCH(
"" ""&amp;H3162&amp;"" "",
"" ""&amp;Sentiment_Words!A$2:A3730&amp;"" ""
),
1,
0
)
)
)
)"),2.0)</f>
        <v>2</v>
      </c>
      <c r="K3162" s="4">
        <f>IFERROR(__xludf.DUMMYFUNCTION("IF(H3162="""","""",
SUM(
ARRAYFORMULA(
IF(
REGEXMATCH(
"" ""&amp;H3162&amp;"" "",
"" ""&amp;Sentiment_Words!B$2:B3730&amp;"" ""
),
1,
0
)
)
)
)"),0.0)</f>
        <v>0</v>
      </c>
      <c r="L3162" s="7" t="str">
        <f t="shared" si="3"/>
        <v>Customer Support</v>
      </c>
      <c r="M3162" s="7" t="str">
        <f t="shared" si="4"/>
        <v>Positive</v>
      </c>
      <c r="N3162" s="7" t="str">
        <f>IFERROR(__xludf.DUMMYFUNCTION("LOWER(
TRIM(
REGEXREPLACE(B3162,""[^a-zA-Z\s]"","""")
)
)
"),"joyceturney")</f>
        <v>joyceturney</v>
      </c>
      <c r="O3162" s="7">
        <f t="shared" si="5"/>
        <v>1</v>
      </c>
      <c r="P3162" s="8" t="str">
        <f t="shared" si="6"/>
        <v>No</v>
      </c>
    </row>
    <row r="3163">
      <c r="A3163" s="4" t="s">
        <v>16</v>
      </c>
      <c r="B3163" s="4" t="s">
        <v>8784</v>
      </c>
      <c r="C3163" s="5">
        <v>44580.0</v>
      </c>
      <c r="D3163" s="10">
        <v>44580.0</v>
      </c>
      <c r="E3163" s="4" t="s">
        <v>8785</v>
      </c>
      <c r="F3163" s="4" t="s">
        <v>8786</v>
      </c>
      <c r="G3163" s="6" t="str">
        <f>IFERROR(__xludf.DUMMYFUNCTION("REGEXREPLACE(LOWER(F3163),""[^a-z\s]"","""")"),"first order for new puppy food that wasnt available locally process was easy delivery was on time and packaged well will order again")</f>
        <v>first order for new puppy food that wasnt available locally process was easy delivery was on time and packaged well will order again</v>
      </c>
      <c r="H3163" s="4" t="str">
        <f t="shared" si="1"/>
        <v>first order new puppy food that wasnt available locally process was easy delivery was on time packaged well will order again</v>
      </c>
      <c r="I3163" s="6">
        <f t="shared" si="2"/>
        <v>21</v>
      </c>
      <c r="J3163" s="6">
        <f>IFERROR(__xludf.DUMMYFUNCTION("IF(H3163="""","""",
SUM(
ARRAYFORMULA(
IF(
REGEXMATCH(
"" ""&amp;H3163&amp;"" "",
"" ""&amp;Sentiment_Words!A$2:A3730&amp;"" ""
),
1,
0
)
)
)
)"),3.0)</f>
        <v>3</v>
      </c>
      <c r="K3163" s="4">
        <f>IFERROR(__xludf.DUMMYFUNCTION("IF(H3163="""","""",
SUM(
ARRAYFORMULA(
IF(
REGEXMATCH(
"" ""&amp;H3163&amp;"" "",
"" ""&amp;Sentiment_Words!B$2:B3730&amp;"" ""
),
1,
0
)
)
)
)"),0.0)</f>
        <v>0</v>
      </c>
      <c r="L3163" s="7" t="str">
        <f t="shared" si="3"/>
        <v>Other</v>
      </c>
      <c r="M3163" s="7" t="str">
        <f t="shared" si="4"/>
        <v>Positive</v>
      </c>
      <c r="N3163" s="7" t="str">
        <f>IFERROR(__xludf.DUMMYFUNCTION("LOWER(
TRIM(
REGEXREPLACE(B3163,""[^a-zA-Z\s]"","""")
)
)
"),"roy a")</f>
        <v>roy a</v>
      </c>
      <c r="O3163" s="7">
        <f t="shared" si="5"/>
        <v>1</v>
      </c>
      <c r="P3163" s="8" t="str">
        <f t="shared" si="6"/>
        <v>No</v>
      </c>
    </row>
    <row r="3164">
      <c r="A3164" s="4" t="s">
        <v>16</v>
      </c>
      <c r="B3164" s="4" t="s">
        <v>8787</v>
      </c>
      <c r="C3164" s="5">
        <v>44580.0</v>
      </c>
      <c r="D3164" s="10">
        <v>44580.0</v>
      </c>
      <c r="E3164" s="4" t="s">
        <v>7361</v>
      </c>
      <c r="F3164" s="4" t="s">
        <v>8788</v>
      </c>
      <c r="G3164" s="6" t="str">
        <f>IFERROR(__xludf.DUMMYFUNCTION("REGEXREPLACE(LOWER(F3164),""[^a-z\s]"","""")"),"horrible customer service i order food for my dog they charged but didnt send it i called them a week later and they said they didnt have it in stock meanwhile they charged it already they sent it later on without a hurry  days later i havent received it "&amp;"yet i dont have the food i feed my dog they didnt even apologize or sent it in a faster delivery mode")</f>
        <v>horrible customer service i order food for my dog they charged but didnt send it i called them a week later and they said they didnt have it in stock meanwhile they charged it already they sent it later on without a hurry  days later i havent received it yet i dont have the food i feed my dog they didnt even apologize or sent it in a faster delivery mode</v>
      </c>
      <c r="H3164" s="4" t="str">
        <f t="shared" si="1"/>
        <v>horrible customer service i order food my dog they charged but didnt send it i called them a week later they said they didnt have it in stock meanwhile they charged it already they sent it later on without a hurry days later i havent received it yet i dont have food i feed my dog they didnt even apologize or sent it in a faster delivery mode</v>
      </c>
      <c r="I3164" s="6">
        <f t="shared" si="2"/>
        <v>68</v>
      </c>
      <c r="J3164" s="6">
        <f>IFERROR(__xludf.DUMMYFUNCTION("IF(H3164="""","""",
SUM(
ARRAYFORMULA(
IF(
REGEXMATCH(
"" ""&amp;H3164&amp;"" "",
"" ""&amp;Sentiment_Words!A$2:A3730&amp;"" ""
),
1,
0
)
)
)
)"),0.0)</f>
        <v>0</v>
      </c>
      <c r="K3164" s="4">
        <f>IFERROR(__xludf.DUMMYFUNCTION("IF(H3164="""","""",
SUM(
ARRAYFORMULA(
IF(
REGEXMATCH(
"" ""&amp;H3164&amp;"" "",
"" ""&amp;Sentiment_Words!B$2:B3730&amp;"" ""
),
1,
0
)
)
)
)"),1.0)</f>
        <v>1</v>
      </c>
      <c r="L3164" s="7" t="str">
        <f t="shared" si="3"/>
        <v>Customer Support</v>
      </c>
      <c r="M3164" s="7" t="str">
        <f t="shared" si="4"/>
        <v>Negative</v>
      </c>
      <c r="N3164" s="7" t="str">
        <f>IFERROR(__xludf.DUMMYFUNCTION("LOWER(
TRIM(
REGEXREPLACE(B3164,""[^a-zA-Z\s]"","""")
)
)
"),"ariela")</f>
        <v>ariela</v>
      </c>
      <c r="O3164" s="7">
        <f t="shared" si="5"/>
        <v>1</v>
      </c>
      <c r="P3164" s="8" t="str">
        <f t="shared" si="6"/>
        <v>No</v>
      </c>
    </row>
    <row r="3165">
      <c r="A3165" s="4" t="s">
        <v>16</v>
      </c>
      <c r="B3165" s="4" t="s">
        <v>8789</v>
      </c>
      <c r="C3165" s="5">
        <v>44579.0</v>
      </c>
      <c r="D3165" s="10">
        <v>44580.0</v>
      </c>
      <c r="E3165" s="4" t="s">
        <v>8790</v>
      </c>
      <c r="F3165" s="4" t="s">
        <v>8791</v>
      </c>
      <c r="G3165" s="6" t="str">
        <f>IFERROR(__xludf.DUMMYFUNCTION("REGEXREPLACE(LOWER(F3165),""[^a-z\s]"","""")"),"i spent a lot of time with my review so i will submit but beware you have to accept certain terms and conditions to submit a review
everything went fine for a year and a half our dog needs a prescription diet then for the last shipment they said the orde"&amp;"r was submitted then a few days later i got a email saying they were out of the product they had a pending charge on my credit card for more than a week for over 
i called and the girl basically said oh well sorry thats the way it goes
at this point we w"&amp;"ere close to being out of food our vet didnt have any so i got some otc food to mix with what we had left
finally i went to chewy and they sent some within a few days
i can understand that in this day and age that they ran out of the food but their serv"&amp;"ice was very mundane
try chewy first")</f>
        <v>i spent a lot of time with my review so i will submit but beware you have to accept certain terms and conditions to submit a review
everything went fine for a year and a half our dog needs a prescription diet then for the last shipment they said the order was submitted then a few days later i got a email saying they were out of the product they had a pending charge on my credit card for more than a week for over 
i called and the girl basically said oh well sorry thats the way it goes
at this point we were close to being out of food our vet didnt have any so i got some otc food to mix with what we had left
finally i went to chewy and they sent some within a few days
i can understand that in this day and age that they ran out of the food but their service was very mundane
try chewy first</v>
      </c>
      <c r="H3165" s="4" t="str">
        <f t="shared" si="1"/>
        <v>i spent a lot of time with my review so i will submit but beware you have accept certain terms conditions submit a review
everything went fine a year a half our dog needs a prescription diet then last shipment they said order was submitted then a few days later i got a email saying they were out of product they had a pending charge on my credit card more than a week over 
i called girl basically said oh well sorry thats way it goes
at this point we were close being out of food our vet didnt have any so i got some otc food mix with what we had left
finally i went chewy they sent some within a few days
i can understand that in this day age that they ran out of food but their service was very mundane
try chewy first</v>
      </c>
      <c r="I3165" s="6">
        <f t="shared" si="2"/>
        <v>142</v>
      </c>
      <c r="J3165" s="6">
        <f>IFERROR(__xludf.DUMMYFUNCTION("IF(H3165="""","""",
SUM(
ARRAYFORMULA(
IF(
REGEXMATCH(
"" ""&amp;H3165&amp;"" "",
"" ""&amp;Sentiment_Words!A$2:A3730&amp;"" ""
),
1,
0
)
)
)
)"),0.0)</f>
        <v>0</v>
      </c>
      <c r="K3165" s="4">
        <f>IFERROR(__xludf.DUMMYFUNCTION("IF(H3165="""","""",
SUM(
ARRAYFORMULA(
IF(
REGEXMATCH(
"" ""&amp;H3165&amp;"" "",
"" ""&amp;Sentiment_Words!B$2:B3730&amp;"" ""
),
1,
0
)
)
)
)"),0.0)</f>
        <v>0</v>
      </c>
      <c r="L3165" s="7" t="str">
        <f t="shared" si="3"/>
        <v>Customer Support</v>
      </c>
      <c r="M3165" s="7" t="str">
        <f t="shared" si="4"/>
        <v>Neutral</v>
      </c>
      <c r="N3165" s="7" t="str">
        <f>IFERROR(__xludf.DUMMYFUNCTION("LOWER(
TRIM(
REGEXREPLACE(B3165,""[^a-zA-Z\s]"","""")
)
)
"),"renee jones")</f>
        <v>renee jones</v>
      </c>
      <c r="O3165" s="7">
        <f t="shared" si="5"/>
        <v>1</v>
      </c>
      <c r="P3165" s="8" t="str">
        <f t="shared" si="6"/>
        <v>No</v>
      </c>
    </row>
    <row r="3166">
      <c r="A3166" s="4" t="s">
        <v>16</v>
      </c>
      <c r="B3166" s="4" t="s">
        <v>8792</v>
      </c>
      <c r="C3166" s="5">
        <v>44579.0</v>
      </c>
      <c r="D3166" s="10">
        <v>44580.0</v>
      </c>
      <c r="E3166" s="4" t="s">
        <v>2796</v>
      </c>
      <c r="F3166" s="4" t="s">
        <v>8793</v>
      </c>
      <c r="G3166" s="6" t="str">
        <f>IFERROR(__xludf.DUMMYFUNCTION("REGEXREPLACE(LOWER(F3166),""[^a-z\s]"","""")"),"accurate and timely delivery
thanks")</f>
        <v>accurate and timely delivery
thanks</v>
      </c>
      <c r="H3166" s="4" t="str">
        <f t="shared" si="1"/>
        <v>accurate timely delivery
thanks</v>
      </c>
      <c r="I3166" s="6">
        <f t="shared" si="2"/>
        <v>3</v>
      </c>
      <c r="J3166" s="6">
        <f>IFERROR(__xludf.DUMMYFUNCTION("IF(H3166="""","""",
SUM(
ARRAYFORMULA(
IF(
REGEXMATCH(
"" ""&amp;H3166&amp;"" "",
"" ""&amp;Sentiment_Words!A$2:A3730&amp;"" ""
),
1,
0
)
)
)
)"),0.0)</f>
        <v>0</v>
      </c>
      <c r="K3166" s="4">
        <f>IFERROR(__xludf.DUMMYFUNCTION("IF(H3166="""","""",
SUM(
ARRAYFORMULA(
IF(
REGEXMATCH(
"" ""&amp;H3166&amp;"" "",
"" ""&amp;Sentiment_Words!B$2:B3730&amp;"" ""
),
1,
0
)
)
)
)"),0.0)</f>
        <v>0</v>
      </c>
      <c r="L3166" s="7" t="str">
        <f t="shared" si="3"/>
        <v>Other</v>
      </c>
      <c r="M3166" s="7" t="str">
        <f t="shared" si="4"/>
        <v>Neutral</v>
      </c>
      <c r="N3166" s="7" t="str">
        <f>IFERROR(__xludf.DUMMYFUNCTION("LOWER(
TRIM(
REGEXREPLACE(B3166,""[^a-zA-Z\s]"","""")
)
)
"),"david muroff")</f>
        <v>david muroff</v>
      </c>
      <c r="O3166" s="7">
        <f t="shared" si="5"/>
        <v>1</v>
      </c>
      <c r="P3166" s="8" t="str">
        <f t="shared" si="6"/>
        <v>No</v>
      </c>
    </row>
    <row r="3167">
      <c r="A3167" s="4" t="s">
        <v>16</v>
      </c>
      <c r="B3167" s="4" t="s">
        <v>8794</v>
      </c>
      <c r="C3167" s="5">
        <v>44579.0</v>
      </c>
      <c r="D3167" s="10">
        <v>44579.0</v>
      </c>
      <c r="E3167" s="4" t="s">
        <v>8795</v>
      </c>
      <c r="F3167" s="4" t="s">
        <v>8796</v>
      </c>
      <c r="G3167" s="6" t="str">
        <f>IFERROR(__xludf.DUMMYFUNCTION("REGEXREPLACE(LOWER(F3167),""[^a-z\s]"","""")"),"ordered prescription cat food my vet approved the prescription in one day waited a week with no delivery called customer service and was told as soon as the pharmacy warehouse sends it out ill get an email after waiting  days with no email or food i cance"&amp;"led the order and bought the food cheaper from my vet hospital i would not use this company ever again")</f>
        <v>ordered prescription cat food my vet approved the prescription in one day waited a week with no delivery called customer service and was told as soon as the pharmacy warehouse sends it out ill get an email after waiting  days with no email or food i canceled the order and bought the food cheaper from my vet hospital i would not use this company ever again</v>
      </c>
      <c r="H3167" s="4" t="str">
        <f t="shared" si="1"/>
        <v>ordered prescription cat food my vet approved prescription in one day waited a week with no delivery called customer service was told as soon as pharmacy warehouse sends it out ill get an email after waiting days with no email or food i canceled order bought food cheaper from my vet hospital i would not use this company ever again</v>
      </c>
      <c r="I3167" s="6">
        <f t="shared" si="2"/>
        <v>60</v>
      </c>
      <c r="J3167" s="6">
        <f>IFERROR(__xludf.DUMMYFUNCTION("IF(H3167="""","""",
SUM(
ARRAYFORMULA(
IF(
REGEXMATCH(
"" ""&amp;H3167&amp;"" "",
"" ""&amp;Sentiment_Words!A$2:A3730&amp;"" ""
),
1,
0
)
)
)
)"),1.0)</f>
        <v>1</v>
      </c>
      <c r="K3167" s="4">
        <f>IFERROR(__xludf.DUMMYFUNCTION("IF(H3167="""","""",
SUM(
ARRAYFORMULA(
IF(
REGEXMATCH(
"" ""&amp;H3167&amp;"" "",
"" ""&amp;Sentiment_Words!B$2:B3730&amp;"" ""
),
1,
0
)
)
)
)"),1.0)</f>
        <v>1</v>
      </c>
      <c r="L3167" s="7" t="str">
        <f t="shared" si="3"/>
        <v>Customer Support</v>
      </c>
      <c r="M3167" s="7" t="str">
        <f t="shared" si="4"/>
        <v>Neutral</v>
      </c>
      <c r="N3167" s="7" t="str">
        <f>IFERROR(__xludf.DUMMYFUNCTION("LOWER(
TRIM(
REGEXREPLACE(B3167,""[^a-zA-Z\s]"","""")
)
)
"),"susan harris")</f>
        <v>susan harris</v>
      </c>
      <c r="O3167" s="7">
        <f t="shared" si="5"/>
        <v>1</v>
      </c>
      <c r="P3167" s="8" t="str">
        <f t="shared" si="6"/>
        <v>No</v>
      </c>
    </row>
    <row r="3168">
      <c r="A3168" s="4" t="s">
        <v>16</v>
      </c>
      <c r="B3168" s="4" t="s">
        <v>8797</v>
      </c>
      <c r="C3168" s="5">
        <v>44579.0</v>
      </c>
      <c r="D3168" s="10">
        <v>44579.0</v>
      </c>
      <c r="E3168" s="4" t="s">
        <v>8798</v>
      </c>
      <c r="F3168" s="4" t="s">
        <v>8799</v>
      </c>
      <c r="G3168" s="6" t="str">
        <f>IFERROR(__xludf.DUMMYFUNCTION("REGEXREPLACE(LOWER(F3168),""[^a-z\s]"","""")"),"it has taken too long to receive my order finally got one of the items but cant even download the shipping information for the other item i ordered prescription food for my dog something i needed in a timely manner")</f>
        <v>it has taken too long to receive my order finally got one of the items but cant even download the shipping information for the other item i ordered prescription food for my dog something i needed in a timely manner</v>
      </c>
      <c r="H3168" s="4" t="str">
        <f t="shared" si="1"/>
        <v>it has taken too long receive my order finally got one of items but cant even download shipping information other item i ordered prescription food my dog something i needed in a timely manner</v>
      </c>
      <c r="I3168" s="6">
        <f t="shared" si="2"/>
        <v>34</v>
      </c>
      <c r="J3168" s="6">
        <f>IFERROR(__xludf.DUMMYFUNCTION("IF(H3168="""","""",
SUM(
ARRAYFORMULA(
IF(
REGEXMATCH(
"" ""&amp;H3168&amp;"" "",
"" ""&amp;Sentiment_Words!A$2:A3730&amp;"" ""
),
1,
0
)
)
)
)"),0.0)</f>
        <v>0</v>
      </c>
      <c r="K3168" s="4">
        <f>IFERROR(__xludf.DUMMYFUNCTION("IF(H3168="""","""",
SUM(
ARRAYFORMULA(
IF(
REGEXMATCH(
"" ""&amp;H3168&amp;"" "",
"" ""&amp;Sentiment_Words!B$2:B3730&amp;"" ""
),
1,
0
)
)
)
)"),0.0)</f>
        <v>0</v>
      </c>
      <c r="L3168" s="7" t="str">
        <f t="shared" si="3"/>
        <v>Other</v>
      </c>
      <c r="M3168" s="7" t="str">
        <f t="shared" si="4"/>
        <v>Neutral</v>
      </c>
      <c r="N3168" s="7" t="str">
        <f>IFERROR(__xludf.DUMMYFUNCTION("LOWER(
TRIM(
REGEXREPLACE(B3168,""[^a-zA-Z\s]"","""")
)
)
"),"jane blackmon")</f>
        <v>jane blackmon</v>
      </c>
      <c r="O3168" s="7">
        <f t="shared" si="5"/>
        <v>1</v>
      </c>
      <c r="P3168" s="8" t="str">
        <f t="shared" si="6"/>
        <v>No</v>
      </c>
    </row>
    <row r="3169">
      <c r="A3169" s="4" t="s">
        <v>16</v>
      </c>
      <c r="B3169" s="4" t="s">
        <v>8800</v>
      </c>
      <c r="C3169" s="5">
        <v>44579.0</v>
      </c>
      <c r="D3169" s="10">
        <v>44579.0</v>
      </c>
      <c r="E3169" s="4" t="s">
        <v>8801</v>
      </c>
      <c r="F3169" s="4" t="s">
        <v>8802</v>
      </c>
      <c r="G3169" s="6" t="str">
        <f>IFERROR(__xludf.DUMMYFUNCTION("REGEXREPLACE(LOWER(F3169),""[^a-z\s]"","""")"),"always there to answer questions and to help out")</f>
        <v>always there to answer questions and to help out</v>
      </c>
      <c r="H3169" s="4" t="str">
        <f t="shared" si="1"/>
        <v>always there answer questions help out</v>
      </c>
      <c r="I3169" s="6">
        <f t="shared" si="2"/>
        <v>6</v>
      </c>
      <c r="J3169" s="6">
        <f>IFERROR(__xludf.DUMMYFUNCTION("IF(H3169="""","""",
SUM(
ARRAYFORMULA(
IF(
REGEXMATCH(
"" ""&amp;H3169&amp;"" "",
"" ""&amp;Sentiment_Words!A$2:A3730&amp;"" ""
),
1,
0
)
)
)
)"),0.0)</f>
        <v>0</v>
      </c>
      <c r="K3169" s="4">
        <f>IFERROR(__xludf.DUMMYFUNCTION("IF(H3169="""","""",
SUM(
ARRAYFORMULA(
IF(
REGEXMATCH(
"" ""&amp;H3169&amp;"" "",
"" ""&amp;Sentiment_Words!B$2:B3730&amp;"" ""
),
1,
0
)
)
)
)"),0.0)</f>
        <v>0</v>
      </c>
      <c r="L3169" s="7" t="str">
        <f t="shared" si="3"/>
        <v>Other</v>
      </c>
      <c r="M3169" s="7" t="str">
        <f t="shared" si="4"/>
        <v>Neutral</v>
      </c>
      <c r="N3169" s="7" t="str">
        <f>IFERROR(__xludf.DUMMYFUNCTION("LOWER(
TRIM(
REGEXREPLACE(B3169,""[^a-zA-Z\s]"","""")
)
)
"),"hl")</f>
        <v>hl</v>
      </c>
      <c r="O3169" s="7">
        <f t="shared" si="5"/>
        <v>1</v>
      </c>
      <c r="P3169" s="8" t="str">
        <f t="shared" si="6"/>
        <v>No</v>
      </c>
    </row>
    <row r="3170">
      <c r="A3170" s="4" t="s">
        <v>16</v>
      </c>
      <c r="B3170" s="4" t="s">
        <v>8803</v>
      </c>
      <c r="C3170" s="5">
        <v>44579.0</v>
      </c>
      <c r="D3170" s="10">
        <v>44579.0</v>
      </c>
      <c r="E3170" s="4" t="s">
        <v>5418</v>
      </c>
      <c r="F3170" s="4" t="s">
        <v>8804</v>
      </c>
      <c r="G3170" s="6" t="str">
        <f>IFERROR(__xludf.DUMMYFUNCTION("REGEXREPLACE(LOWER(F3170),""[^a-z\s]"","""")"),"being told it was delivered and it wasnt i di nt receive the shipment until several days later this is not acceptable")</f>
        <v>being told it was delivered and it wasnt i di nt receive the shipment until several days later this is not acceptable</v>
      </c>
      <c r="H3170" s="4" t="str">
        <f t="shared" si="1"/>
        <v>being told it was delivered it wasnt i di nt receive shipment until several days later this not acceptable</v>
      </c>
      <c r="I3170" s="6">
        <f t="shared" si="2"/>
        <v>19</v>
      </c>
      <c r="J3170" s="6">
        <f>IFERROR(__xludf.DUMMYFUNCTION("IF(H3170="""","""",
SUM(
ARRAYFORMULA(
IF(
REGEXMATCH(
"" ""&amp;H3170&amp;"" "",
"" ""&amp;Sentiment_Words!A$2:A3730&amp;"" ""
),
1,
0
)
)
)
)"),1.0)</f>
        <v>1</v>
      </c>
      <c r="K3170" s="4">
        <f>IFERROR(__xludf.DUMMYFUNCTION("IF(H3170="""","""",
SUM(
ARRAYFORMULA(
IF(
REGEXMATCH(
"" ""&amp;H3170&amp;"" "",
"" ""&amp;Sentiment_Words!B$2:B3730&amp;"" ""
),
1,
0
)
)
)
)"),0.0)</f>
        <v>0</v>
      </c>
      <c r="L3170" s="7" t="str">
        <f t="shared" si="3"/>
        <v>Fulfillment &amp; Shipping</v>
      </c>
      <c r="M3170" s="7" t="str">
        <f t="shared" si="4"/>
        <v>Positive</v>
      </c>
      <c r="N3170" s="7" t="str">
        <f>IFERROR(__xludf.DUMMYFUNCTION("LOWER(
TRIM(
REGEXREPLACE(B3170,""[^a-zA-Z\s]"","""")
)
)
"),"thomas rogers")</f>
        <v>thomas rogers</v>
      </c>
      <c r="O3170" s="7">
        <f t="shared" si="5"/>
        <v>1</v>
      </c>
      <c r="P3170" s="8" t="str">
        <f t="shared" si="6"/>
        <v>No</v>
      </c>
    </row>
    <row r="3171">
      <c r="A3171" s="4" t="s">
        <v>16</v>
      </c>
      <c r="B3171" s="4" t="s">
        <v>8805</v>
      </c>
      <c r="C3171" s="5">
        <v>44579.0</v>
      </c>
      <c r="D3171" s="10">
        <v>44579.0</v>
      </c>
      <c r="E3171" s="4" t="s">
        <v>8806</v>
      </c>
      <c r="F3171" s="4" t="s">
        <v>8807</v>
      </c>
      <c r="G3171" s="6" t="str">
        <f>IFERROR(__xludf.DUMMYFUNCTION("REGEXREPLACE(LOWER(F3171),""[^a-z\s]"","""")"),"only received  of rx cat food order placed in december 
no way to check on line
calls to customer service have not resulted in any feedback as to status")</f>
        <v>only received  of rx cat food order placed in december 
no way to check on line
calls to customer service have not resulted in any feedback as to status</v>
      </c>
      <c r="H3171" s="4" t="str">
        <f t="shared" si="1"/>
        <v>only received of rx cat food order placed in december 
no way check on line
calls customer service have not resulted in any feedback as status</v>
      </c>
      <c r="I3171" s="6">
        <f t="shared" si="2"/>
        <v>25</v>
      </c>
      <c r="J3171" s="6">
        <f>IFERROR(__xludf.DUMMYFUNCTION("IF(H3171="""","""",
SUM(
ARRAYFORMULA(
IF(
REGEXMATCH(
"" ""&amp;H3171&amp;"" "",
"" ""&amp;Sentiment_Words!A$2:A3730&amp;"" ""
),
1,
0
)
)
)
)"),0.0)</f>
        <v>0</v>
      </c>
      <c r="K3171" s="4">
        <f>IFERROR(__xludf.DUMMYFUNCTION("IF(H3171="""","""",
SUM(
ARRAYFORMULA(
IF(
REGEXMATCH(
"" ""&amp;H3171&amp;"" "",
"" ""&amp;Sentiment_Words!B$2:B3730&amp;"" ""
),
1,
0
)
)
)
)"),1.0)</f>
        <v>1</v>
      </c>
      <c r="L3171" s="7" t="str">
        <f t="shared" si="3"/>
        <v>Customer Support</v>
      </c>
      <c r="M3171" s="7" t="str">
        <f t="shared" si="4"/>
        <v>Negative</v>
      </c>
      <c r="N3171" s="7" t="str">
        <f>IFERROR(__xludf.DUMMYFUNCTION("LOWER(
TRIM(
REGEXREPLACE(B3171,""[^a-zA-Z\s]"","""")
)
)
"),"carolyn kennedy")</f>
        <v>carolyn kennedy</v>
      </c>
      <c r="O3171" s="7">
        <f t="shared" si="5"/>
        <v>1</v>
      </c>
      <c r="P3171" s="8" t="str">
        <f t="shared" si="6"/>
        <v>No</v>
      </c>
    </row>
    <row r="3172">
      <c r="A3172" s="4" t="s">
        <v>16</v>
      </c>
      <c r="B3172" s="4" t="s">
        <v>8808</v>
      </c>
      <c r="C3172" s="5">
        <v>44579.0</v>
      </c>
      <c r="D3172" s="10">
        <v>44579.0</v>
      </c>
      <c r="E3172" s="4" t="s">
        <v>8809</v>
      </c>
      <c r="F3172" s="4" t="s">
        <v>331</v>
      </c>
      <c r="G3172" s="6" t="str">
        <f>IFERROR(__xludf.DUMMYFUNCTION("REGEXREPLACE(LOWER(F3172),""[^a-z\s]"","""")"),"none")</f>
        <v>none</v>
      </c>
      <c r="H3172" s="4" t="str">
        <f t="shared" si="1"/>
        <v>none</v>
      </c>
      <c r="I3172" s="6">
        <f t="shared" si="2"/>
        <v>1</v>
      </c>
      <c r="J3172" s="6">
        <f>IFERROR(__xludf.DUMMYFUNCTION("IF(H3172="""","""",
SUM(
ARRAYFORMULA(
IF(
REGEXMATCH(
"" ""&amp;H3172&amp;"" "",
"" ""&amp;Sentiment_Words!A$2:A3730&amp;"" ""
),
1,
0
)
)
)
)"),0.0)</f>
        <v>0</v>
      </c>
      <c r="K3172" s="4">
        <f>IFERROR(__xludf.DUMMYFUNCTION("IF(H3172="""","""",
SUM(
ARRAYFORMULA(
IF(
REGEXMATCH(
"" ""&amp;H3172&amp;"" "",
"" ""&amp;Sentiment_Words!B$2:B3730&amp;"" ""
),
1,
0
)
)
)
)"),0.0)</f>
        <v>0</v>
      </c>
      <c r="L3172" s="7" t="str">
        <f t="shared" si="3"/>
        <v>Other</v>
      </c>
      <c r="M3172" s="7" t="str">
        <f t="shared" si="4"/>
        <v>Neutral</v>
      </c>
      <c r="N3172" s="7" t="str">
        <f>IFERROR(__xludf.DUMMYFUNCTION("LOWER(
TRIM(
REGEXREPLACE(B3172,""[^a-zA-Z\s]"","""")
)
)
"),"patsy stair")</f>
        <v>patsy stair</v>
      </c>
      <c r="O3172" s="7">
        <f t="shared" si="5"/>
        <v>1</v>
      </c>
      <c r="P3172" s="8" t="str">
        <f t="shared" si="6"/>
        <v>No</v>
      </c>
    </row>
    <row r="3173">
      <c r="A3173" s="4" t="s">
        <v>16</v>
      </c>
      <c r="B3173" s="4" t="s">
        <v>8810</v>
      </c>
      <c r="C3173" s="5">
        <v>44579.0</v>
      </c>
      <c r="D3173" s="10">
        <v>44579.0</v>
      </c>
      <c r="E3173" s="4" t="s">
        <v>2590</v>
      </c>
      <c r="F3173" s="4" t="s">
        <v>331</v>
      </c>
      <c r="G3173" s="6" t="str">
        <f>IFERROR(__xludf.DUMMYFUNCTION("REGEXREPLACE(LOWER(F3173),""[^a-z\s]"","""")"),"none")</f>
        <v>none</v>
      </c>
      <c r="H3173" s="4" t="str">
        <f t="shared" si="1"/>
        <v>none</v>
      </c>
      <c r="I3173" s="6">
        <f t="shared" si="2"/>
        <v>1</v>
      </c>
      <c r="J3173" s="6">
        <f>IFERROR(__xludf.DUMMYFUNCTION("IF(H3173="""","""",
SUM(
ARRAYFORMULA(
IF(
REGEXMATCH(
"" ""&amp;H3173&amp;"" "",
"" ""&amp;Sentiment_Words!A$2:A3730&amp;"" ""
),
1,
0
)
)
)
)"),0.0)</f>
        <v>0</v>
      </c>
      <c r="K3173" s="4">
        <f>IFERROR(__xludf.DUMMYFUNCTION("IF(H3173="""","""",
SUM(
ARRAYFORMULA(
IF(
REGEXMATCH(
"" ""&amp;H3173&amp;"" "",
"" ""&amp;Sentiment_Words!B$2:B3730&amp;"" ""
),
1,
0
)
)
)
)"),0.0)</f>
        <v>0</v>
      </c>
      <c r="L3173" s="7" t="str">
        <f t="shared" si="3"/>
        <v>Other</v>
      </c>
      <c r="M3173" s="7" t="str">
        <f t="shared" si="4"/>
        <v>Neutral</v>
      </c>
      <c r="N3173" s="7" t="str">
        <f>IFERROR(__xludf.DUMMYFUNCTION("LOWER(
TRIM(
REGEXREPLACE(B3173,""[^a-zA-Z\s]"","""")
)
)
"),"sandy hays")</f>
        <v>sandy hays</v>
      </c>
      <c r="O3173" s="7">
        <f t="shared" si="5"/>
        <v>1</v>
      </c>
      <c r="P3173" s="8" t="str">
        <f t="shared" si="6"/>
        <v>No</v>
      </c>
    </row>
    <row r="3174">
      <c r="A3174" s="4" t="s">
        <v>16</v>
      </c>
      <c r="B3174" s="4" t="s">
        <v>8811</v>
      </c>
      <c r="C3174" s="5">
        <v>44579.0</v>
      </c>
      <c r="D3174" s="10">
        <v>44579.0</v>
      </c>
      <c r="E3174" s="4" t="s">
        <v>8812</v>
      </c>
      <c r="F3174" s="4" t="s">
        <v>331</v>
      </c>
      <c r="G3174" s="6" t="str">
        <f>IFERROR(__xludf.DUMMYFUNCTION("REGEXREPLACE(LOWER(F3174),""[^a-z\s]"","""")"),"none")</f>
        <v>none</v>
      </c>
      <c r="H3174" s="4" t="str">
        <f t="shared" si="1"/>
        <v>none</v>
      </c>
      <c r="I3174" s="6">
        <f t="shared" si="2"/>
        <v>1</v>
      </c>
      <c r="J3174" s="6">
        <f>IFERROR(__xludf.DUMMYFUNCTION("IF(H3174="""","""",
SUM(
ARRAYFORMULA(
IF(
REGEXMATCH(
"" ""&amp;H3174&amp;"" "",
"" ""&amp;Sentiment_Words!A$2:A3730&amp;"" ""
),
1,
0
)
)
)
)"),0.0)</f>
        <v>0</v>
      </c>
      <c r="K3174" s="4">
        <f>IFERROR(__xludf.DUMMYFUNCTION("IF(H3174="""","""",
SUM(
ARRAYFORMULA(
IF(
REGEXMATCH(
"" ""&amp;H3174&amp;"" "",
"" ""&amp;Sentiment_Words!B$2:B3730&amp;"" ""
),
1,
0
)
)
)
)"),0.0)</f>
        <v>0</v>
      </c>
      <c r="L3174" s="7" t="str">
        <f t="shared" si="3"/>
        <v>Other</v>
      </c>
      <c r="M3174" s="7" t="str">
        <f t="shared" si="4"/>
        <v>Neutral</v>
      </c>
      <c r="N3174" s="7" t="str">
        <f>IFERROR(__xludf.DUMMYFUNCTION("LOWER(
TRIM(
REGEXREPLACE(B3174,""[^a-zA-Z\s]"","""")
)
)
"),"linda valente")</f>
        <v>linda valente</v>
      </c>
      <c r="O3174" s="7">
        <f t="shared" si="5"/>
        <v>1</v>
      </c>
      <c r="P3174" s="8" t="str">
        <f t="shared" si="6"/>
        <v>No</v>
      </c>
    </row>
    <row r="3175">
      <c r="A3175" s="4" t="s">
        <v>16</v>
      </c>
      <c r="B3175" s="4" t="s">
        <v>8813</v>
      </c>
      <c r="C3175" s="5">
        <v>44579.0</v>
      </c>
      <c r="D3175" s="10">
        <v>44579.0</v>
      </c>
      <c r="E3175" s="4" t="s">
        <v>8814</v>
      </c>
      <c r="F3175" s="4" t="s">
        <v>331</v>
      </c>
      <c r="G3175" s="6" t="str">
        <f>IFERROR(__xludf.DUMMYFUNCTION("REGEXREPLACE(LOWER(F3175),""[^a-z\s]"","""")"),"none")</f>
        <v>none</v>
      </c>
      <c r="H3175" s="4" t="str">
        <f t="shared" si="1"/>
        <v>none</v>
      </c>
      <c r="I3175" s="6">
        <f t="shared" si="2"/>
        <v>1</v>
      </c>
      <c r="J3175" s="6">
        <f>IFERROR(__xludf.DUMMYFUNCTION("IF(H3175="""","""",
SUM(
ARRAYFORMULA(
IF(
REGEXMATCH(
"" ""&amp;H3175&amp;"" "",
"" ""&amp;Sentiment_Words!A$2:A3730&amp;"" ""
),
1,
0
)
)
)
)"),0.0)</f>
        <v>0</v>
      </c>
      <c r="K3175" s="4">
        <f>IFERROR(__xludf.DUMMYFUNCTION("IF(H3175="""","""",
SUM(
ARRAYFORMULA(
IF(
REGEXMATCH(
"" ""&amp;H3175&amp;"" "",
"" ""&amp;Sentiment_Words!B$2:B3730&amp;"" ""
),
1,
0
)
)
)
)"),0.0)</f>
        <v>0</v>
      </c>
      <c r="L3175" s="7" t="str">
        <f t="shared" si="3"/>
        <v>Other</v>
      </c>
      <c r="M3175" s="7" t="str">
        <f t="shared" si="4"/>
        <v>Neutral</v>
      </c>
      <c r="N3175" s="7" t="str">
        <f>IFERROR(__xludf.DUMMYFUNCTION("LOWER(
TRIM(
REGEXREPLACE(B3175,""[^a-zA-Z\s]"","""")
)
)
"),"patricia smith")</f>
        <v>patricia smith</v>
      </c>
      <c r="O3175" s="7">
        <f t="shared" si="5"/>
        <v>1</v>
      </c>
      <c r="P3175" s="8" t="str">
        <f t="shared" si="6"/>
        <v>No</v>
      </c>
    </row>
    <row r="3176">
      <c r="A3176" s="4" t="s">
        <v>16</v>
      </c>
      <c r="B3176" s="4" t="s">
        <v>8815</v>
      </c>
      <c r="C3176" s="5">
        <v>44579.0</v>
      </c>
      <c r="D3176" s="10">
        <v>44579.0</v>
      </c>
      <c r="E3176" s="4" t="s">
        <v>8816</v>
      </c>
      <c r="F3176" s="4" t="s">
        <v>331</v>
      </c>
      <c r="G3176" s="6" t="str">
        <f>IFERROR(__xludf.DUMMYFUNCTION("REGEXREPLACE(LOWER(F3176),""[^a-z\s]"","""")"),"none")</f>
        <v>none</v>
      </c>
      <c r="H3176" s="4" t="str">
        <f t="shared" si="1"/>
        <v>none</v>
      </c>
      <c r="I3176" s="6">
        <f t="shared" si="2"/>
        <v>1</v>
      </c>
      <c r="J3176" s="6">
        <f>IFERROR(__xludf.DUMMYFUNCTION("IF(H3176="""","""",
SUM(
ARRAYFORMULA(
IF(
REGEXMATCH(
"" ""&amp;H3176&amp;"" "",
"" ""&amp;Sentiment_Words!A$2:A3730&amp;"" ""
),
1,
0
)
)
)
)"),0.0)</f>
        <v>0</v>
      </c>
      <c r="K3176" s="4">
        <f>IFERROR(__xludf.DUMMYFUNCTION("IF(H3176="""","""",
SUM(
ARRAYFORMULA(
IF(
REGEXMATCH(
"" ""&amp;H3176&amp;"" "",
"" ""&amp;Sentiment_Words!B$2:B3730&amp;"" ""
),
1,
0
)
)
)
)"),0.0)</f>
        <v>0</v>
      </c>
      <c r="L3176" s="7" t="str">
        <f t="shared" si="3"/>
        <v>Other</v>
      </c>
      <c r="M3176" s="7" t="str">
        <f t="shared" si="4"/>
        <v>Neutral</v>
      </c>
      <c r="N3176" s="7" t="str">
        <f>IFERROR(__xludf.DUMMYFUNCTION("LOWER(
TRIM(
REGEXREPLACE(B3176,""[^a-zA-Z\s]"","""")
)
)
"),"kim r")</f>
        <v>kim r</v>
      </c>
      <c r="O3176" s="7">
        <f t="shared" si="5"/>
        <v>1</v>
      </c>
      <c r="P3176" s="8" t="str">
        <f t="shared" si="6"/>
        <v>No</v>
      </c>
    </row>
    <row r="3177">
      <c r="A3177" s="4" t="s">
        <v>16</v>
      </c>
      <c r="B3177" s="4" t="s">
        <v>8817</v>
      </c>
      <c r="C3177" s="5">
        <v>44578.0</v>
      </c>
      <c r="D3177" s="10">
        <v>44579.0</v>
      </c>
      <c r="E3177" s="4" t="s">
        <v>8818</v>
      </c>
      <c r="F3177" s="4" t="s">
        <v>331</v>
      </c>
      <c r="G3177" s="6" t="str">
        <f>IFERROR(__xludf.DUMMYFUNCTION("REGEXREPLACE(LOWER(F3177),""[^a-z\s]"","""")"),"none")</f>
        <v>none</v>
      </c>
      <c r="H3177" s="4" t="str">
        <f t="shared" si="1"/>
        <v>none</v>
      </c>
      <c r="I3177" s="6">
        <f t="shared" si="2"/>
        <v>1</v>
      </c>
      <c r="J3177" s="6">
        <f>IFERROR(__xludf.DUMMYFUNCTION("IF(H3177="""","""",
SUM(
ARRAYFORMULA(
IF(
REGEXMATCH(
"" ""&amp;H3177&amp;"" "",
"" ""&amp;Sentiment_Words!A$2:A3730&amp;"" ""
),
1,
0
)
)
)
)"),0.0)</f>
        <v>0</v>
      </c>
      <c r="K3177" s="4">
        <f>IFERROR(__xludf.DUMMYFUNCTION("IF(H3177="""","""",
SUM(
ARRAYFORMULA(
IF(
REGEXMATCH(
"" ""&amp;H3177&amp;"" "",
"" ""&amp;Sentiment_Words!B$2:B3730&amp;"" ""
),
1,
0
)
)
)
)"),0.0)</f>
        <v>0</v>
      </c>
      <c r="L3177" s="7" t="str">
        <f t="shared" si="3"/>
        <v>Other</v>
      </c>
      <c r="M3177" s="7" t="str">
        <f t="shared" si="4"/>
        <v>Neutral</v>
      </c>
      <c r="N3177" s="7" t="str">
        <f>IFERROR(__xludf.DUMMYFUNCTION("LOWER(
TRIM(
REGEXREPLACE(B3177,""[^a-zA-Z\s]"","""")
)
)
"),"gregory scott")</f>
        <v>gregory scott</v>
      </c>
      <c r="O3177" s="7">
        <f t="shared" si="5"/>
        <v>1</v>
      </c>
      <c r="P3177" s="8" t="str">
        <f t="shared" si="6"/>
        <v>No</v>
      </c>
    </row>
    <row r="3178">
      <c r="A3178" s="4" t="s">
        <v>16</v>
      </c>
      <c r="B3178" s="4" t="s">
        <v>3089</v>
      </c>
      <c r="C3178" s="5">
        <v>44578.0</v>
      </c>
      <c r="D3178" s="10">
        <v>44578.0</v>
      </c>
      <c r="E3178" s="4" t="s">
        <v>8819</v>
      </c>
      <c r="F3178" s="4" t="s">
        <v>8820</v>
      </c>
      <c r="G3178" s="6" t="str">
        <f>IFERROR(__xludf.DUMMYFUNCTION("REGEXREPLACE(LOWER(F3178),""[^a-z\s]"","""")"),"placed order  being advised shipment would be made within  days never received shipment called every few days  continuously received same story  to be shipped within  days now  days later still have received nothing  including an acknowledgement that cann"&amp;"ot ship what a terrific waste of time")</f>
        <v>placed order  being advised shipment would be made within  days never received shipment called every few days  continuously received same story  to be shipped within  days now  days later still have received nothing  including an acknowledgement that cannot ship what a terrific waste of time</v>
      </c>
      <c r="H3178" s="4" t="str">
        <f t="shared" si="1"/>
        <v>placed order being advised shipment would be made within days never received shipment called every few days continuously received same story be shipped within days now days later still have received nothing including an acknowledgement that cannot ship what a terrific waste of time</v>
      </c>
      <c r="I3178" s="6">
        <f t="shared" si="2"/>
        <v>44</v>
      </c>
      <c r="J3178" s="6">
        <f>IFERROR(__xludf.DUMMYFUNCTION("IF(H3178="""","""",
SUM(
ARRAYFORMULA(
IF(
REGEXMATCH(
"" ""&amp;H3178&amp;"" "",
"" ""&amp;Sentiment_Words!A$2:A3730&amp;"" ""
),
1,
0
)
)
)
)"),0.0)</f>
        <v>0</v>
      </c>
      <c r="K3178" s="4">
        <f>IFERROR(__xludf.DUMMYFUNCTION("IF(H3178="""","""",
SUM(
ARRAYFORMULA(
IF(
REGEXMATCH(
"" ""&amp;H3178&amp;"" "",
"" ""&amp;Sentiment_Words!B$2:B3730&amp;"" ""
),
1,
0
)
)
)
)"),0.0)</f>
        <v>0</v>
      </c>
      <c r="L3178" s="7" t="str">
        <f t="shared" si="3"/>
        <v>Fulfillment &amp; Shipping</v>
      </c>
      <c r="M3178" s="7" t="str">
        <f t="shared" si="4"/>
        <v>Neutral</v>
      </c>
      <c r="N3178" s="7" t="str">
        <f>IFERROR(__xludf.DUMMYFUNCTION("LOWER(
TRIM(
REGEXREPLACE(B3178,""[^a-zA-Z\s]"","""")
)
)
"),"edward")</f>
        <v>edward</v>
      </c>
      <c r="O3178" s="7">
        <f t="shared" si="5"/>
        <v>3</v>
      </c>
      <c r="P3178" s="8" t="str">
        <f t="shared" si="6"/>
        <v>Yes</v>
      </c>
    </row>
    <row r="3179">
      <c r="A3179" s="4" t="s">
        <v>16</v>
      </c>
      <c r="B3179" s="4" t="s">
        <v>5675</v>
      </c>
      <c r="C3179" s="5">
        <v>44578.0</v>
      </c>
      <c r="D3179" s="10">
        <v>44578.0</v>
      </c>
      <c r="E3179" s="4" t="s">
        <v>626</v>
      </c>
      <c r="F3179" s="4" t="s">
        <v>8821</v>
      </c>
      <c r="G3179" s="6" t="str">
        <f>IFERROR(__xludf.DUMMYFUNCTION("REGEXREPLACE(LOWER(F3179),""[^a-z\s]"","""")"),"excellent customer service patiently worked with me to solve problem with order")</f>
        <v>excellent customer service patiently worked with me to solve problem with order</v>
      </c>
      <c r="H3179" s="4" t="str">
        <f t="shared" si="1"/>
        <v>excellent customer service patiently worked with me solve problem with order</v>
      </c>
      <c r="I3179" s="6">
        <f t="shared" si="2"/>
        <v>11</v>
      </c>
      <c r="J3179" s="6">
        <f>IFERROR(__xludf.DUMMYFUNCTION("IF(H3179="""","""",
SUM(
ARRAYFORMULA(
IF(
REGEXMATCH(
"" ""&amp;H3179&amp;"" "",
"" ""&amp;Sentiment_Words!A$2:A3730&amp;"" ""
),
1,
0
)
)
)
)"),1.0)</f>
        <v>1</v>
      </c>
      <c r="K3179" s="4">
        <f>IFERROR(__xludf.DUMMYFUNCTION("IF(H3179="""","""",
SUM(
ARRAYFORMULA(
IF(
REGEXMATCH(
"" ""&amp;H3179&amp;"" "",
"" ""&amp;Sentiment_Words!B$2:B3730&amp;"" ""
),
1,
0
)
)
)
)"),2.0)</f>
        <v>2</v>
      </c>
      <c r="L3179" s="7" t="str">
        <f t="shared" si="3"/>
        <v>Customer Support</v>
      </c>
      <c r="M3179" s="7" t="str">
        <f t="shared" si="4"/>
        <v>Negative</v>
      </c>
      <c r="N3179" s="7" t="str">
        <f>IFERROR(__xludf.DUMMYFUNCTION("LOWER(
TRIM(
REGEXREPLACE(B3179,""[^a-zA-Z\s]"","""")
)
)
"),"sharon")</f>
        <v>sharon</v>
      </c>
      <c r="O3179" s="7">
        <f t="shared" si="5"/>
        <v>5</v>
      </c>
      <c r="P3179" s="8" t="str">
        <f t="shared" si="6"/>
        <v>Yes</v>
      </c>
    </row>
    <row r="3180">
      <c r="A3180" s="4" t="s">
        <v>16</v>
      </c>
      <c r="B3180" s="4" t="s">
        <v>8822</v>
      </c>
      <c r="C3180" s="5">
        <v>44578.0</v>
      </c>
      <c r="D3180" s="4" t="s">
        <v>8823</v>
      </c>
      <c r="E3180" s="4" t="s">
        <v>8824</v>
      </c>
      <c r="F3180" s="4" t="s">
        <v>8825</v>
      </c>
      <c r="G3180" s="6" t="str">
        <f>IFERROR(__xludf.DUMMYFUNCTION("REGEXREPLACE(LOWER(F3180),""[^a-z\s]"","""")"),"generally timely and professional service my major reason for not buying everything through petflow is your use of fedex ground to deliver packages in this area north georgia fedex is terrible most delivery packages in this area go through their austell g"&amp;"a facility austell is the place in georgia where packages go to die it has been unacceptable for the last  to  yearspackages will orbit in that facility for weeks damages thefts delays are routine it is absolutely the worst")</f>
        <v>generally timely and professional service my major reason for not buying everything through petflow is your use of fedex ground to deliver packages in this area north georgia fedex is terrible most delivery packages in this area go through their austell ga facility austell is the place in georgia where packages go to die it has been unacceptable for the last  to  yearspackages will orbit in that facility for weeks damages thefts delays are routine it is absolutely the worst</v>
      </c>
      <c r="H3180" s="4" t="str">
        <f t="shared" si="1"/>
        <v>generally timely professional service my major reason not buying everything through petflow your use of fedex ground deliver packages in this area north georgia fedex terrible most delivery packages in this area go through their austell ga facility austell place in georgia where packages go die it has been unacceptable last yearspackages will orbit in that facility weeks damages thefts delays are routine it absolutely worst</v>
      </c>
      <c r="I3180" s="6">
        <f t="shared" si="2"/>
        <v>66</v>
      </c>
      <c r="J3180" s="6">
        <f>IFERROR(__xludf.DUMMYFUNCTION("IF(H3180="""","""",
SUM(
ARRAYFORMULA(
IF(
REGEXMATCH(
"" ""&amp;H3180&amp;"" "",
"" ""&amp;Sentiment_Words!A$2:A3730&amp;"" ""
),
1,
0
)
)
)
)"),0.0)</f>
        <v>0</v>
      </c>
      <c r="K3180" s="4">
        <f>IFERROR(__xludf.DUMMYFUNCTION("IF(H3180="""","""",
SUM(
ARRAYFORMULA(
IF(
REGEXMATCH(
"" ""&amp;H3180&amp;"" "",
"" ""&amp;Sentiment_Words!B$2:B3730&amp;"" ""
),
1,
0
)
)
)
)"),1.0)</f>
        <v>1</v>
      </c>
      <c r="L3180" s="7" t="str">
        <f t="shared" si="3"/>
        <v>Customer Support</v>
      </c>
      <c r="M3180" s="7" t="str">
        <f t="shared" si="4"/>
        <v>Negative</v>
      </c>
      <c r="N3180" s="7" t="str">
        <f>IFERROR(__xludf.DUMMYFUNCTION("LOWER(
TRIM(
REGEXREPLACE(B3180,""[^a-zA-Z\s]"","""")
)
)
"),"pete rector")</f>
        <v>pete rector</v>
      </c>
      <c r="O3180" s="7">
        <f t="shared" si="5"/>
        <v>1</v>
      </c>
      <c r="P3180" s="8" t="str">
        <f t="shared" si="6"/>
        <v>No</v>
      </c>
    </row>
    <row r="3181">
      <c r="A3181" s="4" t="s">
        <v>16</v>
      </c>
      <c r="B3181" s="4" t="s">
        <v>4598</v>
      </c>
      <c r="C3181" s="5">
        <v>44578.0</v>
      </c>
      <c r="D3181" s="10">
        <v>44578.0</v>
      </c>
      <c r="E3181" s="4" t="s">
        <v>8826</v>
      </c>
      <c r="F3181" s="4" t="s">
        <v>8827</v>
      </c>
      <c r="G3181" s="6" t="str">
        <f>IFERROR(__xludf.DUMMYFUNCTION("REGEXREPLACE(LOWER(F3181),""[^a-z\s]"","""")"),"my order was fulfilled in two days without hiccups great prices products and shipping")</f>
        <v>my order was fulfilled in two days without hiccups great prices products and shipping</v>
      </c>
      <c r="H3181" s="4" t="str">
        <f t="shared" si="1"/>
        <v>my order was fulfilled in two days without hiccups great prices products shipping</v>
      </c>
      <c r="I3181" s="6">
        <f t="shared" si="2"/>
        <v>13</v>
      </c>
      <c r="J3181" s="6">
        <f>IFERROR(__xludf.DUMMYFUNCTION("IF(H3181="""","""",
SUM(
ARRAYFORMULA(
IF(
REGEXMATCH(
"" ""&amp;H3181&amp;"" "",
"" ""&amp;Sentiment_Words!A$2:A3730&amp;"" ""
),
1,
0
)
)
)
)"),1.0)</f>
        <v>1</v>
      </c>
      <c r="K3181" s="4">
        <f>IFERROR(__xludf.DUMMYFUNCTION("IF(H3181="""","""",
SUM(
ARRAYFORMULA(
IF(
REGEXMATCH(
"" ""&amp;H3181&amp;"" "",
"" ""&amp;Sentiment_Words!B$2:B3730&amp;"" ""
),
1,
0
)
)
)
)"),0.0)</f>
        <v>0</v>
      </c>
      <c r="L3181" s="7" t="str">
        <f t="shared" si="3"/>
        <v>Other</v>
      </c>
      <c r="M3181" s="7" t="str">
        <f t="shared" si="4"/>
        <v>Positive</v>
      </c>
      <c r="N3181" s="7" t="str">
        <f>IFERROR(__xludf.DUMMYFUNCTION("LOWER(
TRIM(
REGEXREPLACE(B3181,""[^a-zA-Z\s]"","""")
)
)
"),"cathy")</f>
        <v>cathy</v>
      </c>
      <c r="O3181" s="7">
        <f t="shared" si="5"/>
        <v>3</v>
      </c>
      <c r="P3181" s="8" t="str">
        <f t="shared" si="6"/>
        <v>Yes</v>
      </c>
    </row>
    <row r="3182">
      <c r="A3182" s="4" t="s">
        <v>16</v>
      </c>
      <c r="B3182" s="4" t="s">
        <v>8828</v>
      </c>
      <c r="C3182" s="5">
        <v>44578.0</v>
      </c>
      <c r="D3182" s="10">
        <v>44578.0</v>
      </c>
      <c r="E3182" s="4" t="s">
        <v>8829</v>
      </c>
      <c r="F3182" s="4" t="s">
        <v>8830</v>
      </c>
      <c r="G3182" s="6" t="str">
        <f>IFERROR(__xludf.DUMMYFUNCTION("REGEXREPLACE(LOWER(F3182),""[^a-z\s]"","""")"),"petflow is the only supplier i can get the cat food my cat likes from i can get the food he likes in bulk and it is at a good price he eats a can every day of one kind and he is very picky thanks for being there")</f>
        <v>petflow is the only supplier i can get the cat food my cat likes from i can get the food he likes in bulk and it is at a good price he eats a can every day of one kind and he is very picky thanks for being there</v>
      </c>
      <c r="H3182" s="4" t="str">
        <f t="shared" si="1"/>
        <v>petflow only supplier i can get cat food my cat likes from i can get food he likes in bulk it at a good price he eats a can every day of one kind he very picky thanks being there</v>
      </c>
      <c r="I3182" s="6">
        <f t="shared" si="2"/>
        <v>40</v>
      </c>
      <c r="J3182" s="6">
        <f>IFERROR(__xludf.DUMMYFUNCTION("IF(H3182="""","""",
SUM(
ARRAYFORMULA(
IF(
REGEXMATCH(
"" ""&amp;H3182&amp;"" "",
"" ""&amp;Sentiment_Words!A$2:A3730&amp;"" ""
),
1,
0
)
)
)
)"),1.0)</f>
        <v>1</v>
      </c>
      <c r="K3182" s="4">
        <f>IFERROR(__xludf.DUMMYFUNCTION("IF(H3182="""","""",
SUM(
ARRAYFORMULA(
IF(
REGEXMATCH(
"" ""&amp;H3182&amp;"" "",
"" ""&amp;Sentiment_Words!B$2:B3730&amp;"" ""
),
1,
0
)
)
)
)"),0.0)</f>
        <v>0</v>
      </c>
      <c r="L3182" s="7" t="str">
        <f t="shared" si="3"/>
        <v>Other</v>
      </c>
      <c r="M3182" s="7" t="str">
        <f t="shared" si="4"/>
        <v>Positive</v>
      </c>
      <c r="N3182" s="7" t="str">
        <f>IFERROR(__xludf.DUMMYFUNCTION("LOWER(
TRIM(
REGEXREPLACE(B3182,""[^a-zA-Z\s]"","""")
)
)
"),"everett hobbs")</f>
        <v>everett hobbs</v>
      </c>
      <c r="O3182" s="7">
        <f t="shared" si="5"/>
        <v>1</v>
      </c>
      <c r="P3182" s="8" t="str">
        <f t="shared" si="6"/>
        <v>No</v>
      </c>
    </row>
    <row r="3183">
      <c r="A3183" s="4" t="s">
        <v>16</v>
      </c>
      <c r="B3183" s="4" t="s">
        <v>8831</v>
      </c>
      <c r="C3183" s="5">
        <v>44577.0</v>
      </c>
      <c r="D3183" s="10">
        <v>44577.0</v>
      </c>
      <c r="E3183" s="4" t="s">
        <v>8832</v>
      </c>
      <c r="F3183" s="4" t="s">
        <v>8833</v>
      </c>
      <c r="G3183" s="6" t="str">
        <f>IFERROR(__xludf.DUMMYFUNCTION("REGEXREPLACE(LOWER(F3183),""[^a-z\s]"","""")"),"check your bank balances people if youre on autoship even if youre not check your bank balances the food is great my dog loves the food no problems there i bought   lb bags of this dog food for the first time on november  for  so then a week later on dece"&amp;"mber  they had a  off sale so i bought another two bags and ask them to put it on my autoship to be sent out january  so im going over my bank balances this morning and i noticed that they charged me the original  for   lb bags on november  then i was cha"&amp;"rged  on december  my guess is that the bag i bought on sale on december  the one i told them to put on the autoship then again on december  i was charged another  then on january  i was charged another  then january  i was charged  i only received the or"&amp;"iginal two that i bought on november  and i just received another two bags that i bought on sale that was in the auto ship so they charged me an extra  for i have no idea what so i called them to see why there charging me for dog food that i never authori"&amp;"zed them to i got a recording that said somebody will be with you immediately i waited  minutes listening to stupid clown music then i got a recording saying please leave a message i only made two legitimate purchases from them so im just saying beware an"&amp;"d check your bank accounts looks like they are looking for people who dont check your bank balances and charging them extra hoping they wont notice")</f>
        <v>check your bank balances people if youre on autoship even if youre not check your bank balances the food is great my dog loves the food no problems there i bought   lb bags of this dog food for the first time on november  for  so then a week later on december  they had a  off sale so i bought another two bags and ask them to put it on my autoship to be sent out january  so im going over my bank balances this morning and i noticed that they charged me the original  for   lb bags on november  then i was charged  on december  my guess is that the bag i bought on sale on december  the one i told them to put on the autoship then again on december  i was charged another  then on january  i was charged another  then january  i was charged  i only received the original two that i bought on november  and i just received another two bags that i bought on sale that was in the auto ship so they charged me an extra  for i have no idea what so i called them to see why there charging me for dog food that i never authorized them to i got a recording that said somebody will be with you immediately i waited  minutes listening to stupid clown music then i got a recording saying please leave a message i only made two legitimate purchases from them so im just saying beware and check your bank accounts looks like they are looking for people who dont check your bank balances and charging them extra hoping they wont notice</v>
      </c>
      <c r="H3183" s="4" t="str">
        <f t="shared" si="1"/>
        <v>check your bank balances people if youre on autoship even if youre not check your bank balances food great my dog loves food no problems there i bought lb bags of this dog food first time on november so then a week later on december they had a off sale so i bought another two bags ask them put it on my autoship be sent out january so im going over my bank balances this morning i noticed that they charged me original lb bags on november then i was charged on december my guess that bag i bought on sale on december one i told them put on autoship then again on december i was charged another then on january i was charged another then january i was charged i only received original two that i bought on november i just received another two bags that i bought on sale that was in auto ship so they charged me an extra i have no idea what so i called them see why there charging me dog food that i never authorized them i got a recording that said somebody will be with you immediately i waited minutes listening stupid clown music then i got a recording saying please leave a message i only made two legitimate purchases from them so im just saying beware check your bank accounts looks like they are looking people who dont check your bank balances charging them extra hoping they wont notice</v>
      </c>
      <c r="I3183" s="6">
        <f t="shared" si="2"/>
        <v>248</v>
      </c>
      <c r="J3183" s="6">
        <f>IFERROR(__xludf.DUMMYFUNCTION("IF(H3183="""","""",
SUM(
ARRAYFORMULA(
IF(
REGEXMATCH(
"" ""&amp;H3183&amp;"" "",
"" ""&amp;Sentiment_Words!A$2:A3730&amp;"" ""
),
1,
0
)
)
)
)"),4.0)</f>
        <v>4</v>
      </c>
      <c r="K3183" s="4">
        <f>IFERROR(__xludf.DUMMYFUNCTION("IF(H3183="""","""",
SUM(
ARRAYFORMULA(
IF(
REGEXMATCH(
"" ""&amp;H3183&amp;"" "",
"" ""&amp;Sentiment_Words!B$2:B3730&amp;"" ""
),
1,
0
)
)
)
)"),0.0)</f>
        <v>0</v>
      </c>
      <c r="L3183" s="7" t="str">
        <f t="shared" si="3"/>
        <v>Fulfillment &amp; Shipping</v>
      </c>
      <c r="M3183" s="7" t="str">
        <f t="shared" si="4"/>
        <v>Positive</v>
      </c>
      <c r="N3183" s="7" t="str">
        <f>IFERROR(__xludf.DUMMYFUNCTION("LOWER(
TRIM(
REGEXREPLACE(B3183,""[^a-zA-Z\s]"","""")
)
)
"),"mary comer")</f>
        <v>mary comer</v>
      </c>
      <c r="O3183" s="7">
        <f t="shared" si="5"/>
        <v>1</v>
      </c>
      <c r="P3183" s="8" t="str">
        <f t="shared" si="6"/>
        <v>No</v>
      </c>
    </row>
    <row r="3184">
      <c r="A3184" s="4" t="s">
        <v>16</v>
      </c>
      <c r="B3184" s="4" t="s">
        <v>8834</v>
      </c>
      <c r="C3184" s="5">
        <v>44577.0</v>
      </c>
      <c r="D3184" s="10">
        <v>44577.0</v>
      </c>
      <c r="E3184" s="4" t="s">
        <v>8835</v>
      </c>
      <c r="F3184" s="4" t="s">
        <v>8836</v>
      </c>
      <c r="G3184" s="6" t="str">
        <f>IFERROR(__xludf.DUMMYFUNCTION("REGEXREPLACE(LOWER(F3184),""[^a-z\s]"","""")"),"no problems with the product but shipping was very slow allow  or more days to get your food from them")</f>
        <v>no problems with the product but shipping was very slow allow  or more days to get your food from them</v>
      </c>
      <c r="H3184" s="4" t="str">
        <f t="shared" si="1"/>
        <v>no problems with product but shipping was very slow allow or more days get your food from them</v>
      </c>
      <c r="I3184" s="6">
        <f t="shared" si="2"/>
        <v>18</v>
      </c>
      <c r="J3184" s="6">
        <f>IFERROR(__xludf.DUMMYFUNCTION("IF(H3184="""","""",
SUM(
ARRAYFORMULA(
IF(
REGEXMATCH(
"" ""&amp;H3184&amp;"" "",
"" ""&amp;Sentiment_Words!A$2:A3730&amp;"" ""
),
1,
0
)
)
)
)"),1.0)</f>
        <v>1</v>
      </c>
      <c r="K3184" s="4">
        <f>IFERROR(__xludf.DUMMYFUNCTION("IF(H3184="""","""",
SUM(
ARRAYFORMULA(
IF(
REGEXMATCH(
"" ""&amp;H3184&amp;"" "",
"" ""&amp;Sentiment_Words!B$2:B3730&amp;"" ""
),
1,
0
)
)
)
)"),0.0)</f>
        <v>0</v>
      </c>
      <c r="L3184" s="7" t="str">
        <f t="shared" si="3"/>
        <v>Other</v>
      </c>
      <c r="M3184" s="7" t="str">
        <f t="shared" si="4"/>
        <v>Positive</v>
      </c>
      <c r="N3184" s="7" t="str">
        <f>IFERROR(__xludf.DUMMYFUNCTION("LOWER(
TRIM(
REGEXREPLACE(B3184,""[^a-zA-Z\s]"","""")
)
)
"),"kathy dwyer")</f>
        <v>kathy dwyer</v>
      </c>
      <c r="O3184" s="7">
        <f t="shared" si="5"/>
        <v>1</v>
      </c>
      <c r="P3184" s="8" t="str">
        <f t="shared" si="6"/>
        <v>No</v>
      </c>
    </row>
    <row r="3185">
      <c r="A3185" s="4" t="s">
        <v>16</v>
      </c>
      <c r="B3185" s="4" t="s">
        <v>8837</v>
      </c>
      <c r="C3185" s="5">
        <v>44577.0</v>
      </c>
      <c r="D3185" s="10">
        <v>44577.0</v>
      </c>
      <c r="E3185" s="4" t="s">
        <v>8838</v>
      </c>
      <c r="F3185" s="4" t="s">
        <v>8839</v>
      </c>
      <c r="G3185" s="6" t="str">
        <f>IFERROR(__xludf.DUMMYFUNCTION("REGEXREPLACE(LOWER(F3185),""[^a-z\s]"","""")"),"overall i love petflow but in this particular case where my autoship was delayed due to outofstock conditions i feel i was not notified sufficiently quickly enough to react as a result the hills prescription cat food i had ran out and i needed to switch m"&amp;"y girls temporarily to another foodnot something i wanted to do
further once i contact petflow to discuss this and explaining this prescription food is somewhat important to their well being i felt it still took a bit longer than it should have to receiv"&amp;"e the workaround order two smaller bags of the same food oh and perhaps when the original autoship encountered the outofstock condition it would have been better for petflow to offer the alternative bag size so i could receive the food on time
all that s"&amp;"aid i might be expecting too much from petflow as the bar has been set really high you guys are really great so take the above more as a suggestion rather than a criticism
thanks")</f>
        <v>overall i love petflow but in this particular case where my autoship was delayed due to outofstock conditions i feel i was not notified sufficiently quickly enough to react as a result the hills prescription cat food i had ran out and i needed to switch my girls temporarily to another foodnot something i wanted to do
further once i contact petflow to discuss this and explaining this prescription food is somewhat important to their well being i felt it still took a bit longer than it should have to receive the workaround order two smaller bags of the same food oh and perhaps when the original autoship encountered the outofstock condition it would have been better for petflow to offer the alternative bag size so i could receive the food on time
all that said i might be expecting too much from petflow as the bar has been set really high you guys are really great so take the above more as a suggestion rather than a criticism
thanks</v>
      </c>
      <c r="H3185" s="4" t="str">
        <f t="shared" si="1"/>
        <v>overall i love petflow but in this particular case where my autoship was delayed due outofstock conditions i feel i was not notified sufficiently quickly enough react as a result hills prescription cat food i had ran out i needed switch my girls temporarily another foodnot something i wanted do
further once i contact petflow discuss this explaining this prescription food somewhat important their well being i felt it still took a bit longer than it should have receive workaround order two smaller bags of same food oh perhaps when original autoship encountered outofstock condition it would have been better petflow offer alternative bag size so i could receive food on time
all that said i might be expecting too much from petflow as bar has been set really high you guys are really great so take above more as a suggestion rather than a criticism
thanks</v>
      </c>
      <c r="I3185" s="6">
        <f t="shared" si="2"/>
        <v>144</v>
      </c>
      <c r="J3185" s="6">
        <f>IFERROR(__xludf.DUMMYFUNCTION("IF(H3185="""","""",
SUM(
ARRAYFORMULA(
IF(
REGEXMATCH(
"" ""&amp;H3185&amp;"" "",
"" ""&amp;Sentiment_Words!A$2:A3730&amp;"" ""
),
1,
0
)
)
)
)"),2.0)</f>
        <v>2</v>
      </c>
      <c r="K3185" s="4">
        <f>IFERROR(__xludf.DUMMYFUNCTION("IF(H3185="""","""",
SUM(
ARRAYFORMULA(
IF(
REGEXMATCH(
"" ""&amp;H3185&amp;"" "",
"" ""&amp;Sentiment_Words!B$2:B3730&amp;"" ""
),
1,
0
)
)
)
)"),1.0)</f>
        <v>1</v>
      </c>
      <c r="L3185" s="7" t="str">
        <f t="shared" si="3"/>
        <v>Fulfillment &amp; Shipping</v>
      </c>
      <c r="M3185" s="7" t="str">
        <f t="shared" si="4"/>
        <v>Positive</v>
      </c>
      <c r="N3185" s="7" t="str">
        <f>IFERROR(__xludf.DUMMYFUNCTION("LOWER(
TRIM(
REGEXREPLACE(B3185,""[^a-zA-Z\s]"","""")
)
)
"),"al")</f>
        <v>al</v>
      </c>
      <c r="O3185" s="7">
        <f t="shared" si="5"/>
        <v>1</v>
      </c>
      <c r="P3185" s="8" t="str">
        <f t="shared" si="6"/>
        <v>No</v>
      </c>
    </row>
    <row r="3186">
      <c r="A3186" s="4" t="s">
        <v>16</v>
      </c>
      <c r="B3186" s="4" t="s">
        <v>8840</v>
      </c>
      <c r="C3186" s="5">
        <v>44577.0</v>
      </c>
      <c r="D3186" s="10">
        <v>44577.0</v>
      </c>
      <c r="E3186" s="4" t="s">
        <v>8841</v>
      </c>
      <c r="F3186" s="4" t="s">
        <v>8842</v>
      </c>
      <c r="G3186" s="6" t="str">
        <f>IFERROR(__xludf.DUMMYFUNCTION("REGEXREPLACE(LOWER(F3186),""[^a-z\s]"","""")"),"they make it easy love how they call your vet for prescription food fast deliveries")</f>
        <v>they make it easy love how they call your vet for prescription food fast deliveries</v>
      </c>
      <c r="H3186" s="4" t="str">
        <f t="shared" si="1"/>
        <v>they make it easy love how they call your vet prescription food fast deliveries</v>
      </c>
      <c r="I3186" s="6">
        <f t="shared" si="2"/>
        <v>14</v>
      </c>
      <c r="J3186" s="6">
        <f>IFERROR(__xludf.DUMMYFUNCTION("IF(H3186="""","""",
SUM(
ARRAYFORMULA(
IF(
REGEXMATCH(
"" ""&amp;H3186&amp;"" "",
"" ""&amp;Sentiment_Words!A$2:A3730&amp;"" ""
),
1,
0
)
)
)
)"),3.0)</f>
        <v>3</v>
      </c>
      <c r="K3186" s="4">
        <f>IFERROR(__xludf.DUMMYFUNCTION("IF(H3186="""","""",
SUM(
ARRAYFORMULA(
IF(
REGEXMATCH(
"" ""&amp;H3186&amp;"" "",
"" ""&amp;Sentiment_Words!B$2:B3730&amp;"" ""
),
1,
0
)
)
)
)"),0.0)</f>
        <v>0</v>
      </c>
      <c r="L3186" s="7" t="str">
        <f t="shared" si="3"/>
        <v>Other</v>
      </c>
      <c r="M3186" s="7" t="str">
        <f t="shared" si="4"/>
        <v>Positive</v>
      </c>
      <c r="N3186" s="7" t="str">
        <f>IFERROR(__xludf.DUMMYFUNCTION("LOWER(
TRIM(
REGEXREPLACE(B3186,""[^a-zA-Z\s]"","""")
)
)
"),"bryan")</f>
        <v>bryan</v>
      </c>
      <c r="O3186" s="7">
        <f t="shared" si="5"/>
        <v>1</v>
      </c>
      <c r="P3186" s="8" t="str">
        <f t="shared" si="6"/>
        <v>No</v>
      </c>
    </row>
    <row r="3187">
      <c r="A3187" s="4" t="s">
        <v>16</v>
      </c>
      <c r="B3187" s="4" t="s">
        <v>8843</v>
      </c>
      <c r="C3187" s="5">
        <v>44577.0</v>
      </c>
      <c r="D3187" s="10">
        <v>44577.0</v>
      </c>
      <c r="E3187" s="4" t="s">
        <v>8844</v>
      </c>
      <c r="F3187" s="4" t="s">
        <v>8845</v>
      </c>
      <c r="G3187" s="6" t="str">
        <f>IFERROR(__xludf.DUMMYFUNCTION("REGEXREPLACE(LOWER(F3187),""[^a-z\s]"","""")"),"called petflow to see if i could get meow mix they were very helpful and
i ordered a multi pack box i received it right away everybody was very
police and nice will definitely use again")</f>
        <v>called petflow to see if i could get meow mix they were very helpful and
i ordered a multi pack box i received it right away everybody was very
police and nice will definitely use again</v>
      </c>
      <c r="H3187" s="4" t="str">
        <f t="shared" si="1"/>
        <v>called petflow see if i could get meow mix they were very helpful and
i ordered a multi pack box i received it right away everybody was very
police nice will definitely use again</v>
      </c>
      <c r="I3187" s="6">
        <f t="shared" si="2"/>
        <v>32</v>
      </c>
      <c r="J3187" s="6">
        <f>IFERROR(__xludf.DUMMYFUNCTION("IF(H3187="""","""",
SUM(
ARRAYFORMULA(
IF(
REGEXMATCH(
"" ""&amp;H3187&amp;"" "",
"" ""&amp;Sentiment_Words!A$2:A3730&amp;"" ""
),
1,
0
)
)
)
)"),1.0)</f>
        <v>1</v>
      </c>
      <c r="K3187" s="4">
        <f>IFERROR(__xludf.DUMMYFUNCTION("IF(H3187="""","""",
SUM(
ARRAYFORMULA(
IF(
REGEXMATCH(
"" ""&amp;H3187&amp;"" "",
"" ""&amp;Sentiment_Words!B$2:B3730&amp;"" ""
),
1,
0
)
)
)
)"),0.0)</f>
        <v>0</v>
      </c>
      <c r="L3187" s="7" t="str">
        <f t="shared" si="3"/>
        <v>Other</v>
      </c>
      <c r="M3187" s="7" t="str">
        <f t="shared" si="4"/>
        <v>Positive</v>
      </c>
      <c r="N3187" s="7" t="str">
        <f>IFERROR(__xludf.DUMMYFUNCTION("LOWER(
TRIM(
REGEXREPLACE(B3187,""[^a-zA-Z\s]"","""")
)
)
"),"linda cissel")</f>
        <v>linda cissel</v>
      </c>
      <c r="O3187" s="7">
        <f t="shared" si="5"/>
        <v>1</v>
      </c>
      <c r="P3187" s="8" t="str">
        <f t="shared" si="6"/>
        <v>No</v>
      </c>
    </row>
    <row r="3188">
      <c r="A3188" s="4" t="s">
        <v>16</v>
      </c>
      <c r="B3188" s="4" t="s">
        <v>8846</v>
      </c>
      <c r="C3188" s="5">
        <v>44576.0</v>
      </c>
      <c r="D3188" s="10">
        <v>44576.0</v>
      </c>
      <c r="E3188" s="4" t="s">
        <v>8847</v>
      </c>
      <c r="F3188" s="4" t="s">
        <v>8848</v>
      </c>
      <c r="G3188" s="6" t="str">
        <f>IFERROR(__xludf.DUMMYFUNCTION("REGEXREPLACE(LOWER(F3188),""[^a-z\s]"","""")"),"have ordered from petflow many have always had fast efficient service")</f>
        <v>have ordered from petflow many have always had fast efficient service</v>
      </c>
      <c r="H3188" s="4" t="str">
        <f t="shared" si="1"/>
        <v>have ordered from petflow many have always had fast efficient service</v>
      </c>
      <c r="I3188" s="6">
        <f t="shared" si="2"/>
        <v>11</v>
      </c>
      <c r="J3188" s="6">
        <f>IFERROR(__xludf.DUMMYFUNCTION("IF(H3188="""","""",
SUM(
ARRAYFORMULA(
IF(
REGEXMATCH(
"" ""&amp;H3188&amp;"" "",
"" ""&amp;Sentiment_Words!A$2:A3730&amp;"" ""
),
1,
0
)
)
)
)"),2.0)</f>
        <v>2</v>
      </c>
      <c r="K3188" s="4">
        <f>IFERROR(__xludf.DUMMYFUNCTION("IF(H3188="""","""",
SUM(
ARRAYFORMULA(
IF(
REGEXMATCH(
"" ""&amp;H3188&amp;"" "",
"" ""&amp;Sentiment_Words!B$2:B3730&amp;"" ""
),
1,
0
)
)
)
)"),0.0)</f>
        <v>0</v>
      </c>
      <c r="L3188" s="7" t="str">
        <f t="shared" si="3"/>
        <v>Customer Support</v>
      </c>
      <c r="M3188" s="7" t="str">
        <f t="shared" si="4"/>
        <v>Positive</v>
      </c>
      <c r="N3188" s="7" t="str">
        <f>IFERROR(__xludf.DUMMYFUNCTION("LOWER(
TRIM(
REGEXREPLACE(B3188,""[^a-zA-Z\s]"","""")
)
)
"),"vincent")</f>
        <v>vincent</v>
      </c>
      <c r="O3188" s="7">
        <f t="shared" si="5"/>
        <v>1</v>
      </c>
      <c r="P3188" s="8" t="str">
        <f t="shared" si="6"/>
        <v>No</v>
      </c>
    </row>
    <row r="3189">
      <c r="A3189" s="4" t="s">
        <v>16</v>
      </c>
      <c r="B3189" s="4" t="s">
        <v>8849</v>
      </c>
      <c r="C3189" s="5">
        <v>44576.0</v>
      </c>
      <c r="D3189" s="10">
        <v>44576.0</v>
      </c>
      <c r="E3189" s="4" t="s">
        <v>8850</v>
      </c>
      <c r="F3189" s="4" t="s">
        <v>8851</v>
      </c>
      <c r="G3189" s="6" t="str">
        <f>IFERROR(__xludf.DUMMYFUNCTION("REGEXREPLACE(LOWER(F3189),""[^a-z\s]"","""")"),"my package was stolen and they reached out and provided me with a new bag at no cost")</f>
        <v>my package was stolen and they reached out and provided me with a new bag at no cost</v>
      </c>
      <c r="H3189" s="4" t="str">
        <f t="shared" si="1"/>
        <v>my package was stolen they reached out provided me with a new bag at no cost</v>
      </c>
      <c r="I3189" s="6">
        <f t="shared" si="2"/>
        <v>16</v>
      </c>
      <c r="J3189" s="6">
        <f>IFERROR(__xludf.DUMMYFUNCTION("IF(H3189="""","""",
SUM(
ARRAYFORMULA(
IF(
REGEXMATCH(
"" ""&amp;H3189&amp;"" "",
"" ""&amp;Sentiment_Words!A$2:A3730&amp;"" ""
),
1,
0
)
)
)
)"),0.0)</f>
        <v>0</v>
      </c>
      <c r="K3189" s="4">
        <f>IFERROR(__xludf.DUMMYFUNCTION("IF(H3189="""","""",
SUM(
ARRAYFORMULA(
IF(
REGEXMATCH(
"" ""&amp;H3189&amp;"" "",
"" ""&amp;Sentiment_Words!B$2:B3730&amp;"" ""
),
1,
0
)
)
)
)"),0.0)</f>
        <v>0</v>
      </c>
      <c r="L3189" s="7" t="str">
        <f t="shared" si="3"/>
        <v>Other</v>
      </c>
      <c r="M3189" s="7" t="str">
        <f t="shared" si="4"/>
        <v>Neutral</v>
      </c>
      <c r="N3189" s="7" t="str">
        <f>IFERROR(__xludf.DUMMYFUNCTION("LOWER(
TRIM(
REGEXREPLACE(B3189,""[^a-zA-Z\s]"","""")
)
)
"),"victoria ortiz")</f>
        <v>victoria ortiz</v>
      </c>
      <c r="O3189" s="7">
        <f t="shared" si="5"/>
        <v>1</v>
      </c>
      <c r="P3189" s="8" t="str">
        <f t="shared" si="6"/>
        <v>No</v>
      </c>
    </row>
    <row r="3190">
      <c r="A3190" s="4" t="s">
        <v>16</v>
      </c>
      <c r="B3190" s="4" t="s">
        <v>8852</v>
      </c>
      <c r="C3190" s="5">
        <v>44576.0</v>
      </c>
      <c r="D3190" s="10">
        <v>44576.0</v>
      </c>
      <c r="E3190" s="4" t="s">
        <v>8853</v>
      </c>
      <c r="F3190" s="4" t="s">
        <v>8854</v>
      </c>
      <c r="G3190" s="6" t="str">
        <f>IFERROR(__xludf.DUMMYFUNCTION("REGEXREPLACE(LOWER(F3190),""[^a-z\s]"","""")"),"petflow helped me out in a pinch when other companies were out of my cats prescription food petflow came through for me i really appreciate that as she is older and needs her special food")</f>
        <v>petflow helped me out in a pinch when other companies were out of my cats prescription food petflow came through for me i really appreciate that as she is older and needs her special food</v>
      </c>
      <c r="H3190" s="4" t="str">
        <f t="shared" si="1"/>
        <v>petflow helped me out in a pinch when other companies were out of my cats prescription food petflow came through me i really appreciate that as she older needs her special food</v>
      </c>
      <c r="I3190" s="6">
        <f t="shared" si="2"/>
        <v>32</v>
      </c>
      <c r="J3190" s="6">
        <f>IFERROR(__xludf.DUMMYFUNCTION("IF(H3190="""","""",
SUM(
ARRAYFORMULA(
IF(
REGEXMATCH(
"" ""&amp;H3190&amp;"" "",
"" ""&amp;Sentiment_Words!A$2:A3730&amp;"" ""
),
1,
0
)
)
)
)"),0.0)</f>
        <v>0</v>
      </c>
      <c r="K3190" s="4">
        <f>IFERROR(__xludf.DUMMYFUNCTION("IF(H3190="""","""",
SUM(
ARRAYFORMULA(
IF(
REGEXMATCH(
"" ""&amp;H3190&amp;"" "",
"" ""&amp;Sentiment_Words!B$2:B3730&amp;"" ""
),
1,
0
)
)
)
)"),0.0)</f>
        <v>0</v>
      </c>
      <c r="L3190" s="7" t="str">
        <f t="shared" si="3"/>
        <v>Other</v>
      </c>
      <c r="M3190" s="7" t="str">
        <f t="shared" si="4"/>
        <v>Neutral</v>
      </c>
      <c r="N3190" s="7" t="str">
        <f>IFERROR(__xludf.DUMMYFUNCTION("LOWER(
TRIM(
REGEXREPLACE(B3190,""[^a-zA-Z\s]"","""")
)
)
"),"leanna")</f>
        <v>leanna</v>
      </c>
      <c r="O3190" s="7">
        <f t="shared" si="5"/>
        <v>1</v>
      </c>
      <c r="P3190" s="8" t="str">
        <f t="shared" si="6"/>
        <v>No</v>
      </c>
    </row>
    <row r="3191">
      <c r="A3191" s="4" t="s">
        <v>16</v>
      </c>
      <c r="B3191" s="4" t="s">
        <v>8855</v>
      </c>
      <c r="C3191" s="5">
        <v>44576.0</v>
      </c>
      <c r="D3191" s="10">
        <v>44576.0</v>
      </c>
      <c r="E3191" s="4" t="s">
        <v>8856</v>
      </c>
      <c r="F3191" s="4" t="s">
        <v>8857</v>
      </c>
      <c r="G3191" s="6" t="str">
        <f>IFERROR(__xludf.DUMMYFUNCTION("REGEXREPLACE(LOWER(F3191),""[^a-z\s]"","""")"),"reasonable prices quick fulfilment and delivery its always like this thanks")</f>
        <v>reasonable prices quick fulfilment and delivery its always like this thanks</v>
      </c>
      <c r="H3191" s="4" t="str">
        <f t="shared" si="1"/>
        <v>reasonable prices quick fulfilment delivery its always like this thanks</v>
      </c>
      <c r="I3191" s="6">
        <f t="shared" si="2"/>
        <v>10</v>
      </c>
      <c r="J3191" s="6">
        <f>IFERROR(__xludf.DUMMYFUNCTION("IF(H3191="""","""",
SUM(
ARRAYFORMULA(
IF(
REGEXMATCH(
"" ""&amp;H3191&amp;"" "",
"" ""&amp;Sentiment_Words!A$2:A3730&amp;"" ""
),
1,
0
)
)
)
)"),0.0)</f>
        <v>0</v>
      </c>
      <c r="K3191" s="4">
        <f>IFERROR(__xludf.DUMMYFUNCTION("IF(H3191="""","""",
SUM(
ARRAYFORMULA(
IF(
REGEXMATCH(
"" ""&amp;H3191&amp;"" "",
"" ""&amp;Sentiment_Words!B$2:B3730&amp;"" ""
),
1,
0
)
)
)
)"),0.0)</f>
        <v>0</v>
      </c>
      <c r="L3191" s="7" t="str">
        <f t="shared" si="3"/>
        <v>Other</v>
      </c>
      <c r="M3191" s="7" t="str">
        <f t="shared" si="4"/>
        <v>Neutral</v>
      </c>
      <c r="N3191" s="7" t="str">
        <f>IFERROR(__xludf.DUMMYFUNCTION("LOWER(
TRIM(
REGEXREPLACE(B3191,""[^a-zA-Z\s]"","""")
)
)
"),"dwayne b")</f>
        <v>dwayne b</v>
      </c>
      <c r="O3191" s="7">
        <f t="shared" si="5"/>
        <v>1</v>
      </c>
      <c r="P3191" s="8" t="str">
        <f t="shared" si="6"/>
        <v>No</v>
      </c>
    </row>
    <row r="3192">
      <c r="A3192" s="4" t="s">
        <v>16</v>
      </c>
      <c r="B3192" s="4" t="s">
        <v>8858</v>
      </c>
      <c r="C3192" s="5">
        <v>44576.0</v>
      </c>
      <c r="D3192" s="10">
        <v>44576.0</v>
      </c>
      <c r="E3192" s="4" t="s">
        <v>8859</v>
      </c>
      <c r="F3192" s="4" t="s">
        <v>8860</v>
      </c>
      <c r="G3192" s="6" t="str">
        <f>IFERROR(__xludf.DUMMYFUNCTION("REGEXREPLACE(LOWER(F3192),""[^a-z\s]"","""")"),"my order arrived incomplete and it was downhill from there on i dont have time to detail my problems trying to get things straightened out i had been satisfied with my experiences with pet flow in the past but this was a total mess")</f>
        <v>my order arrived incomplete and it was downhill from there on i dont have time to detail my problems trying to get things straightened out i had been satisfied with my experiences with pet flow in the past but this was a total mess</v>
      </c>
      <c r="H3192" s="4" t="str">
        <f t="shared" si="1"/>
        <v>my order arrived incomplete it was downhill from there on i dont have time detail my problems trying get things straightened out i had been satisfied with my experiences with pet flow in past but this was a total mess</v>
      </c>
      <c r="I3192" s="6">
        <f t="shared" si="2"/>
        <v>40</v>
      </c>
      <c r="J3192" s="6">
        <f>IFERROR(__xludf.DUMMYFUNCTION("IF(H3192="""","""",
SUM(
ARRAYFORMULA(
IF(
REGEXMATCH(
"" ""&amp;H3192&amp;"" "",
"" ""&amp;Sentiment_Words!A$2:A3730&amp;"" ""
),
1,
0
)
)
)
)"),1.0)</f>
        <v>1</v>
      </c>
      <c r="K3192" s="4">
        <f>IFERROR(__xludf.DUMMYFUNCTION("IF(H3192="""","""",
SUM(
ARRAYFORMULA(
IF(
REGEXMATCH(
"" ""&amp;H3192&amp;"" "",
"" ""&amp;Sentiment_Words!B$2:B3730&amp;"" ""
),
1,
0
)
)
)
)"),0.0)</f>
        <v>0</v>
      </c>
      <c r="L3192" s="7" t="str">
        <f t="shared" si="3"/>
        <v>Other</v>
      </c>
      <c r="M3192" s="7" t="str">
        <f t="shared" si="4"/>
        <v>Positive</v>
      </c>
      <c r="N3192" s="7" t="str">
        <f>IFERROR(__xludf.DUMMYFUNCTION("LOWER(
TRIM(
REGEXREPLACE(B3192,""[^a-zA-Z\s]"","""")
)
)
"),"sarah lewis")</f>
        <v>sarah lewis</v>
      </c>
      <c r="O3192" s="7">
        <f t="shared" si="5"/>
        <v>1</v>
      </c>
      <c r="P3192" s="8" t="str">
        <f t="shared" si="6"/>
        <v>No</v>
      </c>
    </row>
    <row r="3193">
      <c r="A3193" s="4" t="s">
        <v>16</v>
      </c>
      <c r="B3193" s="4" t="s">
        <v>8739</v>
      </c>
      <c r="C3193" s="5">
        <v>44576.0</v>
      </c>
      <c r="D3193" s="10">
        <v>44576.0</v>
      </c>
      <c r="E3193" s="4" t="s">
        <v>8861</v>
      </c>
      <c r="F3193" s="4" t="s">
        <v>8862</v>
      </c>
      <c r="G3193" s="6" t="str">
        <f>IFERROR(__xludf.DUMMYFUNCTION("REGEXREPLACE(LOWER(F3193),""[^a-z\s]"","""")"),"they could not deliver i called and called and received excuse after excuseended up cancelling my order and order through amazon")</f>
        <v>they could not deliver i called and called and received excuse after excuseended up cancelling my order and order through amazon</v>
      </c>
      <c r="H3193" s="4" t="str">
        <f t="shared" si="1"/>
        <v>they could not deliver i called called received excuse after excuseended up cancelling my order order through amazon</v>
      </c>
      <c r="I3193" s="6">
        <f t="shared" si="2"/>
        <v>18</v>
      </c>
      <c r="J3193" s="6">
        <f>IFERROR(__xludf.DUMMYFUNCTION("IF(H3193="""","""",
SUM(
ARRAYFORMULA(
IF(
REGEXMATCH(
"" ""&amp;H3193&amp;"" "",
"" ""&amp;Sentiment_Words!A$2:A3730&amp;"" ""
),
1,
0
)
)
)
)"),0.0)</f>
        <v>0</v>
      </c>
      <c r="K3193" s="4">
        <f>IFERROR(__xludf.DUMMYFUNCTION("IF(H3193="""","""",
SUM(
ARRAYFORMULA(
IF(
REGEXMATCH(
"" ""&amp;H3193&amp;"" "",
"" ""&amp;Sentiment_Words!B$2:B3730&amp;"" ""
),
1,
0
)
)
)
)"),0.0)</f>
        <v>0</v>
      </c>
      <c r="L3193" s="7" t="str">
        <f t="shared" si="3"/>
        <v>Other</v>
      </c>
      <c r="M3193" s="7" t="str">
        <f t="shared" si="4"/>
        <v>Neutral</v>
      </c>
      <c r="N3193" s="7" t="str">
        <f>IFERROR(__xludf.DUMMYFUNCTION("LOWER(
TRIM(
REGEXREPLACE(B3193,""[^a-zA-Z\s]"","""")
)
)
"),"mh")</f>
        <v>mh</v>
      </c>
      <c r="O3193" s="7">
        <f t="shared" si="5"/>
        <v>2</v>
      </c>
      <c r="P3193" s="8" t="str">
        <f t="shared" si="6"/>
        <v>Yes</v>
      </c>
    </row>
    <row r="3194">
      <c r="A3194" s="4" t="s">
        <v>16</v>
      </c>
      <c r="B3194" s="4" t="s">
        <v>8863</v>
      </c>
      <c r="C3194" s="5">
        <v>44576.0</v>
      </c>
      <c r="D3194" s="10">
        <v>44576.0</v>
      </c>
      <c r="E3194" s="4" t="s">
        <v>8864</v>
      </c>
      <c r="F3194" s="4" t="s">
        <v>8865</v>
      </c>
      <c r="G3194" s="6" t="str">
        <f>IFERROR(__xludf.DUMMYFUNCTION("REGEXREPLACE(LOWER(F3194),""[^a-z\s]"","""")"),"my auto ship from petflow is so easy to use its easy to add or remove products depending on what my animals need that month and if i end up needing something extra i can order and receive it quickly on the rare occasions that something is backordered i ge"&amp;"t excellent communication from petflow")</f>
        <v>my auto ship from petflow is so easy to use its easy to add or remove products depending on what my animals need that month and if i end up needing something extra i can order and receive it quickly on the rare occasions that something is backordered i get excellent communication from petflow</v>
      </c>
      <c r="H3194" s="4" t="str">
        <f t="shared" si="1"/>
        <v>my auto ship from petflow so easy use its easy add or remove products depending on what my animals need that month if i end up needing something extra i can order receive it quickly on rare occasions that something backordered i get excellent communication from petflow</v>
      </c>
      <c r="I3194" s="6">
        <f t="shared" si="2"/>
        <v>47</v>
      </c>
      <c r="J3194" s="6">
        <f>IFERROR(__xludf.DUMMYFUNCTION("IF(H3194="""","""",
SUM(
ARRAYFORMULA(
IF(
REGEXMATCH(
"" ""&amp;H3194&amp;"" "",
"" ""&amp;Sentiment_Words!A$2:A3730&amp;"" ""
),
1,
0
)
)
)
)"),2.0)</f>
        <v>2</v>
      </c>
      <c r="K3194" s="4">
        <f>IFERROR(__xludf.DUMMYFUNCTION("IF(H3194="""","""",
SUM(
ARRAYFORMULA(
IF(
REGEXMATCH(
"" ""&amp;H3194&amp;"" "",
"" ""&amp;Sentiment_Words!B$2:B3730&amp;"" ""
),
1,
0
)
)
)
)"),0.0)</f>
        <v>0</v>
      </c>
      <c r="L3194" s="7" t="str">
        <f t="shared" si="3"/>
        <v>Other</v>
      </c>
      <c r="M3194" s="7" t="str">
        <f t="shared" si="4"/>
        <v>Positive</v>
      </c>
      <c r="N3194" s="7" t="str">
        <f>IFERROR(__xludf.DUMMYFUNCTION("LOWER(
TRIM(
REGEXREPLACE(B3194,""[^a-zA-Z\s]"","""")
)
)
"),"mary drexler")</f>
        <v>mary drexler</v>
      </c>
      <c r="O3194" s="7">
        <f t="shared" si="5"/>
        <v>1</v>
      </c>
      <c r="P3194" s="8" t="str">
        <f t="shared" si="6"/>
        <v>No</v>
      </c>
    </row>
    <row r="3195">
      <c r="A3195" s="4" t="s">
        <v>16</v>
      </c>
      <c r="B3195" s="4" t="s">
        <v>8866</v>
      </c>
      <c r="C3195" s="5">
        <v>44576.0</v>
      </c>
      <c r="D3195" s="10">
        <v>44576.0</v>
      </c>
      <c r="E3195" s="4" t="s">
        <v>8867</v>
      </c>
      <c r="F3195" s="4" t="s">
        <v>8868</v>
      </c>
      <c r="G3195" s="6" t="str">
        <f>IFERROR(__xludf.DUMMYFUNCTION("REGEXREPLACE(LOWER(F3195),""[^a-z\s]"","""")"),"have ordered my furkids prescription food several times your customer service has always been great")</f>
        <v>have ordered my furkids prescription food several times your customer service has always been great</v>
      </c>
      <c r="H3195" s="4" t="str">
        <f t="shared" si="1"/>
        <v>have ordered my furkids prescription food several times your customer service has always been great</v>
      </c>
      <c r="I3195" s="6">
        <f t="shared" si="2"/>
        <v>15</v>
      </c>
      <c r="J3195" s="6">
        <f>IFERROR(__xludf.DUMMYFUNCTION("IF(H3195="""","""",
SUM(
ARRAYFORMULA(
IF(
REGEXMATCH(
"" ""&amp;H3195&amp;"" "",
"" ""&amp;Sentiment_Words!A$2:A3730&amp;"" ""
),
1,
0
)
)
)
)"),1.0)</f>
        <v>1</v>
      </c>
      <c r="K3195" s="4">
        <f>IFERROR(__xludf.DUMMYFUNCTION("IF(H3195="""","""",
SUM(
ARRAYFORMULA(
IF(
REGEXMATCH(
"" ""&amp;H3195&amp;"" "",
"" ""&amp;Sentiment_Words!B$2:B3730&amp;"" ""
),
1,
0
)
)
)
)"),1.0)</f>
        <v>1</v>
      </c>
      <c r="L3195" s="7" t="str">
        <f t="shared" si="3"/>
        <v>Customer Support</v>
      </c>
      <c r="M3195" s="7" t="str">
        <f t="shared" si="4"/>
        <v>Neutral</v>
      </c>
      <c r="N3195" s="7" t="str">
        <f>IFERROR(__xludf.DUMMYFUNCTION("LOWER(
TRIM(
REGEXREPLACE(B3195,""[^a-zA-Z\s]"","""")
)
)
"),"david rosenstein")</f>
        <v>david rosenstein</v>
      </c>
      <c r="O3195" s="7">
        <f t="shared" si="5"/>
        <v>1</v>
      </c>
      <c r="P3195" s="8" t="str">
        <f t="shared" si="6"/>
        <v>No</v>
      </c>
    </row>
    <row r="3196">
      <c r="A3196" s="4" t="s">
        <v>16</v>
      </c>
      <c r="B3196" s="4" t="s">
        <v>8869</v>
      </c>
      <c r="C3196" s="5">
        <v>44576.0</v>
      </c>
      <c r="D3196" s="10">
        <v>44576.0</v>
      </c>
      <c r="E3196" s="4" t="s">
        <v>8870</v>
      </c>
      <c r="F3196" s="4" t="s">
        <v>8871</v>
      </c>
      <c r="G3196" s="6" t="str">
        <f>IFERROR(__xludf.DUMMYFUNCTION("REGEXREPLACE(LOWER(F3196),""[^a-z\s]"","""")"),"pet flow still carries the brands i feed my dogs and at fair prices some outlets dont have the variety and choices i find on pet flow")</f>
        <v>pet flow still carries the brands i feed my dogs and at fair prices some outlets dont have the variety and choices i find on pet flow</v>
      </c>
      <c r="H3196" s="4" t="str">
        <f t="shared" si="1"/>
        <v>pet flow still carries brands i feed my dogs at fair prices some outlets dont have variety choices i find on pet flow</v>
      </c>
      <c r="I3196" s="6">
        <f t="shared" si="2"/>
        <v>23</v>
      </c>
      <c r="J3196" s="6">
        <f>IFERROR(__xludf.DUMMYFUNCTION("IF(H3196="""","""",
SUM(
ARRAYFORMULA(
IF(
REGEXMATCH(
"" ""&amp;H3196&amp;"" "",
"" ""&amp;Sentiment_Words!A$2:A3730&amp;"" ""
),
1,
0
)
)
)
)"),0.0)</f>
        <v>0</v>
      </c>
      <c r="K3196" s="4">
        <f>IFERROR(__xludf.DUMMYFUNCTION("IF(H3196="""","""",
SUM(
ARRAYFORMULA(
IF(
REGEXMATCH(
"" ""&amp;H3196&amp;"" "",
"" ""&amp;Sentiment_Words!B$2:B3730&amp;"" ""
),
1,
0
)
)
)
)"),0.0)</f>
        <v>0</v>
      </c>
      <c r="L3196" s="7" t="str">
        <f t="shared" si="3"/>
        <v>Other</v>
      </c>
      <c r="M3196" s="7" t="str">
        <f t="shared" si="4"/>
        <v>Neutral</v>
      </c>
      <c r="N3196" s="7" t="str">
        <f>IFERROR(__xludf.DUMMYFUNCTION("LOWER(
TRIM(
REGEXREPLACE(B3196,""[^a-zA-Z\s]"","""")
)
)
"),"marnie")</f>
        <v>marnie</v>
      </c>
      <c r="O3196" s="7">
        <f t="shared" si="5"/>
        <v>1</v>
      </c>
      <c r="P3196" s="8" t="str">
        <f t="shared" si="6"/>
        <v>No</v>
      </c>
    </row>
    <row r="3197">
      <c r="A3197" s="4" t="s">
        <v>16</v>
      </c>
      <c r="B3197" s="4" t="s">
        <v>8872</v>
      </c>
      <c r="C3197" s="5">
        <v>44575.0</v>
      </c>
      <c r="D3197" s="10">
        <v>44575.0</v>
      </c>
      <c r="E3197" s="4" t="s">
        <v>8873</v>
      </c>
      <c r="F3197" s="4" t="s">
        <v>8874</v>
      </c>
      <c r="G3197" s="6" t="str">
        <f>IFERROR(__xludf.DUMMYFUNCTION("REGEXREPLACE(LOWER(F3197),""[^a-z\s]"","""")"),"dog gates are sturdy shipped quickly great service")</f>
        <v>dog gates are sturdy shipped quickly great service</v>
      </c>
      <c r="H3197" s="4" t="str">
        <f t="shared" si="1"/>
        <v>dog gates are sturdy shipped quickly great service</v>
      </c>
      <c r="I3197" s="6">
        <f t="shared" si="2"/>
        <v>8</v>
      </c>
      <c r="J3197" s="6">
        <f>IFERROR(__xludf.DUMMYFUNCTION("IF(H3197="""","""",
SUM(
ARRAYFORMULA(
IF(
REGEXMATCH(
"" ""&amp;H3197&amp;"" "",
"" ""&amp;Sentiment_Words!A$2:A3730&amp;"" ""
),
1,
0
)
)
)
)"),2.0)</f>
        <v>2</v>
      </c>
      <c r="K3197" s="4">
        <f>IFERROR(__xludf.DUMMYFUNCTION("IF(H3197="""","""",
SUM(
ARRAYFORMULA(
IF(
REGEXMATCH(
"" ""&amp;H3197&amp;"" "",
"" ""&amp;Sentiment_Words!B$2:B3730&amp;"" ""
),
1,
0
)
)
)
)"),0.0)</f>
        <v>0</v>
      </c>
      <c r="L3197" s="7" t="str">
        <f t="shared" si="3"/>
        <v>Customer Support</v>
      </c>
      <c r="M3197" s="7" t="str">
        <f t="shared" si="4"/>
        <v>Positive</v>
      </c>
      <c r="N3197" s="7" t="str">
        <f>IFERROR(__xludf.DUMMYFUNCTION("LOWER(
TRIM(
REGEXREPLACE(B3197,""[^a-zA-Z\s]"","""")
)
)
"),"casey adams")</f>
        <v>casey adams</v>
      </c>
      <c r="O3197" s="7">
        <f t="shared" si="5"/>
        <v>1</v>
      </c>
      <c r="P3197" s="8" t="str">
        <f t="shared" si="6"/>
        <v>No</v>
      </c>
    </row>
    <row r="3198">
      <c r="A3198" s="4" t="s">
        <v>16</v>
      </c>
      <c r="B3198" s="4" t="s">
        <v>6040</v>
      </c>
      <c r="C3198" s="5">
        <v>44575.0</v>
      </c>
      <c r="D3198" s="10">
        <v>44575.0</v>
      </c>
      <c r="E3198" s="4" t="s">
        <v>8875</v>
      </c>
      <c r="F3198" s="4" t="s">
        <v>8876</v>
      </c>
      <c r="G3198" s="6" t="str">
        <f>IFERROR(__xludf.DUMMYFUNCTION("REGEXREPLACE(LOWER(F3198),""[^a-z\s]"","""")"),"the app is difficult i tried to cancel the order and it didnt work i am going to stop the pet flow auto matic orders they are difficult i had a double order the time before too much trouble to change m upotn")</f>
        <v>the app is difficult i tried to cancel the order and it didnt work i am going to stop the pet flow auto matic orders they are difficult i had a double order the time before too much trouble to change m upotn</v>
      </c>
      <c r="H3198" s="4" t="str">
        <f t="shared" si="1"/>
        <v>app difficult i tried cancel order it didnt work i am going stop pet flow auto matic orders they are difficult i had a double order time before too much trouble change m upotn</v>
      </c>
      <c r="I3198" s="6">
        <f t="shared" si="2"/>
        <v>34</v>
      </c>
      <c r="J3198" s="6">
        <f>IFERROR(__xludf.DUMMYFUNCTION("IF(H3198="""","""",
SUM(
ARRAYFORMULA(
IF(
REGEXMATCH(
"" ""&amp;H3198&amp;"" "",
"" ""&amp;Sentiment_Words!A$2:A3730&amp;"" ""
),
1,
0
)
)
)
)"),0.0)</f>
        <v>0</v>
      </c>
      <c r="K3198" s="4">
        <f>IFERROR(__xludf.DUMMYFUNCTION("IF(H3198="""","""",
SUM(
ARRAYFORMULA(
IF(
REGEXMATCH(
"" ""&amp;H3198&amp;"" "",
"" ""&amp;Sentiment_Words!B$2:B3730&amp;"" ""
),
1,
0
)
)
)
)"),0.0)</f>
        <v>0</v>
      </c>
      <c r="L3198" s="7" t="str">
        <f t="shared" si="3"/>
        <v>Other</v>
      </c>
      <c r="M3198" s="7" t="str">
        <f t="shared" si="4"/>
        <v>Neutral</v>
      </c>
      <c r="N3198" s="7" t="str">
        <f>IFERROR(__xludf.DUMMYFUNCTION("LOWER(
TRIM(
REGEXREPLACE(B3198,""[^a-zA-Z\s]"","""")
)
)
"),"mary")</f>
        <v>mary</v>
      </c>
      <c r="O3198" s="7">
        <f t="shared" si="5"/>
        <v>8</v>
      </c>
      <c r="P3198" s="8" t="str">
        <f t="shared" si="6"/>
        <v>Yes</v>
      </c>
    </row>
    <row r="3199">
      <c r="A3199" s="4" t="s">
        <v>16</v>
      </c>
      <c r="B3199" s="4" t="s">
        <v>8877</v>
      </c>
      <c r="C3199" s="5">
        <v>44575.0</v>
      </c>
      <c r="D3199" s="10">
        <v>44575.0</v>
      </c>
      <c r="E3199" s="4" t="s">
        <v>8878</v>
      </c>
      <c r="F3199" s="4" t="s">
        <v>8879</v>
      </c>
      <c r="G3199" s="6" t="str">
        <f>IFERROR(__xludf.DUMMYFUNCTION("REGEXREPLACE(LOWER(F3199),""[^a-z\s]"","""")"),"pet flow shipments are always ontime and there is sometimes a discount")</f>
        <v>pet flow shipments are always ontime and there is sometimes a discount</v>
      </c>
      <c r="H3199" s="4" t="str">
        <f t="shared" si="1"/>
        <v>pet flow shipments are always ontime there sometimes a discount</v>
      </c>
      <c r="I3199" s="6">
        <f t="shared" si="2"/>
        <v>10</v>
      </c>
      <c r="J3199" s="6">
        <f>IFERROR(__xludf.DUMMYFUNCTION("IF(H3199="""","""",
SUM(
ARRAYFORMULA(
IF(
REGEXMATCH(
"" ""&amp;H3199&amp;"" "",
"" ""&amp;Sentiment_Words!A$2:A3730&amp;"" ""
),
1,
0
)
)
)
)"),0.0)</f>
        <v>0</v>
      </c>
      <c r="K3199" s="4">
        <f>IFERROR(__xludf.DUMMYFUNCTION("IF(H3199="""","""",
SUM(
ARRAYFORMULA(
IF(
REGEXMATCH(
"" ""&amp;H3199&amp;"" "",
"" ""&amp;Sentiment_Words!B$2:B3730&amp;"" ""
),
1,
0
)
)
)
)"),0.0)</f>
        <v>0</v>
      </c>
      <c r="L3199" s="7" t="str">
        <f t="shared" si="3"/>
        <v>Other</v>
      </c>
      <c r="M3199" s="7" t="str">
        <f t="shared" si="4"/>
        <v>Neutral</v>
      </c>
      <c r="N3199" s="7" t="str">
        <f>IFERROR(__xludf.DUMMYFUNCTION("LOWER(
TRIM(
REGEXREPLACE(B3199,""[^a-zA-Z\s]"","""")
)
)
"),"kathryn roberts")</f>
        <v>kathryn roberts</v>
      </c>
      <c r="O3199" s="7">
        <f t="shared" si="5"/>
        <v>1</v>
      </c>
      <c r="P3199" s="8" t="str">
        <f t="shared" si="6"/>
        <v>No</v>
      </c>
    </row>
    <row r="3200">
      <c r="A3200" s="4" t="s">
        <v>16</v>
      </c>
      <c r="B3200" s="4" t="s">
        <v>8880</v>
      </c>
      <c r="C3200" s="5">
        <v>44575.0</v>
      </c>
      <c r="D3200" s="10">
        <v>44575.0</v>
      </c>
      <c r="E3200" s="4" t="s">
        <v>8881</v>
      </c>
      <c r="F3200" s="4" t="s">
        <v>8882</v>
      </c>
      <c r="G3200" s="6" t="str">
        <f>IFERROR(__xludf.DUMMYFUNCTION("REGEXREPLACE(LOWER(F3200),""[^a-z\s]"","""")"),"great selection ordering was easy and my order arrived quickly and in good order my experience was very positive")</f>
        <v>great selection ordering was easy and my order arrived quickly and in good order my experience was very positive</v>
      </c>
      <c r="H3200" s="4" t="str">
        <f t="shared" si="1"/>
        <v>great selection ordering was easy my order arrived quickly in good order my experience was very positive</v>
      </c>
      <c r="I3200" s="6">
        <f t="shared" si="2"/>
        <v>17</v>
      </c>
      <c r="J3200" s="6">
        <f>IFERROR(__xludf.DUMMYFUNCTION("IF(H3200="""","""",
SUM(
ARRAYFORMULA(
IF(
REGEXMATCH(
"" ""&amp;H3200&amp;"" "",
"" ""&amp;Sentiment_Words!A$2:A3730&amp;"" ""
),
1,
0
)
)
)
)"),3.0)</f>
        <v>3</v>
      </c>
      <c r="K3200" s="4">
        <f>IFERROR(__xludf.DUMMYFUNCTION("IF(H3200="""","""",
SUM(
ARRAYFORMULA(
IF(
REGEXMATCH(
"" ""&amp;H3200&amp;"" "",
"" ""&amp;Sentiment_Words!B$2:B3730&amp;"" ""
),
1,
0
)
)
)
)"),0.0)</f>
        <v>0</v>
      </c>
      <c r="L3200" s="7" t="str">
        <f t="shared" si="3"/>
        <v>Other</v>
      </c>
      <c r="M3200" s="7" t="str">
        <f t="shared" si="4"/>
        <v>Positive</v>
      </c>
      <c r="N3200" s="7" t="str">
        <f>IFERROR(__xludf.DUMMYFUNCTION("LOWER(
TRIM(
REGEXREPLACE(B3200,""[^a-zA-Z\s]"","""")
)
)
"),"bmmmm")</f>
        <v>bmmmm</v>
      </c>
      <c r="O3200" s="7">
        <f t="shared" si="5"/>
        <v>1</v>
      </c>
      <c r="P3200" s="8" t="str">
        <f t="shared" si="6"/>
        <v>No</v>
      </c>
    </row>
    <row r="3201">
      <c r="A3201" s="4" t="s">
        <v>16</v>
      </c>
      <c r="B3201" s="4" t="s">
        <v>8883</v>
      </c>
      <c r="C3201" s="5">
        <v>44575.0</v>
      </c>
      <c r="D3201" s="10">
        <v>44575.0</v>
      </c>
      <c r="E3201" s="4" t="s">
        <v>8884</v>
      </c>
      <c r="F3201" s="4" t="s">
        <v>8885</v>
      </c>
      <c r="G3201" s="6" t="str">
        <f>IFERROR(__xludf.DUMMYFUNCTION("REGEXREPLACE(LOWER(F3201),""[^a-z\s]"","""")"),"products have been great with all the limited choices due to allergies i have been great full to find what i need")</f>
        <v>products have been great with all the limited choices due to allergies i have been great full to find what i need</v>
      </c>
      <c r="H3201" s="4" t="str">
        <f t="shared" si="1"/>
        <v>products have been great with all limited choices due allergies i have been great full find what i need</v>
      </c>
      <c r="I3201" s="6">
        <f t="shared" si="2"/>
        <v>19</v>
      </c>
      <c r="J3201" s="6">
        <f>IFERROR(__xludf.DUMMYFUNCTION("IF(H3201="""","""",
SUM(
ARRAYFORMULA(
IF(
REGEXMATCH(
"" ""&amp;H3201&amp;"" "",
"" ""&amp;Sentiment_Words!A$2:A3730&amp;"" ""
),
1,
0
)
)
)
)"),1.0)</f>
        <v>1</v>
      </c>
      <c r="K3201" s="4">
        <f>IFERROR(__xludf.DUMMYFUNCTION("IF(H3201="""","""",
SUM(
ARRAYFORMULA(
IF(
REGEXMATCH(
"" ""&amp;H3201&amp;"" "",
"" ""&amp;Sentiment_Words!B$2:B3730&amp;"" ""
),
1,
0
)
)
)
)"),0.0)</f>
        <v>0</v>
      </c>
      <c r="L3201" s="7" t="str">
        <f t="shared" si="3"/>
        <v>Other</v>
      </c>
      <c r="M3201" s="7" t="str">
        <f t="shared" si="4"/>
        <v>Positive</v>
      </c>
      <c r="N3201" s="7" t="str">
        <f>IFERROR(__xludf.DUMMYFUNCTION("LOWER(
TRIM(
REGEXREPLACE(B3201,""[^a-zA-Z\s]"","""")
)
)
"),"anne medley")</f>
        <v>anne medley</v>
      </c>
      <c r="O3201" s="7">
        <f t="shared" si="5"/>
        <v>1</v>
      </c>
      <c r="P3201" s="8" t="str">
        <f t="shared" si="6"/>
        <v>No</v>
      </c>
    </row>
    <row r="3202">
      <c r="A3202" s="4" t="s">
        <v>16</v>
      </c>
      <c r="B3202" s="4" t="s">
        <v>8886</v>
      </c>
      <c r="C3202" s="5">
        <v>44574.0</v>
      </c>
      <c r="D3202" s="10">
        <v>44574.0</v>
      </c>
      <c r="E3202" s="4" t="s">
        <v>8887</v>
      </c>
      <c r="F3202" s="4" t="s">
        <v>8888</v>
      </c>
      <c r="G3202" s="6" t="str">
        <f>IFERROR(__xludf.DUMMYFUNCTION("REGEXREPLACE(LOWER(F3202),""[^a-z\s]"","""")"),"i ordered dog treats from the company my order was delivered within  to  days through the christmas holiday two bags came cracked i called and they redelivered two more bags and didnt charge the customer service was really good it took no time to get the "&amp;"other two bags also i will definitely use them again")</f>
        <v>i ordered dog treats from the company my order was delivered within  to  days through the christmas holiday two bags came cracked i called and they redelivered two more bags and didnt charge the customer service was really good it took no time to get the other two bags also i will definitely use them again</v>
      </c>
      <c r="H3202" s="4" t="str">
        <f t="shared" si="1"/>
        <v>i ordered dog treats from company my order was delivered within days through christmas holiday two bags came cracked i called they redelivered two more bags didnt charge customer service was really good it took no time get other two bags also i will definitely use them again</v>
      </c>
      <c r="I3202" s="6">
        <f t="shared" si="2"/>
        <v>48</v>
      </c>
      <c r="J3202" s="6">
        <f>IFERROR(__xludf.DUMMYFUNCTION("IF(H3202="""","""",
SUM(
ARRAYFORMULA(
IF(
REGEXMATCH(
"" ""&amp;H3202&amp;"" "",
"" ""&amp;Sentiment_Words!A$2:A3730&amp;"" ""
),
1,
0
)
)
)
)"),2.0)</f>
        <v>2</v>
      </c>
      <c r="K3202" s="4">
        <f>IFERROR(__xludf.DUMMYFUNCTION("IF(H3202="""","""",
SUM(
ARRAYFORMULA(
IF(
REGEXMATCH(
"" ""&amp;H3202&amp;"" "",
"" ""&amp;Sentiment_Words!B$2:B3730&amp;"" ""
),
1,
0
)
)
)
)"),1.0)</f>
        <v>1</v>
      </c>
      <c r="L3202" s="7" t="str">
        <f t="shared" si="3"/>
        <v>Customer Support</v>
      </c>
      <c r="M3202" s="7" t="str">
        <f t="shared" si="4"/>
        <v>Positive</v>
      </c>
      <c r="N3202" s="7" t="str">
        <f>IFERROR(__xludf.DUMMYFUNCTION("LOWER(
TRIM(
REGEXREPLACE(B3202,""[^a-zA-Z\s]"","""")
)
)
"),"bo bennett")</f>
        <v>bo bennett</v>
      </c>
      <c r="O3202" s="7">
        <f t="shared" si="5"/>
        <v>1</v>
      </c>
      <c r="P3202" s="8" t="str">
        <f t="shared" si="6"/>
        <v>No</v>
      </c>
    </row>
    <row r="3203">
      <c r="A3203" s="4" t="s">
        <v>16</v>
      </c>
      <c r="B3203" s="4" t="s">
        <v>1482</v>
      </c>
      <c r="C3203" s="5">
        <v>44573.0</v>
      </c>
      <c r="D3203" s="10">
        <v>44573.0</v>
      </c>
      <c r="E3203" s="4" t="s">
        <v>8889</v>
      </c>
      <c r="F3203" s="4" t="s">
        <v>8890</v>
      </c>
      <c r="G3203" s="6" t="str">
        <f>IFERROR(__xludf.DUMMYFUNCTION("REGEXREPLACE(LOWER(F3203),""[^a-z\s]"","""")"),"product delivered on time as promised quality is excellent")</f>
        <v>product delivered on time as promised quality is excellent</v>
      </c>
      <c r="H3203" s="4" t="str">
        <f t="shared" si="1"/>
        <v>product delivered on time as promised quality excellent</v>
      </c>
      <c r="I3203" s="6">
        <f t="shared" si="2"/>
        <v>8</v>
      </c>
      <c r="J3203" s="6">
        <f>IFERROR(__xludf.DUMMYFUNCTION("IF(H3203="""","""",
SUM(
ARRAYFORMULA(
IF(
REGEXMATCH(
"" ""&amp;H3203&amp;"" "",
"" ""&amp;Sentiment_Words!A$2:A3730&amp;"" ""
),
1,
0
)
)
)
)"),2.0)</f>
        <v>2</v>
      </c>
      <c r="K3203" s="4">
        <f>IFERROR(__xludf.DUMMYFUNCTION("IF(H3203="""","""",
SUM(
ARRAYFORMULA(
IF(
REGEXMATCH(
"" ""&amp;H3203&amp;"" "",
"" ""&amp;Sentiment_Words!B$2:B3730&amp;"" ""
),
1,
0
)
)
)
)"),0.0)</f>
        <v>0</v>
      </c>
      <c r="L3203" s="7" t="str">
        <f t="shared" si="3"/>
        <v>Other</v>
      </c>
      <c r="M3203" s="7" t="str">
        <f t="shared" si="4"/>
        <v>Positive</v>
      </c>
      <c r="N3203" s="7" t="str">
        <f>IFERROR(__xludf.DUMMYFUNCTION("LOWER(
TRIM(
REGEXREPLACE(B3203,""[^a-zA-Z\s]"","""")
)
)
"),"michele")</f>
        <v>michele</v>
      </c>
      <c r="O3203" s="7">
        <f t="shared" si="5"/>
        <v>5</v>
      </c>
      <c r="P3203" s="8" t="str">
        <f t="shared" si="6"/>
        <v>Yes</v>
      </c>
    </row>
    <row r="3204">
      <c r="A3204" s="4" t="s">
        <v>16</v>
      </c>
      <c r="B3204" s="4" t="s">
        <v>8891</v>
      </c>
      <c r="C3204" s="5">
        <v>44573.0</v>
      </c>
      <c r="D3204" s="10">
        <v>44573.0</v>
      </c>
      <c r="E3204" s="4" t="s">
        <v>8892</v>
      </c>
      <c r="F3204" s="4" t="s">
        <v>8893</v>
      </c>
      <c r="G3204" s="6" t="str">
        <f>IFERROR(__xludf.DUMMYFUNCTION("REGEXREPLACE(LOWER(F3204),""[^a-z\s]"","""")"),"not good service a lot of back and forth and useless waiting")</f>
        <v>not good service a lot of back and forth and useless waiting</v>
      </c>
      <c r="H3204" s="4" t="str">
        <f t="shared" si="1"/>
        <v>not good service a lot of back forth useless waiting</v>
      </c>
      <c r="I3204" s="6">
        <f t="shared" si="2"/>
        <v>10</v>
      </c>
      <c r="J3204" s="6">
        <f>IFERROR(__xludf.DUMMYFUNCTION("IF(H3204="""","""",
SUM(
ARRAYFORMULA(
IF(
REGEXMATCH(
"" ""&amp;H3204&amp;"" "",
"" ""&amp;Sentiment_Words!A$2:A3730&amp;"" ""
),
1,
0
)
)
)
)"),1.0)</f>
        <v>1</v>
      </c>
      <c r="K3204" s="4">
        <f>IFERROR(__xludf.DUMMYFUNCTION("IF(H3204="""","""",
SUM(
ARRAYFORMULA(
IF(
REGEXMATCH(
"" ""&amp;H3204&amp;"" "",
"" ""&amp;Sentiment_Words!B$2:B3730&amp;"" ""
),
1,
0
)
)
)
)"),0.0)</f>
        <v>0</v>
      </c>
      <c r="L3204" s="7" t="str">
        <f t="shared" si="3"/>
        <v>Customer Support</v>
      </c>
      <c r="M3204" s="7" t="str">
        <f t="shared" si="4"/>
        <v>Positive</v>
      </c>
      <c r="N3204" s="7" t="str">
        <f>IFERROR(__xludf.DUMMYFUNCTION("LOWER(
TRIM(
REGEXREPLACE(B3204,""[^a-zA-Z\s]"","""")
)
)
"),"richard koch")</f>
        <v>richard koch</v>
      </c>
      <c r="O3204" s="7">
        <f t="shared" si="5"/>
        <v>1</v>
      </c>
      <c r="P3204" s="8" t="str">
        <f t="shared" si="6"/>
        <v>No</v>
      </c>
    </row>
    <row r="3205">
      <c r="A3205" s="4" t="s">
        <v>16</v>
      </c>
      <c r="B3205" s="4" t="s">
        <v>8894</v>
      </c>
      <c r="C3205" s="5">
        <v>44573.0</v>
      </c>
      <c r="D3205" s="10">
        <v>44573.0</v>
      </c>
      <c r="E3205" s="4" t="s">
        <v>8895</v>
      </c>
      <c r="F3205" s="4" t="s">
        <v>8896</v>
      </c>
      <c r="G3205" s="6" t="str">
        <f>IFERROR(__xludf.DUMMYFUNCTION("REGEXREPLACE(LOWER(F3205),""[^a-z\s]"","""")"),"i would usually leave  stars but my pups dog food on several occasions has arrived late  so in result  ive had to go to stores to buy the same kibble")</f>
        <v>i would usually leave  stars but my pups dog food on several occasions has arrived late  so in result  ive had to go to stores to buy the same kibble</v>
      </c>
      <c r="H3205" s="4" t="str">
        <f t="shared" si="1"/>
        <v>i would usually leave stars but my pups dog food on several occasions has arrived late so in result ive had go stores buy same kibble</v>
      </c>
      <c r="I3205" s="6">
        <f t="shared" si="2"/>
        <v>26</v>
      </c>
      <c r="J3205" s="6">
        <f>IFERROR(__xludf.DUMMYFUNCTION("IF(H3205="""","""",
SUM(
ARRAYFORMULA(
IF(
REGEXMATCH(
"" ""&amp;H3205&amp;"" "",
"" ""&amp;Sentiment_Words!A$2:A3730&amp;"" ""
),
1,
0
)
)
)
)"),0.0)</f>
        <v>0</v>
      </c>
      <c r="K3205" s="4">
        <f>IFERROR(__xludf.DUMMYFUNCTION("IF(H3205="""","""",
SUM(
ARRAYFORMULA(
IF(
REGEXMATCH(
"" ""&amp;H3205&amp;"" "",
"" ""&amp;Sentiment_Words!B$2:B3730&amp;"" ""
),
1,
0
)
)
)
)"),0.0)</f>
        <v>0</v>
      </c>
      <c r="L3205" s="7" t="str">
        <f t="shared" si="3"/>
        <v>Fulfillment &amp; Shipping</v>
      </c>
      <c r="M3205" s="7" t="str">
        <f t="shared" si="4"/>
        <v>Neutral</v>
      </c>
      <c r="N3205" s="7" t="str">
        <f>IFERROR(__xludf.DUMMYFUNCTION("LOWER(
TRIM(
REGEXREPLACE(B3205,""[^a-zA-Z\s]"","""")
)
)
"),"na")</f>
        <v>na</v>
      </c>
      <c r="O3205" s="7">
        <f t="shared" si="5"/>
        <v>1</v>
      </c>
      <c r="P3205" s="8" t="str">
        <f t="shared" si="6"/>
        <v>No</v>
      </c>
    </row>
    <row r="3206">
      <c r="A3206" s="4" t="s">
        <v>16</v>
      </c>
      <c r="B3206" s="4" t="s">
        <v>8897</v>
      </c>
      <c r="C3206" s="5">
        <v>44573.0</v>
      </c>
      <c r="D3206" s="10">
        <v>44573.0</v>
      </c>
      <c r="E3206" s="4" t="s">
        <v>8898</v>
      </c>
      <c r="F3206" s="4" t="s">
        <v>8899</v>
      </c>
      <c r="G3206" s="6" t="str">
        <f>IFERROR(__xludf.DUMMYFUNCTION("REGEXREPLACE(LOWER(F3206),""[^a-z\s]"","""")"),"shipping dates are really slow which can be annoying for thing you cannot get locally they always run  days later than expected it seems when you have  hungry parrots that can be an issue they also have a limited selection of foods for dogs and birds but "&amp;"what they do have is decently priced and a bit lower than other sites as they get going im sure their products will expand but for now it is limited im more annoyed with shipping dates than anything else honestly")</f>
        <v>shipping dates are really slow which can be annoying for thing you cannot get locally they always run  days later than expected it seems when you have  hungry parrots that can be an issue they also have a limited selection of foods for dogs and birds but what they do have is decently priced and a bit lower than other sites as they get going im sure their products will expand but for now it is limited im more annoyed with shipping dates than anything else honestly</v>
      </c>
      <c r="H3206" s="4" t="str">
        <f t="shared" si="1"/>
        <v>shipping dates are really slow which can be annoying thing you cannot get locally they always run days later than expected it seems when you have hungry parrots that can be an issue they also have a limited selection of foods dogs birds but what they do have decently priced a bit lower than other sites as they get going im sure their products will expand but now it limited im more annoyed with shipping dates than anything else honestly</v>
      </c>
      <c r="I3206" s="6">
        <f t="shared" si="2"/>
        <v>80</v>
      </c>
      <c r="J3206" s="6">
        <f>IFERROR(__xludf.DUMMYFUNCTION("IF(H3206="""","""",
SUM(
ARRAYFORMULA(
IF(
REGEXMATCH(
"" ""&amp;H3206&amp;"" "",
"" ""&amp;Sentiment_Words!A$2:A3730&amp;"" ""
),
1,
0
)
)
)
)"),0.0)</f>
        <v>0</v>
      </c>
      <c r="K3206" s="4">
        <f>IFERROR(__xludf.DUMMYFUNCTION("IF(H3206="""","""",
SUM(
ARRAYFORMULA(
IF(
REGEXMATCH(
"" ""&amp;H3206&amp;"" "",
"" ""&amp;Sentiment_Words!B$2:B3730&amp;"" ""
),
1,
0
)
)
)
)"),1.0)</f>
        <v>1</v>
      </c>
      <c r="L3206" s="7" t="str">
        <f t="shared" si="3"/>
        <v>Fulfillment &amp; Shipping</v>
      </c>
      <c r="M3206" s="7" t="str">
        <f t="shared" si="4"/>
        <v>Negative</v>
      </c>
      <c r="N3206" s="7" t="str">
        <f>IFERROR(__xludf.DUMMYFUNCTION("LOWER(
TRIM(
REGEXREPLACE(B3206,""[^a-zA-Z\s]"","""")
)
)
"),"seb")</f>
        <v>seb</v>
      </c>
      <c r="O3206" s="7">
        <f t="shared" si="5"/>
        <v>1</v>
      </c>
      <c r="P3206" s="8" t="str">
        <f t="shared" si="6"/>
        <v>No</v>
      </c>
    </row>
    <row r="3207">
      <c r="A3207" s="4" t="s">
        <v>16</v>
      </c>
      <c r="B3207" s="4" t="s">
        <v>4922</v>
      </c>
      <c r="C3207" s="5">
        <v>44573.0</v>
      </c>
      <c r="D3207" s="10">
        <v>44573.0</v>
      </c>
      <c r="E3207" s="4" t="s">
        <v>8900</v>
      </c>
      <c r="F3207" s="4" t="s">
        <v>8901</v>
      </c>
      <c r="G3207" s="6" t="str">
        <f>IFERROR(__xludf.DUMMYFUNCTION("REGEXREPLACE(LOWER(F3207),""[^a-z\s]"","""")"),"i placed my order thursday the th asked by chat if saturday is a business dayit isnt because the warehouses that have the supplies dont work weekends fine was told it would ship friday and maybe fedex would deliver saturday but i would have it monday its "&amp;"shipping from nj to kynot too far so this seemed likely
guess whatmy order still isnt here and my dogs are out of food because i couldnt rely on this company petflow advertises order will typically be received in  business days not even close so ive had "&amp;"to buy dogfood theyve never eaten before from walmart to get them by not happy about this because this disrupts their diet my order wasnt even picked up by fedex until monday night because the label wasnt even created until monday tracking says it wont ge"&amp;"t here until thursday the th thats a week later this horribly slow system doesnt cut it")</f>
        <v>i placed my order thursday the th asked by chat if saturday is a business dayit isnt because the warehouses that have the supplies dont work weekends fine was told it would ship friday and maybe fedex would deliver saturday but i would have it monday its shipping from nj to kynot too far so this seemed likely
guess whatmy order still isnt here and my dogs are out of food because i couldnt rely on this company petflow advertises order will typically be received in  business days not even close so ive had to buy dogfood theyve never eaten before from walmart to get them by not happy about this because this disrupts their diet my order wasnt even picked up by fedex until monday night because the label wasnt even created until monday tracking says it wont get here until thursday the th thats a week later this horribly slow system doesnt cut it</v>
      </c>
      <c r="H3207" s="4" t="str">
        <f t="shared" si="1"/>
        <v>i placed my order thursday th asked by chat if saturday a business dayit isnt because warehouses that have supplies dont work weekends fine was told it would ship friday maybe fedex would deliver saturday but i would have it monday its shipping from nj kynot too far so this seemed likely
guess whatmy order still isnt here my dogs are out of food because i couldnt rely on this company petflow advertises order will typically be received in business days not even close so ive had buy dogfood theyve never eaten before from walmart get them by not happy about this because this disrupts their diet my order wasnt even picked up by fedex until monday night because label wasnt even created until monday tracking says it wont get here until thursday th thats a week later this horribly slow system doesnt cut it</v>
      </c>
      <c r="I3207" s="6">
        <f t="shared" si="2"/>
        <v>144</v>
      </c>
      <c r="J3207" s="6">
        <f>IFERROR(__xludf.DUMMYFUNCTION("IF(H3207="""","""",
SUM(
ARRAYFORMULA(
IF(
REGEXMATCH(
"" ""&amp;H3207&amp;"" "",
"" ""&amp;Sentiment_Words!A$2:A3730&amp;"" ""
),
1,
0
)
)
)
)"),1.0)</f>
        <v>1</v>
      </c>
      <c r="K3207" s="4">
        <f>IFERROR(__xludf.DUMMYFUNCTION("IF(H3207="""","""",
SUM(
ARRAYFORMULA(
IF(
REGEXMATCH(
"" ""&amp;H3207&amp;"" "",
"" ""&amp;Sentiment_Words!B$2:B3730&amp;"" ""
),
1,
0
)
)
)
)"),0.0)</f>
        <v>0</v>
      </c>
      <c r="L3207" s="7" t="str">
        <f t="shared" si="3"/>
        <v>Fulfillment &amp; Shipping</v>
      </c>
      <c r="M3207" s="7" t="str">
        <f t="shared" si="4"/>
        <v>Positive</v>
      </c>
      <c r="N3207" s="7" t="str">
        <f>IFERROR(__xludf.DUMMYFUNCTION("LOWER(
TRIM(
REGEXREPLACE(B3207,""[^a-zA-Z\s]"","""")
)
)
"),"anita")</f>
        <v>anita</v>
      </c>
      <c r="O3207" s="7">
        <f t="shared" si="5"/>
        <v>3</v>
      </c>
      <c r="P3207" s="8" t="str">
        <f t="shared" si="6"/>
        <v>Yes</v>
      </c>
    </row>
    <row r="3208">
      <c r="A3208" s="4" t="s">
        <v>16</v>
      </c>
      <c r="B3208" s="4" t="s">
        <v>8902</v>
      </c>
      <c r="C3208" s="5">
        <v>44573.0</v>
      </c>
      <c r="D3208" s="10">
        <v>44573.0</v>
      </c>
      <c r="E3208" s="4" t="s">
        <v>8903</v>
      </c>
      <c r="F3208" s="4" t="s">
        <v>8904</v>
      </c>
      <c r="G3208" s="6" t="str">
        <f>IFERROR(__xludf.DUMMYFUNCTION("REGEXREPLACE(LOWER(F3208),""[^a-z\s]"","""")"),"first time customer
easy online ordering
great price
delivery prompt
ill be sharing this company info without a doubt")</f>
        <v>first time customer
easy online ordering
great price
delivery prompt
ill be sharing this company info without a doubt</v>
      </c>
      <c r="H3208" s="4" t="str">
        <f t="shared" si="1"/>
        <v>first time customer
easy online ordering
great price
delivery prompt
ill be sharing this company info without a doubt</v>
      </c>
      <c r="I3208" s="6">
        <f t="shared" si="2"/>
        <v>15</v>
      </c>
      <c r="J3208" s="6">
        <f>IFERROR(__xludf.DUMMYFUNCTION("IF(H3208="""","""",
SUM(
ARRAYFORMULA(
IF(
REGEXMATCH(
"" ""&amp;H3208&amp;"" "",
"" ""&amp;Sentiment_Words!A$2:A3730&amp;"" ""
),
1,
0
)
)
)
)"),0.0)</f>
        <v>0</v>
      </c>
      <c r="K3208" s="4">
        <f>IFERROR(__xludf.DUMMYFUNCTION("IF(H3208="""","""",
SUM(
ARRAYFORMULA(
IF(
REGEXMATCH(
"" ""&amp;H3208&amp;"" "",
"" ""&amp;Sentiment_Words!B$2:B3730&amp;"" ""
),
1,
0
)
)
)
)"),0.0)</f>
        <v>0</v>
      </c>
      <c r="L3208" s="7" t="str">
        <f t="shared" si="3"/>
        <v>Other</v>
      </c>
      <c r="M3208" s="7" t="str">
        <f t="shared" si="4"/>
        <v>Neutral</v>
      </c>
      <c r="N3208" s="7" t="str">
        <f>IFERROR(__xludf.DUMMYFUNCTION("LOWER(
TRIM(
REGEXREPLACE(B3208,""[^a-zA-Z\s]"","""")
)
)
"),"randy h")</f>
        <v>randy h</v>
      </c>
      <c r="O3208" s="7">
        <f t="shared" si="5"/>
        <v>1</v>
      </c>
      <c r="P3208" s="8" t="str">
        <f t="shared" si="6"/>
        <v>No</v>
      </c>
    </row>
    <row r="3209">
      <c r="A3209" s="4" t="s">
        <v>16</v>
      </c>
      <c r="B3209" s="4" t="s">
        <v>8905</v>
      </c>
      <c r="C3209" s="5">
        <v>44573.0</v>
      </c>
      <c r="D3209" s="10">
        <v>44573.0</v>
      </c>
      <c r="E3209" s="4" t="s">
        <v>8906</v>
      </c>
      <c r="F3209" s="4" t="s">
        <v>8907</v>
      </c>
      <c r="G3209" s="6" t="str">
        <f>IFERROR(__xludf.DUMMYFUNCTION("REGEXREPLACE(LOWER(F3209),""[^a-z\s]"","""")"),"my two kittens were recently prescribed a hydrolyzed protein diet because of the pandemic the food was next to impossible to find petflow had the products that i needed and quickly processed and delivered my order im so grateful to have found this site th"&amp;"eyre amazing")</f>
        <v>my two kittens were recently prescribed a hydrolyzed protein diet because of the pandemic the food was next to impossible to find petflow had the products that i needed and quickly processed and delivered my order im so grateful to have found this site theyre amazing</v>
      </c>
      <c r="H3209" s="4" t="str">
        <f t="shared" si="1"/>
        <v>my two kittens were recently prescribed a hydrolyzed protein diet because of pandemic food was next impossible find petflow had products that i needed quickly processed delivered my order im so grateful have found this site theyre amazing</v>
      </c>
      <c r="I3209" s="6">
        <f t="shared" si="2"/>
        <v>38</v>
      </c>
      <c r="J3209" s="6">
        <f>IFERROR(__xludf.DUMMYFUNCTION("IF(H3209="""","""",
SUM(
ARRAYFORMULA(
IF(
REGEXMATCH(
"" ""&amp;H3209&amp;"" "",
"" ""&amp;Sentiment_Words!A$2:A3730&amp;"" ""
),
1,
0
)
)
)
)"),2.0)</f>
        <v>2</v>
      </c>
      <c r="K3209" s="4">
        <f>IFERROR(__xludf.DUMMYFUNCTION("IF(H3209="""","""",
SUM(
ARRAYFORMULA(
IF(
REGEXMATCH(
"" ""&amp;H3209&amp;"" "",
"" ""&amp;Sentiment_Words!B$2:B3730&amp;"" ""
),
1,
0
)
)
)
)"),0.0)</f>
        <v>0</v>
      </c>
      <c r="L3209" s="7" t="str">
        <f t="shared" si="3"/>
        <v>Other</v>
      </c>
      <c r="M3209" s="7" t="str">
        <f t="shared" si="4"/>
        <v>Positive</v>
      </c>
      <c r="N3209" s="7" t="str">
        <f>IFERROR(__xludf.DUMMYFUNCTION("LOWER(
TRIM(
REGEXREPLACE(B3209,""[^a-zA-Z\s]"","""")
)
)
"),"gsd owner")</f>
        <v>gsd owner</v>
      </c>
      <c r="O3209" s="7">
        <f t="shared" si="5"/>
        <v>1</v>
      </c>
      <c r="P3209" s="8" t="str">
        <f t="shared" si="6"/>
        <v>No</v>
      </c>
    </row>
    <row r="3210">
      <c r="A3210" s="4" t="s">
        <v>16</v>
      </c>
      <c r="B3210" s="4" t="s">
        <v>8908</v>
      </c>
      <c r="C3210" s="5">
        <v>44573.0</v>
      </c>
      <c r="D3210" s="10">
        <v>44573.0</v>
      </c>
      <c r="E3210" s="4" t="s">
        <v>8909</v>
      </c>
      <c r="F3210" s="4" t="s">
        <v>8910</v>
      </c>
      <c r="G3210" s="6" t="str">
        <f>IFERROR(__xludf.DUMMYFUNCTION("REGEXREPLACE(LOWER(F3210),""[^a-z\s]"","""")"),"still havent received my order this is an awful experience will be my last")</f>
        <v>still havent received my order this is an awful experience will be my last</v>
      </c>
      <c r="H3210" s="4" t="str">
        <f t="shared" si="1"/>
        <v>still havent received my order this an awful experience will be my last</v>
      </c>
      <c r="I3210" s="6">
        <f t="shared" si="2"/>
        <v>13</v>
      </c>
      <c r="J3210" s="6">
        <f>IFERROR(__xludf.DUMMYFUNCTION("IF(H3210="""","""",
SUM(
ARRAYFORMULA(
IF(
REGEXMATCH(
"" ""&amp;H3210&amp;"" "",
"" ""&amp;Sentiment_Words!A$2:A3730&amp;"" ""
),
1,
0
)
)
)
)"),0.0)</f>
        <v>0</v>
      </c>
      <c r="K3210" s="4">
        <f>IFERROR(__xludf.DUMMYFUNCTION("IF(H3210="""","""",
SUM(
ARRAYFORMULA(
IF(
REGEXMATCH(
"" ""&amp;H3210&amp;"" "",
"" ""&amp;Sentiment_Words!B$2:B3730&amp;"" ""
),
1,
0
)
)
)
)"),0.0)</f>
        <v>0</v>
      </c>
      <c r="L3210" s="7" t="str">
        <f t="shared" si="3"/>
        <v>Other</v>
      </c>
      <c r="M3210" s="7" t="str">
        <f t="shared" si="4"/>
        <v>Neutral</v>
      </c>
      <c r="N3210" s="7" t="str">
        <f>IFERROR(__xludf.DUMMYFUNCTION("LOWER(
TRIM(
REGEXREPLACE(B3210,""[^a-zA-Z\s]"","""")
)
)
"),"anne killman")</f>
        <v>anne killman</v>
      </c>
      <c r="O3210" s="7">
        <f t="shared" si="5"/>
        <v>1</v>
      </c>
      <c r="P3210" s="8" t="str">
        <f t="shared" si="6"/>
        <v>No</v>
      </c>
    </row>
    <row r="3211">
      <c r="A3211" s="4" t="s">
        <v>16</v>
      </c>
      <c r="B3211" s="4" t="s">
        <v>8911</v>
      </c>
      <c r="C3211" s="5">
        <v>44573.0</v>
      </c>
      <c r="D3211" s="10">
        <v>44573.0</v>
      </c>
      <c r="E3211" s="4" t="s">
        <v>8912</v>
      </c>
      <c r="F3211" s="4" t="s">
        <v>8913</v>
      </c>
      <c r="G3211" s="6" t="str">
        <f>IFERROR(__xludf.DUMMYFUNCTION("REGEXREPLACE(LOWER(F3211),""[^a-z\s]"","""")"),"reliable and excellent")</f>
        <v>reliable and excellent</v>
      </c>
      <c r="H3211" s="4" t="str">
        <f t="shared" si="1"/>
        <v>reliable excellent</v>
      </c>
      <c r="I3211" s="6">
        <f t="shared" si="2"/>
        <v>2</v>
      </c>
      <c r="J3211" s="6">
        <f>IFERROR(__xludf.DUMMYFUNCTION("IF(H3211="""","""",
SUM(
ARRAYFORMULA(
IF(
REGEXMATCH(
"" ""&amp;H3211&amp;"" "",
"" ""&amp;Sentiment_Words!A$2:A3730&amp;"" ""
),
1,
0
)
)
)
)"),1.0)</f>
        <v>1</v>
      </c>
      <c r="K3211" s="4">
        <f>IFERROR(__xludf.DUMMYFUNCTION("IF(H3211="""","""",
SUM(
ARRAYFORMULA(
IF(
REGEXMATCH(
"" ""&amp;H3211&amp;"" "",
"" ""&amp;Sentiment_Words!B$2:B3730&amp;"" ""
),
1,
0
)
)
)
)"),0.0)</f>
        <v>0</v>
      </c>
      <c r="L3211" s="7" t="str">
        <f t="shared" si="3"/>
        <v>Other</v>
      </c>
      <c r="M3211" s="7" t="str">
        <f t="shared" si="4"/>
        <v>Positive</v>
      </c>
      <c r="N3211" s="7" t="str">
        <f>IFERROR(__xludf.DUMMYFUNCTION("LOWER(
TRIM(
REGEXREPLACE(B3211,""[^a-zA-Z\s]"","""")
)
)
"),"holly g")</f>
        <v>holly g</v>
      </c>
      <c r="O3211" s="7">
        <f t="shared" si="5"/>
        <v>1</v>
      </c>
      <c r="P3211" s="8" t="str">
        <f t="shared" si="6"/>
        <v>No</v>
      </c>
    </row>
    <row r="3212">
      <c r="A3212" s="4" t="s">
        <v>16</v>
      </c>
      <c r="B3212" s="4" t="s">
        <v>8914</v>
      </c>
      <c r="C3212" s="5">
        <v>44573.0</v>
      </c>
      <c r="D3212" s="10">
        <v>44573.0</v>
      </c>
      <c r="E3212" s="4" t="s">
        <v>8915</v>
      </c>
      <c r="F3212" s="4" t="s">
        <v>8916</v>
      </c>
      <c r="G3212" s="6" t="str">
        <f>IFERROR(__xludf.DUMMYFUNCTION("REGEXREPLACE(LOWER(F3212),""[^a-z\s]"","""")"),"order place has stalled on colorado from vegas on its way to indiana tracking is not being updated and the response time to email is a day or more behind")</f>
        <v>order place has stalled on colorado from vegas on its way to indiana tracking is not being updated and the response time to email is a day or more behind</v>
      </c>
      <c r="H3212" s="4" t="str">
        <f t="shared" si="1"/>
        <v>order place has stalled on colorado from vegas on its way indiana tracking not being updated response time email a day or more behind</v>
      </c>
      <c r="I3212" s="6">
        <f t="shared" si="2"/>
        <v>24</v>
      </c>
      <c r="J3212" s="6">
        <f>IFERROR(__xludf.DUMMYFUNCTION("IF(H3212="""","""",
SUM(
ARRAYFORMULA(
IF(
REGEXMATCH(
"" ""&amp;H3212&amp;"" "",
"" ""&amp;Sentiment_Words!A$2:A3730&amp;"" ""
),
1,
0
)
)
)
)"),0.0)</f>
        <v>0</v>
      </c>
      <c r="K3212" s="4">
        <f>IFERROR(__xludf.DUMMYFUNCTION("IF(H3212="""","""",
SUM(
ARRAYFORMULA(
IF(
REGEXMATCH(
"" ""&amp;H3212&amp;"" "",
"" ""&amp;Sentiment_Words!B$2:B3730&amp;"" ""
),
1,
0
)
)
)
)"),0.0)</f>
        <v>0</v>
      </c>
      <c r="L3212" s="7" t="str">
        <f t="shared" si="3"/>
        <v>Other</v>
      </c>
      <c r="M3212" s="7" t="str">
        <f t="shared" si="4"/>
        <v>Neutral</v>
      </c>
      <c r="N3212" s="7" t="str">
        <f>IFERROR(__xludf.DUMMYFUNCTION("LOWER(
TRIM(
REGEXREPLACE(B3212,""[^a-zA-Z\s]"","""")
)
)
"),"michele urban")</f>
        <v>michele urban</v>
      </c>
      <c r="O3212" s="7">
        <f t="shared" si="5"/>
        <v>1</v>
      </c>
      <c r="P3212" s="8" t="str">
        <f t="shared" si="6"/>
        <v>No</v>
      </c>
    </row>
    <row r="3213">
      <c r="A3213" s="4" t="s">
        <v>16</v>
      </c>
      <c r="B3213" s="4" t="s">
        <v>8917</v>
      </c>
      <c r="C3213" s="5">
        <v>44573.0</v>
      </c>
      <c r="D3213" s="10">
        <v>44573.0</v>
      </c>
      <c r="E3213" s="4" t="s">
        <v>1774</v>
      </c>
      <c r="F3213" s="4" t="s">
        <v>8918</v>
      </c>
      <c r="G3213" s="6" t="str">
        <f>IFERROR(__xludf.DUMMYFUNCTION("REGEXREPLACE(LOWER(F3213),""[^a-z\s]"","""")"),"customer service is top notch i love that i can message about my order in an email or text and get a reply quickly great discount for new customers and a constant supply of my pets food thank you pet flow")</f>
        <v>customer service is top notch i love that i can message about my order in an email or text and get a reply quickly great discount for new customers and a constant supply of my pets food thank you pet flow</v>
      </c>
      <c r="H3213" s="4" t="str">
        <f t="shared" si="1"/>
        <v>customer service top notch i love that i can message about my order in an email or text get a reply quickly great discount new customers a constant supply of my pets food thank you pet flow</v>
      </c>
      <c r="I3213" s="6">
        <f t="shared" si="2"/>
        <v>37</v>
      </c>
      <c r="J3213" s="6">
        <f>IFERROR(__xludf.DUMMYFUNCTION("IF(H3213="""","""",
SUM(
ARRAYFORMULA(
IF(
REGEXMATCH(
"" ""&amp;H3213&amp;"" "",
"" ""&amp;Sentiment_Words!A$2:A3730&amp;"" ""
),
1,
0
)
)
)
)"),2.0)</f>
        <v>2</v>
      </c>
      <c r="K3213" s="4">
        <f>IFERROR(__xludf.DUMMYFUNCTION("IF(H3213="""","""",
SUM(
ARRAYFORMULA(
IF(
REGEXMATCH(
"" ""&amp;H3213&amp;"" "",
"" ""&amp;Sentiment_Words!B$2:B3730&amp;"" ""
),
1,
0
)
)
)
)"),1.0)</f>
        <v>1</v>
      </c>
      <c r="L3213" s="7" t="str">
        <f t="shared" si="3"/>
        <v>Customer Support</v>
      </c>
      <c r="M3213" s="7" t="str">
        <f t="shared" si="4"/>
        <v>Positive</v>
      </c>
      <c r="N3213" s="7" t="str">
        <f>IFERROR(__xludf.DUMMYFUNCTION("LOWER(
TRIM(
REGEXREPLACE(B3213,""[^a-zA-Z\s]"","""")
)
)
"),"heidi kins")</f>
        <v>heidi kins</v>
      </c>
      <c r="O3213" s="7">
        <f t="shared" si="5"/>
        <v>1</v>
      </c>
      <c r="P3213" s="8" t="str">
        <f t="shared" si="6"/>
        <v>No</v>
      </c>
    </row>
    <row r="3214">
      <c r="A3214" s="4" t="s">
        <v>16</v>
      </c>
      <c r="B3214" s="4" t="s">
        <v>8919</v>
      </c>
      <c r="C3214" s="5">
        <v>44573.0</v>
      </c>
      <c r="D3214" s="10">
        <v>44573.0</v>
      </c>
      <c r="E3214" s="4" t="s">
        <v>8920</v>
      </c>
      <c r="F3214" s="4" t="s">
        <v>8921</v>
      </c>
      <c r="G3214" s="6" t="str">
        <f>IFERROR(__xludf.DUMMYFUNCTION("REGEXREPLACE(LOWER(F3214),""[^a-z\s]"","""")"),"i really like your products the frequency of communication about a shipment and my pets are happy too ")</f>
        <v>i really like your products the frequency of communication about a shipment and my pets are happy too </v>
      </c>
      <c r="H3214" s="4" t="str">
        <f t="shared" si="1"/>
        <v>i really like your products frequency of communication about a shipment my pets are happy too</v>
      </c>
      <c r="I3214" s="6">
        <f t="shared" si="2"/>
        <v>16</v>
      </c>
      <c r="J3214" s="6">
        <f>IFERROR(__xludf.DUMMYFUNCTION("IF(H3214="""","""",
SUM(
ARRAYFORMULA(
IF(
REGEXMATCH(
"" ""&amp;H3214&amp;"" "",
"" ""&amp;Sentiment_Words!A$2:A3730&amp;"" ""
),
1,
0
)
)
)
)"),1.0)</f>
        <v>1</v>
      </c>
      <c r="K3214" s="4">
        <f>IFERROR(__xludf.DUMMYFUNCTION("IF(H3214="""","""",
SUM(
ARRAYFORMULA(
IF(
REGEXMATCH(
"" ""&amp;H3214&amp;"" "",
"" ""&amp;Sentiment_Words!B$2:B3730&amp;"" ""
),
1,
0
)
)
)
)"),0.0)</f>
        <v>0</v>
      </c>
      <c r="L3214" s="7" t="str">
        <f t="shared" si="3"/>
        <v>Other</v>
      </c>
      <c r="M3214" s="7" t="str">
        <f t="shared" si="4"/>
        <v>Positive</v>
      </c>
      <c r="N3214" s="7" t="str">
        <f>IFERROR(__xludf.DUMMYFUNCTION("LOWER(
TRIM(
REGEXREPLACE(B3214,""[^a-zA-Z\s]"","""")
)
)
"),"glenn hazelwood ii")</f>
        <v>glenn hazelwood ii</v>
      </c>
      <c r="O3214" s="7">
        <f t="shared" si="5"/>
        <v>1</v>
      </c>
      <c r="P3214" s="8" t="str">
        <f t="shared" si="6"/>
        <v>No</v>
      </c>
    </row>
    <row r="3215">
      <c r="A3215" s="4" t="s">
        <v>16</v>
      </c>
      <c r="B3215" s="4" t="s">
        <v>8922</v>
      </c>
      <c r="C3215" s="5">
        <v>44573.0</v>
      </c>
      <c r="D3215" s="10">
        <v>44573.0</v>
      </c>
      <c r="E3215" s="4" t="s">
        <v>8923</v>
      </c>
      <c r="F3215" s="4" t="s">
        <v>8924</v>
      </c>
      <c r="G3215" s="6" t="str">
        <f>IFERROR(__xludf.DUMMYFUNCTION("REGEXREPLACE(LOWER(F3215),""[^a-z\s]"","""")"),"pricing good i was kept informed of delayed shipment due to weather will buy again")</f>
        <v>pricing good i was kept informed of delayed shipment due to weather will buy again</v>
      </c>
      <c r="H3215" s="4" t="str">
        <f t="shared" si="1"/>
        <v>pricing good i was kept informed of delayed shipment due weather will buy again</v>
      </c>
      <c r="I3215" s="6">
        <f t="shared" si="2"/>
        <v>14</v>
      </c>
      <c r="J3215" s="6">
        <f>IFERROR(__xludf.DUMMYFUNCTION("IF(H3215="""","""",
SUM(
ARRAYFORMULA(
IF(
REGEXMATCH(
"" ""&amp;H3215&amp;"" "",
"" ""&amp;Sentiment_Words!A$2:A3730&amp;"" ""
),
1,
0
)
)
)
)"),1.0)</f>
        <v>1</v>
      </c>
      <c r="K3215" s="4">
        <f>IFERROR(__xludf.DUMMYFUNCTION("IF(H3215="""","""",
SUM(
ARRAYFORMULA(
IF(
REGEXMATCH(
"" ""&amp;H3215&amp;"" "",
"" ""&amp;Sentiment_Words!B$2:B3730&amp;"" ""
),
1,
0
)
)
)
)"),1.0)</f>
        <v>1</v>
      </c>
      <c r="L3215" s="7" t="str">
        <f t="shared" si="3"/>
        <v>Fulfillment &amp; Shipping</v>
      </c>
      <c r="M3215" s="7" t="str">
        <f t="shared" si="4"/>
        <v>Neutral</v>
      </c>
      <c r="N3215" s="7" t="str">
        <f>IFERROR(__xludf.DUMMYFUNCTION("LOWER(
TRIM(
REGEXREPLACE(B3215,""[^a-zA-Z\s]"","""")
)
)
"),"rebecca leonguerrero")</f>
        <v>rebecca leonguerrero</v>
      </c>
      <c r="O3215" s="7">
        <f t="shared" si="5"/>
        <v>1</v>
      </c>
      <c r="P3215" s="8" t="str">
        <f t="shared" si="6"/>
        <v>No</v>
      </c>
    </row>
    <row r="3216">
      <c r="A3216" s="4" t="s">
        <v>16</v>
      </c>
      <c r="B3216" s="4" t="s">
        <v>8925</v>
      </c>
      <c r="C3216" s="5">
        <v>44573.0</v>
      </c>
      <c r="D3216" s="10">
        <v>44573.0</v>
      </c>
      <c r="E3216" s="4" t="s">
        <v>8926</v>
      </c>
      <c r="F3216" s="4" t="s">
        <v>331</v>
      </c>
      <c r="G3216" s="6" t="str">
        <f>IFERROR(__xludf.DUMMYFUNCTION("REGEXREPLACE(LOWER(F3216),""[^a-z\s]"","""")"),"none")</f>
        <v>none</v>
      </c>
      <c r="H3216" s="4" t="str">
        <f t="shared" si="1"/>
        <v>none</v>
      </c>
      <c r="I3216" s="6">
        <f t="shared" si="2"/>
        <v>1</v>
      </c>
      <c r="J3216" s="6">
        <f>IFERROR(__xludf.DUMMYFUNCTION("IF(H3216="""","""",
SUM(
ARRAYFORMULA(
IF(
REGEXMATCH(
"" ""&amp;H3216&amp;"" "",
"" ""&amp;Sentiment_Words!A$2:A3730&amp;"" ""
),
1,
0
)
)
)
)"),0.0)</f>
        <v>0</v>
      </c>
      <c r="K3216" s="4">
        <f>IFERROR(__xludf.DUMMYFUNCTION("IF(H3216="""","""",
SUM(
ARRAYFORMULA(
IF(
REGEXMATCH(
"" ""&amp;H3216&amp;"" "",
"" ""&amp;Sentiment_Words!B$2:B3730&amp;"" ""
),
1,
0
)
)
)
)"),0.0)</f>
        <v>0</v>
      </c>
      <c r="L3216" s="7" t="str">
        <f t="shared" si="3"/>
        <v>Other</v>
      </c>
      <c r="M3216" s="7" t="str">
        <f t="shared" si="4"/>
        <v>Neutral</v>
      </c>
      <c r="N3216" s="7" t="str">
        <f>IFERROR(__xludf.DUMMYFUNCTION("LOWER(
TRIM(
REGEXREPLACE(B3216,""[^a-zA-Z\s]"","""")
)
)
"),"suzanne trapani")</f>
        <v>suzanne trapani</v>
      </c>
      <c r="O3216" s="7">
        <f t="shared" si="5"/>
        <v>1</v>
      </c>
      <c r="P3216" s="8" t="str">
        <f t="shared" si="6"/>
        <v>No</v>
      </c>
    </row>
    <row r="3217">
      <c r="A3217" s="4" t="s">
        <v>16</v>
      </c>
      <c r="B3217" s="4" t="s">
        <v>8927</v>
      </c>
      <c r="C3217" s="5">
        <v>44572.0</v>
      </c>
      <c r="D3217" s="10">
        <v>44573.0</v>
      </c>
      <c r="E3217" s="4" t="s">
        <v>8928</v>
      </c>
      <c r="F3217" s="4" t="s">
        <v>331</v>
      </c>
      <c r="G3217" s="6" t="str">
        <f>IFERROR(__xludf.DUMMYFUNCTION("REGEXREPLACE(LOWER(F3217),""[^a-z\s]"","""")"),"none")</f>
        <v>none</v>
      </c>
      <c r="H3217" s="4" t="str">
        <f t="shared" si="1"/>
        <v>none</v>
      </c>
      <c r="I3217" s="6">
        <f t="shared" si="2"/>
        <v>1</v>
      </c>
      <c r="J3217" s="6">
        <f>IFERROR(__xludf.DUMMYFUNCTION("IF(H3217="""","""",
SUM(
ARRAYFORMULA(
IF(
REGEXMATCH(
"" ""&amp;H3217&amp;"" "",
"" ""&amp;Sentiment_Words!A$2:A3730&amp;"" ""
),
1,
0
)
)
)
)"),0.0)</f>
        <v>0</v>
      </c>
      <c r="K3217" s="4">
        <f>IFERROR(__xludf.DUMMYFUNCTION("IF(H3217="""","""",
SUM(
ARRAYFORMULA(
IF(
REGEXMATCH(
"" ""&amp;H3217&amp;"" "",
"" ""&amp;Sentiment_Words!B$2:B3730&amp;"" ""
),
1,
0
)
)
)
)"),0.0)</f>
        <v>0</v>
      </c>
      <c r="L3217" s="7" t="str">
        <f t="shared" si="3"/>
        <v>Other</v>
      </c>
      <c r="M3217" s="7" t="str">
        <f t="shared" si="4"/>
        <v>Neutral</v>
      </c>
      <c r="N3217" s="7" t="str">
        <f>IFERROR(__xludf.DUMMYFUNCTION("LOWER(
TRIM(
REGEXREPLACE(B3217,""[^a-zA-Z\s]"","""")
)
)
"),"vickie belt")</f>
        <v>vickie belt</v>
      </c>
      <c r="O3217" s="7">
        <f t="shared" si="5"/>
        <v>1</v>
      </c>
      <c r="P3217" s="8" t="str">
        <f t="shared" si="6"/>
        <v>No</v>
      </c>
    </row>
    <row r="3218">
      <c r="A3218" s="4" t="s">
        <v>16</v>
      </c>
      <c r="B3218" s="4" t="s">
        <v>8929</v>
      </c>
      <c r="C3218" s="5">
        <v>44572.0</v>
      </c>
      <c r="D3218" s="10">
        <v>44572.0</v>
      </c>
      <c r="E3218" s="4" t="s">
        <v>8930</v>
      </c>
      <c r="F3218" s="4" t="s">
        <v>8931</v>
      </c>
      <c r="G3218" s="6" t="str">
        <f>IFERROR(__xludf.DUMMYFUNCTION("REGEXREPLACE(LOWER(F3218),""[^a-z\s]"","""")"),"i was luckily to find what i needed at a great orice shipping was fast and because i met the minimum i got free shipping will shop again")</f>
        <v>i was luckily to find what i needed at a great orice shipping was fast and because i met the minimum i got free shipping will shop again</v>
      </c>
      <c r="H3218" s="4" t="str">
        <f t="shared" si="1"/>
        <v>i was luckily find what i needed at a great orice shipping was fast because i met minimum i got free shipping will shop again</v>
      </c>
      <c r="I3218" s="6">
        <f t="shared" si="2"/>
        <v>25</v>
      </c>
      <c r="J3218" s="6">
        <f>IFERROR(__xludf.DUMMYFUNCTION("IF(H3218="""","""",
SUM(
ARRAYFORMULA(
IF(
REGEXMATCH(
"" ""&amp;H3218&amp;"" "",
"" ""&amp;Sentiment_Words!A$2:A3730&amp;"" ""
),
1,
0
)
)
)
)"),2.0)</f>
        <v>2</v>
      </c>
      <c r="K3218" s="4">
        <f>IFERROR(__xludf.DUMMYFUNCTION("IF(H3218="""","""",
SUM(
ARRAYFORMULA(
IF(
REGEXMATCH(
"" ""&amp;H3218&amp;"" "",
"" ""&amp;Sentiment_Words!B$2:B3730&amp;"" ""
),
1,
0
)
)
)
)"),0.0)</f>
        <v>0</v>
      </c>
      <c r="L3218" s="7" t="str">
        <f t="shared" si="3"/>
        <v>Other</v>
      </c>
      <c r="M3218" s="7" t="str">
        <f t="shared" si="4"/>
        <v>Positive</v>
      </c>
      <c r="N3218" s="7" t="str">
        <f>IFERROR(__xludf.DUMMYFUNCTION("LOWER(
TRIM(
REGEXREPLACE(B3218,""[^a-zA-Z\s]"","""")
)
)
"),"leslie addiego")</f>
        <v>leslie addiego</v>
      </c>
      <c r="O3218" s="7">
        <f t="shared" si="5"/>
        <v>1</v>
      </c>
      <c r="P3218" s="8" t="str">
        <f t="shared" si="6"/>
        <v>No</v>
      </c>
    </row>
    <row r="3219">
      <c r="A3219" s="4" t="s">
        <v>16</v>
      </c>
      <c r="B3219" s="4" t="s">
        <v>8932</v>
      </c>
      <c r="C3219" s="5">
        <v>44572.0</v>
      </c>
      <c r="D3219" s="10">
        <v>44572.0</v>
      </c>
      <c r="E3219" s="4" t="s">
        <v>8933</v>
      </c>
      <c r="F3219" s="4" t="s">
        <v>8934</v>
      </c>
      <c r="G3219" s="6" t="str">
        <f>IFERROR(__xludf.DUMMYFUNCTION("REGEXREPLACE(LOWER(F3219),""[^a-z\s]"","""")"),"been with petflow going on  years now they always help me if i need specialty food or just basic pet food so many choices and the treats too thank you for meeting my expectations in each box i receive fan for life
denice")</f>
        <v>been with petflow going on  years now they always help me if i need specialty food or just basic pet food so many choices and the treats too thank you for meeting my expectations in each box i receive fan for life
denice</v>
      </c>
      <c r="H3219" s="4" t="str">
        <f t="shared" si="1"/>
        <v>been with petflow going on years now they always help me if i need specialty food or just basic pet food so many choices treats too thank you meeting my expectations in each box i receive fan life
denice</v>
      </c>
      <c r="I3219" s="6">
        <f t="shared" si="2"/>
        <v>38</v>
      </c>
      <c r="J3219" s="6">
        <f>IFERROR(__xludf.DUMMYFUNCTION("IF(H3219="""","""",
SUM(
ARRAYFORMULA(
IF(
REGEXMATCH(
"" ""&amp;H3219&amp;"" "",
"" ""&amp;Sentiment_Words!A$2:A3730&amp;"" ""
),
1,
0
)
)
)
)"),0.0)</f>
        <v>0</v>
      </c>
      <c r="K3219" s="4">
        <f>IFERROR(__xludf.DUMMYFUNCTION("IF(H3219="""","""",
SUM(
ARRAYFORMULA(
IF(
REGEXMATCH(
"" ""&amp;H3219&amp;"" "",
"" ""&amp;Sentiment_Words!B$2:B3730&amp;"" ""
),
1,
0
)
)
)
)"),0.0)</f>
        <v>0</v>
      </c>
      <c r="L3219" s="7" t="str">
        <f t="shared" si="3"/>
        <v>Other</v>
      </c>
      <c r="M3219" s="7" t="str">
        <f t="shared" si="4"/>
        <v>Neutral</v>
      </c>
      <c r="N3219" s="7" t="str">
        <f>IFERROR(__xludf.DUMMYFUNCTION("LOWER(
TRIM(
REGEXREPLACE(B3219,""[^a-zA-Z\s]"","""")
)
)
"),"denice french")</f>
        <v>denice french</v>
      </c>
      <c r="O3219" s="7">
        <f t="shared" si="5"/>
        <v>1</v>
      </c>
      <c r="P3219" s="8" t="str">
        <f t="shared" si="6"/>
        <v>No</v>
      </c>
    </row>
    <row r="3220">
      <c r="A3220" s="4" t="s">
        <v>16</v>
      </c>
      <c r="B3220" s="4" t="s">
        <v>8935</v>
      </c>
      <c r="C3220" s="5">
        <v>44572.0</v>
      </c>
      <c r="D3220" s="10">
        <v>44572.0</v>
      </c>
      <c r="E3220" s="4" t="s">
        <v>8936</v>
      </c>
      <c r="F3220" s="4" t="s">
        <v>8937</v>
      </c>
      <c r="G3220" s="6" t="str">
        <f>IFERROR(__xludf.DUMMYFUNCTION("REGEXREPLACE(LOWER(F3220),""[^a-z\s]"","""")"),"delivery was quick and im very happy with the red gravel red gravel is hard to find")</f>
        <v>delivery was quick and im very happy with the red gravel red gravel is hard to find</v>
      </c>
      <c r="H3220" s="4" t="str">
        <f t="shared" si="1"/>
        <v>delivery was quick im very happy with red gravel red gravel hard find</v>
      </c>
      <c r="I3220" s="6">
        <f t="shared" si="2"/>
        <v>13</v>
      </c>
      <c r="J3220" s="6">
        <f>IFERROR(__xludf.DUMMYFUNCTION("IF(H3220="""","""",
SUM(
ARRAYFORMULA(
IF(
REGEXMATCH(
"" ""&amp;H3220&amp;"" "",
"" ""&amp;Sentiment_Words!A$2:A3730&amp;"" ""
),
1,
0
)
)
)
)"),1.0)</f>
        <v>1</v>
      </c>
      <c r="K3220" s="4">
        <f>IFERROR(__xludf.DUMMYFUNCTION("IF(H3220="""","""",
SUM(
ARRAYFORMULA(
IF(
REGEXMATCH(
"" ""&amp;H3220&amp;"" "",
"" ""&amp;Sentiment_Words!B$2:B3730&amp;"" ""
),
1,
0
)
)
)
)"),0.0)</f>
        <v>0</v>
      </c>
      <c r="L3220" s="7" t="str">
        <f t="shared" si="3"/>
        <v>Other</v>
      </c>
      <c r="M3220" s="7" t="str">
        <f t="shared" si="4"/>
        <v>Positive</v>
      </c>
      <c r="N3220" s="7" t="str">
        <f>IFERROR(__xludf.DUMMYFUNCTION("LOWER(
TRIM(
REGEXREPLACE(B3220,""[^a-zA-Z\s]"","""")
)
)
"),"jennifer hughes")</f>
        <v>jennifer hughes</v>
      </c>
      <c r="O3220" s="7">
        <f t="shared" si="5"/>
        <v>1</v>
      </c>
      <c r="P3220" s="8" t="str">
        <f t="shared" si="6"/>
        <v>No</v>
      </c>
    </row>
    <row r="3221">
      <c r="A3221" s="4" t="s">
        <v>16</v>
      </c>
      <c r="B3221" s="4" t="s">
        <v>8938</v>
      </c>
      <c r="C3221" s="5">
        <v>44572.0</v>
      </c>
      <c r="D3221" s="10">
        <v>44572.0</v>
      </c>
      <c r="E3221" s="4" t="s">
        <v>8939</v>
      </c>
      <c r="F3221" s="4" t="s">
        <v>8940</v>
      </c>
      <c r="G3221" s="6" t="str">
        <f>IFERROR(__xludf.DUMMYFUNCTION("REGEXREPLACE(LOWER(F3221),""[^a-z\s]"","""")")," discount on quality dog food
is perfect")</f>
        <v> discount on quality dog food
is perfect</v>
      </c>
      <c r="H3221" s="4" t="str">
        <f t="shared" si="1"/>
        <v>discount on quality dog food
is perfect</v>
      </c>
      <c r="I3221" s="6">
        <f t="shared" si="2"/>
        <v>6</v>
      </c>
      <c r="J3221" s="6">
        <f>IFERROR(__xludf.DUMMYFUNCTION("IF(H3221="""","""",
SUM(
ARRAYFORMULA(
IF(
REGEXMATCH(
"" ""&amp;H3221&amp;"" "",
"" ""&amp;Sentiment_Words!A$2:A3730&amp;"" ""
),
1,
0
)
)
)
)"),0.0)</f>
        <v>0</v>
      </c>
      <c r="K3221" s="4">
        <f>IFERROR(__xludf.DUMMYFUNCTION("IF(H3221="""","""",
SUM(
ARRAYFORMULA(
IF(
REGEXMATCH(
"" ""&amp;H3221&amp;"" "",
"" ""&amp;Sentiment_Words!B$2:B3730&amp;"" ""
),
1,
0
)
)
)
)"),0.0)</f>
        <v>0</v>
      </c>
      <c r="L3221" s="7" t="str">
        <f t="shared" si="3"/>
        <v>Other</v>
      </c>
      <c r="M3221" s="7" t="str">
        <f t="shared" si="4"/>
        <v>Neutral</v>
      </c>
      <c r="N3221" s="7" t="str">
        <f>IFERROR(__xludf.DUMMYFUNCTION("LOWER(
TRIM(
REGEXREPLACE(B3221,""[^a-zA-Z\s]"","""")
)
)
"),"charles apligian")</f>
        <v>charles apligian</v>
      </c>
      <c r="O3221" s="7">
        <f t="shared" si="5"/>
        <v>1</v>
      </c>
      <c r="P3221" s="8" t="str">
        <f t="shared" si="6"/>
        <v>No</v>
      </c>
    </row>
    <row r="3222">
      <c r="A3222" s="4" t="s">
        <v>16</v>
      </c>
      <c r="B3222" s="4" t="s">
        <v>8941</v>
      </c>
      <c r="C3222" s="5">
        <v>44571.0</v>
      </c>
      <c r="D3222" s="10">
        <v>44572.0</v>
      </c>
      <c r="E3222" s="4" t="s">
        <v>8942</v>
      </c>
      <c r="F3222" s="4" t="s">
        <v>8943</v>
      </c>
      <c r="G3222" s="6" t="str">
        <f>IFERROR(__xludf.DUMMYFUNCTION("REGEXREPLACE(LOWER(F3222),""[^a-z\s]"","""")"),"petflow falsely advertised a food as in stock then withheld the funds they took from my account i was diligent thankfully but despite my best efforts it still took  calls to customer service to get my money back each cs rep provided conflicting info with "&amp;"the previous rep never again")</f>
        <v>petflow falsely advertised a food as in stock then withheld the funds they took from my account i was diligent thankfully but despite my best efforts it still took  calls to customer service to get my money back each cs rep provided conflicting info with the previous rep never again</v>
      </c>
      <c r="H3222" s="4" t="str">
        <f t="shared" si="1"/>
        <v>petflow falsely advertised a food as in stock then withheld funds they took from my account i was diligent thankfully but despite my best efforts it still took calls customer service get my money back each cs rep provided conflicting info with previous rep never again</v>
      </c>
      <c r="I3222" s="6">
        <f t="shared" si="2"/>
        <v>46</v>
      </c>
      <c r="J3222" s="6">
        <f>IFERROR(__xludf.DUMMYFUNCTION("IF(H3222="""","""",
SUM(
ARRAYFORMULA(
IF(
REGEXMATCH(
"" ""&amp;H3222&amp;"" "",
"" ""&amp;Sentiment_Words!A$2:A3730&amp;"" ""
),
1,
0
)
)
)
)"),1.0)</f>
        <v>1</v>
      </c>
      <c r="K3222" s="4">
        <f>IFERROR(__xludf.DUMMYFUNCTION("IF(H3222="""","""",
SUM(
ARRAYFORMULA(
IF(
REGEXMATCH(
"" ""&amp;H3222&amp;"" "",
"" ""&amp;Sentiment_Words!B$2:B3730&amp;"" ""
),
1,
0
)
)
)
)"),1.0)</f>
        <v>1</v>
      </c>
      <c r="L3222" s="7" t="str">
        <f t="shared" si="3"/>
        <v>Customer Support</v>
      </c>
      <c r="M3222" s="7" t="str">
        <f t="shared" si="4"/>
        <v>Neutral</v>
      </c>
      <c r="N3222" s="7" t="str">
        <f>IFERROR(__xludf.DUMMYFUNCTION("LOWER(
TRIM(
REGEXREPLACE(B3222,""[^a-zA-Z\s]"","""")
)
)
"),"danielle w")</f>
        <v>danielle w</v>
      </c>
      <c r="O3222" s="7">
        <f t="shared" si="5"/>
        <v>1</v>
      </c>
      <c r="P3222" s="8" t="str">
        <f t="shared" si="6"/>
        <v>No</v>
      </c>
    </row>
    <row r="3223">
      <c r="A3223" s="4" t="s">
        <v>16</v>
      </c>
      <c r="B3223" s="4" t="s">
        <v>8944</v>
      </c>
      <c r="C3223" s="5">
        <v>44571.0</v>
      </c>
      <c r="D3223" s="10">
        <v>44571.0</v>
      </c>
      <c r="E3223" s="4" t="s">
        <v>8945</v>
      </c>
      <c r="F3223" s="4" t="s">
        <v>8946</v>
      </c>
      <c r="G3223" s="6" t="str">
        <f>IFERROR(__xludf.DUMMYFUNCTION("REGEXREPLACE(LOWER(F3223),""[^a-z\s]"","""")"),"very fast service great deals on the food i purchase")</f>
        <v>very fast service great deals on the food i purchase</v>
      </c>
      <c r="H3223" s="4" t="str">
        <f t="shared" si="1"/>
        <v>very fast service great deals on food i purchase</v>
      </c>
      <c r="I3223" s="6">
        <f t="shared" si="2"/>
        <v>9</v>
      </c>
      <c r="J3223" s="6">
        <f>IFERROR(__xludf.DUMMYFUNCTION("IF(H3223="""","""",
SUM(
ARRAYFORMULA(
IF(
REGEXMATCH(
"" ""&amp;H3223&amp;"" "",
"" ""&amp;Sentiment_Words!A$2:A3730&amp;"" ""
),
1,
0
)
)
)
)"),2.0)</f>
        <v>2</v>
      </c>
      <c r="K3223" s="4">
        <f>IFERROR(__xludf.DUMMYFUNCTION("IF(H3223="""","""",
SUM(
ARRAYFORMULA(
IF(
REGEXMATCH(
"" ""&amp;H3223&amp;"" "",
"" ""&amp;Sentiment_Words!B$2:B3730&amp;"" ""
),
1,
0
)
)
)
)"),0.0)</f>
        <v>0</v>
      </c>
      <c r="L3223" s="7" t="str">
        <f t="shared" si="3"/>
        <v>Customer Support</v>
      </c>
      <c r="M3223" s="7" t="str">
        <f t="shared" si="4"/>
        <v>Positive</v>
      </c>
      <c r="N3223" s="7" t="str">
        <f>IFERROR(__xludf.DUMMYFUNCTION("LOWER(
TRIM(
REGEXREPLACE(B3223,""[^a-zA-Z\s]"","""")
)
)
"),"vicki wilson")</f>
        <v>vicki wilson</v>
      </c>
      <c r="O3223" s="7">
        <f t="shared" si="5"/>
        <v>1</v>
      </c>
      <c r="P3223" s="8" t="str">
        <f t="shared" si="6"/>
        <v>No</v>
      </c>
    </row>
    <row r="3224">
      <c r="A3224" s="4" t="s">
        <v>16</v>
      </c>
      <c r="B3224" s="4" t="s">
        <v>8947</v>
      </c>
      <c r="C3224" s="5">
        <v>44571.0</v>
      </c>
      <c r="D3224" s="10">
        <v>44571.0</v>
      </c>
      <c r="E3224" s="4" t="s">
        <v>8948</v>
      </c>
      <c r="F3224" s="4" t="s">
        <v>8949</v>
      </c>
      <c r="G3224" s="6" t="str">
        <f>IFERROR(__xludf.DUMMYFUNCTION("REGEXREPLACE(LOWER(F3224),""[^a-z\s]"","""")"),"placed an order for a prescription dog food on  which your web site said was in stock which was a surprise because all other pet stores were out of stock received a confirmation with an order number pending charge on our credit card pending charge dropped"&amp;" off the credit card and when i checked the order status on the web site there was no record of the order called customer service  times and was basically told the same thingwe received your order the product is in stock have received the prescription fro"&amp;"m the vet the order is being processed and it will be expedited shipping never did receive a shipping confirmation or product guess you were out of stock too and didnt want to let me know")</f>
        <v>placed an order for a prescription dog food on  which your web site said was in stock which was a surprise because all other pet stores were out of stock received a confirmation with an order number pending charge on our credit card pending charge dropped off the credit card and when i checked the order status on the web site there was no record of the order called customer service  times and was basically told the same thingwe received your order the product is in stock have received the prescription from the vet the order is being processed and it will be expedited shipping never did receive a shipping confirmation or product guess you were out of stock too and didnt want to let me know</v>
      </c>
      <c r="H3224" s="4" t="str">
        <f t="shared" si="1"/>
        <v>placed an order a prescription dog food on which your web site said was in stock which was a surprise because all other pet stores were out of stock received a confirmation with an order number pending charge on our credit card pending charge dropped off credit card when i checked order status on web site there was no record of order called customer service times was basically told same thingwe received your order product in stock have received prescription from vet order being processed it will be expedited shipping never did receive a shipping confirmation or product guess you were out of stock too didnt want let me know</v>
      </c>
      <c r="I3224" s="6">
        <f t="shared" si="2"/>
        <v>110</v>
      </c>
      <c r="J3224" s="6">
        <f>IFERROR(__xludf.DUMMYFUNCTION("IF(H3224="""","""",
SUM(
ARRAYFORMULA(
IF(
REGEXMATCH(
"" ""&amp;H3224&amp;"" "",
"" ""&amp;Sentiment_Words!A$2:A3730&amp;"" ""
),
1,
0
)
)
)
)"),0.0)</f>
        <v>0</v>
      </c>
      <c r="K3224" s="4">
        <f>IFERROR(__xludf.DUMMYFUNCTION("IF(H3224="""","""",
SUM(
ARRAYFORMULA(
IF(
REGEXMATCH(
"" ""&amp;H3224&amp;"" "",
"" ""&amp;Sentiment_Words!B$2:B3730&amp;"" ""
),
1,
0
)
)
)
)"),2.0)</f>
        <v>2</v>
      </c>
      <c r="L3224" s="7" t="str">
        <f t="shared" si="3"/>
        <v>Customer Support</v>
      </c>
      <c r="M3224" s="7" t="str">
        <f t="shared" si="4"/>
        <v>Negative</v>
      </c>
      <c r="N3224" s="7" t="str">
        <f>IFERROR(__xludf.DUMMYFUNCTION("LOWER(
TRIM(
REGEXREPLACE(B3224,""[^a-zA-Z\s]"","""")
)
)
"),"edward gale")</f>
        <v>edward gale</v>
      </c>
      <c r="O3224" s="7">
        <f t="shared" si="5"/>
        <v>1</v>
      </c>
      <c r="P3224" s="8" t="str">
        <f t="shared" si="6"/>
        <v>No</v>
      </c>
    </row>
    <row r="3225">
      <c r="A3225" s="4" t="s">
        <v>16</v>
      </c>
      <c r="B3225" s="4" t="s">
        <v>8950</v>
      </c>
      <c r="C3225" s="5">
        <v>44571.0</v>
      </c>
      <c r="D3225" s="10">
        <v>44571.0</v>
      </c>
      <c r="E3225" s="4" t="s">
        <v>8951</v>
      </c>
      <c r="F3225" s="4" t="s">
        <v>8952</v>
      </c>
      <c r="G3225" s="6" t="str">
        <f>IFERROR(__xludf.DUMMYFUNCTION("REGEXREPLACE(LOWER(F3225),""[^a-z\s]"","""")"),"would really like invoice included with shipment would alleviate one step in filing claims")</f>
        <v>would really like invoice included with shipment would alleviate one step in filing claims</v>
      </c>
      <c r="H3225" s="4" t="str">
        <f t="shared" si="1"/>
        <v>would really like invoice included with shipment would alleviate one step in filing claims</v>
      </c>
      <c r="I3225" s="6">
        <f t="shared" si="2"/>
        <v>14</v>
      </c>
      <c r="J3225" s="6">
        <f>IFERROR(__xludf.DUMMYFUNCTION("IF(H3225="""","""",
SUM(
ARRAYFORMULA(
IF(
REGEXMATCH(
"" ""&amp;H3225&amp;"" "",
"" ""&amp;Sentiment_Words!A$2:A3730&amp;"" ""
),
1,
0
)
)
)
)"),0.0)</f>
        <v>0</v>
      </c>
      <c r="K3225" s="4">
        <f>IFERROR(__xludf.DUMMYFUNCTION("IF(H3225="""","""",
SUM(
ARRAYFORMULA(
IF(
REGEXMATCH(
"" ""&amp;H3225&amp;"" "",
"" ""&amp;Sentiment_Words!B$2:B3730&amp;"" ""
),
1,
0
)
)
)
)"),0.0)</f>
        <v>0</v>
      </c>
      <c r="L3225" s="7" t="str">
        <f t="shared" si="3"/>
        <v>Other</v>
      </c>
      <c r="M3225" s="7" t="str">
        <f t="shared" si="4"/>
        <v>Neutral</v>
      </c>
      <c r="N3225" s="7" t="str">
        <f>IFERROR(__xludf.DUMMYFUNCTION("LOWER(
TRIM(
REGEXREPLACE(B3225,""[^a-zA-Z\s]"","""")
)
)
"),"jewel armstrong")</f>
        <v>jewel armstrong</v>
      </c>
      <c r="O3225" s="7">
        <f t="shared" si="5"/>
        <v>1</v>
      </c>
      <c r="P3225" s="8" t="str">
        <f t="shared" si="6"/>
        <v>No</v>
      </c>
    </row>
    <row r="3226">
      <c r="A3226" s="4" t="s">
        <v>16</v>
      </c>
      <c r="B3226" s="4" t="s">
        <v>8953</v>
      </c>
      <c r="C3226" s="5">
        <v>44571.0</v>
      </c>
      <c r="D3226" s="10">
        <v>44571.0</v>
      </c>
      <c r="E3226" s="4" t="s">
        <v>8954</v>
      </c>
      <c r="F3226" s="4" t="s">
        <v>8955</v>
      </c>
      <c r="G3226" s="6" t="str">
        <f>IFERROR(__xludf.DUMMYFUNCTION("REGEXREPLACE(LOWER(F3226),""[^a-z\s]"","""")"),"great customer service an order was placed and an item was missing i sent an email to report it and they sent the item out immediately no questions asked will continue to be a customer")</f>
        <v>great customer service an order was placed and an item was missing i sent an email to report it and they sent the item out immediately no questions asked will continue to be a customer</v>
      </c>
      <c r="H3226" s="4" t="str">
        <f t="shared" si="1"/>
        <v>great customer service an order was placed an item was missing i sent an email report it they sent item out immediately no questions asked will continue be a customer</v>
      </c>
      <c r="I3226" s="6">
        <f t="shared" si="2"/>
        <v>30</v>
      </c>
      <c r="J3226" s="6">
        <f>IFERROR(__xludf.DUMMYFUNCTION("IF(H3226="""","""",
SUM(
ARRAYFORMULA(
IF(
REGEXMATCH(
"" ""&amp;H3226&amp;"" "",
"" ""&amp;Sentiment_Words!A$2:A3730&amp;"" ""
),
1,
0
)
)
)
)"),3.0)</f>
        <v>3</v>
      </c>
      <c r="K3226" s="4">
        <f>IFERROR(__xludf.DUMMYFUNCTION("IF(H3226="""","""",
SUM(
ARRAYFORMULA(
IF(
REGEXMATCH(
"" ""&amp;H3226&amp;"" "",
"" ""&amp;Sentiment_Words!B$2:B3730&amp;"" ""
),
1,
0
)
)
)
)"),2.0)</f>
        <v>2</v>
      </c>
      <c r="L3226" s="7" t="str">
        <f t="shared" si="3"/>
        <v>Customer Support</v>
      </c>
      <c r="M3226" s="7" t="str">
        <f t="shared" si="4"/>
        <v>Positive</v>
      </c>
      <c r="N3226" s="7" t="str">
        <f>IFERROR(__xludf.DUMMYFUNCTION("LOWER(
TRIM(
REGEXREPLACE(B3226,""[^a-zA-Z\s]"","""")
)
)
"),"joann k craft")</f>
        <v>joann k craft</v>
      </c>
      <c r="O3226" s="7">
        <f t="shared" si="5"/>
        <v>1</v>
      </c>
      <c r="P3226" s="8" t="str">
        <f t="shared" si="6"/>
        <v>No</v>
      </c>
    </row>
    <row r="3227">
      <c r="A3227" s="4" t="s">
        <v>16</v>
      </c>
      <c r="B3227" s="4" t="s">
        <v>8956</v>
      </c>
      <c r="C3227" s="5">
        <v>44571.0</v>
      </c>
      <c r="D3227" s="10">
        <v>44571.0</v>
      </c>
      <c r="E3227" s="4" t="s">
        <v>190</v>
      </c>
      <c r="F3227" s="4" t="s">
        <v>8957</v>
      </c>
      <c r="G3227" s="6" t="str">
        <f>IFERROR(__xludf.DUMMYFUNCTION("REGEXREPLACE(LOWER(F3227),""[^a-z\s]"","""")"),"easy to order great price and fast shipping")</f>
        <v>easy to order great price and fast shipping</v>
      </c>
      <c r="H3227" s="4" t="str">
        <f t="shared" si="1"/>
        <v>easy order great price fast shipping</v>
      </c>
      <c r="I3227" s="6">
        <f t="shared" si="2"/>
        <v>6</v>
      </c>
      <c r="J3227" s="6">
        <f>IFERROR(__xludf.DUMMYFUNCTION("IF(H3227="""","""",
SUM(
ARRAYFORMULA(
IF(
REGEXMATCH(
"" ""&amp;H3227&amp;"" "",
"" ""&amp;Sentiment_Words!A$2:A3730&amp;"" ""
),
1,
0
)
)
)
)"),3.0)</f>
        <v>3</v>
      </c>
      <c r="K3227" s="4">
        <f>IFERROR(__xludf.DUMMYFUNCTION("IF(H3227="""","""",
SUM(
ARRAYFORMULA(
IF(
REGEXMATCH(
"" ""&amp;H3227&amp;"" "",
"" ""&amp;Sentiment_Words!B$2:B3730&amp;"" ""
),
1,
0
)
)
)
)"),0.0)</f>
        <v>0</v>
      </c>
      <c r="L3227" s="7" t="str">
        <f t="shared" si="3"/>
        <v>Other</v>
      </c>
      <c r="M3227" s="7" t="str">
        <f t="shared" si="4"/>
        <v>Positive</v>
      </c>
      <c r="N3227" s="7" t="str">
        <f>IFERROR(__xludf.DUMMYFUNCTION("LOWER(
TRIM(
REGEXREPLACE(B3227,""[^a-zA-Z\s]"","""")
)
)
"),"craig edney")</f>
        <v>craig edney</v>
      </c>
      <c r="O3227" s="7">
        <f t="shared" si="5"/>
        <v>1</v>
      </c>
      <c r="P3227" s="8" t="str">
        <f t="shared" si="6"/>
        <v>No</v>
      </c>
    </row>
    <row r="3228">
      <c r="A3228" s="4" t="s">
        <v>16</v>
      </c>
      <c r="B3228" s="4" t="s">
        <v>8958</v>
      </c>
      <c r="C3228" s="9">
        <v>44570.0</v>
      </c>
      <c r="D3228" s="10">
        <v>44570.0</v>
      </c>
      <c r="E3228" s="4" t="s">
        <v>8959</v>
      </c>
      <c r="F3228" s="4" t="s">
        <v>8960</v>
      </c>
      <c r="G3228" s="6" t="str">
        <f>IFERROR(__xludf.DUMMYFUNCTION("REGEXREPLACE(LOWER(F3228),""[^a-z\s]"","""")"),"petflow came through when other trusted online pet food providers dropped the ball even with the order itself and managing fedex  they kept engaged until the entire was completely fulfilled and delivered service is tough to put a price tag on thx petflow")</f>
        <v>petflow came through when other trusted online pet food providers dropped the ball even with the order itself and managing fedex  they kept engaged until the entire was completely fulfilled and delivered service is tough to put a price tag on thx petflow</v>
      </c>
      <c r="H3228" s="4" t="str">
        <f t="shared" si="1"/>
        <v>petflow came through when other trusted online pet food providers dropped ball even with order itself managing fedex they kept engaged until entire was completely fulfilled delivered service tough put a price tag on thx petflow</v>
      </c>
      <c r="I3228" s="6">
        <f t="shared" si="2"/>
        <v>36</v>
      </c>
      <c r="J3228" s="6">
        <f>IFERROR(__xludf.DUMMYFUNCTION("IF(H3228="""","""",
SUM(
ARRAYFORMULA(
IF(
REGEXMATCH(
"" ""&amp;H3228&amp;"" "",
"" ""&amp;Sentiment_Words!A$2:A3730&amp;"" ""
),
1,
0
)
)
)
)"),1.0)</f>
        <v>1</v>
      </c>
      <c r="K3228" s="4">
        <f>IFERROR(__xludf.DUMMYFUNCTION("IF(H3228="""","""",
SUM(
ARRAYFORMULA(
IF(
REGEXMATCH(
"" ""&amp;H3228&amp;"" "",
"" ""&amp;Sentiment_Words!B$2:B3730&amp;"" ""
),
1,
0
)
)
)
)"),0.0)</f>
        <v>0</v>
      </c>
      <c r="L3228" s="7" t="str">
        <f t="shared" si="3"/>
        <v>Customer Support</v>
      </c>
      <c r="M3228" s="7" t="str">
        <f t="shared" si="4"/>
        <v>Positive</v>
      </c>
      <c r="N3228" s="7" t="str">
        <f>IFERROR(__xludf.DUMMYFUNCTION("LOWER(
TRIM(
REGEXREPLACE(B3228,""[^a-zA-Z\s]"","""")
)
)
"),"shawn skunca")</f>
        <v>shawn skunca</v>
      </c>
      <c r="O3228" s="7">
        <f t="shared" si="5"/>
        <v>1</v>
      </c>
      <c r="P3228" s="8" t="str">
        <f t="shared" si="6"/>
        <v>No</v>
      </c>
    </row>
    <row r="3229">
      <c r="A3229" s="4" t="s">
        <v>16</v>
      </c>
      <c r="B3229" s="4" t="s">
        <v>8961</v>
      </c>
      <c r="C3229" s="9">
        <v>44570.0</v>
      </c>
      <c r="D3229" s="10">
        <v>44570.0</v>
      </c>
      <c r="E3229" s="4" t="s">
        <v>8962</v>
      </c>
      <c r="F3229" s="4" t="s">
        <v>8963</v>
      </c>
      <c r="G3229" s="6" t="str">
        <f>IFERROR(__xludf.DUMMYFUNCTION("REGEXREPLACE(LOWER(F3229),""[^a-z\s]"","""")"),"horrible communication useless customer service promised emails never received in stock item still not received after  days new tracking number refers to item already delivered not item still waiting for this was my first and last order")</f>
        <v>horrible communication useless customer service promised emails never received in stock item still not received after  days new tracking number refers to item already delivered not item still waiting for this was my first and last order</v>
      </c>
      <c r="H3229" s="4" t="str">
        <f t="shared" si="1"/>
        <v>horrible communication useless customer service promised emails never received in stock item still not received after days new tracking number refers item already delivered not item still waiting this was my first last order</v>
      </c>
      <c r="I3229" s="6">
        <f t="shared" si="2"/>
        <v>34</v>
      </c>
      <c r="J3229" s="6">
        <f>IFERROR(__xludf.DUMMYFUNCTION("IF(H3229="""","""",
SUM(
ARRAYFORMULA(
IF(
REGEXMATCH(
"" ""&amp;H3229&amp;"" "",
"" ""&amp;Sentiment_Words!A$2:A3730&amp;"" ""
),
1,
0
)
)
)
)"),1.0)</f>
        <v>1</v>
      </c>
      <c r="K3229" s="4">
        <f>IFERROR(__xludf.DUMMYFUNCTION("IF(H3229="""","""",
SUM(
ARRAYFORMULA(
IF(
REGEXMATCH(
"" ""&amp;H3229&amp;"" "",
"" ""&amp;Sentiment_Words!B$2:B3730&amp;"" ""
),
1,
0
)
)
)
)"),1.0)</f>
        <v>1</v>
      </c>
      <c r="L3229" s="7" t="str">
        <f t="shared" si="3"/>
        <v>Customer Support</v>
      </c>
      <c r="M3229" s="7" t="str">
        <f t="shared" si="4"/>
        <v>Neutral</v>
      </c>
      <c r="N3229" s="7" t="str">
        <f>IFERROR(__xludf.DUMMYFUNCTION("LOWER(
TRIM(
REGEXREPLACE(B3229,""[^a-zA-Z\s]"","""")
)
)
"),"paul in south jersey")</f>
        <v>paul in south jersey</v>
      </c>
      <c r="O3229" s="7">
        <f t="shared" si="5"/>
        <v>1</v>
      </c>
      <c r="P3229" s="8" t="str">
        <f t="shared" si="6"/>
        <v>No</v>
      </c>
    </row>
    <row r="3230">
      <c r="A3230" s="4" t="s">
        <v>16</v>
      </c>
      <c r="B3230" s="4" t="s">
        <v>8964</v>
      </c>
      <c r="C3230" s="9">
        <v>44570.0</v>
      </c>
      <c r="D3230" s="10">
        <v>44570.0</v>
      </c>
      <c r="E3230" s="4" t="s">
        <v>8965</v>
      </c>
      <c r="F3230" s="4" t="s">
        <v>8966</v>
      </c>
      <c r="G3230" s="6" t="str">
        <f>IFERROR(__xludf.DUMMYFUNCTION("REGEXREPLACE(LOWER(F3230),""[^a-z\s]"","""")"),"they have the dog food i use but not the cat food they are slower to deliver than other sites")</f>
        <v>they have the dog food i use but not the cat food they are slower to deliver than other sites</v>
      </c>
      <c r="H3230" s="4" t="str">
        <f t="shared" si="1"/>
        <v>they have dog food i use but not cat food they are slower deliver than other sites</v>
      </c>
      <c r="I3230" s="6">
        <f t="shared" si="2"/>
        <v>17</v>
      </c>
      <c r="J3230" s="6">
        <f>IFERROR(__xludf.DUMMYFUNCTION("IF(H3230="""","""",
SUM(
ARRAYFORMULA(
IF(
REGEXMATCH(
"" ""&amp;H3230&amp;"" "",
"" ""&amp;Sentiment_Words!A$2:A3730&amp;"" ""
),
1,
0
)
)
)
)"),0.0)</f>
        <v>0</v>
      </c>
      <c r="K3230" s="4">
        <f>IFERROR(__xludf.DUMMYFUNCTION("IF(H3230="""","""",
SUM(
ARRAYFORMULA(
IF(
REGEXMATCH(
"" ""&amp;H3230&amp;"" "",
"" ""&amp;Sentiment_Words!B$2:B3730&amp;"" ""
),
1,
0
)
)
)
)"),0.0)</f>
        <v>0</v>
      </c>
      <c r="L3230" s="7" t="str">
        <f t="shared" si="3"/>
        <v>Other</v>
      </c>
      <c r="M3230" s="7" t="str">
        <f t="shared" si="4"/>
        <v>Neutral</v>
      </c>
      <c r="N3230" s="7" t="str">
        <f>IFERROR(__xludf.DUMMYFUNCTION("LOWER(
TRIM(
REGEXREPLACE(B3230,""[^a-zA-Z\s]"","""")
)
)
"),"gail jomaoas")</f>
        <v>gail jomaoas</v>
      </c>
      <c r="O3230" s="7">
        <f t="shared" si="5"/>
        <v>1</v>
      </c>
      <c r="P3230" s="8" t="str">
        <f t="shared" si="6"/>
        <v>No</v>
      </c>
    </row>
    <row r="3231">
      <c r="A3231" s="4" t="s">
        <v>16</v>
      </c>
      <c r="B3231" s="4" t="s">
        <v>8967</v>
      </c>
      <c r="C3231" s="9">
        <v>44570.0</v>
      </c>
      <c r="D3231" s="10">
        <v>44570.0</v>
      </c>
      <c r="E3231" s="4" t="s">
        <v>8968</v>
      </c>
      <c r="F3231" s="4" t="s">
        <v>8969</v>
      </c>
      <c r="G3231" s="6" t="str">
        <f>IFERROR(__xludf.DUMMYFUNCTION("REGEXREPLACE(LOWER(F3231),""[^a-z\s]"","""")"),"good fast service")</f>
        <v>good fast service</v>
      </c>
      <c r="H3231" s="4" t="str">
        <f t="shared" si="1"/>
        <v>good fast service</v>
      </c>
      <c r="I3231" s="6">
        <f t="shared" si="2"/>
        <v>3</v>
      </c>
      <c r="J3231" s="6">
        <f>IFERROR(__xludf.DUMMYFUNCTION("IF(H3231="""","""",
SUM(
ARRAYFORMULA(
IF(
REGEXMATCH(
"" ""&amp;H3231&amp;"" "",
"" ""&amp;Sentiment_Words!A$2:A3730&amp;"" ""
),
1,
0
)
)
)
)"),2.0)</f>
        <v>2</v>
      </c>
      <c r="K3231" s="4">
        <f>IFERROR(__xludf.DUMMYFUNCTION("IF(H3231="""","""",
SUM(
ARRAYFORMULA(
IF(
REGEXMATCH(
"" ""&amp;H3231&amp;"" "",
"" ""&amp;Sentiment_Words!B$2:B3730&amp;"" ""
),
1,
0
)
)
)
)"),0.0)</f>
        <v>0</v>
      </c>
      <c r="L3231" s="7" t="str">
        <f t="shared" si="3"/>
        <v>Customer Support</v>
      </c>
      <c r="M3231" s="7" t="str">
        <f t="shared" si="4"/>
        <v>Positive</v>
      </c>
      <c r="N3231" s="7" t="str">
        <f>IFERROR(__xludf.DUMMYFUNCTION("LOWER(
TRIM(
REGEXREPLACE(B3231,""[^a-zA-Z\s]"","""")
)
)
"),"vivian baylor")</f>
        <v>vivian baylor</v>
      </c>
      <c r="O3231" s="7">
        <f t="shared" si="5"/>
        <v>1</v>
      </c>
      <c r="P3231" s="8" t="str">
        <f t="shared" si="6"/>
        <v>No</v>
      </c>
    </row>
    <row r="3232">
      <c r="A3232" s="4" t="s">
        <v>16</v>
      </c>
      <c r="B3232" s="4" t="s">
        <v>8970</v>
      </c>
      <c r="C3232" s="9">
        <v>44569.0</v>
      </c>
      <c r="D3232" s="10">
        <v>44569.0</v>
      </c>
      <c r="E3232" s="4" t="s">
        <v>1858</v>
      </c>
      <c r="F3232" s="4" t="s">
        <v>8971</v>
      </c>
      <c r="G3232" s="6" t="str">
        <f>IFERROR(__xludf.DUMMYFUNCTION("REGEXREPLACE(LOWER(F3232),""[^a-z\s]"","""")"),"pet flow staff have been knowledgeable polite and able to meet my needs every time i have called the products carried are high quality and competitively priced")</f>
        <v>pet flow staff have been knowledgeable polite and able to meet my needs every time i have called the products carried are high quality and competitively priced</v>
      </c>
      <c r="H3232" s="4" t="str">
        <f t="shared" si="1"/>
        <v>pet flow staff have been knowledgeable polite able meet my needs every time i have called products carried are high quality competitively priced</v>
      </c>
      <c r="I3232" s="6">
        <f t="shared" si="2"/>
        <v>23</v>
      </c>
      <c r="J3232" s="6">
        <f>IFERROR(__xludf.DUMMYFUNCTION("IF(H3232="""","""",
SUM(
ARRAYFORMULA(
IF(
REGEXMATCH(
"" ""&amp;H3232&amp;"" "",
"" ""&amp;Sentiment_Words!A$2:A3730&amp;"" ""
),
1,
0
)
)
)
)"),1.0)</f>
        <v>1</v>
      </c>
      <c r="K3232" s="4">
        <f>IFERROR(__xludf.DUMMYFUNCTION("IF(H3232="""","""",
SUM(
ARRAYFORMULA(
IF(
REGEXMATCH(
"" ""&amp;H3232&amp;"" "",
"" ""&amp;Sentiment_Words!B$2:B3730&amp;"" ""
),
1,
0
)
)
)
)"),0.0)</f>
        <v>0</v>
      </c>
      <c r="L3232" s="7" t="str">
        <f t="shared" si="3"/>
        <v>Other</v>
      </c>
      <c r="M3232" s="7" t="str">
        <f t="shared" si="4"/>
        <v>Positive</v>
      </c>
      <c r="N3232" s="7" t="str">
        <f>IFERROR(__xludf.DUMMYFUNCTION("LOWER(
TRIM(
REGEXREPLACE(B3232,""[^a-zA-Z\s]"","""")
)
)
"),"tina r")</f>
        <v>tina r</v>
      </c>
      <c r="O3232" s="7">
        <f t="shared" si="5"/>
        <v>1</v>
      </c>
      <c r="P3232" s="8" t="str">
        <f t="shared" si="6"/>
        <v>No</v>
      </c>
    </row>
    <row r="3233">
      <c r="A3233" s="4" t="s">
        <v>16</v>
      </c>
      <c r="B3233" s="4" t="s">
        <v>5334</v>
      </c>
      <c r="C3233" s="9">
        <v>44569.0</v>
      </c>
      <c r="D3233" s="10">
        <v>44569.0</v>
      </c>
      <c r="E3233" s="4" t="s">
        <v>8972</v>
      </c>
      <c r="F3233" s="4" t="s">
        <v>8973</v>
      </c>
      <c r="G3233" s="6" t="str">
        <f>IFERROR(__xludf.DUMMYFUNCTION("REGEXREPLACE(LOWER(F3233),""[^a-z\s]"","""")"),"great to do business with very fast delivery will use again")</f>
        <v>great to do business with very fast delivery will use again</v>
      </c>
      <c r="H3233" s="4" t="str">
        <f t="shared" si="1"/>
        <v>great do business with very fast delivery will use again</v>
      </c>
      <c r="I3233" s="6">
        <f t="shared" si="2"/>
        <v>10</v>
      </c>
      <c r="J3233" s="6">
        <f>IFERROR(__xludf.DUMMYFUNCTION("IF(H3233="""","""",
SUM(
ARRAYFORMULA(
IF(
REGEXMATCH(
"" ""&amp;H3233&amp;"" "",
"" ""&amp;Sentiment_Words!A$2:A3730&amp;"" ""
),
1,
0
)
)
)
)"),3.0)</f>
        <v>3</v>
      </c>
      <c r="K3233" s="4">
        <f>IFERROR(__xludf.DUMMYFUNCTION("IF(H3233="""","""",
SUM(
ARRAYFORMULA(
IF(
REGEXMATCH(
"" ""&amp;H3233&amp;"" "",
"" ""&amp;Sentiment_Words!B$2:B3730&amp;"" ""
),
1,
0
)
)
)
)"),0.0)</f>
        <v>0</v>
      </c>
      <c r="L3233" s="7" t="str">
        <f t="shared" si="3"/>
        <v>Other</v>
      </c>
      <c r="M3233" s="7" t="str">
        <f t="shared" si="4"/>
        <v>Positive</v>
      </c>
      <c r="N3233" s="7" t="str">
        <f>IFERROR(__xludf.DUMMYFUNCTION("LOWER(
TRIM(
REGEXREPLACE(B3233,""[^a-zA-Z\s]"","""")
)
)
"),"joan")</f>
        <v>joan</v>
      </c>
      <c r="O3233" s="7">
        <f t="shared" si="5"/>
        <v>7</v>
      </c>
      <c r="P3233" s="8" t="str">
        <f t="shared" si="6"/>
        <v>Yes</v>
      </c>
    </row>
    <row r="3234">
      <c r="A3234" s="4" t="s">
        <v>16</v>
      </c>
      <c r="B3234" s="4" t="s">
        <v>8974</v>
      </c>
      <c r="C3234" s="9">
        <v>44569.0</v>
      </c>
      <c r="D3234" s="10">
        <v>44569.0</v>
      </c>
      <c r="E3234" s="4" t="s">
        <v>555</v>
      </c>
      <c r="F3234" s="4" t="s">
        <v>8975</v>
      </c>
      <c r="G3234" s="6" t="str">
        <f>IFERROR(__xludf.DUMMYFUNCTION("REGEXREPLACE(LOWER(F3234),""[^a-z\s]"","""")"),"each order comes as anticipated and very timely")</f>
        <v>each order comes as anticipated and very timely</v>
      </c>
      <c r="H3234" s="4" t="str">
        <f t="shared" si="1"/>
        <v>each order comes as anticipated very timely</v>
      </c>
      <c r="I3234" s="6">
        <f t="shared" si="2"/>
        <v>7</v>
      </c>
      <c r="J3234" s="6">
        <f>IFERROR(__xludf.DUMMYFUNCTION("IF(H3234="""","""",
SUM(
ARRAYFORMULA(
IF(
REGEXMATCH(
"" ""&amp;H3234&amp;"" "",
"" ""&amp;Sentiment_Words!A$2:A3730&amp;"" ""
),
1,
0
)
)
)
)"),0.0)</f>
        <v>0</v>
      </c>
      <c r="K3234" s="4">
        <f>IFERROR(__xludf.DUMMYFUNCTION("IF(H3234="""","""",
SUM(
ARRAYFORMULA(
IF(
REGEXMATCH(
"" ""&amp;H3234&amp;"" "",
"" ""&amp;Sentiment_Words!B$2:B3730&amp;"" ""
),
1,
0
)
)
)
)"),0.0)</f>
        <v>0</v>
      </c>
      <c r="L3234" s="7" t="str">
        <f t="shared" si="3"/>
        <v>Other</v>
      </c>
      <c r="M3234" s="7" t="str">
        <f t="shared" si="4"/>
        <v>Neutral</v>
      </c>
      <c r="N3234" s="7" t="str">
        <f>IFERROR(__xludf.DUMMYFUNCTION("LOWER(
TRIM(
REGEXREPLACE(B3234,""[^a-zA-Z\s]"","""")
)
)
"),"stephanie")</f>
        <v>stephanie</v>
      </c>
      <c r="O3234" s="7">
        <f t="shared" si="5"/>
        <v>1</v>
      </c>
      <c r="P3234" s="8" t="str">
        <f t="shared" si="6"/>
        <v>No</v>
      </c>
    </row>
    <row r="3235">
      <c r="A3235" s="4" t="s">
        <v>16</v>
      </c>
      <c r="B3235" s="4" t="s">
        <v>8976</v>
      </c>
      <c r="C3235" s="9">
        <v>44569.0</v>
      </c>
      <c r="D3235" s="10">
        <v>44569.0</v>
      </c>
      <c r="E3235" s="4" t="s">
        <v>8977</v>
      </c>
      <c r="F3235" s="4" t="s">
        <v>331</v>
      </c>
      <c r="G3235" s="6" t="str">
        <f>IFERROR(__xludf.DUMMYFUNCTION("REGEXREPLACE(LOWER(F3235),""[^a-z\s]"","""")"),"none")</f>
        <v>none</v>
      </c>
      <c r="H3235" s="4" t="str">
        <f t="shared" si="1"/>
        <v>none</v>
      </c>
      <c r="I3235" s="6">
        <f t="shared" si="2"/>
        <v>1</v>
      </c>
      <c r="J3235" s="6">
        <f>IFERROR(__xludf.DUMMYFUNCTION("IF(H3235="""","""",
SUM(
ARRAYFORMULA(
IF(
REGEXMATCH(
"" ""&amp;H3235&amp;"" "",
"" ""&amp;Sentiment_Words!A$2:A3730&amp;"" ""
),
1,
0
)
)
)
)"),0.0)</f>
        <v>0</v>
      </c>
      <c r="K3235" s="4">
        <f>IFERROR(__xludf.DUMMYFUNCTION("IF(H3235="""","""",
SUM(
ARRAYFORMULA(
IF(
REGEXMATCH(
"" ""&amp;H3235&amp;"" "",
"" ""&amp;Sentiment_Words!B$2:B3730&amp;"" ""
),
1,
0
)
)
)
)"),0.0)</f>
        <v>0</v>
      </c>
      <c r="L3235" s="7" t="str">
        <f t="shared" si="3"/>
        <v>Other</v>
      </c>
      <c r="M3235" s="7" t="str">
        <f t="shared" si="4"/>
        <v>Neutral</v>
      </c>
      <c r="N3235" s="7" t="str">
        <f>IFERROR(__xludf.DUMMYFUNCTION("LOWER(
TRIM(
REGEXREPLACE(B3235,""[^a-zA-Z\s]"","""")
)
)
"),"carolann auger")</f>
        <v>carolann auger</v>
      </c>
      <c r="O3235" s="7">
        <f t="shared" si="5"/>
        <v>1</v>
      </c>
      <c r="P3235" s="8" t="str">
        <f t="shared" si="6"/>
        <v>No</v>
      </c>
    </row>
    <row r="3236">
      <c r="A3236" s="4" t="s">
        <v>16</v>
      </c>
      <c r="B3236" s="4" t="s">
        <v>8978</v>
      </c>
      <c r="C3236" s="9">
        <v>44569.0</v>
      </c>
      <c r="D3236" s="10">
        <v>44569.0</v>
      </c>
      <c r="E3236" s="4" t="s">
        <v>3210</v>
      </c>
      <c r="F3236" s="4" t="s">
        <v>331</v>
      </c>
      <c r="G3236" s="6" t="str">
        <f>IFERROR(__xludf.DUMMYFUNCTION("REGEXREPLACE(LOWER(F3236),""[^a-z\s]"","""")"),"none")</f>
        <v>none</v>
      </c>
      <c r="H3236" s="4" t="str">
        <f t="shared" si="1"/>
        <v>none</v>
      </c>
      <c r="I3236" s="6">
        <f t="shared" si="2"/>
        <v>1</v>
      </c>
      <c r="J3236" s="6">
        <f>IFERROR(__xludf.DUMMYFUNCTION("IF(H3236="""","""",
SUM(
ARRAYFORMULA(
IF(
REGEXMATCH(
"" ""&amp;H3236&amp;"" "",
"" ""&amp;Sentiment_Words!A$2:A3730&amp;"" ""
),
1,
0
)
)
)
)"),0.0)</f>
        <v>0</v>
      </c>
      <c r="K3236" s="4">
        <f>IFERROR(__xludf.DUMMYFUNCTION("IF(H3236="""","""",
SUM(
ARRAYFORMULA(
IF(
REGEXMATCH(
"" ""&amp;H3236&amp;"" "",
"" ""&amp;Sentiment_Words!B$2:B3730&amp;"" ""
),
1,
0
)
)
)
)"),0.0)</f>
        <v>0</v>
      </c>
      <c r="L3236" s="7" t="str">
        <f t="shared" si="3"/>
        <v>Other</v>
      </c>
      <c r="M3236" s="7" t="str">
        <f t="shared" si="4"/>
        <v>Neutral</v>
      </c>
      <c r="N3236" s="7" t="str">
        <f>IFERROR(__xludf.DUMMYFUNCTION("LOWER(
TRIM(
REGEXREPLACE(B3236,""[^a-zA-Z\s]"","""")
)
)
"),"shirley march")</f>
        <v>shirley march</v>
      </c>
      <c r="O3236" s="7">
        <f t="shared" si="5"/>
        <v>1</v>
      </c>
      <c r="P3236" s="8" t="str">
        <f t="shared" si="6"/>
        <v>No</v>
      </c>
    </row>
    <row r="3237">
      <c r="A3237" s="4" t="s">
        <v>16</v>
      </c>
      <c r="B3237" s="4" t="s">
        <v>8979</v>
      </c>
      <c r="C3237" s="9">
        <v>44569.0</v>
      </c>
      <c r="D3237" s="10">
        <v>44569.0</v>
      </c>
      <c r="E3237" s="4" t="s">
        <v>8980</v>
      </c>
      <c r="F3237" s="4" t="s">
        <v>331</v>
      </c>
      <c r="G3237" s="6" t="str">
        <f>IFERROR(__xludf.DUMMYFUNCTION("REGEXREPLACE(LOWER(F3237),""[^a-z\s]"","""")"),"none")</f>
        <v>none</v>
      </c>
      <c r="H3237" s="4" t="str">
        <f t="shared" si="1"/>
        <v>none</v>
      </c>
      <c r="I3237" s="6">
        <f t="shared" si="2"/>
        <v>1</v>
      </c>
      <c r="J3237" s="6">
        <f>IFERROR(__xludf.DUMMYFUNCTION("IF(H3237="""","""",
SUM(
ARRAYFORMULA(
IF(
REGEXMATCH(
"" ""&amp;H3237&amp;"" "",
"" ""&amp;Sentiment_Words!A$2:A3730&amp;"" ""
),
1,
0
)
)
)
)"),0.0)</f>
        <v>0</v>
      </c>
      <c r="K3237" s="4">
        <f>IFERROR(__xludf.DUMMYFUNCTION("IF(H3237="""","""",
SUM(
ARRAYFORMULA(
IF(
REGEXMATCH(
"" ""&amp;H3237&amp;"" "",
"" ""&amp;Sentiment_Words!B$2:B3730&amp;"" ""
),
1,
0
)
)
)
)"),0.0)</f>
        <v>0</v>
      </c>
      <c r="L3237" s="7" t="str">
        <f t="shared" si="3"/>
        <v>Other</v>
      </c>
      <c r="M3237" s="7" t="str">
        <f t="shared" si="4"/>
        <v>Neutral</v>
      </c>
      <c r="N3237" s="7" t="str">
        <f>IFERROR(__xludf.DUMMYFUNCTION("LOWER(
TRIM(
REGEXREPLACE(B3237,""[^a-zA-Z\s]"","""")
)
)
"),"ccools")</f>
        <v>ccools</v>
      </c>
      <c r="O3237" s="7">
        <f t="shared" si="5"/>
        <v>1</v>
      </c>
      <c r="P3237" s="8" t="str">
        <f t="shared" si="6"/>
        <v>No</v>
      </c>
    </row>
    <row r="3238">
      <c r="A3238" s="4" t="s">
        <v>16</v>
      </c>
      <c r="B3238" s="4" t="s">
        <v>8981</v>
      </c>
      <c r="C3238" s="9">
        <v>44569.0</v>
      </c>
      <c r="D3238" s="10">
        <v>44569.0</v>
      </c>
      <c r="E3238" s="4" t="s">
        <v>8982</v>
      </c>
      <c r="F3238" s="4" t="s">
        <v>8983</v>
      </c>
      <c r="G3238" s="6" t="str">
        <f>IFERROR(__xludf.DUMMYFUNCTION("REGEXREPLACE(LOWER(F3238),""[^a-z\s]"","""")"),"first time ordering from petflow the online ordering process was quick and easy and we received the order very promptly highly recommend pet flow")</f>
        <v>first time ordering from petflow the online ordering process was quick and easy and we received the order very promptly highly recommend pet flow</v>
      </c>
      <c r="H3238" s="4" t="str">
        <f t="shared" si="1"/>
        <v>first time ordering from petflow online ordering process was quick easy we received order very promptly highly recommend pet flow</v>
      </c>
      <c r="I3238" s="6">
        <f t="shared" si="2"/>
        <v>20</v>
      </c>
      <c r="J3238" s="6">
        <f>IFERROR(__xludf.DUMMYFUNCTION("IF(H3238="""","""",
SUM(
ARRAYFORMULA(
IF(
REGEXMATCH(
"" ""&amp;H3238&amp;"" "",
"" ""&amp;Sentiment_Words!A$2:A3730&amp;"" ""
),
1,
0
)
)
)
)"),1.0)</f>
        <v>1</v>
      </c>
      <c r="K3238" s="4">
        <f>IFERROR(__xludf.DUMMYFUNCTION("IF(H3238="""","""",
SUM(
ARRAYFORMULA(
IF(
REGEXMATCH(
"" ""&amp;H3238&amp;"" "",
"" ""&amp;Sentiment_Words!B$2:B3730&amp;"" ""
),
1,
0
)
)
)
)"),0.0)</f>
        <v>0</v>
      </c>
      <c r="L3238" s="7" t="str">
        <f t="shared" si="3"/>
        <v>Other</v>
      </c>
      <c r="M3238" s="7" t="str">
        <f t="shared" si="4"/>
        <v>Positive</v>
      </c>
      <c r="N3238" s="7" t="str">
        <f>IFERROR(__xludf.DUMMYFUNCTION("LOWER(
TRIM(
REGEXREPLACE(B3238,""[^a-zA-Z\s]"","""")
)
)
"),"myra cromer")</f>
        <v>myra cromer</v>
      </c>
      <c r="O3238" s="7">
        <f t="shared" si="5"/>
        <v>1</v>
      </c>
      <c r="P3238" s="8" t="str">
        <f t="shared" si="6"/>
        <v>No</v>
      </c>
    </row>
    <row r="3239">
      <c r="A3239" s="4" t="s">
        <v>16</v>
      </c>
      <c r="B3239" s="4" t="s">
        <v>8984</v>
      </c>
      <c r="C3239" s="9">
        <v>44568.0</v>
      </c>
      <c r="D3239" s="10">
        <v>44568.0</v>
      </c>
      <c r="E3239" s="4" t="s">
        <v>8985</v>
      </c>
      <c r="F3239" s="4" t="s">
        <v>8986</v>
      </c>
      <c r="G3239" s="6" t="str">
        <f>IFERROR(__xludf.DUMMYFUNCTION("REGEXREPLACE(LOWER(F3239),""[^a-z\s]"","""")"),"petflow has a great selection and affordable prices on a variety of dog and cat foods they ship quickly and always send notifications on the status of your order")</f>
        <v>petflow has a great selection and affordable prices on a variety of dog and cat foods they ship quickly and always send notifications on the status of your order</v>
      </c>
      <c r="H3239" s="4" t="str">
        <f t="shared" si="1"/>
        <v>petflow has a great selection affordable prices on a variety of dog cat foods they ship quickly always send notifications on status of your order</v>
      </c>
      <c r="I3239" s="6">
        <f t="shared" si="2"/>
        <v>25</v>
      </c>
      <c r="J3239" s="6">
        <f>IFERROR(__xludf.DUMMYFUNCTION("IF(H3239="""","""",
SUM(
ARRAYFORMULA(
IF(
REGEXMATCH(
"" ""&amp;H3239&amp;"" "",
"" ""&amp;Sentiment_Words!A$2:A3730&amp;"" ""
),
1,
0
)
)
)
)"),2.0)</f>
        <v>2</v>
      </c>
      <c r="K3239" s="4">
        <f>IFERROR(__xludf.DUMMYFUNCTION("IF(H3239="""","""",
SUM(
ARRAYFORMULA(
IF(
REGEXMATCH(
"" ""&amp;H3239&amp;"" "",
"" ""&amp;Sentiment_Words!B$2:B3730&amp;"" ""
),
1,
0
)
)
)
)"),0.0)</f>
        <v>0</v>
      </c>
      <c r="L3239" s="7" t="str">
        <f t="shared" si="3"/>
        <v>Other</v>
      </c>
      <c r="M3239" s="7" t="str">
        <f t="shared" si="4"/>
        <v>Positive</v>
      </c>
      <c r="N3239" s="7" t="str">
        <f>IFERROR(__xludf.DUMMYFUNCTION("LOWER(
TRIM(
REGEXREPLACE(B3239,""[^a-zA-Z\s]"","""")
)
)
"),"rita swinford")</f>
        <v>rita swinford</v>
      </c>
      <c r="O3239" s="7">
        <f t="shared" si="5"/>
        <v>1</v>
      </c>
      <c r="P3239" s="8" t="str">
        <f t="shared" si="6"/>
        <v>No</v>
      </c>
    </row>
    <row r="3240">
      <c r="A3240" s="4" t="s">
        <v>16</v>
      </c>
      <c r="B3240" s="4" t="s">
        <v>8987</v>
      </c>
      <c r="C3240" s="9">
        <v>44568.0</v>
      </c>
      <c r="D3240" s="10">
        <v>44568.0</v>
      </c>
      <c r="E3240" s="4" t="s">
        <v>8988</v>
      </c>
      <c r="F3240" s="4" t="s">
        <v>8989</v>
      </c>
      <c r="G3240" s="6" t="str">
        <f>IFERROR(__xludf.DUMMYFUNCTION("REGEXREPLACE(LOWER(F3240),""[^a-z\s]"","""")"),"ordered three bags of dog food one was delivered promptly the other almost two weeks to arrive and when it did one of the bags had opened and spilled kibble all over the box")</f>
        <v>ordered three bags of dog food one was delivered promptly the other almost two weeks to arrive and when it did one of the bags had opened and spilled kibble all over the box</v>
      </c>
      <c r="H3240" s="4" t="str">
        <f t="shared" si="1"/>
        <v>ordered three bags of dog food one was delivered promptly other almost two weeks arrive when it did one of bags had opened spilled kibble all over box</v>
      </c>
      <c r="I3240" s="6">
        <f t="shared" si="2"/>
        <v>28</v>
      </c>
      <c r="J3240" s="6">
        <f>IFERROR(__xludf.DUMMYFUNCTION("IF(H3240="""","""",
SUM(
ARRAYFORMULA(
IF(
REGEXMATCH(
"" ""&amp;H3240&amp;"" "",
"" ""&amp;Sentiment_Words!A$2:A3730&amp;"" ""
),
1,
0
)
)
)
)"),1.0)</f>
        <v>1</v>
      </c>
      <c r="K3240" s="4">
        <f>IFERROR(__xludf.DUMMYFUNCTION("IF(H3240="""","""",
SUM(
ARRAYFORMULA(
IF(
REGEXMATCH(
"" ""&amp;H3240&amp;"" "",
"" ""&amp;Sentiment_Words!B$2:B3730&amp;"" ""
),
1,
0
)
)
)
)"),0.0)</f>
        <v>0</v>
      </c>
      <c r="L3240" s="7" t="str">
        <f t="shared" si="3"/>
        <v>Other</v>
      </c>
      <c r="M3240" s="7" t="str">
        <f t="shared" si="4"/>
        <v>Positive</v>
      </c>
      <c r="N3240" s="7" t="str">
        <f>IFERROR(__xludf.DUMMYFUNCTION("LOWER(
TRIM(
REGEXREPLACE(B3240,""[^a-zA-Z\s]"","""")
)
)
"),"william wehrle")</f>
        <v>william wehrle</v>
      </c>
      <c r="O3240" s="7">
        <f t="shared" si="5"/>
        <v>1</v>
      </c>
      <c r="P3240" s="8" t="str">
        <f t="shared" si="6"/>
        <v>No</v>
      </c>
    </row>
    <row r="3241">
      <c r="A3241" s="4" t="s">
        <v>16</v>
      </c>
      <c r="B3241" s="4" t="s">
        <v>1666</v>
      </c>
      <c r="C3241" s="9">
        <v>44568.0</v>
      </c>
      <c r="D3241" s="10">
        <v>44568.0</v>
      </c>
      <c r="E3241" s="4" t="s">
        <v>8990</v>
      </c>
      <c r="F3241" s="4" t="s">
        <v>8991</v>
      </c>
      <c r="G3241" s="6" t="str">
        <f>IFERROR(__xludf.DUMMYFUNCTION("REGEXREPLACE(LOWER(F3241),""[^a-z\s]"","""")"),"ive ordered from petflow for over  years
ordered always delivered on time prices are righteous highly recommend")</f>
        <v>ive ordered from petflow for over  years
ordered always delivered on time prices are righteous highly recommend</v>
      </c>
      <c r="H3241" s="4" t="str">
        <f t="shared" si="1"/>
        <v>ive ordered from petflow over years
ordered always delivered on time prices are righteous highly recommend</v>
      </c>
      <c r="I3241" s="6">
        <f t="shared" si="2"/>
        <v>15</v>
      </c>
      <c r="J3241" s="6">
        <f>IFERROR(__xludf.DUMMYFUNCTION("IF(H3241="""","""",
SUM(
ARRAYFORMULA(
IF(
REGEXMATCH(
"" ""&amp;H3241&amp;"" "",
"" ""&amp;Sentiment_Words!A$2:A3730&amp;"" ""
),
1,
0
)
)
)
)"),2.0)</f>
        <v>2</v>
      </c>
      <c r="K3241" s="4">
        <f>IFERROR(__xludf.DUMMYFUNCTION("IF(H3241="""","""",
SUM(
ARRAYFORMULA(
IF(
REGEXMATCH(
"" ""&amp;H3241&amp;"" "",
"" ""&amp;Sentiment_Words!B$2:B3730&amp;"" ""
),
1,
0
)
)
)
)"),0.0)</f>
        <v>0</v>
      </c>
      <c r="L3241" s="7" t="str">
        <f t="shared" si="3"/>
        <v>Other</v>
      </c>
      <c r="M3241" s="7" t="str">
        <f t="shared" si="4"/>
        <v>Positive</v>
      </c>
      <c r="N3241" s="7" t="str">
        <f>IFERROR(__xludf.DUMMYFUNCTION("LOWER(
TRIM(
REGEXREPLACE(B3241,""[^a-zA-Z\s]"","""")
)
)
"),"jennifer")</f>
        <v>jennifer</v>
      </c>
      <c r="O3241" s="7">
        <f t="shared" si="5"/>
        <v>5</v>
      </c>
      <c r="P3241" s="8" t="str">
        <f t="shared" si="6"/>
        <v>Yes</v>
      </c>
    </row>
    <row r="3242">
      <c r="A3242" s="4" t="s">
        <v>16</v>
      </c>
      <c r="B3242" s="4" t="s">
        <v>8992</v>
      </c>
      <c r="C3242" s="9">
        <v>44568.0</v>
      </c>
      <c r="D3242" s="10">
        <v>44568.0</v>
      </c>
      <c r="E3242" s="4" t="s">
        <v>8993</v>
      </c>
      <c r="F3242" s="4" t="s">
        <v>8994</v>
      </c>
      <c r="G3242" s="6" t="str">
        <f>IFERROR(__xludf.DUMMYFUNCTION("REGEXREPLACE(LOWER(F3242),""[^a-z\s]"","""")"),"never did get my order and it took  days for you to let me know it was out of stock")</f>
        <v>never did get my order and it took  days for you to let me know it was out of stock</v>
      </c>
      <c r="H3242" s="4" t="str">
        <f t="shared" si="1"/>
        <v>never did get my order it took days you let me know it was out of stock</v>
      </c>
      <c r="I3242" s="6">
        <f t="shared" si="2"/>
        <v>17</v>
      </c>
      <c r="J3242" s="6">
        <f>IFERROR(__xludf.DUMMYFUNCTION("IF(H3242="""","""",
SUM(
ARRAYFORMULA(
IF(
REGEXMATCH(
"" ""&amp;H3242&amp;"" "",
"" ""&amp;Sentiment_Words!A$2:A3730&amp;"" ""
),
1,
0
)
)
)
)"),0.0)</f>
        <v>0</v>
      </c>
      <c r="K3242" s="4">
        <f>IFERROR(__xludf.DUMMYFUNCTION("IF(H3242="""","""",
SUM(
ARRAYFORMULA(
IF(
REGEXMATCH(
"" ""&amp;H3242&amp;"" "",
"" ""&amp;Sentiment_Words!B$2:B3730&amp;"" ""
),
1,
0
)
)
)
)"),1.0)</f>
        <v>1</v>
      </c>
      <c r="L3242" s="7" t="str">
        <f t="shared" si="3"/>
        <v>Availability</v>
      </c>
      <c r="M3242" s="7" t="str">
        <f t="shared" si="4"/>
        <v>Negative</v>
      </c>
      <c r="N3242" s="7" t="str">
        <f>IFERROR(__xludf.DUMMYFUNCTION("LOWER(
TRIM(
REGEXREPLACE(B3242,""[^a-zA-Z\s]"","""")
)
)
"),"joseph t")</f>
        <v>joseph t</v>
      </c>
      <c r="O3242" s="7">
        <f t="shared" si="5"/>
        <v>1</v>
      </c>
      <c r="P3242" s="8" t="str">
        <f t="shared" si="6"/>
        <v>No</v>
      </c>
    </row>
    <row r="3243">
      <c r="A3243" s="4" t="s">
        <v>16</v>
      </c>
      <c r="B3243" s="4" t="s">
        <v>8995</v>
      </c>
      <c r="C3243" s="9">
        <v>44568.0</v>
      </c>
      <c r="D3243" s="10">
        <v>44568.0</v>
      </c>
      <c r="E3243" s="4" t="s">
        <v>8996</v>
      </c>
      <c r="F3243" s="4" t="s">
        <v>8997</v>
      </c>
      <c r="G3243" s="6" t="str">
        <f>IFERROR(__xludf.DUMMYFUNCTION("REGEXREPLACE(LOWER(F3243),""[^a-z\s]"","""")"),"my dog hannah absolutely loves this new pet food she smells it from the other end of my house and comes running waiting impatiently only to devour it in no time plus the delivery was prompt thank you so much")</f>
        <v>my dog hannah absolutely loves this new pet food she smells it from the other end of my house and comes running waiting impatiently only to devour it in no time plus the delivery was prompt thank you so much</v>
      </c>
      <c r="H3243" s="4" t="str">
        <f t="shared" si="1"/>
        <v>my dog hannah absolutely loves this new pet food she smells it from other end of my house comes running waiting impatiently only devour it in no time plus delivery was prompt thank you so much</v>
      </c>
      <c r="I3243" s="6">
        <f t="shared" si="2"/>
        <v>36</v>
      </c>
      <c r="J3243" s="6">
        <f>IFERROR(__xludf.DUMMYFUNCTION("IF(H3243="""","""",
SUM(
ARRAYFORMULA(
IF(
REGEXMATCH(
"" ""&amp;H3243&amp;"" "",
"" ""&amp;Sentiment_Words!A$2:A3730&amp;"" ""
),
1,
0
)
)
)
)"),1.0)</f>
        <v>1</v>
      </c>
      <c r="K3243" s="4">
        <f>IFERROR(__xludf.DUMMYFUNCTION("IF(H3243="""","""",
SUM(
ARRAYFORMULA(
IF(
REGEXMATCH(
"" ""&amp;H3243&amp;"" "",
"" ""&amp;Sentiment_Words!B$2:B3730&amp;"" ""
),
1,
0
)
)
)
)"),0.0)</f>
        <v>0</v>
      </c>
      <c r="L3243" s="7" t="str">
        <f t="shared" si="3"/>
        <v>Other</v>
      </c>
      <c r="M3243" s="7" t="str">
        <f t="shared" si="4"/>
        <v>Positive</v>
      </c>
      <c r="N3243" s="7" t="str">
        <f>IFERROR(__xludf.DUMMYFUNCTION("LOWER(
TRIM(
REGEXREPLACE(B3243,""[^a-zA-Z\s]"","""")
)
)
"),"marcia roth")</f>
        <v>marcia roth</v>
      </c>
      <c r="O3243" s="7">
        <f t="shared" si="5"/>
        <v>1</v>
      </c>
      <c r="P3243" s="8" t="str">
        <f t="shared" si="6"/>
        <v>No</v>
      </c>
    </row>
    <row r="3244">
      <c r="A3244" s="4" t="s">
        <v>16</v>
      </c>
      <c r="B3244" s="4" t="s">
        <v>8998</v>
      </c>
      <c r="C3244" s="9">
        <v>44566.0</v>
      </c>
      <c r="D3244" s="10">
        <v>44566.0</v>
      </c>
      <c r="E3244" s="4" t="s">
        <v>8999</v>
      </c>
      <c r="F3244" s="4" t="s">
        <v>9000</v>
      </c>
      <c r="G3244" s="6" t="str">
        <f>IFERROR(__xludf.DUMMYFUNCTION("REGEXREPLACE(LOWER(F3244),""[^a-z\s]"","""")"),"very fast delivery great discount 
thanks")</f>
        <v>very fast delivery great discount 
thanks</v>
      </c>
      <c r="H3244" s="4" t="str">
        <f t="shared" si="1"/>
        <v>very fast delivery great discount 
thanks</v>
      </c>
      <c r="I3244" s="6">
        <f t="shared" si="2"/>
        <v>6</v>
      </c>
      <c r="J3244" s="6">
        <f>IFERROR(__xludf.DUMMYFUNCTION("IF(H3244="""","""",
SUM(
ARRAYFORMULA(
IF(
REGEXMATCH(
"" ""&amp;H3244&amp;"" "",
"" ""&amp;Sentiment_Words!A$2:A3730&amp;"" ""
),
1,
0
)
)
)
)"),3.0)</f>
        <v>3</v>
      </c>
      <c r="K3244" s="4">
        <f>IFERROR(__xludf.DUMMYFUNCTION("IF(H3244="""","""",
SUM(
ARRAYFORMULA(
IF(
REGEXMATCH(
"" ""&amp;H3244&amp;"" "",
"" ""&amp;Sentiment_Words!B$2:B3730&amp;"" ""
),
1,
0
)
)
)
)"),0.0)</f>
        <v>0</v>
      </c>
      <c r="L3244" s="7" t="str">
        <f t="shared" si="3"/>
        <v>Other</v>
      </c>
      <c r="M3244" s="7" t="str">
        <f t="shared" si="4"/>
        <v>Positive</v>
      </c>
      <c r="N3244" s="7" t="str">
        <f>IFERROR(__xludf.DUMMYFUNCTION("LOWER(
TRIM(
REGEXREPLACE(B3244,""[^a-zA-Z\s]"","""")
)
)
"),"connie kane")</f>
        <v>connie kane</v>
      </c>
      <c r="O3244" s="7">
        <f t="shared" si="5"/>
        <v>1</v>
      </c>
      <c r="P3244" s="8" t="str">
        <f t="shared" si="6"/>
        <v>No</v>
      </c>
    </row>
    <row r="3245">
      <c r="A3245" s="4" t="s">
        <v>16</v>
      </c>
      <c r="B3245" s="4" t="s">
        <v>9001</v>
      </c>
      <c r="C3245" s="9">
        <v>44566.0</v>
      </c>
      <c r="D3245" s="10">
        <v>44566.0</v>
      </c>
      <c r="E3245" s="4" t="s">
        <v>9002</v>
      </c>
      <c r="F3245" s="4" t="s">
        <v>9003</v>
      </c>
      <c r="G3245" s="6" t="str">
        <f>IFERROR(__xludf.DUMMYFUNCTION("REGEXREPLACE(LOWER(F3245),""[^a-z\s]"","""")"),"my order arrived on time and complete one product i wanted to order was out of stock but theres an option to get an email notification when its available which is extremely helpful")</f>
        <v>my order arrived on time and complete one product i wanted to order was out of stock but theres an option to get an email notification when its available which is extremely helpful</v>
      </c>
      <c r="H3245" s="4" t="str">
        <f t="shared" si="1"/>
        <v>my order arrived on time complete one product i wanted order was out of stock but theres an option get an email notification when its available which extremely helpful</v>
      </c>
      <c r="I3245" s="6">
        <f t="shared" si="2"/>
        <v>29</v>
      </c>
      <c r="J3245" s="6">
        <f>IFERROR(__xludf.DUMMYFUNCTION("IF(H3245="""","""",
SUM(
ARRAYFORMULA(
IF(
REGEXMATCH(
"" ""&amp;H3245&amp;"" "",
"" ""&amp;Sentiment_Words!A$2:A3730&amp;"" ""
),
1,
0
)
)
)
)"),3.0)</f>
        <v>3</v>
      </c>
      <c r="K3245" s="4">
        <f>IFERROR(__xludf.DUMMYFUNCTION("IF(H3245="""","""",
SUM(
ARRAYFORMULA(
IF(
REGEXMATCH(
"" ""&amp;H3245&amp;"" "",
"" ""&amp;Sentiment_Words!B$2:B3730&amp;"" ""
),
1,
0
)
)
)
)"),1.0)</f>
        <v>1</v>
      </c>
      <c r="L3245" s="7" t="str">
        <f t="shared" si="3"/>
        <v>Availability</v>
      </c>
      <c r="M3245" s="7" t="str">
        <f t="shared" si="4"/>
        <v>Positive</v>
      </c>
      <c r="N3245" s="7" t="str">
        <f>IFERROR(__xludf.DUMMYFUNCTION("LOWER(
TRIM(
REGEXREPLACE(B3245,""[^a-zA-Z\s]"","""")
)
)
"),"diane dugger")</f>
        <v>diane dugger</v>
      </c>
      <c r="O3245" s="7">
        <f t="shared" si="5"/>
        <v>1</v>
      </c>
      <c r="P3245" s="8" t="str">
        <f t="shared" si="6"/>
        <v>No</v>
      </c>
    </row>
    <row r="3246">
      <c r="A3246" s="4" t="s">
        <v>16</v>
      </c>
      <c r="B3246" s="4" t="s">
        <v>9004</v>
      </c>
      <c r="C3246" s="9">
        <v>44566.0</v>
      </c>
      <c r="D3246" s="10">
        <v>44566.0</v>
      </c>
      <c r="E3246" s="4" t="s">
        <v>9005</v>
      </c>
      <c r="F3246" s="4" t="s">
        <v>9006</v>
      </c>
      <c r="G3246" s="6" t="str">
        <f>IFERROR(__xludf.DUMMYFUNCTION("REGEXREPLACE(LOWER(F3246),""[^a-z\s]"","""")"),"im very happy with petflow they were great with me and my vet to get the vet to prescribe canine tds my vet was not so nice")</f>
        <v>im very happy with petflow they were great with me and my vet to get the vet to prescribe canine tds my vet was not so nice</v>
      </c>
      <c r="H3246" s="4" t="str">
        <f t="shared" si="1"/>
        <v>im very happy with petflow they were great with me my vet get vet prescribe canine tds my vet was not so nice</v>
      </c>
      <c r="I3246" s="6">
        <f t="shared" si="2"/>
        <v>23</v>
      </c>
      <c r="J3246" s="6">
        <f>IFERROR(__xludf.DUMMYFUNCTION("IF(H3246="""","""",
SUM(
ARRAYFORMULA(
IF(
REGEXMATCH(
"" ""&amp;H3246&amp;"" "",
"" ""&amp;Sentiment_Words!A$2:A3730&amp;"" ""
),
1,
0
)
)
)
)"),2.0)</f>
        <v>2</v>
      </c>
      <c r="K3246" s="4">
        <f>IFERROR(__xludf.DUMMYFUNCTION("IF(H3246="""","""",
SUM(
ARRAYFORMULA(
IF(
REGEXMATCH(
"" ""&amp;H3246&amp;"" "",
"" ""&amp;Sentiment_Words!B$2:B3730&amp;"" ""
),
1,
0
)
)
)
)"),0.0)</f>
        <v>0</v>
      </c>
      <c r="L3246" s="7" t="str">
        <f t="shared" si="3"/>
        <v>Other</v>
      </c>
      <c r="M3246" s="7" t="str">
        <f t="shared" si="4"/>
        <v>Positive</v>
      </c>
      <c r="N3246" s="7" t="str">
        <f>IFERROR(__xludf.DUMMYFUNCTION("LOWER(
TRIM(
REGEXREPLACE(B3246,""[^a-zA-Z\s]"","""")
)
)
"),"susan murphy")</f>
        <v>susan murphy</v>
      </c>
      <c r="O3246" s="7">
        <f t="shared" si="5"/>
        <v>1</v>
      </c>
      <c r="P3246" s="8" t="str">
        <f t="shared" si="6"/>
        <v>No</v>
      </c>
    </row>
    <row r="3247">
      <c r="A3247" s="4" t="s">
        <v>16</v>
      </c>
      <c r="B3247" s="4" t="s">
        <v>9007</v>
      </c>
      <c r="C3247" s="9">
        <v>44565.0</v>
      </c>
      <c r="D3247" s="10">
        <v>44565.0</v>
      </c>
      <c r="E3247" s="4" t="s">
        <v>9008</v>
      </c>
      <c r="F3247" s="4" t="s">
        <v>9009</v>
      </c>
      <c r="G3247" s="6" t="str">
        <f>IFERROR(__xludf.DUMMYFUNCTION("REGEXREPLACE(LOWER(F3247),""[^a-z\s]"","""")"),"been a customer for several years now reliable shipping and excellent email notice to help me adjust my autoship if needed excellent customer service by phone when needed")</f>
        <v>been a customer for several years now reliable shipping and excellent email notice to help me adjust my autoship if needed excellent customer service by phone when needed</v>
      </c>
      <c r="H3247" s="4" t="str">
        <f t="shared" si="1"/>
        <v>been a customer several years now reliable shipping excellent email notice help me adjust my autoship if needed excellent customer service by phone when needed</v>
      </c>
      <c r="I3247" s="6">
        <f t="shared" si="2"/>
        <v>25</v>
      </c>
      <c r="J3247" s="6">
        <f>IFERROR(__xludf.DUMMYFUNCTION("IF(H3247="""","""",
SUM(
ARRAYFORMULA(
IF(
REGEXMATCH(
"" ""&amp;H3247&amp;"" "",
"" ""&amp;Sentiment_Words!A$2:A3730&amp;"" ""
),
1,
0
)
)
)
)"),1.0)</f>
        <v>1</v>
      </c>
      <c r="K3247" s="4">
        <f>IFERROR(__xludf.DUMMYFUNCTION("IF(H3247="""","""",
SUM(
ARRAYFORMULA(
IF(
REGEXMATCH(
"" ""&amp;H3247&amp;"" "",
"" ""&amp;Sentiment_Words!B$2:B3730&amp;"" ""
),
1,
0
)
)
)
)"),1.0)</f>
        <v>1</v>
      </c>
      <c r="L3247" s="7" t="str">
        <f t="shared" si="3"/>
        <v>Customer Support</v>
      </c>
      <c r="M3247" s="7" t="str">
        <f t="shared" si="4"/>
        <v>Neutral</v>
      </c>
      <c r="N3247" s="7" t="str">
        <f>IFERROR(__xludf.DUMMYFUNCTION("LOWER(
TRIM(
REGEXREPLACE(B3247,""[^a-zA-Z\s]"","""")
)
)
"),"kathy hart")</f>
        <v>kathy hart</v>
      </c>
      <c r="O3247" s="7">
        <f t="shared" si="5"/>
        <v>1</v>
      </c>
      <c r="P3247" s="8" t="str">
        <f t="shared" si="6"/>
        <v>No</v>
      </c>
    </row>
    <row r="3248">
      <c r="A3248" s="4" t="s">
        <v>16</v>
      </c>
      <c r="B3248" s="4" t="s">
        <v>9010</v>
      </c>
      <c r="C3248" s="9">
        <v>44565.0</v>
      </c>
      <c r="D3248" s="10">
        <v>44565.0</v>
      </c>
      <c r="E3248" s="4" t="s">
        <v>9011</v>
      </c>
      <c r="F3248" s="4" t="s">
        <v>9012</v>
      </c>
      <c r="G3248" s="6" t="str">
        <f>IFERROR(__xludf.DUMMYFUNCTION("REGEXREPLACE(LOWER(F3248),""[^a-z\s]"","""")"),"out of the last ten orders three were messed up and did not deliver on time one of which required our cat sitter to go to a specialty pet shop to get food while we were on vacation")</f>
        <v>out of the last ten orders three were messed up and did not deliver on time one of which required our cat sitter to go to a specialty pet shop to get food while we were on vacation</v>
      </c>
      <c r="H3248" s="4" t="str">
        <f t="shared" si="1"/>
        <v>out of last ten orders three were messed up did not deliver on time one of which required our cat sitter go a specialty pet shop get food while we were on vacation</v>
      </c>
      <c r="I3248" s="6">
        <f t="shared" si="2"/>
        <v>33</v>
      </c>
      <c r="J3248" s="6">
        <f>IFERROR(__xludf.DUMMYFUNCTION("IF(H3248="""","""",
SUM(
ARRAYFORMULA(
IF(
REGEXMATCH(
"" ""&amp;H3248&amp;"" "",
"" ""&amp;Sentiment_Words!A$2:A3730&amp;"" ""
),
1,
0
)
)
)
)"),1.0)</f>
        <v>1</v>
      </c>
      <c r="K3248" s="4">
        <f>IFERROR(__xludf.DUMMYFUNCTION("IF(H3248="""","""",
SUM(
ARRAYFORMULA(
IF(
REGEXMATCH(
"" ""&amp;H3248&amp;"" "",
"" ""&amp;Sentiment_Words!B$2:B3730&amp;"" ""
),
1,
0
)
)
)
)"),0.0)</f>
        <v>0</v>
      </c>
      <c r="L3248" s="7" t="str">
        <f t="shared" si="3"/>
        <v>Other</v>
      </c>
      <c r="M3248" s="7" t="str">
        <f t="shared" si="4"/>
        <v>Positive</v>
      </c>
      <c r="N3248" s="7" t="str">
        <f>IFERROR(__xludf.DUMMYFUNCTION("LOWER(
TRIM(
REGEXREPLACE(B3248,""[^a-zA-Z\s]"","""")
)
)
"),"lisa belajac")</f>
        <v>lisa belajac</v>
      </c>
      <c r="O3248" s="7">
        <f t="shared" si="5"/>
        <v>1</v>
      </c>
      <c r="P3248" s="8" t="str">
        <f t="shared" si="6"/>
        <v>No</v>
      </c>
    </row>
    <row r="3249">
      <c r="A3249" s="4" t="s">
        <v>16</v>
      </c>
      <c r="B3249" s="4" t="s">
        <v>9013</v>
      </c>
      <c r="C3249" s="9">
        <v>44565.0</v>
      </c>
      <c r="D3249" s="10">
        <v>44565.0</v>
      </c>
      <c r="E3249" s="4" t="s">
        <v>7636</v>
      </c>
      <c r="F3249" s="4" t="s">
        <v>9014</v>
      </c>
      <c r="G3249" s="6" t="str">
        <f>IFERROR(__xludf.DUMMYFUNCTION("REGEXREPLACE(LOWER(F3249),""[^a-z\s]"","""")"),"my recent order was delayed due to weather and the shipping company when i spoke with the petflow customer service they were helpful tracking the package and keeping me posted on when it would be received i appreciate this help")</f>
        <v>my recent order was delayed due to weather and the shipping company when i spoke with the petflow customer service they were helpful tracking the package and keeping me posted on when it would be received i appreciate this help</v>
      </c>
      <c r="H3249" s="4" t="str">
        <f t="shared" si="1"/>
        <v>my recent order was delayed due weather shipping company when i spoke with petflow customer service they were helpful tracking package keeping me posted on when it would be received i appreciate this help</v>
      </c>
      <c r="I3249" s="6">
        <f t="shared" si="2"/>
        <v>34</v>
      </c>
      <c r="J3249" s="6">
        <f>IFERROR(__xludf.DUMMYFUNCTION("IF(H3249="""","""",
SUM(
ARRAYFORMULA(
IF(
REGEXMATCH(
"" ""&amp;H3249&amp;"" "",
"" ""&amp;Sentiment_Words!A$2:A3730&amp;"" ""
),
1,
0
)
)
)
)"),1.0)</f>
        <v>1</v>
      </c>
      <c r="K3249" s="4">
        <f>IFERROR(__xludf.DUMMYFUNCTION("IF(H3249="""","""",
SUM(
ARRAYFORMULA(
IF(
REGEXMATCH(
"" ""&amp;H3249&amp;"" "",
"" ""&amp;Sentiment_Words!B$2:B3730&amp;"" ""
),
1,
0
)
)
)
)"),2.0)</f>
        <v>2</v>
      </c>
      <c r="L3249" s="7" t="str">
        <f t="shared" si="3"/>
        <v>Customer Support</v>
      </c>
      <c r="M3249" s="7" t="str">
        <f t="shared" si="4"/>
        <v>Negative</v>
      </c>
      <c r="N3249" s="7" t="str">
        <f>IFERROR(__xludf.DUMMYFUNCTION("LOWER(
TRIM(
REGEXREPLACE(B3249,""[^a-zA-Z\s]"","""")
)
)
"),"miles kudo")</f>
        <v>miles kudo</v>
      </c>
      <c r="O3249" s="7">
        <f t="shared" si="5"/>
        <v>1</v>
      </c>
      <c r="P3249" s="8" t="str">
        <f t="shared" si="6"/>
        <v>No</v>
      </c>
    </row>
    <row r="3250">
      <c r="A3250" s="4" t="s">
        <v>16</v>
      </c>
      <c r="B3250" s="4" t="s">
        <v>9015</v>
      </c>
      <c r="C3250" s="9">
        <v>44565.0</v>
      </c>
      <c r="D3250" s="10">
        <v>44565.0</v>
      </c>
      <c r="E3250" s="4" t="s">
        <v>9016</v>
      </c>
      <c r="F3250" s="4" t="s">
        <v>9017</v>
      </c>
      <c r="G3250" s="6" t="str">
        <f>IFERROR(__xludf.DUMMYFUNCTION("REGEXREPLACE(LOWER(F3250),""[^a-z\s]"","""")"),"i didnt get my delivery but when i talked to the customer service man we discovered i hadnt changed my address at petflow since i moved in may it got sent to the old house but he went ahead and sent a replacement to my new address he was very kind even wh"&amp;"en it was my fault")</f>
        <v>i didnt get my delivery but when i talked to the customer service man we discovered i hadnt changed my address at petflow since i moved in may it got sent to the old house but he went ahead and sent a replacement to my new address he was very kind even when it was my fault</v>
      </c>
      <c r="H3250" s="4" t="str">
        <f t="shared" si="1"/>
        <v>i didnt get my delivery but when i talked customer service man we discovered i hadnt changed my address at petflow since i moved in may it got sent old house but he went ahead sent a replacement my new address he was very kind even when it was my fault</v>
      </c>
      <c r="I3250" s="6">
        <f t="shared" si="2"/>
        <v>51</v>
      </c>
      <c r="J3250" s="6">
        <f>IFERROR(__xludf.DUMMYFUNCTION("IF(H3250="""","""",
SUM(
ARRAYFORMULA(
IF(
REGEXMATCH(
"" ""&amp;H3250&amp;"" "",
"" ""&amp;Sentiment_Words!A$2:A3730&amp;"" ""
),
1,
0
)
)
)
)"),0.0)</f>
        <v>0</v>
      </c>
      <c r="K3250" s="4">
        <f>IFERROR(__xludf.DUMMYFUNCTION("IF(H3250="""","""",
SUM(
ARRAYFORMULA(
IF(
REGEXMATCH(
"" ""&amp;H3250&amp;"" "",
"" ""&amp;Sentiment_Words!B$2:B3730&amp;"" ""
),
1,
0
)
)
)
)"),1.0)</f>
        <v>1</v>
      </c>
      <c r="L3250" s="7" t="str">
        <f t="shared" si="3"/>
        <v>Customer Support</v>
      </c>
      <c r="M3250" s="7" t="str">
        <f t="shared" si="4"/>
        <v>Negative</v>
      </c>
      <c r="N3250" s="7" t="str">
        <f>IFERROR(__xludf.DUMMYFUNCTION("LOWER(
TRIM(
REGEXREPLACE(B3250,""[^a-zA-Z\s]"","""")
)
)
"),"ah")</f>
        <v>ah</v>
      </c>
      <c r="O3250" s="7">
        <f t="shared" si="5"/>
        <v>1</v>
      </c>
      <c r="P3250" s="8" t="str">
        <f t="shared" si="6"/>
        <v>No</v>
      </c>
    </row>
    <row r="3251">
      <c r="A3251" s="4" t="s">
        <v>16</v>
      </c>
      <c r="B3251" s="4" t="s">
        <v>9018</v>
      </c>
      <c r="C3251" s="9">
        <v>44564.0</v>
      </c>
      <c r="D3251" s="10">
        <v>44565.0</v>
      </c>
      <c r="E3251" s="4" t="s">
        <v>9019</v>
      </c>
      <c r="F3251" s="4" t="s">
        <v>9020</v>
      </c>
      <c r="G3251" s="6" t="str">
        <f>IFERROR(__xludf.DUMMYFUNCTION("REGEXREPLACE(LOWER(F3251),""[^a-z\s]"","""")"),"i have received numerous orders from this company and they are always accurate and timely thats why i will continue to order from them")</f>
        <v>i have received numerous orders from this company and they are always accurate and timely thats why i will continue to order from them</v>
      </c>
      <c r="H3251" s="4" t="str">
        <f t="shared" si="1"/>
        <v>i have received numerous orders from this company they are always accurate timely thats why i will continue order from them</v>
      </c>
      <c r="I3251" s="6">
        <f t="shared" si="2"/>
        <v>21</v>
      </c>
      <c r="J3251" s="6">
        <f>IFERROR(__xludf.DUMMYFUNCTION("IF(H3251="""","""",
SUM(
ARRAYFORMULA(
IF(
REGEXMATCH(
"" ""&amp;H3251&amp;"" "",
"" ""&amp;Sentiment_Words!A$2:A3730&amp;"" ""
),
1,
0
)
)
)
)"),0.0)</f>
        <v>0</v>
      </c>
      <c r="K3251" s="4">
        <f>IFERROR(__xludf.DUMMYFUNCTION("IF(H3251="""","""",
SUM(
ARRAYFORMULA(
IF(
REGEXMATCH(
"" ""&amp;H3251&amp;"" "",
"" ""&amp;Sentiment_Words!B$2:B3730&amp;"" ""
),
1,
0
)
)
)
)"),0.0)</f>
        <v>0</v>
      </c>
      <c r="L3251" s="7" t="str">
        <f t="shared" si="3"/>
        <v>Other</v>
      </c>
      <c r="M3251" s="7" t="str">
        <f t="shared" si="4"/>
        <v>Neutral</v>
      </c>
      <c r="N3251" s="7" t="str">
        <f>IFERROR(__xludf.DUMMYFUNCTION("LOWER(
TRIM(
REGEXREPLACE(B3251,""[^a-zA-Z\s]"","""")
)
)
"),"deborah pines")</f>
        <v>deborah pines</v>
      </c>
      <c r="O3251" s="7">
        <f t="shared" si="5"/>
        <v>1</v>
      </c>
      <c r="P3251" s="8" t="str">
        <f t="shared" si="6"/>
        <v>No</v>
      </c>
    </row>
    <row r="3252">
      <c r="A3252" s="4" t="s">
        <v>16</v>
      </c>
      <c r="B3252" s="4" t="s">
        <v>9021</v>
      </c>
      <c r="C3252" s="9">
        <v>44564.0</v>
      </c>
      <c r="D3252" s="10">
        <v>44564.0</v>
      </c>
      <c r="E3252" s="4" t="s">
        <v>9022</v>
      </c>
      <c r="F3252" s="4" t="s">
        <v>9023</v>
      </c>
      <c r="G3252" s="6" t="str">
        <f>IFERROR(__xludf.DUMMYFUNCTION("REGEXREPLACE(LOWER(F3252),""[^a-z\s]"","""")"),"quick response to my order with delivery time kept me updated")</f>
        <v>quick response to my order with delivery time kept me updated</v>
      </c>
      <c r="H3252" s="4" t="str">
        <f t="shared" si="1"/>
        <v>quick response my order with delivery time kept me updated</v>
      </c>
      <c r="I3252" s="6">
        <f t="shared" si="2"/>
        <v>10</v>
      </c>
      <c r="J3252" s="6">
        <f>IFERROR(__xludf.DUMMYFUNCTION("IF(H3252="""","""",
SUM(
ARRAYFORMULA(
IF(
REGEXMATCH(
"" ""&amp;H3252&amp;"" "",
"" ""&amp;Sentiment_Words!A$2:A3730&amp;"" ""
),
1,
0
)
)
)
)"),0.0)</f>
        <v>0</v>
      </c>
      <c r="K3252" s="4">
        <f>IFERROR(__xludf.DUMMYFUNCTION("IF(H3252="""","""",
SUM(
ARRAYFORMULA(
IF(
REGEXMATCH(
"" ""&amp;H3252&amp;"" "",
"" ""&amp;Sentiment_Words!B$2:B3730&amp;"" ""
),
1,
0
)
)
)
)"),0.0)</f>
        <v>0</v>
      </c>
      <c r="L3252" s="7" t="str">
        <f t="shared" si="3"/>
        <v>Other</v>
      </c>
      <c r="M3252" s="7" t="str">
        <f t="shared" si="4"/>
        <v>Neutral</v>
      </c>
      <c r="N3252" s="7" t="str">
        <f>IFERROR(__xludf.DUMMYFUNCTION("LOWER(
TRIM(
REGEXREPLACE(B3252,""[^a-zA-Z\s]"","""")
)
)
"),"charlene stewart")</f>
        <v>charlene stewart</v>
      </c>
      <c r="O3252" s="7">
        <f t="shared" si="5"/>
        <v>1</v>
      </c>
      <c r="P3252" s="8" t="str">
        <f t="shared" si="6"/>
        <v>No</v>
      </c>
    </row>
    <row r="3253">
      <c r="A3253" s="4" t="s">
        <v>16</v>
      </c>
      <c r="B3253" s="4" t="s">
        <v>9024</v>
      </c>
      <c r="C3253" s="9">
        <v>44563.0</v>
      </c>
      <c r="D3253" s="10">
        <v>44564.0</v>
      </c>
      <c r="E3253" s="4" t="s">
        <v>9025</v>
      </c>
      <c r="F3253" s="4" t="s">
        <v>9026</v>
      </c>
      <c r="G3253" s="6" t="str">
        <f>IFERROR(__xludf.DUMMYFUNCTION("REGEXREPLACE(LOWER(F3253),""[^a-z\s]"","""")"),"my order came in good time i have been unable to locate hill science diet food through my usual sources however petflow came through with flying colors not only was i able to obtain some of the wet food i normally feed my cats but i was able to obtain com"&amp;"parable choices from other suppliers kudos to petflow")</f>
        <v>my order came in good time i have been unable to locate hill science diet food through my usual sources however petflow came through with flying colors not only was i able to obtain some of the wet food i normally feed my cats but i was able to obtain comparable choices from other suppliers kudos to petflow</v>
      </c>
      <c r="H3253" s="4" t="str">
        <f t="shared" si="1"/>
        <v>my order came in good time i have been unable locate hill science diet food through my usual sources however petflow came through with flying colors not only was i able obtain some of wet food i normally feed my cats but i was able obtain comparable choices from other suppliers kudos petflow</v>
      </c>
      <c r="I3253" s="6">
        <f t="shared" si="2"/>
        <v>53</v>
      </c>
      <c r="J3253" s="6">
        <f>IFERROR(__xludf.DUMMYFUNCTION("IF(H3253="""","""",
SUM(
ARRAYFORMULA(
IF(
REGEXMATCH(
"" ""&amp;H3253&amp;"" "",
"" ""&amp;Sentiment_Words!A$2:A3730&amp;"" ""
),
1,
0
)
)
)
)"),2.0)</f>
        <v>2</v>
      </c>
      <c r="K3253" s="4">
        <f>IFERROR(__xludf.DUMMYFUNCTION("IF(H3253="""","""",
SUM(
ARRAYFORMULA(
IF(
REGEXMATCH(
"" ""&amp;H3253&amp;"" "",
"" ""&amp;Sentiment_Words!B$2:B3730&amp;"" ""
),
1,
0
)
)
)
)"),0.0)</f>
        <v>0</v>
      </c>
      <c r="L3253" s="7" t="str">
        <f t="shared" si="3"/>
        <v>Other</v>
      </c>
      <c r="M3253" s="7" t="str">
        <f t="shared" si="4"/>
        <v>Positive</v>
      </c>
      <c r="N3253" s="7" t="str">
        <f>IFERROR(__xludf.DUMMYFUNCTION("LOWER(
TRIM(
REGEXREPLACE(B3253,""[^a-zA-Z\s]"","""")
)
)
"),"jazan")</f>
        <v>jazan</v>
      </c>
      <c r="O3253" s="7">
        <f t="shared" si="5"/>
        <v>1</v>
      </c>
      <c r="P3253" s="8" t="str">
        <f t="shared" si="6"/>
        <v>No</v>
      </c>
    </row>
    <row r="3254">
      <c r="A3254" s="4" t="s">
        <v>16</v>
      </c>
      <c r="B3254" s="4" t="s">
        <v>9027</v>
      </c>
      <c r="C3254" s="9">
        <v>44563.0</v>
      </c>
      <c r="D3254" s="10">
        <v>44564.0</v>
      </c>
      <c r="E3254" s="4" t="s">
        <v>9028</v>
      </c>
      <c r="F3254" s="4" t="s">
        <v>9029</v>
      </c>
      <c r="G3254" s="6" t="str">
        <f>IFERROR(__xludf.DUMMYFUNCTION("REGEXREPLACE(LOWER(F3254),""[^a-z\s]"","""")"),"very good company with a wide selection of products timely delivery and easy to order i like this site very much")</f>
        <v>very good company with a wide selection of products timely delivery and easy to order i like this site very much</v>
      </c>
      <c r="H3254" s="4" t="str">
        <f t="shared" si="1"/>
        <v>very good company with a wide selection of products timely delivery easy order i like this site very much</v>
      </c>
      <c r="I3254" s="6">
        <f t="shared" si="2"/>
        <v>19</v>
      </c>
      <c r="J3254" s="6">
        <f>IFERROR(__xludf.DUMMYFUNCTION("IF(H3254="""","""",
SUM(
ARRAYFORMULA(
IF(
REGEXMATCH(
"" ""&amp;H3254&amp;"" "",
"" ""&amp;Sentiment_Words!A$2:A3730&amp;"" ""
),
1,
0
)
)
)
)"),2.0)</f>
        <v>2</v>
      </c>
      <c r="K3254" s="4">
        <f>IFERROR(__xludf.DUMMYFUNCTION("IF(H3254="""","""",
SUM(
ARRAYFORMULA(
IF(
REGEXMATCH(
"" ""&amp;H3254&amp;"" "",
"" ""&amp;Sentiment_Words!B$2:B3730&amp;"" ""
),
1,
0
)
)
)
)"),0.0)</f>
        <v>0</v>
      </c>
      <c r="L3254" s="7" t="str">
        <f t="shared" si="3"/>
        <v>Other</v>
      </c>
      <c r="M3254" s="7" t="str">
        <f t="shared" si="4"/>
        <v>Positive</v>
      </c>
      <c r="N3254" s="7" t="str">
        <f>IFERROR(__xludf.DUMMYFUNCTION("LOWER(
TRIM(
REGEXREPLACE(B3254,""[^a-zA-Z\s]"","""")
)
)
"),"leila")</f>
        <v>leila</v>
      </c>
      <c r="O3254" s="7">
        <f t="shared" si="5"/>
        <v>1</v>
      </c>
      <c r="P3254" s="8" t="str">
        <f t="shared" si="6"/>
        <v>No</v>
      </c>
    </row>
    <row r="3255">
      <c r="A3255" s="4" t="s">
        <v>16</v>
      </c>
      <c r="B3255" s="4" t="s">
        <v>4659</v>
      </c>
      <c r="C3255" s="9">
        <v>44563.0</v>
      </c>
      <c r="D3255" s="10">
        <v>44563.0</v>
      </c>
      <c r="E3255" s="4" t="s">
        <v>9030</v>
      </c>
      <c r="F3255" s="4" t="s">
        <v>9031</v>
      </c>
      <c r="G3255" s="6" t="str">
        <f>IFERROR(__xludf.DUMMYFUNCTION("REGEXREPLACE(LOWER(F3255),""[^a-z\s]"","""")"),"great selection of product i have always found my selections in stock deliver is unbelievably fast")</f>
        <v>great selection of product i have always found my selections in stock deliver is unbelievably fast</v>
      </c>
      <c r="H3255" s="4" t="str">
        <f t="shared" si="1"/>
        <v>great selection of product i have always found my selections in stock deliver unbelievably fast</v>
      </c>
      <c r="I3255" s="6">
        <f t="shared" si="2"/>
        <v>15</v>
      </c>
      <c r="J3255" s="6">
        <f>IFERROR(__xludf.DUMMYFUNCTION("IF(H3255="""","""",
SUM(
ARRAYFORMULA(
IF(
REGEXMATCH(
"" ""&amp;H3255&amp;"" "",
"" ""&amp;Sentiment_Words!A$2:A3730&amp;"" ""
),
1,
0
)
)
)
)"),3.0)</f>
        <v>3</v>
      </c>
      <c r="K3255" s="4">
        <f>IFERROR(__xludf.DUMMYFUNCTION("IF(H3255="""","""",
SUM(
ARRAYFORMULA(
IF(
REGEXMATCH(
"" ""&amp;H3255&amp;"" "",
"" ""&amp;Sentiment_Words!B$2:B3730&amp;"" ""
),
1,
0
)
)
)
)"),0.0)</f>
        <v>0</v>
      </c>
      <c r="L3255" s="7" t="str">
        <f t="shared" si="3"/>
        <v>Other</v>
      </c>
      <c r="M3255" s="7" t="str">
        <f t="shared" si="4"/>
        <v>Positive</v>
      </c>
      <c r="N3255" s="7" t="str">
        <f>IFERROR(__xludf.DUMMYFUNCTION("LOWER(
TRIM(
REGEXREPLACE(B3255,""[^a-zA-Z\s]"","""")
)
)
"),"carol")</f>
        <v>carol</v>
      </c>
      <c r="O3255" s="7">
        <f t="shared" si="5"/>
        <v>8</v>
      </c>
      <c r="P3255" s="8" t="str">
        <f t="shared" si="6"/>
        <v>Yes</v>
      </c>
    </row>
    <row r="3256">
      <c r="A3256" s="4" t="s">
        <v>16</v>
      </c>
      <c r="B3256" s="4" t="s">
        <v>9032</v>
      </c>
      <c r="C3256" s="9">
        <v>44563.0</v>
      </c>
      <c r="D3256" s="10">
        <v>44563.0</v>
      </c>
      <c r="E3256" s="4" t="s">
        <v>9033</v>
      </c>
      <c r="F3256" s="4" t="s">
        <v>9034</v>
      </c>
      <c r="G3256" s="6" t="str">
        <f>IFERROR(__xludf.DUMMYFUNCTION("REGEXREPLACE(LOWER(F3256),""[^a-z\s]"","""")"),"coupons never are useable for purchase of fromm dog food
delivery is by fedex in a word fedex is lousy i realize this is another company but they are making petflow look bad and they chose them")</f>
        <v>coupons never are useable for purchase of fromm dog food
delivery is by fedex in a word fedex is lousy i realize this is another company but they are making petflow look bad and they chose them</v>
      </c>
      <c r="H3256" s="4" t="str">
        <f t="shared" si="1"/>
        <v>coupons never are useable purchase of fromm dog food
delivery by fedex in a word fedex lousy i realize this another company but they are making petflow look bad they chose them</v>
      </c>
      <c r="I3256" s="6">
        <f t="shared" si="2"/>
        <v>31</v>
      </c>
      <c r="J3256" s="6">
        <f>IFERROR(__xludf.DUMMYFUNCTION("IF(H3256="""","""",
SUM(
ARRAYFORMULA(
IF(
REGEXMATCH(
"" ""&amp;H3256&amp;"" "",
"" ""&amp;Sentiment_Words!A$2:A3730&amp;"" ""
),
1,
0
)
)
)
)"),0.0)</f>
        <v>0</v>
      </c>
      <c r="K3256" s="4">
        <f>IFERROR(__xludf.DUMMYFUNCTION("IF(H3256="""","""",
SUM(
ARRAYFORMULA(
IF(
REGEXMATCH(
"" ""&amp;H3256&amp;"" "",
"" ""&amp;Sentiment_Words!B$2:B3730&amp;"" ""
),
1,
0
)
)
)
)"),0.0)</f>
        <v>0</v>
      </c>
      <c r="L3256" s="7" t="str">
        <f t="shared" si="3"/>
        <v>Other</v>
      </c>
      <c r="M3256" s="7" t="str">
        <f t="shared" si="4"/>
        <v>Neutral</v>
      </c>
      <c r="N3256" s="7" t="str">
        <f>IFERROR(__xludf.DUMMYFUNCTION("LOWER(
TRIM(
REGEXREPLACE(B3256,""[^a-zA-Z\s]"","""")
)
)
"),"debb")</f>
        <v>debb</v>
      </c>
      <c r="O3256" s="7">
        <f t="shared" si="5"/>
        <v>1</v>
      </c>
      <c r="P3256" s="8" t="str">
        <f t="shared" si="6"/>
        <v>No</v>
      </c>
    </row>
    <row r="3257">
      <c r="A3257" s="4" t="s">
        <v>16</v>
      </c>
      <c r="B3257" s="4" t="s">
        <v>9035</v>
      </c>
      <c r="C3257" s="9">
        <v>44563.0</v>
      </c>
      <c r="D3257" s="10">
        <v>44563.0</v>
      </c>
      <c r="E3257" s="4" t="s">
        <v>9036</v>
      </c>
      <c r="F3257" s="4" t="s">
        <v>9037</v>
      </c>
      <c r="G3257" s="6" t="str">
        <f>IFERROR(__xludf.DUMMYFUNCTION("REGEXREPLACE(LOWER(F3257),""[^a-z\s]"","""")"),"my buddy loves the treats from petflow on my last order one item he dearly loves was left off because it was out of stock to my surprise when petflows new shipment arrived they sent the item sopleased never has that happen with any company that is strictl"&amp;"y for pets before")</f>
        <v>my buddy loves the treats from petflow on my last order one item he dearly loves was left off because it was out of stock to my surprise when petflows new shipment arrived they sent the item sopleased never has that happen with any company that is strictly for pets before</v>
      </c>
      <c r="H3257" s="4" t="str">
        <f t="shared" si="1"/>
        <v>my buddy loves treats from petflow on my last order one item he dearly loves was left off because it was out of stock my surprise when petflows new shipment arrived they sent item sopleased never has that happen with any company that strictly pets before</v>
      </c>
      <c r="I3257" s="6">
        <f t="shared" si="2"/>
        <v>46</v>
      </c>
      <c r="J3257" s="6">
        <f>IFERROR(__xludf.DUMMYFUNCTION("IF(H3257="""","""",
SUM(
ARRAYFORMULA(
IF(
REGEXMATCH(
"" ""&amp;H3257&amp;"" "",
"" ""&amp;Sentiment_Words!A$2:A3730&amp;"" ""
),
1,
0
)
)
)
)"),0.0)</f>
        <v>0</v>
      </c>
      <c r="K3257" s="4">
        <f>IFERROR(__xludf.DUMMYFUNCTION("IF(H3257="""","""",
SUM(
ARRAYFORMULA(
IF(
REGEXMATCH(
"" ""&amp;H3257&amp;"" "",
"" ""&amp;Sentiment_Words!B$2:B3730&amp;"" ""
),
1,
0
)
)
)
)"),1.0)</f>
        <v>1</v>
      </c>
      <c r="L3257" s="7" t="str">
        <f t="shared" si="3"/>
        <v>Availability</v>
      </c>
      <c r="M3257" s="7" t="str">
        <f t="shared" si="4"/>
        <v>Negative</v>
      </c>
      <c r="N3257" s="7" t="str">
        <f>IFERROR(__xludf.DUMMYFUNCTION("LOWER(
TRIM(
REGEXREPLACE(B3257,""[^a-zA-Z\s]"","""")
)
)
"),"gordon")</f>
        <v>gordon</v>
      </c>
      <c r="O3257" s="7">
        <f t="shared" si="5"/>
        <v>1</v>
      </c>
      <c r="P3257" s="8" t="str">
        <f t="shared" si="6"/>
        <v>No</v>
      </c>
    </row>
    <row r="3258">
      <c r="A3258" s="4" t="s">
        <v>16</v>
      </c>
      <c r="B3258" s="4" t="s">
        <v>9038</v>
      </c>
      <c r="C3258" s="9">
        <v>44562.0</v>
      </c>
      <c r="D3258" s="10">
        <v>44563.0</v>
      </c>
      <c r="E3258" s="4" t="s">
        <v>9039</v>
      </c>
      <c r="F3258" s="4" t="s">
        <v>9040</v>
      </c>
      <c r="G3258" s="6" t="str">
        <f>IFERROR(__xludf.DUMMYFUNCTION("REGEXREPLACE(LOWER(F3258),""[^a-z\s]"","""")"),"competitive prices great delivery honest and trustworthy")</f>
        <v>competitive prices great delivery honest and trustworthy</v>
      </c>
      <c r="H3258" s="4" t="str">
        <f t="shared" si="1"/>
        <v>competitive prices great delivery honest trustworthy</v>
      </c>
      <c r="I3258" s="6">
        <f t="shared" si="2"/>
        <v>6</v>
      </c>
      <c r="J3258" s="6">
        <f>IFERROR(__xludf.DUMMYFUNCTION("IF(H3258="""","""",
SUM(
ARRAYFORMULA(
IF(
REGEXMATCH(
"" ""&amp;H3258&amp;"" "",
"" ""&amp;Sentiment_Words!A$2:A3730&amp;"" ""
),
1,
0
)
)
)
)"),1.0)</f>
        <v>1</v>
      </c>
      <c r="K3258" s="4">
        <f>IFERROR(__xludf.DUMMYFUNCTION("IF(H3258="""","""",
SUM(
ARRAYFORMULA(
IF(
REGEXMATCH(
"" ""&amp;H3258&amp;"" "",
"" ""&amp;Sentiment_Words!B$2:B3730&amp;"" ""
),
1,
0
)
)
)
)"),0.0)</f>
        <v>0</v>
      </c>
      <c r="L3258" s="7" t="str">
        <f t="shared" si="3"/>
        <v>Trust &amp; Experience</v>
      </c>
      <c r="M3258" s="7" t="str">
        <f t="shared" si="4"/>
        <v>Positive</v>
      </c>
      <c r="N3258" s="7" t="str">
        <f>IFERROR(__xludf.DUMMYFUNCTION("LOWER(
TRIM(
REGEXREPLACE(B3258,""[^a-zA-Z\s]"","""")
)
)
"),"buddys mom")</f>
        <v>buddys mom</v>
      </c>
      <c r="O3258" s="7">
        <f t="shared" si="5"/>
        <v>1</v>
      </c>
      <c r="P3258" s="8" t="str">
        <f t="shared" si="6"/>
        <v>No</v>
      </c>
    </row>
    <row r="3259">
      <c r="A3259" s="4" t="s">
        <v>16</v>
      </c>
      <c r="B3259" s="4" t="s">
        <v>9041</v>
      </c>
      <c r="C3259" s="9">
        <v>44562.0</v>
      </c>
      <c r="D3259" s="10">
        <v>44563.0</v>
      </c>
      <c r="E3259" s="4" t="s">
        <v>9042</v>
      </c>
      <c r="F3259" s="4" t="s">
        <v>9043</v>
      </c>
      <c r="G3259" s="6" t="str">
        <f>IFERROR(__xludf.DUMMYFUNCTION("REGEXREPLACE(LOWER(F3259),""[^a-z\s]"","""")"),"overflow consistently delivers high quality cat food to my house what could be better")</f>
        <v>overflow consistently delivers high quality cat food to my house what could be better</v>
      </c>
      <c r="H3259" s="4" t="str">
        <f t="shared" si="1"/>
        <v>overflow consistently delivers high quality cat food my house what could be better</v>
      </c>
      <c r="I3259" s="6">
        <f t="shared" si="2"/>
        <v>13</v>
      </c>
      <c r="J3259" s="6">
        <f>IFERROR(__xludf.DUMMYFUNCTION("IF(H3259="""","""",
SUM(
ARRAYFORMULA(
IF(
REGEXMATCH(
"" ""&amp;H3259&amp;"" "",
"" ""&amp;Sentiment_Words!A$2:A3730&amp;"" ""
),
1,
0
)
)
)
)"),0.0)</f>
        <v>0</v>
      </c>
      <c r="K3259" s="4">
        <f>IFERROR(__xludf.DUMMYFUNCTION("IF(H3259="""","""",
SUM(
ARRAYFORMULA(
IF(
REGEXMATCH(
"" ""&amp;H3259&amp;"" "",
"" ""&amp;Sentiment_Words!B$2:B3730&amp;"" ""
),
1,
0
)
)
)
)"),0.0)</f>
        <v>0</v>
      </c>
      <c r="L3259" s="7" t="str">
        <f t="shared" si="3"/>
        <v>Other</v>
      </c>
      <c r="M3259" s="7" t="str">
        <f t="shared" si="4"/>
        <v>Neutral</v>
      </c>
      <c r="N3259" s="7" t="str">
        <f>IFERROR(__xludf.DUMMYFUNCTION("LOWER(
TRIM(
REGEXREPLACE(B3259,""[^a-zA-Z\s]"","""")
)
)
"),"selena g matelich")</f>
        <v>selena g matelich</v>
      </c>
      <c r="O3259" s="7">
        <f t="shared" si="5"/>
        <v>1</v>
      </c>
      <c r="P3259" s="8" t="str">
        <f t="shared" si="6"/>
        <v>No</v>
      </c>
    </row>
    <row r="3260">
      <c r="A3260" s="4" t="s">
        <v>16</v>
      </c>
      <c r="B3260" s="4" t="s">
        <v>9044</v>
      </c>
      <c r="C3260" s="9">
        <v>44562.0</v>
      </c>
      <c r="D3260" s="10">
        <v>44562.0</v>
      </c>
      <c r="E3260" s="4" t="s">
        <v>9045</v>
      </c>
      <c r="F3260" s="4" t="s">
        <v>9046</v>
      </c>
      <c r="G3260" s="6" t="str">
        <f>IFERROR(__xludf.DUMMYFUNCTION("REGEXREPLACE(LOWER(F3260),""[^a-z\s]"","""")"),"my cat passed away unexpectedly a couple days after ordering her prescription food online i contacted customer service via text  very convenient option they were not able to return the food because it had already shipped but when i shared my situation the"&amp;"y refunded my money and told me to donate the food to a local animal shelter which i did the kindness and sympathy that the person on the other end of my texts really meant a lot to me customer for life thank you again i am very grateful")</f>
        <v>my cat passed away unexpectedly a couple days after ordering her prescription food online i contacted customer service via text  very convenient option they were not able to return the food because it had already shipped but when i shared my situation they refunded my money and told me to donate the food to a local animal shelter which i did the kindness and sympathy that the person on the other end of my texts really meant a lot to me customer for life thank you again i am very grateful</v>
      </c>
      <c r="H3260" s="4" t="str">
        <f t="shared" si="1"/>
        <v>my cat passed away unexpectedly a couple days after ordering her prescription food online i contacted customer service via text very convenient option they were not able return food because it had already shipped but when i shared my situation they refunded my money told me donate food a local animal shelter which i did kindness sympathy that person on other end of my texts really meant a lot me customer life thank you again i am very grateful</v>
      </c>
      <c r="I3260" s="6">
        <f t="shared" si="2"/>
        <v>79</v>
      </c>
      <c r="J3260" s="6">
        <f>IFERROR(__xludf.DUMMYFUNCTION("IF(H3260="""","""",
SUM(
ARRAYFORMULA(
IF(
REGEXMATCH(
"" ""&amp;H3260&amp;"" "",
"" ""&amp;Sentiment_Words!A$2:A3730&amp;"" ""
),
1,
0
)
)
)
)"),2.0)</f>
        <v>2</v>
      </c>
      <c r="K3260" s="4">
        <f>IFERROR(__xludf.DUMMYFUNCTION("IF(H3260="""","""",
SUM(
ARRAYFORMULA(
IF(
REGEXMATCH(
"" ""&amp;H3260&amp;"" "",
"" ""&amp;Sentiment_Words!B$2:B3730&amp;"" ""
),
1,
0
)
)
)
)"),1.0)</f>
        <v>1</v>
      </c>
      <c r="L3260" s="7" t="str">
        <f t="shared" si="3"/>
        <v>Customer Support</v>
      </c>
      <c r="M3260" s="7" t="str">
        <f t="shared" si="4"/>
        <v>Positive</v>
      </c>
      <c r="N3260" s="7" t="str">
        <f>IFERROR(__xludf.DUMMYFUNCTION("LOWER(
TRIM(
REGEXREPLACE(B3260,""[^a-zA-Z\s]"","""")
)
)
"),"dan chrisinger")</f>
        <v>dan chrisinger</v>
      </c>
      <c r="O3260" s="7">
        <f t="shared" si="5"/>
        <v>1</v>
      </c>
      <c r="P3260" s="8" t="str">
        <f t="shared" si="6"/>
        <v>No</v>
      </c>
    </row>
    <row r="3261">
      <c r="A3261" s="4" t="s">
        <v>16</v>
      </c>
      <c r="B3261" s="4" t="s">
        <v>9047</v>
      </c>
      <c r="C3261" s="9">
        <v>44562.0</v>
      </c>
      <c r="D3261" s="10">
        <v>44562.0</v>
      </c>
      <c r="E3261" s="4" t="s">
        <v>9048</v>
      </c>
      <c r="F3261" s="4" t="s">
        <v>9049</v>
      </c>
      <c r="G3261" s="6" t="str">
        <f>IFERROR(__xludf.DUMMYFUNCTION("REGEXREPLACE(LOWER(F3261),""[^a-z\s]"","""")"),"i love the convenience but petflows online ordering setup is sooooo difficult to use result ive had multiple unwanted shipments no matter what i do
for months ive tried to get rid of an extra autoship program i cancelled chat reps cancelled finally a pho"&amp;"ne call seemed to have worked  until i got a double shipment last week again
stay on them like white on rice because you will have a very hard time dealing with your autoship")</f>
        <v>i love the convenience but petflows online ordering setup is sooooo difficult to use result ive had multiple unwanted shipments no matter what i do
for months ive tried to get rid of an extra autoship program i cancelled chat reps cancelled finally a phone call seemed to have worked  until i got a double shipment last week again
stay on them like white on rice because you will have a very hard time dealing with your autoship</v>
      </c>
      <c r="H3261" s="4" t="str">
        <f t="shared" si="1"/>
        <v>i love convenience but petflows online ordering setup sooooo difficult use result ive had multiple unwanted shipments no matter what i do
for months ive tried get rid of an extra autoship program i cancelled chat reps cancelled finally a phone call seemed have worked until i got a double shipment last week again
stay on them like white on rice because you will have a very hard time dealing with your autoship</v>
      </c>
      <c r="I3261" s="6">
        <f t="shared" si="2"/>
        <v>71</v>
      </c>
      <c r="J3261" s="6">
        <f>IFERROR(__xludf.DUMMYFUNCTION("IF(H3261="""","""",
SUM(
ARRAYFORMULA(
IF(
REGEXMATCH(
"" ""&amp;H3261&amp;"" "",
"" ""&amp;Sentiment_Words!A$2:A3730&amp;"" ""
),
1,
0
)
)
)
)"),2.0)</f>
        <v>2</v>
      </c>
      <c r="K3261" s="4">
        <f>IFERROR(__xludf.DUMMYFUNCTION("IF(H3261="""","""",
SUM(
ARRAYFORMULA(
IF(
REGEXMATCH(
"" ""&amp;H3261&amp;"" "",
"" ""&amp;Sentiment_Words!B$2:B3730&amp;"" ""
),
1,
0
)
)
)
)"),1.0)</f>
        <v>1</v>
      </c>
      <c r="L3261" s="7" t="str">
        <f t="shared" si="3"/>
        <v>Other</v>
      </c>
      <c r="M3261" s="7" t="str">
        <f t="shared" si="4"/>
        <v>Positive</v>
      </c>
      <c r="N3261" s="7" t="str">
        <f>IFERROR(__xludf.DUMMYFUNCTION("LOWER(
TRIM(
REGEXREPLACE(B3261,""[^a-zA-Z\s]"","""")
)
)
"),"laura bartlett")</f>
        <v>laura bartlett</v>
      </c>
      <c r="O3261" s="7">
        <f t="shared" si="5"/>
        <v>1</v>
      </c>
      <c r="P3261" s="8" t="str">
        <f t="shared" si="6"/>
        <v>No</v>
      </c>
    </row>
    <row r="3262">
      <c r="A3262" s="4" t="s">
        <v>16</v>
      </c>
      <c r="B3262" s="4" t="s">
        <v>9050</v>
      </c>
      <c r="C3262" s="9">
        <v>44562.0</v>
      </c>
      <c r="D3262" s="10">
        <v>44562.0</v>
      </c>
      <c r="E3262" s="4" t="s">
        <v>9051</v>
      </c>
      <c r="F3262" s="4" t="s">
        <v>9052</v>
      </c>
      <c r="G3262" s="6" t="str">
        <f>IFERROR(__xludf.DUMMYFUNCTION("REGEXREPLACE(LOWER(F3262),""[^a-z\s]"","""")"),"love the extensive variety of pet foods especially the better brands prices are comparable to or better than others delivery is quick only one constructive feedback is the shopping cart view i would prefer it could be full screen")</f>
        <v>love the extensive variety of pet foods especially the better brands prices are comparable to or better than others delivery is quick only one constructive feedback is the shopping cart view i would prefer it could be full screen</v>
      </c>
      <c r="H3262" s="4" t="str">
        <f t="shared" si="1"/>
        <v>love extensive variety of pet foods especially better brands prices are comparable or better than others delivery quick only one constructive feedback shopping cart view i would prefer it could be full screen</v>
      </c>
      <c r="I3262" s="6">
        <f t="shared" si="2"/>
        <v>33</v>
      </c>
      <c r="J3262" s="6">
        <f>IFERROR(__xludf.DUMMYFUNCTION("IF(H3262="""","""",
SUM(
ARRAYFORMULA(
IF(
REGEXMATCH(
"" ""&amp;H3262&amp;"" "",
"" ""&amp;Sentiment_Words!A$2:A3730&amp;"" ""
),
1,
0
)
)
)
)"),2.0)</f>
        <v>2</v>
      </c>
      <c r="K3262" s="4">
        <f>IFERROR(__xludf.DUMMYFUNCTION("IF(H3262="""","""",
SUM(
ARRAYFORMULA(
IF(
REGEXMATCH(
"" ""&amp;H3262&amp;"" "",
"" ""&amp;Sentiment_Words!B$2:B3730&amp;"" ""
),
1,
0
)
)
)
)"),0.0)</f>
        <v>0</v>
      </c>
      <c r="L3262" s="7" t="str">
        <f t="shared" si="3"/>
        <v>Other</v>
      </c>
      <c r="M3262" s="7" t="str">
        <f t="shared" si="4"/>
        <v>Positive</v>
      </c>
      <c r="N3262" s="7" t="str">
        <f>IFERROR(__xludf.DUMMYFUNCTION("LOWER(
TRIM(
REGEXREPLACE(B3262,""[^a-zA-Z\s]"","""")
)
)
"),"westie mom")</f>
        <v>westie mom</v>
      </c>
      <c r="O3262" s="7">
        <f t="shared" si="5"/>
        <v>1</v>
      </c>
      <c r="P3262" s="8" t="str">
        <f t="shared" si="6"/>
        <v>No</v>
      </c>
    </row>
    <row r="3263">
      <c r="A3263" s="4" t="s">
        <v>16</v>
      </c>
      <c r="B3263" s="4" t="s">
        <v>9053</v>
      </c>
      <c r="C3263" s="9">
        <v>44562.0</v>
      </c>
      <c r="D3263" s="10">
        <v>44562.0</v>
      </c>
      <c r="E3263" s="4" t="s">
        <v>9054</v>
      </c>
      <c r="F3263" s="4" t="s">
        <v>9055</v>
      </c>
      <c r="G3263" s="6" t="str">
        <f>IFERROR(__xludf.DUMMYFUNCTION("REGEXREPLACE(LOWER(F3263),""[^a-z\s]"","""")"),"i still havent received my order
i ordered some dog food and a  chinchilla chew to get free shipping
the chinchilla toy came quickly and it was in a huge box that could have fit the bag of dog food that i ordered as well
the dog food still has not come"&amp;" and yes it might be a supply chain issue but theres been no communication at all and still no update")</f>
        <v>i still havent received my order
i ordered some dog food and a  chinchilla chew to get free shipping
the chinchilla toy came quickly and it was in a huge box that could have fit the bag of dog food that i ordered as well
the dog food still has not come and yes it might be a supply chain issue but theres been no communication at all and still no update</v>
      </c>
      <c r="H3263" s="4" t="str">
        <f t="shared" si="1"/>
        <v>i still havent received my order
i ordered some dog food a chinchilla chew get free shipping
the chinchilla toy came quickly it was in a huge box that could have fit bag of dog food that i ordered as well
the dog food still has not come yes it might be a supply chain issue but theres been no communication at all still no update</v>
      </c>
      <c r="I3263" s="6">
        <f t="shared" si="2"/>
        <v>63</v>
      </c>
      <c r="J3263" s="6">
        <f>IFERROR(__xludf.DUMMYFUNCTION("IF(H3263="""","""",
SUM(
ARRAYFORMULA(
IF(
REGEXMATCH(
"" ""&amp;H3263&amp;"" "",
"" ""&amp;Sentiment_Words!A$2:A3730&amp;"" ""
),
1,
0
)
)
)
)"),0.0)</f>
        <v>0</v>
      </c>
      <c r="K3263" s="4">
        <f>IFERROR(__xludf.DUMMYFUNCTION("IF(H3263="""","""",
SUM(
ARRAYFORMULA(
IF(
REGEXMATCH(
"" ""&amp;H3263&amp;"" "",
"" ""&amp;Sentiment_Words!B$2:B3730&amp;"" ""
),
1,
0
)
)
)
)"),1.0)</f>
        <v>1</v>
      </c>
      <c r="L3263" s="7" t="str">
        <f t="shared" si="3"/>
        <v>Other</v>
      </c>
      <c r="M3263" s="7" t="str">
        <f t="shared" si="4"/>
        <v>Negative</v>
      </c>
      <c r="N3263" s="7" t="str">
        <f>IFERROR(__xludf.DUMMYFUNCTION("LOWER(
TRIM(
REGEXREPLACE(B3263,""[^a-zA-Z\s]"","""")
)
)
"),"pamela bacon")</f>
        <v>pamela bacon</v>
      </c>
      <c r="O3263" s="7">
        <f t="shared" si="5"/>
        <v>1</v>
      </c>
      <c r="P3263" s="8" t="str">
        <f t="shared" si="6"/>
        <v>No</v>
      </c>
    </row>
    <row r="3264">
      <c r="A3264" s="4" t="s">
        <v>16</v>
      </c>
      <c r="B3264" s="4" t="s">
        <v>9056</v>
      </c>
      <c r="C3264" s="9">
        <v>44562.0</v>
      </c>
      <c r="D3264" s="10">
        <v>44562.0</v>
      </c>
      <c r="E3264" s="4" t="s">
        <v>9057</v>
      </c>
      <c r="F3264" s="4" t="s">
        <v>9058</v>
      </c>
      <c r="G3264" s="6" t="str">
        <f>IFERROR(__xludf.DUMMYFUNCTION("REGEXREPLACE(LOWER(F3264),""[^a-z\s]"","""")"),"ive been buying quality pet food from petflow for about three years they carry quality brands they have excellent customer service and their website is easy to navigate i like the autoship option which is also easy to edit so i have only great things to s"&amp;"ay about this company thanks to petflow i know i can count on timely delivery of quality food for my two cats")</f>
        <v>ive been buying quality pet food from petflow for about three years they carry quality brands they have excellent customer service and their website is easy to navigate i like the autoship option which is also easy to edit so i have only great things to say about this company thanks to petflow i know i can count on timely delivery of quality food for my two cats</v>
      </c>
      <c r="H3264" s="4" t="str">
        <f t="shared" si="1"/>
        <v>ive been buying quality pet food from petflow about three years they carry quality brands they have excellent customer service their website easy navigate i like autoship option which also easy edit so i have only great things say about this company thanks petflow i know i can count on timely delivery of quality food my two cats</v>
      </c>
      <c r="I3264" s="6">
        <f t="shared" si="2"/>
        <v>58</v>
      </c>
      <c r="J3264" s="6">
        <f>IFERROR(__xludf.DUMMYFUNCTION("IF(H3264="""","""",
SUM(
ARRAYFORMULA(
IF(
REGEXMATCH(
"" ""&amp;H3264&amp;"" "",
"" ""&amp;Sentiment_Words!A$2:A3730&amp;"" ""
),
1,
0
)
)
)
)"),2.0)</f>
        <v>2</v>
      </c>
      <c r="K3264" s="4">
        <f>IFERROR(__xludf.DUMMYFUNCTION("IF(H3264="""","""",
SUM(
ARRAYFORMULA(
IF(
REGEXMATCH(
"" ""&amp;H3264&amp;"" "",
"" ""&amp;Sentiment_Words!B$2:B3730&amp;"" ""
),
1,
0
)
)
)
)"),1.0)</f>
        <v>1</v>
      </c>
      <c r="L3264" s="7" t="str">
        <f t="shared" si="3"/>
        <v>Customer Support</v>
      </c>
      <c r="M3264" s="7" t="str">
        <f t="shared" si="4"/>
        <v>Positive</v>
      </c>
      <c r="N3264" s="7" t="str">
        <f>IFERROR(__xludf.DUMMYFUNCTION("LOWER(
TRIM(
REGEXREPLACE(B3264,""[^a-zA-Z\s]"","""")
)
)
"),"mallory evron")</f>
        <v>mallory evron</v>
      </c>
      <c r="O3264" s="7">
        <f t="shared" si="5"/>
        <v>1</v>
      </c>
      <c r="P3264" s="8" t="str">
        <f t="shared" si="6"/>
        <v>No</v>
      </c>
    </row>
    <row r="3265">
      <c r="A3265" s="4" t="s">
        <v>16</v>
      </c>
      <c r="B3265" s="4" t="s">
        <v>9059</v>
      </c>
      <c r="C3265" s="9">
        <v>44562.0</v>
      </c>
      <c r="D3265" s="10">
        <v>44562.0</v>
      </c>
      <c r="E3265" s="4" t="s">
        <v>9060</v>
      </c>
      <c r="F3265" s="4" t="s">
        <v>9061</v>
      </c>
      <c r="G3265" s="6" t="str">
        <f>IFERROR(__xludf.DUMMYFUNCTION("REGEXREPLACE(LOWER(F3265),""[^a-z\s]"","""")"),"on time and best price good by amazon")</f>
        <v>on time and best price good by amazon</v>
      </c>
      <c r="H3265" s="4" t="str">
        <f t="shared" si="1"/>
        <v>on time best price good by amazon</v>
      </c>
      <c r="I3265" s="6">
        <f t="shared" si="2"/>
        <v>7</v>
      </c>
      <c r="J3265" s="6">
        <f>IFERROR(__xludf.DUMMYFUNCTION("IF(H3265="""","""",
SUM(
ARRAYFORMULA(
IF(
REGEXMATCH(
"" ""&amp;H3265&amp;"" "",
"" ""&amp;Sentiment_Words!A$2:A3730&amp;"" ""
),
1,
0
)
)
)
)"),2.0)</f>
        <v>2</v>
      </c>
      <c r="K3265" s="4">
        <f>IFERROR(__xludf.DUMMYFUNCTION("IF(H3265="""","""",
SUM(
ARRAYFORMULA(
IF(
REGEXMATCH(
"" ""&amp;H3265&amp;"" "",
"" ""&amp;Sentiment_Words!B$2:B3730&amp;"" ""
),
1,
0
)
)
)
)"),0.0)</f>
        <v>0</v>
      </c>
      <c r="L3265" s="7" t="str">
        <f t="shared" si="3"/>
        <v>Other</v>
      </c>
      <c r="M3265" s="7" t="str">
        <f t="shared" si="4"/>
        <v>Positive</v>
      </c>
      <c r="N3265" s="7" t="str">
        <f>IFERROR(__xludf.DUMMYFUNCTION("LOWER(
TRIM(
REGEXREPLACE(B3265,""[^a-zA-Z\s]"","""")
)
)
"),"leslie")</f>
        <v>leslie</v>
      </c>
      <c r="O3265" s="7">
        <f t="shared" si="5"/>
        <v>1</v>
      </c>
      <c r="P3265" s="8" t="str">
        <f t="shared" si="6"/>
        <v>No</v>
      </c>
    </row>
    <row r="3266">
      <c r="A3266" s="4" t="s">
        <v>16</v>
      </c>
      <c r="B3266" s="4" t="s">
        <v>2060</v>
      </c>
      <c r="C3266" s="9">
        <v>44562.0</v>
      </c>
      <c r="D3266" s="10">
        <v>44562.0</v>
      </c>
      <c r="E3266" s="4" t="s">
        <v>8489</v>
      </c>
      <c r="F3266" s="4" t="s">
        <v>9062</v>
      </c>
      <c r="G3266" s="6" t="str">
        <f>IFERROR(__xludf.DUMMYFUNCTION("REGEXREPLACE(LOWER(F3266),""[^a-z\s]"","""")"),"i had trouble finding my cats prescription food customer service was marvelous and ultimately i was able to secure a bag for her")</f>
        <v>i had trouble finding my cats prescription food customer service was marvelous and ultimately i was able to secure a bag for her</v>
      </c>
      <c r="H3266" s="4" t="str">
        <f t="shared" si="1"/>
        <v>i had trouble finding my cats prescription food customer service was marvelous ultimately i was able secure a bag her</v>
      </c>
      <c r="I3266" s="6">
        <f t="shared" si="2"/>
        <v>20</v>
      </c>
      <c r="J3266" s="6">
        <f>IFERROR(__xludf.DUMMYFUNCTION("IF(H3266="""","""",
SUM(
ARRAYFORMULA(
IF(
REGEXMATCH(
"" ""&amp;H3266&amp;"" "",
"" ""&amp;Sentiment_Words!A$2:A3730&amp;"" ""
),
1,
0
)
)
)
)"),1.0)</f>
        <v>1</v>
      </c>
      <c r="K3266" s="4">
        <f>IFERROR(__xludf.DUMMYFUNCTION("IF(H3266="""","""",
SUM(
ARRAYFORMULA(
IF(
REGEXMATCH(
"" ""&amp;H3266&amp;"" "",
"" ""&amp;Sentiment_Words!B$2:B3730&amp;"" ""
),
1,
0
)
)
)
)"),1.0)</f>
        <v>1</v>
      </c>
      <c r="L3266" s="7" t="str">
        <f t="shared" si="3"/>
        <v>Customer Support</v>
      </c>
      <c r="M3266" s="7" t="str">
        <f t="shared" si="4"/>
        <v>Neutral</v>
      </c>
      <c r="N3266" s="7" t="str">
        <f>IFERROR(__xludf.DUMMYFUNCTION("LOWER(
TRIM(
REGEXREPLACE(B3266,""[^a-zA-Z\s]"","""")
)
)
"),"kristin")</f>
        <v>kristin</v>
      </c>
      <c r="O3266" s="7">
        <f t="shared" si="5"/>
        <v>3</v>
      </c>
      <c r="P3266" s="8" t="str">
        <f t="shared" si="6"/>
        <v>Yes</v>
      </c>
    </row>
    <row r="3267">
      <c r="A3267" s="4" t="s">
        <v>16</v>
      </c>
      <c r="B3267" s="4" t="s">
        <v>9063</v>
      </c>
      <c r="C3267" s="9">
        <v>44562.0</v>
      </c>
      <c r="D3267" s="10">
        <v>44562.0</v>
      </c>
      <c r="E3267" s="4" t="s">
        <v>700</v>
      </c>
      <c r="F3267" s="4" t="s">
        <v>9064</v>
      </c>
      <c r="G3267" s="6" t="str">
        <f>IFERROR(__xludf.DUMMYFUNCTION("REGEXREPLACE(LOWER(F3267),""[^a-z\s]"","""")"),"place the order  days ago and still no shipment yet call them a few days ago and was informed that it was ready to ship but still no info whatsoever")</f>
        <v>place the order  days ago and still no shipment yet call them a few days ago and was informed that it was ready to ship but still no info whatsoever</v>
      </c>
      <c r="H3267" s="4" t="str">
        <f t="shared" si="1"/>
        <v>place order days ago still no shipment yet call them a few days ago was informed that it was ready ship but still no info whatsoever</v>
      </c>
      <c r="I3267" s="6">
        <f t="shared" si="2"/>
        <v>26</v>
      </c>
      <c r="J3267" s="6">
        <f>IFERROR(__xludf.DUMMYFUNCTION("IF(H3267="""","""",
SUM(
ARRAYFORMULA(
IF(
REGEXMATCH(
"" ""&amp;H3267&amp;"" "",
"" ""&amp;Sentiment_Words!A$2:A3730&amp;"" ""
),
1,
0
)
)
)
)"),0.0)</f>
        <v>0</v>
      </c>
      <c r="K3267" s="4">
        <f>IFERROR(__xludf.DUMMYFUNCTION("IF(H3267="""","""",
SUM(
ARRAYFORMULA(
IF(
REGEXMATCH(
"" ""&amp;H3267&amp;"" "",
"" ""&amp;Sentiment_Words!B$2:B3730&amp;"" ""
),
1,
0
)
)
)
)"),1.0)</f>
        <v>1</v>
      </c>
      <c r="L3267" s="7" t="str">
        <f t="shared" si="3"/>
        <v>Other</v>
      </c>
      <c r="M3267" s="7" t="str">
        <f t="shared" si="4"/>
        <v>Negative</v>
      </c>
      <c r="N3267" s="7" t="str">
        <f>IFERROR(__xludf.DUMMYFUNCTION("LOWER(
TRIM(
REGEXREPLACE(B3267,""[^a-zA-Z\s]"","""")
)
)
"),"sofie dogie")</f>
        <v>sofie dogie</v>
      </c>
      <c r="O3267" s="7">
        <f t="shared" si="5"/>
        <v>1</v>
      </c>
      <c r="P3267" s="8" t="str">
        <f t="shared" si="6"/>
        <v>No</v>
      </c>
    </row>
    <row r="3268">
      <c r="A3268" s="4" t="s">
        <v>16</v>
      </c>
      <c r="B3268" s="4" t="s">
        <v>9065</v>
      </c>
      <c r="C3268" s="9">
        <v>44562.0</v>
      </c>
      <c r="D3268" s="10">
        <v>44562.0</v>
      </c>
      <c r="E3268" s="4" t="s">
        <v>9066</v>
      </c>
      <c r="F3268" s="4" t="s">
        <v>7574</v>
      </c>
      <c r="G3268" s="6" t="str">
        <f>IFERROR(__xludf.DUMMYFUNCTION("REGEXREPLACE(LOWER(F3268),""[^a-z\s]"","""")"),"excellent service thank you")</f>
        <v>excellent service thank you</v>
      </c>
      <c r="H3268" s="4" t="str">
        <f t="shared" si="1"/>
        <v>excellent service thank you</v>
      </c>
      <c r="I3268" s="6">
        <f t="shared" si="2"/>
        <v>4</v>
      </c>
      <c r="J3268" s="6">
        <f>IFERROR(__xludf.DUMMYFUNCTION("IF(H3268="""","""",
SUM(
ARRAYFORMULA(
IF(
REGEXMATCH(
"" ""&amp;H3268&amp;"" "",
"" ""&amp;Sentiment_Words!A$2:A3730&amp;"" ""
),
1,
0
)
)
)
)"),0.0)</f>
        <v>0</v>
      </c>
      <c r="K3268" s="4">
        <f>IFERROR(__xludf.DUMMYFUNCTION("IF(H3268="""","""",
SUM(
ARRAYFORMULA(
IF(
REGEXMATCH(
"" ""&amp;H3268&amp;"" "",
"" ""&amp;Sentiment_Words!B$2:B3730&amp;"" ""
),
1,
0
)
)
)
)"),0.0)</f>
        <v>0</v>
      </c>
      <c r="L3268" s="7" t="str">
        <f t="shared" si="3"/>
        <v>Customer Support</v>
      </c>
      <c r="M3268" s="7" t="str">
        <f t="shared" si="4"/>
        <v>Neutral</v>
      </c>
      <c r="N3268" s="7" t="str">
        <f>IFERROR(__xludf.DUMMYFUNCTION("LOWER(
TRIM(
REGEXREPLACE(B3268,""[^a-zA-Z\s]"","""")
)
)
"),"br")</f>
        <v>br</v>
      </c>
      <c r="O3268" s="7">
        <f t="shared" si="5"/>
        <v>1</v>
      </c>
      <c r="P3268" s="8" t="str">
        <f t="shared" si="6"/>
        <v>No</v>
      </c>
    </row>
    <row r="3269">
      <c r="A3269" s="4" t="s">
        <v>16</v>
      </c>
      <c r="B3269" s="4" t="s">
        <v>9067</v>
      </c>
      <c r="C3269" s="9">
        <v>44562.0</v>
      </c>
      <c r="D3269" s="10">
        <v>44562.0</v>
      </c>
      <c r="E3269" s="4" t="s">
        <v>9068</v>
      </c>
      <c r="F3269" s="4" t="s">
        <v>331</v>
      </c>
      <c r="G3269" s="6" t="str">
        <f>IFERROR(__xludf.DUMMYFUNCTION("REGEXREPLACE(LOWER(F3269),""[^a-z\s]"","""")"),"none")</f>
        <v>none</v>
      </c>
      <c r="H3269" s="4" t="str">
        <f t="shared" si="1"/>
        <v>none</v>
      </c>
      <c r="I3269" s="6">
        <f t="shared" si="2"/>
        <v>1</v>
      </c>
      <c r="J3269" s="6">
        <f>IFERROR(__xludf.DUMMYFUNCTION("IF(H3269="""","""",
SUM(
ARRAYFORMULA(
IF(
REGEXMATCH(
"" ""&amp;H3269&amp;"" "",
"" ""&amp;Sentiment_Words!A$2:A3730&amp;"" ""
),
1,
0
)
)
)
)"),0.0)</f>
        <v>0</v>
      </c>
      <c r="K3269" s="4">
        <f>IFERROR(__xludf.DUMMYFUNCTION("IF(H3269="""","""",
SUM(
ARRAYFORMULA(
IF(
REGEXMATCH(
"" ""&amp;H3269&amp;"" "",
"" ""&amp;Sentiment_Words!B$2:B3730&amp;"" ""
),
1,
0
)
)
)
)"),0.0)</f>
        <v>0</v>
      </c>
      <c r="L3269" s="7" t="str">
        <f t="shared" si="3"/>
        <v>Other</v>
      </c>
      <c r="M3269" s="7" t="str">
        <f t="shared" si="4"/>
        <v>Neutral</v>
      </c>
      <c r="N3269" s="7" t="str">
        <f>IFERROR(__xludf.DUMMYFUNCTION("LOWER(
TRIM(
REGEXREPLACE(B3269,""[^a-zA-Z\s]"","""")
)
)
"),"leila a")</f>
        <v>leila a</v>
      </c>
      <c r="O3269" s="7">
        <f t="shared" si="5"/>
        <v>1</v>
      </c>
      <c r="P3269" s="8" t="str">
        <f t="shared" si="6"/>
        <v>No</v>
      </c>
    </row>
    <row r="3270">
      <c r="A3270" s="4" t="s">
        <v>16</v>
      </c>
      <c r="B3270" s="4" t="s">
        <v>9069</v>
      </c>
      <c r="C3270" s="9">
        <v>44562.0</v>
      </c>
      <c r="D3270" s="10">
        <v>44562.0</v>
      </c>
      <c r="E3270" s="4" t="s">
        <v>9070</v>
      </c>
      <c r="F3270" s="4" t="s">
        <v>331</v>
      </c>
      <c r="G3270" s="6" t="str">
        <f>IFERROR(__xludf.DUMMYFUNCTION("REGEXREPLACE(LOWER(F3270),""[^a-z\s]"","""")"),"none")</f>
        <v>none</v>
      </c>
      <c r="H3270" s="4" t="str">
        <f t="shared" si="1"/>
        <v>none</v>
      </c>
      <c r="I3270" s="6">
        <f t="shared" si="2"/>
        <v>1</v>
      </c>
      <c r="J3270" s="6">
        <f>IFERROR(__xludf.DUMMYFUNCTION("IF(H3270="""","""",
SUM(
ARRAYFORMULA(
IF(
REGEXMATCH(
"" ""&amp;H3270&amp;"" "",
"" ""&amp;Sentiment_Words!A$2:A3730&amp;"" ""
),
1,
0
)
)
)
)"),0.0)</f>
        <v>0</v>
      </c>
      <c r="K3270" s="4">
        <f>IFERROR(__xludf.DUMMYFUNCTION("IF(H3270="""","""",
SUM(
ARRAYFORMULA(
IF(
REGEXMATCH(
"" ""&amp;H3270&amp;"" "",
"" ""&amp;Sentiment_Words!B$2:B3730&amp;"" ""
),
1,
0
)
)
)
)"),0.0)</f>
        <v>0</v>
      </c>
      <c r="L3270" s="7" t="str">
        <f t="shared" si="3"/>
        <v>Other</v>
      </c>
      <c r="M3270" s="7" t="str">
        <f t="shared" si="4"/>
        <v>Neutral</v>
      </c>
      <c r="N3270" s="7" t="str">
        <f>IFERROR(__xludf.DUMMYFUNCTION("LOWER(
TRIM(
REGEXREPLACE(B3270,""[^a-zA-Z\s]"","""")
)
)
"),"ns")</f>
        <v>ns</v>
      </c>
      <c r="O3270" s="7">
        <f t="shared" si="5"/>
        <v>1</v>
      </c>
      <c r="P3270" s="8" t="str">
        <f t="shared" si="6"/>
        <v>No</v>
      </c>
    </row>
    <row r="3271">
      <c r="A3271" s="4" t="s">
        <v>16</v>
      </c>
      <c r="B3271" s="4" t="s">
        <v>9071</v>
      </c>
      <c r="C3271" s="9">
        <v>44562.0</v>
      </c>
      <c r="D3271" s="10">
        <v>44562.0</v>
      </c>
      <c r="E3271" s="4" t="s">
        <v>1319</v>
      </c>
      <c r="F3271" s="4" t="s">
        <v>331</v>
      </c>
      <c r="G3271" s="6" t="str">
        <f>IFERROR(__xludf.DUMMYFUNCTION("REGEXREPLACE(LOWER(F3271),""[^a-z\s]"","""")"),"none")</f>
        <v>none</v>
      </c>
      <c r="H3271" s="4" t="str">
        <f t="shared" si="1"/>
        <v>none</v>
      </c>
      <c r="I3271" s="6">
        <f t="shared" si="2"/>
        <v>1</v>
      </c>
      <c r="J3271" s="6">
        <f>IFERROR(__xludf.DUMMYFUNCTION("IF(H3271="""","""",
SUM(
ARRAYFORMULA(
IF(
REGEXMATCH(
"" ""&amp;H3271&amp;"" "",
"" ""&amp;Sentiment_Words!A$2:A3730&amp;"" ""
),
1,
0
)
)
)
)"),0.0)</f>
        <v>0</v>
      </c>
      <c r="K3271" s="4">
        <f>IFERROR(__xludf.DUMMYFUNCTION("IF(H3271="""","""",
SUM(
ARRAYFORMULA(
IF(
REGEXMATCH(
"" ""&amp;H3271&amp;"" "",
"" ""&amp;Sentiment_Words!B$2:B3730&amp;"" ""
),
1,
0
)
)
)
)"),0.0)</f>
        <v>0</v>
      </c>
      <c r="L3271" s="7" t="str">
        <f t="shared" si="3"/>
        <v>Other</v>
      </c>
      <c r="M3271" s="7" t="str">
        <f t="shared" si="4"/>
        <v>Neutral</v>
      </c>
      <c r="N3271" s="7" t="str">
        <f>IFERROR(__xludf.DUMMYFUNCTION("LOWER(
TRIM(
REGEXREPLACE(B3271,""[^a-zA-Z\s]"","""")
)
)
"),"monica r harris")</f>
        <v>monica r harris</v>
      </c>
      <c r="O3271" s="7">
        <f t="shared" si="5"/>
        <v>1</v>
      </c>
      <c r="P3271" s="8" t="str">
        <f t="shared" si="6"/>
        <v>No</v>
      </c>
    </row>
    <row r="3272">
      <c r="A3272" s="4" t="s">
        <v>16</v>
      </c>
      <c r="B3272" s="4" t="s">
        <v>9072</v>
      </c>
      <c r="C3272" s="5">
        <v>44561.0</v>
      </c>
      <c r="D3272" s="10">
        <v>44562.0</v>
      </c>
      <c r="E3272" s="4" t="s">
        <v>9073</v>
      </c>
      <c r="F3272" s="4" t="s">
        <v>9074</v>
      </c>
      <c r="G3272" s="6" t="str">
        <f>IFERROR(__xludf.DUMMYFUNCTION("REGEXREPLACE(LOWER(F3272),""[^a-z\s]"","""")"),"very timely service thanks")</f>
        <v>very timely service thanks</v>
      </c>
      <c r="H3272" s="4" t="str">
        <f t="shared" si="1"/>
        <v>very timely service thanks</v>
      </c>
      <c r="I3272" s="6">
        <f t="shared" si="2"/>
        <v>4</v>
      </c>
      <c r="J3272" s="6">
        <f>IFERROR(__xludf.DUMMYFUNCTION("IF(H3272="""","""",
SUM(
ARRAYFORMULA(
IF(
REGEXMATCH(
"" ""&amp;H3272&amp;"" "",
"" ""&amp;Sentiment_Words!A$2:A3730&amp;"" ""
),
1,
0
)
)
)
)"),0.0)</f>
        <v>0</v>
      </c>
      <c r="K3272" s="4">
        <f>IFERROR(__xludf.DUMMYFUNCTION("IF(H3272="""","""",
SUM(
ARRAYFORMULA(
IF(
REGEXMATCH(
"" ""&amp;H3272&amp;"" "",
"" ""&amp;Sentiment_Words!B$2:B3730&amp;"" ""
),
1,
0
)
)
)
)"),0.0)</f>
        <v>0</v>
      </c>
      <c r="L3272" s="7" t="str">
        <f t="shared" si="3"/>
        <v>Customer Support</v>
      </c>
      <c r="M3272" s="7" t="str">
        <f t="shared" si="4"/>
        <v>Neutral</v>
      </c>
      <c r="N3272" s="7" t="str">
        <f>IFERROR(__xludf.DUMMYFUNCTION("LOWER(
TRIM(
REGEXREPLACE(B3272,""[^a-zA-Z\s]"","""")
)
)
"),"martha wallace")</f>
        <v>martha wallace</v>
      </c>
      <c r="O3272" s="7">
        <f t="shared" si="5"/>
        <v>1</v>
      </c>
      <c r="P3272" s="8" t="str">
        <f t="shared" si="6"/>
        <v>No</v>
      </c>
    </row>
    <row r="3273">
      <c r="A3273" s="4" t="s">
        <v>16</v>
      </c>
      <c r="B3273" s="4" t="s">
        <v>9075</v>
      </c>
      <c r="C3273" s="5">
        <v>44561.0</v>
      </c>
      <c r="D3273" s="10">
        <v>44561.0</v>
      </c>
      <c r="E3273" s="4" t="s">
        <v>9076</v>
      </c>
      <c r="F3273" s="4" t="s">
        <v>9077</v>
      </c>
      <c r="G3273" s="6" t="str">
        <f>IFERROR(__xludf.DUMMYFUNCTION("REGEXREPLACE(LOWER(F3273),""[^a-z\s]"","""")"),"great  quick delivery thanks")</f>
        <v>great  quick delivery thanks</v>
      </c>
      <c r="H3273" s="4" t="str">
        <f t="shared" si="1"/>
        <v>great quick delivery thanks</v>
      </c>
      <c r="I3273" s="6">
        <f t="shared" si="2"/>
        <v>4</v>
      </c>
      <c r="J3273" s="6">
        <f>IFERROR(__xludf.DUMMYFUNCTION("IF(H3273="""","""",
SUM(
ARRAYFORMULA(
IF(
REGEXMATCH(
"" ""&amp;H3273&amp;"" "",
"" ""&amp;Sentiment_Words!A$2:A3730&amp;"" ""
),
1,
0
)
)
)
)"),2.0)</f>
        <v>2</v>
      </c>
      <c r="K3273" s="4">
        <f>IFERROR(__xludf.DUMMYFUNCTION("IF(H3273="""","""",
SUM(
ARRAYFORMULA(
IF(
REGEXMATCH(
"" ""&amp;H3273&amp;"" "",
"" ""&amp;Sentiment_Words!B$2:B3730&amp;"" ""
),
1,
0
)
)
)
)"),0.0)</f>
        <v>0</v>
      </c>
      <c r="L3273" s="7" t="str">
        <f t="shared" si="3"/>
        <v>Other</v>
      </c>
      <c r="M3273" s="7" t="str">
        <f t="shared" si="4"/>
        <v>Positive</v>
      </c>
      <c r="N3273" s="7" t="str">
        <f>IFERROR(__xludf.DUMMYFUNCTION("LOWER(
TRIM(
REGEXREPLACE(B3273,""[^a-zA-Z\s]"","""")
)
)
"),"cyndy raeshke")</f>
        <v>cyndy raeshke</v>
      </c>
      <c r="O3273" s="7">
        <f t="shared" si="5"/>
        <v>1</v>
      </c>
      <c r="P3273" s="8" t="str">
        <f t="shared" si="6"/>
        <v>No</v>
      </c>
    </row>
    <row r="3274">
      <c r="A3274" s="4" t="s">
        <v>16</v>
      </c>
      <c r="B3274" s="4" t="s">
        <v>9078</v>
      </c>
      <c r="C3274" s="5">
        <v>44561.0</v>
      </c>
      <c r="D3274" s="10">
        <v>44561.0</v>
      </c>
      <c r="E3274" s="4" t="s">
        <v>9079</v>
      </c>
      <c r="F3274" s="4" t="s">
        <v>9080</v>
      </c>
      <c r="G3274" s="6" t="str">
        <f>IFERROR(__xludf.DUMMYFUNCTION("REGEXREPLACE(LOWER(F3274),""[^a-z\s]"","""")"),"one of the few places i could find what i needed at a great price was the cherry on top it shipped quickly and got here fast i now have some happy cory catfish")</f>
        <v>one of the few places i could find what i needed at a great price was the cherry on top it shipped quickly and got here fast i now have some happy cory catfish</v>
      </c>
      <c r="H3274" s="4" t="str">
        <f t="shared" si="1"/>
        <v>one of few places i could find what i needed at a great price was cherry on top it shipped quickly got here fast i now have some happy cory catfish</v>
      </c>
      <c r="I3274" s="6">
        <f t="shared" si="2"/>
        <v>31</v>
      </c>
      <c r="J3274" s="6">
        <f>IFERROR(__xludf.DUMMYFUNCTION("IF(H3274="""","""",
SUM(
ARRAYFORMULA(
IF(
REGEXMATCH(
"" ""&amp;H3274&amp;"" "",
"" ""&amp;Sentiment_Words!A$2:A3730&amp;"" ""
),
1,
0
)
)
)
)"),4.0)</f>
        <v>4</v>
      </c>
      <c r="K3274" s="4">
        <f>IFERROR(__xludf.DUMMYFUNCTION("IF(H3274="""","""",
SUM(
ARRAYFORMULA(
IF(
REGEXMATCH(
"" ""&amp;H3274&amp;"" "",
"" ""&amp;Sentiment_Words!B$2:B3730&amp;"" ""
),
1,
0
)
)
)
)"),0.0)</f>
        <v>0</v>
      </c>
      <c r="L3274" s="7" t="str">
        <f t="shared" si="3"/>
        <v>Other</v>
      </c>
      <c r="M3274" s="7" t="str">
        <f t="shared" si="4"/>
        <v>Positive</v>
      </c>
      <c r="N3274" s="7" t="str">
        <f>IFERROR(__xludf.DUMMYFUNCTION("LOWER(
TRIM(
REGEXREPLACE(B3274,""[^a-zA-Z\s]"","""")
)
)
"),"eric perkins")</f>
        <v>eric perkins</v>
      </c>
      <c r="O3274" s="7">
        <f t="shared" si="5"/>
        <v>1</v>
      </c>
      <c r="P3274" s="8" t="str">
        <f t="shared" si="6"/>
        <v>No</v>
      </c>
    </row>
    <row r="3275">
      <c r="A3275" s="4" t="s">
        <v>16</v>
      </c>
      <c r="B3275" s="4" t="s">
        <v>9081</v>
      </c>
      <c r="C3275" s="5">
        <v>44561.0</v>
      </c>
      <c r="D3275" s="10">
        <v>44561.0</v>
      </c>
      <c r="E3275" s="4" t="s">
        <v>9082</v>
      </c>
      <c r="F3275" s="4" t="s">
        <v>9083</v>
      </c>
      <c r="G3275" s="6" t="str">
        <f>IFERROR(__xludf.DUMMYFUNCTION("REGEXREPLACE(LOWER(F3275),""[^a-z\s]"","""")"),"always get my order quickly and good prices too")</f>
        <v>always get my order quickly and good prices too</v>
      </c>
      <c r="H3275" s="4" t="str">
        <f t="shared" si="1"/>
        <v>always get my order quickly good prices too</v>
      </c>
      <c r="I3275" s="6">
        <f t="shared" si="2"/>
        <v>8</v>
      </c>
      <c r="J3275" s="6">
        <f>IFERROR(__xludf.DUMMYFUNCTION("IF(H3275="""","""",
SUM(
ARRAYFORMULA(
IF(
REGEXMATCH(
"" ""&amp;H3275&amp;"" "",
"" ""&amp;Sentiment_Words!A$2:A3730&amp;"" ""
),
1,
0
)
)
)
)"),1.0)</f>
        <v>1</v>
      </c>
      <c r="K3275" s="4">
        <f>IFERROR(__xludf.DUMMYFUNCTION("IF(H3275="""","""",
SUM(
ARRAYFORMULA(
IF(
REGEXMATCH(
"" ""&amp;H3275&amp;"" "",
"" ""&amp;Sentiment_Words!B$2:B3730&amp;"" ""
),
1,
0
)
)
)
)"),0.0)</f>
        <v>0</v>
      </c>
      <c r="L3275" s="7" t="str">
        <f t="shared" si="3"/>
        <v>Other</v>
      </c>
      <c r="M3275" s="7" t="str">
        <f t="shared" si="4"/>
        <v>Positive</v>
      </c>
      <c r="N3275" s="7" t="str">
        <f>IFERROR(__xludf.DUMMYFUNCTION("LOWER(
TRIM(
REGEXREPLACE(B3275,""[^a-zA-Z\s]"","""")
)
)
"),"gm")</f>
        <v>gm</v>
      </c>
      <c r="O3275" s="7">
        <f t="shared" si="5"/>
        <v>2</v>
      </c>
      <c r="P3275" s="8" t="str">
        <f t="shared" si="6"/>
        <v>Yes</v>
      </c>
    </row>
    <row r="3276">
      <c r="A3276" s="4" t="s">
        <v>16</v>
      </c>
      <c r="B3276" s="4" t="s">
        <v>9084</v>
      </c>
      <c r="C3276" s="5">
        <v>44560.0</v>
      </c>
      <c r="D3276" s="10">
        <v>44560.0</v>
      </c>
      <c r="E3276" s="4" t="s">
        <v>9085</v>
      </c>
      <c r="F3276" s="4" t="s">
        <v>9086</v>
      </c>
      <c r="G3276" s="6" t="str">
        <f>IFERROR(__xludf.DUMMYFUNCTION("REGEXREPLACE(LOWER(F3276),""[^a-z\s]"","""")"),"i was pleasantly surprised that petflow had the special canned cat food that i was looking for and couldnt find locally additionally the shipment was very well packed and arrived quickly this was my first time to order from petflow and i was impressed wil"&amp;"l definitely order again")</f>
        <v>i was pleasantly surprised that petflow had the special canned cat food that i was looking for and couldnt find locally additionally the shipment was very well packed and arrived quickly this was my first time to order from petflow and i was impressed will definitely order again</v>
      </c>
      <c r="H3276" s="4" t="str">
        <f t="shared" si="1"/>
        <v>i was pleasantly surprised that petflow had special canned cat food that i was looking couldnt find locally additionally shipment was very well packed arrived quickly this was my first time order from petflow i was impressed will definitely order again</v>
      </c>
      <c r="I3276" s="6">
        <f t="shared" si="2"/>
        <v>41</v>
      </c>
      <c r="J3276" s="6">
        <f>IFERROR(__xludf.DUMMYFUNCTION("IF(H3276="""","""",
SUM(
ARRAYFORMULA(
IF(
REGEXMATCH(
"" ""&amp;H3276&amp;"" "",
"" ""&amp;Sentiment_Words!A$2:A3730&amp;"" ""
),
1,
0
)
)
)
)"),1.0)</f>
        <v>1</v>
      </c>
      <c r="K3276" s="4">
        <f>IFERROR(__xludf.DUMMYFUNCTION("IF(H3276="""","""",
SUM(
ARRAYFORMULA(
IF(
REGEXMATCH(
"" ""&amp;H3276&amp;"" "",
"" ""&amp;Sentiment_Words!B$2:B3730&amp;"" ""
),
1,
0
)
)
)
)"),0.0)</f>
        <v>0</v>
      </c>
      <c r="L3276" s="7" t="str">
        <f t="shared" si="3"/>
        <v>Service Recovery</v>
      </c>
      <c r="M3276" s="7" t="str">
        <f t="shared" si="4"/>
        <v>Positive</v>
      </c>
      <c r="N3276" s="7" t="str">
        <f>IFERROR(__xludf.DUMMYFUNCTION("LOWER(
TRIM(
REGEXREPLACE(B3276,""[^a-zA-Z\s]"","""")
)
)
"),"jane henderson")</f>
        <v>jane henderson</v>
      </c>
      <c r="O3276" s="7">
        <f t="shared" si="5"/>
        <v>1</v>
      </c>
      <c r="P3276" s="8" t="str">
        <f t="shared" si="6"/>
        <v>No</v>
      </c>
    </row>
    <row r="3277">
      <c r="A3277" s="4" t="s">
        <v>16</v>
      </c>
      <c r="B3277" s="4" t="s">
        <v>9087</v>
      </c>
      <c r="C3277" s="5">
        <v>44560.0</v>
      </c>
      <c r="D3277" s="10">
        <v>44560.0</v>
      </c>
      <c r="E3277" s="4" t="s">
        <v>9088</v>
      </c>
      <c r="F3277" s="4" t="s">
        <v>9089</v>
      </c>
      <c r="G3277" s="6" t="str">
        <f>IFERROR(__xludf.DUMMYFUNCTION("REGEXREPLACE(LOWER(F3277),""[^a-z\s]"","""")"),"everything came to my home in time before i ran out of dog food the one toy was slow but it all still made it to my home so the dog could enjoy it")</f>
        <v>everything came to my home in time before i ran out of dog food the one toy was slow but it all still made it to my home so the dog could enjoy it</v>
      </c>
      <c r="H3277" s="4" t="str">
        <f t="shared" si="1"/>
        <v>everything came my home in time before i ran out of dog food one toy was slow but it all still made it my home so dog could enjoy it</v>
      </c>
      <c r="I3277" s="6">
        <f t="shared" si="2"/>
        <v>30</v>
      </c>
      <c r="J3277" s="6">
        <f>IFERROR(__xludf.DUMMYFUNCTION("IF(H3277="""","""",
SUM(
ARRAYFORMULA(
IF(
REGEXMATCH(
"" ""&amp;H3277&amp;"" "",
"" ""&amp;Sentiment_Words!A$2:A3730&amp;"" ""
),
1,
0
)
)
)
)"),0.0)</f>
        <v>0</v>
      </c>
      <c r="K3277" s="4">
        <f>IFERROR(__xludf.DUMMYFUNCTION("IF(H3277="""","""",
SUM(
ARRAYFORMULA(
IF(
REGEXMATCH(
"" ""&amp;H3277&amp;"" "",
"" ""&amp;Sentiment_Words!B$2:B3730&amp;"" ""
),
1,
0
)
)
)
)"),0.0)</f>
        <v>0</v>
      </c>
      <c r="L3277" s="7" t="str">
        <f t="shared" si="3"/>
        <v>Other</v>
      </c>
      <c r="M3277" s="7" t="str">
        <f t="shared" si="4"/>
        <v>Neutral</v>
      </c>
      <c r="N3277" s="7" t="str">
        <f>IFERROR(__xludf.DUMMYFUNCTION("LOWER(
TRIM(
REGEXREPLACE(B3277,""[^a-zA-Z\s]"","""")
)
)
"),"tcrc")</f>
        <v>tcrc</v>
      </c>
      <c r="O3277" s="7">
        <f t="shared" si="5"/>
        <v>1</v>
      </c>
      <c r="P3277" s="8" t="str">
        <f t="shared" si="6"/>
        <v>No</v>
      </c>
    </row>
    <row r="3278">
      <c r="A3278" s="4" t="s">
        <v>16</v>
      </c>
      <c r="B3278" s="4" t="s">
        <v>9090</v>
      </c>
      <c r="C3278" s="5">
        <v>44560.0</v>
      </c>
      <c r="D3278" s="10">
        <v>44560.0</v>
      </c>
      <c r="E3278" s="4" t="s">
        <v>9091</v>
      </c>
      <c r="F3278" s="4" t="s">
        <v>9092</v>
      </c>
      <c r="G3278" s="6" t="str">
        <f>IFERROR(__xludf.DUMMYFUNCTION("REGEXREPLACE(LOWER(F3278),""[^a-z\s]"","""")"),"love this company always have what i order
shipment comes really fast
never had a problem with petflow")</f>
        <v>love this company always have what i order
shipment comes really fast
never had a problem with petflow</v>
      </c>
      <c r="H3278" s="4" t="str">
        <f t="shared" si="1"/>
        <v>love this company always have what i order
shipment comes really fast
never had a problem with petflow</v>
      </c>
      <c r="I3278" s="6">
        <f t="shared" si="2"/>
        <v>16</v>
      </c>
      <c r="J3278" s="6">
        <f>IFERROR(__xludf.DUMMYFUNCTION("IF(H3278="""","""",
SUM(
ARRAYFORMULA(
IF(
REGEXMATCH(
"" ""&amp;H3278&amp;"" "",
"" ""&amp;Sentiment_Words!A$2:A3730&amp;"" ""
),
1,
0
)
)
)
)"),1.0)</f>
        <v>1</v>
      </c>
      <c r="K3278" s="4">
        <f>IFERROR(__xludf.DUMMYFUNCTION("IF(H3278="""","""",
SUM(
ARRAYFORMULA(
IF(
REGEXMATCH(
"" ""&amp;H3278&amp;"" "",
"" ""&amp;Sentiment_Words!B$2:B3730&amp;"" ""
),
1,
0
)
)
)
)"),1.0)</f>
        <v>1</v>
      </c>
      <c r="L3278" s="7" t="str">
        <f t="shared" si="3"/>
        <v>Other</v>
      </c>
      <c r="M3278" s="7" t="str">
        <f t="shared" si="4"/>
        <v>Neutral</v>
      </c>
      <c r="N3278" s="7" t="str">
        <f>IFERROR(__xludf.DUMMYFUNCTION("LOWER(
TRIM(
REGEXREPLACE(B3278,""[^a-zA-Z\s]"","""")
)
)
"),"shane oksanen")</f>
        <v>shane oksanen</v>
      </c>
      <c r="O3278" s="7">
        <f t="shared" si="5"/>
        <v>1</v>
      </c>
      <c r="P3278" s="8" t="str">
        <f t="shared" si="6"/>
        <v>No</v>
      </c>
    </row>
    <row r="3279">
      <c r="A3279" s="4" t="s">
        <v>16</v>
      </c>
      <c r="B3279" s="4" t="s">
        <v>9093</v>
      </c>
      <c r="C3279" s="5">
        <v>44559.0</v>
      </c>
      <c r="D3279" s="10">
        <v>44559.0</v>
      </c>
      <c r="E3279" s="4" t="s">
        <v>9094</v>
      </c>
      <c r="F3279" s="4" t="s">
        <v>9095</v>
      </c>
      <c r="G3279" s="6" t="str">
        <f>IFERROR(__xludf.DUMMYFUNCTION("REGEXREPLACE(LOWER(F3279),""[^a-z\s]"","""")"),"great products
great prices
fast shipping
employees on phone are so courteoushelpful and knowledgeable
exceptional place to shop")</f>
        <v>great products
great prices
fast shipping
employees on phone are so courteoushelpful and knowledgeable
exceptional place to shop</v>
      </c>
      <c r="H3279" s="4" t="str">
        <f t="shared" si="1"/>
        <v>great products
great prices
fast shipping
employees on phone are so courteoushelpful knowledgeable
exceptional place shop</v>
      </c>
      <c r="I3279" s="6">
        <f t="shared" si="2"/>
        <v>12</v>
      </c>
      <c r="J3279" s="6">
        <f>IFERROR(__xludf.DUMMYFUNCTION("IF(H3279="""","""",
SUM(
ARRAYFORMULA(
IF(
REGEXMATCH(
"" ""&amp;H3279&amp;"" "",
"" ""&amp;Sentiment_Words!A$2:A3730&amp;"" ""
),
1,
0
)
)
)
)"),1.0)</f>
        <v>1</v>
      </c>
      <c r="K3279" s="4">
        <f>IFERROR(__xludf.DUMMYFUNCTION("IF(H3279="""","""",
SUM(
ARRAYFORMULA(
IF(
REGEXMATCH(
"" ""&amp;H3279&amp;"" "",
"" ""&amp;Sentiment_Words!B$2:B3730&amp;"" ""
),
1,
0
)
)
)
)"),0.0)</f>
        <v>0</v>
      </c>
      <c r="L3279" s="7" t="str">
        <f t="shared" si="3"/>
        <v>Other</v>
      </c>
      <c r="M3279" s="7" t="str">
        <f t="shared" si="4"/>
        <v>Positive</v>
      </c>
      <c r="N3279" s="7" t="str">
        <f>IFERROR(__xludf.DUMMYFUNCTION("LOWER(
TRIM(
REGEXREPLACE(B3279,""[^a-zA-Z\s]"","""")
)
)
"),"mary lou")</f>
        <v>mary lou</v>
      </c>
      <c r="O3279" s="7">
        <f t="shared" si="5"/>
        <v>1</v>
      </c>
      <c r="P3279" s="8" t="str">
        <f t="shared" si="6"/>
        <v>No</v>
      </c>
    </row>
    <row r="3280">
      <c r="A3280" s="4" t="s">
        <v>16</v>
      </c>
      <c r="B3280" s="4" t="s">
        <v>9096</v>
      </c>
      <c r="C3280" s="5">
        <v>44559.0</v>
      </c>
      <c r="D3280" s="10">
        <v>44559.0</v>
      </c>
      <c r="E3280" s="4" t="s">
        <v>9097</v>
      </c>
      <c r="F3280" s="4" t="s">
        <v>9098</v>
      </c>
      <c r="G3280" s="6" t="str">
        <f>IFERROR(__xludf.DUMMYFUNCTION("REGEXREPLACE(LOWER(F3280),""[^a-z\s]"","""")"),"easy website layout and good selection of pet food i love the fromm dry cat food selection and my cat loves his treats too my cat approves petflow")</f>
        <v>easy website layout and good selection of pet food i love the fromm dry cat food selection and my cat loves his treats too my cat approves petflow</v>
      </c>
      <c r="H3280" s="4" t="str">
        <f t="shared" si="1"/>
        <v>easy website layout good selection of pet food i love fromm dry cat food selection my cat loves his treats too my cat approves petflow</v>
      </c>
      <c r="I3280" s="6">
        <f t="shared" si="2"/>
        <v>25</v>
      </c>
      <c r="J3280" s="6">
        <f>IFERROR(__xludf.DUMMYFUNCTION("IF(H3280="""","""",
SUM(
ARRAYFORMULA(
IF(
REGEXMATCH(
"" ""&amp;H3280&amp;"" "",
"" ""&amp;Sentiment_Words!A$2:A3730&amp;"" ""
),
1,
0
)
)
)
)"),3.0)</f>
        <v>3</v>
      </c>
      <c r="K3280" s="4">
        <f>IFERROR(__xludf.DUMMYFUNCTION("IF(H3280="""","""",
SUM(
ARRAYFORMULA(
IF(
REGEXMATCH(
"" ""&amp;H3280&amp;"" "",
"" ""&amp;Sentiment_Words!B$2:B3730&amp;"" ""
),
1,
0
)
)
)
)"),0.0)</f>
        <v>0</v>
      </c>
      <c r="L3280" s="7" t="str">
        <f t="shared" si="3"/>
        <v>Account &amp; Website</v>
      </c>
      <c r="M3280" s="7" t="str">
        <f t="shared" si="4"/>
        <v>Positive</v>
      </c>
      <c r="N3280" s="7" t="str">
        <f>IFERROR(__xludf.DUMMYFUNCTION("LOWER(
TRIM(
REGEXREPLACE(B3280,""[^a-zA-Z\s]"","""")
)
)
"),"doris sheinfeld")</f>
        <v>doris sheinfeld</v>
      </c>
      <c r="O3280" s="7">
        <f t="shared" si="5"/>
        <v>1</v>
      </c>
      <c r="P3280" s="8" t="str">
        <f t="shared" si="6"/>
        <v>No</v>
      </c>
    </row>
    <row r="3281">
      <c r="A3281" s="4" t="s">
        <v>16</v>
      </c>
      <c r="B3281" s="4" t="s">
        <v>9099</v>
      </c>
      <c r="C3281" s="5">
        <v>44559.0</v>
      </c>
      <c r="D3281" s="10">
        <v>44559.0</v>
      </c>
      <c r="E3281" s="4" t="s">
        <v>9100</v>
      </c>
      <c r="F3281" s="4" t="s">
        <v>9101</v>
      </c>
      <c r="G3281" s="6" t="str">
        <f>IFERROR(__xludf.DUMMYFUNCTION("REGEXREPLACE(LOWER(F3281),""[^a-z\s]"","""")"),"excellent quick delivery with best pricing  will definitely be a returning customer")</f>
        <v>excellent quick delivery with best pricing  will definitely be a returning customer</v>
      </c>
      <c r="H3281" s="4" t="str">
        <f t="shared" si="1"/>
        <v>excellent quick delivery with best pricing will definitely be a returning customer</v>
      </c>
      <c r="I3281" s="6">
        <f t="shared" si="2"/>
        <v>12</v>
      </c>
      <c r="J3281" s="6">
        <f>IFERROR(__xludf.DUMMYFUNCTION("IF(H3281="""","""",
SUM(
ARRAYFORMULA(
IF(
REGEXMATCH(
"" ""&amp;H3281&amp;"" "",
"" ""&amp;Sentiment_Words!A$2:A3730&amp;"" ""
),
1,
0
)
)
)
)"),1.0)</f>
        <v>1</v>
      </c>
      <c r="K3281" s="4">
        <f>IFERROR(__xludf.DUMMYFUNCTION("IF(H3281="""","""",
SUM(
ARRAYFORMULA(
IF(
REGEXMATCH(
"" ""&amp;H3281&amp;"" "",
"" ""&amp;Sentiment_Words!B$2:B3730&amp;"" ""
),
1,
0
)
)
)
)"),0.0)</f>
        <v>0</v>
      </c>
      <c r="L3281" s="7" t="str">
        <f t="shared" si="3"/>
        <v>Other</v>
      </c>
      <c r="M3281" s="7" t="str">
        <f t="shared" si="4"/>
        <v>Positive</v>
      </c>
      <c r="N3281" s="7" t="str">
        <f>IFERROR(__xludf.DUMMYFUNCTION("LOWER(
TRIM(
REGEXREPLACE(B3281,""[^a-zA-Z\s]"","""")
)
)
"),"tenzin yonten")</f>
        <v>tenzin yonten</v>
      </c>
      <c r="O3281" s="7">
        <f t="shared" si="5"/>
        <v>1</v>
      </c>
      <c r="P3281" s="8" t="str">
        <f t="shared" si="6"/>
        <v>No</v>
      </c>
    </row>
    <row r="3282">
      <c r="A3282" s="4" t="s">
        <v>16</v>
      </c>
      <c r="B3282" s="4" t="s">
        <v>9102</v>
      </c>
      <c r="C3282" s="5">
        <v>44559.0</v>
      </c>
      <c r="D3282" s="10">
        <v>44559.0</v>
      </c>
      <c r="E3282" s="4" t="s">
        <v>9103</v>
      </c>
      <c r="F3282" s="4" t="s">
        <v>9104</v>
      </c>
      <c r="G3282" s="6" t="str">
        <f>IFERROR(__xludf.DUMMYFUNCTION("REGEXREPLACE(LOWER(F3282),""[^a-z\s]"","""")"),"my initial shipment was damaged but the csr was extremely helpful and sent me a replacement promptly")</f>
        <v>my initial shipment was damaged but the csr was extremely helpful and sent me a replacement promptly</v>
      </c>
      <c r="H3282" s="4" t="str">
        <f t="shared" si="1"/>
        <v>my initial shipment was damaged but csr was extremely helpful sent me a replacement promptly</v>
      </c>
      <c r="I3282" s="6">
        <f t="shared" si="2"/>
        <v>15</v>
      </c>
      <c r="J3282" s="6">
        <f>IFERROR(__xludf.DUMMYFUNCTION("IF(H3282="""","""",
SUM(
ARRAYFORMULA(
IF(
REGEXMATCH(
"" ""&amp;H3282&amp;"" "",
"" ""&amp;Sentiment_Words!A$2:A3730&amp;"" ""
),
1,
0
)
)
)
)"),1.0)</f>
        <v>1</v>
      </c>
      <c r="K3282" s="4">
        <f>IFERROR(__xludf.DUMMYFUNCTION("IF(H3282="""","""",
SUM(
ARRAYFORMULA(
IF(
REGEXMATCH(
"" ""&amp;H3282&amp;"" "",
"" ""&amp;Sentiment_Words!B$2:B3730&amp;"" ""
),
1,
0
)
)
)
)"),0.0)</f>
        <v>0</v>
      </c>
      <c r="L3282" s="7" t="str">
        <f t="shared" si="3"/>
        <v>Other</v>
      </c>
      <c r="M3282" s="7" t="str">
        <f t="shared" si="4"/>
        <v>Positive</v>
      </c>
      <c r="N3282" s="7" t="str">
        <f>IFERROR(__xludf.DUMMYFUNCTION("LOWER(
TRIM(
REGEXREPLACE(B3282,""[^a-zA-Z\s]"","""")
)
)
"),"debra g")</f>
        <v>debra g</v>
      </c>
      <c r="O3282" s="7">
        <f t="shared" si="5"/>
        <v>1</v>
      </c>
      <c r="P3282" s="8" t="str">
        <f t="shared" si="6"/>
        <v>No</v>
      </c>
    </row>
    <row r="3283">
      <c r="A3283" s="4" t="s">
        <v>16</v>
      </c>
      <c r="B3283" s="4" t="s">
        <v>9105</v>
      </c>
      <c r="C3283" s="5">
        <v>44558.0</v>
      </c>
      <c r="D3283" s="10">
        <v>44558.0</v>
      </c>
      <c r="E3283" s="4" t="s">
        <v>9106</v>
      </c>
      <c r="F3283" s="4" t="s">
        <v>9107</v>
      </c>
      <c r="G3283" s="6" t="str">
        <f>IFERROR(__xludf.DUMMYFUNCTION("REGEXREPLACE(LOWER(F3283),""[^a-z\s]"","""")"),"its been over two weeks and i have yet to receive a shipping confirmation will likely dispute order")</f>
        <v>its been over two weeks and i have yet to receive a shipping confirmation will likely dispute order</v>
      </c>
      <c r="H3283" s="4" t="str">
        <f t="shared" si="1"/>
        <v>its been over two weeks i have yet receive a shipping confirmation will likely dispute order</v>
      </c>
      <c r="I3283" s="6">
        <f t="shared" si="2"/>
        <v>16</v>
      </c>
      <c r="J3283" s="6">
        <f>IFERROR(__xludf.DUMMYFUNCTION("IF(H3283="""","""",
SUM(
ARRAYFORMULA(
IF(
REGEXMATCH(
"" ""&amp;H3283&amp;"" "",
"" ""&amp;Sentiment_Words!A$2:A3730&amp;"" ""
),
1,
0
)
)
)
)"),0.0)</f>
        <v>0</v>
      </c>
      <c r="K3283" s="4">
        <f>IFERROR(__xludf.DUMMYFUNCTION("IF(H3283="""","""",
SUM(
ARRAYFORMULA(
IF(
REGEXMATCH(
"" ""&amp;H3283&amp;"" "",
"" ""&amp;Sentiment_Words!B$2:B3730&amp;"" ""
),
1,
0
)
)
)
)"),0.0)</f>
        <v>0</v>
      </c>
      <c r="L3283" s="7" t="str">
        <f t="shared" si="3"/>
        <v>Other</v>
      </c>
      <c r="M3283" s="7" t="str">
        <f t="shared" si="4"/>
        <v>Neutral</v>
      </c>
      <c r="N3283" s="7" t="str">
        <f>IFERROR(__xludf.DUMMYFUNCTION("LOWER(
TRIM(
REGEXREPLACE(B3283,""[^a-zA-Z\s]"","""")
)
)
"),"john daniels")</f>
        <v>john daniels</v>
      </c>
      <c r="O3283" s="7">
        <f t="shared" si="5"/>
        <v>1</v>
      </c>
      <c r="P3283" s="8" t="str">
        <f t="shared" si="6"/>
        <v>No</v>
      </c>
    </row>
    <row r="3284">
      <c r="A3284" s="4" t="s">
        <v>16</v>
      </c>
      <c r="B3284" s="4" t="s">
        <v>9108</v>
      </c>
      <c r="C3284" s="5">
        <v>44558.0</v>
      </c>
      <c r="D3284" s="10">
        <v>44558.0</v>
      </c>
      <c r="E3284" s="4" t="s">
        <v>9109</v>
      </c>
      <c r="F3284" s="4" t="s">
        <v>9110</v>
      </c>
      <c r="G3284" s="6" t="str">
        <f>IFERROR(__xludf.DUMMYFUNCTION("REGEXREPLACE(LOWER(F3284),""[^a-z\s]"","""")"),"received exactly what i ordered and in excellent condition thank you")</f>
        <v>received exactly what i ordered and in excellent condition thank you</v>
      </c>
      <c r="H3284" s="4" t="str">
        <f t="shared" si="1"/>
        <v>received exactly what i ordered in excellent condition thank you</v>
      </c>
      <c r="I3284" s="6">
        <f t="shared" si="2"/>
        <v>10</v>
      </c>
      <c r="J3284" s="6">
        <f>IFERROR(__xludf.DUMMYFUNCTION("IF(H3284="""","""",
SUM(
ARRAYFORMULA(
IF(
REGEXMATCH(
"" ""&amp;H3284&amp;"" "",
"" ""&amp;Sentiment_Words!A$2:A3730&amp;"" ""
),
1,
0
)
)
)
)"),0.0)</f>
        <v>0</v>
      </c>
      <c r="K3284" s="4">
        <f>IFERROR(__xludf.DUMMYFUNCTION("IF(H3284="""","""",
SUM(
ARRAYFORMULA(
IF(
REGEXMATCH(
"" ""&amp;H3284&amp;"" "",
"" ""&amp;Sentiment_Words!B$2:B3730&amp;"" ""
),
1,
0
)
)
)
)"),0.0)</f>
        <v>0</v>
      </c>
      <c r="L3284" s="7" t="str">
        <f t="shared" si="3"/>
        <v>Other</v>
      </c>
      <c r="M3284" s="7" t="str">
        <f t="shared" si="4"/>
        <v>Neutral</v>
      </c>
      <c r="N3284" s="7" t="str">
        <f>IFERROR(__xludf.DUMMYFUNCTION("LOWER(
TRIM(
REGEXREPLACE(B3284,""[^a-zA-Z\s]"","""")
)
)
"),"theresa h")</f>
        <v>theresa h</v>
      </c>
      <c r="O3284" s="7">
        <f t="shared" si="5"/>
        <v>1</v>
      </c>
      <c r="P3284" s="8" t="str">
        <f t="shared" si="6"/>
        <v>No</v>
      </c>
    </row>
    <row r="3285">
      <c r="A3285" s="4" t="s">
        <v>16</v>
      </c>
      <c r="B3285" s="4" t="s">
        <v>9111</v>
      </c>
      <c r="C3285" s="5">
        <v>44558.0</v>
      </c>
      <c r="D3285" s="10">
        <v>44558.0</v>
      </c>
      <c r="E3285" s="4" t="s">
        <v>9112</v>
      </c>
      <c r="F3285" s="4" t="s">
        <v>9113</v>
      </c>
      <c r="G3285" s="6" t="str">
        <f>IFERROR(__xludf.DUMMYFUNCTION("REGEXREPLACE(LOWER(F3285),""[^a-z\s]"","""")"),"i love using petflow they have wonderful options for my dog and good communication on orders highly recommend")</f>
        <v>i love using petflow they have wonderful options for my dog and good communication on orders highly recommend</v>
      </c>
      <c r="H3285" s="4" t="str">
        <f t="shared" si="1"/>
        <v>i love using petflow they have wonderful options my dog good communication on orders highly recommend</v>
      </c>
      <c r="I3285" s="6">
        <f t="shared" si="2"/>
        <v>16</v>
      </c>
      <c r="J3285" s="6">
        <f>IFERROR(__xludf.DUMMYFUNCTION("IF(H3285="""","""",
SUM(
ARRAYFORMULA(
IF(
REGEXMATCH(
"" ""&amp;H3285&amp;"" "",
"" ""&amp;Sentiment_Words!A$2:A3730&amp;"" ""
),
1,
0
)
)
)
)"),3.0)</f>
        <v>3</v>
      </c>
      <c r="K3285" s="4">
        <f>IFERROR(__xludf.DUMMYFUNCTION("IF(H3285="""","""",
SUM(
ARRAYFORMULA(
IF(
REGEXMATCH(
"" ""&amp;H3285&amp;"" "",
"" ""&amp;Sentiment_Words!B$2:B3730&amp;"" ""
),
1,
0
)
)
)
)"),0.0)</f>
        <v>0</v>
      </c>
      <c r="L3285" s="7" t="str">
        <f t="shared" si="3"/>
        <v>Other</v>
      </c>
      <c r="M3285" s="7" t="str">
        <f t="shared" si="4"/>
        <v>Positive</v>
      </c>
      <c r="N3285" s="7" t="str">
        <f>IFERROR(__xludf.DUMMYFUNCTION("LOWER(
TRIM(
REGEXREPLACE(B3285,""[^a-zA-Z\s]"","""")
)
)
"),"greg reed")</f>
        <v>greg reed</v>
      </c>
      <c r="O3285" s="7">
        <f t="shared" si="5"/>
        <v>1</v>
      </c>
      <c r="P3285" s="8" t="str">
        <f t="shared" si="6"/>
        <v>No</v>
      </c>
    </row>
    <row r="3286">
      <c r="A3286" s="4" t="s">
        <v>16</v>
      </c>
      <c r="B3286" s="4" t="s">
        <v>9114</v>
      </c>
      <c r="C3286" s="5">
        <v>44558.0</v>
      </c>
      <c r="D3286" s="10">
        <v>44558.0</v>
      </c>
      <c r="E3286" s="4" t="s">
        <v>9115</v>
      </c>
      <c r="F3286" s="4" t="s">
        <v>9116</v>
      </c>
      <c r="G3286" s="6" t="str">
        <f>IFERROR(__xludf.DUMMYFUNCTION("REGEXREPLACE(LOWER(F3286),""[^a-z\s]"","""")"),"very nice better than expected we purchased it for ferrell cats to stay warm we set it up in our house and our cat thinks its his new house he loves it")</f>
        <v>very nice better than expected we purchased it for ferrell cats to stay warm we set it up in our house and our cat thinks its his new house he loves it</v>
      </c>
      <c r="H3286" s="4" t="str">
        <f t="shared" si="1"/>
        <v>very nice better than expected we purchased it ferrell cats stay warm we set it up in our house our cat thinks its his new house he loves it</v>
      </c>
      <c r="I3286" s="6">
        <f t="shared" si="2"/>
        <v>29</v>
      </c>
      <c r="J3286" s="6">
        <f>IFERROR(__xludf.DUMMYFUNCTION("IF(H3286="""","""",
SUM(
ARRAYFORMULA(
IF(
REGEXMATCH(
"" ""&amp;H3286&amp;"" "",
"" ""&amp;Sentiment_Words!A$2:A3730&amp;"" ""
),
1,
0
)
)
)
)"),0.0)</f>
        <v>0</v>
      </c>
      <c r="K3286" s="4">
        <f>IFERROR(__xludf.DUMMYFUNCTION("IF(H3286="""","""",
SUM(
ARRAYFORMULA(
IF(
REGEXMATCH(
"" ""&amp;H3286&amp;"" "",
"" ""&amp;Sentiment_Words!B$2:B3730&amp;"" ""
),
1,
0
)
)
)
)"),0.0)</f>
        <v>0</v>
      </c>
      <c r="L3286" s="7" t="str">
        <f t="shared" si="3"/>
        <v>Other</v>
      </c>
      <c r="M3286" s="7" t="str">
        <f t="shared" si="4"/>
        <v>Neutral</v>
      </c>
      <c r="N3286" s="7" t="str">
        <f>IFERROR(__xludf.DUMMYFUNCTION("LOWER(
TRIM(
REGEXREPLACE(B3286,""[^a-zA-Z\s]"","""")
)
)
"),"vla")</f>
        <v>vla</v>
      </c>
      <c r="O3286" s="7">
        <f t="shared" si="5"/>
        <v>1</v>
      </c>
      <c r="P3286" s="8" t="str">
        <f t="shared" si="6"/>
        <v>No</v>
      </c>
    </row>
    <row r="3287">
      <c r="A3287" s="4" t="s">
        <v>16</v>
      </c>
      <c r="B3287" s="4" t="s">
        <v>9117</v>
      </c>
      <c r="C3287" s="5">
        <v>44558.0</v>
      </c>
      <c r="D3287" s="10">
        <v>44558.0</v>
      </c>
      <c r="E3287" s="4" t="s">
        <v>4041</v>
      </c>
      <c r="F3287" s="4" t="s">
        <v>9118</v>
      </c>
      <c r="G3287" s="6" t="str">
        <f>IFERROR(__xludf.DUMMYFUNCTION("REGEXREPLACE(LOWER(F3287),""[^a-z\s]"","""")"),"petflows customer service is exceptional the website is easy to navigate and check out super fast shipping")</f>
        <v>petflows customer service is exceptional the website is easy to navigate and check out super fast shipping</v>
      </c>
      <c r="H3287" s="4" t="str">
        <f t="shared" si="1"/>
        <v>petflows customer service exceptional website easy navigate check out super fast shipping</v>
      </c>
      <c r="I3287" s="6">
        <f t="shared" si="2"/>
        <v>12</v>
      </c>
      <c r="J3287" s="6">
        <f>IFERROR(__xludf.DUMMYFUNCTION("IF(H3287="""","""",
SUM(
ARRAYFORMULA(
IF(
REGEXMATCH(
"" ""&amp;H3287&amp;"" "",
"" ""&amp;Sentiment_Words!A$2:A3730&amp;"" ""
),
1,
0
)
)
)
)"),2.0)</f>
        <v>2</v>
      </c>
      <c r="K3287" s="4">
        <f>IFERROR(__xludf.DUMMYFUNCTION("IF(H3287="""","""",
SUM(
ARRAYFORMULA(
IF(
REGEXMATCH(
"" ""&amp;H3287&amp;"" "",
"" ""&amp;Sentiment_Words!B$2:B3730&amp;"" ""
),
1,
0
)
)
)
)"),1.0)</f>
        <v>1</v>
      </c>
      <c r="L3287" s="7" t="str">
        <f t="shared" si="3"/>
        <v>Customer Support</v>
      </c>
      <c r="M3287" s="7" t="str">
        <f t="shared" si="4"/>
        <v>Positive</v>
      </c>
      <c r="N3287" s="7" t="str">
        <f>IFERROR(__xludf.DUMMYFUNCTION("LOWER(
TRIM(
REGEXREPLACE(B3287,""[^a-zA-Z\s]"","""")
)
)
"),"kirsten")</f>
        <v>kirsten</v>
      </c>
      <c r="O3287" s="7">
        <f t="shared" si="5"/>
        <v>1</v>
      </c>
      <c r="P3287" s="8" t="str">
        <f t="shared" si="6"/>
        <v>No</v>
      </c>
    </row>
    <row r="3288">
      <c r="A3288" s="4" t="s">
        <v>16</v>
      </c>
      <c r="B3288" s="4" t="s">
        <v>9119</v>
      </c>
      <c r="C3288" s="5">
        <v>44557.0</v>
      </c>
      <c r="D3288" s="10">
        <v>44558.0</v>
      </c>
      <c r="E3288" s="4" t="s">
        <v>9120</v>
      </c>
      <c r="F3288" s="4" t="s">
        <v>9121</v>
      </c>
      <c r="G3288" s="6" t="str">
        <f>IFERROR(__xludf.DUMMYFUNCTION("REGEXREPLACE(LOWER(F3288),""[^a-z\s]"","""")"),"pet flow continues to carry the special dog food that i require for my pet at a good price and they ship it super fast very satisfied with their service")</f>
        <v>pet flow continues to carry the special dog food that i require for my pet at a good price and they ship it super fast very satisfied with their service</v>
      </c>
      <c r="H3288" s="4" t="str">
        <f t="shared" si="1"/>
        <v>pet flow continues carry special dog food that i require my pet at a good price they ship it super fast very satisfied with their service</v>
      </c>
      <c r="I3288" s="6">
        <f t="shared" si="2"/>
        <v>26</v>
      </c>
      <c r="J3288" s="6">
        <f>IFERROR(__xludf.DUMMYFUNCTION("IF(H3288="""","""",
SUM(
ARRAYFORMULA(
IF(
REGEXMATCH(
"" ""&amp;H3288&amp;"" "",
"" ""&amp;Sentiment_Words!A$2:A3730&amp;"" ""
),
1,
0
)
)
)
)"),3.0)</f>
        <v>3</v>
      </c>
      <c r="K3288" s="4">
        <f>IFERROR(__xludf.DUMMYFUNCTION("IF(H3288="""","""",
SUM(
ARRAYFORMULA(
IF(
REGEXMATCH(
"" ""&amp;H3288&amp;"" "",
"" ""&amp;Sentiment_Words!B$2:B3730&amp;"" ""
),
1,
0
)
)
)
)"),0.0)</f>
        <v>0</v>
      </c>
      <c r="L3288" s="7" t="str">
        <f t="shared" si="3"/>
        <v>Customer Support</v>
      </c>
      <c r="M3288" s="7" t="str">
        <f t="shared" si="4"/>
        <v>Positive</v>
      </c>
      <c r="N3288" s="7" t="str">
        <f>IFERROR(__xludf.DUMMYFUNCTION("LOWER(
TRIM(
REGEXREPLACE(B3288,""[^a-zA-Z\s]"","""")
)
)
"),"gary trevillyan")</f>
        <v>gary trevillyan</v>
      </c>
      <c r="O3288" s="7">
        <f t="shared" si="5"/>
        <v>1</v>
      </c>
      <c r="P3288" s="8" t="str">
        <f t="shared" si="6"/>
        <v>No</v>
      </c>
    </row>
    <row r="3289">
      <c r="A3289" s="4" t="s">
        <v>16</v>
      </c>
      <c r="B3289" s="4" t="s">
        <v>9122</v>
      </c>
      <c r="C3289" s="5">
        <v>44557.0</v>
      </c>
      <c r="D3289" s="10">
        <v>44558.0</v>
      </c>
      <c r="E3289" s="4" t="s">
        <v>9123</v>
      </c>
      <c r="F3289" s="4" t="s">
        <v>9124</v>
      </c>
      <c r="G3289" s="6" t="str">
        <f>IFERROR(__xludf.DUMMYFUNCTION("REGEXREPLACE(LOWER(F3289),""[^a-z\s]"","""")"),"petflow offers a wide variety of limited ingredient snacks for my dogs and the prices are very reasonable")</f>
        <v>petflow offers a wide variety of limited ingredient snacks for my dogs and the prices are very reasonable</v>
      </c>
      <c r="H3289" s="4" t="str">
        <f t="shared" si="1"/>
        <v>petflow offers a wide variety of limited ingredient snacks my dogs prices are very reasonable</v>
      </c>
      <c r="I3289" s="6">
        <f t="shared" si="2"/>
        <v>15</v>
      </c>
      <c r="J3289" s="6">
        <f>IFERROR(__xludf.DUMMYFUNCTION("IF(H3289="""","""",
SUM(
ARRAYFORMULA(
IF(
REGEXMATCH(
"" ""&amp;H3289&amp;"" "",
"" ""&amp;Sentiment_Words!A$2:A3730&amp;"" ""
),
1,
0
)
)
)
)"),0.0)</f>
        <v>0</v>
      </c>
      <c r="K3289" s="4">
        <f>IFERROR(__xludf.DUMMYFUNCTION("IF(H3289="""","""",
SUM(
ARRAYFORMULA(
IF(
REGEXMATCH(
"" ""&amp;H3289&amp;"" "",
"" ""&amp;Sentiment_Words!B$2:B3730&amp;"" ""
),
1,
0
)
)
)
)"),0.0)</f>
        <v>0</v>
      </c>
      <c r="L3289" s="7" t="str">
        <f t="shared" si="3"/>
        <v>Other</v>
      </c>
      <c r="M3289" s="7" t="str">
        <f t="shared" si="4"/>
        <v>Neutral</v>
      </c>
      <c r="N3289" s="7" t="str">
        <f>IFERROR(__xludf.DUMMYFUNCTION("LOWER(
TRIM(
REGEXREPLACE(B3289,""[^a-zA-Z\s]"","""")
)
)
"),"jean anne")</f>
        <v>jean anne</v>
      </c>
      <c r="O3289" s="7">
        <f t="shared" si="5"/>
        <v>1</v>
      </c>
      <c r="P3289" s="8" t="str">
        <f t="shared" si="6"/>
        <v>No</v>
      </c>
    </row>
    <row r="3290">
      <c r="A3290" s="4" t="s">
        <v>16</v>
      </c>
      <c r="B3290" s="4" t="s">
        <v>9125</v>
      </c>
      <c r="C3290" s="5">
        <v>44557.0</v>
      </c>
      <c r="D3290" s="10">
        <v>44557.0</v>
      </c>
      <c r="E3290" s="4" t="s">
        <v>9126</v>
      </c>
      <c r="F3290" s="4" t="s">
        <v>331</v>
      </c>
      <c r="G3290" s="6" t="str">
        <f>IFERROR(__xludf.DUMMYFUNCTION("REGEXREPLACE(LOWER(F3290),""[^a-z\s]"","""")"),"none")</f>
        <v>none</v>
      </c>
      <c r="H3290" s="4" t="str">
        <f t="shared" si="1"/>
        <v>none</v>
      </c>
      <c r="I3290" s="6">
        <f t="shared" si="2"/>
        <v>1</v>
      </c>
      <c r="J3290" s="6">
        <f>IFERROR(__xludf.DUMMYFUNCTION("IF(H3290="""","""",
SUM(
ARRAYFORMULA(
IF(
REGEXMATCH(
"" ""&amp;H3290&amp;"" "",
"" ""&amp;Sentiment_Words!A$2:A3730&amp;"" ""
),
1,
0
)
)
)
)"),0.0)</f>
        <v>0</v>
      </c>
      <c r="K3290" s="4">
        <f>IFERROR(__xludf.DUMMYFUNCTION("IF(H3290="""","""",
SUM(
ARRAYFORMULA(
IF(
REGEXMATCH(
"" ""&amp;H3290&amp;"" "",
"" ""&amp;Sentiment_Words!B$2:B3730&amp;"" ""
),
1,
0
)
)
)
)"),0.0)</f>
        <v>0</v>
      </c>
      <c r="L3290" s="7" t="str">
        <f t="shared" si="3"/>
        <v>Other</v>
      </c>
      <c r="M3290" s="7" t="str">
        <f t="shared" si="4"/>
        <v>Neutral</v>
      </c>
      <c r="N3290" s="7" t="str">
        <f>IFERROR(__xludf.DUMMYFUNCTION("LOWER(
TRIM(
REGEXREPLACE(B3290,""[^a-zA-Z\s]"","""")
)
)
"),"tomd")</f>
        <v>tomd</v>
      </c>
      <c r="O3290" s="7">
        <f t="shared" si="5"/>
        <v>1</v>
      </c>
      <c r="P3290" s="8" t="str">
        <f t="shared" si="6"/>
        <v>No</v>
      </c>
    </row>
    <row r="3291">
      <c r="A3291" s="4" t="s">
        <v>16</v>
      </c>
      <c r="B3291" s="4" t="s">
        <v>9127</v>
      </c>
      <c r="C3291" s="5">
        <v>44557.0</v>
      </c>
      <c r="D3291" s="10">
        <v>44557.0</v>
      </c>
      <c r="E3291" s="4" t="s">
        <v>9128</v>
      </c>
      <c r="F3291" s="4" t="s">
        <v>331</v>
      </c>
      <c r="G3291" s="6" t="str">
        <f>IFERROR(__xludf.DUMMYFUNCTION("REGEXREPLACE(LOWER(F3291),""[^a-z\s]"","""")"),"none")</f>
        <v>none</v>
      </c>
      <c r="H3291" s="4" t="str">
        <f t="shared" si="1"/>
        <v>none</v>
      </c>
      <c r="I3291" s="6">
        <f t="shared" si="2"/>
        <v>1</v>
      </c>
      <c r="J3291" s="6">
        <f>IFERROR(__xludf.DUMMYFUNCTION("IF(H3291="""","""",
SUM(
ARRAYFORMULA(
IF(
REGEXMATCH(
"" ""&amp;H3291&amp;"" "",
"" ""&amp;Sentiment_Words!A$2:A3730&amp;"" ""
),
1,
0
)
)
)
)"),0.0)</f>
        <v>0</v>
      </c>
      <c r="K3291" s="4">
        <f>IFERROR(__xludf.DUMMYFUNCTION("IF(H3291="""","""",
SUM(
ARRAYFORMULA(
IF(
REGEXMATCH(
"" ""&amp;H3291&amp;"" "",
"" ""&amp;Sentiment_Words!B$2:B3730&amp;"" ""
),
1,
0
)
)
)
)"),0.0)</f>
        <v>0</v>
      </c>
      <c r="L3291" s="7" t="str">
        <f t="shared" si="3"/>
        <v>Other</v>
      </c>
      <c r="M3291" s="7" t="str">
        <f t="shared" si="4"/>
        <v>Neutral</v>
      </c>
      <c r="N3291" s="7" t="str">
        <f>IFERROR(__xludf.DUMMYFUNCTION("LOWER(
TRIM(
REGEXREPLACE(B3291,""[^a-zA-Z\s]"","""")
)
)
"),"neita buscher")</f>
        <v>neita buscher</v>
      </c>
      <c r="O3291" s="7">
        <f t="shared" si="5"/>
        <v>1</v>
      </c>
      <c r="P3291" s="8" t="str">
        <f t="shared" si="6"/>
        <v>No</v>
      </c>
    </row>
    <row r="3292">
      <c r="A3292" s="4" t="s">
        <v>16</v>
      </c>
      <c r="B3292" s="4" t="s">
        <v>9129</v>
      </c>
      <c r="C3292" s="5">
        <v>44556.0</v>
      </c>
      <c r="D3292" s="10">
        <v>44557.0</v>
      </c>
      <c r="E3292" s="4" t="s">
        <v>9130</v>
      </c>
      <c r="F3292" s="4" t="s">
        <v>9131</v>
      </c>
      <c r="G3292" s="6" t="str">
        <f>IFERROR(__xludf.DUMMYFUNCTION("REGEXREPLACE(LOWER(F3292),""[^a-z\s]"","""")"),"i was sucked in by the promise of a discount in exchange for my email address then i couldnt use the discount because it had a previously undisclosed minimum order requirement which was extremely high i felt tricked i would normally order  bag of dog food"&amp;" at a time but i ordered  in order to get over the amount required for free shipping i would have had to have ordered  bags to get the discount")</f>
        <v>i was sucked in by the promise of a discount in exchange for my email address then i couldnt use the discount because it had a previously undisclosed minimum order requirement which was extremely high i felt tricked i would normally order  bag of dog food at a time but i ordered  in order to get over the amount required for free shipping i would have had to have ordered  bags to get the discount</v>
      </c>
      <c r="H3292" s="4" t="str">
        <f t="shared" si="1"/>
        <v>i was sucked in by promise of a discount in exchange my email address then i couldnt use discount because it had a previously undisclosed minimum order requirement which was extremely high i felt tricked i would normally order bag of dog food at a time but i ordered in order get over amount required free shipping i would have had have ordered bags get discount</v>
      </c>
      <c r="I3292" s="6">
        <f t="shared" si="2"/>
        <v>66</v>
      </c>
      <c r="J3292" s="6">
        <f>IFERROR(__xludf.DUMMYFUNCTION("IF(H3292="""","""",
SUM(
ARRAYFORMULA(
IF(
REGEXMATCH(
"" ""&amp;H3292&amp;"" "",
"" ""&amp;Sentiment_Words!A$2:A3730&amp;"" ""
),
1,
0
)
)
)
)"),0.0)</f>
        <v>0</v>
      </c>
      <c r="K3292" s="4">
        <f>IFERROR(__xludf.DUMMYFUNCTION("IF(H3292="""","""",
SUM(
ARRAYFORMULA(
IF(
REGEXMATCH(
"" ""&amp;H3292&amp;"" "",
"" ""&amp;Sentiment_Words!B$2:B3730&amp;"" ""
),
1,
0
)
)
)
)"),0.0)</f>
        <v>0</v>
      </c>
      <c r="L3292" s="7" t="str">
        <f t="shared" si="3"/>
        <v>Other</v>
      </c>
      <c r="M3292" s="7" t="str">
        <f t="shared" si="4"/>
        <v>Neutral</v>
      </c>
      <c r="N3292" s="7" t="str">
        <f>IFERROR(__xludf.DUMMYFUNCTION("LOWER(
TRIM(
REGEXREPLACE(B3292,""[^a-zA-Z\s]"","""")
)
)
"),"rita miller")</f>
        <v>rita miller</v>
      </c>
      <c r="O3292" s="7">
        <f t="shared" si="5"/>
        <v>1</v>
      </c>
      <c r="P3292" s="8" t="str">
        <f t="shared" si="6"/>
        <v>No</v>
      </c>
    </row>
    <row r="3293">
      <c r="A3293" s="4" t="s">
        <v>16</v>
      </c>
      <c r="B3293" s="4" t="s">
        <v>9132</v>
      </c>
      <c r="C3293" s="5">
        <v>44556.0</v>
      </c>
      <c r="D3293" s="10">
        <v>44556.0</v>
      </c>
      <c r="E3293" s="4" t="s">
        <v>9133</v>
      </c>
      <c r="F3293" s="4" t="s">
        <v>9134</v>
      </c>
      <c r="G3293" s="6" t="str">
        <f>IFERROR(__xludf.DUMMYFUNCTION("REGEXREPLACE(LOWER(F3293),""[^a-z\s]"","""")"),"service extremely quick and they seem to have a supply over and above what other entities have on hand first time with petflow but will certainly look to them as an option in the future")</f>
        <v>service extremely quick and they seem to have a supply over and above what other entities have on hand first time with petflow but will certainly look to them as an option in the future</v>
      </c>
      <c r="H3293" s="4" t="str">
        <f t="shared" si="1"/>
        <v>service extremely quick they seem have a supply over above what other entities have on hand first time with petflow but will certainly look them as an option in future</v>
      </c>
      <c r="I3293" s="6">
        <f t="shared" si="2"/>
        <v>30</v>
      </c>
      <c r="J3293" s="6">
        <f>IFERROR(__xludf.DUMMYFUNCTION("IF(H3293="""","""",
SUM(
ARRAYFORMULA(
IF(
REGEXMATCH(
"" ""&amp;H3293&amp;"" "",
"" ""&amp;Sentiment_Words!A$2:A3730&amp;"" ""
),
1,
0
)
)
)
)"),0.0)</f>
        <v>0</v>
      </c>
      <c r="K3293" s="4">
        <f>IFERROR(__xludf.DUMMYFUNCTION("IF(H3293="""","""",
SUM(
ARRAYFORMULA(
IF(
REGEXMATCH(
"" ""&amp;H3293&amp;"" "",
"" ""&amp;Sentiment_Words!B$2:B3730&amp;"" ""
),
1,
0
)
)
)
)"),0.0)</f>
        <v>0</v>
      </c>
      <c r="L3293" s="7" t="str">
        <f t="shared" si="3"/>
        <v>Customer Support</v>
      </c>
      <c r="M3293" s="7" t="str">
        <f t="shared" si="4"/>
        <v>Neutral</v>
      </c>
      <c r="N3293" s="7" t="str">
        <f>IFERROR(__xludf.DUMMYFUNCTION("LOWER(
TRIM(
REGEXREPLACE(B3293,""[^a-zA-Z\s]"","""")
)
)
"),"deborah b")</f>
        <v>deborah b</v>
      </c>
      <c r="O3293" s="7">
        <f t="shared" si="5"/>
        <v>1</v>
      </c>
      <c r="P3293" s="8" t="str">
        <f t="shared" si="6"/>
        <v>No</v>
      </c>
    </row>
    <row r="3294">
      <c r="A3294" s="4" t="s">
        <v>16</v>
      </c>
      <c r="B3294" s="4" t="s">
        <v>9135</v>
      </c>
      <c r="C3294" s="5">
        <v>44555.0</v>
      </c>
      <c r="D3294" s="10">
        <v>44555.0</v>
      </c>
      <c r="E3294" s="4" t="s">
        <v>9136</v>
      </c>
      <c r="F3294" s="4" t="s">
        <v>9137</v>
      </c>
      <c r="G3294" s="6" t="str">
        <f>IFERROR(__xludf.DUMMYFUNCTION("REGEXREPLACE(LOWER(F3294),""[^a-z\s]"","""")"),"ive used petflow for years and have always received top notch service i love the enormous variety of products available for my  dogs and ive easily found the best products for each  is  and the other is  they also include the sources for the products whic"&amp;"h i find very important deliveries have always been on time and my dogs are so excited to have their own deliveries additionally i always receive notification of upcoming deliveries well before the shipping date and i can easily adjust my order getting th"&amp;"e best for my boys could not be easier i would highly recommend petflow and hope you enjoy them as much we do")</f>
        <v>ive used petflow for years and have always received top notch service i love the enormous variety of products available for my  dogs and ive easily found the best products for each  is  and the other is  they also include the sources for the products which i find very important deliveries have always been on time and my dogs are so excited to have their own deliveries additionally i always receive notification of upcoming deliveries well before the shipping date and i can easily adjust my order getting the best for my boys could not be easier i would highly recommend petflow and hope you enjoy them as much we do</v>
      </c>
      <c r="H3294" s="4" t="str">
        <f t="shared" si="1"/>
        <v>ive used petflow years have always received top notch service i love enormous variety of products available my dogs ive easily found best products each other they also include sources products which i find very important deliveries have always been on time my dogs are so excited have their own deliveries additionally i always receive notification of upcoming deliveries well before shipping date i can easily adjust my order getting best my boys could not be easier i would highly recommend petflow hope you enjoy them as much we do</v>
      </c>
      <c r="I3294" s="6">
        <f t="shared" si="2"/>
        <v>90</v>
      </c>
      <c r="J3294" s="6">
        <f>IFERROR(__xludf.DUMMYFUNCTION("IF(H3294="""","""",
SUM(
ARRAYFORMULA(
IF(
REGEXMATCH(
"" ""&amp;H3294&amp;"" "",
"" ""&amp;Sentiment_Words!A$2:A3730&amp;"" ""
),
1,
0
)
)
)
)"),4.0)</f>
        <v>4</v>
      </c>
      <c r="K3294" s="4">
        <f>IFERROR(__xludf.DUMMYFUNCTION("IF(H3294="""","""",
SUM(
ARRAYFORMULA(
IF(
REGEXMATCH(
"" ""&amp;H3294&amp;"" "",
"" ""&amp;Sentiment_Words!B$2:B3730&amp;"" ""
),
1,
0
)
)
)
)"),0.0)</f>
        <v>0</v>
      </c>
      <c r="L3294" s="7" t="str">
        <f t="shared" si="3"/>
        <v>Customer Support</v>
      </c>
      <c r="M3294" s="7" t="str">
        <f t="shared" si="4"/>
        <v>Positive</v>
      </c>
      <c r="N3294" s="7" t="str">
        <f>IFERROR(__xludf.DUMMYFUNCTION("LOWER(
TRIM(
REGEXREPLACE(B3294,""[^a-zA-Z\s]"","""")
)
)
"),"sandee")</f>
        <v>sandee</v>
      </c>
      <c r="O3294" s="7">
        <f t="shared" si="5"/>
        <v>1</v>
      </c>
      <c r="P3294" s="8" t="str">
        <f t="shared" si="6"/>
        <v>No</v>
      </c>
    </row>
    <row r="3295">
      <c r="A3295" s="4" t="s">
        <v>16</v>
      </c>
      <c r="B3295" s="4" t="s">
        <v>9138</v>
      </c>
      <c r="C3295" s="5">
        <v>44555.0</v>
      </c>
      <c r="D3295" s="10">
        <v>44555.0</v>
      </c>
      <c r="E3295" s="4" t="s">
        <v>9139</v>
      </c>
      <c r="F3295" s="4" t="s">
        <v>9140</v>
      </c>
      <c r="G3295" s="6" t="str">
        <f>IFERROR(__xludf.DUMMYFUNCTION("REGEXREPLACE(LOWER(F3295),""[^a-z\s]"","""")"),"pet flow is wonderful but the delivery leaves much to be desired fed ex refuses to bring my packages to my front door instead they are left in the street")</f>
        <v>pet flow is wonderful but the delivery leaves much to be desired fed ex refuses to bring my packages to my front door instead they are left in the street</v>
      </c>
      <c r="H3295" s="4" t="str">
        <f t="shared" si="1"/>
        <v>pet flow wonderful but delivery leaves much be desired fed ex refuses bring my packages my front door instead they are left in street</v>
      </c>
      <c r="I3295" s="6">
        <f t="shared" si="2"/>
        <v>24</v>
      </c>
      <c r="J3295" s="6">
        <f>IFERROR(__xludf.DUMMYFUNCTION("IF(H3295="""","""",
SUM(
ARRAYFORMULA(
IF(
REGEXMATCH(
"" ""&amp;H3295&amp;"" "",
"" ""&amp;Sentiment_Words!A$2:A3730&amp;"" ""
),
1,
0
)
)
)
)"),1.0)</f>
        <v>1</v>
      </c>
      <c r="K3295" s="4">
        <f>IFERROR(__xludf.DUMMYFUNCTION("IF(H3295="""","""",
SUM(
ARRAYFORMULA(
IF(
REGEXMATCH(
"" ""&amp;H3295&amp;"" "",
"" ""&amp;Sentiment_Words!B$2:B3730&amp;"" ""
),
1,
0
)
)
)
)"),0.0)</f>
        <v>0</v>
      </c>
      <c r="L3295" s="7" t="str">
        <f t="shared" si="3"/>
        <v>Other</v>
      </c>
      <c r="M3295" s="7" t="str">
        <f t="shared" si="4"/>
        <v>Positive</v>
      </c>
      <c r="N3295" s="7" t="str">
        <f>IFERROR(__xludf.DUMMYFUNCTION("LOWER(
TRIM(
REGEXREPLACE(B3295,""[^a-zA-Z\s]"","""")
)
)
"),"mona berrier")</f>
        <v>mona berrier</v>
      </c>
      <c r="O3295" s="7">
        <f t="shared" si="5"/>
        <v>1</v>
      </c>
      <c r="P3295" s="8" t="str">
        <f t="shared" si="6"/>
        <v>No</v>
      </c>
    </row>
    <row r="3296">
      <c r="A3296" s="4" t="s">
        <v>16</v>
      </c>
      <c r="B3296" s="4" t="s">
        <v>9141</v>
      </c>
      <c r="C3296" s="5">
        <v>44555.0</v>
      </c>
      <c r="D3296" s="10">
        <v>44555.0</v>
      </c>
      <c r="E3296" s="4" t="s">
        <v>9142</v>
      </c>
      <c r="F3296" s="4" t="s">
        <v>9143</v>
      </c>
      <c r="G3296" s="6" t="str">
        <f>IFERROR(__xludf.DUMMYFUNCTION("REGEXREPLACE(LOWER(F3296),""[^a-z\s]"","""")"),"petflow has been fine not stellar with occasional hiccoughs on prescription food authorization lately theyve been completely unreliable as a retailer causing us to cancel our subscriptions and move to chewy")</f>
        <v>petflow has been fine not stellar with occasional hiccoughs on prescription food authorization lately theyve been completely unreliable as a retailer causing us to cancel our subscriptions and move to chewy</v>
      </c>
      <c r="H3296" s="4" t="str">
        <f t="shared" si="1"/>
        <v>petflow has been fine not stellar with occasional hiccoughs on prescription food authorization lately theyve been completely unreliable as a retailer causing us cancel our subscriptions move chewy</v>
      </c>
      <c r="I3296" s="6">
        <f t="shared" si="2"/>
        <v>28</v>
      </c>
      <c r="J3296" s="6">
        <f>IFERROR(__xludf.DUMMYFUNCTION("IF(H3296="""","""",
SUM(
ARRAYFORMULA(
IF(
REGEXMATCH(
"" ""&amp;H3296&amp;"" "",
"" ""&amp;Sentiment_Words!A$2:A3730&amp;"" ""
),
1,
0
)
)
)
)"),0.0)</f>
        <v>0</v>
      </c>
      <c r="K3296" s="4">
        <f>IFERROR(__xludf.DUMMYFUNCTION("IF(H3296="""","""",
SUM(
ARRAYFORMULA(
IF(
REGEXMATCH(
"" ""&amp;H3296&amp;"" "",
"" ""&amp;Sentiment_Words!B$2:B3730&amp;"" ""
),
1,
0
)
)
)
)"),0.0)</f>
        <v>0</v>
      </c>
      <c r="L3296" s="7" t="str">
        <f t="shared" si="3"/>
        <v>Fulfillment &amp; Shipping</v>
      </c>
      <c r="M3296" s="7" t="str">
        <f t="shared" si="4"/>
        <v>Neutral</v>
      </c>
      <c r="N3296" s="7" t="str">
        <f>IFERROR(__xludf.DUMMYFUNCTION("LOWER(
TRIM(
REGEXREPLACE(B3296,""[^a-zA-Z\s]"","""")
)
)
"),"cynthia greene")</f>
        <v>cynthia greene</v>
      </c>
      <c r="O3296" s="7">
        <f t="shared" si="5"/>
        <v>2</v>
      </c>
      <c r="P3296" s="8" t="str">
        <f t="shared" si="6"/>
        <v>Yes</v>
      </c>
    </row>
    <row r="3297">
      <c r="A3297" s="4" t="s">
        <v>16</v>
      </c>
      <c r="B3297" s="4" t="s">
        <v>1679</v>
      </c>
      <c r="C3297" s="5">
        <v>44555.0</v>
      </c>
      <c r="D3297" s="10">
        <v>44555.0</v>
      </c>
      <c r="E3297" s="4" t="s">
        <v>9144</v>
      </c>
      <c r="F3297" s="4" t="s">
        <v>9145</v>
      </c>
      <c r="G3297" s="6" t="str">
        <f>IFERROR(__xludf.DUMMYFUNCTION("REGEXREPLACE(LOWER(F3297),""[^a-z\s]"","""")"),"wide variety of products and fast service on orders even if they are specialty items")</f>
        <v>wide variety of products and fast service on orders even if they are specialty items</v>
      </c>
      <c r="H3297" s="4" t="str">
        <f t="shared" si="1"/>
        <v>wide variety of products fast service on orders even if they are specialty items</v>
      </c>
      <c r="I3297" s="6">
        <f t="shared" si="2"/>
        <v>14</v>
      </c>
      <c r="J3297" s="6">
        <f>IFERROR(__xludf.DUMMYFUNCTION("IF(H3297="""","""",
SUM(
ARRAYFORMULA(
IF(
REGEXMATCH(
"" ""&amp;H3297&amp;"" "",
"" ""&amp;Sentiment_Words!A$2:A3730&amp;"" ""
),
1,
0
)
)
)
)"),1.0)</f>
        <v>1</v>
      </c>
      <c r="K3297" s="4">
        <f>IFERROR(__xludf.DUMMYFUNCTION("IF(H3297="""","""",
SUM(
ARRAYFORMULA(
IF(
REGEXMATCH(
"" ""&amp;H3297&amp;"" "",
"" ""&amp;Sentiment_Words!B$2:B3730&amp;"" ""
),
1,
0
)
)
)
)"),0.0)</f>
        <v>0</v>
      </c>
      <c r="L3297" s="7" t="str">
        <f t="shared" si="3"/>
        <v>Customer Support</v>
      </c>
      <c r="M3297" s="7" t="str">
        <f t="shared" si="4"/>
        <v>Positive</v>
      </c>
      <c r="N3297" s="7" t="str">
        <f>IFERROR(__xludf.DUMMYFUNCTION("LOWER(
TRIM(
REGEXREPLACE(B3297,""[^a-zA-Z\s]"","""")
)
)
"),"js")</f>
        <v>js</v>
      </c>
      <c r="O3297" s="7">
        <f t="shared" si="5"/>
        <v>2</v>
      </c>
      <c r="P3297" s="8" t="str">
        <f t="shared" si="6"/>
        <v>Yes</v>
      </c>
    </row>
    <row r="3298">
      <c r="A3298" s="4" t="s">
        <v>16</v>
      </c>
      <c r="B3298" s="4" t="s">
        <v>9146</v>
      </c>
      <c r="C3298" s="5">
        <v>44554.0</v>
      </c>
      <c r="D3298" s="10">
        <v>44554.0</v>
      </c>
      <c r="E3298" s="4" t="s">
        <v>9147</v>
      </c>
      <c r="F3298" s="4" t="s">
        <v>9148</v>
      </c>
      <c r="G3298" s="6" t="str">
        <f>IFERROR(__xludf.DUMMYFUNCTION("REGEXREPLACE(LOWER(F3298),""[^a-z\s]"","""")"),"the product was good and well packaged but it was a week late and required me to go all over the local area multiple times to supplement the food until me order got here id be perfectly happy and would definitely order things again if pet flow would stop "&amp;"using fedex for their shipper")</f>
        <v>the product was good and well packaged but it was a week late and required me to go all over the local area multiple times to supplement the food until me order got here id be perfectly happy and would definitely order things again if pet flow would stop using fedex for their shipper</v>
      </c>
      <c r="H3298" s="4" t="str">
        <f t="shared" si="1"/>
        <v>product was good well packaged but it was a week late required me go all over local area multiple times supplement food until me order got here id be perfectly happy would definitely order things again if pet flow would stop using fedex their shipper</v>
      </c>
      <c r="I3298" s="6">
        <f t="shared" si="2"/>
        <v>45</v>
      </c>
      <c r="J3298" s="6">
        <f>IFERROR(__xludf.DUMMYFUNCTION("IF(H3298="""","""",
SUM(
ARRAYFORMULA(
IF(
REGEXMATCH(
"" ""&amp;H3298&amp;"" "",
"" ""&amp;Sentiment_Words!A$2:A3730&amp;"" ""
),
1,
0
)
)
)
)"),2.0)</f>
        <v>2</v>
      </c>
      <c r="K3298" s="4">
        <f>IFERROR(__xludf.DUMMYFUNCTION("IF(H3298="""","""",
SUM(
ARRAYFORMULA(
IF(
REGEXMATCH(
"" ""&amp;H3298&amp;"" "",
"" ""&amp;Sentiment_Words!B$2:B3730&amp;"" ""
),
1,
0
)
)
)
)"),0.0)</f>
        <v>0</v>
      </c>
      <c r="L3298" s="7" t="str">
        <f t="shared" si="3"/>
        <v>Fulfillment &amp; Shipping</v>
      </c>
      <c r="M3298" s="7" t="str">
        <f t="shared" si="4"/>
        <v>Positive</v>
      </c>
      <c r="N3298" s="7" t="str">
        <f>IFERROR(__xludf.DUMMYFUNCTION("LOWER(
TRIM(
REGEXREPLACE(B3298,""[^a-zA-Z\s]"","""")
)
)
"),"rj koser")</f>
        <v>rj koser</v>
      </c>
      <c r="O3298" s="7">
        <f t="shared" si="5"/>
        <v>1</v>
      </c>
      <c r="P3298" s="8" t="str">
        <f t="shared" si="6"/>
        <v>No</v>
      </c>
    </row>
    <row r="3299">
      <c r="A3299" s="4" t="s">
        <v>16</v>
      </c>
      <c r="B3299" s="4" t="s">
        <v>9149</v>
      </c>
      <c r="C3299" s="5">
        <v>44554.0</v>
      </c>
      <c r="D3299" s="10">
        <v>44554.0</v>
      </c>
      <c r="E3299" s="4" t="s">
        <v>9150</v>
      </c>
      <c r="F3299" s="4" t="s">
        <v>9151</v>
      </c>
      <c r="G3299" s="6" t="str">
        <f>IFERROR(__xludf.DUMMYFUNCTION("REGEXREPLACE(LOWER(F3299),""[^a-z\s]"","""")"),"my dog food took  week and  to arrive to me")</f>
        <v>my dog food took  week and  to arrive to me</v>
      </c>
      <c r="H3299" s="4" t="str">
        <f t="shared" si="1"/>
        <v>my dog food took week arrive me</v>
      </c>
      <c r="I3299" s="6">
        <f t="shared" si="2"/>
        <v>7</v>
      </c>
      <c r="J3299" s="6">
        <f>IFERROR(__xludf.DUMMYFUNCTION("IF(H3299="""","""",
SUM(
ARRAYFORMULA(
IF(
REGEXMATCH(
"" ""&amp;H3299&amp;"" "",
"" ""&amp;Sentiment_Words!A$2:A3730&amp;"" ""
),
1,
0
)
)
)
)"),0.0)</f>
        <v>0</v>
      </c>
      <c r="K3299" s="4">
        <f>IFERROR(__xludf.DUMMYFUNCTION("IF(H3299="""","""",
SUM(
ARRAYFORMULA(
IF(
REGEXMATCH(
"" ""&amp;H3299&amp;"" "",
"" ""&amp;Sentiment_Words!B$2:B3730&amp;"" ""
),
1,
0
)
)
)
)"),0.0)</f>
        <v>0</v>
      </c>
      <c r="L3299" s="7" t="str">
        <f t="shared" si="3"/>
        <v>Other</v>
      </c>
      <c r="M3299" s="7" t="str">
        <f t="shared" si="4"/>
        <v>Neutral</v>
      </c>
      <c r="N3299" s="7" t="str">
        <f>IFERROR(__xludf.DUMMYFUNCTION("LOWER(
TRIM(
REGEXREPLACE(B3299,""[^a-zA-Z\s]"","""")
)
)
"),"alisha r")</f>
        <v>alisha r</v>
      </c>
      <c r="O3299" s="7">
        <f t="shared" si="5"/>
        <v>1</v>
      </c>
      <c r="P3299" s="8" t="str">
        <f t="shared" si="6"/>
        <v>No</v>
      </c>
    </row>
    <row r="3300">
      <c r="A3300" s="4" t="s">
        <v>16</v>
      </c>
      <c r="B3300" s="4" t="s">
        <v>9152</v>
      </c>
      <c r="C3300" s="5">
        <v>44554.0</v>
      </c>
      <c r="D3300" s="10">
        <v>44554.0</v>
      </c>
      <c r="E3300" s="4" t="s">
        <v>9153</v>
      </c>
      <c r="F3300" s="4" t="s">
        <v>9154</v>
      </c>
      <c r="G3300" s="6" t="str">
        <f>IFERROR(__xludf.DUMMYFUNCTION("REGEXREPLACE(LOWER(F3300),""[^a-z\s]"","""")"),"petflow is great you call and always get a live person right away ive been with them for years cant beat their customer service")</f>
        <v>petflow is great you call and always get a live person right away ive been with them for years cant beat their customer service</v>
      </c>
      <c r="H3300" s="4" t="str">
        <f t="shared" si="1"/>
        <v>petflow great you call always get a live person right away ive been with them years cant beat their customer service</v>
      </c>
      <c r="I3300" s="6">
        <f t="shared" si="2"/>
        <v>21</v>
      </c>
      <c r="J3300" s="6">
        <f>IFERROR(__xludf.DUMMYFUNCTION("IF(H3300="""","""",
SUM(
ARRAYFORMULA(
IF(
REGEXMATCH(
"" ""&amp;H3300&amp;"" "",
"" ""&amp;Sentiment_Words!A$2:A3730&amp;"" ""
),
1,
0
)
)
)
)"),1.0)</f>
        <v>1</v>
      </c>
      <c r="K3300" s="4">
        <f>IFERROR(__xludf.DUMMYFUNCTION("IF(H3300="""","""",
SUM(
ARRAYFORMULA(
IF(
REGEXMATCH(
"" ""&amp;H3300&amp;"" "",
"" ""&amp;Sentiment_Words!B$2:B3730&amp;"" ""
),
1,
0
)
)
)
)"),1.0)</f>
        <v>1</v>
      </c>
      <c r="L3300" s="7" t="str">
        <f t="shared" si="3"/>
        <v>Customer Support</v>
      </c>
      <c r="M3300" s="7" t="str">
        <f t="shared" si="4"/>
        <v>Neutral</v>
      </c>
      <c r="N3300" s="7" t="str">
        <f>IFERROR(__xludf.DUMMYFUNCTION("LOWER(
TRIM(
REGEXREPLACE(B3300,""[^a-zA-Z\s]"","""")
)
)
"),"linda m")</f>
        <v>linda m</v>
      </c>
      <c r="O3300" s="7">
        <f t="shared" si="5"/>
        <v>1</v>
      </c>
      <c r="P3300" s="8" t="str">
        <f t="shared" si="6"/>
        <v>No</v>
      </c>
    </row>
    <row r="3301">
      <c r="A3301" s="4" t="s">
        <v>16</v>
      </c>
      <c r="B3301" s="4" t="s">
        <v>9155</v>
      </c>
      <c r="C3301" s="5">
        <v>44553.0</v>
      </c>
      <c r="D3301" s="10">
        <v>44553.0</v>
      </c>
      <c r="E3301" s="4" t="s">
        <v>6133</v>
      </c>
      <c r="F3301" s="4" t="s">
        <v>9156</v>
      </c>
      <c r="G3301" s="6" t="str">
        <f>IFERROR(__xludf.DUMMYFUNCTION("REGEXREPLACE(LOWER(F3301),""[^a-z\s]"","""")"),"i thought i had cancelled one order to order a different food it turned out i got both orders i was told it would be fine to keep them both and use them and just set a later date for my auto shipping")</f>
        <v>i thought i had cancelled one order to order a different food it turned out i got both orders i was told it would be fine to keep them both and use them and just set a later date for my auto shipping</v>
      </c>
      <c r="H3301" s="4" t="str">
        <f t="shared" si="1"/>
        <v>i thought i had cancelled one order order a different food it turned out i got both orders i was told it would be fine keep them both use them just set a later date my auto shipping</v>
      </c>
      <c r="I3301" s="6">
        <f t="shared" si="2"/>
        <v>38</v>
      </c>
      <c r="J3301" s="6">
        <f>IFERROR(__xludf.DUMMYFUNCTION("IF(H3301="""","""",
SUM(
ARRAYFORMULA(
IF(
REGEXMATCH(
"" ""&amp;H3301&amp;"" "",
"" ""&amp;Sentiment_Words!A$2:A3730&amp;"" ""
),
1,
0
)
)
)
)"),0.0)</f>
        <v>0</v>
      </c>
      <c r="K3301" s="4">
        <f>IFERROR(__xludf.DUMMYFUNCTION("IF(H3301="""","""",
SUM(
ARRAYFORMULA(
IF(
REGEXMATCH(
"" ""&amp;H3301&amp;"" "",
"" ""&amp;Sentiment_Words!B$2:B3730&amp;"" ""
),
1,
0
)
)
)
)"),1.0)</f>
        <v>1</v>
      </c>
      <c r="L3301" s="7" t="str">
        <f t="shared" si="3"/>
        <v>Fulfillment &amp; Shipping</v>
      </c>
      <c r="M3301" s="7" t="str">
        <f t="shared" si="4"/>
        <v>Negative</v>
      </c>
      <c r="N3301" s="7" t="str">
        <f>IFERROR(__xludf.DUMMYFUNCTION("LOWER(
TRIM(
REGEXREPLACE(B3301,""[^a-zA-Z\s]"","""")
)
)
"),"joe bolino")</f>
        <v>joe bolino</v>
      </c>
      <c r="O3301" s="7">
        <f t="shared" si="5"/>
        <v>1</v>
      </c>
      <c r="P3301" s="8" t="str">
        <f t="shared" si="6"/>
        <v>No</v>
      </c>
    </row>
    <row r="3302">
      <c r="A3302" s="4" t="s">
        <v>16</v>
      </c>
      <c r="B3302" s="4" t="s">
        <v>9157</v>
      </c>
      <c r="C3302" s="5">
        <v>44553.0</v>
      </c>
      <c r="D3302" s="10">
        <v>44553.0</v>
      </c>
      <c r="E3302" s="4" t="s">
        <v>9158</v>
      </c>
      <c r="F3302" s="4" t="s">
        <v>9159</v>
      </c>
      <c r="G3302" s="6" t="str">
        <f>IFERROR(__xludf.DUMMYFUNCTION("REGEXREPLACE(LOWER(F3302),""[^a-z\s]"","""")"),"petflow delivers quickly they have an autoship program you can change your auto ship as many times as you want and they have the best prices for the quality of products")</f>
        <v>petflow delivers quickly they have an autoship program you can change your auto ship as many times as you want and they have the best prices for the quality of products</v>
      </c>
      <c r="H3302" s="4" t="str">
        <f t="shared" si="1"/>
        <v>petflow delivers quickly they have an autoship program you can change your auto ship as many times as you want they have best prices quality of products</v>
      </c>
      <c r="I3302" s="6">
        <f t="shared" si="2"/>
        <v>27</v>
      </c>
      <c r="J3302" s="6">
        <f>IFERROR(__xludf.DUMMYFUNCTION("IF(H3302="""","""",
SUM(
ARRAYFORMULA(
IF(
REGEXMATCH(
"" ""&amp;H3302&amp;"" "",
"" ""&amp;Sentiment_Words!A$2:A3730&amp;"" ""
),
1,
0
)
)
)
)"),1.0)</f>
        <v>1</v>
      </c>
      <c r="K3302" s="4">
        <f>IFERROR(__xludf.DUMMYFUNCTION("IF(H3302="""","""",
SUM(
ARRAYFORMULA(
IF(
REGEXMATCH(
"" ""&amp;H3302&amp;"" "",
"" ""&amp;Sentiment_Words!B$2:B3730&amp;"" ""
),
1,
0
)
)
)
)"),0.0)</f>
        <v>0</v>
      </c>
      <c r="L3302" s="7" t="str">
        <f t="shared" si="3"/>
        <v>Other</v>
      </c>
      <c r="M3302" s="7" t="str">
        <f t="shared" si="4"/>
        <v>Positive</v>
      </c>
      <c r="N3302" s="7" t="str">
        <f>IFERROR(__xludf.DUMMYFUNCTION("LOWER(
TRIM(
REGEXREPLACE(B3302,""[^a-zA-Z\s]"","""")
)
)
"),"skye rabel")</f>
        <v>skye rabel</v>
      </c>
      <c r="O3302" s="7">
        <f t="shared" si="5"/>
        <v>1</v>
      </c>
      <c r="P3302" s="8" t="str">
        <f t="shared" si="6"/>
        <v>No</v>
      </c>
    </row>
    <row r="3303">
      <c r="A3303" s="4" t="s">
        <v>16</v>
      </c>
      <c r="B3303" s="4" t="s">
        <v>9160</v>
      </c>
      <c r="C3303" s="5">
        <v>44553.0</v>
      </c>
      <c r="D3303" s="10">
        <v>44553.0</v>
      </c>
      <c r="E3303" s="4" t="s">
        <v>9161</v>
      </c>
      <c r="F3303" s="4" t="s">
        <v>9162</v>
      </c>
      <c r="G3303" s="6" t="str">
        <f>IFERROR(__xludf.DUMMYFUNCTION("REGEXREPLACE(LOWER(F3303),""[^a-z\s]"","""")"),"my order of dog food was shipped on a monday said friday delivery and did not come till the next monday with that delay i had to go get dog food i didnt want to in order to get by until my order came chewy takes  days i guess ill go back there")</f>
        <v>my order of dog food was shipped on a monday said friday delivery and did not come till the next monday with that delay i had to go get dog food i didnt want to in order to get by until my order came chewy takes  days i guess ill go back there</v>
      </c>
      <c r="H3303" s="4" t="str">
        <f t="shared" si="1"/>
        <v>my order of dog food was shipped on a monday said friday delivery did not come till next monday with that delay i had go get dog food i didnt want in order get by until my order came chewy takes days i guess ill go back there</v>
      </c>
      <c r="I3303" s="6">
        <f t="shared" si="2"/>
        <v>48</v>
      </c>
      <c r="J3303" s="6">
        <f>IFERROR(__xludf.DUMMYFUNCTION("IF(H3303="""","""",
SUM(
ARRAYFORMULA(
IF(
REGEXMATCH(
"" ""&amp;H3303&amp;"" "",
"" ""&amp;Sentiment_Words!A$2:A3730&amp;"" ""
),
1,
0
)
)
)
)"),0.0)</f>
        <v>0</v>
      </c>
      <c r="K3303" s="4">
        <f>IFERROR(__xludf.DUMMYFUNCTION("IF(H3303="""","""",
SUM(
ARRAYFORMULA(
IF(
REGEXMATCH(
"" ""&amp;H3303&amp;"" "",
"" ""&amp;Sentiment_Words!B$2:B3730&amp;"" ""
),
1,
0
)
)
)
)"),1.0)</f>
        <v>1</v>
      </c>
      <c r="L3303" s="7" t="str">
        <f t="shared" si="3"/>
        <v>Fulfillment &amp; Shipping</v>
      </c>
      <c r="M3303" s="7" t="str">
        <f t="shared" si="4"/>
        <v>Negative</v>
      </c>
      <c r="N3303" s="7" t="str">
        <f>IFERROR(__xludf.DUMMYFUNCTION("LOWER(
TRIM(
REGEXREPLACE(B3303,""[^a-zA-Z\s]"","""")
)
)
"),"debra l")</f>
        <v>debra l</v>
      </c>
      <c r="O3303" s="7">
        <f t="shared" si="5"/>
        <v>1</v>
      </c>
      <c r="P3303" s="8" t="str">
        <f t="shared" si="6"/>
        <v>No</v>
      </c>
    </row>
    <row r="3304">
      <c r="A3304" s="4" t="s">
        <v>16</v>
      </c>
      <c r="B3304" s="4" t="s">
        <v>9163</v>
      </c>
      <c r="C3304" s="5">
        <v>44553.0</v>
      </c>
      <c r="D3304" s="10">
        <v>44553.0</v>
      </c>
      <c r="E3304" s="4" t="s">
        <v>3355</v>
      </c>
      <c r="F3304" s="4" t="s">
        <v>9164</v>
      </c>
      <c r="G3304" s="6" t="str">
        <f>IFERROR(__xludf.DUMMYFUNCTION("REGEXREPLACE(LOWER(F3304),""[^a-z\s]"","""")"),"i purchased some hard to find puppy food because no stores in my area carry it i found it in stock with petflow i ordered it and they use fedex as their shipping carrier i have had numerous problems with getting my packages late via fedex i emailed petflo"&amp;"w to give them some feedback about fedex i have not heard back from them i am not faulting them for fedexs slowness i only reached out to them so they would be aware that some customers experience slow shipping times with fedex unfortunately i will not co"&amp;"ntinue to order from websites that ship via fedex i will transition my dog to a food i can readily purchase in stores")</f>
        <v>i purchased some hard to find puppy food because no stores in my area carry it i found it in stock with petflow i ordered it and they use fedex as their shipping carrier i have had numerous problems with getting my packages late via fedex i emailed petflow to give them some feedback about fedex i have not heard back from them i am not faulting them for fedexs slowness i only reached out to them so they would be aware that some customers experience slow shipping times with fedex unfortunately i will not continue to order from websites that ship via fedex i will transition my dog to a food i can readily purchase in stores</v>
      </c>
      <c r="H3304" s="4" t="str">
        <f t="shared" si="1"/>
        <v>i purchased some hard find puppy food because no stores in my area carry it i found it in stock with petflow i ordered it they use fedex as their shipping carrier i have had numerous problems with getting my packages late via fedex i emailed petflow give them some feedback about fedex i have not heard back from them i am not faulting them fedexs slowness i only reached out them so they would be aware that some customers experience slow shipping times with fedex unfortunately i will not continue order from websites that ship via fedex i will transition my dog a food i can readily purchase in stores</v>
      </c>
      <c r="I3304" s="6">
        <f t="shared" si="2"/>
        <v>111</v>
      </c>
      <c r="J3304" s="6">
        <f>IFERROR(__xludf.DUMMYFUNCTION("IF(H3304="""","""",
SUM(
ARRAYFORMULA(
IF(
REGEXMATCH(
"" ""&amp;H3304&amp;"" "",
"" ""&amp;Sentiment_Words!A$2:A3730&amp;"" ""
),
1,
0
)
)
)
)"),1.0)</f>
        <v>1</v>
      </c>
      <c r="K3304" s="4">
        <f>IFERROR(__xludf.DUMMYFUNCTION("IF(H3304="""","""",
SUM(
ARRAYFORMULA(
IF(
REGEXMATCH(
"" ""&amp;H3304&amp;"" "",
"" ""&amp;Sentiment_Words!B$2:B3730&amp;"" ""
),
1,
0
)
)
)
)"),0.0)</f>
        <v>0</v>
      </c>
      <c r="L3304" s="7" t="str">
        <f t="shared" si="3"/>
        <v>Fulfillment &amp; Shipping</v>
      </c>
      <c r="M3304" s="7" t="str">
        <f t="shared" si="4"/>
        <v>Positive</v>
      </c>
      <c r="N3304" s="7" t="str">
        <f>IFERROR(__xludf.DUMMYFUNCTION("LOWER(
TRIM(
REGEXREPLACE(B3304,""[^a-zA-Z\s]"","""")
)
)
"),"susan s")</f>
        <v>susan s</v>
      </c>
      <c r="O3304" s="7">
        <f t="shared" si="5"/>
        <v>1</v>
      </c>
      <c r="P3304" s="8" t="str">
        <f t="shared" si="6"/>
        <v>No</v>
      </c>
    </row>
    <row r="3305">
      <c r="A3305" s="4" t="s">
        <v>16</v>
      </c>
      <c r="B3305" s="4" t="s">
        <v>4659</v>
      </c>
      <c r="C3305" s="5">
        <v>44553.0</v>
      </c>
      <c r="D3305" s="10">
        <v>44553.0</v>
      </c>
      <c r="E3305" s="4" t="s">
        <v>9165</v>
      </c>
      <c r="F3305" s="4" t="s">
        <v>9166</v>
      </c>
      <c r="G3305" s="6" t="str">
        <f>IFERROR(__xludf.DUMMYFUNCTION("REGEXREPLACE(LOWER(F3305),""[^a-z\s]"","""")"),"great selection and easy to check out shipment came in a timely manner")</f>
        <v>great selection and easy to check out shipment came in a timely manner</v>
      </c>
      <c r="H3305" s="4" t="str">
        <f t="shared" si="1"/>
        <v>great selection easy check out shipment came in a timely manner</v>
      </c>
      <c r="I3305" s="6">
        <f t="shared" si="2"/>
        <v>11</v>
      </c>
      <c r="J3305" s="6">
        <f>IFERROR(__xludf.DUMMYFUNCTION("IF(H3305="""","""",
SUM(
ARRAYFORMULA(
IF(
REGEXMATCH(
"" ""&amp;H3305&amp;"" "",
"" ""&amp;Sentiment_Words!A$2:A3730&amp;"" ""
),
1,
0
)
)
)
)"),2.0)</f>
        <v>2</v>
      </c>
      <c r="K3305" s="4">
        <f>IFERROR(__xludf.DUMMYFUNCTION("IF(H3305="""","""",
SUM(
ARRAYFORMULA(
IF(
REGEXMATCH(
"" ""&amp;H3305&amp;"" "",
"" ""&amp;Sentiment_Words!B$2:B3730&amp;"" ""
),
1,
0
)
)
)
)"),0.0)</f>
        <v>0</v>
      </c>
      <c r="L3305" s="7" t="str">
        <f t="shared" si="3"/>
        <v>Other</v>
      </c>
      <c r="M3305" s="7" t="str">
        <f t="shared" si="4"/>
        <v>Positive</v>
      </c>
      <c r="N3305" s="7" t="str">
        <f>IFERROR(__xludf.DUMMYFUNCTION("LOWER(
TRIM(
REGEXREPLACE(B3305,""[^a-zA-Z\s]"","""")
)
)
"),"carol")</f>
        <v>carol</v>
      </c>
      <c r="O3305" s="7">
        <f t="shared" si="5"/>
        <v>8</v>
      </c>
      <c r="P3305" s="8" t="str">
        <f t="shared" si="6"/>
        <v>Yes</v>
      </c>
    </row>
    <row r="3306">
      <c r="A3306" s="4" t="s">
        <v>16</v>
      </c>
      <c r="B3306" s="4" t="s">
        <v>9167</v>
      </c>
      <c r="C3306" s="5">
        <v>44553.0</v>
      </c>
      <c r="D3306" s="10">
        <v>44553.0</v>
      </c>
      <c r="E3306" s="4" t="s">
        <v>9168</v>
      </c>
      <c r="F3306" s="4" t="s">
        <v>9169</v>
      </c>
      <c r="G3306" s="6" t="str">
        <f>IFERROR(__xludf.DUMMYFUNCTION("REGEXREPLACE(LOWER(F3306),""[^a-z\s]"","""")"),"petflow is efficient and speedy i never worry that my product will arrive on time")</f>
        <v>petflow is efficient and speedy i never worry that my product will arrive on time</v>
      </c>
      <c r="H3306" s="4" t="str">
        <f t="shared" si="1"/>
        <v>petflow efficient speedy i never worry that my product will arrive on time</v>
      </c>
      <c r="I3306" s="6">
        <f t="shared" si="2"/>
        <v>13</v>
      </c>
      <c r="J3306" s="6">
        <f>IFERROR(__xludf.DUMMYFUNCTION("IF(H3306="""","""",
SUM(
ARRAYFORMULA(
IF(
REGEXMATCH(
"" ""&amp;H3306&amp;"" "",
"" ""&amp;Sentiment_Words!A$2:A3730&amp;"" ""
),
1,
0
)
)
)
)"),2.0)</f>
        <v>2</v>
      </c>
      <c r="K3306" s="4">
        <f>IFERROR(__xludf.DUMMYFUNCTION("IF(H3306="""","""",
SUM(
ARRAYFORMULA(
IF(
REGEXMATCH(
"" ""&amp;H3306&amp;"" "",
"" ""&amp;Sentiment_Words!B$2:B3730&amp;"" ""
),
1,
0
)
)
)
)"),0.0)</f>
        <v>0</v>
      </c>
      <c r="L3306" s="7" t="str">
        <f t="shared" si="3"/>
        <v>Other</v>
      </c>
      <c r="M3306" s="7" t="str">
        <f t="shared" si="4"/>
        <v>Positive</v>
      </c>
      <c r="N3306" s="7" t="str">
        <f>IFERROR(__xludf.DUMMYFUNCTION("LOWER(
TRIM(
REGEXREPLACE(B3306,""[^a-zA-Z\s]"","""")
)
)
"),"lisa c")</f>
        <v>lisa c</v>
      </c>
      <c r="O3306" s="7">
        <f t="shared" si="5"/>
        <v>1</v>
      </c>
      <c r="P3306" s="8" t="str">
        <f t="shared" si="6"/>
        <v>No</v>
      </c>
    </row>
    <row r="3307">
      <c r="A3307" s="4" t="s">
        <v>16</v>
      </c>
      <c r="B3307" s="4" t="s">
        <v>9170</v>
      </c>
      <c r="C3307" s="5">
        <v>44552.0</v>
      </c>
      <c r="D3307" s="10">
        <v>44553.0</v>
      </c>
      <c r="E3307" s="4" t="s">
        <v>9171</v>
      </c>
      <c r="F3307" s="4" t="s">
        <v>9172</v>
      </c>
      <c r="G3307" s="6" t="str">
        <f>IFERROR(__xludf.DUMMYFUNCTION("REGEXREPLACE(LOWER(F3307),""[^a-z\s]"","""")"),"petflow is fast and accurate they beat amazon on delivery time the prices are on target and no complaints about the product from stanley or bruski very glad we found them thank you")</f>
        <v>petflow is fast and accurate they beat amazon on delivery time the prices are on target and no complaints about the product from stanley or bruski very glad we found them thank you</v>
      </c>
      <c r="H3307" s="4" t="str">
        <f t="shared" si="1"/>
        <v>petflow fast accurate they beat amazon on delivery time prices are on target no complaints about product from stanley or bruski very glad we found them thank you</v>
      </c>
      <c r="I3307" s="6">
        <f t="shared" si="2"/>
        <v>28</v>
      </c>
      <c r="J3307" s="6">
        <f>IFERROR(__xludf.DUMMYFUNCTION("IF(H3307="""","""",
SUM(
ARRAYFORMULA(
IF(
REGEXMATCH(
"" ""&amp;H3307&amp;"" "",
"" ""&amp;Sentiment_Words!A$2:A3730&amp;"" ""
),
1,
0
)
)
)
)"),2.0)</f>
        <v>2</v>
      </c>
      <c r="K3307" s="4">
        <f>IFERROR(__xludf.DUMMYFUNCTION("IF(H3307="""","""",
SUM(
ARRAYFORMULA(
IF(
REGEXMATCH(
"" ""&amp;H3307&amp;"" "",
"" ""&amp;Sentiment_Words!B$2:B3730&amp;"" ""
),
1,
0
)
)
)
)"),0.0)</f>
        <v>0</v>
      </c>
      <c r="L3307" s="7" t="str">
        <f t="shared" si="3"/>
        <v>Other</v>
      </c>
      <c r="M3307" s="7" t="str">
        <f t="shared" si="4"/>
        <v>Positive</v>
      </c>
      <c r="N3307" s="7" t="str">
        <f>IFERROR(__xludf.DUMMYFUNCTION("LOWER(
TRIM(
REGEXREPLACE(B3307,""[^a-zA-Z\s]"","""")
)
)
"),"paulette hawkins")</f>
        <v>paulette hawkins</v>
      </c>
      <c r="O3307" s="7">
        <f t="shared" si="5"/>
        <v>1</v>
      </c>
      <c r="P3307" s="8" t="str">
        <f t="shared" si="6"/>
        <v>No</v>
      </c>
    </row>
    <row r="3308">
      <c r="A3308" s="4" t="s">
        <v>16</v>
      </c>
      <c r="B3308" s="4" t="s">
        <v>9173</v>
      </c>
      <c r="C3308" s="5">
        <v>44552.0</v>
      </c>
      <c r="D3308" s="10">
        <v>44552.0</v>
      </c>
      <c r="E3308" s="4" t="s">
        <v>9174</v>
      </c>
      <c r="F3308" s="4" t="s">
        <v>9175</v>
      </c>
      <c r="G3308" s="6" t="str">
        <f>IFERROR(__xludf.DUMMYFUNCTION("REGEXREPLACE(LOWER(F3308),""[^a-z\s]"","""")"),"love the quick shipping love the cost of foods ie royal canin love that items are in stock and love the customer service
what else is there")</f>
        <v>love the quick shipping love the cost of foods ie royal canin love that items are in stock and love the customer service
what else is there</v>
      </c>
      <c r="H3308" s="4" t="str">
        <f t="shared" si="1"/>
        <v>love quick shipping love cost of foods ie royal canin love that items are in stock love customer service
what else there</v>
      </c>
      <c r="I3308" s="6">
        <f t="shared" si="2"/>
        <v>21</v>
      </c>
      <c r="J3308" s="6">
        <f>IFERROR(__xludf.DUMMYFUNCTION("IF(H3308="""","""",
SUM(
ARRAYFORMULA(
IF(
REGEXMATCH(
"" ""&amp;H3308&amp;"" "",
"" ""&amp;Sentiment_Words!A$2:A3730&amp;"" ""
),
1,
0
)
)
)
)"),1.0)</f>
        <v>1</v>
      </c>
      <c r="K3308" s="4">
        <f>IFERROR(__xludf.DUMMYFUNCTION("IF(H3308="""","""",
SUM(
ARRAYFORMULA(
IF(
REGEXMATCH(
"" ""&amp;H3308&amp;"" "",
"" ""&amp;Sentiment_Words!B$2:B3730&amp;"" ""
),
1,
0
)
)
)
)"),0.0)</f>
        <v>0</v>
      </c>
      <c r="L3308" s="7" t="str">
        <f t="shared" si="3"/>
        <v>Customer Support</v>
      </c>
      <c r="M3308" s="7" t="str">
        <f t="shared" si="4"/>
        <v>Positive</v>
      </c>
      <c r="N3308" s="7" t="str">
        <f>IFERROR(__xludf.DUMMYFUNCTION("LOWER(
TRIM(
REGEXREPLACE(B3308,""[^a-zA-Z\s]"","""")
)
)
"),"brigitte leeman")</f>
        <v>brigitte leeman</v>
      </c>
      <c r="O3308" s="7">
        <f t="shared" si="5"/>
        <v>1</v>
      </c>
      <c r="P3308" s="8" t="str">
        <f t="shared" si="6"/>
        <v>No</v>
      </c>
    </row>
    <row r="3309">
      <c r="A3309" s="4" t="s">
        <v>16</v>
      </c>
      <c r="B3309" s="4" t="s">
        <v>9176</v>
      </c>
      <c r="C3309" s="5">
        <v>44552.0</v>
      </c>
      <c r="D3309" s="10">
        <v>44552.0</v>
      </c>
      <c r="E3309" s="4" t="s">
        <v>7232</v>
      </c>
      <c r="F3309" s="4" t="s">
        <v>9177</v>
      </c>
      <c r="G3309" s="6" t="str">
        <f>IFERROR(__xludf.DUMMYFUNCTION("REGEXREPLACE(LOWER(F3309),""[^a-z\s]"","""")"),"i made an order from petflow awhile back never received the order when i checked the order it had been canceled due to an error by the veterinarian unfortunately no one told me it was cancelled i called the veterinarian and their internal communications g"&amp;"ot confused and that is why they cancelled so i called petflow back with the veterinarians office on the other phone they assured me they could get the orderreordered and the veterinarians office was signing the original rx while all  of us were on the li"&amp;"ne i let petflow know that i needed this food asap and i would pay whatever i needed to pay to get the order expedited they assured me this would be done the order was done on  and as i said with the petflow employee and the veterinarian that could hear e"&amp;"ach other here is is almost  days later and this order has not been filled and sent i was not notified of the first cancellation and not sure if this order was ever set up for an expedited delivery i am hoping that someone will get back to me on this as i"&amp;" am currently having to purchase a can at a time from the veterinarian
thank you for your time with this matter
isabel campbell ")</f>
        <v>i made an order from petflow awhile back never received the order when i checked the order it had been canceled due to an error by the veterinarian unfortunately no one told me it was cancelled i called the veterinarian and their internal communications got confused and that is why they cancelled so i called petflow back with the veterinarians office on the other phone they assured me they could get the orderreordered and the veterinarians office was signing the original rx while all  of us were on the line i let petflow know that i needed this food asap and i would pay whatever i needed to pay to get the order expedited they assured me this would be done the order was done on  and as i said with the petflow employee and the veterinarian that could hear each other here is is almost  days later and this order has not been filled and sent i was not notified of the first cancellation and not sure if this order was ever set up for an expedited delivery i am hoping that someone will get back to me on this as i am currently having to purchase a can at a time from the veterinarian
thank you for your time with this matter
isabel campbell </v>
      </c>
      <c r="H3309" s="4" t="str">
        <f t="shared" si="1"/>
        <v>i made an order from petflow awhile back never received order when i checked order it had been canceled due an error by veterinarian unfortunately no one told me it was cancelled i called veterinarian their internal communications got confused that why they cancelled so i called petflow back with veterinarians office on other phone they assured me they could get orderreordered veterinarians office was signing original rx while all of us were on line i let petflow know that i needed this food asap i would pay whatever i needed pay get order expedited they assured me this would be done order was done on as i said with petflow employee veterinarian that could hear each other here is almost days later this order has not been filled sent i was not notified of first cancellation not sure if this order was ever set up an expedited delivery i am hoping that someone will get back me on this as i am currently having purchase a can at a time from veterinarian
thank you your time with this matter
isabel campbell</v>
      </c>
      <c r="I3309" s="6">
        <f t="shared" si="2"/>
        <v>180</v>
      </c>
      <c r="J3309" s="6">
        <f>IFERROR(__xludf.DUMMYFUNCTION("IF(H3309="""","""",
SUM(
ARRAYFORMULA(
IF(
REGEXMATCH(
"" ""&amp;H3309&amp;"" "",
"" ""&amp;Sentiment_Words!A$2:A3730&amp;"" ""
),
1,
0
)
)
)
)"),0.0)</f>
        <v>0</v>
      </c>
      <c r="K3309" s="4">
        <f>IFERROR(__xludf.DUMMYFUNCTION("IF(H3309="""","""",
SUM(
ARRAYFORMULA(
IF(
REGEXMATCH(
"" ""&amp;H3309&amp;"" "",
"" ""&amp;Sentiment_Words!B$2:B3730&amp;"" ""
),
1,
0
)
)
)
)"),1.0)</f>
        <v>1</v>
      </c>
      <c r="L3309" s="7" t="str">
        <f t="shared" si="3"/>
        <v>Fulfillment &amp; Shipping</v>
      </c>
      <c r="M3309" s="7" t="str">
        <f t="shared" si="4"/>
        <v>Negative</v>
      </c>
      <c r="N3309" s="7" t="str">
        <f>IFERROR(__xludf.DUMMYFUNCTION("LOWER(
TRIM(
REGEXREPLACE(B3309,""[^a-zA-Z\s]"","""")
)
)
"),"freneticminde")</f>
        <v>freneticminde</v>
      </c>
      <c r="O3309" s="7">
        <f t="shared" si="5"/>
        <v>1</v>
      </c>
      <c r="P3309" s="8" t="str">
        <f t="shared" si="6"/>
        <v>No</v>
      </c>
    </row>
    <row r="3310">
      <c r="A3310" s="4" t="s">
        <v>16</v>
      </c>
      <c r="B3310" s="4" t="s">
        <v>9178</v>
      </c>
      <c r="C3310" s="5">
        <v>44552.0</v>
      </c>
      <c r="D3310" s="10">
        <v>44552.0</v>
      </c>
      <c r="E3310" s="4" t="s">
        <v>9179</v>
      </c>
      <c r="F3310" s="4" t="s">
        <v>9180</v>
      </c>
      <c r="G3310" s="6" t="str">
        <f>IFERROR(__xludf.DUMMYFUNCTION("REGEXREPLACE(LOWER(F3310),""[^a-z\s]"","""")"),"i received my complete order it was a few days later than usual but that was to be expected at christmas time the problem was that a bottle of white dog shampoo had opened up inside the box and covered a  pound bag of dog food and a raincoat with a whole "&amp;"bottle of blue shampoo it was everywhere slippery sticky and blue i managed to get it off the bag and finally the raincoat the shampoo bottle was essentially empty and the inside of the box was a big blue mess i realize that these things happen perhaps ha"&amp;"ving a plastic bag that zip locks closed instead of just an open plastic bag that the product can fall out of would be a good idea  still out of shampoo")</f>
        <v>i received my complete order it was a few days later than usual but that was to be expected at christmas time the problem was that a bottle of white dog shampoo had opened up inside the box and covered a  pound bag of dog food and a raincoat with a whole bottle of blue shampoo it was everywhere slippery sticky and blue i managed to get it off the bag and finally the raincoat the shampoo bottle was essentially empty and the inside of the box was a big blue mess i realize that these things happen perhaps having a plastic bag that zip locks closed instead of just an open plastic bag that the product can fall out of would be a good idea  still out of shampoo</v>
      </c>
      <c r="H3310" s="4" t="str">
        <f t="shared" si="1"/>
        <v>i received my complete order it was a few days later than usual but that was be expected at christmas time problem was that a bottle of white dog shampoo had opened up inside box covered a pound bag of dog food a raincoat with a whole bottle of blue shampoo it was everywhere slippery sticky blue i managed get it off bag finally raincoat shampoo bottle was essentially empty inside of box was a big blue mess i realize that these things happen perhaps having a plastic bag that zip locks closed instead of just an open plastic bag that product can fall out of would be a good idea still out of shampoo</v>
      </c>
      <c r="I3310" s="6">
        <f t="shared" si="2"/>
        <v>115</v>
      </c>
      <c r="J3310" s="6">
        <f>IFERROR(__xludf.DUMMYFUNCTION("IF(H3310="""","""",
SUM(
ARRAYFORMULA(
IF(
REGEXMATCH(
"" ""&amp;H3310&amp;"" "",
"" ""&amp;Sentiment_Words!A$2:A3730&amp;"" ""
),
1,
0
)
)
)
)"),1.0)</f>
        <v>1</v>
      </c>
      <c r="K3310" s="4">
        <f>IFERROR(__xludf.DUMMYFUNCTION("IF(H3310="""","""",
SUM(
ARRAYFORMULA(
IF(
REGEXMATCH(
"" ""&amp;H3310&amp;"" "",
"" ""&amp;Sentiment_Words!B$2:B3730&amp;"" ""
),
1,
0
)
)
)
)"),1.0)</f>
        <v>1</v>
      </c>
      <c r="L3310" s="7" t="str">
        <f t="shared" si="3"/>
        <v>Fulfillment &amp; Shipping</v>
      </c>
      <c r="M3310" s="7" t="str">
        <f t="shared" si="4"/>
        <v>Neutral</v>
      </c>
      <c r="N3310" s="7" t="str">
        <f>IFERROR(__xludf.DUMMYFUNCTION("LOWER(
TRIM(
REGEXREPLACE(B3310,""[^a-zA-Z\s]"","""")
)
)
"),"isabel campbell")</f>
        <v>isabel campbell</v>
      </c>
      <c r="O3310" s="7">
        <f t="shared" si="5"/>
        <v>1</v>
      </c>
      <c r="P3310" s="8" t="str">
        <f t="shared" si="6"/>
        <v>No</v>
      </c>
    </row>
    <row r="3311">
      <c r="A3311" s="4" t="s">
        <v>16</v>
      </c>
      <c r="B3311" s="4" t="s">
        <v>9181</v>
      </c>
      <c r="C3311" s="5">
        <v>44552.0</v>
      </c>
      <c r="D3311" s="10">
        <v>44552.0</v>
      </c>
      <c r="E3311" s="4" t="s">
        <v>9182</v>
      </c>
      <c r="F3311" s="4" t="s">
        <v>331</v>
      </c>
      <c r="G3311" s="6" t="str">
        <f>IFERROR(__xludf.DUMMYFUNCTION("REGEXREPLACE(LOWER(F3311),""[^a-z\s]"","""")"),"none")</f>
        <v>none</v>
      </c>
      <c r="H3311" s="4" t="str">
        <f t="shared" si="1"/>
        <v>none</v>
      </c>
      <c r="I3311" s="6">
        <f t="shared" si="2"/>
        <v>1</v>
      </c>
      <c r="J3311" s="6">
        <f>IFERROR(__xludf.DUMMYFUNCTION("IF(H3311="""","""",
SUM(
ARRAYFORMULA(
IF(
REGEXMATCH(
"" ""&amp;H3311&amp;"" "",
"" ""&amp;Sentiment_Words!A$2:A3730&amp;"" ""
),
1,
0
)
)
)
)"),0.0)</f>
        <v>0</v>
      </c>
      <c r="K3311" s="4">
        <f>IFERROR(__xludf.DUMMYFUNCTION("IF(H3311="""","""",
SUM(
ARRAYFORMULA(
IF(
REGEXMATCH(
"" ""&amp;H3311&amp;"" "",
"" ""&amp;Sentiment_Words!B$2:B3730&amp;"" ""
),
1,
0
)
)
)
)"),0.0)</f>
        <v>0</v>
      </c>
      <c r="L3311" s="7" t="str">
        <f t="shared" si="3"/>
        <v>Other</v>
      </c>
      <c r="M3311" s="7" t="str">
        <f t="shared" si="4"/>
        <v>Neutral</v>
      </c>
      <c r="N3311" s="7" t="str">
        <f>IFERROR(__xludf.DUMMYFUNCTION("LOWER(
TRIM(
REGEXREPLACE(B3311,""[^a-zA-Z\s]"","""")
)
)
"),"christine demers")</f>
        <v>christine demers</v>
      </c>
      <c r="O3311" s="7">
        <f t="shared" si="5"/>
        <v>1</v>
      </c>
      <c r="P3311" s="8" t="str">
        <f t="shared" si="6"/>
        <v>No</v>
      </c>
    </row>
    <row r="3312">
      <c r="A3312" s="4" t="s">
        <v>16</v>
      </c>
      <c r="B3312" s="4" t="s">
        <v>9183</v>
      </c>
      <c r="C3312" s="5">
        <v>44551.0</v>
      </c>
      <c r="D3312" s="10">
        <v>44551.0</v>
      </c>
      <c r="E3312" s="4" t="s">
        <v>9184</v>
      </c>
      <c r="F3312" s="4" t="s">
        <v>9185</v>
      </c>
      <c r="G3312" s="6" t="str">
        <f>IFERROR(__xludf.DUMMYFUNCTION("REGEXREPLACE(LOWER(F3312),""[^a-z\s]"","""")"),"my one complaint is that you cannot cancel an order on your online account had to call numerous times to get a customer service agent to fix a mistake on ordering very frustrating hope they make changes with online ordering")</f>
        <v>my one complaint is that you cannot cancel an order on your online account had to call numerous times to get a customer service agent to fix a mistake on ordering very frustrating hope they make changes with online ordering</v>
      </c>
      <c r="H3312" s="4" t="str">
        <f t="shared" si="1"/>
        <v>my one complaint that you cannot cancel an order on your online account had call numerous times get a customer service agent fix a mistake on ordering very frustrating hope they make changes with online ordering</v>
      </c>
      <c r="I3312" s="6">
        <f t="shared" si="2"/>
        <v>36</v>
      </c>
      <c r="J3312" s="6">
        <f>IFERROR(__xludf.DUMMYFUNCTION("IF(H3312="""","""",
SUM(
ARRAYFORMULA(
IF(
REGEXMATCH(
"" ""&amp;H3312&amp;"" "",
"" ""&amp;Sentiment_Words!A$2:A3730&amp;"" ""
),
1,
0
)
)
)
)"),0.0)</f>
        <v>0</v>
      </c>
      <c r="K3312" s="4">
        <f>IFERROR(__xludf.DUMMYFUNCTION("IF(H3312="""","""",
SUM(
ARRAYFORMULA(
IF(
REGEXMATCH(
"" ""&amp;H3312&amp;"" "",
"" ""&amp;Sentiment_Words!B$2:B3730&amp;"" ""
),
1,
0
)
)
)
)"),2.0)</f>
        <v>2</v>
      </c>
      <c r="L3312" s="7" t="str">
        <f t="shared" si="3"/>
        <v>Customer Support</v>
      </c>
      <c r="M3312" s="7" t="str">
        <f t="shared" si="4"/>
        <v>Negative</v>
      </c>
      <c r="N3312" s="7" t="str">
        <f>IFERROR(__xludf.DUMMYFUNCTION("LOWER(
TRIM(
REGEXREPLACE(B3312,""[^a-zA-Z\s]"","""")
)
)
"),"foster mom")</f>
        <v>foster mom</v>
      </c>
      <c r="O3312" s="7">
        <f t="shared" si="5"/>
        <v>1</v>
      </c>
      <c r="P3312" s="8" t="str">
        <f t="shared" si="6"/>
        <v>No</v>
      </c>
    </row>
    <row r="3313">
      <c r="A3313" s="4" t="s">
        <v>16</v>
      </c>
      <c r="B3313" s="4" t="s">
        <v>9186</v>
      </c>
      <c r="C3313" s="5">
        <v>44551.0</v>
      </c>
      <c r="D3313" s="10">
        <v>44551.0</v>
      </c>
      <c r="E3313" s="4" t="s">
        <v>9187</v>
      </c>
      <c r="F3313" s="4" t="s">
        <v>9188</v>
      </c>
      <c r="G3313" s="6" t="str">
        <f>IFERROR(__xludf.DUMMYFUNCTION("REGEXREPLACE(LOWER(F3313),""[^a-z\s]"","""")"),"so much care was placed into packing my order it was wonderful there was a lot of cushion in the box so the cans didnt arrive all bent i will definitely place another order soon")</f>
        <v>so much care was placed into packing my order it was wonderful there was a lot of cushion in the box so the cans didnt arrive all bent i will definitely place another order soon</v>
      </c>
      <c r="H3313" s="4" t="str">
        <f t="shared" si="1"/>
        <v>so much care was placed into packing my order it was wonderful there was a lot of cushion in box so cans didnt arrive all bent i will definitely place another order soon</v>
      </c>
      <c r="I3313" s="6">
        <f t="shared" si="2"/>
        <v>33</v>
      </c>
      <c r="J3313" s="6">
        <f>IFERROR(__xludf.DUMMYFUNCTION("IF(H3313="""","""",
SUM(
ARRAYFORMULA(
IF(
REGEXMATCH(
"" ""&amp;H3313&amp;"" "",
"" ""&amp;Sentiment_Words!A$2:A3730&amp;"" ""
),
1,
0
)
)
)
)"),1.0)</f>
        <v>1</v>
      </c>
      <c r="K3313" s="4">
        <f>IFERROR(__xludf.DUMMYFUNCTION("IF(H3313="""","""",
SUM(
ARRAYFORMULA(
IF(
REGEXMATCH(
"" ""&amp;H3313&amp;"" "",
"" ""&amp;Sentiment_Words!B$2:B3730&amp;"" ""
),
1,
0
)
)
)
)"),0.0)</f>
        <v>0</v>
      </c>
      <c r="L3313" s="7" t="str">
        <f t="shared" si="3"/>
        <v>Other</v>
      </c>
      <c r="M3313" s="7" t="str">
        <f t="shared" si="4"/>
        <v>Positive</v>
      </c>
      <c r="N3313" s="7" t="str">
        <f>IFERROR(__xludf.DUMMYFUNCTION("LOWER(
TRIM(
REGEXREPLACE(B3313,""[^a-zA-Z\s]"","""")
)
)
"),"helen pero")</f>
        <v>helen pero</v>
      </c>
      <c r="O3313" s="7">
        <f t="shared" si="5"/>
        <v>1</v>
      </c>
      <c r="P3313" s="8" t="str">
        <f t="shared" si="6"/>
        <v>No</v>
      </c>
    </row>
    <row r="3314">
      <c r="A3314" s="4" t="s">
        <v>16</v>
      </c>
      <c r="B3314" s="4" t="s">
        <v>9189</v>
      </c>
      <c r="C3314" s="5">
        <v>44551.0</v>
      </c>
      <c r="D3314" s="10">
        <v>44551.0</v>
      </c>
      <c r="E3314" s="4" t="s">
        <v>9190</v>
      </c>
      <c r="F3314" s="4" t="s">
        <v>9191</v>
      </c>
      <c r="G3314" s="6" t="str">
        <f>IFERROR(__xludf.DUMMYFUNCTION("REGEXREPLACE(LOWER(F3314),""[^a-z\s]"","""")"),"they shipped my wet catfood over a week after i placed the order scheduling it to be delivered the nd of december and could do nothing to delay or cancel the order even before ups had it so my food is going to freeze over and over again while we are gone "&amp;"for christmas if i dont pay a big fee to get ups to hold it")</f>
        <v>they shipped my wet catfood over a week after i placed the order scheduling it to be delivered the nd of december and could do nothing to delay or cancel the order even before ups had it so my food is going to freeze over and over again while we are gone for christmas if i dont pay a big fee to get ups to hold it</v>
      </c>
      <c r="H3314" s="4" t="str">
        <f t="shared" si="1"/>
        <v>they shipped my wet catfood over a week after i placed order scheduling it be delivered nd of december could do nothing delay or cancel order even before ups had it so my food going freeze over over again while we are gone christmas if i dont pay a big fee get ups hold it</v>
      </c>
      <c r="I3314" s="6">
        <f t="shared" si="2"/>
        <v>55</v>
      </c>
      <c r="J3314" s="6">
        <f>IFERROR(__xludf.DUMMYFUNCTION("IF(H3314="""","""",
SUM(
ARRAYFORMULA(
IF(
REGEXMATCH(
"" ""&amp;H3314&amp;"" "",
"" ""&amp;Sentiment_Words!A$2:A3730&amp;"" ""
),
1,
0
)
)
)
)"),1.0)</f>
        <v>1</v>
      </c>
      <c r="K3314" s="4">
        <f>IFERROR(__xludf.DUMMYFUNCTION("IF(H3314="""","""",
SUM(
ARRAYFORMULA(
IF(
REGEXMATCH(
"" ""&amp;H3314&amp;"" "",
"" ""&amp;Sentiment_Words!B$2:B3730&amp;"" ""
),
1,
0
)
)
)
)"),1.0)</f>
        <v>1</v>
      </c>
      <c r="L3314" s="7" t="str">
        <f t="shared" si="3"/>
        <v>Fulfillment &amp; Shipping</v>
      </c>
      <c r="M3314" s="7" t="str">
        <f t="shared" si="4"/>
        <v>Neutral</v>
      </c>
      <c r="N3314" s="7" t="str">
        <f>IFERROR(__xludf.DUMMYFUNCTION("LOWER(
TRIM(
REGEXREPLACE(B3314,""[^a-zA-Z\s]"","""")
)
)
"),"dw")</f>
        <v>dw</v>
      </c>
      <c r="O3314" s="7">
        <f t="shared" si="5"/>
        <v>1</v>
      </c>
      <c r="P3314" s="8" t="str">
        <f t="shared" si="6"/>
        <v>No</v>
      </c>
    </row>
    <row r="3315">
      <c r="A3315" s="4" t="s">
        <v>16</v>
      </c>
      <c r="B3315" s="4" t="s">
        <v>9192</v>
      </c>
      <c r="C3315" s="5">
        <v>44551.0</v>
      </c>
      <c r="D3315" s="10">
        <v>44551.0</v>
      </c>
      <c r="E3315" s="4" t="s">
        <v>9193</v>
      </c>
      <c r="F3315" s="4" t="s">
        <v>9194</v>
      </c>
      <c r="G3315" s="6" t="str">
        <f>IFERROR(__xludf.DUMMYFUNCTION("REGEXREPLACE(LOWER(F3315),""[^a-z\s]"","""")"),"prompt shipping i ordered dr marty for my fussy dog and he likes it so i will order again")</f>
        <v>prompt shipping i ordered dr marty for my fussy dog and he likes it so i will order again</v>
      </c>
      <c r="H3315" s="4" t="str">
        <f t="shared" si="1"/>
        <v>prompt shipping i ordered dr marty my fussy dog he likes it so i will order again</v>
      </c>
      <c r="I3315" s="6">
        <f t="shared" si="2"/>
        <v>17</v>
      </c>
      <c r="J3315" s="6">
        <f>IFERROR(__xludf.DUMMYFUNCTION("IF(H3315="""","""",
SUM(
ARRAYFORMULA(
IF(
REGEXMATCH(
"" ""&amp;H3315&amp;"" "",
"" ""&amp;Sentiment_Words!A$2:A3730&amp;"" ""
),
1,
0
)
)
)
)"),1.0)</f>
        <v>1</v>
      </c>
      <c r="K3315" s="4">
        <f>IFERROR(__xludf.DUMMYFUNCTION("IF(H3315="""","""",
SUM(
ARRAYFORMULA(
IF(
REGEXMATCH(
"" ""&amp;H3315&amp;"" "",
"" ""&amp;Sentiment_Words!B$2:B3730&amp;"" ""
),
1,
0
)
)
)
)"),0.0)</f>
        <v>0</v>
      </c>
      <c r="L3315" s="7" t="str">
        <f t="shared" si="3"/>
        <v>Other</v>
      </c>
      <c r="M3315" s="7" t="str">
        <f t="shared" si="4"/>
        <v>Positive</v>
      </c>
      <c r="N3315" s="7" t="str">
        <f>IFERROR(__xludf.DUMMYFUNCTION("LOWER(
TRIM(
REGEXREPLACE(B3315,""[^a-zA-Z\s]"","""")
)
)
"),"s cat")</f>
        <v>s cat</v>
      </c>
      <c r="O3315" s="7">
        <f t="shared" si="5"/>
        <v>1</v>
      </c>
      <c r="P3315" s="8" t="str">
        <f t="shared" si="6"/>
        <v>No</v>
      </c>
    </row>
    <row r="3316">
      <c r="A3316" s="4" t="s">
        <v>16</v>
      </c>
      <c r="B3316" s="4" t="s">
        <v>9195</v>
      </c>
      <c r="C3316" s="5">
        <v>44551.0</v>
      </c>
      <c r="D3316" s="10">
        <v>44551.0</v>
      </c>
      <c r="E3316" s="4" t="s">
        <v>9196</v>
      </c>
      <c r="F3316" s="4" t="s">
        <v>9197</v>
      </c>
      <c r="G3316" s="6" t="str">
        <f>IFERROR(__xludf.DUMMYFUNCTION("REGEXREPLACE(LOWER(F3316),""[^a-z\s]"","""")"),"petflow is a class act
always have my product in stock and fast free shipping
a")</f>
        <v>petflow is a class act
always have my product in stock and fast free shipping
a</v>
      </c>
      <c r="H3316" s="4" t="str">
        <f t="shared" si="1"/>
        <v>petflow a class act
always have my product in stock fast free shipping
a</v>
      </c>
      <c r="I3316" s="6">
        <f t="shared" si="2"/>
        <v>12</v>
      </c>
      <c r="J3316" s="6">
        <f>IFERROR(__xludf.DUMMYFUNCTION("IF(H3316="""","""",
SUM(
ARRAYFORMULA(
IF(
REGEXMATCH(
"" ""&amp;H3316&amp;"" "",
"" ""&amp;Sentiment_Words!A$2:A3730&amp;"" ""
),
1,
0
)
)
)
)"),1.0)</f>
        <v>1</v>
      </c>
      <c r="K3316" s="4">
        <f>IFERROR(__xludf.DUMMYFUNCTION("IF(H3316="""","""",
SUM(
ARRAYFORMULA(
IF(
REGEXMATCH(
"" ""&amp;H3316&amp;"" "",
"" ""&amp;Sentiment_Words!B$2:B3730&amp;"" ""
),
1,
0
)
)
)
)"),0.0)</f>
        <v>0</v>
      </c>
      <c r="L3316" s="7" t="str">
        <f t="shared" si="3"/>
        <v>Other</v>
      </c>
      <c r="M3316" s="7" t="str">
        <f t="shared" si="4"/>
        <v>Positive</v>
      </c>
      <c r="N3316" s="7" t="str">
        <f>IFERROR(__xludf.DUMMYFUNCTION("LOWER(
TRIM(
REGEXREPLACE(B3316,""[^a-zA-Z\s]"","""")
)
)
"),"candy horn")</f>
        <v>candy horn</v>
      </c>
      <c r="O3316" s="7">
        <f t="shared" si="5"/>
        <v>1</v>
      </c>
      <c r="P3316" s="8" t="str">
        <f t="shared" si="6"/>
        <v>No</v>
      </c>
    </row>
    <row r="3317">
      <c r="A3317" s="4" t="s">
        <v>16</v>
      </c>
      <c r="B3317" s="4" t="s">
        <v>9198</v>
      </c>
      <c r="C3317" s="5">
        <v>44551.0</v>
      </c>
      <c r="D3317" s="10">
        <v>44551.0</v>
      </c>
      <c r="E3317" s="4" t="s">
        <v>9199</v>
      </c>
      <c r="F3317" s="4" t="s">
        <v>9200</v>
      </c>
      <c r="G3317" s="6" t="str">
        <f>IFERROR(__xludf.DUMMYFUNCTION("REGEXREPLACE(LOWER(F3317),""[^a-z\s]"","""")"),"i have been buying my dog food from petflow for years now it has always arrived quickly and fresh and my dog is happy")</f>
        <v>i have been buying my dog food from petflow for years now it has always arrived quickly and fresh and my dog is happy</v>
      </c>
      <c r="H3317" s="4" t="str">
        <f t="shared" si="1"/>
        <v>i have been buying my dog food from petflow years now it has always arrived quickly fresh my dog happy</v>
      </c>
      <c r="I3317" s="6">
        <f t="shared" si="2"/>
        <v>20</v>
      </c>
      <c r="J3317" s="6">
        <f>IFERROR(__xludf.DUMMYFUNCTION("IF(H3317="""","""",
SUM(
ARRAYFORMULA(
IF(
REGEXMATCH(
"" ""&amp;H3317&amp;"" "",
"" ""&amp;Sentiment_Words!A$2:A3730&amp;"" ""
),
1,
0
)
)
)
)"),1.0)</f>
        <v>1</v>
      </c>
      <c r="K3317" s="4">
        <f>IFERROR(__xludf.DUMMYFUNCTION("IF(H3317="""","""",
SUM(
ARRAYFORMULA(
IF(
REGEXMATCH(
"" ""&amp;H3317&amp;"" "",
"" ""&amp;Sentiment_Words!B$2:B3730&amp;"" ""
),
1,
0
)
)
)
)"),0.0)</f>
        <v>0</v>
      </c>
      <c r="L3317" s="7" t="str">
        <f t="shared" si="3"/>
        <v>Other</v>
      </c>
      <c r="M3317" s="7" t="str">
        <f t="shared" si="4"/>
        <v>Positive</v>
      </c>
      <c r="N3317" s="7" t="str">
        <f>IFERROR(__xludf.DUMMYFUNCTION("LOWER(
TRIM(
REGEXREPLACE(B3317,""[^a-zA-Z\s]"","""")
)
)
"),"robert devicariis torrey")</f>
        <v>robert devicariis torrey</v>
      </c>
      <c r="O3317" s="7">
        <f t="shared" si="5"/>
        <v>1</v>
      </c>
      <c r="P3317" s="8" t="str">
        <f t="shared" si="6"/>
        <v>No</v>
      </c>
    </row>
    <row r="3318">
      <c r="A3318" s="4" t="s">
        <v>16</v>
      </c>
      <c r="B3318" s="4" t="s">
        <v>9201</v>
      </c>
      <c r="C3318" s="5">
        <v>44551.0</v>
      </c>
      <c r="D3318" s="10">
        <v>44551.0</v>
      </c>
      <c r="E3318" s="4" t="s">
        <v>623</v>
      </c>
      <c r="F3318" s="4" t="s">
        <v>9202</v>
      </c>
      <c r="G3318" s="6" t="str">
        <f>IFERROR(__xludf.DUMMYFUNCTION("REGEXREPLACE(LOWER(F3318),""[^a-z\s]"","""")"),"very reliable auto ship and quick with off cycle purchases")</f>
        <v>very reliable auto ship and quick with off cycle purchases</v>
      </c>
      <c r="H3318" s="4" t="str">
        <f t="shared" si="1"/>
        <v>very reliable auto ship quick with off cycle purchases</v>
      </c>
      <c r="I3318" s="6">
        <f t="shared" si="2"/>
        <v>9</v>
      </c>
      <c r="J3318" s="6">
        <f>IFERROR(__xludf.DUMMYFUNCTION("IF(H3318="""","""",
SUM(
ARRAYFORMULA(
IF(
REGEXMATCH(
"" ""&amp;H3318&amp;"" "",
"" ""&amp;Sentiment_Words!A$2:A3730&amp;"" ""
),
1,
0
)
)
)
)"),2.0)</f>
        <v>2</v>
      </c>
      <c r="K3318" s="4">
        <f>IFERROR(__xludf.DUMMYFUNCTION("IF(H3318="""","""",
SUM(
ARRAYFORMULA(
IF(
REGEXMATCH(
"" ""&amp;H3318&amp;"" "",
"" ""&amp;Sentiment_Words!B$2:B3730&amp;"" ""
),
1,
0
)
)
)
)"),0.0)</f>
        <v>0</v>
      </c>
      <c r="L3318" s="7" t="str">
        <f t="shared" si="3"/>
        <v>Other</v>
      </c>
      <c r="M3318" s="7" t="str">
        <f t="shared" si="4"/>
        <v>Positive</v>
      </c>
      <c r="N3318" s="7" t="str">
        <f>IFERROR(__xludf.DUMMYFUNCTION("LOWER(
TRIM(
REGEXREPLACE(B3318,""[^a-zA-Z\s]"","""")
)
)
"),"j jarvis")</f>
        <v>j jarvis</v>
      </c>
      <c r="O3318" s="7">
        <f t="shared" si="5"/>
        <v>1</v>
      </c>
      <c r="P3318" s="8" t="str">
        <f t="shared" si="6"/>
        <v>No</v>
      </c>
    </row>
    <row r="3319">
      <c r="A3319" s="4" t="s">
        <v>16</v>
      </c>
      <c r="B3319" s="4" t="s">
        <v>5893</v>
      </c>
      <c r="C3319" s="5">
        <v>44550.0</v>
      </c>
      <c r="D3319" s="10">
        <v>44550.0</v>
      </c>
      <c r="E3319" s="4" t="s">
        <v>9203</v>
      </c>
      <c r="F3319" s="4" t="s">
        <v>9204</v>
      </c>
      <c r="G3319" s="6" t="str">
        <f>IFERROR(__xludf.DUMMYFUNCTION("REGEXREPLACE(LOWER(F3319),""[^a-z\s]"","""")"),"excellent service with competitive pricing")</f>
        <v>excellent service with competitive pricing</v>
      </c>
      <c r="H3319" s="4" t="str">
        <f t="shared" si="1"/>
        <v>excellent service with competitive pricing</v>
      </c>
      <c r="I3319" s="6">
        <f t="shared" si="2"/>
        <v>5</v>
      </c>
      <c r="J3319" s="6">
        <f>IFERROR(__xludf.DUMMYFUNCTION("IF(H3319="""","""",
SUM(
ARRAYFORMULA(
IF(
REGEXMATCH(
"" ""&amp;H3319&amp;"" "",
"" ""&amp;Sentiment_Words!A$2:A3730&amp;"" ""
),
1,
0
)
)
)
)"),0.0)</f>
        <v>0</v>
      </c>
      <c r="K3319" s="4">
        <f>IFERROR(__xludf.DUMMYFUNCTION("IF(H3319="""","""",
SUM(
ARRAYFORMULA(
IF(
REGEXMATCH(
"" ""&amp;H3319&amp;"" "",
"" ""&amp;Sentiment_Words!B$2:B3730&amp;"" ""
),
1,
0
)
)
)
)"),0.0)</f>
        <v>0</v>
      </c>
      <c r="L3319" s="7" t="str">
        <f t="shared" si="3"/>
        <v>Customer Support</v>
      </c>
      <c r="M3319" s="7" t="str">
        <f t="shared" si="4"/>
        <v>Neutral</v>
      </c>
      <c r="N3319" s="7" t="str">
        <f>IFERROR(__xludf.DUMMYFUNCTION("LOWER(
TRIM(
REGEXREPLACE(B3319,""[^a-zA-Z\s]"","""")
)
)
"),"code")</f>
        <v>code</v>
      </c>
      <c r="O3319" s="7">
        <f t="shared" si="5"/>
        <v>2</v>
      </c>
      <c r="P3319" s="8" t="str">
        <f t="shared" si="6"/>
        <v>Yes</v>
      </c>
    </row>
    <row r="3320">
      <c r="A3320" s="4" t="s">
        <v>16</v>
      </c>
      <c r="B3320" s="4" t="s">
        <v>9205</v>
      </c>
      <c r="C3320" s="5">
        <v>44550.0</v>
      </c>
      <c r="D3320" s="10">
        <v>44550.0</v>
      </c>
      <c r="E3320" s="4" t="s">
        <v>5101</v>
      </c>
      <c r="F3320" s="4" t="s">
        <v>9206</v>
      </c>
      <c r="G3320" s="6" t="str">
        <f>IFERROR(__xludf.DUMMYFUNCTION("REGEXREPLACE(LOWER(F3320),""[^a-z\s]"","""")"),"dented dog food cans at times sent concern about this five days ago and have yet to receive a response")</f>
        <v>dented dog food cans at times sent concern about this five days ago and have yet to receive a response</v>
      </c>
      <c r="H3320" s="4" t="str">
        <f t="shared" si="1"/>
        <v>dented dog food cans at times sent concern about this five days ago have yet receive a response</v>
      </c>
      <c r="I3320" s="6">
        <f t="shared" si="2"/>
        <v>18</v>
      </c>
      <c r="J3320" s="6">
        <f>IFERROR(__xludf.DUMMYFUNCTION("IF(H3320="""","""",
SUM(
ARRAYFORMULA(
IF(
REGEXMATCH(
"" ""&amp;H3320&amp;"" "",
"" ""&amp;Sentiment_Words!A$2:A3730&amp;"" ""
),
1,
0
)
)
)
)"),0.0)</f>
        <v>0</v>
      </c>
      <c r="K3320" s="4">
        <f>IFERROR(__xludf.DUMMYFUNCTION("IF(H3320="""","""",
SUM(
ARRAYFORMULA(
IF(
REGEXMATCH(
"" ""&amp;H3320&amp;"" "",
"" ""&amp;Sentiment_Words!B$2:B3730&amp;"" ""
),
1,
0
)
)
)
)"),0.0)</f>
        <v>0</v>
      </c>
      <c r="L3320" s="7" t="str">
        <f t="shared" si="3"/>
        <v>Other</v>
      </c>
      <c r="M3320" s="7" t="str">
        <f t="shared" si="4"/>
        <v>Neutral</v>
      </c>
      <c r="N3320" s="7" t="str">
        <f>IFERROR(__xludf.DUMMYFUNCTION("LOWER(
TRIM(
REGEXREPLACE(B3320,""[^a-zA-Z\s]"","""")
)
)
"),"sarah k")</f>
        <v>sarah k</v>
      </c>
      <c r="O3320" s="7">
        <f t="shared" si="5"/>
        <v>1</v>
      </c>
      <c r="P3320" s="8" t="str">
        <f t="shared" si="6"/>
        <v>No</v>
      </c>
    </row>
    <row r="3321">
      <c r="A3321" s="4" t="s">
        <v>16</v>
      </c>
      <c r="B3321" s="4" t="s">
        <v>9207</v>
      </c>
      <c r="C3321" s="5">
        <v>44550.0</v>
      </c>
      <c r="D3321" s="10">
        <v>44550.0</v>
      </c>
      <c r="E3321" s="4" t="s">
        <v>9208</v>
      </c>
      <c r="F3321" s="4" t="s">
        <v>9209</v>
      </c>
      <c r="G3321" s="6" t="str">
        <f>IFERROR(__xludf.DUMMYFUNCTION("REGEXREPLACE(LOWER(F3321),""[^a-z\s]"","""")"),"there was a mistake in the order and they didnt hesitate to make it right great customer service great product")</f>
        <v>there was a mistake in the order and they didnt hesitate to make it right great customer service great product</v>
      </c>
      <c r="H3321" s="4" t="str">
        <f t="shared" si="1"/>
        <v>there was a mistake in order they didnt hesitate make it right great customer service great product</v>
      </c>
      <c r="I3321" s="6">
        <f t="shared" si="2"/>
        <v>17</v>
      </c>
      <c r="J3321" s="6">
        <f>IFERROR(__xludf.DUMMYFUNCTION("IF(H3321="""","""",
SUM(
ARRAYFORMULA(
IF(
REGEXMATCH(
"" ""&amp;H3321&amp;"" "",
"" ""&amp;Sentiment_Words!A$2:A3730&amp;"" ""
),
1,
0
)
)
)
)"),2.0)</f>
        <v>2</v>
      </c>
      <c r="K3321" s="4">
        <f>IFERROR(__xludf.DUMMYFUNCTION("IF(H3321="""","""",
SUM(
ARRAYFORMULA(
IF(
REGEXMATCH(
"" ""&amp;H3321&amp;"" "",
"" ""&amp;Sentiment_Words!B$2:B3730&amp;"" ""
),
1,
0
)
)
)
)"),1.0)</f>
        <v>1</v>
      </c>
      <c r="L3321" s="7" t="str">
        <f t="shared" si="3"/>
        <v>Customer Support</v>
      </c>
      <c r="M3321" s="7" t="str">
        <f t="shared" si="4"/>
        <v>Positive</v>
      </c>
      <c r="N3321" s="7" t="str">
        <f>IFERROR(__xludf.DUMMYFUNCTION("LOWER(
TRIM(
REGEXREPLACE(B3321,""[^a-zA-Z\s]"","""")
)
)
"),"charles")</f>
        <v>charles</v>
      </c>
      <c r="O3321" s="7">
        <f t="shared" si="5"/>
        <v>2</v>
      </c>
      <c r="P3321" s="8" t="str">
        <f t="shared" si="6"/>
        <v>Yes</v>
      </c>
    </row>
    <row r="3322">
      <c r="A3322" s="4" t="s">
        <v>16</v>
      </c>
      <c r="B3322" s="4" t="s">
        <v>9210</v>
      </c>
      <c r="C3322" s="5">
        <v>44550.0</v>
      </c>
      <c r="D3322" s="10">
        <v>44550.0</v>
      </c>
      <c r="E3322" s="4" t="s">
        <v>9211</v>
      </c>
      <c r="F3322" s="4" t="s">
        <v>9212</v>
      </c>
      <c r="G3322" s="6" t="str">
        <f>IFERROR(__xludf.DUMMYFUNCTION("REGEXREPLACE(LOWER(F3322),""[^a-z\s]"","""")"),"great products offered with fast delivery thank you")</f>
        <v>great products offered with fast delivery thank you</v>
      </c>
      <c r="H3322" s="4" t="str">
        <f t="shared" si="1"/>
        <v>great products offered with fast delivery thank you</v>
      </c>
      <c r="I3322" s="6">
        <f t="shared" si="2"/>
        <v>8</v>
      </c>
      <c r="J3322" s="6">
        <f>IFERROR(__xludf.DUMMYFUNCTION("IF(H3322="""","""",
SUM(
ARRAYFORMULA(
IF(
REGEXMATCH(
"" ""&amp;H3322&amp;"" "",
"" ""&amp;Sentiment_Words!A$2:A3730&amp;"" ""
),
1,
0
)
)
)
)"),3.0)</f>
        <v>3</v>
      </c>
      <c r="K3322" s="4">
        <f>IFERROR(__xludf.DUMMYFUNCTION("IF(H3322="""","""",
SUM(
ARRAYFORMULA(
IF(
REGEXMATCH(
"" ""&amp;H3322&amp;"" "",
"" ""&amp;Sentiment_Words!B$2:B3730&amp;"" ""
),
1,
0
)
)
)
)"),0.0)</f>
        <v>0</v>
      </c>
      <c r="L3322" s="7" t="str">
        <f t="shared" si="3"/>
        <v>Other</v>
      </c>
      <c r="M3322" s="7" t="str">
        <f t="shared" si="4"/>
        <v>Positive</v>
      </c>
      <c r="N3322" s="7" t="str">
        <f>IFERROR(__xludf.DUMMYFUNCTION("LOWER(
TRIM(
REGEXREPLACE(B3322,""[^a-zA-Z\s]"","""")
)
)
"),"dave fishman")</f>
        <v>dave fishman</v>
      </c>
      <c r="O3322" s="7">
        <f t="shared" si="5"/>
        <v>1</v>
      </c>
      <c r="P3322" s="8" t="str">
        <f t="shared" si="6"/>
        <v>No</v>
      </c>
    </row>
    <row r="3323">
      <c r="A3323" s="4" t="s">
        <v>16</v>
      </c>
      <c r="B3323" s="4" t="s">
        <v>9213</v>
      </c>
      <c r="C3323" s="5">
        <v>44550.0</v>
      </c>
      <c r="D3323" s="4" t="s">
        <v>9214</v>
      </c>
      <c r="E3323" s="4" t="s">
        <v>4500</v>
      </c>
      <c r="F3323" s="4" t="s">
        <v>9215</v>
      </c>
      <c r="G3323" s="6" t="str">
        <f>IFERROR(__xludf.DUMMYFUNCTION("REGEXREPLACE(LOWER(F3323),""[^a-z\s]"","""")"),"the price was right and the quality was great that along with fast shipping gives petflow  stars")</f>
        <v>the price was right and the quality was great that along with fast shipping gives petflow  stars</v>
      </c>
      <c r="H3323" s="4" t="str">
        <f t="shared" si="1"/>
        <v>price was right quality was great that along with fast shipping gives petflow stars</v>
      </c>
      <c r="I3323" s="6">
        <f t="shared" si="2"/>
        <v>14</v>
      </c>
      <c r="J3323" s="6">
        <f>IFERROR(__xludf.DUMMYFUNCTION("IF(H3323="""","""",
SUM(
ARRAYFORMULA(
IF(
REGEXMATCH(
"" ""&amp;H3323&amp;"" "",
"" ""&amp;Sentiment_Words!A$2:A3730&amp;"" ""
),
1,
0
)
)
)
)"),2.0)</f>
        <v>2</v>
      </c>
      <c r="K3323" s="4">
        <f>IFERROR(__xludf.DUMMYFUNCTION("IF(H3323="""","""",
SUM(
ARRAYFORMULA(
IF(
REGEXMATCH(
"" ""&amp;H3323&amp;"" "",
"" ""&amp;Sentiment_Words!B$2:B3730&amp;"" ""
),
1,
0
)
)
)
)"),0.0)</f>
        <v>0</v>
      </c>
      <c r="L3323" s="7" t="str">
        <f t="shared" si="3"/>
        <v>Other</v>
      </c>
      <c r="M3323" s="7" t="str">
        <f t="shared" si="4"/>
        <v>Positive</v>
      </c>
      <c r="N3323" s="7" t="str">
        <f>IFERROR(__xludf.DUMMYFUNCTION("LOWER(
TRIM(
REGEXREPLACE(B3323,""[^a-zA-Z\s]"","""")
)
)
"),"lisa g")</f>
        <v>lisa g</v>
      </c>
      <c r="O3323" s="7">
        <f t="shared" si="5"/>
        <v>1</v>
      </c>
      <c r="P3323" s="8" t="str">
        <f t="shared" si="6"/>
        <v>No</v>
      </c>
    </row>
    <row r="3324">
      <c r="A3324" s="4" t="s">
        <v>16</v>
      </c>
      <c r="B3324" s="4" t="s">
        <v>9216</v>
      </c>
      <c r="C3324" s="5">
        <v>44550.0</v>
      </c>
      <c r="D3324" s="10">
        <v>44550.0</v>
      </c>
      <c r="E3324" s="4" t="s">
        <v>9217</v>
      </c>
      <c r="F3324" s="4" t="s">
        <v>9218</v>
      </c>
      <c r="G3324" s="6" t="str">
        <f>IFERROR(__xludf.DUMMYFUNCTION("REGEXREPLACE(LOWER(F3324),""[^a-z\s]"","""")"),"great site i discovered it by accident after chewy was out of my cats food i gave it a try and was pleasantly surprised how wonderful petflow was the delivery was very fast the product fresh and well packaged they saved the day now i ordered again and thi"&amp;"s time the price was great and once again they did not disappoint  i will continue being a repeat customer thank you")</f>
        <v>great site i discovered it by accident after chewy was out of my cats food i gave it a try and was pleasantly surprised how wonderful petflow was the delivery was very fast the product fresh and well packaged they saved the day now i ordered again and this time the price was great and once again they did not disappoint  i will continue being a repeat customer thank you</v>
      </c>
      <c r="H3324" s="4" t="str">
        <f t="shared" si="1"/>
        <v>great site i discovered it by accident after chewy was out of my cats food i gave it a try was pleasantly surprised how wonderful petflow was delivery was very fast product fresh well packaged they saved day now i ordered again this time price was great once again they did not disappoint i will continue being a repeat customer thank you</v>
      </c>
      <c r="I3324" s="6">
        <f t="shared" si="2"/>
        <v>62</v>
      </c>
      <c r="J3324" s="6">
        <f>IFERROR(__xludf.DUMMYFUNCTION("IF(H3324="""","""",
SUM(
ARRAYFORMULA(
IF(
REGEXMATCH(
"" ""&amp;H3324&amp;"" "",
"" ""&amp;Sentiment_Words!A$2:A3730&amp;"" ""
),
1,
0
)
)
)
)"),3.0)</f>
        <v>3</v>
      </c>
      <c r="K3324" s="4">
        <f>IFERROR(__xludf.DUMMYFUNCTION("IF(H3324="""","""",
SUM(
ARRAYFORMULA(
IF(
REGEXMATCH(
"" ""&amp;H3324&amp;"" "",
"" ""&amp;Sentiment_Words!B$2:B3730&amp;"" ""
),
1,
0
)
)
)
)"),0.0)</f>
        <v>0</v>
      </c>
      <c r="L3324" s="7" t="str">
        <f t="shared" si="3"/>
        <v>Other</v>
      </c>
      <c r="M3324" s="7" t="str">
        <f t="shared" si="4"/>
        <v>Positive</v>
      </c>
      <c r="N3324" s="7" t="str">
        <f>IFERROR(__xludf.DUMMYFUNCTION("LOWER(
TRIM(
REGEXREPLACE(B3324,""[^a-zA-Z\s]"","""")
)
)
"),"bo smith")</f>
        <v>bo smith</v>
      </c>
      <c r="O3324" s="7">
        <f t="shared" si="5"/>
        <v>1</v>
      </c>
      <c r="P3324" s="8" t="str">
        <f t="shared" si="6"/>
        <v>No</v>
      </c>
    </row>
    <row r="3325">
      <c r="A3325" s="4" t="s">
        <v>16</v>
      </c>
      <c r="B3325" s="4" t="s">
        <v>9219</v>
      </c>
      <c r="C3325" s="5">
        <v>44549.0</v>
      </c>
      <c r="D3325" s="10">
        <v>44549.0</v>
      </c>
      <c r="E3325" s="4" t="s">
        <v>518</v>
      </c>
      <c r="F3325" s="4" t="s">
        <v>9220</v>
      </c>
      <c r="G3325" s="6" t="str">
        <f>IFERROR(__xludf.DUMMYFUNCTION("REGEXREPLACE(LOWER(F3325),""[^a-z\s]"","""")"),"i discovered petflow when another major retailer had no inventory of my cats preferred flavor of prescription food i enjoyed the experience and fresh inventory so much that ive been buying from petflow ever since")</f>
        <v>i discovered petflow when another major retailer had no inventory of my cats preferred flavor of prescription food i enjoyed the experience and fresh inventory so much that ive been buying from petflow ever since</v>
      </c>
      <c r="H3325" s="4" t="str">
        <f t="shared" si="1"/>
        <v>i discovered petflow when another major retailer had no inventory of my cats preferred flavor of prescription food i enjoyed experience fresh inventory so much that ive been buying from petflow ever since</v>
      </c>
      <c r="I3325" s="6">
        <f t="shared" si="2"/>
        <v>33</v>
      </c>
      <c r="J3325" s="6">
        <f>IFERROR(__xludf.DUMMYFUNCTION("IF(H3325="""","""",
SUM(
ARRAYFORMULA(
IF(
REGEXMATCH(
"" ""&amp;H3325&amp;"" "",
"" ""&amp;Sentiment_Words!A$2:A3730&amp;"" ""
),
1,
0
)
)
)
)"),0.0)</f>
        <v>0</v>
      </c>
      <c r="K3325" s="4">
        <f>IFERROR(__xludf.DUMMYFUNCTION("IF(H3325="""","""",
SUM(
ARRAYFORMULA(
IF(
REGEXMATCH(
"" ""&amp;H3325&amp;"" "",
"" ""&amp;Sentiment_Words!B$2:B3730&amp;"" ""
),
1,
0
)
)
)
)"),0.0)</f>
        <v>0</v>
      </c>
      <c r="L3325" s="7" t="str">
        <f t="shared" si="3"/>
        <v>Other</v>
      </c>
      <c r="M3325" s="7" t="str">
        <f t="shared" si="4"/>
        <v>Neutral</v>
      </c>
      <c r="N3325" s="7" t="str">
        <f>IFERROR(__xludf.DUMMYFUNCTION("LOWER(
TRIM(
REGEXREPLACE(B3325,""[^a-zA-Z\s]"","""")
)
)
"),"christine")</f>
        <v>christine</v>
      </c>
      <c r="O3325" s="7">
        <f t="shared" si="5"/>
        <v>4</v>
      </c>
      <c r="P3325" s="8" t="str">
        <f t="shared" si="6"/>
        <v>Yes</v>
      </c>
    </row>
    <row r="3326">
      <c r="A3326" s="4" t="s">
        <v>16</v>
      </c>
      <c r="B3326" s="4" t="s">
        <v>9221</v>
      </c>
      <c r="C3326" s="5">
        <v>44549.0</v>
      </c>
      <c r="D3326" s="10">
        <v>44549.0</v>
      </c>
      <c r="E3326" s="4" t="s">
        <v>9222</v>
      </c>
      <c r="F3326" s="4" t="s">
        <v>9223</v>
      </c>
      <c r="G3326" s="6" t="str">
        <f>IFERROR(__xludf.DUMMYFUNCTION("REGEXREPLACE(LOWER(F3326),""[^a-z\s]"","""")"),"i searched at least six different retailers to find this special canned pt food specially formulated for my small breed senior picky eater with only  remaining teeth to no avail i was desperate as my little yr old girl turns away from nearly all other sim"&amp;"ilar products this food is an appetite stimulating product which has seemed to do the trick to get her eating again i ordered an entire case and was glad i did it was sold out or unavailable everywhere else petflow came through for me with easy ordering a"&amp;"nd quick delivery thank you")</f>
        <v>i searched at least six different retailers to find this special canned pt food specially formulated for my small breed senior picky eater with only  remaining teeth to no avail i was desperate as my little yr old girl turns away from nearly all other similar products this food is an appetite stimulating product which has seemed to do the trick to get her eating again i ordered an entire case and was glad i did it was sold out or unavailable everywhere else petflow came through for me with easy ordering and quick delivery thank you</v>
      </c>
      <c r="H3326" s="4" t="str">
        <f t="shared" si="1"/>
        <v>i searched at least six different retailers find this special canned pt food specially formulated my small breed senior picky eater with only remaining teeth no avail i was desperate as my little yr old girl turns away from nearly all other similar products this food an appetite stimulating product which has seemed do trick get her eating again i ordered an entire case was glad i did it was sold out or unavailable everywhere else petflow came through me with easy ordering quick delivery thank you</v>
      </c>
      <c r="I3326" s="6">
        <f t="shared" si="2"/>
        <v>87</v>
      </c>
      <c r="J3326" s="6">
        <f>IFERROR(__xludf.DUMMYFUNCTION("IF(H3326="""","""",
SUM(
ARRAYFORMULA(
IF(
REGEXMATCH(
"" ""&amp;H3326&amp;"" "",
"" ""&amp;Sentiment_Words!A$2:A3730&amp;"" ""
),
1,
0
)
)
)
)"),2.0)</f>
        <v>2</v>
      </c>
      <c r="K3326" s="4">
        <f>IFERROR(__xludf.DUMMYFUNCTION("IF(H3326="""","""",
SUM(
ARRAYFORMULA(
IF(
REGEXMATCH(
"" ""&amp;H3326&amp;"" "",
"" ""&amp;Sentiment_Words!B$2:B3730&amp;"" ""
),
1,
0
)
)
)
)"),1.0)</f>
        <v>1</v>
      </c>
      <c r="L3326" s="7" t="str">
        <f t="shared" si="3"/>
        <v>Fulfillment &amp; Shipping</v>
      </c>
      <c r="M3326" s="7" t="str">
        <f t="shared" si="4"/>
        <v>Positive</v>
      </c>
      <c r="N3326" s="7" t="str">
        <f>IFERROR(__xludf.DUMMYFUNCTION("LOWER(
TRIM(
REGEXREPLACE(B3326,""[^a-zA-Z\s]"","""")
)
)
"),"mike allis")</f>
        <v>mike allis</v>
      </c>
      <c r="O3326" s="7">
        <f t="shared" si="5"/>
        <v>1</v>
      </c>
      <c r="P3326" s="8" t="str">
        <f t="shared" si="6"/>
        <v>No</v>
      </c>
    </row>
    <row r="3327">
      <c r="A3327" s="4" t="s">
        <v>16</v>
      </c>
      <c r="B3327" s="4" t="s">
        <v>9224</v>
      </c>
      <c r="C3327" s="5">
        <v>44548.0</v>
      </c>
      <c r="D3327" s="10">
        <v>44548.0</v>
      </c>
      <c r="E3327" s="4" t="s">
        <v>9225</v>
      </c>
      <c r="F3327" s="4" t="s">
        <v>9226</v>
      </c>
      <c r="G3327" s="6" t="str">
        <f>IFERROR(__xludf.DUMMYFUNCTION("REGEXREPLACE(LOWER(F3327),""[^a-z\s]"","""")"),"never had a problem have recommended")</f>
        <v>never had a problem have recommended</v>
      </c>
      <c r="H3327" s="4" t="str">
        <f t="shared" si="1"/>
        <v>never had a problem have recommended</v>
      </c>
      <c r="I3327" s="6">
        <f t="shared" si="2"/>
        <v>6</v>
      </c>
      <c r="J3327" s="6">
        <f>IFERROR(__xludf.DUMMYFUNCTION("IF(H3327="""","""",
SUM(
ARRAYFORMULA(
IF(
REGEXMATCH(
"" ""&amp;H3327&amp;"" "",
"" ""&amp;Sentiment_Words!A$2:A3730&amp;"" ""
),
1,
0
)
)
)
)"),0.0)</f>
        <v>0</v>
      </c>
      <c r="K3327" s="4">
        <f>IFERROR(__xludf.DUMMYFUNCTION("IF(H3327="""","""",
SUM(
ARRAYFORMULA(
IF(
REGEXMATCH(
"" ""&amp;H3327&amp;"" "",
"" ""&amp;Sentiment_Words!B$2:B3730&amp;"" ""
),
1,
0
)
)
)
)"),1.0)</f>
        <v>1</v>
      </c>
      <c r="L3327" s="7" t="str">
        <f t="shared" si="3"/>
        <v>Other</v>
      </c>
      <c r="M3327" s="7" t="str">
        <f t="shared" si="4"/>
        <v>Negative</v>
      </c>
      <c r="N3327" s="7" t="str">
        <f>IFERROR(__xludf.DUMMYFUNCTION("LOWER(
TRIM(
REGEXREPLACE(B3327,""[^a-zA-Z\s]"","""")
)
)
"),"vn")</f>
        <v>vn</v>
      </c>
      <c r="O3327" s="7">
        <f t="shared" si="5"/>
        <v>1</v>
      </c>
      <c r="P3327" s="8" t="str">
        <f t="shared" si="6"/>
        <v>No</v>
      </c>
    </row>
    <row r="3328">
      <c r="A3328" s="4" t="s">
        <v>16</v>
      </c>
      <c r="B3328" s="4" t="s">
        <v>9227</v>
      </c>
      <c r="C3328" s="5">
        <v>44548.0</v>
      </c>
      <c r="D3328" s="10">
        <v>44548.0</v>
      </c>
      <c r="E3328" s="4" t="s">
        <v>9228</v>
      </c>
      <c r="F3328" s="4" t="s">
        <v>9229</v>
      </c>
      <c r="G3328" s="6" t="str">
        <f>IFERROR(__xludf.DUMMYFUNCTION("REGEXREPLACE(LOWER(F3328),""[^a-z\s]"","""")"),"order was easy to place and delivery was prompt thank you")</f>
        <v>order was easy to place and delivery was prompt thank you</v>
      </c>
      <c r="H3328" s="4" t="str">
        <f t="shared" si="1"/>
        <v>order was easy place delivery was prompt thank you</v>
      </c>
      <c r="I3328" s="6">
        <f t="shared" si="2"/>
        <v>9</v>
      </c>
      <c r="J3328" s="6">
        <f>IFERROR(__xludf.DUMMYFUNCTION("IF(H3328="""","""",
SUM(
ARRAYFORMULA(
IF(
REGEXMATCH(
"" ""&amp;H3328&amp;"" "",
"" ""&amp;Sentiment_Words!A$2:A3730&amp;"" ""
),
1,
0
)
)
)
)"),2.0)</f>
        <v>2</v>
      </c>
      <c r="K3328" s="4">
        <f>IFERROR(__xludf.DUMMYFUNCTION("IF(H3328="""","""",
SUM(
ARRAYFORMULA(
IF(
REGEXMATCH(
"" ""&amp;H3328&amp;"" "",
"" ""&amp;Sentiment_Words!B$2:B3730&amp;"" ""
),
1,
0
)
)
)
)"),0.0)</f>
        <v>0</v>
      </c>
      <c r="L3328" s="7" t="str">
        <f t="shared" si="3"/>
        <v>Other</v>
      </c>
      <c r="M3328" s="7" t="str">
        <f t="shared" si="4"/>
        <v>Positive</v>
      </c>
      <c r="N3328" s="7" t="str">
        <f>IFERROR(__xludf.DUMMYFUNCTION("LOWER(
TRIM(
REGEXREPLACE(B3328,""[^a-zA-Z\s]"","""")
)
)
"),"brandon r")</f>
        <v>brandon r</v>
      </c>
      <c r="O3328" s="7">
        <f t="shared" si="5"/>
        <v>1</v>
      </c>
      <c r="P3328" s="8" t="str">
        <f t="shared" si="6"/>
        <v>No</v>
      </c>
    </row>
    <row r="3329">
      <c r="A3329" s="4" t="s">
        <v>16</v>
      </c>
      <c r="B3329" s="4" t="s">
        <v>8721</v>
      </c>
      <c r="C3329" s="5">
        <v>44547.0</v>
      </c>
      <c r="D3329" s="10">
        <v>44547.0</v>
      </c>
      <c r="E3329" s="4" t="s">
        <v>9230</v>
      </c>
      <c r="F3329" s="4" t="s">
        <v>331</v>
      </c>
      <c r="G3329" s="6" t="str">
        <f>IFERROR(__xludf.DUMMYFUNCTION("REGEXREPLACE(LOWER(F3329),""[^a-z\s]"","""")"),"none")</f>
        <v>none</v>
      </c>
      <c r="H3329" s="4" t="str">
        <f t="shared" si="1"/>
        <v>none</v>
      </c>
      <c r="I3329" s="6">
        <f t="shared" si="2"/>
        <v>1</v>
      </c>
      <c r="J3329" s="6">
        <f>IFERROR(__xludf.DUMMYFUNCTION("IF(H3329="""","""",
SUM(
ARRAYFORMULA(
IF(
REGEXMATCH(
"" ""&amp;H3329&amp;"" "",
"" ""&amp;Sentiment_Words!A$2:A3730&amp;"" ""
),
1,
0
)
)
)
)"),0.0)</f>
        <v>0</v>
      </c>
      <c r="K3329" s="4">
        <f>IFERROR(__xludf.DUMMYFUNCTION("IF(H3329="""","""",
SUM(
ARRAYFORMULA(
IF(
REGEXMATCH(
"" ""&amp;H3329&amp;"" "",
"" ""&amp;Sentiment_Words!B$2:B3730&amp;"" ""
),
1,
0
)
)
)
)"),0.0)</f>
        <v>0</v>
      </c>
      <c r="L3329" s="7" t="str">
        <f t="shared" si="3"/>
        <v>Other</v>
      </c>
      <c r="M3329" s="7" t="str">
        <f t="shared" si="4"/>
        <v>Neutral</v>
      </c>
      <c r="N3329" s="7" t="str">
        <f>IFERROR(__xludf.DUMMYFUNCTION("LOWER(
TRIM(
REGEXREPLACE(B3329,""[^a-zA-Z\s]"","""")
)
)
"),"kathleen")</f>
        <v>kathleen</v>
      </c>
      <c r="O3329" s="7">
        <f t="shared" si="5"/>
        <v>2</v>
      </c>
      <c r="P3329" s="8" t="str">
        <f t="shared" si="6"/>
        <v>Yes</v>
      </c>
    </row>
    <row r="3330">
      <c r="A3330" s="4" t="s">
        <v>16</v>
      </c>
      <c r="B3330" s="4" t="s">
        <v>9231</v>
      </c>
      <c r="C3330" s="5">
        <v>44547.0</v>
      </c>
      <c r="D3330" s="10">
        <v>44547.0</v>
      </c>
      <c r="E3330" s="4" t="s">
        <v>9232</v>
      </c>
      <c r="F3330" s="4" t="s">
        <v>331</v>
      </c>
      <c r="G3330" s="6" t="str">
        <f>IFERROR(__xludf.DUMMYFUNCTION("REGEXREPLACE(LOWER(F3330),""[^a-z\s]"","""")"),"none")</f>
        <v>none</v>
      </c>
      <c r="H3330" s="4" t="str">
        <f t="shared" si="1"/>
        <v>none</v>
      </c>
      <c r="I3330" s="6">
        <f t="shared" si="2"/>
        <v>1</v>
      </c>
      <c r="J3330" s="6">
        <f>IFERROR(__xludf.DUMMYFUNCTION("IF(H3330="""","""",
SUM(
ARRAYFORMULA(
IF(
REGEXMATCH(
"" ""&amp;H3330&amp;"" "",
"" ""&amp;Sentiment_Words!A$2:A3730&amp;"" ""
),
1,
0
)
)
)
)"),0.0)</f>
        <v>0</v>
      </c>
      <c r="K3330" s="4">
        <f>IFERROR(__xludf.DUMMYFUNCTION("IF(H3330="""","""",
SUM(
ARRAYFORMULA(
IF(
REGEXMATCH(
"" ""&amp;H3330&amp;"" "",
"" ""&amp;Sentiment_Words!B$2:B3730&amp;"" ""
),
1,
0
)
)
)
)"),0.0)</f>
        <v>0</v>
      </c>
      <c r="L3330" s="7" t="str">
        <f t="shared" si="3"/>
        <v>Other</v>
      </c>
      <c r="M3330" s="7" t="str">
        <f t="shared" si="4"/>
        <v>Neutral</v>
      </c>
      <c r="N3330" s="7" t="str">
        <f>IFERROR(__xludf.DUMMYFUNCTION("LOWER(
TRIM(
REGEXREPLACE(B3330,""[^a-zA-Z\s]"","""")
)
)
"),"ruth petrucci")</f>
        <v>ruth petrucci</v>
      </c>
      <c r="O3330" s="7">
        <f t="shared" si="5"/>
        <v>1</v>
      </c>
      <c r="P3330" s="8" t="str">
        <f t="shared" si="6"/>
        <v>No</v>
      </c>
    </row>
    <row r="3331">
      <c r="A3331" s="4" t="s">
        <v>16</v>
      </c>
      <c r="B3331" s="4" t="s">
        <v>9233</v>
      </c>
      <c r="C3331" s="5">
        <v>44547.0</v>
      </c>
      <c r="D3331" s="10">
        <v>44547.0</v>
      </c>
      <c r="E3331" s="4" t="s">
        <v>2230</v>
      </c>
      <c r="F3331" s="4" t="s">
        <v>331</v>
      </c>
      <c r="G3331" s="6" t="str">
        <f>IFERROR(__xludf.DUMMYFUNCTION("REGEXREPLACE(LOWER(F3331),""[^a-z\s]"","""")"),"none")</f>
        <v>none</v>
      </c>
      <c r="H3331" s="4" t="str">
        <f t="shared" si="1"/>
        <v>none</v>
      </c>
      <c r="I3331" s="6">
        <f t="shared" si="2"/>
        <v>1</v>
      </c>
      <c r="J3331" s="6">
        <f>IFERROR(__xludf.DUMMYFUNCTION("IF(H3331="""","""",
SUM(
ARRAYFORMULA(
IF(
REGEXMATCH(
"" ""&amp;H3331&amp;"" "",
"" ""&amp;Sentiment_Words!A$2:A3730&amp;"" ""
),
1,
0
)
)
)
)"),0.0)</f>
        <v>0</v>
      </c>
      <c r="K3331" s="4">
        <f>IFERROR(__xludf.DUMMYFUNCTION("IF(H3331="""","""",
SUM(
ARRAYFORMULA(
IF(
REGEXMATCH(
"" ""&amp;H3331&amp;"" "",
"" ""&amp;Sentiment_Words!B$2:B3730&amp;"" ""
),
1,
0
)
)
)
)"),0.0)</f>
        <v>0</v>
      </c>
      <c r="L3331" s="7" t="str">
        <f t="shared" si="3"/>
        <v>Other</v>
      </c>
      <c r="M3331" s="7" t="str">
        <f t="shared" si="4"/>
        <v>Neutral</v>
      </c>
      <c r="N3331" s="7" t="str">
        <f>IFERROR(__xludf.DUMMYFUNCTION("LOWER(
TRIM(
REGEXREPLACE(B3331,""[^a-zA-Z\s]"","""")
)
)
"),"constance")</f>
        <v>constance</v>
      </c>
      <c r="O3331" s="7">
        <f t="shared" si="5"/>
        <v>1</v>
      </c>
      <c r="P3331" s="8" t="str">
        <f t="shared" si="6"/>
        <v>No</v>
      </c>
    </row>
    <row r="3332">
      <c r="A3332" s="4" t="s">
        <v>16</v>
      </c>
      <c r="B3332" s="4" t="s">
        <v>9234</v>
      </c>
      <c r="C3332" s="5">
        <v>44547.0</v>
      </c>
      <c r="D3332" s="10">
        <v>44547.0</v>
      </c>
      <c r="E3332" s="4" t="s">
        <v>9235</v>
      </c>
      <c r="F3332" s="4" t="s">
        <v>9236</v>
      </c>
      <c r="G3332" s="6" t="str">
        <f>IFERROR(__xludf.DUMMYFUNCTION("REGEXREPLACE(LOWER(F3332),""[^a-z\s]"","""")"),"thank you for the ease of ordering  the speed of getting my order delivered also i am very impressed with your website")</f>
        <v>thank you for the ease of ordering  the speed of getting my order delivered also i am very impressed with your website</v>
      </c>
      <c r="H3332" s="4" t="str">
        <f t="shared" si="1"/>
        <v>thank you ease of ordering speed of getting my order delivered also i am very impressed with your website</v>
      </c>
      <c r="I3332" s="6">
        <f t="shared" si="2"/>
        <v>19</v>
      </c>
      <c r="J3332" s="6">
        <f>IFERROR(__xludf.DUMMYFUNCTION("IF(H3332="""","""",
SUM(
ARRAYFORMULA(
IF(
REGEXMATCH(
"" ""&amp;H3332&amp;"" "",
"" ""&amp;Sentiment_Words!A$2:A3730&amp;"" ""
),
1,
0
)
)
)
)"),2.0)</f>
        <v>2</v>
      </c>
      <c r="K3332" s="4">
        <f>IFERROR(__xludf.DUMMYFUNCTION("IF(H3332="""","""",
SUM(
ARRAYFORMULA(
IF(
REGEXMATCH(
"" ""&amp;H3332&amp;"" "",
"" ""&amp;Sentiment_Words!B$2:B3730&amp;"" ""
),
1,
0
)
)
)
)"),0.0)</f>
        <v>0</v>
      </c>
      <c r="L3332" s="7" t="str">
        <f t="shared" si="3"/>
        <v>Account &amp; Website</v>
      </c>
      <c r="M3332" s="7" t="str">
        <f t="shared" si="4"/>
        <v>Positive</v>
      </c>
      <c r="N3332" s="7" t="str">
        <f>IFERROR(__xludf.DUMMYFUNCTION("LOWER(
TRIM(
REGEXREPLACE(B3332,""[^a-zA-Z\s]"","""")
)
)
"),"juliana galson")</f>
        <v>juliana galson</v>
      </c>
      <c r="O3332" s="7">
        <f t="shared" si="5"/>
        <v>1</v>
      </c>
      <c r="P3332" s="8" t="str">
        <f t="shared" si="6"/>
        <v>No</v>
      </c>
    </row>
    <row r="3333">
      <c r="A3333" s="4" t="s">
        <v>16</v>
      </c>
      <c r="B3333" s="4" t="s">
        <v>9237</v>
      </c>
      <c r="C3333" s="5">
        <v>44546.0</v>
      </c>
      <c r="D3333" s="10">
        <v>44547.0</v>
      </c>
      <c r="E3333" s="4" t="s">
        <v>9238</v>
      </c>
      <c r="F3333" s="4" t="s">
        <v>9239</v>
      </c>
      <c r="G3333" s="6" t="str">
        <f>IFERROR(__xludf.DUMMYFUNCTION("REGEXREPLACE(LOWER(F3333),""[^a-z\s]"","""")"),"i have been ordering my dogs food from petflow for a few years they always have a quick turn around from order being placed to delivery my dogs eat fromms large breed dog food which can only be purchased in specialty stores petflow has been wonderful to o"&amp;"rder the food i just place the order and a few days later the food arrives on my front door step awesome service")</f>
        <v>i have been ordering my dogs food from petflow for a few years they always have a quick turn around from order being placed to delivery my dogs eat fromms large breed dog food which can only be purchased in specialty stores petflow has been wonderful to order the food i just place the order and a few days later the food arrives on my front door step awesome service</v>
      </c>
      <c r="H3333" s="4" t="str">
        <f t="shared" si="1"/>
        <v>i have been ordering my dogs food from petflow a few years they always have a quick turn around from order being placed delivery my dogs eat fromms large breed dog food which can only be purchased in specialty stores petflow has been wonderful order food i just place order a few days later food arrives on my front door step awesome service</v>
      </c>
      <c r="I3333" s="6">
        <f t="shared" si="2"/>
        <v>63</v>
      </c>
      <c r="J3333" s="6">
        <f>IFERROR(__xludf.DUMMYFUNCTION("IF(H3333="""","""",
SUM(
ARRAYFORMULA(
IF(
REGEXMATCH(
"" ""&amp;H3333&amp;"" "",
"" ""&amp;Sentiment_Words!A$2:A3730&amp;"" ""
),
1,
0
)
)
)
)"),1.0)</f>
        <v>1</v>
      </c>
      <c r="K3333" s="4">
        <f>IFERROR(__xludf.DUMMYFUNCTION("IF(H3333="""","""",
SUM(
ARRAYFORMULA(
IF(
REGEXMATCH(
"" ""&amp;H3333&amp;"" "",
"" ""&amp;Sentiment_Words!B$2:B3730&amp;"" ""
),
1,
0
)
)
)
)"),0.0)</f>
        <v>0</v>
      </c>
      <c r="L3333" s="7" t="str">
        <f t="shared" si="3"/>
        <v>Customer Support</v>
      </c>
      <c r="M3333" s="7" t="str">
        <f t="shared" si="4"/>
        <v>Positive</v>
      </c>
      <c r="N3333" s="7" t="str">
        <f>IFERROR(__xludf.DUMMYFUNCTION("LOWER(
TRIM(
REGEXREPLACE(B3333,""[^a-zA-Z\s]"","""")
)
)
"),"kona and big ds mom")</f>
        <v>kona and big ds mom</v>
      </c>
      <c r="O3333" s="7">
        <f t="shared" si="5"/>
        <v>1</v>
      </c>
      <c r="P3333" s="8" t="str">
        <f t="shared" si="6"/>
        <v>No</v>
      </c>
    </row>
    <row r="3334">
      <c r="A3334" s="4" t="s">
        <v>16</v>
      </c>
      <c r="B3334" s="4" t="s">
        <v>9240</v>
      </c>
      <c r="C3334" s="5">
        <v>44546.0</v>
      </c>
      <c r="D3334" s="10">
        <v>44546.0</v>
      </c>
      <c r="E3334" s="4" t="s">
        <v>9241</v>
      </c>
      <c r="F3334" s="4" t="s">
        <v>9242</v>
      </c>
      <c r="G3334" s="6" t="str">
        <f>IFERROR(__xludf.DUMMYFUNCTION("REGEXREPLACE(LOWER(F3334),""[^a-z\s]"","""")"),"i have had a great experience with petflow only once i had a packagedelivery that was stuck somewhere unknown customer service immediately sent it to me again without question i was grateful and impressed
also when you place an order with petflow you need"&amp;" to stand by the door because petflow has fast delivery ")</f>
        <v>i have had a great experience with petflow only once i had a packagedelivery that was stuck somewhere unknown customer service immediately sent it to me again without question i was grateful and impressed
also when you place an order with petflow you need to stand by the door because petflow has fast delivery </v>
      </c>
      <c r="H3334" s="4" t="str">
        <f t="shared" si="1"/>
        <v>i have had a great experience with petflow only once i had a packagedelivery that was stuck somewhere unknown customer service immediately sent it me again without question i was grateful impressed
also when you place an order with petflow you need stand by door because petflow has fast delivery</v>
      </c>
      <c r="I3334" s="6">
        <f t="shared" si="2"/>
        <v>49</v>
      </c>
      <c r="J3334" s="6">
        <f>IFERROR(__xludf.DUMMYFUNCTION("IF(H3334="""","""",
SUM(
ARRAYFORMULA(
IF(
REGEXMATCH(
"" ""&amp;H3334&amp;"" "",
"" ""&amp;Sentiment_Words!A$2:A3730&amp;"" ""
),
1,
0
)
)
)
)"),4.0)</f>
        <v>4</v>
      </c>
      <c r="K3334" s="4">
        <f>IFERROR(__xludf.DUMMYFUNCTION("IF(H3334="""","""",
SUM(
ARRAYFORMULA(
IF(
REGEXMATCH(
"" ""&amp;H3334&amp;"" "",
"" ""&amp;Sentiment_Words!B$2:B3730&amp;"" ""
),
1,
0
)
)
)
)"),1.0)</f>
        <v>1</v>
      </c>
      <c r="L3334" s="7" t="str">
        <f t="shared" si="3"/>
        <v>Customer Support</v>
      </c>
      <c r="M3334" s="7" t="str">
        <f t="shared" si="4"/>
        <v>Positive</v>
      </c>
      <c r="N3334" s="7" t="str">
        <f>IFERROR(__xludf.DUMMYFUNCTION("LOWER(
TRIM(
REGEXREPLACE(B3334,""[^a-zA-Z\s]"","""")
)
)
"),"patti ellis")</f>
        <v>patti ellis</v>
      </c>
      <c r="O3334" s="7">
        <f t="shared" si="5"/>
        <v>1</v>
      </c>
      <c r="P3334" s="8" t="str">
        <f t="shared" si="6"/>
        <v>No</v>
      </c>
    </row>
    <row r="3335">
      <c r="A3335" s="4" t="s">
        <v>16</v>
      </c>
      <c r="B3335" s="4" t="s">
        <v>9243</v>
      </c>
      <c r="C3335" s="5">
        <v>44546.0</v>
      </c>
      <c r="D3335" s="10">
        <v>44546.0</v>
      </c>
      <c r="E3335" s="4" t="s">
        <v>9244</v>
      </c>
      <c r="F3335" s="4" t="s">
        <v>9245</v>
      </c>
      <c r="G3335" s="6" t="str">
        <f>IFERROR(__xludf.DUMMYFUNCTION("REGEXREPLACE(LOWER(F3335),""[^a-z\s]"","""")"),"always quality items from pet flow and they are recieved in a timely manner")</f>
        <v>always quality items from pet flow and they are recieved in a timely manner</v>
      </c>
      <c r="H3335" s="4" t="str">
        <f t="shared" si="1"/>
        <v>always quality items from pet flow they are recieved in a timely manner</v>
      </c>
      <c r="I3335" s="6">
        <f t="shared" si="2"/>
        <v>13</v>
      </c>
      <c r="J3335" s="6">
        <f>IFERROR(__xludf.DUMMYFUNCTION("IF(H3335="""","""",
SUM(
ARRAYFORMULA(
IF(
REGEXMATCH(
"" ""&amp;H3335&amp;"" "",
"" ""&amp;Sentiment_Words!A$2:A3730&amp;"" ""
),
1,
0
)
)
)
)"),0.0)</f>
        <v>0</v>
      </c>
      <c r="K3335" s="4">
        <f>IFERROR(__xludf.DUMMYFUNCTION("IF(H3335="""","""",
SUM(
ARRAYFORMULA(
IF(
REGEXMATCH(
"" ""&amp;H3335&amp;"" "",
"" ""&amp;Sentiment_Words!B$2:B3730&amp;"" ""
),
1,
0
)
)
)
)"),0.0)</f>
        <v>0</v>
      </c>
      <c r="L3335" s="7" t="str">
        <f t="shared" si="3"/>
        <v>Other</v>
      </c>
      <c r="M3335" s="7" t="str">
        <f t="shared" si="4"/>
        <v>Neutral</v>
      </c>
      <c r="N3335" s="7" t="str">
        <f>IFERROR(__xludf.DUMMYFUNCTION("LOWER(
TRIM(
REGEXREPLACE(B3335,""[^a-zA-Z\s]"","""")
)
)
"),"catherine rust")</f>
        <v>catherine rust</v>
      </c>
      <c r="O3335" s="7">
        <f t="shared" si="5"/>
        <v>1</v>
      </c>
      <c r="P3335" s="8" t="str">
        <f t="shared" si="6"/>
        <v>No</v>
      </c>
    </row>
    <row r="3336">
      <c r="A3336" s="4" t="s">
        <v>16</v>
      </c>
      <c r="B3336" s="4" t="s">
        <v>9246</v>
      </c>
      <c r="C3336" s="5">
        <v>44546.0</v>
      </c>
      <c r="D3336" s="10">
        <v>44546.0</v>
      </c>
      <c r="E3336" s="4" t="s">
        <v>9247</v>
      </c>
      <c r="F3336" s="4" t="s">
        <v>9248</v>
      </c>
      <c r="G3336" s="6" t="str">
        <f>IFERROR(__xludf.DUMMYFUNCTION("REGEXREPLACE(LOWER(F3336),""[^a-z\s]"","""")"),"i like this company they have a great selection of dog foods that are difficult to find other places their prices are comparable to other sites although they may be a few dollars higher i like that they say they do note food to animal shelters")</f>
        <v>i like this company they have a great selection of dog foods that are difficult to find other places their prices are comparable to other sites although they may be a few dollars higher i like that they say they do note food to animal shelters</v>
      </c>
      <c r="H3336" s="4" t="str">
        <f t="shared" si="1"/>
        <v>i like this company they have a great selection of dog foods that are difficult find other places their prices are comparable other sites although they may be a few dollars higher i like that they say they do note food animal shelters</v>
      </c>
      <c r="I3336" s="6">
        <f t="shared" si="2"/>
        <v>43</v>
      </c>
      <c r="J3336" s="6">
        <f>IFERROR(__xludf.DUMMYFUNCTION("IF(H3336="""","""",
SUM(
ARRAYFORMULA(
IF(
REGEXMATCH(
"" ""&amp;H3336&amp;"" "",
"" ""&amp;Sentiment_Words!A$2:A3730&amp;"" ""
),
1,
0
)
)
)
)"),1.0)</f>
        <v>1</v>
      </c>
      <c r="K3336" s="4">
        <f>IFERROR(__xludf.DUMMYFUNCTION("IF(H3336="""","""",
SUM(
ARRAYFORMULA(
IF(
REGEXMATCH(
"" ""&amp;H3336&amp;"" "",
"" ""&amp;Sentiment_Words!B$2:B3730&amp;"" ""
),
1,
0
)
)
)
)"),0.0)</f>
        <v>0</v>
      </c>
      <c r="L3336" s="7" t="str">
        <f t="shared" si="3"/>
        <v>Other</v>
      </c>
      <c r="M3336" s="7" t="str">
        <f t="shared" si="4"/>
        <v>Positive</v>
      </c>
      <c r="N3336" s="7" t="str">
        <f>IFERROR(__xludf.DUMMYFUNCTION("LOWER(
TRIM(
REGEXREPLACE(B3336,""[^a-zA-Z\s]"","""")
)
)
"),"heather mccarty")</f>
        <v>heather mccarty</v>
      </c>
      <c r="O3336" s="7">
        <f t="shared" si="5"/>
        <v>1</v>
      </c>
      <c r="P3336" s="8" t="str">
        <f t="shared" si="6"/>
        <v>No</v>
      </c>
    </row>
    <row r="3337">
      <c r="A3337" s="4" t="s">
        <v>16</v>
      </c>
      <c r="B3337" s="4" t="s">
        <v>9249</v>
      </c>
      <c r="C3337" s="5">
        <v>44546.0</v>
      </c>
      <c r="D3337" s="10">
        <v>44546.0</v>
      </c>
      <c r="E3337" s="4" t="s">
        <v>9250</v>
      </c>
      <c r="F3337" s="4" t="s">
        <v>9251</v>
      </c>
      <c r="G3337" s="6" t="str">
        <f>IFERROR(__xludf.DUMMYFUNCTION("REGEXREPLACE(LOWER(F3337),""[^a-z\s]"","""")"),"false info on delivery date  no follow up  product seems to be stuck in transit in a black hole in neighboring state product is over a week delayed from promised date with no follow up status update  will never deal with pet flow again  not a well run bus"&amp;"iness ")</f>
        <v>false info on delivery date  no follow up  product seems to be stuck in transit in a black hole in neighboring state product is over a week delayed from promised date with no follow up status update  will never deal with pet flow again  not a well run business </v>
      </c>
      <c r="H3337" s="4" t="str">
        <f t="shared" si="1"/>
        <v>false info on delivery date no follow up product seems be stuck in transit in a black hole in neighboring state product over a week delayed from promised date with no follow up status update will never deal with pet flow again not a well run business</v>
      </c>
      <c r="I3337" s="6">
        <f t="shared" si="2"/>
        <v>47</v>
      </c>
      <c r="J3337" s="6">
        <f>IFERROR(__xludf.DUMMYFUNCTION("IF(H3337="""","""",
SUM(
ARRAYFORMULA(
IF(
REGEXMATCH(
"" ""&amp;H3337&amp;"" "",
"" ""&amp;Sentiment_Words!A$2:A3730&amp;"" ""
),
1,
0
)
)
)
)"),0.0)</f>
        <v>0</v>
      </c>
      <c r="K3337" s="4">
        <f>IFERROR(__xludf.DUMMYFUNCTION("IF(H3337="""","""",
SUM(
ARRAYFORMULA(
IF(
REGEXMATCH(
"" ""&amp;H3337&amp;"" "",
"" ""&amp;Sentiment_Words!B$2:B3730&amp;"" ""
),
1,
0
)
)
)
)"),1.0)</f>
        <v>1</v>
      </c>
      <c r="L3337" s="7" t="str">
        <f t="shared" si="3"/>
        <v>Fulfillment &amp; Shipping</v>
      </c>
      <c r="M3337" s="7" t="str">
        <f t="shared" si="4"/>
        <v>Negative</v>
      </c>
      <c r="N3337" s="7" t="str">
        <f>IFERROR(__xludf.DUMMYFUNCTION("LOWER(
TRIM(
REGEXREPLACE(B3337,""[^a-zA-Z\s]"","""")
)
)
"),"newt pearson")</f>
        <v>newt pearson</v>
      </c>
      <c r="O3337" s="7">
        <f t="shared" si="5"/>
        <v>1</v>
      </c>
      <c r="P3337" s="8" t="str">
        <f t="shared" si="6"/>
        <v>No</v>
      </c>
    </row>
    <row r="3338">
      <c r="A3338" s="4" t="s">
        <v>16</v>
      </c>
      <c r="B3338" s="4" t="s">
        <v>9252</v>
      </c>
      <c r="C3338" s="5">
        <v>44546.0</v>
      </c>
      <c r="D3338" s="10">
        <v>44546.0</v>
      </c>
      <c r="E3338" s="4" t="s">
        <v>9253</v>
      </c>
      <c r="F3338" s="4" t="s">
        <v>9254</v>
      </c>
      <c r="G3338" s="6" t="str">
        <f>IFERROR(__xludf.DUMMYFUNCTION("REGEXREPLACE(LOWER(F3338),""[^a-z\s]"","""")"),"great communication speedy service and delivery even when supplies are low thank you")</f>
        <v>great communication speedy service and delivery even when supplies are low thank you</v>
      </c>
      <c r="H3338" s="4" t="str">
        <f t="shared" si="1"/>
        <v>great communication speedy service delivery even when supplies are low thank you</v>
      </c>
      <c r="I3338" s="6">
        <f t="shared" si="2"/>
        <v>12</v>
      </c>
      <c r="J3338" s="6">
        <f>IFERROR(__xludf.DUMMYFUNCTION("IF(H3338="""","""",
SUM(
ARRAYFORMULA(
IF(
REGEXMATCH(
"" ""&amp;H3338&amp;"" "",
"" ""&amp;Sentiment_Words!A$2:A3730&amp;"" ""
),
1,
0
)
)
)
)"),1.0)</f>
        <v>1</v>
      </c>
      <c r="K3338" s="4">
        <f>IFERROR(__xludf.DUMMYFUNCTION("IF(H3338="""","""",
SUM(
ARRAYFORMULA(
IF(
REGEXMATCH(
"" ""&amp;H3338&amp;"" "",
"" ""&amp;Sentiment_Words!B$2:B3730&amp;"" ""
),
1,
0
)
)
)
)"),0.0)</f>
        <v>0</v>
      </c>
      <c r="L3338" s="7" t="str">
        <f t="shared" si="3"/>
        <v>Customer Support</v>
      </c>
      <c r="M3338" s="7" t="str">
        <f t="shared" si="4"/>
        <v>Positive</v>
      </c>
      <c r="N3338" s="7" t="str">
        <f>IFERROR(__xludf.DUMMYFUNCTION("LOWER(
TRIM(
REGEXREPLACE(B3338,""[^a-zA-Z\s]"","""")
)
)
"),"marguerite")</f>
        <v>marguerite</v>
      </c>
      <c r="O3338" s="7">
        <f t="shared" si="5"/>
        <v>1</v>
      </c>
      <c r="P3338" s="8" t="str">
        <f t="shared" si="6"/>
        <v>No</v>
      </c>
    </row>
    <row r="3339">
      <c r="A3339" s="4" t="s">
        <v>16</v>
      </c>
      <c r="B3339" s="4" t="s">
        <v>9255</v>
      </c>
      <c r="C3339" s="5">
        <v>44546.0</v>
      </c>
      <c r="D3339" s="10">
        <v>44546.0</v>
      </c>
      <c r="E3339" s="4" t="s">
        <v>9256</v>
      </c>
      <c r="F3339" s="4" t="s">
        <v>9257</v>
      </c>
      <c r="G3339" s="6" t="str">
        <f>IFERROR(__xludf.DUMMYFUNCTION("REGEXREPLACE(LOWER(F3339),""[^a-z\s]"","""")"),"very pleasant experience good customer service
fast delivery prices are ok")</f>
        <v>very pleasant experience good customer service
fast delivery prices are ok</v>
      </c>
      <c r="H3339" s="4" t="str">
        <f t="shared" si="1"/>
        <v>very pleasant experience good customer service
fast delivery prices are ok</v>
      </c>
      <c r="I3339" s="6">
        <f t="shared" si="2"/>
        <v>10</v>
      </c>
      <c r="J3339" s="6">
        <f>IFERROR(__xludf.DUMMYFUNCTION("IF(H3339="""","""",
SUM(
ARRAYFORMULA(
IF(
REGEXMATCH(
"" ""&amp;H3339&amp;"" "",
"" ""&amp;Sentiment_Words!A$2:A3730&amp;"" ""
),
1,
0
)
)
)
)"),1.0)</f>
        <v>1</v>
      </c>
      <c r="K3339" s="4">
        <f>IFERROR(__xludf.DUMMYFUNCTION("IF(H3339="""","""",
SUM(
ARRAYFORMULA(
IF(
REGEXMATCH(
"" ""&amp;H3339&amp;"" "",
"" ""&amp;Sentiment_Words!B$2:B3730&amp;"" ""
),
1,
0
)
)
)
)"),0.0)</f>
        <v>0</v>
      </c>
      <c r="L3339" s="7" t="str">
        <f t="shared" si="3"/>
        <v>Customer Support</v>
      </c>
      <c r="M3339" s="7" t="str">
        <f t="shared" si="4"/>
        <v>Positive</v>
      </c>
      <c r="N3339" s="7" t="str">
        <f>IFERROR(__xludf.DUMMYFUNCTION("LOWER(
TRIM(
REGEXREPLACE(B3339,""[^a-zA-Z\s]"","""")
)
)
"),"tanu")</f>
        <v>tanu</v>
      </c>
      <c r="O3339" s="7">
        <f t="shared" si="5"/>
        <v>1</v>
      </c>
      <c r="P3339" s="8" t="str">
        <f t="shared" si="6"/>
        <v>No</v>
      </c>
    </row>
    <row r="3340">
      <c r="A3340" s="4" t="s">
        <v>16</v>
      </c>
      <c r="B3340" s="4" t="s">
        <v>9258</v>
      </c>
      <c r="C3340" s="5">
        <v>44546.0</v>
      </c>
      <c r="D3340" s="10">
        <v>44546.0</v>
      </c>
      <c r="E3340" s="4" t="s">
        <v>9259</v>
      </c>
      <c r="F3340" s="4" t="s">
        <v>9260</v>
      </c>
      <c r="G3340" s="6" t="str">
        <f>IFERROR(__xludf.DUMMYFUNCTION("REGEXREPLACE(LOWER(F3340),""[^a-z\s]"","""")"),"placed order and received item earlier than anticipated will definitely us this vendor again considering we have four bernese mountain dogs they do eat")</f>
        <v>placed order and received item earlier than anticipated will definitely us this vendor again considering we have four bernese mountain dogs they do eat</v>
      </c>
      <c r="H3340" s="4" t="str">
        <f t="shared" si="1"/>
        <v>placed order received item earlier than anticipated will definitely us this vendor again considering we have four bernese mountain dogs they do eat</v>
      </c>
      <c r="I3340" s="6">
        <f t="shared" si="2"/>
        <v>23</v>
      </c>
      <c r="J3340" s="6">
        <f>IFERROR(__xludf.DUMMYFUNCTION("IF(H3340="""","""",
SUM(
ARRAYFORMULA(
IF(
REGEXMATCH(
"" ""&amp;H3340&amp;"" "",
"" ""&amp;Sentiment_Words!A$2:A3730&amp;"" ""
),
1,
0
)
)
)
)"),0.0)</f>
        <v>0</v>
      </c>
      <c r="K3340" s="4">
        <f>IFERROR(__xludf.DUMMYFUNCTION("IF(H3340="""","""",
SUM(
ARRAYFORMULA(
IF(
REGEXMATCH(
"" ""&amp;H3340&amp;"" "",
"" ""&amp;Sentiment_Words!B$2:B3730&amp;"" ""
),
1,
0
)
)
)
)"),0.0)</f>
        <v>0</v>
      </c>
      <c r="L3340" s="7" t="str">
        <f t="shared" si="3"/>
        <v>Other</v>
      </c>
      <c r="M3340" s="7" t="str">
        <f t="shared" si="4"/>
        <v>Neutral</v>
      </c>
      <c r="N3340" s="7" t="str">
        <f>IFERROR(__xludf.DUMMYFUNCTION("LOWER(
TRIM(
REGEXREPLACE(B3340,""[^a-zA-Z\s]"","""")
)
)
"),"sandra k")</f>
        <v>sandra k</v>
      </c>
      <c r="O3340" s="7">
        <f t="shared" si="5"/>
        <v>1</v>
      </c>
      <c r="P3340" s="8" t="str">
        <f t="shared" si="6"/>
        <v>No</v>
      </c>
    </row>
    <row r="3341">
      <c r="A3341" s="4" t="s">
        <v>16</v>
      </c>
      <c r="B3341" s="4" t="s">
        <v>9261</v>
      </c>
      <c r="C3341" s="5">
        <v>44546.0</v>
      </c>
      <c r="D3341" s="10">
        <v>44546.0</v>
      </c>
      <c r="E3341" s="4" t="s">
        <v>9262</v>
      </c>
      <c r="F3341" s="4" t="s">
        <v>9263</v>
      </c>
      <c r="G3341" s="6" t="str">
        <f>IFERROR(__xludf.DUMMYFUNCTION("REGEXREPLACE(LOWER(F3341),""[^a-z\s]"","""")"),"im still waiting for my dog food delivery or even an update no news since it reached my local distribution center  days ago ")</f>
        <v>im still waiting for my dog food delivery or even an update no news since it reached my local distribution center  days ago </v>
      </c>
      <c r="H3341" s="4" t="str">
        <f t="shared" si="1"/>
        <v>im still waiting my dog food delivery or even an update no news since it reached my local distribution center days ago</v>
      </c>
      <c r="I3341" s="6">
        <f t="shared" si="2"/>
        <v>22</v>
      </c>
      <c r="J3341" s="6">
        <f>IFERROR(__xludf.DUMMYFUNCTION("IF(H3341="""","""",
SUM(
ARRAYFORMULA(
IF(
REGEXMATCH(
"" ""&amp;H3341&amp;"" "",
"" ""&amp;Sentiment_Words!A$2:A3730&amp;"" ""
),
1,
0
)
)
)
)"),0.0)</f>
        <v>0</v>
      </c>
      <c r="K3341" s="4">
        <f>IFERROR(__xludf.DUMMYFUNCTION("IF(H3341="""","""",
SUM(
ARRAYFORMULA(
IF(
REGEXMATCH(
"" ""&amp;H3341&amp;"" "",
"" ""&amp;Sentiment_Words!B$2:B3730&amp;"" ""
),
1,
0
)
)
)
)"),0.0)</f>
        <v>0</v>
      </c>
      <c r="L3341" s="7" t="str">
        <f t="shared" si="3"/>
        <v>Other</v>
      </c>
      <c r="M3341" s="7" t="str">
        <f t="shared" si="4"/>
        <v>Neutral</v>
      </c>
      <c r="N3341" s="7" t="str">
        <f>IFERROR(__xludf.DUMMYFUNCTION("LOWER(
TRIM(
REGEXREPLACE(B3341,""[^a-zA-Z\s]"","""")
)
)
"),"joann starks")</f>
        <v>joann starks</v>
      </c>
      <c r="O3341" s="7">
        <f t="shared" si="5"/>
        <v>1</v>
      </c>
      <c r="P3341" s="8" t="str">
        <f t="shared" si="6"/>
        <v>No</v>
      </c>
    </row>
    <row r="3342">
      <c r="A3342" s="4" t="s">
        <v>16</v>
      </c>
      <c r="B3342" s="4" t="s">
        <v>9264</v>
      </c>
      <c r="C3342" s="5">
        <v>44546.0</v>
      </c>
      <c r="D3342" s="10">
        <v>44546.0</v>
      </c>
      <c r="E3342" s="4" t="s">
        <v>9265</v>
      </c>
      <c r="F3342" s="4" t="s">
        <v>9266</v>
      </c>
      <c r="G3342" s="6" t="str">
        <f>IFERROR(__xludf.DUMMYFUNCTION("REGEXREPLACE(LOWER(F3342),""[^a-z\s]"","""")"),"things came well packaged and timely no complaints")</f>
        <v>things came well packaged and timely no complaints</v>
      </c>
      <c r="H3342" s="4" t="str">
        <f t="shared" si="1"/>
        <v>things came well packaged timely no complaints</v>
      </c>
      <c r="I3342" s="6">
        <f t="shared" si="2"/>
        <v>7</v>
      </c>
      <c r="J3342" s="6">
        <f>IFERROR(__xludf.DUMMYFUNCTION("IF(H3342="""","""",
SUM(
ARRAYFORMULA(
IF(
REGEXMATCH(
"" ""&amp;H3342&amp;"" "",
"" ""&amp;Sentiment_Words!A$2:A3730&amp;"" ""
),
1,
0
)
)
)
)"),0.0)</f>
        <v>0</v>
      </c>
      <c r="K3342" s="4">
        <f>IFERROR(__xludf.DUMMYFUNCTION("IF(H3342="""","""",
SUM(
ARRAYFORMULA(
IF(
REGEXMATCH(
"" ""&amp;H3342&amp;"" "",
"" ""&amp;Sentiment_Words!B$2:B3730&amp;"" ""
),
1,
0
)
)
)
)"),0.0)</f>
        <v>0</v>
      </c>
      <c r="L3342" s="7" t="str">
        <f t="shared" si="3"/>
        <v>Other</v>
      </c>
      <c r="M3342" s="7" t="str">
        <f t="shared" si="4"/>
        <v>Neutral</v>
      </c>
      <c r="N3342" s="7" t="str">
        <f>IFERROR(__xludf.DUMMYFUNCTION("LOWER(
TRIM(
REGEXREPLACE(B3342,""[^a-zA-Z\s]"","""")
)
)
"),"monica danforth")</f>
        <v>monica danforth</v>
      </c>
      <c r="O3342" s="7">
        <f t="shared" si="5"/>
        <v>1</v>
      </c>
      <c r="P3342" s="8" t="str">
        <f t="shared" si="6"/>
        <v>No</v>
      </c>
    </row>
    <row r="3343">
      <c r="A3343" s="4" t="s">
        <v>16</v>
      </c>
      <c r="B3343" s="4" t="s">
        <v>9267</v>
      </c>
      <c r="C3343" s="5">
        <v>44545.0</v>
      </c>
      <c r="D3343" s="10">
        <v>44545.0</v>
      </c>
      <c r="E3343" s="4" t="s">
        <v>9268</v>
      </c>
      <c r="F3343" s="4" t="s">
        <v>9269</v>
      </c>
      <c r="G3343" s="6" t="str">
        <f>IFERROR(__xludf.DUMMYFUNCTION("REGEXREPLACE(LOWER(F3343),""[^a-z\s]"","""")"),"took  days in transit the packaging was taped and retaped the treats were on each side of the package front and back no doubt they will be dust when i open them this company needs to step up there game in the shipping department")</f>
        <v>took  days in transit the packaging was taped and retaped the treats were on each side of the package front and back no doubt they will be dust when i open them this company needs to step up there game in the shipping department</v>
      </c>
      <c r="H3343" s="4" t="str">
        <f t="shared" si="1"/>
        <v>took days in transit packaging was taped retaped treats were on each side of package front back no doubt they will be dust when i open them this company needs step up there game in shipping department</v>
      </c>
      <c r="I3343" s="6">
        <f t="shared" si="2"/>
        <v>37</v>
      </c>
      <c r="J3343" s="6">
        <f>IFERROR(__xludf.DUMMYFUNCTION("IF(H3343="""","""",
SUM(
ARRAYFORMULA(
IF(
REGEXMATCH(
"" ""&amp;H3343&amp;"" "",
"" ""&amp;Sentiment_Words!A$2:A3730&amp;"" ""
),
1,
0
)
)
)
)"),0.0)</f>
        <v>0</v>
      </c>
      <c r="K3343" s="4">
        <f>IFERROR(__xludf.DUMMYFUNCTION("IF(H3343="""","""",
SUM(
ARRAYFORMULA(
IF(
REGEXMATCH(
"" ""&amp;H3343&amp;"" "",
"" ""&amp;Sentiment_Words!B$2:B3730&amp;"" ""
),
1,
0
)
)
)
)"),0.0)</f>
        <v>0</v>
      </c>
      <c r="L3343" s="7" t="str">
        <f t="shared" si="3"/>
        <v>Other</v>
      </c>
      <c r="M3343" s="7" t="str">
        <f t="shared" si="4"/>
        <v>Neutral</v>
      </c>
      <c r="N3343" s="7" t="str">
        <f>IFERROR(__xludf.DUMMYFUNCTION("LOWER(
TRIM(
REGEXREPLACE(B3343,""[^a-zA-Z\s]"","""")
)
)
"),"glw")</f>
        <v>glw</v>
      </c>
      <c r="O3343" s="7">
        <f t="shared" si="5"/>
        <v>1</v>
      </c>
      <c r="P3343" s="8" t="str">
        <f t="shared" si="6"/>
        <v>No</v>
      </c>
    </row>
    <row r="3344">
      <c r="A3344" s="4" t="s">
        <v>16</v>
      </c>
      <c r="B3344" s="4" t="s">
        <v>9270</v>
      </c>
      <c r="C3344" s="5">
        <v>44545.0</v>
      </c>
      <c r="D3344" s="10">
        <v>44545.0</v>
      </c>
      <c r="E3344" s="4" t="s">
        <v>9271</v>
      </c>
      <c r="F3344" s="4" t="s">
        <v>9272</v>
      </c>
      <c r="G3344" s="6" t="str">
        <f>IFERROR(__xludf.DUMMYFUNCTION("REGEXREPLACE(LOWER(F3344),""[^a-z\s]"","""")"),"prices were good product availability was good shipping was good and free im happy with them")</f>
        <v>prices were good product availability was good shipping was good and free im happy with them</v>
      </c>
      <c r="H3344" s="4" t="str">
        <f t="shared" si="1"/>
        <v>prices were good product availability was good shipping was good free im happy with them</v>
      </c>
      <c r="I3344" s="6">
        <f t="shared" si="2"/>
        <v>15</v>
      </c>
      <c r="J3344" s="6">
        <f>IFERROR(__xludf.DUMMYFUNCTION("IF(H3344="""","""",
SUM(
ARRAYFORMULA(
IF(
REGEXMATCH(
"" ""&amp;H3344&amp;"" "",
"" ""&amp;Sentiment_Words!A$2:A3730&amp;"" ""
),
1,
0
)
)
)
)"),2.0)</f>
        <v>2</v>
      </c>
      <c r="K3344" s="4">
        <f>IFERROR(__xludf.DUMMYFUNCTION("IF(H3344="""","""",
SUM(
ARRAYFORMULA(
IF(
REGEXMATCH(
"" ""&amp;H3344&amp;"" "",
"" ""&amp;Sentiment_Words!B$2:B3730&amp;"" ""
),
1,
0
)
)
)
)"),0.0)</f>
        <v>0</v>
      </c>
      <c r="L3344" s="7" t="str">
        <f t="shared" si="3"/>
        <v>Other</v>
      </c>
      <c r="M3344" s="7" t="str">
        <f t="shared" si="4"/>
        <v>Positive</v>
      </c>
      <c r="N3344" s="7" t="str">
        <f>IFERROR(__xludf.DUMMYFUNCTION("LOWER(
TRIM(
REGEXREPLACE(B3344,""[^a-zA-Z\s]"","""")
)
)
"),"jay")</f>
        <v>jay</v>
      </c>
      <c r="O3344" s="7">
        <f t="shared" si="5"/>
        <v>1</v>
      </c>
      <c r="P3344" s="8" t="str">
        <f t="shared" si="6"/>
        <v>No</v>
      </c>
    </row>
    <row r="3345">
      <c r="A3345" s="4" t="s">
        <v>16</v>
      </c>
      <c r="B3345" s="4" t="s">
        <v>9273</v>
      </c>
      <c r="C3345" s="5">
        <v>44545.0</v>
      </c>
      <c r="D3345" s="10">
        <v>44545.0</v>
      </c>
      <c r="E3345" s="4" t="s">
        <v>9274</v>
      </c>
      <c r="F3345" s="4" t="s">
        <v>9275</v>
      </c>
      <c r="G3345" s="6" t="str">
        <f>IFERROR(__xludf.DUMMYFUNCTION("REGEXREPLACE(LOWER(F3345),""[^a-z\s]"","""")"),"petflow is responsive to clients with good prices and discounts fast shipping")</f>
        <v>petflow is responsive to clients with good prices and discounts fast shipping</v>
      </c>
      <c r="H3345" s="4" t="str">
        <f t="shared" si="1"/>
        <v>petflow responsive clients with good prices discounts fast shipping</v>
      </c>
      <c r="I3345" s="6">
        <f t="shared" si="2"/>
        <v>9</v>
      </c>
      <c r="J3345" s="6">
        <f>IFERROR(__xludf.DUMMYFUNCTION("IF(H3345="""","""",
SUM(
ARRAYFORMULA(
IF(
REGEXMATCH(
"" ""&amp;H3345&amp;"" "",
"" ""&amp;Sentiment_Words!A$2:A3730&amp;"" ""
),
1,
0
)
)
)
)"),2.0)</f>
        <v>2</v>
      </c>
      <c r="K3345" s="4">
        <f>IFERROR(__xludf.DUMMYFUNCTION("IF(H3345="""","""",
SUM(
ARRAYFORMULA(
IF(
REGEXMATCH(
"" ""&amp;H3345&amp;"" "",
"" ""&amp;Sentiment_Words!B$2:B3730&amp;"" ""
),
1,
0
)
)
)
)"),0.0)</f>
        <v>0</v>
      </c>
      <c r="L3345" s="7" t="str">
        <f t="shared" si="3"/>
        <v>Other</v>
      </c>
      <c r="M3345" s="7" t="str">
        <f t="shared" si="4"/>
        <v>Positive</v>
      </c>
      <c r="N3345" s="7" t="str">
        <f>IFERROR(__xludf.DUMMYFUNCTION("LOWER(
TRIM(
REGEXREPLACE(B3345,""[^a-zA-Z\s]"","""")
)
)
"),"z guzman")</f>
        <v>z guzman</v>
      </c>
      <c r="O3345" s="7">
        <f t="shared" si="5"/>
        <v>1</v>
      </c>
      <c r="P3345" s="8" t="str">
        <f t="shared" si="6"/>
        <v>No</v>
      </c>
    </row>
    <row r="3346">
      <c r="A3346" s="4" t="s">
        <v>16</v>
      </c>
      <c r="B3346" s="4" t="s">
        <v>9276</v>
      </c>
      <c r="C3346" s="5">
        <v>44545.0</v>
      </c>
      <c r="D3346" s="10">
        <v>44545.0</v>
      </c>
      <c r="E3346" s="4" t="s">
        <v>9277</v>
      </c>
      <c r="F3346" s="4" t="s">
        <v>9278</v>
      </c>
      <c r="G3346" s="6" t="str">
        <f>IFERROR(__xludf.DUMMYFUNCTION("REGEXREPLACE(LOWER(F3346),""[^a-z\s]"","""")"),"except for a blip on the refund all is well will continue to get my fog food here")</f>
        <v>except for a blip on the refund all is well will continue to get my fog food here</v>
      </c>
      <c r="H3346" s="4" t="str">
        <f t="shared" si="1"/>
        <v>except a blip on refund all well will continue get my fog food here</v>
      </c>
      <c r="I3346" s="6">
        <f t="shared" si="2"/>
        <v>14</v>
      </c>
      <c r="J3346" s="6">
        <f>IFERROR(__xludf.DUMMYFUNCTION("IF(H3346="""","""",
SUM(
ARRAYFORMULA(
IF(
REGEXMATCH(
"" ""&amp;H3346&amp;"" "",
"" ""&amp;Sentiment_Words!A$2:A3730&amp;"" ""
),
1,
0
)
)
)
)"),0.0)</f>
        <v>0</v>
      </c>
      <c r="K3346" s="4">
        <f>IFERROR(__xludf.DUMMYFUNCTION("IF(H3346="""","""",
SUM(
ARRAYFORMULA(
IF(
REGEXMATCH(
"" ""&amp;H3346&amp;"" "",
"" ""&amp;Sentiment_Words!B$2:B3730&amp;"" ""
),
1,
0
)
)
)
)"),1.0)</f>
        <v>1</v>
      </c>
      <c r="L3346" s="7" t="str">
        <f t="shared" si="3"/>
        <v>Other</v>
      </c>
      <c r="M3346" s="7" t="str">
        <f t="shared" si="4"/>
        <v>Negative</v>
      </c>
      <c r="N3346" s="7" t="str">
        <f>IFERROR(__xludf.DUMMYFUNCTION("LOWER(
TRIM(
REGEXREPLACE(B3346,""[^a-zA-Z\s]"","""")
)
)
"),"james hayden")</f>
        <v>james hayden</v>
      </c>
      <c r="O3346" s="7">
        <f t="shared" si="5"/>
        <v>1</v>
      </c>
      <c r="P3346" s="8" t="str">
        <f t="shared" si="6"/>
        <v>No</v>
      </c>
    </row>
    <row r="3347">
      <c r="A3347" s="4" t="s">
        <v>16</v>
      </c>
      <c r="B3347" s="4" t="s">
        <v>1156</v>
      </c>
      <c r="C3347" s="5">
        <v>44544.0</v>
      </c>
      <c r="D3347" s="10">
        <v>44545.0</v>
      </c>
      <c r="E3347" s="4" t="s">
        <v>9279</v>
      </c>
      <c r="F3347" s="4" t="s">
        <v>9280</v>
      </c>
      <c r="G3347" s="6" t="str">
        <f>IFERROR(__xludf.DUMMYFUNCTION("REGEXREPLACE(LOWER(F3347),""[^a-z\s]"","""")"),"what i wanted quickly received with terrific phone support")</f>
        <v>what i wanted quickly received with terrific phone support</v>
      </c>
      <c r="H3347" s="4" t="str">
        <f t="shared" si="1"/>
        <v>what i wanted quickly received with terrific phone support</v>
      </c>
      <c r="I3347" s="6">
        <f t="shared" si="2"/>
        <v>9</v>
      </c>
      <c r="J3347" s="6">
        <f>IFERROR(__xludf.DUMMYFUNCTION("IF(H3347="""","""",
SUM(
ARRAYFORMULA(
IF(
REGEXMATCH(
"" ""&amp;H3347&amp;"" "",
"" ""&amp;Sentiment_Words!A$2:A3730&amp;"" ""
),
1,
0
)
)
)
)"),0.0)</f>
        <v>0</v>
      </c>
      <c r="K3347" s="4">
        <f>IFERROR(__xludf.DUMMYFUNCTION("IF(H3347="""","""",
SUM(
ARRAYFORMULA(
IF(
REGEXMATCH(
"" ""&amp;H3347&amp;"" "",
"" ""&amp;Sentiment_Words!B$2:B3730&amp;"" ""
),
1,
0
)
)
)
)"),0.0)</f>
        <v>0</v>
      </c>
      <c r="L3347" s="7" t="str">
        <f t="shared" si="3"/>
        <v>Customer Support</v>
      </c>
      <c r="M3347" s="7" t="str">
        <f t="shared" si="4"/>
        <v>Neutral</v>
      </c>
      <c r="N3347" s="7" t="str">
        <f>IFERROR(__xludf.DUMMYFUNCTION("LOWER(
TRIM(
REGEXREPLACE(B3347,""[^a-zA-Z\s]"","""")
)
)
"),"michael moore")</f>
        <v>michael moore</v>
      </c>
      <c r="O3347" s="7">
        <f t="shared" si="5"/>
        <v>2</v>
      </c>
      <c r="P3347" s="8" t="str">
        <f t="shared" si="6"/>
        <v>Yes</v>
      </c>
    </row>
    <row r="3348">
      <c r="A3348" s="4" t="s">
        <v>16</v>
      </c>
      <c r="B3348" s="4" t="s">
        <v>9281</v>
      </c>
      <c r="C3348" s="5">
        <v>44544.0</v>
      </c>
      <c r="D3348" s="10">
        <v>44544.0</v>
      </c>
      <c r="E3348" s="4" t="s">
        <v>9282</v>
      </c>
      <c r="F3348" s="4" t="s">
        <v>9283</v>
      </c>
      <c r="G3348" s="6" t="str">
        <f>IFERROR(__xludf.DUMMYFUNCTION("REGEXREPLACE(LOWER(F3348),""[^a-z\s]"","""")"),"huge variety of pet supplies and fast shipping")</f>
        <v>huge variety of pet supplies and fast shipping</v>
      </c>
      <c r="H3348" s="4" t="str">
        <f t="shared" si="1"/>
        <v>huge variety of pet supplies fast shipping</v>
      </c>
      <c r="I3348" s="6">
        <f t="shared" si="2"/>
        <v>7</v>
      </c>
      <c r="J3348" s="6">
        <f>IFERROR(__xludf.DUMMYFUNCTION("IF(H3348="""","""",
SUM(
ARRAYFORMULA(
IF(
REGEXMATCH(
"" ""&amp;H3348&amp;"" "",
"" ""&amp;Sentiment_Words!A$2:A3730&amp;"" ""
),
1,
0
)
)
)
)"),1.0)</f>
        <v>1</v>
      </c>
      <c r="K3348" s="4">
        <f>IFERROR(__xludf.DUMMYFUNCTION("IF(H3348="""","""",
SUM(
ARRAYFORMULA(
IF(
REGEXMATCH(
"" ""&amp;H3348&amp;"" "",
"" ""&amp;Sentiment_Words!B$2:B3730&amp;"" ""
),
1,
0
)
)
)
)"),0.0)</f>
        <v>0</v>
      </c>
      <c r="L3348" s="7" t="str">
        <f t="shared" si="3"/>
        <v>Other</v>
      </c>
      <c r="M3348" s="7" t="str">
        <f t="shared" si="4"/>
        <v>Positive</v>
      </c>
      <c r="N3348" s="7" t="str">
        <f>IFERROR(__xludf.DUMMYFUNCTION("LOWER(
TRIM(
REGEXREPLACE(B3348,""[^a-zA-Z\s]"","""")
)
)
"),"holly robinson")</f>
        <v>holly robinson</v>
      </c>
      <c r="O3348" s="7">
        <f t="shared" si="5"/>
        <v>1</v>
      </c>
      <c r="P3348" s="8" t="str">
        <f t="shared" si="6"/>
        <v>No</v>
      </c>
    </row>
    <row r="3349">
      <c r="A3349" s="4" t="s">
        <v>16</v>
      </c>
      <c r="B3349" s="4" t="s">
        <v>9284</v>
      </c>
      <c r="C3349" s="5">
        <v>44544.0</v>
      </c>
      <c r="D3349" s="10">
        <v>44544.0</v>
      </c>
      <c r="E3349" s="4" t="s">
        <v>9285</v>
      </c>
      <c r="F3349" s="4" t="s">
        <v>9286</v>
      </c>
      <c r="G3349" s="6" t="str">
        <f>IFERROR(__xludf.DUMMYFUNCTION("REGEXREPLACE(LOWER(F3349),""[^a-z\s]"","""")"),"i couldnt find my cats favorite food in any of major stores or any of the major online store but petflow had it and was able to get fast and easy")</f>
        <v>i couldnt find my cats favorite food in any of major stores or any of the major online store but petflow had it and was able to get fast and easy</v>
      </c>
      <c r="H3349" s="4" t="str">
        <f t="shared" si="1"/>
        <v>i couldnt find my cats favorite food in any of major stores or any of major online store but petflow had it was able get fast easy</v>
      </c>
      <c r="I3349" s="6">
        <f t="shared" si="2"/>
        <v>27</v>
      </c>
      <c r="J3349" s="6">
        <f>IFERROR(__xludf.DUMMYFUNCTION("IF(H3349="""","""",
SUM(
ARRAYFORMULA(
IF(
REGEXMATCH(
"" ""&amp;H3349&amp;"" "",
"" ""&amp;Sentiment_Words!A$2:A3730&amp;"" ""
),
1,
0
)
)
)
)"),3.0)</f>
        <v>3</v>
      </c>
      <c r="K3349" s="4">
        <f>IFERROR(__xludf.DUMMYFUNCTION("IF(H3349="""","""",
SUM(
ARRAYFORMULA(
IF(
REGEXMATCH(
"" ""&amp;H3349&amp;"" "",
"" ""&amp;Sentiment_Words!B$2:B3730&amp;"" ""
),
1,
0
)
)
)
)"),0.0)</f>
        <v>0</v>
      </c>
      <c r="L3349" s="7" t="str">
        <f t="shared" si="3"/>
        <v>Other</v>
      </c>
      <c r="M3349" s="7" t="str">
        <f t="shared" si="4"/>
        <v>Positive</v>
      </c>
      <c r="N3349" s="7" t="str">
        <f>IFERROR(__xludf.DUMMYFUNCTION("LOWER(
TRIM(
REGEXREPLACE(B3349,""[^a-zA-Z\s]"","""")
)
)
"),"barbara tumminelli")</f>
        <v>barbara tumminelli</v>
      </c>
      <c r="O3349" s="7">
        <f t="shared" si="5"/>
        <v>1</v>
      </c>
      <c r="P3349" s="8" t="str">
        <f t="shared" si="6"/>
        <v>No</v>
      </c>
    </row>
    <row r="3350">
      <c r="A3350" s="4" t="s">
        <v>16</v>
      </c>
      <c r="B3350" s="4" t="s">
        <v>9287</v>
      </c>
      <c r="C3350" s="5">
        <v>44544.0</v>
      </c>
      <c r="D3350" s="10">
        <v>44544.0</v>
      </c>
      <c r="E3350" s="4" t="s">
        <v>623</v>
      </c>
      <c r="F3350" s="4" t="s">
        <v>9288</v>
      </c>
      <c r="G3350" s="6" t="str">
        <f>IFERROR(__xludf.DUMMYFUNCTION("REGEXREPLACE(LOWER(F3350),""[^a-z\s]"","""")"),"great service shipped my order out quickly they had a cat food i have been searching for but was out of stock everywhere luckily they had it in abundance thank you so much ")</f>
        <v>great service shipped my order out quickly they had a cat food i have been searching for but was out of stock everywhere luckily they had it in abundance thank you so much </v>
      </c>
      <c r="H3350" s="4" t="str">
        <f t="shared" si="1"/>
        <v>great service shipped my order out quickly they had a cat food i have been searching but was out of stock everywhere luckily they had it in abundance thank you so much</v>
      </c>
      <c r="I3350" s="6">
        <f t="shared" si="2"/>
        <v>32</v>
      </c>
      <c r="J3350" s="6">
        <f>IFERROR(__xludf.DUMMYFUNCTION("IF(H3350="""","""",
SUM(
ARRAYFORMULA(
IF(
REGEXMATCH(
"" ""&amp;H3350&amp;"" "",
"" ""&amp;Sentiment_Words!A$2:A3730&amp;"" ""
),
1,
0
)
)
)
)"),1.0)</f>
        <v>1</v>
      </c>
      <c r="K3350" s="4">
        <f>IFERROR(__xludf.DUMMYFUNCTION("IF(H3350="""","""",
SUM(
ARRAYFORMULA(
IF(
REGEXMATCH(
"" ""&amp;H3350&amp;"" "",
"" ""&amp;Sentiment_Words!B$2:B3730&amp;"" ""
),
1,
0
)
)
)
)"),1.0)</f>
        <v>1</v>
      </c>
      <c r="L3350" s="7" t="str">
        <f t="shared" si="3"/>
        <v>Customer Support</v>
      </c>
      <c r="M3350" s="7" t="str">
        <f t="shared" si="4"/>
        <v>Neutral</v>
      </c>
      <c r="N3350" s="7" t="str">
        <f>IFERROR(__xludf.DUMMYFUNCTION("LOWER(
TRIM(
REGEXREPLACE(B3350,""[^a-zA-Z\s]"","""")
)
)
"),"jess rodriguez")</f>
        <v>jess rodriguez</v>
      </c>
      <c r="O3350" s="7">
        <f t="shared" si="5"/>
        <v>1</v>
      </c>
      <c r="P3350" s="8" t="str">
        <f t="shared" si="6"/>
        <v>No</v>
      </c>
    </row>
    <row r="3351">
      <c r="A3351" s="4" t="s">
        <v>16</v>
      </c>
      <c r="B3351" s="4" t="s">
        <v>9289</v>
      </c>
      <c r="C3351" s="5">
        <v>44544.0</v>
      </c>
      <c r="D3351" s="10">
        <v>44544.0</v>
      </c>
      <c r="E3351" s="4" t="s">
        <v>9290</v>
      </c>
      <c r="F3351" s="4" t="s">
        <v>9291</v>
      </c>
      <c r="G3351" s="6" t="str">
        <f>IFERROR(__xludf.DUMMYFUNCTION("REGEXREPLACE(LOWER(F3351),""[^a-z\s]"","""")"),"very prompt and courteous and take care to answer emails")</f>
        <v>very prompt and courteous and take care to answer emails</v>
      </c>
      <c r="H3351" s="4" t="str">
        <f t="shared" si="1"/>
        <v>very prompt courteous take care answer emails</v>
      </c>
      <c r="I3351" s="6">
        <f t="shared" si="2"/>
        <v>7</v>
      </c>
      <c r="J3351" s="6">
        <f>IFERROR(__xludf.DUMMYFUNCTION("IF(H3351="""","""",
SUM(
ARRAYFORMULA(
IF(
REGEXMATCH(
"" ""&amp;H3351&amp;"" "",
"" ""&amp;Sentiment_Words!A$2:A3730&amp;"" ""
),
1,
0
)
)
)
)"),2.0)</f>
        <v>2</v>
      </c>
      <c r="K3351" s="4">
        <f>IFERROR(__xludf.DUMMYFUNCTION("IF(H3351="""","""",
SUM(
ARRAYFORMULA(
IF(
REGEXMATCH(
"" ""&amp;H3351&amp;"" "",
"" ""&amp;Sentiment_Words!B$2:B3730&amp;"" ""
),
1,
0
)
)
)
)"),0.0)</f>
        <v>0</v>
      </c>
      <c r="L3351" s="7" t="str">
        <f t="shared" si="3"/>
        <v>Other</v>
      </c>
      <c r="M3351" s="7" t="str">
        <f t="shared" si="4"/>
        <v>Positive</v>
      </c>
      <c r="N3351" s="7" t="str">
        <f>IFERROR(__xludf.DUMMYFUNCTION("LOWER(
TRIM(
REGEXREPLACE(B3351,""[^a-zA-Z\s]"","""")
)
)
"),"gaye stach")</f>
        <v>gaye stach</v>
      </c>
      <c r="O3351" s="7">
        <f t="shared" si="5"/>
        <v>1</v>
      </c>
      <c r="P3351" s="8" t="str">
        <f t="shared" si="6"/>
        <v>No</v>
      </c>
    </row>
    <row r="3352">
      <c r="A3352" s="4" t="s">
        <v>16</v>
      </c>
      <c r="B3352" s="4" t="s">
        <v>8749</v>
      </c>
      <c r="C3352" s="5">
        <v>44544.0</v>
      </c>
      <c r="D3352" s="10">
        <v>44544.0</v>
      </c>
      <c r="E3352" s="4" t="s">
        <v>9292</v>
      </c>
      <c r="F3352" s="4" t="s">
        <v>9293</v>
      </c>
      <c r="G3352" s="6" t="str">
        <f>IFERROR(__xludf.DUMMYFUNCTION("REGEXREPLACE(LOWER(F3352),""[^a-z\s]"","""")"),"had product and delivered in a timely manner")</f>
        <v>had product and delivered in a timely manner</v>
      </c>
      <c r="H3352" s="4" t="str">
        <f t="shared" si="1"/>
        <v>had product delivered in a timely manner</v>
      </c>
      <c r="I3352" s="6">
        <f t="shared" si="2"/>
        <v>7</v>
      </c>
      <c r="J3352" s="6">
        <f>IFERROR(__xludf.DUMMYFUNCTION("IF(H3352="""","""",
SUM(
ARRAYFORMULA(
IF(
REGEXMATCH(
"" ""&amp;H3352&amp;"" "",
"" ""&amp;Sentiment_Words!A$2:A3730&amp;"" ""
),
1,
0
)
)
)
)"),1.0)</f>
        <v>1</v>
      </c>
      <c r="K3352" s="4">
        <f>IFERROR(__xludf.DUMMYFUNCTION("IF(H3352="""","""",
SUM(
ARRAYFORMULA(
IF(
REGEXMATCH(
"" ""&amp;H3352&amp;"" "",
"" ""&amp;Sentiment_Words!B$2:B3730&amp;"" ""
),
1,
0
)
)
)
)"),0.0)</f>
        <v>0</v>
      </c>
      <c r="L3352" s="7" t="str">
        <f t="shared" si="3"/>
        <v>Other</v>
      </c>
      <c r="M3352" s="7" t="str">
        <f t="shared" si="4"/>
        <v>Positive</v>
      </c>
      <c r="N3352" s="7" t="str">
        <f>IFERROR(__xludf.DUMMYFUNCTION("LOWER(
TRIM(
REGEXREPLACE(B3352,""[^a-zA-Z\s]"","""")
)
)
"),"andrew")</f>
        <v>andrew</v>
      </c>
      <c r="O3352" s="7">
        <f t="shared" si="5"/>
        <v>3</v>
      </c>
      <c r="P3352" s="8" t="str">
        <f t="shared" si="6"/>
        <v>Yes</v>
      </c>
    </row>
    <row r="3353">
      <c r="A3353" s="4" t="s">
        <v>16</v>
      </c>
      <c r="B3353" s="4" t="s">
        <v>9294</v>
      </c>
      <c r="C3353" s="5">
        <v>44544.0</v>
      </c>
      <c r="D3353" s="10">
        <v>44544.0</v>
      </c>
      <c r="E3353" s="4" t="s">
        <v>9295</v>
      </c>
      <c r="F3353" s="4" t="s">
        <v>4686</v>
      </c>
      <c r="G3353" s="6" t="str">
        <f>IFERROR(__xludf.DUMMYFUNCTION("REGEXREPLACE(LOWER(F3353),""[^a-z\s]"","""")"),"quick and easy")</f>
        <v>quick and easy</v>
      </c>
      <c r="H3353" s="4" t="str">
        <f t="shared" si="1"/>
        <v>quick easy</v>
      </c>
      <c r="I3353" s="6">
        <f t="shared" si="2"/>
        <v>2</v>
      </c>
      <c r="J3353" s="6">
        <f>IFERROR(__xludf.DUMMYFUNCTION("IF(H3353="""","""",
SUM(
ARRAYFORMULA(
IF(
REGEXMATCH(
"" ""&amp;H3353&amp;"" "",
"" ""&amp;Sentiment_Words!A$2:A3730&amp;"" ""
),
1,
0
)
)
)
)"),1.0)</f>
        <v>1</v>
      </c>
      <c r="K3353" s="4">
        <f>IFERROR(__xludf.DUMMYFUNCTION("IF(H3353="""","""",
SUM(
ARRAYFORMULA(
IF(
REGEXMATCH(
"" ""&amp;H3353&amp;"" "",
"" ""&amp;Sentiment_Words!B$2:B3730&amp;"" ""
),
1,
0
)
)
)
)"),0.0)</f>
        <v>0</v>
      </c>
      <c r="L3353" s="7" t="str">
        <f t="shared" si="3"/>
        <v>Other</v>
      </c>
      <c r="M3353" s="7" t="str">
        <f t="shared" si="4"/>
        <v>Positive</v>
      </c>
      <c r="N3353" s="7" t="str">
        <f>IFERROR(__xludf.DUMMYFUNCTION("LOWER(
TRIM(
REGEXREPLACE(B3353,""[^a-zA-Z\s]"","""")
)
)
"),"janine m")</f>
        <v>janine m</v>
      </c>
      <c r="O3353" s="7">
        <f t="shared" si="5"/>
        <v>1</v>
      </c>
      <c r="P3353" s="8" t="str">
        <f t="shared" si="6"/>
        <v>No</v>
      </c>
    </row>
    <row r="3354">
      <c r="A3354" s="4" t="s">
        <v>16</v>
      </c>
      <c r="B3354" s="4" t="s">
        <v>9296</v>
      </c>
      <c r="C3354" s="5">
        <v>44544.0</v>
      </c>
      <c r="D3354" s="10">
        <v>44544.0</v>
      </c>
      <c r="E3354" s="4" t="s">
        <v>9297</v>
      </c>
      <c r="F3354" s="4" t="s">
        <v>9298</v>
      </c>
      <c r="G3354" s="6" t="str">
        <f>IFERROR(__xludf.DUMMYFUNCTION("REGEXREPLACE(LOWER(F3354),""[^a-z\s]"","""")"),"i changed my delivery date and the shipment still came")</f>
        <v>i changed my delivery date and the shipment still came</v>
      </c>
      <c r="H3354" s="4" t="str">
        <f t="shared" si="1"/>
        <v>i changed my delivery date shipment still came</v>
      </c>
      <c r="I3354" s="6">
        <f t="shared" si="2"/>
        <v>8</v>
      </c>
      <c r="J3354" s="6">
        <f>IFERROR(__xludf.DUMMYFUNCTION("IF(H3354="""","""",
SUM(
ARRAYFORMULA(
IF(
REGEXMATCH(
"" ""&amp;H3354&amp;"" "",
"" ""&amp;Sentiment_Words!A$2:A3730&amp;"" ""
),
1,
0
)
)
)
)"),0.0)</f>
        <v>0</v>
      </c>
      <c r="K3354" s="4">
        <f>IFERROR(__xludf.DUMMYFUNCTION("IF(H3354="""","""",
SUM(
ARRAYFORMULA(
IF(
REGEXMATCH(
"" ""&amp;H3354&amp;"" "",
"" ""&amp;Sentiment_Words!B$2:B3730&amp;"" ""
),
1,
0
)
)
)
)"),0.0)</f>
        <v>0</v>
      </c>
      <c r="L3354" s="7" t="str">
        <f t="shared" si="3"/>
        <v>Other</v>
      </c>
      <c r="M3354" s="7" t="str">
        <f t="shared" si="4"/>
        <v>Neutral</v>
      </c>
      <c r="N3354" s="7" t="str">
        <f>IFERROR(__xludf.DUMMYFUNCTION("LOWER(
TRIM(
REGEXREPLACE(B3354,""[^a-zA-Z\s]"","""")
)
)
"),"rudolph gonzalez")</f>
        <v>rudolph gonzalez</v>
      </c>
      <c r="O3354" s="7">
        <f t="shared" si="5"/>
        <v>1</v>
      </c>
      <c r="P3354" s="8" t="str">
        <f t="shared" si="6"/>
        <v>No</v>
      </c>
    </row>
    <row r="3355">
      <c r="A3355" s="4" t="s">
        <v>16</v>
      </c>
      <c r="B3355" s="4" t="s">
        <v>9299</v>
      </c>
      <c r="C3355" s="5">
        <v>44544.0</v>
      </c>
      <c r="D3355" s="10">
        <v>44544.0</v>
      </c>
      <c r="E3355" s="4" t="s">
        <v>9300</v>
      </c>
      <c r="F3355" s="4" t="s">
        <v>9301</v>
      </c>
      <c r="G3355" s="6" t="str">
        <f>IFERROR(__xludf.DUMMYFUNCTION("REGEXREPLACE(LOWER(F3355),""[^a-z\s]"","""")"),"received the wrong items messaged  hrs ago and no response")</f>
        <v>received the wrong items messaged  hrs ago and no response</v>
      </c>
      <c r="H3355" s="4" t="str">
        <f t="shared" si="1"/>
        <v>received wrong items messaged hrs ago no response</v>
      </c>
      <c r="I3355" s="6">
        <f t="shared" si="2"/>
        <v>8</v>
      </c>
      <c r="J3355" s="6">
        <f>IFERROR(__xludf.DUMMYFUNCTION("IF(H3355="""","""",
SUM(
ARRAYFORMULA(
IF(
REGEXMATCH(
"" ""&amp;H3355&amp;"" "",
"" ""&amp;Sentiment_Words!A$2:A3730&amp;"" ""
),
1,
0
)
)
)
)"),0.0)</f>
        <v>0</v>
      </c>
      <c r="K3355" s="4">
        <f>IFERROR(__xludf.DUMMYFUNCTION("IF(H3355="""","""",
SUM(
ARRAYFORMULA(
IF(
REGEXMATCH(
"" ""&amp;H3355&amp;"" "",
"" ""&amp;Sentiment_Words!B$2:B3730&amp;"" ""
),
1,
0
)
)
)
)"),2.0)</f>
        <v>2</v>
      </c>
      <c r="L3355" s="7" t="str">
        <f t="shared" si="3"/>
        <v>Customer Support</v>
      </c>
      <c r="M3355" s="7" t="str">
        <f t="shared" si="4"/>
        <v>Negative</v>
      </c>
      <c r="N3355" s="7" t="str">
        <f>IFERROR(__xludf.DUMMYFUNCTION("LOWER(
TRIM(
REGEXREPLACE(B3355,""[^a-zA-Z\s]"","""")
)
)
"),"amy nelson")</f>
        <v>amy nelson</v>
      </c>
      <c r="O3355" s="7">
        <f t="shared" si="5"/>
        <v>1</v>
      </c>
      <c r="P3355" s="8" t="str">
        <f t="shared" si="6"/>
        <v>No</v>
      </c>
    </row>
    <row r="3356">
      <c r="A3356" s="4" t="s">
        <v>16</v>
      </c>
      <c r="B3356" s="4" t="s">
        <v>9302</v>
      </c>
      <c r="C3356" s="5">
        <v>44543.0</v>
      </c>
      <c r="D3356" s="10">
        <v>44544.0</v>
      </c>
      <c r="E3356" s="4" t="s">
        <v>9303</v>
      </c>
      <c r="F3356" s="4" t="s">
        <v>9304</v>
      </c>
      <c r="G3356" s="6" t="str">
        <f>IFERROR(__xludf.DUMMYFUNCTION("REGEXREPLACE(LOWER(F3356),""[^a-z\s]"","""")"),"fast delivery and great product as usual package came undamaged")</f>
        <v>fast delivery and great product as usual package came undamaged</v>
      </c>
      <c r="H3356" s="4" t="str">
        <f t="shared" si="1"/>
        <v>fast delivery great product as usual package came undamaged</v>
      </c>
      <c r="I3356" s="6">
        <f t="shared" si="2"/>
        <v>9</v>
      </c>
      <c r="J3356" s="6">
        <f>IFERROR(__xludf.DUMMYFUNCTION("IF(H3356="""","""",
SUM(
ARRAYFORMULA(
IF(
REGEXMATCH(
"" ""&amp;H3356&amp;"" "",
"" ""&amp;Sentiment_Words!A$2:A3730&amp;"" ""
),
1,
0
)
)
)
)"),3.0)</f>
        <v>3</v>
      </c>
      <c r="K3356" s="4">
        <f>IFERROR(__xludf.DUMMYFUNCTION("IF(H3356="""","""",
SUM(
ARRAYFORMULA(
IF(
REGEXMATCH(
"" ""&amp;H3356&amp;"" "",
"" ""&amp;Sentiment_Words!B$2:B3730&amp;"" ""
),
1,
0
)
)
)
)"),0.0)</f>
        <v>0</v>
      </c>
      <c r="L3356" s="7" t="str">
        <f t="shared" si="3"/>
        <v>Other</v>
      </c>
      <c r="M3356" s="7" t="str">
        <f t="shared" si="4"/>
        <v>Positive</v>
      </c>
      <c r="N3356" s="7" t="str">
        <f>IFERROR(__xludf.DUMMYFUNCTION("LOWER(
TRIM(
REGEXREPLACE(B3356,""[^a-zA-Z\s]"","""")
)
)
"),"amelia delmonico")</f>
        <v>amelia delmonico</v>
      </c>
      <c r="O3356" s="7">
        <f t="shared" si="5"/>
        <v>1</v>
      </c>
      <c r="P3356" s="8" t="str">
        <f t="shared" si="6"/>
        <v>No</v>
      </c>
    </row>
    <row r="3357">
      <c r="A3357" s="4" t="s">
        <v>16</v>
      </c>
      <c r="B3357" s="4" t="s">
        <v>9305</v>
      </c>
      <c r="C3357" s="5">
        <v>44543.0</v>
      </c>
      <c r="D3357" s="10">
        <v>44544.0</v>
      </c>
      <c r="E3357" s="4" t="s">
        <v>9306</v>
      </c>
      <c r="F3357" s="4" t="s">
        <v>9307</v>
      </c>
      <c r="G3357" s="6" t="str">
        <f>IFERROR(__xludf.DUMMYFUNCTION("REGEXREPLACE(LOWER(F3357),""[^a-z\s]"","""")"),"best offer i could find for the price delivered promptly and just when needed i will be using petflow in the future")</f>
        <v>best offer i could find for the price delivered promptly and just when needed i will be using petflow in the future</v>
      </c>
      <c r="H3357" s="4" t="str">
        <f t="shared" si="1"/>
        <v>best offer i could find price delivered promptly just when needed i will be using petflow in future</v>
      </c>
      <c r="I3357" s="6">
        <f t="shared" si="2"/>
        <v>18</v>
      </c>
      <c r="J3357" s="6">
        <f>IFERROR(__xludf.DUMMYFUNCTION("IF(H3357="""","""",
SUM(
ARRAYFORMULA(
IF(
REGEXMATCH(
"" ""&amp;H3357&amp;"" "",
"" ""&amp;Sentiment_Words!A$2:A3730&amp;"" ""
),
1,
0
)
)
)
)"),1.0)</f>
        <v>1</v>
      </c>
      <c r="K3357" s="4">
        <f>IFERROR(__xludf.DUMMYFUNCTION("IF(H3357="""","""",
SUM(
ARRAYFORMULA(
IF(
REGEXMATCH(
"" ""&amp;H3357&amp;"" "",
"" ""&amp;Sentiment_Words!B$2:B3730&amp;"" ""
),
1,
0
)
)
)
)"),0.0)</f>
        <v>0</v>
      </c>
      <c r="L3357" s="7" t="str">
        <f t="shared" si="3"/>
        <v>Other</v>
      </c>
      <c r="M3357" s="7" t="str">
        <f t="shared" si="4"/>
        <v>Positive</v>
      </c>
      <c r="N3357" s="7" t="str">
        <f>IFERROR(__xludf.DUMMYFUNCTION("LOWER(
TRIM(
REGEXREPLACE(B3357,""[^a-zA-Z\s]"","""")
)
)
"),"dick cunningham")</f>
        <v>dick cunningham</v>
      </c>
      <c r="O3357" s="7">
        <f t="shared" si="5"/>
        <v>1</v>
      </c>
      <c r="P3357" s="8" t="str">
        <f t="shared" si="6"/>
        <v>No</v>
      </c>
    </row>
    <row r="3358">
      <c r="A3358" s="4" t="s">
        <v>16</v>
      </c>
      <c r="B3358" s="4" t="s">
        <v>9308</v>
      </c>
      <c r="C3358" s="5">
        <v>44543.0</v>
      </c>
      <c r="D3358" s="10">
        <v>44543.0</v>
      </c>
      <c r="E3358" s="4" t="s">
        <v>9309</v>
      </c>
      <c r="F3358" s="4" t="s">
        <v>9310</v>
      </c>
      <c r="G3358" s="6" t="str">
        <f>IFERROR(__xludf.DUMMYFUNCTION("REGEXREPLACE(LOWER(F3358),""[^a-z\s]"","""")"),"super service for shipping my fromm gold dog food highly recommend")</f>
        <v>super service for shipping my fromm gold dog food highly recommend</v>
      </c>
      <c r="H3358" s="4" t="str">
        <f t="shared" si="1"/>
        <v>super service shipping my fromm gold dog food highly recommend</v>
      </c>
      <c r="I3358" s="6">
        <f t="shared" si="2"/>
        <v>10</v>
      </c>
      <c r="J3358" s="6">
        <f>IFERROR(__xludf.DUMMYFUNCTION("IF(H3358="""","""",
SUM(
ARRAYFORMULA(
IF(
REGEXMATCH(
"" ""&amp;H3358&amp;"" "",
"" ""&amp;Sentiment_Words!A$2:A3730&amp;"" ""
),
1,
0
)
)
)
)"),0.0)</f>
        <v>0</v>
      </c>
      <c r="K3358" s="4">
        <f>IFERROR(__xludf.DUMMYFUNCTION("IF(H3358="""","""",
SUM(
ARRAYFORMULA(
IF(
REGEXMATCH(
"" ""&amp;H3358&amp;"" "",
"" ""&amp;Sentiment_Words!B$2:B3730&amp;"" ""
),
1,
0
)
)
)
)"),0.0)</f>
        <v>0</v>
      </c>
      <c r="L3358" s="7" t="str">
        <f t="shared" si="3"/>
        <v>Customer Support</v>
      </c>
      <c r="M3358" s="7" t="str">
        <f t="shared" si="4"/>
        <v>Neutral</v>
      </c>
      <c r="N3358" s="7" t="str">
        <f>IFERROR(__xludf.DUMMYFUNCTION("LOWER(
TRIM(
REGEXREPLACE(B3358,""[^a-zA-Z\s]"","""")
)
)
"),"rhonda anderson")</f>
        <v>rhonda anderson</v>
      </c>
      <c r="O3358" s="7">
        <f t="shared" si="5"/>
        <v>1</v>
      </c>
      <c r="P3358" s="8" t="str">
        <f t="shared" si="6"/>
        <v>No</v>
      </c>
    </row>
    <row r="3359">
      <c r="A3359" s="4" t="s">
        <v>16</v>
      </c>
      <c r="B3359" s="4" t="s">
        <v>9311</v>
      </c>
      <c r="C3359" s="5">
        <v>44543.0</v>
      </c>
      <c r="D3359" s="10">
        <v>44543.0</v>
      </c>
      <c r="E3359" s="4" t="s">
        <v>9312</v>
      </c>
      <c r="F3359" s="4" t="s">
        <v>9313</v>
      </c>
      <c r="G3359" s="6" t="str">
        <f>IFERROR(__xludf.DUMMYFUNCTION("REGEXREPLACE(LOWER(F3359),""[^a-z\s]"","""")"),"the store itself has great prices and selection however the shipping of those products has been a nightmare placed an order on the morning of  spoke to someone on the phone inquiring as to the location from which the products were coming from i was told t"&amp;"hat my order was being packaged and would ship out the same day coming from new jersey and would arrive to my home in three days its now  and i still have not received my order")</f>
        <v>the store itself has great prices and selection however the shipping of those products has been a nightmare placed an order on the morning of  spoke to someone on the phone inquiring as to the location from which the products were coming from i was told that my order was being packaged and would ship out the same day coming from new jersey and would arrive to my home in three days its now  and i still have not received my order</v>
      </c>
      <c r="H3359" s="4" t="str">
        <f t="shared" si="1"/>
        <v>store itself has great prices selection however shipping of those products has been a nightmare placed an order on morning of spoke someone on phone inquiring as location from which products were coming from i was told that my order was being packaged would ship out same day coming from new jersey would arrive my home in three days its now i still have not received my order</v>
      </c>
      <c r="I3359" s="6">
        <f t="shared" si="2"/>
        <v>68</v>
      </c>
      <c r="J3359" s="6">
        <f>IFERROR(__xludf.DUMMYFUNCTION("IF(H3359="""","""",
SUM(
ARRAYFORMULA(
IF(
REGEXMATCH(
"" ""&amp;H3359&amp;"" "",
"" ""&amp;Sentiment_Words!A$2:A3730&amp;"" ""
),
1,
0
)
)
)
)"),1.0)</f>
        <v>1</v>
      </c>
      <c r="K3359" s="4">
        <f>IFERROR(__xludf.DUMMYFUNCTION("IF(H3359="""","""",
SUM(
ARRAYFORMULA(
IF(
REGEXMATCH(
"" ""&amp;H3359&amp;"" "",
"" ""&amp;Sentiment_Words!B$2:B3730&amp;"" ""
),
1,
0
)
)
)
)"),0.0)</f>
        <v>0</v>
      </c>
      <c r="L3359" s="7" t="str">
        <f t="shared" si="3"/>
        <v>Other</v>
      </c>
      <c r="M3359" s="7" t="str">
        <f t="shared" si="4"/>
        <v>Positive</v>
      </c>
      <c r="N3359" s="7" t="str">
        <f>IFERROR(__xludf.DUMMYFUNCTION("LOWER(
TRIM(
REGEXREPLACE(B3359,""[^a-zA-Z\s]"","""")
)
)
"),"jacklyn durk")</f>
        <v>jacklyn durk</v>
      </c>
      <c r="O3359" s="7">
        <f t="shared" si="5"/>
        <v>1</v>
      </c>
      <c r="P3359" s="8" t="str">
        <f t="shared" si="6"/>
        <v>No</v>
      </c>
    </row>
    <row r="3360">
      <c r="A3360" s="4" t="s">
        <v>16</v>
      </c>
      <c r="B3360" s="4" t="s">
        <v>9314</v>
      </c>
      <c r="C3360" s="5">
        <v>44543.0</v>
      </c>
      <c r="D3360" s="10">
        <v>44543.0</v>
      </c>
      <c r="E3360" s="4" t="s">
        <v>9315</v>
      </c>
      <c r="F3360" s="4" t="s">
        <v>9316</v>
      </c>
      <c r="G3360" s="6" t="str">
        <f>IFERROR(__xludf.DUMMYFUNCTION("REGEXREPLACE(LOWER(F3360),""[^a-z\s]"","""")"),"shipped fast and had the items in stock that others didnt what more can you ask for")</f>
        <v>shipped fast and had the items in stock that others didnt what more can you ask for</v>
      </c>
      <c r="H3360" s="4" t="str">
        <f t="shared" si="1"/>
        <v>shipped fast had items in stock that others didnt what more can you ask</v>
      </c>
      <c r="I3360" s="6">
        <f t="shared" si="2"/>
        <v>14</v>
      </c>
      <c r="J3360" s="6">
        <f>IFERROR(__xludf.DUMMYFUNCTION("IF(H3360="""","""",
SUM(
ARRAYFORMULA(
IF(
REGEXMATCH(
"" ""&amp;H3360&amp;"" "",
"" ""&amp;Sentiment_Words!A$2:A3730&amp;"" ""
),
1,
0
)
)
)
)"),1.0)</f>
        <v>1</v>
      </c>
      <c r="K3360" s="4">
        <f>IFERROR(__xludf.DUMMYFUNCTION("IF(H3360="""","""",
SUM(
ARRAYFORMULA(
IF(
REGEXMATCH(
"" ""&amp;H3360&amp;"" "",
"" ""&amp;Sentiment_Words!B$2:B3730&amp;"" ""
),
1,
0
)
)
)
)"),0.0)</f>
        <v>0</v>
      </c>
      <c r="L3360" s="7" t="str">
        <f t="shared" si="3"/>
        <v>Other</v>
      </c>
      <c r="M3360" s="7" t="str">
        <f t="shared" si="4"/>
        <v>Positive</v>
      </c>
      <c r="N3360" s="7" t="str">
        <f>IFERROR(__xludf.DUMMYFUNCTION("LOWER(
TRIM(
REGEXREPLACE(B3360,""[^a-zA-Z\s]"","""")
)
)
"),"mark b")</f>
        <v>mark b</v>
      </c>
      <c r="O3360" s="7">
        <f t="shared" si="5"/>
        <v>1</v>
      </c>
      <c r="P3360" s="8" t="str">
        <f t="shared" si="6"/>
        <v>No</v>
      </c>
    </row>
    <row r="3361">
      <c r="A3361" s="4" t="s">
        <v>16</v>
      </c>
      <c r="B3361" s="4" t="s">
        <v>2722</v>
      </c>
      <c r="C3361" s="5">
        <v>44543.0</v>
      </c>
      <c r="D3361" s="10">
        <v>44543.0</v>
      </c>
      <c r="E3361" s="4" t="s">
        <v>9317</v>
      </c>
      <c r="F3361" s="4" t="s">
        <v>9318</v>
      </c>
      <c r="G3361" s="6" t="str">
        <f>IFERROR(__xludf.DUMMYFUNCTION("REGEXREPLACE(LOWER(F3361),""[^a-z\s]"","""")"),"excellent service and the best pricing so glad i found you thanks ")</f>
        <v>excellent service and the best pricing so glad i found you thanks </v>
      </c>
      <c r="H3361" s="4" t="str">
        <f t="shared" si="1"/>
        <v>excellent service best pricing so glad i found you thanks</v>
      </c>
      <c r="I3361" s="6">
        <f t="shared" si="2"/>
        <v>10</v>
      </c>
      <c r="J3361" s="6">
        <f>IFERROR(__xludf.DUMMYFUNCTION("IF(H3361="""","""",
SUM(
ARRAYFORMULA(
IF(
REGEXMATCH(
"" ""&amp;H3361&amp;"" "",
"" ""&amp;Sentiment_Words!A$2:A3730&amp;"" ""
),
1,
0
)
)
)
)"),1.0)</f>
        <v>1</v>
      </c>
      <c r="K3361" s="4">
        <f>IFERROR(__xludf.DUMMYFUNCTION("IF(H3361="""","""",
SUM(
ARRAYFORMULA(
IF(
REGEXMATCH(
"" ""&amp;H3361&amp;"" "",
"" ""&amp;Sentiment_Words!B$2:B3730&amp;"" ""
),
1,
0
)
)
)
)"),0.0)</f>
        <v>0</v>
      </c>
      <c r="L3361" s="7" t="str">
        <f t="shared" si="3"/>
        <v>Customer Support</v>
      </c>
      <c r="M3361" s="7" t="str">
        <f t="shared" si="4"/>
        <v>Positive</v>
      </c>
      <c r="N3361" s="7" t="str">
        <f>IFERROR(__xludf.DUMMYFUNCTION("LOWER(
TRIM(
REGEXREPLACE(B3361,""[^a-zA-Z\s]"","""")
)
)
"),"julia")</f>
        <v>julia</v>
      </c>
      <c r="O3361" s="7">
        <f t="shared" si="5"/>
        <v>3</v>
      </c>
      <c r="P3361" s="8" t="str">
        <f t="shared" si="6"/>
        <v>Yes</v>
      </c>
    </row>
    <row r="3362">
      <c r="A3362" s="4" t="s">
        <v>16</v>
      </c>
      <c r="B3362" s="4" t="s">
        <v>9319</v>
      </c>
      <c r="C3362" s="5">
        <v>44543.0</v>
      </c>
      <c r="D3362" s="10">
        <v>44543.0</v>
      </c>
      <c r="E3362" s="4" t="s">
        <v>9320</v>
      </c>
      <c r="F3362" s="4" t="s">
        <v>9321</v>
      </c>
      <c r="G3362" s="6" t="str">
        <f>IFERROR(__xludf.DUMMYFUNCTION("REGEXREPLACE(LOWER(F3362),""[^a-z\s]"","""")"),"very pleased with pet flows service and products")</f>
        <v>very pleased with pet flows service and products</v>
      </c>
      <c r="H3362" s="4" t="str">
        <f t="shared" si="1"/>
        <v>very pleased with pet flows service products</v>
      </c>
      <c r="I3362" s="6">
        <f t="shared" si="2"/>
        <v>7</v>
      </c>
      <c r="J3362" s="6">
        <f>IFERROR(__xludf.DUMMYFUNCTION("IF(H3362="""","""",
SUM(
ARRAYFORMULA(
IF(
REGEXMATCH(
"" ""&amp;H3362&amp;"" "",
"" ""&amp;Sentiment_Words!A$2:A3730&amp;"" ""
),
1,
0
)
)
)
)"),0.0)</f>
        <v>0</v>
      </c>
      <c r="K3362" s="4">
        <f>IFERROR(__xludf.DUMMYFUNCTION("IF(H3362="""","""",
SUM(
ARRAYFORMULA(
IF(
REGEXMATCH(
"" ""&amp;H3362&amp;"" "",
"" ""&amp;Sentiment_Words!B$2:B3730&amp;"" ""
),
1,
0
)
)
)
)"),0.0)</f>
        <v>0</v>
      </c>
      <c r="L3362" s="7" t="str">
        <f t="shared" si="3"/>
        <v>Customer Support</v>
      </c>
      <c r="M3362" s="7" t="str">
        <f t="shared" si="4"/>
        <v>Neutral</v>
      </c>
      <c r="N3362" s="7" t="str">
        <f>IFERROR(__xludf.DUMMYFUNCTION("LOWER(
TRIM(
REGEXREPLACE(B3362,""[^a-zA-Z\s]"","""")
)
)
"),"george light")</f>
        <v>george light</v>
      </c>
      <c r="O3362" s="7">
        <f t="shared" si="5"/>
        <v>1</v>
      </c>
      <c r="P3362" s="8" t="str">
        <f t="shared" si="6"/>
        <v>No</v>
      </c>
    </row>
    <row r="3363">
      <c r="A3363" s="4" t="s">
        <v>16</v>
      </c>
      <c r="B3363" s="4" t="s">
        <v>9322</v>
      </c>
      <c r="C3363" s="5">
        <v>44543.0</v>
      </c>
      <c r="D3363" s="10">
        <v>44543.0</v>
      </c>
      <c r="E3363" s="4" t="s">
        <v>9323</v>
      </c>
      <c r="F3363" s="4" t="s">
        <v>9324</v>
      </c>
      <c r="G3363" s="6" t="str">
        <f>IFERROR(__xludf.DUMMYFUNCTION("REGEXREPLACE(LOWER(F3363),""[^a-z\s]"","""")"),"great prices and selections of high rated dog foods shipping free over  and fast")</f>
        <v>great prices and selections of high rated dog foods shipping free over  and fast</v>
      </c>
      <c r="H3363" s="4" t="str">
        <f t="shared" si="1"/>
        <v>great prices selections of high rated dog foods shipping free over fast</v>
      </c>
      <c r="I3363" s="6">
        <f t="shared" si="2"/>
        <v>12</v>
      </c>
      <c r="J3363" s="6">
        <f>IFERROR(__xludf.DUMMYFUNCTION("IF(H3363="""","""",
SUM(
ARRAYFORMULA(
IF(
REGEXMATCH(
"" ""&amp;H3363&amp;"" "",
"" ""&amp;Sentiment_Words!A$2:A3730&amp;"" ""
),
1,
0
)
)
)
)"),2.0)</f>
        <v>2</v>
      </c>
      <c r="K3363" s="4">
        <f>IFERROR(__xludf.DUMMYFUNCTION("IF(H3363="""","""",
SUM(
ARRAYFORMULA(
IF(
REGEXMATCH(
"" ""&amp;H3363&amp;"" "",
"" ""&amp;Sentiment_Words!B$2:B3730&amp;"" ""
),
1,
0
)
)
)
)"),0.0)</f>
        <v>0</v>
      </c>
      <c r="L3363" s="7" t="str">
        <f t="shared" si="3"/>
        <v>Other</v>
      </c>
      <c r="M3363" s="7" t="str">
        <f t="shared" si="4"/>
        <v>Positive</v>
      </c>
      <c r="N3363" s="7" t="str">
        <f>IFERROR(__xludf.DUMMYFUNCTION("LOWER(
TRIM(
REGEXREPLACE(B3363,""[^a-zA-Z\s]"","""")
)
)
"),"k d")</f>
        <v>k d</v>
      </c>
      <c r="O3363" s="7">
        <f t="shared" si="5"/>
        <v>1</v>
      </c>
      <c r="P3363" s="8" t="str">
        <f t="shared" si="6"/>
        <v>No</v>
      </c>
    </row>
    <row r="3364">
      <c r="A3364" s="4" t="s">
        <v>16</v>
      </c>
      <c r="B3364" s="4" t="s">
        <v>9325</v>
      </c>
      <c r="C3364" s="5">
        <v>44543.0</v>
      </c>
      <c r="D3364" s="10">
        <v>44543.0</v>
      </c>
      <c r="E3364" s="4" t="s">
        <v>9326</v>
      </c>
      <c r="F3364" s="4" t="s">
        <v>9327</v>
      </c>
      <c r="G3364" s="6" t="str">
        <f>IFERROR(__xludf.DUMMYFUNCTION("REGEXREPLACE(LOWER(F3364),""[^a-z\s]"","""")"),"petflow has the best prices for pet food and deliveries are reliable sometimes my cats wet food is not in stock but when that happens it is not in stock anywhere")</f>
        <v>petflow has the best prices for pet food and deliveries are reliable sometimes my cats wet food is not in stock but when that happens it is not in stock anywhere</v>
      </c>
      <c r="H3364" s="4" t="str">
        <f t="shared" si="1"/>
        <v>petflow has best prices pet food deliveries are reliable sometimes my cats wet food not in stock but when that happens it not in stock anywhere</v>
      </c>
      <c r="I3364" s="6">
        <f t="shared" si="2"/>
        <v>26</v>
      </c>
      <c r="J3364" s="6">
        <f>IFERROR(__xludf.DUMMYFUNCTION("IF(H3364="""","""",
SUM(
ARRAYFORMULA(
IF(
REGEXMATCH(
"" ""&amp;H3364&amp;"" "",
"" ""&amp;Sentiment_Words!A$2:A3730&amp;"" ""
),
1,
0
)
)
)
)"),1.0)</f>
        <v>1</v>
      </c>
      <c r="K3364" s="4">
        <f>IFERROR(__xludf.DUMMYFUNCTION("IF(H3364="""","""",
SUM(
ARRAYFORMULA(
IF(
REGEXMATCH(
"" ""&amp;H3364&amp;"" "",
"" ""&amp;Sentiment_Words!B$2:B3730&amp;"" ""
),
1,
0
)
)
)
)"),0.0)</f>
        <v>0</v>
      </c>
      <c r="L3364" s="7" t="str">
        <f t="shared" si="3"/>
        <v>Other</v>
      </c>
      <c r="M3364" s="7" t="str">
        <f t="shared" si="4"/>
        <v>Positive</v>
      </c>
      <c r="N3364" s="7" t="str">
        <f>IFERROR(__xludf.DUMMYFUNCTION("LOWER(
TRIM(
REGEXREPLACE(B3364,""[^a-zA-Z\s]"","""")
)
)
"),"jehangir pirzada")</f>
        <v>jehangir pirzada</v>
      </c>
      <c r="O3364" s="7">
        <f t="shared" si="5"/>
        <v>1</v>
      </c>
      <c r="P3364" s="8" t="str">
        <f t="shared" si="6"/>
        <v>No</v>
      </c>
    </row>
    <row r="3365">
      <c r="A3365" s="4" t="s">
        <v>16</v>
      </c>
      <c r="B3365" s="4" t="s">
        <v>9328</v>
      </c>
      <c r="C3365" s="5">
        <v>44541.0</v>
      </c>
      <c r="D3365" s="10">
        <v>44541.0</v>
      </c>
      <c r="E3365" s="4" t="s">
        <v>9329</v>
      </c>
      <c r="F3365" s="4" t="s">
        <v>9330</v>
      </c>
      <c r="G3365" s="6" t="str">
        <f>IFERROR(__xludf.DUMMYFUNCTION("REGEXREPLACE(LOWER(F3365),""[^a-z\s]"","""")"),"every time i order from here they always double my order i ordered one big bag of dog food and i received two and charged for two instead of one this is the second time they did this i will not order from them again")</f>
        <v>every time i order from here they always double my order i ordered one big bag of dog food and i received two and charged for two instead of one this is the second time they did this i will not order from them again</v>
      </c>
      <c r="H3365" s="4" t="str">
        <f t="shared" si="1"/>
        <v>every time i order from here they always double my order i ordered one big bag of dog food i received two charged two instead of one this second time they did this i will not order from them again</v>
      </c>
      <c r="I3365" s="6">
        <f t="shared" si="2"/>
        <v>40</v>
      </c>
      <c r="J3365" s="6">
        <f>IFERROR(__xludf.DUMMYFUNCTION("IF(H3365="""","""",
SUM(
ARRAYFORMULA(
IF(
REGEXMATCH(
"" ""&amp;H3365&amp;"" "",
"" ""&amp;Sentiment_Words!A$2:A3730&amp;"" ""
),
1,
0
)
)
)
)"),0.0)</f>
        <v>0</v>
      </c>
      <c r="K3365" s="4">
        <f>IFERROR(__xludf.DUMMYFUNCTION("IF(H3365="""","""",
SUM(
ARRAYFORMULA(
IF(
REGEXMATCH(
"" ""&amp;H3365&amp;"" "",
"" ""&amp;Sentiment_Words!B$2:B3730&amp;"" ""
),
1,
0
)
)
)
)"),1.0)</f>
        <v>1</v>
      </c>
      <c r="L3365" s="7" t="str">
        <f t="shared" si="3"/>
        <v>Other</v>
      </c>
      <c r="M3365" s="7" t="str">
        <f t="shared" si="4"/>
        <v>Negative</v>
      </c>
      <c r="N3365" s="7" t="str">
        <f>IFERROR(__xludf.DUMMYFUNCTION("LOWER(
TRIM(
REGEXREPLACE(B3365,""[^a-zA-Z\s]"","""")
)
)
"),"carolyn gibbs")</f>
        <v>carolyn gibbs</v>
      </c>
      <c r="O3365" s="7">
        <f t="shared" si="5"/>
        <v>1</v>
      </c>
      <c r="P3365" s="8" t="str">
        <f t="shared" si="6"/>
        <v>No</v>
      </c>
    </row>
    <row r="3366">
      <c r="A3366" s="4" t="s">
        <v>16</v>
      </c>
      <c r="B3366" s="4" t="s">
        <v>9331</v>
      </c>
      <c r="C3366" s="5">
        <v>44541.0</v>
      </c>
      <c r="D3366" s="10">
        <v>44541.0</v>
      </c>
      <c r="E3366" s="4" t="s">
        <v>9332</v>
      </c>
      <c r="F3366" s="4" t="s">
        <v>9333</v>
      </c>
      <c r="G3366" s="6" t="str">
        <f>IFERROR(__xludf.DUMMYFUNCTION("REGEXREPLACE(LOWER(F3366),""[^a-z\s]"","""")"),"great dog food my maltese acts like a pup and she is  she has been eating salmon a la veg for  yrs")</f>
        <v>great dog food my maltese acts like a pup and she is  she has been eating salmon a la veg for  yrs</v>
      </c>
      <c r="H3366" s="4" t="str">
        <f t="shared" si="1"/>
        <v>great dog food my maltese acts like a pup she she has been eating salmon a la veg yrs</v>
      </c>
      <c r="I3366" s="6">
        <f t="shared" si="2"/>
        <v>19</v>
      </c>
      <c r="J3366" s="6">
        <f>IFERROR(__xludf.DUMMYFUNCTION("IF(H3366="""","""",
SUM(
ARRAYFORMULA(
IF(
REGEXMATCH(
"" ""&amp;H3366&amp;"" "",
"" ""&amp;Sentiment_Words!A$2:A3730&amp;"" ""
),
1,
0
)
)
)
)"),1.0)</f>
        <v>1</v>
      </c>
      <c r="K3366" s="4">
        <f>IFERROR(__xludf.DUMMYFUNCTION("IF(H3366="""","""",
SUM(
ARRAYFORMULA(
IF(
REGEXMATCH(
"" ""&amp;H3366&amp;"" "",
"" ""&amp;Sentiment_Words!B$2:B3730&amp;"" ""
),
1,
0
)
)
)
)"),0.0)</f>
        <v>0</v>
      </c>
      <c r="L3366" s="7" t="str">
        <f t="shared" si="3"/>
        <v>Other</v>
      </c>
      <c r="M3366" s="7" t="str">
        <f t="shared" si="4"/>
        <v>Positive</v>
      </c>
      <c r="N3366" s="7" t="str">
        <f>IFERROR(__xludf.DUMMYFUNCTION("LOWER(
TRIM(
REGEXREPLACE(B3366,""[^a-zA-Z\s]"","""")
)
)
"),"mercy")</f>
        <v>mercy</v>
      </c>
      <c r="O3366" s="7">
        <f t="shared" si="5"/>
        <v>1</v>
      </c>
      <c r="P3366" s="8" t="str">
        <f t="shared" si="6"/>
        <v>No</v>
      </c>
    </row>
    <row r="3367">
      <c r="A3367" s="4" t="s">
        <v>16</v>
      </c>
      <c r="B3367" s="4" t="s">
        <v>9334</v>
      </c>
      <c r="C3367" s="5">
        <v>44540.0</v>
      </c>
      <c r="D3367" s="10">
        <v>44540.0</v>
      </c>
      <c r="E3367" s="4" t="s">
        <v>9335</v>
      </c>
      <c r="F3367" s="4" t="s">
        <v>9336</v>
      </c>
      <c r="G3367" s="6" t="str">
        <f>IFERROR(__xludf.DUMMYFUNCTION("REGEXREPLACE(LOWER(F3367),""[^a-z\s]"","""")"),"excellent service best dog food ever would not feed my dog anything else then natural balance")</f>
        <v>excellent service best dog food ever would not feed my dog anything else then natural balance</v>
      </c>
      <c r="H3367" s="4" t="str">
        <f t="shared" si="1"/>
        <v>excellent service best dog food ever would not feed my dog anything else then natural balance</v>
      </c>
      <c r="I3367" s="6">
        <f t="shared" si="2"/>
        <v>16</v>
      </c>
      <c r="J3367" s="6">
        <f>IFERROR(__xludf.DUMMYFUNCTION("IF(H3367="""","""",
SUM(
ARRAYFORMULA(
IF(
REGEXMATCH(
"" ""&amp;H3367&amp;"" "",
"" ""&amp;Sentiment_Words!A$2:A3730&amp;"" ""
),
1,
0
)
)
)
)"),0.0)</f>
        <v>0</v>
      </c>
      <c r="K3367" s="4">
        <f>IFERROR(__xludf.DUMMYFUNCTION("IF(H3367="""","""",
SUM(
ARRAYFORMULA(
IF(
REGEXMATCH(
"" ""&amp;H3367&amp;"" "",
"" ""&amp;Sentiment_Words!B$2:B3730&amp;"" ""
),
1,
0
)
)
)
)"),0.0)</f>
        <v>0</v>
      </c>
      <c r="L3367" s="7" t="str">
        <f t="shared" si="3"/>
        <v>Customer Support</v>
      </c>
      <c r="M3367" s="7" t="str">
        <f t="shared" si="4"/>
        <v>Neutral</v>
      </c>
      <c r="N3367" s="7" t="str">
        <f>IFERROR(__xludf.DUMMYFUNCTION("LOWER(
TRIM(
REGEXREPLACE(B3367,""[^a-zA-Z\s]"","""")
)
)
"),"margaret mcallister")</f>
        <v>margaret mcallister</v>
      </c>
      <c r="O3367" s="7">
        <f t="shared" si="5"/>
        <v>1</v>
      </c>
      <c r="P3367" s="8" t="str">
        <f t="shared" si="6"/>
        <v>No</v>
      </c>
    </row>
    <row r="3368">
      <c r="A3368" s="4" t="s">
        <v>16</v>
      </c>
      <c r="B3368" s="4" t="s">
        <v>9337</v>
      </c>
      <c r="C3368" s="5">
        <v>44540.0</v>
      </c>
      <c r="D3368" s="10">
        <v>44540.0</v>
      </c>
      <c r="E3368" s="4" t="s">
        <v>1319</v>
      </c>
      <c r="F3368" s="4" t="s">
        <v>9338</v>
      </c>
      <c r="G3368" s="6" t="str">
        <f>IFERROR(__xludf.DUMMYFUNCTION("REGEXREPLACE(LOWER(F3368),""[^a-z\s]"","""")"),"staff were very good at listening and finding a solution that would help me")</f>
        <v>staff were very good at listening and finding a solution that would help me</v>
      </c>
      <c r="H3368" s="4" t="str">
        <f t="shared" si="1"/>
        <v>staff were very good at listening finding a solution that would help me</v>
      </c>
      <c r="I3368" s="6">
        <f t="shared" si="2"/>
        <v>13</v>
      </c>
      <c r="J3368" s="6">
        <f>IFERROR(__xludf.DUMMYFUNCTION("IF(H3368="""","""",
SUM(
ARRAYFORMULA(
IF(
REGEXMATCH(
"" ""&amp;H3368&amp;"" "",
"" ""&amp;Sentiment_Words!A$2:A3730&amp;"" ""
),
1,
0
)
)
)
)"),2.0)</f>
        <v>2</v>
      </c>
      <c r="K3368" s="4">
        <f>IFERROR(__xludf.DUMMYFUNCTION("IF(H3368="""","""",
SUM(
ARRAYFORMULA(
IF(
REGEXMATCH(
"" ""&amp;H3368&amp;"" "",
"" ""&amp;Sentiment_Words!B$2:B3730&amp;"" ""
),
1,
0
)
)
)
)"),0.0)</f>
        <v>0</v>
      </c>
      <c r="L3368" s="7" t="str">
        <f t="shared" si="3"/>
        <v>Other</v>
      </c>
      <c r="M3368" s="7" t="str">
        <f t="shared" si="4"/>
        <v>Positive</v>
      </c>
      <c r="N3368" s="7" t="str">
        <f>IFERROR(__xludf.DUMMYFUNCTION("LOWER(
TRIM(
REGEXREPLACE(B3368,""[^a-zA-Z\s]"","""")
)
)
"),"sissssy")</f>
        <v>sissssy</v>
      </c>
      <c r="O3368" s="7">
        <f t="shared" si="5"/>
        <v>1</v>
      </c>
      <c r="P3368" s="8" t="str">
        <f t="shared" si="6"/>
        <v>No</v>
      </c>
    </row>
    <row r="3369">
      <c r="A3369" s="4" t="s">
        <v>16</v>
      </c>
      <c r="B3369" s="4" t="s">
        <v>9339</v>
      </c>
      <c r="C3369" s="5">
        <v>44540.0</v>
      </c>
      <c r="D3369" s="10">
        <v>44540.0</v>
      </c>
      <c r="E3369" s="4" t="s">
        <v>9340</v>
      </c>
      <c r="F3369" s="4" t="s">
        <v>9341</v>
      </c>
      <c r="G3369" s="6" t="str">
        <f>IFERROR(__xludf.DUMMYFUNCTION("REGEXREPLACE(LOWER(F3369),""[^a-z\s]"","""")"),"excellent customer service and fast shipping")</f>
        <v>excellent customer service and fast shipping</v>
      </c>
      <c r="H3369" s="4" t="str">
        <f t="shared" si="1"/>
        <v>excellent customer service fast shipping</v>
      </c>
      <c r="I3369" s="6">
        <f t="shared" si="2"/>
        <v>5</v>
      </c>
      <c r="J3369" s="6">
        <f>IFERROR(__xludf.DUMMYFUNCTION("IF(H3369="""","""",
SUM(
ARRAYFORMULA(
IF(
REGEXMATCH(
"" ""&amp;H3369&amp;"" "",
"" ""&amp;Sentiment_Words!A$2:A3730&amp;"" ""
),
1,
0
)
)
)
)"),1.0)</f>
        <v>1</v>
      </c>
      <c r="K3369" s="4">
        <f>IFERROR(__xludf.DUMMYFUNCTION("IF(H3369="""","""",
SUM(
ARRAYFORMULA(
IF(
REGEXMATCH(
"" ""&amp;H3369&amp;"" "",
"" ""&amp;Sentiment_Words!B$2:B3730&amp;"" ""
),
1,
0
)
)
)
)"),1.0)</f>
        <v>1</v>
      </c>
      <c r="L3369" s="7" t="str">
        <f t="shared" si="3"/>
        <v>Customer Support</v>
      </c>
      <c r="M3369" s="7" t="str">
        <f t="shared" si="4"/>
        <v>Neutral</v>
      </c>
      <c r="N3369" s="7" t="str">
        <f>IFERROR(__xludf.DUMMYFUNCTION("LOWER(
TRIM(
REGEXREPLACE(B3369,""[^a-zA-Z\s]"","""")
)
)
"),"robin hale")</f>
        <v>robin hale</v>
      </c>
      <c r="O3369" s="7">
        <f t="shared" si="5"/>
        <v>1</v>
      </c>
      <c r="P3369" s="8" t="str">
        <f t="shared" si="6"/>
        <v>No</v>
      </c>
    </row>
    <row r="3370">
      <c r="A3370" s="4" t="s">
        <v>16</v>
      </c>
      <c r="B3370" s="4" t="s">
        <v>9342</v>
      </c>
      <c r="C3370" s="9">
        <v>44539.0</v>
      </c>
      <c r="D3370" s="10">
        <v>44540.0</v>
      </c>
      <c r="E3370" s="4" t="s">
        <v>9343</v>
      </c>
      <c r="F3370" s="4" t="s">
        <v>9344</v>
      </c>
      <c r="G3370" s="6" t="str">
        <f>IFERROR(__xludf.DUMMYFUNCTION("REGEXREPLACE(LOWER(F3370),""[^a-z\s]"","""")"),"my delivery isnt not comingvery very slowly")</f>
        <v>my delivery isnt not comingvery very slowly</v>
      </c>
      <c r="H3370" s="4" t="str">
        <f t="shared" si="1"/>
        <v>my delivery isnt not comingvery very slowly</v>
      </c>
      <c r="I3370" s="6">
        <f t="shared" si="2"/>
        <v>7</v>
      </c>
      <c r="J3370" s="6">
        <f>IFERROR(__xludf.DUMMYFUNCTION("IF(H3370="""","""",
SUM(
ARRAYFORMULA(
IF(
REGEXMATCH(
"" ""&amp;H3370&amp;"" "",
"" ""&amp;Sentiment_Words!A$2:A3730&amp;"" ""
),
1,
0
)
)
)
)"),0.0)</f>
        <v>0</v>
      </c>
      <c r="K3370" s="4">
        <f>IFERROR(__xludf.DUMMYFUNCTION("IF(H3370="""","""",
SUM(
ARRAYFORMULA(
IF(
REGEXMATCH(
"" ""&amp;H3370&amp;"" "",
"" ""&amp;Sentiment_Words!B$2:B3730&amp;"" ""
),
1,
0
)
)
)
)"),0.0)</f>
        <v>0</v>
      </c>
      <c r="L3370" s="7" t="str">
        <f t="shared" si="3"/>
        <v>Other</v>
      </c>
      <c r="M3370" s="7" t="str">
        <f t="shared" si="4"/>
        <v>Neutral</v>
      </c>
      <c r="N3370" s="7" t="str">
        <f>IFERROR(__xludf.DUMMYFUNCTION("LOWER(
TRIM(
REGEXREPLACE(B3370,""[^a-zA-Z\s]"","""")
)
)
"),"terry laguna woods")</f>
        <v>terry laguna woods</v>
      </c>
      <c r="O3370" s="7">
        <f t="shared" si="5"/>
        <v>1</v>
      </c>
      <c r="P3370" s="8" t="str">
        <f t="shared" si="6"/>
        <v>No</v>
      </c>
    </row>
    <row r="3371">
      <c r="A3371" s="4" t="s">
        <v>16</v>
      </c>
      <c r="B3371" s="4" t="s">
        <v>9345</v>
      </c>
      <c r="C3371" s="9">
        <v>44539.0</v>
      </c>
      <c r="D3371" s="10">
        <v>44539.0</v>
      </c>
      <c r="E3371" s="4" t="s">
        <v>9346</v>
      </c>
      <c r="F3371" s="4" t="s">
        <v>9347</v>
      </c>
      <c r="G3371" s="6" t="str">
        <f>IFERROR(__xludf.DUMMYFUNCTION("REGEXREPLACE(LOWER(F3371),""[^a-z\s]"","""")"),"i was very pleased with my order i found an item for my birds that i couldnt find anywhere else for a cheaper price and it arrived very quickly")</f>
        <v>i was very pleased with my order i found an item for my birds that i couldnt find anywhere else for a cheaper price and it arrived very quickly</v>
      </c>
      <c r="H3371" s="4" t="str">
        <f t="shared" si="1"/>
        <v>i was very pleased with my order i found an item my birds that i couldnt find anywhere else a cheaper price it arrived very quickly</v>
      </c>
      <c r="I3371" s="6">
        <f t="shared" si="2"/>
        <v>26</v>
      </c>
      <c r="J3371" s="6">
        <f>IFERROR(__xludf.DUMMYFUNCTION("IF(H3371="""","""",
SUM(
ARRAYFORMULA(
IF(
REGEXMATCH(
"" ""&amp;H3371&amp;"" "",
"" ""&amp;Sentiment_Words!A$2:A3730&amp;"" ""
),
1,
0
)
)
)
)"),2.0)</f>
        <v>2</v>
      </c>
      <c r="K3371" s="4">
        <f>IFERROR(__xludf.DUMMYFUNCTION("IF(H3371="""","""",
SUM(
ARRAYFORMULA(
IF(
REGEXMATCH(
"" ""&amp;H3371&amp;"" "",
"" ""&amp;Sentiment_Words!B$2:B3730&amp;"" ""
),
1,
0
)
)
)
)"),0.0)</f>
        <v>0</v>
      </c>
      <c r="L3371" s="7" t="str">
        <f t="shared" si="3"/>
        <v>Value &amp; Convenience</v>
      </c>
      <c r="M3371" s="7" t="str">
        <f t="shared" si="4"/>
        <v>Positive</v>
      </c>
      <c r="N3371" s="7" t="str">
        <f>IFERROR(__xludf.DUMMYFUNCTION("LOWER(
TRIM(
REGEXREPLACE(B3371,""[^a-zA-Z\s]"","""")
)
)
"),"nora lorenzo")</f>
        <v>nora lorenzo</v>
      </c>
      <c r="O3371" s="7">
        <f t="shared" si="5"/>
        <v>1</v>
      </c>
      <c r="P3371" s="8" t="str">
        <f t="shared" si="6"/>
        <v>No</v>
      </c>
    </row>
    <row r="3372">
      <c r="A3372" s="4" t="s">
        <v>16</v>
      </c>
      <c r="B3372" s="4" t="s">
        <v>9348</v>
      </c>
      <c r="C3372" s="9">
        <v>44539.0</v>
      </c>
      <c r="D3372" s="10">
        <v>44539.0</v>
      </c>
      <c r="E3372" s="4" t="s">
        <v>9349</v>
      </c>
      <c r="F3372" s="4" t="s">
        <v>9350</v>
      </c>
      <c r="G3372" s="6" t="str">
        <f>IFERROR(__xludf.DUMMYFUNCTION("REGEXREPLACE(LOWER(F3372),""[^a-z\s]"","""")"),"petflow apparently doesnt put in packing so i got all of cans dented up petflow needs to protect the cans")</f>
        <v>petflow apparently doesnt put in packing so i got all of cans dented up petflow needs to protect the cans</v>
      </c>
      <c r="H3372" s="4" t="str">
        <f t="shared" si="1"/>
        <v>petflow apparently doesnt put in packing so i got all of cans dented up petflow needs protect cans</v>
      </c>
      <c r="I3372" s="6">
        <f t="shared" si="2"/>
        <v>18</v>
      </c>
      <c r="J3372" s="6">
        <f>IFERROR(__xludf.DUMMYFUNCTION("IF(H3372="""","""",
SUM(
ARRAYFORMULA(
IF(
REGEXMATCH(
"" ""&amp;H3372&amp;"" "",
"" ""&amp;Sentiment_Words!A$2:A3730&amp;"" ""
),
1,
0
)
)
)
)"),0.0)</f>
        <v>0</v>
      </c>
      <c r="K3372" s="4">
        <f>IFERROR(__xludf.DUMMYFUNCTION("IF(H3372="""","""",
SUM(
ARRAYFORMULA(
IF(
REGEXMATCH(
"" ""&amp;H3372&amp;"" "",
"" ""&amp;Sentiment_Words!B$2:B3730&amp;"" ""
),
1,
0
)
)
)
)"),0.0)</f>
        <v>0</v>
      </c>
      <c r="L3372" s="7" t="str">
        <f t="shared" si="3"/>
        <v>Other</v>
      </c>
      <c r="M3372" s="7" t="str">
        <f t="shared" si="4"/>
        <v>Neutral</v>
      </c>
      <c r="N3372" s="7" t="str">
        <f>IFERROR(__xludf.DUMMYFUNCTION("LOWER(
TRIM(
REGEXREPLACE(B3372,""[^a-zA-Z\s]"","""")
)
)
"),"marcel")</f>
        <v>marcel</v>
      </c>
      <c r="O3372" s="7">
        <f t="shared" si="5"/>
        <v>1</v>
      </c>
      <c r="P3372" s="8" t="str">
        <f t="shared" si="6"/>
        <v>No</v>
      </c>
    </row>
    <row r="3373">
      <c r="A3373" s="4" t="s">
        <v>16</v>
      </c>
      <c r="B3373" s="4" t="s">
        <v>9351</v>
      </c>
      <c r="C3373" s="9">
        <v>44539.0</v>
      </c>
      <c r="D3373" s="10">
        <v>44539.0</v>
      </c>
      <c r="E3373" s="4" t="s">
        <v>9352</v>
      </c>
      <c r="F3373" s="4" t="s">
        <v>9353</v>
      </c>
      <c r="G3373" s="6" t="str">
        <f>IFERROR(__xludf.DUMMYFUNCTION("REGEXREPLACE(LOWER(F3373),""[^a-z\s]"","""")"),"been ordering from petflow for along timequick shippingcompetitive priceshas the brand of dogfood we wantwish they offered prescription medications")</f>
        <v>been ordering from petflow for along timequick shippingcompetitive priceshas the brand of dogfood we wantwish they offered prescription medications</v>
      </c>
      <c r="H3373" s="4" t="str">
        <f t="shared" si="1"/>
        <v>been ordering from petflow along timequick shippingcompetitive priceshas brand of dogfood we wantwish they offered prescription medications</v>
      </c>
      <c r="I3373" s="6">
        <f t="shared" si="2"/>
        <v>17</v>
      </c>
      <c r="J3373" s="6">
        <f>IFERROR(__xludf.DUMMYFUNCTION("IF(H3373="""","""",
SUM(
ARRAYFORMULA(
IF(
REGEXMATCH(
"" ""&amp;H3373&amp;"" "",
"" ""&amp;Sentiment_Words!A$2:A3730&amp;"" ""
),
1,
0
)
)
)
)"),0.0)</f>
        <v>0</v>
      </c>
      <c r="K3373" s="4">
        <f>IFERROR(__xludf.DUMMYFUNCTION("IF(H3373="""","""",
SUM(
ARRAYFORMULA(
IF(
REGEXMATCH(
"" ""&amp;H3373&amp;"" "",
"" ""&amp;Sentiment_Words!B$2:B3730&amp;"" ""
),
1,
0
)
)
)
)"),0.0)</f>
        <v>0</v>
      </c>
      <c r="L3373" s="7" t="str">
        <f t="shared" si="3"/>
        <v>Other</v>
      </c>
      <c r="M3373" s="7" t="str">
        <f t="shared" si="4"/>
        <v>Neutral</v>
      </c>
      <c r="N3373" s="7" t="str">
        <f>IFERROR(__xludf.DUMMYFUNCTION("LOWER(
TRIM(
REGEXREPLACE(B3373,""[^a-zA-Z\s]"","""")
)
)
"),"jenna g")</f>
        <v>jenna g</v>
      </c>
      <c r="O3373" s="7">
        <f t="shared" si="5"/>
        <v>1</v>
      </c>
      <c r="P3373" s="8" t="str">
        <f t="shared" si="6"/>
        <v>No</v>
      </c>
    </row>
    <row r="3374">
      <c r="A3374" s="4" t="s">
        <v>16</v>
      </c>
      <c r="B3374" s="4" t="s">
        <v>9354</v>
      </c>
      <c r="C3374" s="9">
        <v>44539.0</v>
      </c>
      <c r="D3374" s="10">
        <v>44539.0</v>
      </c>
      <c r="E3374" s="4" t="s">
        <v>9355</v>
      </c>
      <c r="F3374" s="4" t="s">
        <v>9356</v>
      </c>
      <c r="G3374" s="6" t="str">
        <f>IFERROR(__xludf.DUMMYFUNCTION("REGEXREPLACE(LOWER(F3374),""[^a-z\s]"","""")"),"i was with this company for many years but repeated mix ups with my food delays and supply issues took a toll moved my business to chewy didnt want to buy my fur babies have to eat")</f>
        <v>i was with this company for many years but repeated mix ups with my food delays and supply issues took a toll moved my business to chewy didnt want to buy my fur babies have to eat</v>
      </c>
      <c r="H3374" s="4" t="str">
        <f t="shared" si="1"/>
        <v>i was with this company many years but repeated mix ups with my food delays supply issues took a toll moved my business chewy didnt want buy my fur babies have eat</v>
      </c>
      <c r="I3374" s="6">
        <f t="shared" si="2"/>
        <v>32</v>
      </c>
      <c r="J3374" s="6">
        <f>IFERROR(__xludf.DUMMYFUNCTION("IF(H3374="""","""",
SUM(
ARRAYFORMULA(
IF(
REGEXMATCH(
"" ""&amp;H3374&amp;"" "",
"" ""&amp;Sentiment_Words!A$2:A3730&amp;"" ""
),
1,
0
)
)
)
)"),0.0)</f>
        <v>0</v>
      </c>
      <c r="K3374" s="4">
        <f>IFERROR(__xludf.DUMMYFUNCTION("IF(H3374="""","""",
SUM(
ARRAYFORMULA(
IF(
REGEXMATCH(
"" ""&amp;H3374&amp;"" "",
"" ""&amp;Sentiment_Words!B$2:B3730&amp;"" ""
),
1,
0
)
)
)
)"),0.0)</f>
        <v>0</v>
      </c>
      <c r="L3374" s="7" t="str">
        <f t="shared" si="3"/>
        <v>Fulfillment &amp; Shipping</v>
      </c>
      <c r="M3374" s="7" t="str">
        <f t="shared" si="4"/>
        <v>Neutral</v>
      </c>
      <c r="N3374" s="7" t="str">
        <f>IFERROR(__xludf.DUMMYFUNCTION("LOWER(
TRIM(
REGEXREPLACE(B3374,""[^a-zA-Z\s]"","""")
)
)
"),"linda hulsey")</f>
        <v>linda hulsey</v>
      </c>
      <c r="O3374" s="7">
        <f t="shared" si="5"/>
        <v>1</v>
      </c>
      <c r="P3374" s="8" t="str">
        <f t="shared" si="6"/>
        <v>No</v>
      </c>
    </row>
    <row r="3375">
      <c r="A3375" s="4" t="s">
        <v>16</v>
      </c>
      <c r="B3375" s="4" t="s">
        <v>9357</v>
      </c>
      <c r="C3375" s="9">
        <v>44539.0</v>
      </c>
      <c r="D3375" s="10">
        <v>44539.0</v>
      </c>
      <c r="E3375" s="4" t="s">
        <v>9358</v>
      </c>
      <c r="F3375" s="4" t="s">
        <v>9359</v>
      </c>
      <c r="G3375" s="6" t="str">
        <f>IFERROR(__xludf.DUMMYFUNCTION("REGEXREPLACE(LOWER(F3375),""[^a-z\s]"","""")"),"we ordered pet food on nov  and received it today dec  way to long i have three emails telling me earlier dates probably our last order from pet flow")</f>
        <v>we ordered pet food on nov  and received it today dec  way to long i have three emails telling me earlier dates probably our last order from pet flow</v>
      </c>
      <c r="H3375" s="4" t="str">
        <f t="shared" si="1"/>
        <v>we ordered pet food on nov received it today dec way long i have three emails telling me earlier dates probably our last order from pet flow</v>
      </c>
      <c r="I3375" s="6">
        <f t="shared" si="2"/>
        <v>27</v>
      </c>
      <c r="J3375" s="6">
        <f>IFERROR(__xludf.DUMMYFUNCTION("IF(H3375="""","""",
SUM(
ARRAYFORMULA(
IF(
REGEXMATCH(
"" ""&amp;H3375&amp;"" "",
"" ""&amp;Sentiment_Words!A$2:A3730&amp;"" ""
),
1,
0
)
)
)
)"),0.0)</f>
        <v>0</v>
      </c>
      <c r="K3375" s="4">
        <f>IFERROR(__xludf.DUMMYFUNCTION("IF(H3375="""","""",
SUM(
ARRAYFORMULA(
IF(
REGEXMATCH(
"" ""&amp;H3375&amp;"" "",
"" ""&amp;Sentiment_Words!B$2:B3730&amp;"" ""
),
1,
0
)
)
)
)"),0.0)</f>
        <v>0</v>
      </c>
      <c r="L3375" s="7" t="str">
        <f t="shared" si="3"/>
        <v>Other</v>
      </c>
      <c r="M3375" s="7" t="str">
        <f t="shared" si="4"/>
        <v>Neutral</v>
      </c>
      <c r="N3375" s="7" t="str">
        <f>IFERROR(__xludf.DUMMYFUNCTION("LOWER(
TRIM(
REGEXREPLACE(B3375,""[^a-zA-Z\s]"","""")
)
)
"),"jennifer s bondegard")</f>
        <v>jennifer s bondegard</v>
      </c>
      <c r="O3375" s="7">
        <f t="shared" si="5"/>
        <v>1</v>
      </c>
      <c r="P3375" s="8" t="str">
        <f t="shared" si="6"/>
        <v>No</v>
      </c>
    </row>
    <row r="3376">
      <c r="A3376" s="4" t="s">
        <v>16</v>
      </c>
      <c r="B3376" s="4" t="s">
        <v>9360</v>
      </c>
      <c r="C3376" s="9">
        <v>44539.0</v>
      </c>
      <c r="D3376" s="10">
        <v>44539.0</v>
      </c>
      <c r="E3376" s="4" t="s">
        <v>9361</v>
      </c>
      <c r="F3376" s="4" t="s">
        <v>9362</v>
      </c>
      <c r="G3376" s="6" t="str">
        <f>IFERROR(__xludf.DUMMYFUNCTION("REGEXREPLACE(LOWER(F3376),""[^a-z\s]"","""")"),"you need to improve on your customer service on the phone you also need to improve on your deliveries services meaning when customers ordered products from your website
it needs to be more accurate in the amount of products you have online website store t"&amp;"he amount of products you have in your warehouse should be the same on your website as it is in your warehouse store the new jersey or wherever your warehouse store is the products inventory needs to be in your warehouse storewhen it says on your website "&amp;"that you have your products available such as your two litter boxesthat i ordered early in the morning on thanksgiving day i shouldnt have to be an angry and frustrated customer that i cant get my two litter boxes delivered to my home on time your website"&amp;" should be more accurate as to how many products you have available inside your warehouse meaning of the number count of the products you have at your store there a petflow ive waited almost over two weeks i still havent got my two litter boxes delivered "&amp;"to my home address here where i live
im very and frustratedthat i havent received my two litter boxes that i paid for through your website with my prepaid bluebird american express debit card  if youre a professional company you need to deliver the produc"&amp;"ts that i ordered from your website here at my home address on time i really need the products for my animals because thats not fair to me or them if you cant do what youre supposed to do and delivering the products that i paid for on your website that i "&amp;"might as well do business with somebody else i cant understand the fact that i havent received my to litter boxes in the mailyet so therefore i am very upset about the whole situation do you have any questions about about my common here you can feel free "&amp;"to call me at my home phone number thats listed on my account through petflowcom warmest of wisheson this holidayjulie j")</f>
        <v>you need to improve on your customer service on the phone you also need to improve on your deliveries services meaning when customers ordered products from your website
it needs to be more accurate in the amount of products you have online website store the amount of products you have in your warehouse should be the same on your website as it is in your warehouse store the new jersey or wherever your warehouse store is the products inventory needs to be in your warehouse storewhen it says on your website that you have your products available such as your two litter boxesthat i ordered early in the morning on thanksgiving day i shouldnt have to be an angry and frustrated customer that i cant get my two litter boxes delivered to my home on time your website should be more accurate as to how many products you have available inside your warehouse meaning of the number count of the products you have at your store there a petflow ive waited almost over two weeks i still havent got my two litter boxes delivered to my home address here where i live
im very and frustratedthat i havent received my two litter boxes that i paid for through your website with my prepaid bluebird american express debit card  if youre a professional company you need to deliver the products that i ordered from your website here at my home address on time i really need the products for my animals because thats not fair to me or them if you cant do what youre supposed to do and delivering the products that i paid for on your website that i might as well do business with somebody else i cant understand the fact that i havent received my to litter boxes in the mailyet so therefore i am very upset about the whole situation do you have any questions about about my common here you can feel free to call me at my home phone number thats listed on my account through petflowcom warmest of wisheson this holidayjulie j</v>
      </c>
      <c r="H3376" s="4" t="str">
        <f t="shared" si="1"/>
        <v>you need improve on your customer service on phone you also need improve on your deliveries services meaning when customers ordered products from your website
it needs be more accurate in amount of products you have online website store amount of products you have in your warehouse should be same on your website as it in your warehouse store new jersey or wherever your warehouse store products inventory needs be in your warehouse storewhen it says on your website that you have your products available such as your two litter boxesthat i ordered early in morning on thanksgiving day i shouldnt have be an angry frustrated customer that i cant get my two litter boxes delivered my home on time your website should be more accurate as how many products you have available inside your warehouse meaning of number count of products you have at your store there a petflow ive waited almost over two weeks i still havent got my two litter boxes delivered my home address here where i live
im very frustratedthat i havent received my two litter boxes that i paid through your website with my prepaid bluebird american express debit card if youre a professional company you need deliver products that i ordered from your website here at my home address on time i really need products my animals because thats not fair me or them if you cant do what youre supposed do delivering products that i paid on your website that i might as well do business with somebody else i cant understand fact that i havent received my litter boxes in mailyet so therefore i am very upset about whole situation do you have any questions about about my common here you can feel free call me at my home phone number thats listed on my account through petflowcom warmest of wisheson this holidayjulie j</v>
      </c>
      <c r="I3376" s="6">
        <f t="shared" si="2"/>
        <v>311</v>
      </c>
      <c r="J3376" s="6">
        <f>IFERROR(__xludf.DUMMYFUNCTION("IF(H3376="""","""",
SUM(
ARRAYFORMULA(
IF(
REGEXMATCH(
"" ""&amp;H3376&amp;"" "",
"" ""&amp;Sentiment_Words!A$2:A3730&amp;"" ""
),
1,
0
)
)
)
)"),3.0)</f>
        <v>3</v>
      </c>
      <c r="K3376" s="4">
        <f>IFERROR(__xludf.DUMMYFUNCTION("IF(H3376="""","""",
SUM(
ARRAYFORMULA(
IF(
REGEXMATCH(
"" ""&amp;H3376&amp;"" "",
"" ""&amp;Sentiment_Words!B$2:B3730&amp;"" ""
),
1,
0
)
)
)
)"),1.0)</f>
        <v>1</v>
      </c>
      <c r="L3376" s="7" t="str">
        <f t="shared" si="3"/>
        <v>Customer Support</v>
      </c>
      <c r="M3376" s="7" t="str">
        <f t="shared" si="4"/>
        <v>Positive</v>
      </c>
      <c r="N3376" s="7" t="str">
        <f>IFERROR(__xludf.DUMMYFUNCTION("LOWER(
TRIM(
REGEXREPLACE(B3376,""[^a-zA-Z\s]"","""")
)
)
"),"landerson")</f>
        <v>landerson</v>
      </c>
      <c r="O3376" s="7">
        <f t="shared" si="5"/>
        <v>1</v>
      </c>
      <c r="P3376" s="8" t="str">
        <f t="shared" si="6"/>
        <v>No</v>
      </c>
    </row>
    <row r="3377">
      <c r="A3377" s="4" t="s">
        <v>16</v>
      </c>
      <c r="B3377" s="4" t="s">
        <v>9363</v>
      </c>
      <c r="C3377" s="9">
        <v>44538.0</v>
      </c>
      <c r="D3377" s="10">
        <v>44538.0</v>
      </c>
      <c r="E3377" s="4" t="s">
        <v>9364</v>
      </c>
      <c r="F3377" s="4" t="s">
        <v>9365</v>
      </c>
      <c r="G3377" s="6" t="str">
        <f>IFERROR(__xludf.DUMMYFUNCTION("REGEXREPLACE(LOWER(F3377),""[^a-z\s]"","""")"),"i am very happy with my purchase of cat food from petflow the only issue i had was trying to find out on the web site how i could check out otherwise great")</f>
        <v>i am very happy with my purchase of cat food from petflow the only issue i had was trying to find out on the web site how i could check out otherwise great</v>
      </c>
      <c r="H3377" s="4" t="str">
        <f t="shared" si="1"/>
        <v>i am very happy with my purchase of cat food from petflow only issue i had was trying find out on web site how i could check out otherwise great</v>
      </c>
      <c r="I3377" s="6">
        <f t="shared" si="2"/>
        <v>30</v>
      </c>
      <c r="J3377" s="6">
        <f>IFERROR(__xludf.DUMMYFUNCTION("IF(H3377="""","""",
SUM(
ARRAYFORMULA(
IF(
REGEXMATCH(
"" ""&amp;H3377&amp;"" "",
"" ""&amp;Sentiment_Words!A$2:A3730&amp;"" ""
),
1,
0
)
)
)
)"),2.0)</f>
        <v>2</v>
      </c>
      <c r="K3377" s="4">
        <f>IFERROR(__xludf.DUMMYFUNCTION("IF(H3377="""","""",
SUM(
ARRAYFORMULA(
IF(
REGEXMATCH(
"" ""&amp;H3377&amp;"" "",
"" ""&amp;Sentiment_Words!B$2:B3730&amp;"" ""
),
1,
0
)
)
)
)"),1.0)</f>
        <v>1</v>
      </c>
      <c r="L3377" s="7" t="str">
        <f t="shared" si="3"/>
        <v>Other</v>
      </c>
      <c r="M3377" s="7" t="str">
        <f t="shared" si="4"/>
        <v>Positive</v>
      </c>
      <c r="N3377" s="7" t="str">
        <f>IFERROR(__xludf.DUMMYFUNCTION("LOWER(
TRIM(
REGEXREPLACE(B3377,""[^a-zA-Z\s]"","""")
)
)
"),"raymond")</f>
        <v>raymond</v>
      </c>
      <c r="O3377" s="7">
        <f t="shared" si="5"/>
        <v>2</v>
      </c>
      <c r="P3377" s="8" t="str">
        <f t="shared" si="6"/>
        <v>Yes</v>
      </c>
    </row>
    <row r="3378">
      <c r="A3378" s="4" t="s">
        <v>16</v>
      </c>
      <c r="B3378" s="4" t="s">
        <v>9366</v>
      </c>
      <c r="C3378" s="9">
        <v>44538.0</v>
      </c>
      <c r="D3378" s="10">
        <v>44538.0</v>
      </c>
      <c r="E3378" s="4" t="s">
        <v>9367</v>
      </c>
      <c r="F3378" s="4" t="s">
        <v>9368</v>
      </c>
      <c r="G3378" s="6" t="str">
        <f>IFERROR(__xludf.DUMMYFUNCTION("REGEXREPLACE(LOWER(F3378),""[^a-z\s]"","""")"),"they have great customer service and they try very hard to please their customers they also have a wide variety of pet foods")</f>
        <v>they have great customer service and they try very hard to please their customers they also have a wide variety of pet foods</v>
      </c>
      <c r="H3378" s="4" t="str">
        <f t="shared" si="1"/>
        <v>they have great customer service they try very hard please their customers they also have a wide variety of pet foods</v>
      </c>
      <c r="I3378" s="6">
        <f t="shared" si="2"/>
        <v>21</v>
      </c>
      <c r="J3378" s="6">
        <f>IFERROR(__xludf.DUMMYFUNCTION("IF(H3378="""","""",
SUM(
ARRAYFORMULA(
IF(
REGEXMATCH(
"" ""&amp;H3378&amp;"" "",
"" ""&amp;Sentiment_Words!A$2:A3730&amp;"" ""
),
1,
0
)
)
)
)"),2.0)</f>
        <v>2</v>
      </c>
      <c r="K3378" s="4">
        <f>IFERROR(__xludf.DUMMYFUNCTION("IF(H3378="""","""",
SUM(
ARRAYFORMULA(
IF(
REGEXMATCH(
"" ""&amp;H3378&amp;"" "",
"" ""&amp;Sentiment_Words!B$2:B3730&amp;"" ""
),
1,
0
)
)
)
)"),1.0)</f>
        <v>1</v>
      </c>
      <c r="L3378" s="7" t="str">
        <f t="shared" si="3"/>
        <v>Customer Support</v>
      </c>
      <c r="M3378" s="7" t="str">
        <f t="shared" si="4"/>
        <v>Positive</v>
      </c>
      <c r="N3378" s="7" t="str">
        <f>IFERROR(__xludf.DUMMYFUNCTION("LOWER(
TRIM(
REGEXREPLACE(B3378,""[^a-zA-Z\s]"","""")
)
)
"),"richard kritsky")</f>
        <v>richard kritsky</v>
      </c>
      <c r="O3378" s="7">
        <f t="shared" si="5"/>
        <v>1</v>
      </c>
      <c r="P3378" s="8" t="str">
        <f t="shared" si="6"/>
        <v>No</v>
      </c>
    </row>
    <row r="3379">
      <c r="A3379" s="4" t="s">
        <v>16</v>
      </c>
      <c r="B3379" s="4" t="s">
        <v>9369</v>
      </c>
      <c r="C3379" s="9">
        <v>44538.0</v>
      </c>
      <c r="D3379" s="4" t="s">
        <v>9370</v>
      </c>
      <c r="E3379" s="4" t="s">
        <v>9371</v>
      </c>
      <c r="F3379" s="4" t="s">
        <v>9372</v>
      </c>
      <c r="G3379" s="6" t="str">
        <f>IFERROR(__xludf.DUMMYFUNCTION("REGEXREPLACE(LOWER(F3379),""[^a-z\s]"","""")"),"love this company great to work with and carry alot of different foods")</f>
        <v>love this company great to work with and carry alot of different foods</v>
      </c>
      <c r="H3379" s="4" t="str">
        <f t="shared" si="1"/>
        <v>love this company great work with carry alot of different foods</v>
      </c>
      <c r="I3379" s="6">
        <f t="shared" si="2"/>
        <v>11</v>
      </c>
      <c r="J3379" s="6">
        <f>IFERROR(__xludf.DUMMYFUNCTION("IF(H3379="""","""",
SUM(
ARRAYFORMULA(
IF(
REGEXMATCH(
"" ""&amp;H3379&amp;"" "",
"" ""&amp;Sentiment_Words!A$2:A3730&amp;"" ""
),
1,
0
)
)
)
)"),2.0)</f>
        <v>2</v>
      </c>
      <c r="K3379" s="4">
        <f>IFERROR(__xludf.DUMMYFUNCTION("IF(H3379="""","""",
SUM(
ARRAYFORMULA(
IF(
REGEXMATCH(
"" ""&amp;H3379&amp;"" "",
"" ""&amp;Sentiment_Words!B$2:B3730&amp;"" ""
),
1,
0
)
)
)
)"),0.0)</f>
        <v>0</v>
      </c>
      <c r="L3379" s="7" t="str">
        <f t="shared" si="3"/>
        <v>Other</v>
      </c>
      <c r="M3379" s="7" t="str">
        <f t="shared" si="4"/>
        <v>Positive</v>
      </c>
      <c r="N3379" s="7" t="str">
        <f>IFERROR(__xludf.DUMMYFUNCTION("LOWER(
TRIM(
REGEXREPLACE(B3379,""[^a-zA-Z\s]"","""")
)
)
"),"julie j")</f>
        <v>julie j</v>
      </c>
      <c r="O3379" s="7">
        <f t="shared" si="5"/>
        <v>1</v>
      </c>
      <c r="P3379" s="8" t="str">
        <f t="shared" si="6"/>
        <v>No</v>
      </c>
    </row>
    <row r="3380">
      <c r="A3380" s="4" t="s">
        <v>16</v>
      </c>
      <c r="B3380" s="4" t="s">
        <v>9373</v>
      </c>
      <c r="C3380" s="9">
        <v>44537.0</v>
      </c>
      <c r="D3380" s="10">
        <v>44538.0</v>
      </c>
      <c r="E3380" s="4" t="s">
        <v>9374</v>
      </c>
      <c r="F3380" s="4" t="s">
        <v>9375</v>
      </c>
      <c r="G3380" s="6" t="str">
        <f>IFERROR(__xludf.DUMMYFUNCTION("REGEXREPLACE(LOWER(F3380),""[^a-z\s]"","""")"),"very few notices of what was going on i finally sent  emails and made a phone call joseph was very kind it took  days to get here wonder if it would come i had to buy dog food in the meantime not happy product was good and why did it come from new jersy n"&amp;"evada is closer")</f>
        <v>very few notices of what was going on i finally sent  emails and made a phone call joseph was very kind it took  days to get here wonder if it would come i had to buy dog food in the meantime not happy product was good and why did it come from new jersy nevada is closer</v>
      </c>
      <c r="H3380" s="4" t="str">
        <f t="shared" si="1"/>
        <v>very few notices of what was going on i finally sent emails made a phone call joseph was very kind it took days get here wonder if it would come i had buy dog food in meantime not happy product was good why did it come from new jersy nevada closer</v>
      </c>
      <c r="I3380" s="6">
        <f t="shared" si="2"/>
        <v>51</v>
      </c>
      <c r="J3380" s="6">
        <f>IFERROR(__xludf.DUMMYFUNCTION("IF(H3380="""","""",
SUM(
ARRAYFORMULA(
IF(
REGEXMATCH(
"" ""&amp;H3380&amp;"" "",
"" ""&amp;Sentiment_Words!A$2:A3730&amp;"" ""
),
1,
0
)
)
)
)"),2.0)</f>
        <v>2</v>
      </c>
      <c r="K3380" s="4">
        <f>IFERROR(__xludf.DUMMYFUNCTION("IF(H3380="""","""",
SUM(
ARRAYFORMULA(
IF(
REGEXMATCH(
"" ""&amp;H3380&amp;"" "",
"" ""&amp;Sentiment_Words!B$2:B3730&amp;"" ""
),
1,
0
)
)
)
)"),0.0)</f>
        <v>0</v>
      </c>
      <c r="L3380" s="7" t="str">
        <f t="shared" si="3"/>
        <v>Other</v>
      </c>
      <c r="M3380" s="7" t="str">
        <f t="shared" si="4"/>
        <v>Positive</v>
      </c>
      <c r="N3380" s="7" t="str">
        <f>IFERROR(__xludf.DUMMYFUNCTION("LOWER(
TRIM(
REGEXREPLACE(B3380,""[^a-zA-Z\s]"","""")
)
)
"),"catherine lyness")</f>
        <v>catherine lyness</v>
      </c>
      <c r="O3380" s="7">
        <f t="shared" si="5"/>
        <v>1</v>
      </c>
      <c r="P3380" s="8" t="str">
        <f t="shared" si="6"/>
        <v>No</v>
      </c>
    </row>
    <row r="3381">
      <c r="A3381" s="4" t="s">
        <v>16</v>
      </c>
      <c r="B3381" s="4" t="s">
        <v>9376</v>
      </c>
      <c r="C3381" s="9">
        <v>44537.0</v>
      </c>
      <c r="D3381" s="10">
        <v>44537.0</v>
      </c>
      <c r="E3381" s="4" t="s">
        <v>9377</v>
      </c>
      <c r="F3381" s="4" t="s">
        <v>9378</v>
      </c>
      <c r="G3381" s="6" t="str">
        <f>IFERROR(__xludf.DUMMYFUNCTION("REGEXREPLACE(LOWER(F3381),""[^a-z\s]"","""")"),"i wouldve given a  star review however with my last order it wouldve been nice if i was informed that my order for dog food was not available from where it is usually shipped i usually get it within a week but since it was coming from much farther away it"&amp;" took  days i also got an email saying my order was shipped on the th ordered on the rd then i received another email saying it was shipped on the th with no explanation it just would have been nice if i was sent an email to let me know about this")</f>
        <v>i wouldve given a  star review however with my last order it wouldve been nice if i was informed that my order for dog food was not available from where it is usually shipped i usually get it within a week but since it was coming from much farther away it took  days i also got an email saying my order was shipped on the th ordered on the rd then i received another email saying it was shipped on the th with no explanation it just would have been nice if i was sent an email to let me know about this</v>
      </c>
      <c r="H3381" s="4" t="str">
        <f t="shared" si="1"/>
        <v>i wouldve given a star review however with my last order it wouldve been nice if i was informed that my order dog food was not available from where it usually shipped i usually get it within a week but since it was coming from much farther away it took days i also got an email saying my order was shipped on th ordered on rd then i received another email saying it was shipped on th with no explanation it just would have been nice if i was sent an email let me know about this</v>
      </c>
      <c r="I3381" s="6">
        <f t="shared" si="2"/>
        <v>97</v>
      </c>
      <c r="J3381" s="6">
        <f>IFERROR(__xludf.DUMMYFUNCTION("IF(H3381="""","""",
SUM(
ARRAYFORMULA(
IF(
REGEXMATCH(
"" ""&amp;H3381&amp;"" "",
"" ""&amp;Sentiment_Words!A$2:A3730&amp;"" ""
),
1,
0
)
)
)
)"),1.0)</f>
        <v>1</v>
      </c>
      <c r="K3381" s="4">
        <f>IFERROR(__xludf.DUMMYFUNCTION("IF(H3381="""","""",
SUM(
ARRAYFORMULA(
IF(
REGEXMATCH(
"" ""&amp;H3381&amp;"" "",
"" ""&amp;Sentiment_Words!B$2:B3730&amp;"" ""
),
1,
0
)
)
)
)"),0.0)</f>
        <v>0</v>
      </c>
      <c r="L3381" s="7" t="str">
        <f t="shared" si="3"/>
        <v>Other</v>
      </c>
      <c r="M3381" s="7" t="str">
        <f t="shared" si="4"/>
        <v>Positive</v>
      </c>
      <c r="N3381" s="7" t="str">
        <f>IFERROR(__xludf.DUMMYFUNCTION("LOWER(
TRIM(
REGEXREPLACE(B3381,""[^a-zA-Z\s]"","""")
)
)
"),"dora")</f>
        <v>dora</v>
      </c>
      <c r="O3381" s="7">
        <f t="shared" si="5"/>
        <v>1</v>
      </c>
      <c r="P3381" s="8" t="str">
        <f t="shared" si="6"/>
        <v>No</v>
      </c>
    </row>
    <row r="3382">
      <c r="A3382" s="4" t="s">
        <v>16</v>
      </c>
      <c r="B3382" s="4" t="s">
        <v>3014</v>
      </c>
      <c r="C3382" s="9">
        <v>44537.0</v>
      </c>
      <c r="D3382" s="10">
        <v>44537.0</v>
      </c>
      <c r="E3382" s="4" t="s">
        <v>9379</v>
      </c>
      <c r="F3382" s="4" t="s">
        <v>331</v>
      </c>
      <c r="G3382" s="6" t="str">
        <f>IFERROR(__xludf.DUMMYFUNCTION("REGEXREPLACE(LOWER(F3382),""[^a-z\s]"","""")"),"none")</f>
        <v>none</v>
      </c>
      <c r="H3382" s="4" t="str">
        <f t="shared" si="1"/>
        <v>none</v>
      </c>
      <c r="I3382" s="6">
        <f t="shared" si="2"/>
        <v>1</v>
      </c>
      <c r="J3382" s="6">
        <f>IFERROR(__xludf.DUMMYFUNCTION("IF(H3382="""","""",
SUM(
ARRAYFORMULA(
IF(
REGEXMATCH(
"" ""&amp;H3382&amp;"" "",
"" ""&amp;Sentiment_Words!A$2:A3730&amp;"" ""
),
1,
0
)
)
)
)"),0.0)</f>
        <v>0</v>
      </c>
      <c r="K3382" s="4">
        <f>IFERROR(__xludf.DUMMYFUNCTION("IF(H3382="""","""",
SUM(
ARRAYFORMULA(
IF(
REGEXMATCH(
"" ""&amp;H3382&amp;"" "",
"" ""&amp;Sentiment_Words!B$2:B3730&amp;"" ""
),
1,
0
)
)
)
)"),0.0)</f>
        <v>0</v>
      </c>
      <c r="L3382" s="7" t="str">
        <f t="shared" si="3"/>
        <v>Other</v>
      </c>
      <c r="M3382" s="7" t="str">
        <f t="shared" si="4"/>
        <v>Neutral</v>
      </c>
      <c r="N3382" s="7" t="str">
        <f>IFERROR(__xludf.DUMMYFUNCTION("LOWER(
TRIM(
REGEXREPLACE(B3382,""[^a-zA-Z\s]"","""")
)
)
"),"kathryn")</f>
        <v>kathryn</v>
      </c>
      <c r="O3382" s="7">
        <f t="shared" si="5"/>
        <v>2</v>
      </c>
      <c r="P3382" s="8" t="str">
        <f t="shared" si="6"/>
        <v>Yes</v>
      </c>
    </row>
    <row r="3383">
      <c r="A3383" s="4" t="s">
        <v>16</v>
      </c>
      <c r="B3383" s="4" t="s">
        <v>9380</v>
      </c>
      <c r="C3383" s="9">
        <v>44537.0</v>
      </c>
      <c r="D3383" s="10">
        <v>44537.0</v>
      </c>
      <c r="E3383" s="4" t="s">
        <v>9381</v>
      </c>
      <c r="F3383" s="4" t="s">
        <v>331</v>
      </c>
      <c r="G3383" s="6" t="str">
        <f>IFERROR(__xludf.DUMMYFUNCTION("REGEXREPLACE(LOWER(F3383),""[^a-z\s]"","""")"),"none")</f>
        <v>none</v>
      </c>
      <c r="H3383" s="4" t="str">
        <f t="shared" si="1"/>
        <v>none</v>
      </c>
      <c r="I3383" s="6">
        <f t="shared" si="2"/>
        <v>1</v>
      </c>
      <c r="J3383" s="6">
        <f>IFERROR(__xludf.DUMMYFUNCTION("IF(H3383="""","""",
SUM(
ARRAYFORMULA(
IF(
REGEXMATCH(
"" ""&amp;H3383&amp;"" "",
"" ""&amp;Sentiment_Words!A$2:A3730&amp;"" ""
),
1,
0
)
)
)
)"),0.0)</f>
        <v>0</v>
      </c>
      <c r="K3383" s="4">
        <f>IFERROR(__xludf.DUMMYFUNCTION("IF(H3383="""","""",
SUM(
ARRAYFORMULA(
IF(
REGEXMATCH(
"" ""&amp;H3383&amp;"" "",
"" ""&amp;Sentiment_Words!B$2:B3730&amp;"" ""
),
1,
0
)
)
)
)"),0.0)</f>
        <v>0</v>
      </c>
      <c r="L3383" s="7" t="str">
        <f t="shared" si="3"/>
        <v>Other</v>
      </c>
      <c r="M3383" s="7" t="str">
        <f t="shared" si="4"/>
        <v>Neutral</v>
      </c>
      <c r="N3383" s="7" t="str">
        <f>IFERROR(__xludf.DUMMYFUNCTION("LOWER(
TRIM(
REGEXREPLACE(B3383,""[^a-zA-Z\s]"","""")
)
)
"),"jane wargo")</f>
        <v>jane wargo</v>
      </c>
      <c r="O3383" s="7">
        <f t="shared" si="5"/>
        <v>1</v>
      </c>
      <c r="P3383" s="8" t="str">
        <f t="shared" si="6"/>
        <v>No</v>
      </c>
    </row>
    <row r="3384">
      <c r="A3384" s="4" t="s">
        <v>16</v>
      </c>
      <c r="B3384" s="4" t="s">
        <v>9382</v>
      </c>
      <c r="C3384" s="9">
        <v>44536.0</v>
      </c>
      <c r="D3384" s="10">
        <v>44536.0</v>
      </c>
      <c r="E3384" s="4" t="s">
        <v>9383</v>
      </c>
      <c r="F3384" s="4" t="s">
        <v>331</v>
      </c>
      <c r="G3384" s="6" t="str">
        <f>IFERROR(__xludf.DUMMYFUNCTION("REGEXREPLACE(LOWER(F3384),""[^a-z\s]"","""")"),"none")</f>
        <v>none</v>
      </c>
      <c r="H3384" s="4" t="str">
        <f t="shared" si="1"/>
        <v>none</v>
      </c>
      <c r="I3384" s="6">
        <f t="shared" si="2"/>
        <v>1</v>
      </c>
      <c r="J3384" s="6">
        <f>IFERROR(__xludf.DUMMYFUNCTION("IF(H3384="""","""",
SUM(
ARRAYFORMULA(
IF(
REGEXMATCH(
"" ""&amp;H3384&amp;"" "",
"" ""&amp;Sentiment_Words!A$2:A3730&amp;"" ""
),
1,
0
)
)
)
)"),0.0)</f>
        <v>0</v>
      </c>
      <c r="K3384" s="4">
        <f>IFERROR(__xludf.DUMMYFUNCTION("IF(H3384="""","""",
SUM(
ARRAYFORMULA(
IF(
REGEXMATCH(
"" ""&amp;H3384&amp;"" "",
"" ""&amp;Sentiment_Words!B$2:B3730&amp;"" ""
),
1,
0
)
)
)
)"),0.0)</f>
        <v>0</v>
      </c>
      <c r="L3384" s="7" t="str">
        <f t="shared" si="3"/>
        <v>Other</v>
      </c>
      <c r="M3384" s="7" t="str">
        <f t="shared" si="4"/>
        <v>Neutral</v>
      </c>
      <c r="N3384" s="7" t="str">
        <f>IFERROR(__xludf.DUMMYFUNCTION("LOWER(
TRIM(
REGEXREPLACE(B3384,""[^a-zA-Z\s]"","""")
)
)
"),"grace")</f>
        <v>grace</v>
      </c>
      <c r="O3384" s="7">
        <f t="shared" si="5"/>
        <v>2</v>
      </c>
      <c r="P3384" s="8" t="str">
        <f t="shared" si="6"/>
        <v>Yes</v>
      </c>
    </row>
    <row r="3385">
      <c r="A3385" s="4" t="s">
        <v>16</v>
      </c>
      <c r="B3385" s="4" t="s">
        <v>9384</v>
      </c>
      <c r="C3385" s="9">
        <v>44536.0</v>
      </c>
      <c r="D3385" s="10">
        <v>44536.0</v>
      </c>
      <c r="E3385" s="4" t="s">
        <v>9385</v>
      </c>
      <c r="F3385" s="4" t="s">
        <v>9386</v>
      </c>
      <c r="G3385" s="6" t="str">
        <f>IFERROR(__xludf.DUMMYFUNCTION("REGEXREPLACE(LOWER(F3385),""[^a-z\s]"","""")"),"only half my order arrived so far fedex dropped the busted box in the middle of the front yard and left i wonder if the second half will show up or if fedex will make it disappear like last order")</f>
        <v>only half my order arrived so far fedex dropped the busted box in the middle of the front yard and left i wonder if the second half will show up or if fedex will make it disappear like last order</v>
      </c>
      <c r="H3385" s="4" t="str">
        <f t="shared" si="1"/>
        <v>only half my order arrived so far fedex dropped busted box in middle of front yard left i wonder if second half will show up or if fedex will make it disappear like last order</v>
      </c>
      <c r="I3385" s="6">
        <f t="shared" si="2"/>
        <v>35</v>
      </c>
      <c r="J3385" s="6">
        <f>IFERROR(__xludf.DUMMYFUNCTION("IF(H3385="""","""",
SUM(
ARRAYFORMULA(
IF(
REGEXMATCH(
"" ""&amp;H3385&amp;"" "",
"" ""&amp;Sentiment_Words!A$2:A3730&amp;"" ""
),
1,
0
)
)
)
)"),0.0)</f>
        <v>0</v>
      </c>
      <c r="K3385" s="4">
        <f>IFERROR(__xludf.DUMMYFUNCTION("IF(H3385="""","""",
SUM(
ARRAYFORMULA(
IF(
REGEXMATCH(
"" ""&amp;H3385&amp;"" "",
"" ""&amp;Sentiment_Words!B$2:B3730&amp;"" ""
),
1,
0
)
)
)
)"),0.0)</f>
        <v>0</v>
      </c>
      <c r="L3385" s="7" t="str">
        <f t="shared" si="3"/>
        <v>Other</v>
      </c>
      <c r="M3385" s="7" t="str">
        <f t="shared" si="4"/>
        <v>Neutral</v>
      </c>
      <c r="N3385" s="7" t="str">
        <f>IFERROR(__xludf.DUMMYFUNCTION("LOWER(
TRIM(
REGEXREPLACE(B3385,""[^a-zA-Z\s]"","""")
)
)
"),"jennifer brueser")</f>
        <v>jennifer brueser</v>
      </c>
      <c r="O3385" s="7">
        <f t="shared" si="5"/>
        <v>1</v>
      </c>
      <c r="P3385" s="8" t="str">
        <f t="shared" si="6"/>
        <v>No</v>
      </c>
    </row>
    <row r="3386">
      <c r="A3386" s="4" t="s">
        <v>16</v>
      </c>
      <c r="B3386" s="4" t="s">
        <v>9387</v>
      </c>
      <c r="C3386" s="9">
        <v>44536.0</v>
      </c>
      <c r="D3386" s="10">
        <v>44536.0</v>
      </c>
      <c r="E3386" s="4" t="s">
        <v>9388</v>
      </c>
      <c r="F3386" s="4" t="s">
        <v>9389</v>
      </c>
      <c r="G3386" s="6" t="str">
        <f>IFERROR(__xludf.DUMMYFUNCTION("REGEXREPLACE(LOWER(F3386),""[^a-z\s]"","""")"),"great service as usual even over the holiday weekend order was accurate and delivered on time")</f>
        <v>great service as usual even over the holiday weekend order was accurate and delivered on time</v>
      </c>
      <c r="H3386" s="4" t="str">
        <f t="shared" si="1"/>
        <v>great service as usual even over holiday weekend order was accurate delivered on time</v>
      </c>
      <c r="I3386" s="6">
        <f t="shared" si="2"/>
        <v>14</v>
      </c>
      <c r="J3386" s="6">
        <f>IFERROR(__xludf.DUMMYFUNCTION("IF(H3386="""","""",
SUM(
ARRAYFORMULA(
IF(
REGEXMATCH(
"" ""&amp;H3386&amp;"" "",
"" ""&amp;Sentiment_Words!A$2:A3730&amp;"" ""
),
1,
0
)
)
)
)"),3.0)</f>
        <v>3</v>
      </c>
      <c r="K3386" s="4">
        <f>IFERROR(__xludf.DUMMYFUNCTION("IF(H3386="""","""",
SUM(
ARRAYFORMULA(
IF(
REGEXMATCH(
"" ""&amp;H3386&amp;"" "",
"" ""&amp;Sentiment_Words!B$2:B3730&amp;"" ""
),
1,
0
)
)
)
)"),0.0)</f>
        <v>0</v>
      </c>
      <c r="L3386" s="7" t="str">
        <f t="shared" si="3"/>
        <v>Customer Support</v>
      </c>
      <c r="M3386" s="7" t="str">
        <f t="shared" si="4"/>
        <v>Positive</v>
      </c>
      <c r="N3386" s="7" t="str">
        <f>IFERROR(__xludf.DUMMYFUNCTION("LOWER(
TRIM(
REGEXREPLACE(B3386,""[^a-zA-Z\s]"","""")
)
)
"),"matt hough")</f>
        <v>matt hough</v>
      </c>
      <c r="O3386" s="7">
        <f t="shared" si="5"/>
        <v>1</v>
      </c>
      <c r="P3386" s="8" t="str">
        <f t="shared" si="6"/>
        <v>No</v>
      </c>
    </row>
    <row r="3387">
      <c r="A3387" s="4" t="s">
        <v>16</v>
      </c>
      <c r="B3387" s="4" t="s">
        <v>9390</v>
      </c>
      <c r="C3387" s="9">
        <v>44536.0</v>
      </c>
      <c r="D3387" s="10">
        <v>44536.0</v>
      </c>
      <c r="E3387" s="4" t="s">
        <v>9391</v>
      </c>
      <c r="F3387" s="4" t="s">
        <v>9392</v>
      </c>
      <c r="G3387" s="6" t="str">
        <f>IFERROR(__xludf.DUMMYFUNCTION("REGEXREPLACE(LOWER(F3387),""[^a-z\s]"","""")"),"website easy appreciate the discount
other places were sold out of the dog food i need so thankful it was in stock and delivered in a decent timeframe")</f>
        <v>website easy appreciate the discount
other places were sold out of the dog food i need so thankful it was in stock and delivered in a decent timeframe</v>
      </c>
      <c r="H3387" s="4" t="str">
        <f t="shared" si="1"/>
        <v>website easy appreciate discount
other places were sold out of dog food i need so thankful it was in stock delivered in a decent timeframe</v>
      </c>
      <c r="I3387" s="6">
        <f t="shared" si="2"/>
        <v>24</v>
      </c>
      <c r="J3387" s="6">
        <f>IFERROR(__xludf.DUMMYFUNCTION("IF(H3387="""","""",
SUM(
ARRAYFORMULA(
IF(
REGEXMATCH(
"" ""&amp;H3387&amp;"" "",
"" ""&amp;Sentiment_Words!A$2:A3730&amp;"" ""
),
1,
0
)
)
)
)"),2.0)</f>
        <v>2</v>
      </c>
      <c r="K3387" s="4">
        <f>IFERROR(__xludf.DUMMYFUNCTION("IF(H3387="""","""",
SUM(
ARRAYFORMULA(
IF(
REGEXMATCH(
"" ""&amp;H3387&amp;"" "",
"" ""&amp;Sentiment_Words!B$2:B3730&amp;"" ""
),
1,
0
)
)
)
)"),0.0)</f>
        <v>0</v>
      </c>
      <c r="L3387" s="7" t="str">
        <f t="shared" si="3"/>
        <v>Account &amp; Website</v>
      </c>
      <c r="M3387" s="7" t="str">
        <f t="shared" si="4"/>
        <v>Positive</v>
      </c>
      <c r="N3387" s="7" t="str">
        <f>IFERROR(__xludf.DUMMYFUNCTION("LOWER(
TRIM(
REGEXREPLACE(B3387,""[^a-zA-Z\s]"","""")
)
)
"),"sarah steber")</f>
        <v>sarah steber</v>
      </c>
      <c r="O3387" s="7">
        <f t="shared" si="5"/>
        <v>1</v>
      </c>
      <c r="P3387" s="8" t="str">
        <f t="shared" si="6"/>
        <v>No</v>
      </c>
    </row>
    <row r="3388">
      <c r="A3388" s="4" t="s">
        <v>16</v>
      </c>
      <c r="B3388" s="4" t="s">
        <v>9393</v>
      </c>
      <c r="C3388" s="9">
        <v>44536.0</v>
      </c>
      <c r="D3388" s="4" t="s">
        <v>9394</v>
      </c>
      <c r="E3388" s="4" t="s">
        <v>9395</v>
      </c>
      <c r="F3388" s="4" t="s">
        <v>9396</v>
      </c>
      <c r="G3388" s="6" t="str">
        <f>IFERROR(__xludf.DUMMYFUNCTION("REGEXREPLACE(LOWER(F3388),""[^a-z\s]"","""")"),"thanks for having the food in stock now its get to him to actually eat the food")</f>
        <v>thanks for having the food in stock now its get to him to actually eat the food</v>
      </c>
      <c r="H3388" s="4" t="str">
        <f t="shared" si="1"/>
        <v>thanks having food in stock now its get him actually eat food</v>
      </c>
      <c r="I3388" s="6">
        <f t="shared" si="2"/>
        <v>12</v>
      </c>
      <c r="J3388" s="6">
        <f>IFERROR(__xludf.DUMMYFUNCTION("IF(H3388="""","""",
SUM(
ARRAYFORMULA(
IF(
REGEXMATCH(
"" ""&amp;H3388&amp;"" "",
"" ""&amp;Sentiment_Words!A$2:A3730&amp;"" ""
),
1,
0
)
)
)
)"),0.0)</f>
        <v>0</v>
      </c>
      <c r="K3388" s="4">
        <f>IFERROR(__xludf.DUMMYFUNCTION("IF(H3388="""","""",
SUM(
ARRAYFORMULA(
IF(
REGEXMATCH(
"" ""&amp;H3388&amp;"" "",
"" ""&amp;Sentiment_Words!B$2:B3730&amp;"" ""
),
1,
0
)
)
)
)"),0.0)</f>
        <v>0</v>
      </c>
      <c r="L3388" s="7" t="str">
        <f t="shared" si="3"/>
        <v>Other</v>
      </c>
      <c r="M3388" s="7" t="str">
        <f t="shared" si="4"/>
        <v>Neutral</v>
      </c>
      <c r="N3388" s="7" t="str">
        <f>IFERROR(__xludf.DUMMYFUNCTION("LOWER(
TRIM(
REGEXREPLACE(B3388,""[^a-zA-Z\s]"","""")
)
)
"),"az")</f>
        <v>az</v>
      </c>
      <c r="O3388" s="7">
        <f t="shared" si="5"/>
        <v>1</v>
      </c>
      <c r="P3388" s="8" t="str">
        <f t="shared" si="6"/>
        <v>No</v>
      </c>
    </row>
    <row r="3389">
      <c r="A3389" s="4" t="s">
        <v>16</v>
      </c>
      <c r="B3389" s="4" t="s">
        <v>9397</v>
      </c>
      <c r="C3389" s="9">
        <v>44535.0</v>
      </c>
      <c r="D3389" s="10">
        <v>44536.0</v>
      </c>
      <c r="E3389" s="4" t="s">
        <v>9398</v>
      </c>
      <c r="F3389" s="4" t="s">
        <v>9399</v>
      </c>
      <c r="G3389" s="6" t="str">
        <f>IFERROR(__xludf.DUMMYFUNCTION("REGEXREPLACE(LOWER(F3389),""[^a-z\s]"","""")"),"great experience
fast shipping and great communication with seller")</f>
        <v>great experience
fast shipping and great communication with seller</v>
      </c>
      <c r="H3389" s="4" t="str">
        <f t="shared" si="1"/>
        <v>great experience
fast shipping great communication with seller</v>
      </c>
      <c r="I3389" s="6">
        <f t="shared" si="2"/>
        <v>7</v>
      </c>
      <c r="J3389" s="6">
        <f>IFERROR(__xludf.DUMMYFUNCTION("IF(H3389="""","""",
SUM(
ARRAYFORMULA(
IF(
REGEXMATCH(
"" ""&amp;H3389&amp;"" "",
"" ""&amp;Sentiment_Words!A$2:A3730&amp;"" ""
),
1,
0
)
)
)
)"),1.0)</f>
        <v>1</v>
      </c>
      <c r="K3389" s="4">
        <f>IFERROR(__xludf.DUMMYFUNCTION("IF(H3389="""","""",
SUM(
ARRAYFORMULA(
IF(
REGEXMATCH(
"" ""&amp;H3389&amp;"" "",
"" ""&amp;Sentiment_Words!B$2:B3730&amp;"" ""
),
1,
0
)
)
)
)"),0.0)</f>
        <v>0</v>
      </c>
      <c r="L3389" s="7" t="str">
        <f t="shared" si="3"/>
        <v>Other</v>
      </c>
      <c r="M3389" s="7" t="str">
        <f t="shared" si="4"/>
        <v>Positive</v>
      </c>
      <c r="N3389" s="7" t="str">
        <f>IFERROR(__xludf.DUMMYFUNCTION("LOWER(
TRIM(
REGEXREPLACE(B3389,""[^a-zA-Z\s]"","""")
)
)
"),"francoise duffy")</f>
        <v>francoise duffy</v>
      </c>
      <c r="O3389" s="7">
        <f t="shared" si="5"/>
        <v>1</v>
      </c>
      <c r="P3389" s="8" t="str">
        <f t="shared" si="6"/>
        <v>No</v>
      </c>
    </row>
    <row r="3390">
      <c r="A3390" s="4" t="s">
        <v>16</v>
      </c>
      <c r="B3390" s="4" t="s">
        <v>9400</v>
      </c>
      <c r="C3390" s="9">
        <v>44535.0</v>
      </c>
      <c r="D3390" s="10">
        <v>44535.0</v>
      </c>
      <c r="E3390" s="4" t="s">
        <v>9401</v>
      </c>
      <c r="F3390" s="4" t="s">
        <v>9402</v>
      </c>
      <c r="G3390" s="6" t="str">
        <f>IFERROR(__xludf.DUMMYFUNCTION("REGEXREPLACE(LOWER(F3390),""[^a-z\s]"","""")"),"shipping not according to what was indicated at the time the order was placed")</f>
        <v>shipping not according to what was indicated at the time the order was placed</v>
      </c>
      <c r="H3390" s="4" t="str">
        <f t="shared" si="1"/>
        <v>shipping not according what was indicated at time order was placed</v>
      </c>
      <c r="I3390" s="6">
        <f t="shared" si="2"/>
        <v>11</v>
      </c>
      <c r="J3390" s="6">
        <f>IFERROR(__xludf.DUMMYFUNCTION("IF(H3390="""","""",
SUM(
ARRAYFORMULA(
IF(
REGEXMATCH(
"" ""&amp;H3390&amp;"" "",
"" ""&amp;Sentiment_Words!A$2:A3730&amp;"" ""
),
1,
0
)
)
)
)"),0.0)</f>
        <v>0</v>
      </c>
      <c r="K3390" s="4">
        <f>IFERROR(__xludf.DUMMYFUNCTION("IF(H3390="""","""",
SUM(
ARRAYFORMULA(
IF(
REGEXMATCH(
"" ""&amp;H3390&amp;"" "",
"" ""&amp;Sentiment_Words!B$2:B3730&amp;"" ""
),
1,
0
)
)
)
)"),0.0)</f>
        <v>0</v>
      </c>
      <c r="L3390" s="7" t="str">
        <f t="shared" si="3"/>
        <v>Other</v>
      </c>
      <c r="M3390" s="7" t="str">
        <f t="shared" si="4"/>
        <v>Neutral</v>
      </c>
      <c r="N3390" s="7" t="str">
        <f>IFERROR(__xludf.DUMMYFUNCTION("LOWER(
TRIM(
REGEXREPLACE(B3390,""[^a-zA-Z\s]"","""")
)
)
"),"timothy moyer")</f>
        <v>timothy moyer</v>
      </c>
      <c r="O3390" s="7">
        <f t="shared" si="5"/>
        <v>1</v>
      </c>
      <c r="P3390" s="8" t="str">
        <f t="shared" si="6"/>
        <v>No</v>
      </c>
    </row>
    <row r="3391">
      <c r="A3391" s="4" t="s">
        <v>16</v>
      </c>
      <c r="B3391" s="4" t="s">
        <v>9403</v>
      </c>
      <c r="C3391" s="9">
        <v>44535.0</v>
      </c>
      <c r="D3391" s="10">
        <v>44535.0</v>
      </c>
      <c r="E3391" s="4" t="s">
        <v>9404</v>
      </c>
      <c r="F3391" s="4" t="s">
        <v>9405</v>
      </c>
      <c r="G3391" s="6" t="str">
        <f>IFERROR(__xludf.DUMMYFUNCTION("REGEXREPLACE(LOWER(F3391),""[^a-z\s]"","""")"),"excellent transaction  will shop again")</f>
        <v>excellent transaction  will shop again</v>
      </c>
      <c r="H3391" s="4" t="str">
        <f t="shared" si="1"/>
        <v>excellent transaction will shop again</v>
      </c>
      <c r="I3391" s="6">
        <f t="shared" si="2"/>
        <v>5</v>
      </c>
      <c r="J3391" s="6">
        <f>IFERROR(__xludf.DUMMYFUNCTION("IF(H3391="""","""",
SUM(
ARRAYFORMULA(
IF(
REGEXMATCH(
"" ""&amp;H3391&amp;"" "",
"" ""&amp;Sentiment_Words!A$2:A3730&amp;"" ""
),
1,
0
)
)
)
)"),0.0)</f>
        <v>0</v>
      </c>
      <c r="K3391" s="4">
        <f>IFERROR(__xludf.DUMMYFUNCTION("IF(H3391="""","""",
SUM(
ARRAYFORMULA(
IF(
REGEXMATCH(
"" ""&amp;H3391&amp;"" "",
"" ""&amp;Sentiment_Words!B$2:B3730&amp;"" ""
),
1,
0
)
)
)
)"),0.0)</f>
        <v>0</v>
      </c>
      <c r="L3391" s="7" t="str">
        <f t="shared" si="3"/>
        <v>Other</v>
      </c>
      <c r="M3391" s="7" t="str">
        <f t="shared" si="4"/>
        <v>Neutral</v>
      </c>
      <c r="N3391" s="7" t="str">
        <f>IFERROR(__xludf.DUMMYFUNCTION("LOWER(
TRIM(
REGEXREPLACE(B3391,""[^a-zA-Z\s]"","""")
)
)
"),"luz")</f>
        <v>luz</v>
      </c>
      <c r="O3391" s="7">
        <f t="shared" si="5"/>
        <v>1</v>
      </c>
      <c r="P3391" s="8" t="str">
        <f t="shared" si="6"/>
        <v>No</v>
      </c>
    </row>
    <row r="3392">
      <c r="A3392" s="4" t="s">
        <v>16</v>
      </c>
      <c r="B3392" s="4" t="s">
        <v>9406</v>
      </c>
      <c r="C3392" s="9">
        <v>44535.0</v>
      </c>
      <c r="D3392" s="10">
        <v>44535.0</v>
      </c>
      <c r="E3392" s="4" t="s">
        <v>9407</v>
      </c>
      <c r="F3392" s="4" t="s">
        <v>9408</v>
      </c>
      <c r="G3392" s="6" t="str">
        <f>IFERROR(__xludf.DUMMYFUNCTION("REGEXREPLACE(LOWER(F3392),""[^a-z\s]"","""")"),"petsmart stopped carrying the avoderm brand then petsmart followed
im very frustrated with them since they still advertise the products yet not in stock or not available
i contacted avoderm and they recommend petflow
my initial purchase took longer that e"&amp;"xpected however customer service was very helpful and reassuring
my nd purchase arrived faster than expected rd times a charm")</f>
        <v>petsmart stopped carrying the avoderm brand then petsmart followed
im very frustrated with them since they still advertise the products yet not in stock or not available
i contacted avoderm and they recommend petflow
my initial purchase took longer that expected however customer service was very helpful and reassuring
my nd purchase arrived faster than expected rd times a charm</v>
      </c>
      <c r="H3392" s="4" t="str">
        <f t="shared" si="1"/>
        <v>petsmart stopped carrying avoderm brand then petsmart followed
im very frustrated with them since they still advertise products yet not in stock or not available
i contacted avoderm they recommend petflow
my initial purchase took longer that expected however customer service was very helpful reassuring
my nd purchase arrived faster than expected rd times a charm</v>
      </c>
      <c r="I3392" s="6">
        <f t="shared" si="2"/>
        <v>52</v>
      </c>
      <c r="J3392" s="6">
        <f>IFERROR(__xludf.DUMMYFUNCTION("IF(H3392="""","""",
SUM(
ARRAYFORMULA(
IF(
REGEXMATCH(
"" ""&amp;H3392&amp;"" "",
"" ""&amp;Sentiment_Words!A$2:A3730&amp;"" ""
),
1,
0
)
)
)
)"),1.0)</f>
        <v>1</v>
      </c>
      <c r="K3392" s="4">
        <f>IFERROR(__xludf.DUMMYFUNCTION("IF(H3392="""","""",
SUM(
ARRAYFORMULA(
IF(
REGEXMATCH(
"" ""&amp;H3392&amp;"" "",
"" ""&amp;Sentiment_Words!B$2:B3730&amp;"" ""
),
1,
0
)
)
)
)"),1.0)</f>
        <v>1</v>
      </c>
      <c r="L3392" s="7" t="str">
        <f t="shared" si="3"/>
        <v>Customer Support</v>
      </c>
      <c r="M3392" s="7" t="str">
        <f t="shared" si="4"/>
        <v>Neutral</v>
      </c>
      <c r="N3392" s="7" t="str">
        <f>IFERROR(__xludf.DUMMYFUNCTION("LOWER(
TRIM(
REGEXREPLACE(B3392,""[^a-zA-Z\s]"","""")
)
)
"),"ashly whitworth")</f>
        <v>ashly whitworth</v>
      </c>
      <c r="O3392" s="7">
        <f t="shared" si="5"/>
        <v>1</v>
      </c>
      <c r="P3392" s="8" t="str">
        <f t="shared" si="6"/>
        <v>No</v>
      </c>
    </row>
    <row r="3393">
      <c r="A3393" s="4" t="s">
        <v>16</v>
      </c>
      <c r="B3393" s="4" t="s">
        <v>9409</v>
      </c>
      <c r="C3393" s="9">
        <v>44535.0</v>
      </c>
      <c r="D3393" s="10">
        <v>44535.0</v>
      </c>
      <c r="E3393" s="4" t="s">
        <v>9410</v>
      </c>
      <c r="F3393" s="4" t="s">
        <v>9411</v>
      </c>
      <c r="G3393" s="6" t="str">
        <f>IFERROR(__xludf.DUMMYFUNCTION("REGEXREPLACE(LOWER(F3393),""[^a-z\s]"","""")"),"my hund loves the chow we ordered from petflow")</f>
        <v>my hund loves the chow we ordered from petflow</v>
      </c>
      <c r="H3393" s="4" t="str">
        <f t="shared" si="1"/>
        <v>my hund loves chow we ordered from petflow</v>
      </c>
      <c r="I3393" s="6">
        <f t="shared" si="2"/>
        <v>8</v>
      </c>
      <c r="J3393" s="6">
        <f>IFERROR(__xludf.DUMMYFUNCTION("IF(H3393="""","""",
SUM(
ARRAYFORMULA(
IF(
REGEXMATCH(
"" ""&amp;H3393&amp;"" "",
"" ""&amp;Sentiment_Words!A$2:A3730&amp;"" ""
),
1,
0
)
)
)
)"),0.0)</f>
        <v>0</v>
      </c>
      <c r="K3393" s="4">
        <f>IFERROR(__xludf.DUMMYFUNCTION("IF(H3393="""","""",
SUM(
ARRAYFORMULA(
IF(
REGEXMATCH(
"" ""&amp;H3393&amp;"" "",
"" ""&amp;Sentiment_Words!B$2:B3730&amp;"" ""
),
1,
0
)
)
)
)"),0.0)</f>
        <v>0</v>
      </c>
      <c r="L3393" s="7" t="str">
        <f t="shared" si="3"/>
        <v>Other</v>
      </c>
      <c r="M3393" s="7" t="str">
        <f t="shared" si="4"/>
        <v>Neutral</v>
      </c>
      <c r="N3393" s="7" t="str">
        <f>IFERROR(__xludf.DUMMYFUNCTION("LOWER(
TRIM(
REGEXREPLACE(B3393,""[^a-zA-Z\s]"","""")
)
)
"),"maria lemmon")</f>
        <v>maria lemmon</v>
      </c>
      <c r="O3393" s="7">
        <f t="shared" si="5"/>
        <v>1</v>
      </c>
      <c r="P3393" s="8" t="str">
        <f t="shared" si="6"/>
        <v>No</v>
      </c>
    </row>
    <row r="3394">
      <c r="A3394" s="4" t="s">
        <v>16</v>
      </c>
      <c r="B3394" s="4" t="s">
        <v>9412</v>
      </c>
      <c r="C3394" s="9">
        <v>44534.0</v>
      </c>
      <c r="D3394" s="10">
        <v>44534.0</v>
      </c>
      <c r="E3394" s="4" t="s">
        <v>9413</v>
      </c>
      <c r="F3394" s="4" t="s">
        <v>9414</v>
      </c>
      <c r="G3394" s="6" t="str">
        <f>IFERROR(__xludf.DUMMYFUNCTION("REGEXREPLACE(LOWER(F3394),""[^a-z\s]"","""")"),"i always get what i need in a quick turnaround for my  year old hound")</f>
        <v>i always get what i need in a quick turnaround for my  year old hound</v>
      </c>
      <c r="H3394" s="4" t="str">
        <f t="shared" si="1"/>
        <v>i always get what i need in a quick turnaround my year old hound</v>
      </c>
      <c r="I3394" s="6">
        <f t="shared" si="2"/>
        <v>14</v>
      </c>
      <c r="J3394" s="6">
        <f>IFERROR(__xludf.DUMMYFUNCTION("IF(H3394="""","""",
SUM(
ARRAYFORMULA(
IF(
REGEXMATCH(
"" ""&amp;H3394&amp;"" "",
"" ""&amp;Sentiment_Words!A$2:A3730&amp;"" ""
),
1,
0
)
)
)
)"),0.0)</f>
        <v>0</v>
      </c>
      <c r="K3394" s="4">
        <f>IFERROR(__xludf.DUMMYFUNCTION("IF(H3394="""","""",
SUM(
ARRAYFORMULA(
IF(
REGEXMATCH(
"" ""&amp;H3394&amp;"" "",
"" ""&amp;Sentiment_Words!B$2:B3730&amp;"" ""
),
1,
0
)
)
)
)"),0.0)</f>
        <v>0</v>
      </c>
      <c r="L3394" s="7" t="str">
        <f t="shared" si="3"/>
        <v>Other</v>
      </c>
      <c r="M3394" s="7" t="str">
        <f t="shared" si="4"/>
        <v>Neutral</v>
      </c>
      <c r="N3394" s="7" t="str">
        <f>IFERROR(__xludf.DUMMYFUNCTION("LOWER(
TRIM(
REGEXREPLACE(B3394,""[^a-zA-Z\s]"","""")
)
)
"),"james obert")</f>
        <v>james obert</v>
      </c>
      <c r="O3394" s="7">
        <f t="shared" si="5"/>
        <v>1</v>
      </c>
      <c r="P3394" s="8" t="str">
        <f t="shared" si="6"/>
        <v>No</v>
      </c>
    </row>
    <row r="3395">
      <c r="A3395" s="4" t="s">
        <v>16</v>
      </c>
      <c r="B3395" s="4" t="s">
        <v>1247</v>
      </c>
      <c r="C3395" s="9">
        <v>44534.0</v>
      </c>
      <c r="D3395" s="10">
        <v>44534.0</v>
      </c>
      <c r="E3395" s="4" t="s">
        <v>9415</v>
      </c>
      <c r="F3395" s="4" t="s">
        <v>9416</v>
      </c>
      <c r="G3395" s="6" t="str">
        <f>IFERROR(__xludf.DUMMYFUNCTION("REGEXREPLACE(LOWER(F3395),""[^a-z\s]"","""")"),"great product great price")</f>
        <v>great product great price</v>
      </c>
      <c r="H3395" s="4" t="str">
        <f t="shared" si="1"/>
        <v>great product great price</v>
      </c>
      <c r="I3395" s="6">
        <f t="shared" si="2"/>
        <v>4</v>
      </c>
      <c r="J3395" s="6">
        <f>IFERROR(__xludf.DUMMYFUNCTION("IF(H3395="""","""",
SUM(
ARRAYFORMULA(
IF(
REGEXMATCH(
"" ""&amp;H3395&amp;"" "",
"" ""&amp;Sentiment_Words!A$2:A3730&amp;"" ""
),
1,
0
)
)
)
)"),1.0)</f>
        <v>1</v>
      </c>
      <c r="K3395" s="4">
        <f>IFERROR(__xludf.DUMMYFUNCTION("IF(H3395="""","""",
SUM(
ARRAYFORMULA(
IF(
REGEXMATCH(
"" ""&amp;H3395&amp;"" "",
"" ""&amp;Sentiment_Words!B$2:B3730&amp;"" ""
),
1,
0
)
)
)
)"),0.0)</f>
        <v>0</v>
      </c>
      <c r="L3395" s="7" t="str">
        <f t="shared" si="3"/>
        <v>Other</v>
      </c>
      <c r="M3395" s="7" t="str">
        <f t="shared" si="4"/>
        <v>Positive</v>
      </c>
      <c r="N3395" s="7" t="str">
        <f>IFERROR(__xludf.DUMMYFUNCTION("LOWER(
TRIM(
REGEXREPLACE(B3395,""[^a-zA-Z\s]"","""")
)
)
"),"tim")</f>
        <v>tim</v>
      </c>
      <c r="O3395" s="7">
        <f t="shared" si="5"/>
        <v>2</v>
      </c>
      <c r="P3395" s="8" t="str">
        <f t="shared" si="6"/>
        <v>Yes</v>
      </c>
    </row>
    <row r="3396">
      <c r="A3396" s="4" t="s">
        <v>16</v>
      </c>
      <c r="B3396" s="4" t="s">
        <v>2456</v>
      </c>
      <c r="C3396" s="9">
        <v>44534.0</v>
      </c>
      <c r="D3396" s="10">
        <v>44534.0</v>
      </c>
      <c r="E3396" s="4" t="s">
        <v>9417</v>
      </c>
      <c r="F3396" s="4" t="s">
        <v>9418</v>
      </c>
      <c r="G3396" s="6" t="str">
        <f>IFERROR(__xludf.DUMMYFUNCTION("REGEXREPLACE(LOWER(F3396),""[^a-z\s]"","""")"),"the folks at petflow were kind enough to give me a  credit for fedexs deplorable delivery service they held my shipment hostage in their distribution center for   days
my shipment was correct  sent out as quickly as they received the approval from my vet")</f>
        <v>the folks at petflow were kind enough to give me a  credit for fedexs deplorable delivery service they held my shipment hostage in their distribution center for   days
my shipment was correct  sent out as quickly as they received the approval from my vet</v>
      </c>
      <c r="H3396" s="4" t="str">
        <f t="shared" si="1"/>
        <v>folks at petflow were kind enough give me a credit fedexs deplorable delivery service they held my shipment hostage in their distribution center days
my shipment was correct sent out as quickly as they received approval from my vet</v>
      </c>
      <c r="I3396" s="6">
        <f t="shared" si="2"/>
        <v>38</v>
      </c>
      <c r="J3396" s="6">
        <f>IFERROR(__xludf.DUMMYFUNCTION("IF(H3396="""","""",
SUM(
ARRAYFORMULA(
IF(
REGEXMATCH(
"" ""&amp;H3396&amp;"" "",
"" ""&amp;Sentiment_Words!A$2:A3730&amp;"" ""
),
1,
0
)
)
)
)"),0.0)</f>
        <v>0</v>
      </c>
      <c r="K3396" s="4">
        <f>IFERROR(__xludf.DUMMYFUNCTION("IF(H3396="""","""",
SUM(
ARRAYFORMULA(
IF(
REGEXMATCH(
"" ""&amp;H3396&amp;"" "",
"" ""&amp;Sentiment_Words!B$2:B3730&amp;"" ""
),
1,
0
)
)
)
)"),0.0)</f>
        <v>0</v>
      </c>
      <c r="L3396" s="7" t="str">
        <f t="shared" si="3"/>
        <v>Customer Support</v>
      </c>
      <c r="M3396" s="7" t="str">
        <f t="shared" si="4"/>
        <v>Neutral</v>
      </c>
      <c r="N3396" s="7" t="str">
        <f>IFERROR(__xludf.DUMMYFUNCTION("LOWER(
TRIM(
REGEXREPLACE(B3396,""[^a-zA-Z\s]"","""")
)
)
"),"angela")</f>
        <v>angela</v>
      </c>
      <c r="O3396" s="7">
        <f t="shared" si="5"/>
        <v>3</v>
      </c>
      <c r="P3396" s="8" t="str">
        <f t="shared" si="6"/>
        <v>Yes</v>
      </c>
    </row>
    <row r="3397">
      <c r="A3397" s="4" t="s">
        <v>16</v>
      </c>
      <c r="B3397" s="4" t="s">
        <v>56</v>
      </c>
      <c r="C3397" s="9">
        <v>44534.0</v>
      </c>
      <c r="D3397" s="10">
        <v>44534.0</v>
      </c>
      <c r="E3397" s="4" t="s">
        <v>3859</v>
      </c>
      <c r="F3397" s="4" t="s">
        <v>9419</v>
      </c>
      <c r="G3397" s="6" t="str">
        <f>IFERROR(__xludf.DUMMYFUNCTION("REGEXREPLACE(LOWER(F3397),""[^a-z\s]"","""")"),"great and prompt service and delivery the bag charge was a bit of a surprise though might be wise to hide that under one of the other headings")</f>
        <v>great and prompt service and delivery the bag charge was a bit of a surprise though might be wise to hide that under one of the other headings</v>
      </c>
      <c r="H3397" s="4" t="str">
        <f t="shared" si="1"/>
        <v>great prompt service delivery bag charge was a bit of a surprise though might be wise hide that under one of other headings</v>
      </c>
      <c r="I3397" s="6">
        <f t="shared" si="2"/>
        <v>23</v>
      </c>
      <c r="J3397" s="6">
        <f>IFERROR(__xludf.DUMMYFUNCTION("IF(H3397="""","""",
SUM(
ARRAYFORMULA(
IF(
REGEXMATCH(
"" ""&amp;H3397&amp;"" "",
"" ""&amp;Sentiment_Words!A$2:A3730&amp;"" ""
),
1,
0
)
)
)
)"),2.0)</f>
        <v>2</v>
      </c>
      <c r="K3397" s="4">
        <f>IFERROR(__xludf.DUMMYFUNCTION("IF(H3397="""","""",
SUM(
ARRAYFORMULA(
IF(
REGEXMATCH(
"" ""&amp;H3397&amp;"" "",
"" ""&amp;Sentiment_Words!B$2:B3730&amp;"" ""
),
1,
0
)
)
)
)"),0.0)</f>
        <v>0</v>
      </c>
      <c r="L3397" s="7" t="str">
        <f t="shared" si="3"/>
        <v>Customer Support</v>
      </c>
      <c r="M3397" s="7" t="str">
        <f t="shared" si="4"/>
        <v>Positive</v>
      </c>
      <c r="N3397" s="7" t="str">
        <f>IFERROR(__xludf.DUMMYFUNCTION("LOWER(
TRIM(
REGEXREPLACE(B3397,""[^a-zA-Z\s]"","""")
)
)
"),"customer")</f>
        <v>customer</v>
      </c>
      <c r="O3397" s="7">
        <f t="shared" si="5"/>
        <v>54</v>
      </c>
      <c r="P3397" s="8" t="str">
        <f t="shared" si="6"/>
        <v>Yes</v>
      </c>
    </row>
    <row r="3398">
      <c r="A3398" s="4" t="s">
        <v>16</v>
      </c>
      <c r="B3398" s="4" t="s">
        <v>9420</v>
      </c>
      <c r="C3398" s="9">
        <v>44534.0</v>
      </c>
      <c r="D3398" s="10">
        <v>44534.0</v>
      </c>
      <c r="E3398" s="4" t="s">
        <v>9421</v>
      </c>
      <c r="F3398" s="4" t="s">
        <v>9422</v>
      </c>
      <c r="G3398" s="6" t="str">
        <f>IFERROR(__xludf.DUMMYFUNCTION("REGEXREPLACE(LOWER(F3398),""[^a-z\s]"","""")"),"i placed orders during weekends the return email said my order would be placed the following monday and email would be sent of when to expect delivery i have had to call customer service a couple times and order was finally put thru my dogs do better when"&amp;" their food isnt changed this has happened several times when we started using your service it would only take a day with next day delivery")</f>
        <v>i placed orders during weekends the return email said my order would be placed the following monday and email would be sent of when to expect delivery i have had to call customer service a couple times and order was finally put thru my dogs do better when their food isnt changed this has happened several times when we started using your service it would only take a day with next day delivery</v>
      </c>
      <c r="H3398" s="4" t="str">
        <f t="shared" si="1"/>
        <v>i placed orders during weekends return email said my order would be placed following monday email would be sent of when expect delivery i have had call customer service a couple times order was finally put thru my dogs do better when their food isnt changed this has happened several times when we started using your service it would only take a day with next day delivery</v>
      </c>
      <c r="I3398" s="6">
        <f t="shared" si="2"/>
        <v>67</v>
      </c>
      <c r="J3398" s="6">
        <f>IFERROR(__xludf.DUMMYFUNCTION("IF(H3398="""","""",
SUM(
ARRAYFORMULA(
IF(
REGEXMATCH(
"" ""&amp;H3398&amp;"" "",
"" ""&amp;Sentiment_Words!A$2:A3730&amp;"" ""
),
1,
0
)
)
)
)"),0.0)</f>
        <v>0</v>
      </c>
      <c r="K3398" s="4">
        <f>IFERROR(__xludf.DUMMYFUNCTION("IF(H3398="""","""",
SUM(
ARRAYFORMULA(
IF(
REGEXMATCH(
"" ""&amp;H3398&amp;"" "",
"" ""&amp;Sentiment_Words!B$2:B3730&amp;"" ""
),
1,
0
)
)
)
)"),1.0)</f>
        <v>1</v>
      </c>
      <c r="L3398" s="7" t="str">
        <f t="shared" si="3"/>
        <v>Customer Support</v>
      </c>
      <c r="M3398" s="7" t="str">
        <f t="shared" si="4"/>
        <v>Negative</v>
      </c>
      <c r="N3398" s="7" t="str">
        <f>IFERROR(__xludf.DUMMYFUNCTION("LOWER(
TRIM(
REGEXREPLACE(B3398,""[^a-zA-Z\s]"","""")
)
)
"),"chris mcgatha")</f>
        <v>chris mcgatha</v>
      </c>
      <c r="O3398" s="7">
        <f t="shared" si="5"/>
        <v>1</v>
      </c>
      <c r="P3398" s="8" t="str">
        <f t="shared" si="6"/>
        <v>No</v>
      </c>
    </row>
    <row r="3399">
      <c r="A3399" s="4" t="s">
        <v>16</v>
      </c>
      <c r="B3399" s="4" t="s">
        <v>9423</v>
      </c>
      <c r="C3399" s="9">
        <v>44534.0</v>
      </c>
      <c r="D3399" s="10">
        <v>44534.0</v>
      </c>
      <c r="E3399" s="4" t="s">
        <v>9256</v>
      </c>
      <c r="F3399" s="4" t="s">
        <v>9424</v>
      </c>
      <c r="G3399" s="6" t="str">
        <f>IFERROR(__xludf.DUMMYFUNCTION("REGEXREPLACE(LOWER(F3399),""[^a-z\s]"","""")"),"i thought that the price was high compared to the vets office other than that the experience was good")</f>
        <v>i thought that the price was high compared to the vets office other than that the experience was good</v>
      </c>
      <c r="H3399" s="4" t="str">
        <f t="shared" si="1"/>
        <v>i thought that price was high compared vets office other than that experience was good</v>
      </c>
      <c r="I3399" s="6">
        <f t="shared" si="2"/>
        <v>15</v>
      </c>
      <c r="J3399" s="6">
        <f>IFERROR(__xludf.DUMMYFUNCTION("IF(H3399="""","""",
SUM(
ARRAYFORMULA(
IF(
REGEXMATCH(
"" ""&amp;H3399&amp;"" "",
"" ""&amp;Sentiment_Words!A$2:A3730&amp;"" ""
),
1,
0
)
)
)
)"),1.0)</f>
        <v>1</v>
      </c>
      <c r="K3399" s="4">
        <f>IFERROR(__xludf.DUMMYFUNCTION("IF(H3399="""","""",
SUM(
ARRAYFORMULA(
IF(
REGEXMATCH(
"" ""&amp;H3399&amp;"" "",
"" ""&amp;Sentiment_Words!B$2:B3730&amp;"" ""
),
1,
0
)
)
)
)"),0.0)</f>
        <v>0</v>
      </c>
      <c r="L3399" s="7" t="str">
        <f t="shared" si="3"/>
        <v>Other</v>
      </c>
      <c r="M3399" s="7" t="str">
        <f t="shared" si="4"/>
        <v>Positive</v>
      </c>
      <c r="N3399" s="7" t="str">
        <f>IFERROR(__xludf.DUMMYFUNCTION("LOWER(
TRIM(
REGEXREPLACE(B3399,""[^a-zA-Z\s]"","""")
)
)
"),"jonathan stampley")</f>
        <v>jonathan stampley</v>
      </c>
      <c r="O3399" s="7">
        <f t="shared" si="5"/>
        <v>1</v>
      </c>
      <c r="P3399" s="8" t="str">
        <f t="shared" si="6"/>
        <v>No</v>
      </c>
    </row>
    <row r="3400">
      <c r="A3400" s="4" t="s">
        <v>16</v>
      </c>
      <c r="B3400" s="4" t="s">
        <v>9425</v>
      </c>
      <c r="C3400" s="9">
        <v>44534.0</v>
      </c>
      <c r="D3400" s="10">
        <v>44534.0</v>
      </c>
      <c r="E3400" s="4" t="s">
        <v>9426</v>
      </c>
      <c r="F3400" s="4" t="s">
        <v>9427</v>
      </c>
      <c r="G3400" s="6" t="str">
        <f>IFERROR(__xludf.DUMMYFUNCTION("REGEXREPLACE(LOWER(F3400),""[^a-z\s]"","""")"),"i had a very frustrating experience with petflow my original order was scheduled for nextday delivery however it took close to a week from getting the cat food i ordered petflow misled me on my delivery date this is the only food my cat can digest  so it "&amp;"became an emergency situation i can do without such excitement")</f>
        <v>i had a very frustrating experience with petflow my original order was scheduled for nextday delivery however it took close to a week from getting the cat food i ordered petflow misled me on my delivery date this is the only food my cat can digest  so it became an emergency situation i can do without such excitement</v>
      </c>
      <c r="H3400" s="4" t="str">
        <f t="shared" si="1"/>
        <v>i had a very frustrating experience with petflow my original order was scheduled nextday delivery however it took close a week from getting cat food i ordered petflow misled me on my delivery date this only food my cat can digest so it became an emergency situation i can do without such excitement</v>
      </c>
      <c r="I3400" s="6">
        <f t="shared" si="2"/>
        <v>53</v>
      </c>
      <c r="J3400" s="6">
        <f>IFERROR(__xludf.DUMMYFUNCTION("IF(H3400="""","""",
SUM(
ARRAYFORMULA(
IF(
REGEXMATCH(
"" ""&amp;H3400&amp;"" "",
"" ""&amp;Sentiment_Words!A$2:A3730&amp;"" ""
),
1,
0
)
)
)
)"),0.0)</f>
        <v>0</v>
      </c>
      <c r="K3400" s="4">
        <f>IFERROR(__xludf.DUMMYFUNCTION("IF(H3400="""","""",
SUM(
ARRAYFORMULA(
IF(
REGEXMATCH(
"" ""&amp;H3400&amp;"" "",
"" ""&amp;Sentiment_Words!B$2:B3730&amp;"" ""
),
1,
0
)
)
)
)"),1.0)</f>
        <v>1</v>
      </c>
      <c r="L3400" s="7" t="str">
        <f t="shared" si="3"/>
        <v>Other</v>
      </c>
      <c r="M3400" s="7" t="str">
        <f t="shared" si="4"/>
        <v>Negative</v>
      </c>
      <c r="N3400" s="7" t="str">
        <f>IFERROR(__xludf.DUMMYFUNCTION("LOWER(
TRIM(
REGEXREPLACE(B3400,""[^a-zA-Z\s]"","""")
)
)
"),"ray cunningham")</f>
        <v>ray cunningham</v>
      </c>
      <c r="O3400" s="7">
        <f t="shared" si="5"/>
        <v>1</v>
      </c>
      <c r="P3400" s="8" t="str">
        <f t="shared" si="6"/>
        <v>No</v>
      </c>
    </row>
    <row r="3401">
      <c r="A3401" s="4" t="s">
        <v>16</v>
      </c>
      <c r="B3401" s="4" t="s">
        <v>9428</v>
      </c>
      <c r="C3401" s="9">
        <v>44533.0</v>
      </c>
      <c r="D3401" s="10">
        <v>44534.0</v>
      </c>
      <c r="E3401" s="4" t="s">
        <v>9429</v>
      </c>
      <c r="F3401" s="4" t="s">
        <v>9430</v>
      </c>
      <c r="G3401" s="6" t="str">
        <f>IFERROR(__xludf.DUMMYFUNCTION("REGEXREPLACE(LOWER(F3401),""[^a-z\s]"","""")"),"very happy with my purchase experience excellent help thank you")</f>
        <v>very happy with my purchase experience excellent help thank you</v>
      </c>
      <c r="H3401" s="4" t="str">
        <f t="shared" si="1"/>
        <v>very happy with my purchase experience excellent help thank you</v>
      </c>
      <c r="I3401" s="6">
        <f t="shared" si="2"/>
        <v>10</v>
      </c>
      <c r="J3401" s="6">
        <f>IFERROR(__xludf.DUMMYFUNCTION("IF(H3401="""","""",
SUM(
ARRAYFORMULA(
IF(
REGEXMATCH(
"" ""&amp;H3401&amp;"" "",
"" ""&amp;Sentiment_Words!A$2:A3730&amp;"" ""
),
1,
0
)
)
)
)"),1.0)</f>
        <v>1</v>
      </c>
      <c r="K3401" s="4">
        <f>IFERROR(__xludf.DUMMYFUNCTION("IF(H3401="""","""",
SUM(
ARRAYFORMULA(
IF(
REGEXMATCH(
"" ""&amp;H3401&amp;"" "",
"" ""&amp;Sentiment_Words!B$2:B3730&amp;"" ""
),
1,
0
)
)
)
)"),0.0)</f>
        <v>0</v>
      </c>
      <c r="L3401" s="7" t="str">
        <f t="shared" si="3"/>
        <v>Other</v>
      </c>
      <c r="M3401" s="7" t="str">
        <f t="shared" si="4"/>
        <v>Positive</v>
      </c>
      <c r="N3401" s="7" t="str">
        <f>IFERROR(__xludf.DUMMYFUNCTION("LOWER(
TRIM(
REGEXREPLACE(B3401,""[^a-zA-Z\s]"","""")
)
)
"),"patricia sheppard")</f>
        <v>patricia sheppard</v>
      </c>
      <c r="O3401" s="7">
        <f t="shared" si="5"/>
        <v>1</v>
      </c>
      <c r="P3401" s="8" t="str">
        <f t="shared" si="6"/>
        <v>No</v>
      </c>
    </row>
    <row r="3402">
      <c r="A3402" s="4" t="s">
        <v>16</v>
      </c>
      <c r="B3402" s="4" t="s">
        <v>9431</v>
      </c>
      <c r="C3402" s="9">
        <v>44533.0</v>
      </c>
      <c r="D3402" s="10">
        <v>44533.0</v>
      </c>
      <c r="E3402" s="4" t="s">
        <v>9432</v>
      </c>
      <c r="F3402" s="4" t="s">
        <v>331</v>
      </c>
      <c r="G3402" s="6" t="str">
        <f>IFERROR(__xludf.DUMMYFUNCTION("REGEXREPLACE(LOWER(F3402),""[^a-z\s]"","""")"),"none")</f>
        <v>none</v>
      </c>
      <c r="H3402" s="4" t="str">
        <f t="shared" si="1"/>
        <v>none</v>
      </c>
      <c r="I3402" s="6">
        <f t="shared" si="2"/>
        <v>1</v>
      </c>
      <c r="J3402" s="6">
        <f>IFERROR(__xludf.DUMMYFUNCTION("IF(H3402="""","""",
SUM(
ARRAYFORMULA(
IF(
REGEXMATCH(
"" ""&amp;H3402&amp;"" "",
"" ""&amp;Sentiment_Words!A$2:A3730&amp;"" ""
),
1,
0
)
)
)
)"),0.0)</f>
        <v>0</v>
      </c>
      <c r="K3402" s="4">
        <f>IFERROR(__xludf.DUMMYFUNCTION("IF(H3402="""","""",
SUM(
ARRAYFORMULA(
IF(
REGEXMATCH(
"" ""&amp;H3402&amp;"" "",
"" ""&amp;Sentiment_Words!B$2:B3730&amp;"" ""
),
1,
0
)
)
)
)"),0.0)</f>
        <v>0</v>
      </c>
      <c r="L3402" s="7" t="str">
        <f t="shared" si="3"/>
        <v>Other</v>
      </c>
      <c r="M3402" s="7" t="str">
        <f t="shared" si="4"/>
        <v>Neutral</v>
      </c>
      <c r="N3402" s="7" t="str">
        <f>IFERROR(__xludf.DUMMYFUNCTION("LOWER(
TRIM(
REGEXREPLACE(B3402,""[^a-zA-Z\s]"","""")
)
)
"),"kristine anderson")</f>
        <v>kristine anderson</v>
      </c>
      <c r="O3402" s="7">
        <f t="shared" si="5"/>
        <v>1</v>
      </c>
      <c r="P3402" s="8" t="str">
        <f t="shared" si="6"/>
        <v>No</v>
      </c>
    </row>
    <row r="3403">
      <c r="A3403" s="4" t="s">
        <v>16</v>
      </c>
      <c r="B3403" s="4" t="s">
        <v>9433</v>
      </c>
      <c r="C3403" s="9">
        <v>44533.0</v>
      </c>
      <c r="D3403" s="10">
        <v>44533.0</v>
      </c>
      <c r="E3403" s="4" t="s">
        <v>4677</v>
      </c>
      <c r="F3403" s="4" t="s">
        <v>331</v>
      </c>
      <c r="G3403" s="6" t="str">
        <f>IFERROR(__xludf.DUMMYFUNCTION("REGEXREPLACE(LOWER(F3403),""[^a-z\s]"","""")"),"none")</f>
        <v>none</v>
      </c>
      <c r="H3403" s="4" t="str">
        <f t="shared" si="1"/>
        <v>none</v>
      </c>
      <c r="I3403" s="6">
        <f t="shared" si="2"/>
        <v>1</v>
      </c>
      <c r="J3403" s="6">
        <f>IFERROR(__xludf.DUMMYFUNCTION("IF(H3403="""","""",
SUM(
ARRAYFORMULA(
IF(
REGEXMATCH(
"" ""&amp;H3403&amp;"" "",
"" ""&amp;Sentiment_Words!A$2:A3730&amp;"" ""
),
1,
0
)
)
)
)"),0.0)</f>
        <v>0</v>
      </c>
      <c r="K3403" s="4">
        <f>IFERROR(__xludf.DUMMYFUNCTION("IF(H3403="""","""",
SUM(
ARRAYFORMULA(
IF(
REGEXMATCH(
"" ""&amp;H3403&amp;"" "",
"" ""&amp;Sentiment_Words!B$2:B3730&amp;"" ""
),
1,
0
)
)
)
)"),0.0)</f>
        <v>0</v>
      </c>
      <c r="L3403" s="7" t="str">
        <f t="shared" si="3"/>
        <v>Other</v>
      </c>
      <c r="M3403" s="7" t="str">
        <f t="shared" si="4"/>
        <v>Neutral</v>
      </c>
      <c r="N3403" s="7" t="str">
        <f>IFERROR(__xludf.DUMMYFUNCTION("LOWER(
TRIM(
REGEXREPLACE(B3403,""[^a-zA-Z\s]"","""")
)
)
"),"jillian")</f>
        <v>jillian</v>
      </c>
      <c r="O3403" s="7">
        <f t="shared" si="5"/>
        <v>1</v>
      </c>
      <c r="P3403" s="8" t="str">
        <f t="shared" si="6"/>
        <v>No</v>
      </c>
    </row>
    <row r="3404">
      <c r="A3404" s="4" t="s">
        <v>16</v>
      </c>
      <c r="B3404" s="4" t="s">
        <v>9434</v>
      </c>
      <c r="C3404" s="9">
        <v>44533.0</v>
      </c>
      <c r="D3404" s="10">
        <v>44533.0</v>
      </c>
      <c r="E3404" s="4" t="s">
        <v>9435</v>
      </c>
      <c r="F3404" s="4" t="s">
        <v>331</v>
      </c>
      <c r="G3404" s="6" t="str">
        <f>IFERROR(__xludf.DUMMYFUNCTION("REGEXREPLACE(LOWER(F3404),""[^a-z\s]"","""")"),"none")</f>
        <v>none</v>
      </c>
      <c r="H3404" s="4" t="str">
        <f t="shared" si="1"/>
        <v>none</v>
      </c>
      <c r="I3404" s="6">
        <f t="shared" si="2"/>
        <v>1</v>
      </c>
      <c r="J3404" s="6">
        <f>IFERROR(__xludf.DUMMYFUNCTION("IF(H3404="""","""",
SUM(
ARRAYFORMULA(
IF(
REGEXMATCH(
"" ""&amp;H3404&amp;"" "",
"" ""&amp;Sentiment_Words!A$2:A3730&amp;"" ""
),
1,
0
)
)
)
)"),0.0)</f>
        <v>0</v>
      </c>
      <c r="K3404" s="4">
        <f>IFERROR(__xludf.DUMMYFUNCTION("IF(H3404="""","""",
SUM(
ARRAYFORMULA(
IF(
REGEXMATCH(
"" ""&amp;H3404&amp;"" "",
"" ""&amp;Sentiment_Words!B$2:B3730&amp;"" ""
),
1,
0
)
)
)
)"),0.0)</f>
        <v>0</v>
      </c>
      <c r="L3404" s="7" t="str">
        <f t="shared" si="3"/>
        <v>Other</v>
      </c>
      <c r="M3404" s="7" t="str">
        <f t="shared" si="4"/>
        <v>Neutral</v>
      </c>
      <c r="N3404" s="7" t="str">
        <f>IFERROR(__xludf.DUMMYFUNCTION("LOWER(
TRIM(
REGEXREPLACE(B3404,""[^a-zA-Z\s]"","""")
)
)
"),"madelin")</f>
        <v>madelin</v>
      </c>
      <c r="O3404" s="7">
        <f t="shared" si="5"/>
        <v>1</v>
      </c>
      <c r="P3404" s="8" t="str">
        <f t="shared" si="6"/>
        <v>No</v>
      </c>
    </row>
    <row r="3405">
      <c r="A3405" s="4" t="s">
        <v>16</v>
      </c>
      <c r="B3405" s="4" t="s">
        <v>9436</v>
      </c>
      <c r="C3405" s="9">
        <v>44532.0</v>
      </c>
      <c r="D3405" s="10">
        <v>44532.0</v>
      </c>
      <c r="E3405" s="4" t="s">
        <v>9437</v>
      </c>
      <c r="F3405" s="4" t="s">
        <v>9438</v>
      </c>
      <c r="G3405" s="6" t="str">
        <f>IFERROR(__xludf.DUMMYFUNCTION("REGEXREPLACE(LOWER(F3405),""[^a-z\s]"","""")"),"i paid for a package of food for my chihuahua that needed a recipe from the vet but we could not get it so i would like to have my money back")</f>
        <v>i paid for a package of food for my chihuahua that needed a recipe from the vet but we could not get it so i would like to have my money back</v>
      </c>
      <c r="H3405" s="4" t="str">
        <f t="shared" si="1"/>
        <v>i paid a package of food my chihuahua that needed a recipe from vet but we could not get it so i would like have my money back</v>
      </c>
      <c r="I3405" s="6">
        <f t="shared" si="2"/>
        <v>28</v>
      </c>
      <c r="J3405" s="6">
        <f>IFERROR(__xludf.DUMMYFUNCTION("IF(H3405="""","""",
SUM(
ARRAYFORMULA(
IF(
REGEXMATCH(
"" ""&amp;H3405&amp;"" "",
"" ""&amp;Sentiment_Words!A$2:A3730&amp;"" ""
),
1,
0
)
)
)
)"),0.0)</f>
        <v>0</v>
      </c>
      <c r="K3405" s="4">
        <f>IFERROR(__xludf.DUMMYFUNCTION("IF(H3405="""","""",
SUM(
ARRAYFORMULA(
IF(
REGEXMATCH(
"" ""&amp;H3405&amp;"" "",
"" ""&amp;Sentiment_Words!B$2:B3730&amp;"" ""
),
1,
0
)
)
)
)"),0.0)</f>
        <v>0</v>
      </c>
      <c r="L3405" s="7" t="str">
        <f t="shared" si="3"/>
        <v>Other</v>
      </c>
      <c r="M3405" s="7" t="str">
        <f t="shared" si="4"/>
        <v>Neutral</v>
      </c>
      <c r="N3405" s="7" t="str">
        <f>IFERROR(__xludf.DUMMYFUNCTION("LOWER(
TRIM(
REGEXREPLACE(B3405,""[^a-zA-Z\s]"","""")
)
)
"),"silvia campillo giner")</f>
        <v>silvia campillo giner</v>
      </c>
      <c r="O3405" s="7">
        <f t="shared" si="5"/>
        <v>1</v>
      </c>
      <c r="P3405" s="8" t="str">
        <f t="shared" si="6"/>
        <v>No</v>
      </c>
    </row>
    <row r="3406">
      <c r="A3406" s="4" t="s">
        <v>16</v>
      </c>
      <c r="B3406" s="4" t="s">
        <v>9439</v>
      </c>
      <c r="C3406" s="9">
        <v>44532.0</v>
      </c>
      <c r="D3406" s="10">
        <v>44532.0</v>
      </c>
      <c r="E3406" s="4" t="s">
        <v>9440</v>
      </c>
      <c r="F3406" s="4" t="s">
        <v>9441</v>
      </c>
      <c r="G3406" s="6" t="str">
        <f>IFERROR(__xludf.DUMMYFUNCTION("REGEXREPLACE(LOWER(F3406),""[^a-z\s]"","""")"),"i wrote to the company regarding a complaint about customer service claiming that i didnt have funds to pay for an order that was an auto ship and said backordered and after ordering something else i got billed for it not knowing what this charge was i ca"&amp;"lled in to find out the customer service gal looked up my file and came on the line and humiliated me saying the order hadnt shipped because of a payment issue when in fact it hadnt shipped because petflow didnt have the stock i have been ignored zero res"&amp;"ponse from petflow apparently my business is not valued after so many years")</f>
        <v>i wrote to the company regarding a complaint about customer service claiming that i didnt have funds to pay for an order that was an auto ship and said backordered and after ordering something else i got billed for it not knowing what this charge was i called in to find out the customer service gal looked up my file and came on the line and humiliated me saying the order hadnt shipped because of a payment issue when in fact it hadnt shipped because petflow didnt have the stock i have been ignored zero response from petflow apparently my business is not valued after so many years</v>
      </c>
      <c r="H3406" s="4" t="str">
        <f t="shared" si="1"/>
        <v>i wrote company regarding a complaint about customer service claiming that i didnt have funds pay an order that was an auto ship said backordered after ordering something else i got billed it not knowing what this charge was i called in find out customer service gal looked up my file came on line humiliated me saying order hadnt shipped because of a payment issue when in fact it hadnt shipped because petflow didnt have stock i have been ignored zero response from petflow apparently my business not valued after so many years</v>
      </c>
      <c r="I3406" s="6">
        <f t="shared" si="2"/>
        <v>93</v>
      </c>
      <c r="J3406" s="6">
        <f>IFERROR(__xludf.DUMMYFUNCTION("IF(H3406="""","""",
SUM(
ARRAYFORMULA(
IF(
REGEXMATCH(
"" ""&amp;H3406&amp;"" "",
"" ""&amp;Sentiment_Words!A$2:A3730&amp;"" ""
),
1,
0
)
)
)
)"),1.0)</f>
        <v>1</v>
      </c>
      <c r="K3406" s="4">
        <f>IFERROR(__xludf.DUMMYFUNCTION("IF(H3406="""","""",
SUM(
ARRAYFORMULA(
IF(
REGEXMATCH(
"" ""&amp;H3406&amp;"" "",
"" ""&amp;Sentiment_Words!B$2:B3730&amp;"" ""
),
1,
0
)
)
)
)"),3.0)</f>
        <v>3</v>
      </c>
      <c r="L3406" s="7" t="str">
        <f t="shared" si="3"/>
        <v>Customer Support</v>
      </c>
      <c r="M3406" s="7" t="str">
        <f t="shared" si="4"/>
        <v>Negative</v>
      </c>
      <c r="N3406" s="7" t="str">
        <f>IFERROR(__xludf.DUMMYFUNCTION("LOWER(
TRIM(
REGEXREPLACE(B3406,""[^a-zA-Z\s]"","""")
)
)
"),"cherie mamula")</f>
        <v>cherie mamula</v>
      </c>
      <c r="O3406" s="7">
        <f t="shared" si="5"/>
        <v>1</v>
      </c>
      <c r="P3406" s="8" t="str">
        <f t="shared" si="6"/>
        <v>No</v>
      </c>
    </row>
    <row r="3407">
      <c r="A3407" s="4" t="s">
        <v>16</v>
      </c>
      <c r="B3407" s="4" t="s">
        <v>9442</v>
      </c>
      <c r="C3407" s="9">
        <v>44532.0</v>
      </c>
      <c r="D3407" s="10">
        <v>44532.0</v>
      </c>
      <c r="E3407" s="4" t="s">
        <v>9443</v>
      </c>
      <c r="F3407" s="4" t="s">
        <v>9444</v>
      </c>
      <c r="G3407" s="6" t="str">
        <f>IFERROR(__xludf.DUMMYFUNCTION("REGEXREPLACE(LOWER(F3407),""[^a-z\s]"","""")"),"petflow carries our dogs preferred high quality food  treats we auto order and receive our shipments quickly")</f>
        <v>petflow carries our dogs preferred high quality food  treats we auto order and receive our shipments quickly</v>
      </c>
      <c r="H3407" s="4" t="str">
        <f t="shared" si="1"/>
        <v>petflow carries our dogs preferred high quality food treats we auto order receive our shipments quickly</v>
      </c>
      <c r="I3407" s="6">
        <f t="shared" si="2"/>
        <v>16</v>
      </c>
      <c r="J3407" s="6">
        <f>IFERROR(__xludf.DUMMYFUNCTION("IF(H3407="""","""",
SUM(
ARRAYFORMULA(
IF(
REGEXMATCH(
"" ""&amp;H3407&amp;"" "",
"" ""&amp;Sentiment_Words!A$2:A3730&amp;"" ""
),
1,
0
)
)
)
)"),0.0)</f>
        <v>0</v>
      </c>
      <c r="K3407" s="4">
        <f>IFERROR(__xludf.DUMMYFUNCTION("IF(H3407="""","""",
SUM(
ARRAYFORMULA(
IF(
REGEXMATCH(
"" ""&amp;H3407&amp;"" "",
"" ""&amp;Sentiment_Words!B$2:B3730&amp;"" ""
),
1,
0
)
)
)
)"),0.0)</f>
        <v>0</v>
      </c>
      <c r="L3407" s="7" t="str">
        <f t="shared" si="3"/>
        <v>Other</v>
      </c>
      <c r="M3407" s="7" t="str">
        <f t="shared" si="4"/>
        <v>Neutral</v>
      </c>
      <c r="N3407" s="7" t="str">
        <f>IFERROR(__xludf.DUMMYFUNCTION("LOWER(
TRIM(
REGEXREPLACE(B3407,""[^a-zA-Z\s]"","""")
)
)
"),"sheila")</f>
        <v>sheila</v>
      </c>
      <c r="O3407" s="7">
        <f t="shared" si="5"/>
        <v>1</v>
      </c>
      <c r="P3407" s="8" t="str">
        <f t="shared" si="6"/>
        <v>No</v>
      </c>
    </row>
    <row r="3408">
      <c r="A3408" s="4" t="s">
        <v>16</v>
      </c>
      <c r="B3408" s="4" t="s">
        <v>9445</v>
      </c>
      <c r="C3408" s="9">
        <v>44532.0</v>
      </c>
      <c r="D3408" s="10">
        <v>44532.0</v>
      </c>
      <c r="E3408" s="4" t="s">
        <v>9446</v>
      </c>
      <c r="F3408" s="4" t="s">
        <v>9447</v>
      </c>
      <c r="G3408" s="6" t="str">
        <f>IFERROR(__xludf.DUMMYFUNCTION("REGEXREPLACE(LOWER(F3408),""[^a-z\s]"","""")"),"i like petflow i have ordered from them before this time it took way too long to get my order and the only reason i got it when i did is because i called and complained then they showed it being shipped right away but it still took  days after complaining"&amp;" i needed the dog food if this is the normal ship time i will definitely not be using petflow again")</f>
        <v>i like petflow i have ordered from them before this time it took way too long to get my order and the only reason i got it when i did is because i called and complained then they showed it being shipped right away but it still took  days after complaining i needed the dog food if this is the normal ship time i will definitely not be using petflow again</v>
      </c>
      <c r="H3408" s="4" t="str">
        <f t="shared" si="1"/>
        <v>i like petflow i have ordered from them before this time it took way too long get my order only reason i got it when i did because i called complained then they showed it being shipped right away but it still took days after complaining i needed dog food if this normal ship time i will definitely not be using petflow again</v>
      </c>
      <c r="I3408" s="6">
        <f t="shared" si="2"/>
        <v>63</v>
      </c>
      <c r="J3408" s="6">
        <f>IFERROR(__xludf.DUMMYFUNCTION("IF(H3408="""","""",
SUM(
ARRAYFORMULA(
IF(
REGEXMATCH(
"" ""&amp;H3408&amp;"" "",
"" ""&amp;Sentiment_Words!A$2:A3730&amp;"" ""
),
1,
0
)
)
)
)"),0.0)</f>
        <v>0</v>
      </c>
      <c r="K3408" s="4">
        <f>IFERROR(__xludf.DUMMYFUNCTION("IF(H3408="""","""",
SUM(
ARRAYFORMULA(
IF(
REGEXMATCH(
"" ""&amp;H3408&amp;"" "",
"" ""&amp;Sentiment_Words!B$2:B3730&amp;"" ""
),
1,
0
)
)
)
)"),0.0)</f>
        <v>0</v>
      </c>
      <c r="L3408" s="7" t="str">
        <f t="shared" si="3"/>
        <v>Other</v>
      </c>
      <c r="M3408" s="7" t="str">
        <f t="shared" si="4"/>
        <v>Neutral</v>
      </c>
      <c r="N3408" s="7" t="str">
        <f>IFERROR(__xludf.DUMMYFUNCTION("LOWER(
TRIM(
REGEXREPLACE(B3408,""[^a-zA-Z\s]"","""")
)
)
"),"randy leach")</f>
        <v>randy leach</v>
      </c>
      <c r="O3408" s="7">
        <f t="shared" si="5"/>
        <v>1</v>
      </c>
      <c r="P3408" s="8" t="str">
        <f t="shared" si="6"/>
        <v>No</v>
      </c>
    </row>
    <row r="3409">
      <c r="A3409" s="4" t="s">
        <v>16</v>
      </c>
      <c r="B3409" s="4" t="s">
        <v>9448</v>
      </c>
      <c r="C3409" s="9">
        <v>44532.0</v>
      </c>
      <c r="D3409" s="10">
        <v>44532.0</v>
      </c>
      <c r="E3409" s="4" t="s">
        <v>9449</v>
      </c>
      <c r="F3409" s="4" t="s">
        <v>9450</v>
      </c>
      <c r="G3409" s="6" t="str">
        <f>IFERROR(__xludf.DUMMYFUNCTION("REGEXREPLACE(LOWER(F3409),""[^a-z\s]"","""")"),"the whole reason why i ordered from petflow is because of their quick shipping in  days it took over a week for my food to arrive i had tobuy another brand of food that upset all of my dogs stomachs never again")</f>
        <v>the whole reason why i ordered from petflow is because of their quick shipping in  days it took over a week for my food to arrive i had tobuy another brand of food that upset all of my dogs stomachs never again</v>
      </c>
      <c r="H3409" s="4" t="str">
        <f t="shared" si="1"/>
        <v>whole reason why i ordered from petflow because of their quick shipping in days it took over a week my food arrive i had tobuy another brand of food that upset all of my dogs stomachs never again</v>
      </c>
      <c r="I3409" s="6">
        <f t="shared" si="2"/>
        <v>38</v>
      </c>
      <c r="J3409" s="6">
        <f>IFERROR(__xludf.DUMMYFUNCTION("IF(H3409="""","""",
SUM(
ARRAYFORMULA(
IF(
REGEXMATCH(
"" ""&amp;H3409&amp;"" "",
"" ""&amp;Sentiment_Words!A$2:A3730&amp;"" ""
),
1,
0
)
)
)
)"),0.0)</f>
        <v>0</v>
      </c>
      <c r="K3409" s="4">
        <f>IFERROR(__xludf.DUMMYFUNCTION("IF(H3409="""","""",
SUM(
ARRAYFORMULA(
IF(
REGEXMATCH(
"" ""&amp;H3409&amp;"" "",
"" ""&amp;Sentiment_Words!B$2:B3730&amp;"" ""
),
1,
0
)
)
)
)"),0.0)</f>
        <v>0</v>
      </c>
      <c r="L3409" s="7" t="str">
        <f t="shared" si="3"/>
        <v>Trust &amp; Experience</v>
      </c>
      <c r="M3409" s="7" t="str">
        <f t="shared" si="4"/>
        <v>Neutral</v>
      </c>
      <c r="N3409" s="7" t="str">
        <f>IFERROR(__xludf.DUMMYFUNCTION("LOWER(
TRIM(
REGEXREPLACE(B3409,""[^a-zA-Z\s]"","""")
)
)
"),"cassidy k")</f>
        <v>cassidy k</v>
      </c>
      <c r="O3409" s="7">
        <f t="shared" si="5"/>
        <v>1</v>
      </c>
      <c r="P3409" s="8" t="str">
        <f t="shared" si="6"/>
        <v>No</v>
      </c>
    </row>
    <row r="3410">
      <c r="A3410" s="4" t="s">
        <v>16</v>
      </c>
      <c r="B3410" s="4" t="s">
        <v>9451</v>
      </c>
      <c r="C3410" s="9">
        <v>44531.0</v>
      </c>
      <c r="D3410" s="10">
        <v>44531.0</v>
      </c>
      <c r="E3410" s="4" t="s">
        <v>9452</v>
      </c>
      <c r="F3410" s="4" t="s">
        <v>9453</v>
      </c>
      <c r="G3410" s="6" t="str">
        <f>IFERROR(__xludf.DUMMYFUNCTION("REGEXREPLACE(LOWER(F3410),""[^a-z\s]"","""")"),"i was very happy to be able to find a food item that i needed that was sold out on chewy amazon and all of my local pet supply stores the only reason for the  stars instead of  was the delivery notifications i understand delivery delays especially right n"&amp;"ow but i received  different notifications regarding when my items would shiparrive that i began to think i might have possibly been scammed especially since you were able to get me what i wanted when no one else could happily i was wrong")</f>
        <v>i was very happy to be able to find a food item that i needed that was sold out on chewy amazon and all of my local pet supply stores the only reason for the  stars instead of  was the delivery notifications i understand delivery delays especially right now but i received  different notifications regarding when my items would shiparrive that i began to think i might have possibly been scammed especially since you were able to get me what i wanted when no one else could happily i was wrong</v>
      </c>
      <c r="H3410" s="4" t="str">
        <f t="shared" si="1"/>
        <v>i was very happy be able find a food item that i needed that was sold out on chewy amazon all of my local pet supply stores only reason stars instead of was delivery notifications i understand delivery delays especially right now but i received different notifications regarding when my items would shiparrive that i began think i might have possibly been scammed especially since you were able get me what i wanted when no one else could happily i was wrong</v>
      </c>
      <c r="I3410" s="6">
        <f t="shared" si="2"/>
        <v>82</v>
      </c>
      <c r="J3410" s="6">
        <f>IFERROR(__xludf.DUMMYFUNCTION("IF(H3410="""","""",
SUM(
ARRAYFORMULA(
IF(
REGEXMATCH(
"" ""&amp;H3410&amp;"" "",
"" ""&amp;Sentiment_Words!A$2:A3730&amp;"" ""
),
1,
0
)
)
)
)"),2.0)</f>
        <v>2</v>
      </c>
      <c r="K3410" s="4">
        <f>IFERROR(__xludf.DUMMYFUNCTION("IF(H3410="""","""",
SUM(
ARRAYFORMULA(
IF(
REGEXMATCH(
"" ""&amp;H3410&amp;"" "",
"" ""&amp;Sentiment_Words!B$2:B3730&amp;"" ""
),
1,
0
)
)
)
)"),1.0)</f>
        <v>1</v>
      </c>
      <c r="L3410" s="7" t="str">
        <f t="shared" si="3"/>
        <v>Fulfillment &amp; Shipping</v>
      </c>
      <c r="M3410" s="7" t="str">
        <f t="shared" si="4"/>
        <v>Positive</v>
      </c>
      <c r="N3410" s="7" t="str">
        <f>IFERROR(__xludf.DUMMYFUNCTION("LOWER(
TRIM(
REGEXREPLACE(B3410,""[^a-zA-Z\s]"","""")
)
)
"),"beth c")</f>
        <v>beth c</v>
      </c>
      <c r="O3410" s="7">
        <f t="shared" si="5"/>
        <v>1</v>
      </c>
      <c r="P3410" s="8" t="str">
        <f t="shared" si="6"/>
        <v>No</v>
      </c>
    </row>
    <row r="3411">
      <c r="A3411" s="4" t="s">
        <v>16</v>
      </c>
      <c r="B3411" s="4" t="s">
        <v>9454</v>
      </c>
      <c r="C3411" s="9">
        <v>44531.0</v>
      </c>
      <c r="D3411" s="10">
        <v>44531.0</v>
      </c>
      <c r="E3411" s="4" t="s">
        <v>9455</v>
      </c>
      <c r="F3411" s="4" t="s">
        <v>9456</v>
      </c>
      <c r="G3411" s="6" t="str">
        <f>IFERROR(__xludf.DUMMYFUNCTION("REGEXREPLACE(LOWER(F3411),""[^a-z\s]"","""")"),"very impressed with being able to get what i need for my furbabies special food so far its always been in stock unlike the competitor sites and various pet stores prices are a smidgen lower than everywhere ive normally gone delivery is  at this point my f"&amp;"irst order came within a couple of days my second took a bit longer")</f>
        <v>very impressed with being able to get what i need for my furbabies special food so far its always been in stock unlike the competitor sites and various pet stores prices are a smidgen lower than everywhere ive normally gone delivery is  at this point my first order came within a couple of days my second took a bit longer</v>
      </c>
      <c r="H3411" s="4" t="str">
        <f t="shared" si="1"/>
        <v>very impressed with being able get what i need my furbabies special food so far its always been in stock unlike competitor sites various pet stores prices are a smidgen lower than everywhere ive normally gone delivery at this point my first order came within a couple of days my second took a bit longer</v>
      </c>
      <c r="I3411" s="6">
        <f t="shared" si="2"/>
        <v>55</v>
      </c>
      <c r="J3411" s="6">
        <f>IFERROR(__xludf.DUMMYFUNCTION("IF(H3411="""","""",
SUM(
ARRAYFORMULA(
IF(
REGEXMATCH(
"" ""&amp;H3411&amp;"" "",
"" ""&amp;Sentiment_Words!A$2:A3730&amp;"" ""
),
1,
0
)
)
)
)"),2.0)</f>
        <v>2</v>
      </c>
      <c r="K3411" s="4">
        <f>IFERROR(__xludf.DUMMYFUNCTION("IF(H3411="""","""",
SUM(
ARRAYFORMULA(
IF(
REGEXMATCH(
"" ""&amp;H3411&amp;"" "",
"" ""&amp;Sentiment_Words!B$2:B3730&amp;"" ""
),
1,
0
)
)
)
)"),0.0)</f>
        <v>0</v>
      </c>
      <c r="L3411" s="7" t="str">
        <f t="shared" si="3"/>
        <v>Service Recovery</v>
      </c>
      <c r="M3411" s="7" t="str">
        <f t="shared" si="4"/>
        <v>Positive</v>
      </c>
      <c r="N3411" s="7" t="str">
        <f>IFERROR(__xludf.DUMMYFUNCTION("LOWER(
TRIM(
REGEXREPLACE(B3411,""[^a-zA-Z\s]"","""")
)
)
"),"jennifer adams")</f>
        <v>jennifer adams</v>
      </c>
      <c r="O3411" s="7">
        <f t="shared" si="5"/>
        <v>1</v>
      </c>
      <c r="P3411" s="8" t="str">
        <f t="shared" si="6"/>
        <v>No</v>
      </c>
    </row>
    <row r="3412">
      <c r="A3412" s="4" t="s">
        <v>16</v>
      </c>
      <c r="B3412" s="4" t="s">
        <v>9457</v>
      </c>
      <c r="C3412" s="9">
        <v>44531.0</v>
      </c>
      <c r="D3412" s="10">
        <v>44531.0</v>
      </c>
      <c r="E3412" s="4" t="s">
        <v>9458</v>
      </c>
      <c r="F3412" s="4" t="s">
        <v>9459</v>
      </c>
      <c r="G3412" s="6" t="str">
        <f>IFERROR(__xludf.DUMMYFUNCTION("REGEXREPLACE(LOWER(F3412),""[^a-z\s]"","""")"),"easy website to navigate fair prices and fast shipping")</f>
        <v>easy website to navigate fair prices and fast shipping</v>
      </c>
      <c r="H3412" s="4" t="str">
        <f t="shared" si="1"/>
        <v>easy website navigate fair prices fast shipping</v>
      </c>
      <c r="I3412" s="6">
        <f t="shared" si="2"/>
        <v>7</v>
      </c>
      <c r="J3412" s="6">
        <f>IFERROR(__xludf.DUMMYFUNCTION("IF(H3412="""","""",
SUM(
ARRAYFORMULA(
IF(
REGEXMATCH(
"" ""&amp;H3412&amp;"" "",
"" ""&amp;Sentiment_Words!A$2:A3730&amp;"" ""
),
1,
0
)
)
)
)"),2.0)</f>
        <v>2</v>
      </c>
      <c r="K3412" s="4">
        <f>IFERROR(__xludf.DUMMYFUNCTION("IF(H3412="""","""",
SUM(
ARRAYFORMULA(
IF(
REGEXMATCH(
"" ""&amp;H3412&amp;"" "",
"" ""&amp;Sentiment_Words!B$2:B3730&amp;"" ""
),
1,
0
)
)
)
)"),0.0)</f>
        <v>0</v>
      </c>
      <c r="L3412" s="7" t="str">
        <f t="shared" si="3"/>
        <v>Account &amp; Website</v>
      </c>
      <c r="M3412" s="7" t="str">
        <f t="shared" si="4"/>
        <v>Positive</v>
      </c>
      <c r="N3412" s="7" t="str">
        <f>IFERROR(__xludf.DUMMYFUNCTION("LOWER(
TRIM(
REGEXREPLACE(B3412,""[^a-zA-Z\s]"","""")
)
)
"),"kurt saxsma")</f>
        <v>kurt saxsma</v>
      </c>
      <c r="O3412" s="7">
        <f t="shared" si="5"/>
        <v>1</v>
      </c>
      <c r="P3412" s="8" t="str">
        <f t="shared" si="6"/>
        <v>No</v>
      </c>
    </row>
    <row r="3413">
      <c r="A3413" s="4" t="s">
        <v>16</v>
      </c>
      <c r="B3413" s="4" t="s">
        <v>9460</v>
      </c>
      <c r="C3413" s="9">
        <v>44531.0</v>
      </c>
      <c r="D3413" s="10">
        <v>44531.0</v>
      </c>
      <c r="E3413" s="4" t="s">
        <v>9461</v>
      </c>
      <c r="F3413" s="4" t="s">
        <v>9462</v>
      </c>
      <c r="G3413" s="6" t="str">
        <f>IFERROR(__xludf.DUMMYFUNCTION("REGEXREPLACE(LOWER(F3413),""[^a-z\s]"","""")"),"customer service has definitely declined website keeps changing making it difficult to order when you want iused to order  different products at  different times of the month and still get the auto ship discount now i get nothingbeen a member since 
looki"&amp;"ng around for a better deal")</f>
        <v>customer service has definitely declined website keeps changing making it difficult to order when you want iused to order  different products at  different times of the month and still get the auto ship discount now i get nothingbeen a member since 
looking around for a better deal</v>
      </c>
      <c r="H3413" s="4" t="str">
        <f t="shared" si="1"/>
        <v>customer service has definitely declined website keeps changing making it difficult order when you want iused order different products at different times of month still get auto ship discount now i get nothingbeen a member since 
looking around a better deal</v>
      </c>
      <c r="I3413" s="6">
        <f t="shared" si="2"/>
        <v>41</v>
      </c>
      <c r="J3413" s="6">
        <f>IFERROR(__xludf.DUMMYFUNCTION("IF(H3413="""","""",
SUM(
ARRAYFORMULA(
IF(
REGEXMATCH(
"" ""&amp;H3413&amp;"" "",
"" ""&amp;Sentiment_Words!A$2:A3730&amp;"" ""
),
1,
0
)
)
)
)"),1.0)</f>
        <v>1</v>
      </c>
      <c r="K3413" s="4">
        <f>IFERROR(__xludf.DUMMYFUNCTION("IF(H3413="""","""",
SUM(
ARRAYFORMULA(
IF(
REGEXMATCH(
"" ""&amp;H3413&amp;"" "",
"" ""&amp;Sentiment_Words!B$2:B3730&amp;"" ""
),
1,
0
)
)
)
)"),1.0)</f>
        <v>1</v>
      </c>
      <c r="L3413" s="7" t="str">
        <f t="shared" si="3"/>
        <v>Customer Support</v>
      </c>
      <c r="M3413" s="7" t="str">
        <f t="shared" si="4"/>
        <v>Neutral</v>
      </c>
      <c r="N3413" s="7" t="str">
        <f>IFERROR(__xludf.DUMMYFUNCTION("LOWER(
TRIM(
REGEXREPLACE(B3413,""[^a-zA-Z\s]"","""")
)
)
"),"patricia palenik")</f>
        <v>patricia palenik</v>
      </c>
      <c r="O3413" s="7">
        <f t="shared" si="5"/>
        <v>1</v>
      </c>
      <c r="P3413" s="8" t="str">
        <f t="shared" si="6"/>
        <v>No</v>
      </c>
    </row>
    <row r="3414">
      <c r="A3414" s="4" t="s">
        <v>16</v>
      </c>
      <c r="B3414" s="4" t="s">
        <v>9463</v>
      </c>
      <c r="C3414" s="9">
        <v>44531.0</v>
      </c>
      <c r="D3414" s="10">
        <v>44531.0</v>
      </c>
      <c r="E3414" s="4" t="s">
        <v>9464</v>
      </c>
      <c r="F3414" s="4" t="s">
        <v>9465</v>
      </c>
      <c r="G3414" s="6" t="str">
        <f>IFERROR(__xludf.DUMMYFUNCTION("REGEXREPLACE(LOWER(F3414),""[^a-z\s]"","""")"),"third time they have got the order wrong ")</f>
        <v>third time they have got the order wrong </v>
      </c>
      <c r="H3414" s="4" t="str">
        <f t="shared" si="1"/>
        <v>third time they have got order wrong</v>
      </c>
      <c r="I3414" s="6">
        <f t="shared" si="2"/>
        <v>7</v>
      </c>
      <c r="J3414" s="6">
        <f>IFERROR(__xludf.DUMMYFUNCTION("IF(H3414="""","""",
SUM(
ARRAYFORMULA(
IF(
REGEXMATCH(
"" ""&amp;H3414&amp;"" "",
"" ""&amp;Sentiment_Words!A$2:A3730&amp;"" ""
),
1,
0
)
)
)
)"),0.0)</f>
        <v>0</v>
      </c>
      <c r="K3414" s="4">
        <f>IFERROR(__xludf.DUMMYFUNCTION("IF(H3414="""","""",
SUM(
ARRAYFORMULA(
IF(
REGEXMATCH(
"" ""&amp;H3414&amp;"" "",
"" ""&amp;Sentiment_Words!B$2:B3730&amp;"" ""
),
1,
0
)
)
)
)"),1.0)</f>
        <v>1</v>
      </c>
      <c r="L3414" s="7" t="str">
        <f t="shared" si="3"/>
        <v>Fulfillment &amp; Shipping</v>
      </c>
      <c r="M3414" s="7" t="str">
        <f t="shared" si="4"/>
        <v>Negative</v>
      </c>
      <c r="N3414" s="7" t="str">
        <f>IFERROR(__xludf.DUMMYFUNCTION("LOWER(
TRIM(
REGEXREPLACE(B3414,""[^a-zA-Z\s]"","""")
)
)
"),"rick ludlow")</f>
        <v>rick ludlow</v>
      </c>
      <c r="O3414" s="7">
        <f t="shared" si="5"/>
        <v>1</v>
      </c>
      <c r="P3414" s="8" t="str">
        <f t="shared" si="6"/>
        <v>No</v>
      </c>
    </row>
    <row r="3415">
      <c r="A3415" s="4" t="s">
        <v>16</v>
      </c>
      <c r="B3415" s="4" t="s">
        <v>9466</v>
      </c>
      <c r="C3415" s="9">
        <v>44531.0</v>
      </c>
      <c r="D3415" s="10">
        <v>44531.0</v>
      </c>
      <c r="E3415" s="4" t="s">
        <v>9467</v>
      </c>
      <c r="F3415" s="4" t="s">
        <v>9468</v>
      </c>
      <c r="G3415" s="6" t="str">
        <f>IFERROR(__xludf.DUMMYFUNCTION("REGEXREPLACE(LOWER(F3415),""[^a-z\s]"","""")"),"i have been pleased in the past with available dog foods treats toys etc and delivery i have experienced a lot of out of stock items that i have on autoship i have had to buy these items on my own else where")</f>
        <v>i have been pleased in the past with available dog foods treats toys etc and delivery i have experienced a lot of out of stock items that i have on autoship i have had to buy these items on my own else where</v>
      </c>
      <c r="H3415" s="4" t="str">
        <f t="shared" si="1"/>
        <v>i have been pleased in past with available dog foods treats toys etc delivery i have experienced a lot of out of stock items that i have on autoship i have had buy these items on my own else where</v>
      </c>
      <c r="I3415" s="6">
        <f t="shared" si="2"/>
        <v>40</v>
      </c>
      <c r="J3415" s="6">
        <f>IFERROR(__xludf.DUMMYFUNCTION("IF(H3415="""","""",
SUM(
ARRAYFORMULA(
IF(
REGEXMATCH(
"" ""&amp;H3415&amp;"" "",
"" ""&amp;Sentiment_Words!A$2:A3730&amp;"" ""
),
1,
0
)
)
)
)"),1.0)</f>
        <v>1</v>
      </c>
      <c r="K3415" s="4">
        <f>IFERROR(__xludf.DUMMYFUNCTION("IF(H3415="""","""",
SUM(
ARRAYFORMULA(
IF(
REGEXMATCH(
"" ""&amp;H3415&amp;"" "",
"" ""&amp;Sentiment_Words!B$2:B3730&amp;"" ""
),
1,
0
)
)
)
)"),1.0)</f>
        <v>1</v>
      </c>
      <c r="L3415" s="7" t="str">
        <f t="shared" si="3"/>
        <v>Availability</v>
      </c>
      <c r="M3415" s="7" t="str">
        <f t="shared" si="4"/>
        <v>Neutral</v>
      </c>
      <c r="N3415" s="7" t="str">
        <f>IFERROR(__xludf.DUMMYFUNCTION("LOWER(
TRIM(
REGEXREPLACE(B3415,""[^a-zA-Z\s]"","""")
)
)
"),"pete of s t s")</f>
        <v>pete of s t s</v>
      </c>
      <c r="O3415" s="7">
        <f t="shared" si="5"/>
        <v>1</v>
      </c>
      <c r="P3415" s="8" t="str">
        <f t="shared" si="6"/>
        <v>No</v>
      </c>
    </row>
    <row r="3416">
      <c r="A3416" s="4" t="s">
        <v>16</v>
      </c>
      <c r="B3416" s="4" t="s">
        <v>9469</v>
      </c>
      <c r="C3416" s="9">
        <v>44531.0</v>
      </c>
      <c r="D3416" s="10">
        <v>44531.0</v>
      </c>
      <c r="E3416" s="4" t="s">
        <v>6484</v>
      </c>
      <c r="F3416" s="4" t="s">
        <v>1045</v>
      </c>
      <c r="G3416" s="6" t="str">
        <f>IFERROR(__xludf.DUMMYFUNCTION("REGEXREPLACE(LOWER(F3416),""[^a-z\s]"","""")"),"fast delivery")</f>
        <v>fast delivery</v>
      </c>
      <c r="H3416" s="4" t="str">
        <f t="shared" si="1"/>
        <v>fast delivery</v>
      </c>
      <c r="I3416" s="6">
        <f t="shared" si="2"/>
        <v>2</v>
      </c>
      <c r="J3416" s="6">
        <f>IFERROR(__xludf.DUMMYFUNCTION("IF(H3416="""","""",
SUM(
ARRAYFORMULA(
IF(
REGEXMATCH(
"" ""&amp;H3416&amp;"" "",
"" ""&amp;Sentiment_Words!A$2:A3730&amp;"" ""
),
1,
0
)
)
)
)"),2.0)</f>
        <v>2</v>
      </c>
      <c r="K3416" s="4">
        <f>IFERROR(__xludf.DUMMYFUNCTION("IF(H3416="""","""",
SUM(
ARRAYFORMULA(
IF(
REGEXMATCH(
"" ""&amp;H3416&amp;"" "",
"" ""&amp;Sentiment_Words!B$2:B3730&amp;"" ""
),
1,
0
)
)
)
)"),0.0)</f>
        <v>0</v>
      </c>
      <c r="L3416" s="7" t="str">
        <f t="shared" si="3"/>
        <v>Other</v>
      </c>
      <c r="M3416" s="7" t="str">
        <f t="shared" si="4"/>
        <v>Positive</v>
      </c>
      <c r="N3416" s="7" t="str">
        <f>IFERROR(__xludf.DUMMYFUNCTION("LOWER(
TRIM(
REGEXREPLACE(B3416,""[^a-zA-Z\s]"","""")
)
)
"),"jeff nicholson")</f>
        <v>jeff nicholson</v>
      </c>
      <c r="O3416" s="7">
        <f t="shared" si="5"/>
        <v>1</v>
      </c>
      <c r="P3416" s="8" t="str">
        <f t="shared" si="6"/>
        <v>No</v>
      </c>
    </row>
    <row r="3417">
      <c r="A3417" s="4" t="s">
        <v>16</v>
      </c>
      <c r="B3417" s="4" t="s">
        <v>9470</v>
      </c>
      <c r="C3417" s="9">
        <v>44531.0</v>
      </c>
      <c r="D3417" s="10">
        <v>44531.0</v>
      </c>
      <c r="E3417" s="4" t="s">
        <v>9471</v>
      </c>
      <c r="F3417" s="4" t="s">
        <v>9472</v>
      </c>
      <c r="G3417" s="6" t="str">
        <f>IFERROR(__xludf.DUMMYFUNCTION("REGEXREPLACE(LOWER(F3417),""[^a-z\s]"","""")"),"great discount on hill science canned food for my dopey cat its becoming difficult to find the chicken n rice flavor so it was a relief that you had it")</f>
        <v>great discount on hill science canned food for my dopey cat its becoming difficult to find the chicken n rice flavor so it was a relief that you had it</v>
      </c>
      <c r="H3417" s="4" t="str">
        <f t="shared" si="1"/>
        <v>great discount on hill science canned food my dopey cat its becoming difficult find chicken n rice flavor so it was a relief that you had it</v>
      </c>
      <c r="I3417" s="6">
        <f t="shared" si="2"/>
        <v>27</v>
      </c>
      <c r="J3417" s="6">
        <f>IFERROR(__xludf.DUMMYFUNCTION("IF(H3417="""","""",
SUM(
ARRAYFORMULA(
IF(
REGEXMATCH(
"" ""&amp;H3417&amp;"" "",
"" ""&amp;Sentiment_Words!A$2:A3730&amp;"" ""
),
1,
0
)
)
)
)"),1.0)</f>
        <v>1</v>
      </c>
      <c r="K3417" s="4">
        <f>IFERROR(__xludf.DUMMYFUNCTION("IF(H3417="""","""",
SUM(
ARRAYFORMULA(
IF(
REGEXMATCH(
"" ""&amp;H3417&amp;"" "",
"" ""&amp;Sentiment_Words!B$2:B3730&amp;"" ""
),
1,
0
)
)
)
)"),0.0)</f>
        <v>0</v>
      </c>
      <c r="L3417" s="7" t="str">
        <f t="shared" si="3"/>
        <v>Other</v>
      </c>
      <c r="M3417" s="7" t="str">
        <f t="shared" si="4"/>
        <v>Positive</v>
      </c>
      <c r="N3417" s="7" t="str">
        <f>IFERROR(__xludf.DUMMYFUNCTION("LOWER(
TRIM(
REGEXREPLACE(B3417,""[^a-zA-Z\s]"","""")
)
)
"),"amber cole")</f>
        <v>amber cole</v>
      </c>
      <c r="O3417" s="7">
        <f t="shared" si="5"/>
        <v>1</v>
      </c>
      <c r="P3417" s="8" t="str">
        <f t="shared" si="6"/>
        <v>No</v>
      </c>
    </row>
    <row r="3418">
      <c r="A3418" s="4" t="s">
        <v>16</v>
      </c>
      <c r="B3418" s="4" t="s">
        <v>9473</v>
      </c>
      <c r="C3418" s="9">
        <v>44531.0</v>
      </c>
      <c r="D3418" s="10">
        <v>44531.0</v>
      </c>
      <c r="E3418" s="4" t="s">
        <v>9474</v>
      </c>
      <c r="F3418" s="4" t="s">
        <v>9475</v>
      </c>
      <c r="G3418" s="6" t="str">
        <f>IFERROR(__xludf.DUMMYFUNCTION("REGEXREPLACE(LOWER(F3418),""[^a-z\s]"","""")"),"you carry the dog food that my puppy needs for his first year the prices are reasonable and affordable")</f>
        <v>you carry the dog food that my puppy needs for his first year the prices are reasonable and affordable</v>
      </c>
      <c r="H3418" s="4" t="str">
        <f t="shared" si="1"/>
        <v>you carry dog food that my puppy needs his first year prices are reasonable affordable</v>
      </c>
      <c r="I3418" s="6">
        <f t="shared" si="2"/>
        <v>15</v>
      </c>
      <c r="J3418" s="6">
        <f>IFERROR(__xludf.DUMMYFUNCTION("IF(H3418="""","""",
SUM(
ARRAYFORMULA(
IF(
REGEXMATCH(
"" ""&amp;H3418&amp;"" "",
"" ""&amp;Sentiment_Words!A$2:A3730&amp;"" ""
),
1,
0
)
)
)
)"),1.0)</f>
        <v>1</v>
      </c>
      <c r="K3418" s="4">
        <f>IFERROR(__xludf.DUMMYFUNCTION("IF(H3418="""","""",
SUM(
ARRAYFORMULA(
IF(
REGEXMATCH(
"" ""&amp;H3418&amp;"" "",
"" ""&amp;Sentiment_Words!B$2:B3730&amp;"" ""
),
1,
0
)
)
)
)"),0.0)</f>
        <v>0</v>
      </c>
      <c r="L3418" s="7" t="str">
        <f t="shared" si="3"/>
        <v>Other</v>
      </c>
      <c r="M3418" s="7" t="str">
        <f t="shared" si="4"/>
        <v>Positive</v>
      </c>
      <c r="N3418" s="7" t="str">
        <f>IFERROR(__xludf.DUMMYFUNCTION("LOWER(
TRIM(
REGEXREPLACE(B3418,""[^a-zA-Z\s]"","""")
)
)
"),"kelly braun")</f>
        <v>kelly braun</v>
      </c>
      <c r="O3418" s="7">
        <f t="shared" si="5"/>
        <v>1</v>
      </c>
      <c r="P3418" s="8" t="str">
        <f t="shared" si="6"/>
        <v>No</v>
      </c>
    </row>
    <row r="3419">
      <c r="A3419" s="4" t="s">
        <v>16</v>
      </c>
      <c r="B3419" s="4" t="s">
        <v>9476</v>
      </c>
      <c r="C3419" s="9">
        <v>44531.0</v>
      </c>
      <c r="D3419" s="10">
        <v>44531.0</v>
      </c>
      <c r="E3419" s="4" t="s">
        <v>725</v>
      </c>
      <c r="F3419" s="4" t="s">
        <v>9477</v>
      </c>
      <c r="G3419" s="6" t="str">
        <f>IFERROR(__xludf.DUMMYFUNCTION("REGEXREPLACE(LOWER(F3419),""[^a-z\s]"","""")"),"i tried to switch my monthly orders for food treats meds and flea collars to petflow it was a disaster i get how the economy is currently but your communication is terrible i cant work with a company that takes days to acknowledge a request and i see all "&amp;"the bbb complaints your concept is great on paper but you fall short when it comes to execution not a good fit for us at this time unfortunately")</f>
        <v>i tried to switch my monthly orders for food treats meds and flea collars to petflow it was a disaster i get how the economy is currently but your communication is terrible i cant work with a company that takes days to acknowledge a request and i see all the bbb complaints your concept is great on paper but you fall short when it comes to execution not a good fit for us at this time unfortunately</v>
      </c>
      <c r="H3419" s="4" t="str">
        <f t="shared" si="1"/>
        <v>i tried switch my monthly orders food treats meds flea collars petflow it was a disaster i get how economy currently but your communication terrible i cant work with a company that takes days acknowledge a request i see all bbb complaints your concept great on paper but you fall short when it comes execution not a good fit us at this time unfortunately</v>
      </c>
      <c r="I3419" s="6">
        <f t="shared" si="2"/>
        <v>64</v>
      </c>
      <c r="J3419" s="6">
        <f>IFERROR(__xludf.DUMMYFUNCTION("IF(H3419="""","""",
SUM(
ARRAYFORMULA(
IF(
REGEXMATCH(
"" ""&amp;H3419&amp;"" "",
"" ""&amp;Sentiment_Words!A$2:A3730&amp;"" ""
),
1,
0
)
)
)
)"),2.0)</f>
        <v>2</v>
      </c>
      <c r="K3419" s="4">
        <f>IFERROR(__xludf.DUMMYFUNCTION("IF(H3419="""","""",
SUM(
ARRAYFORMULA(
IF(
REGEXMATCH(
"" ""&amp;H3419&amp;"" "",
"" ""&amp;Sentiment_Words!B$2:B3730&amp;"" ""
),
1,
0
)
)
)
)"),1.0)</f>
        <v>1</v>
      </c>
      <c r="L3419" s="7" t="str">
        <f t="shared" si="3"/>
        <v>Other</v>
      </c>
      <c r="M3419" s="7" t="str">
        <f t="shared" si="4"/>
        <v>Positive</v>
      </c>
      <c r="N3419" s="7" t="str">
        <f>IFERROR(__xludf.DUMMYFUNCTION("LOWER(
TRIM(
REGEXREPLACE(B3419,""[^a-zA-Z\s]"","""")
)
)
"),"susan y")</f>
        <v>susan y</v>
      </c>
      <c r="O3419" s="7">
        <f t="shared" si="5"/>
        <v>1</v>
      </c>
      <c r="P3419" s="8" t="str">
        <f t="shared" si="6"/>
        <v>No</v>
      </c>
    </row>
    <row r="3420">
      <c r="A3420" s="4" t="s">
        <v>16</v>
      </c>
      <c r="B3420" s="4" t="s">
        <v>9478</v>
      </c>
      <c r="C3420" s="9">
        <v>44531.0</v>
      </c>
      <c r="D3420" s="10">
        <v>44531.0</v>
      </c>
      <c r="E3420" s="4" t="s">
        <v>9479</v>
      </c>
      <c r="F3420" s="4" t="s">
        <v>9480</v>
      </c>
      <c r="G3420" s="6" t="str">
        <f>IFERROR(__xludf.DUMMYFUNCTION("REGEXREPLACE(LOWER(F3420),""[^a-z\s]"","""")"),"can someone contact me
")</f>
        <v>can someone contact me
</v>
      </c>
      <c r="H3420" s="4" t="str">
        <f t="shared" si="1"/>
        <v>can someone contact me</v>
      </c>
      <c r="I3420" s="6">
        <f t="shared" si="2"/>
        <v>4</v>
      </c>
      <c r="J3420" s="6">
        <f>IFERROR(__xludf.DUMMYFUNCTION("IF(H3420="""","""",
SUM(
ARRAYFORMULA(
IF(
REGEXMATCH(
"" ""&amp;H3420&amp;"" "",
"" ""&amp;Sentiment_Words!A$2:A3730&amp;"" ""
),
1,
0
)
)
)
)"),0.0)</f>
        <v>0</v>
      </c>
      <c r="K3420" s="4">
        <f>IFERROR(__xludf.DUMMYFUNCTION("IF(H3420="""","""",
SUM(
ARRAYFORMULA(
IF(
REGEXMATCH(
"" ""&amp;H3420&amp;"" "",
"" ""&amp;Sentiment_Words!B$2:B3730&amp;"" ""
),
1,
0
)
)
)
)"),0.0)</f>
        <v>0</v>
      </c>
      <c r="L3420" s="7" t="str">
        <f t="shared" si="3"/>
        <v>Other</v>
      </c>
      <c r="M3420" s="7" t="str">
        <f t="shared" si="4"/>
        <v>Neutral</v>
      </c>
      <c r="N3420" s="7" t="str">
        <f>IFERROR(__xludf.DUMMYFUNCTION("LOWER(
TRIM(
REGEXREPLACE(B3420,""[^a-zA-Z\s]"","""")
)
)
"),"tomogotcha")</f>
        <v>tomogotcha</v>
      </c>
      <c r="O3420" s="7">
        <f t="shared" si="5"/>
        <v>1</v>
      </c>
      <c r="P3420" s="8" t="str">
        <f t="shared" si="6"/>
        <v>No</v>
      </c>
    </row>
    <row r="3421">
      <c r="A3421" s="4" t="s">
        <v>16</v>
      </c>
      <c r="B3421" s="4" t="s">
        <v>9481</v>
      </c>
      <c r="C3421" s="9">
        <v>44531.0</v>
      </c>
      <c r="D3421" s="10">
        <v>44531.0</v>
      </c>
      <c r="E3421" s="4" t="s">
        <v>9482</v>
      </c>
      <c r="F3421" s="4" t="s">
        <v>9483</v>
      </c>
      <c r="G3421" s="6" t="str">
        <f>IFERROR(__xludf.DUMMYFUNCTION("REGEXREPLACE(LOWER(F3421),""[^a-z\s]"","""")"),"excellent product delivered quickly competitive pricing")</f>
        <v>excellent product delivered quickly competitive pricing</v>
      </c>
      <c r="H3421" s="4" t="str">
        <f t="shared" si="1"/>
        <v>excellent product delivered quickly competitive pricing</v>
      </c>
      <c r="I3421" s="6">
        <f t="shared" si="2"/>
        <v>6</v>
      </c>
      <c r="J3421" s="6">
        <f>IFERROR(__xludf.DUMMYFUNCTION("IF(H3421="""","""",
SUM(
ARRAYFORMULA(
IF(
REGEXMATCH(
"" ""&amp;H3421&amp;"" "",
"" ""&amp;Sentiment_Words!A$2:A3730&amp;"" ""
),
1,
0
)
)
)
)"),1.0)</f>
        <v>1</v>
      </c>
      <c r="K3421" s="4">
        <f>IFERROR(__xludf.DUMMYFUNCTION("IF(H3421="""","""",
SUM(
ARRAYFORMULA(
IF(
REGEXMATCH(
"" ""&amp;H3421&amp;"" "",
"" ""&amp;Sentiment_Words!B$2:B3730&amp;"" ""
),
1,
0
)
)
)
)"),0.0)</f>
        <v>0</v>
      </c>
      <c r="L3421" s="7" t="str">
        <f t="shared" si="3"/>
        <v>Other</v>
      </c>
      <c r="M3421" s="7" t="str">
        <f t="shared" si="4"/>
        <v>Positive</v>
      </c>
      <c r="N3421" s="7" t="str">
        <f>IFERROR(__xludf.DUMMYFUNCTION("LOWER(
TRIM(
REGEXREPLACE(B3421,""[^a-zA-Z\s]"","""")
)
)
"),"lorilei dunston")</f>
        <v>lorilei dunston</v>
      </c>
      <c r="O3421" s="7">
        <f t="shared" si="5"/>
        <v>1</v>
      </c>
      <c r="P3421" s="8" t="str">
        <f t="shared" si="6"/>
        <v>No</v>
      </c>
    </row>
    <row r="3422">
      <c r="A3422" s="4" t="s">
        <v>16</v>
      </c>
      <c r="B3422" s="4" t="s">
        <v>9484</v>
      </c>
      <c r="C3422" s="5">
        <v>44530.0</v>
      </c>
      <c r="D3422" s="10">
        <v>44530.0</v>
      </c>
      <c r="E3422" s="4" t="s">
        <v>9485</v>
      </c>
      <c r="F3422" s="4" t="s">
        <v>331</v>
      </c>
      <c r="G3422" s="6" t="str">
        <f>IFERROR(__xludf.DUMMYFUNCTION("REGEXREPLACE(LOWER(F3422),""[^a-z\s]"","""")"),"none")</f>
        <v>none</v>
      </c>
      <c r="H3422" s="4" t="str">
        <f t="shared" si="1"/>
        <v>none</v>
      </c>
      <c r="I3422" s="6">
        <f t="shared" si="2"/>
        <v>1</v>
      </c>
      <c r="J3422" s="6">
        <f>IFERROR(__xludf.DUMMYFUNCTION("IF(H3422="""","""",
SUM(
ARRAYFORMULA(
IF(
REGEXMATCH(
"" ""&amp;H3422&amp;"" "",
"" ""&amp;Sentiment_Words!A$2:A3730&amp;"" ""
),
1,
0
)
)
)
)"),0.0)</f>
        <v>0</v>
      </c>
      <c r="K3422" s="4">
        <f>IFERROR(__xludf.DUMMYFUNCTION("IF(H3422="""","""",
SUM(
ARRAYFORMULA(
IF(
REGEXMATCH(
"" ""&amp;H3422&amp;"" "",
"" ""&amp;Sentiment_Words!B$2:B3730&amp;"" ""
),
1,
0
)
)
)
)"),0.0)</f>
        <v>0</v>
      </c>
      <c r="L3422" s="7" t="str">
        <f t="shared" si="3"/>
        <v>Other</v>
      </c>
      <c r="M3422" s="7" t="str">
        <f t="shared" si="4"/>
        <v>Neutral</v>
      </c>
      <c r="N3422" s="7" t="str">
        <f>IFERROR(__xludf.DUMMYFUNCTION("LOWER(
TRIM(
REGEXREPLACE(B3422,""[^a-zA-Z\s]"","""")
)
)
"),"christine b")</f>
        <v>christine b</v>
      </c>
      <c r="O3422" s="7">
        <f t="shared" si="5"/>
        <v>2</v>
      </c>
      <c r="P3422" s="8" t="str">
        <f t="shared" si="6"/>
        <v>Yes</v>
      </c>
    </row>
    <row r="3423">
      <c r="A3423" s="4" t="s">
        <v>16</v>
      </c>
      <c r="B3423" s="4" t="s">
        <v>9486</v>
      </c>
      <c r="C3423" s="5">
        <v>44530.0</v>
      </c>
      <c r="D3423" s="10">
        <v>44530.0</v>
      </c>
      <c r="E3423" s="4" t="s">
        <v>9487</v>
      </c>
      <c r="F3423" s="4" t="s">
        <v>331</v>
      </c>
      <c r="G3423" s="6" t="str">
        <f>IFERROR(__xludf.DUMMYFUNCTION("REGEXREPLACE(LOWER(F3423),""[^a-z\s]"","""")"),"none")</f>
        <v>none</v>
      </c>
      <c r="H3423" s="4" t="str">
        <f t="shared" si="1"/>
        <v>none</v>
      </c>
      <c r="I3423" s="6">
        <f t="shared" si="2"/>
        <v>1</v>
      </c>
      <c r="J3423" s="6">
        <f>IFERROR(__xludf.DUMMYFUNCTION("IF(H3423="""","""",
SUM(
ARRAYFORMULA(
IF(
REGEXMATCH(
"" ""&amp;H3423&amp;"" "",
"" ""&amp;Sentiment_Words!A$2:A3730&amp;"" ""
),
1,
0
)
)
)
)"),0.0)</f>
        <v>0</v>
      </c>
      <c r="K3423" s="4">
        <f>IFERROR(__xludf.DUMMYFUNCTION("IF(H3423="""","""",
SUM(
ARRAYFORMULA(
IF(
REGEXMATCH(
"" ""&amp;H3423&amp;"" "",
"" ""&amp;Sentiment_Words!B$2:B3730&amp;"" ""
),
1,
0
)
)
)
)"),0.0)</f>
        <v>0</v>
      </c>
      <c r="L3423" s="7" t="str">
        <f t="shared" si="3"/>
        <v>Other</v>
      </c>
      <c r="M3423" s="7" t="str">
        <f t="shared" si="4"/>
        <v>Neutral</v>
      </c>
      <c r="N3423" s="7" t="str">
        <f>IFERROR(__xludf.DUMMYFUNCTION("LOWER(
TRIM(
REGEXREPLACE(B3423,""[^a-zA-Z\s]"","""")
)
)
"),"mahzad mohajer")</f>
        <v>mahzad mohajer</v>
      </c>
      <c r="O3423" s="7">
        <f t="shared" si="5"/>
        <v>1</v>
      </c>
      <c r="P3423" s="8" t="str">
        <f t="shared" si="6"/>
        <v>No</v>
      </c>
    </row>
    <row r="3424">
      <c r="A3424" s="4" t="s">
        <v>16</v>
      </c>
      <c r="B3424" s="4" t="s">
        <v>7325</v>
      </c>
      <c r="C3424" s="5">
        <v>44530.0</v>
      </c>
      <c r="D3424" s="10">
        <v>44530.0</v>
      </c>
      <c r="E3424" s="4" t="s">
        <v>9488</v>
      </c>
      <c r="F3424" s="4" t="s">
        <v>331</v>
      </c>
      <c r="G3424" s="6" t="str">
        <f>IFERROR(__xludf.DUMMYFUNCTION("REGEXREPLACE(LOWER(F3424),""[^a-z\s]"","""")"),"none")</f>
        <v>none</v>
      </c>
      <c r="H3424" s="4" t="str">
        <f t="shared" si="1"/>
        <v>none</v>
      </c>
      <c r="I3424" s="6">
        <f t="shared" si="2"/>
        <v>1</v>
      </c>
      <c r="J3424" s="6">
        <f>IFERROR(__xludf.DUMMYFUNCTION("IF(H3424="""","""",
SUM(
ARRAYFORMULA(
IF(
REGEXMATCH(
"" ""&amp;H3424&amp;"" "",
"" ""&amp;Sentiment_Words!A$2:A3730&amp;"" ""
),
1,
0
)
)
)
)"),0.0)</f>
        <v>0</v>
      </c>
      <c r="K3424" s="4">
        <f>IFERROR(__xludf.DUMMYFUNCTION("IF(H3424="""","""",
SUM(
ARRAYFORMULA(
IF(
REGEXMATCH(
"" ""&amp;H3424&amp;"" "",
"" ""&amp;Sentiment_Words!B$2:B3730&amp;"" ""
),
1,
0
)
)
)
)"),0.0)</f>
        <v>0</v>
      </c>
      <c r="L3424" s="7" t="str">
        <f t="shared" si="3"/>
        <v>Other</v>
      </c>
      <c r="M3424" s="7" t="str">
        <f t="shared" si="4"/>
        <v>Neutral</v>
      </c>
      <c r="N3424" s="7" t="str">
        <f>IFERROR(__xludf.DUMMYFUNCTION("LOWER(
TRIM(
REGEXREPLACE(B3424,""[^a-zA-Z\s]"","""")
)
)
"),"carolyn")</f>
        <v>carolyn</v>
      </c>
      <c r="O3424" s="7">
        <f t="shared" si="5"/>
        <v>2</v>
      </c>
      <c r="P3424" s="8" t="str">
        <f t="shared" si="6"/>
        <v>Yes</v>
      </c>
    </row>
    <row r="3425">
      <c r="A3425" s="4" t="s">
        <v>16</v>
      </c>
      <c r="B3425" s="4" t="s">
        <v>9489</v>
      </c>
      <c r="C3425" s="5">
        <v>44530.0</v>
      </c>
      <c r="D3425" s="10">
        <v>44530.0</v>
      </c>
      <c r="E3425" s="4" t="s">
        <v>9490</v>
      </c>
      <c r="F3425" s="4" t="s">
        <v>9491</v>
      </c>
      <c r="G3425" s="6" t="str">
        <f>IFERROR(__xludf.DUMMYFUNCTION("REGEXREPLACE(LOWER(F3425),""[^a-z\s]"","""")"),"need a better way to let people know that their order was shipped with a tracking number had to text you to find out when my order was to be shipped when i received an email telling my that it was shipped and there was no tracking info available need to l"&amp;"et people know the actual day it was shipped not the day the label was made")</f>
        <v>need a better way to let people know that their order was shipped with a tracking number had to text you to find out when my order was to be shipped when i received an email telling my that it was shipped and there was no tracking info available need to let people know the actual day it was shipped not the day the label was made</v>
      </c>
      <c r="H3425" s="4" t="str">
        <f t="shared" si="1"/>
        <v>need a better way let people know that their order was shipped with a tracking number had text you find out when my order was be shipped when i received an email telling my that it was shipped there was no tracking info available need let people know actual day it was shipped not day label was made</v>
      </c>
      <c r="I3425" s="6">
        <f t="shared" si="2"/>
        <v>58</v>
      </c>
      <c r="J3425" s="6">
        <f>IFERROR(__xludf.DUMMYFUNCTION("IF(H3425="""","""",
SUM(
ARRAYFORMULA(
IF(
REGEXMATCH(
"" ""&amp;H3425&amp;"" "",
"" ""&amp;Sentiment_Words!A$2:A3730&amp;"" ""
),
1,
0
)
)
)
)"),1.0)</f>
        <v>1</v>
      </c>
      <c r="K3425" s="4">
        <f>IFERROR(__xludf.DUMMYFUNCTION("IF(H3425="""","""",
SUM(
ARRAYFORMULA(
IF(
REGEXMATCH(
"" ""&amp;H3425&amp;"" "",
"" ""&amp;Sentiment_Words!B$2:B3730&amp;"" ""
),
1,
0
)
)
)
)"),0.0)</f>
        <v>0</v>
      </c>
      <c r="L3425" s="7" t="str">
        <f t="shared" si="3"/>
        <v>Other</v>
      </c>
      <c r="M3425" s="7" t="str">
        <f t="shared" si="4"/>
        <v>Positive</v>
      </c>
      <c r="N3425" s="7" t="str">
        <f>IFERROR(__xludf.DUMMYFUNCTION("LOWER(
TRIM(
REGEXREPLACE(B3425,""[^a-zA-Z\s]"","""")
)
)
"),"todd vandeberg")</f>
        <v>todd vandeberg</v>
      </c>
      <c r="O3425" s="7">
        <f t="shared" si="5"/>
        <v>1</v>
      </c>
      <c r="P3425" s="8" t="str">
        <f t="shared" si="6"/>
        <v>No</v>
      </c>
    </row>
    <row r="3426">
      <c r="A3426" s="4" t="s">
        <v>16</v>
      </c>
      <c r="B3426" s="4" t="s">
        <v>9492</v>
      </c>
      <c r="C3426" s="5">
        <v>44530.0</v>
      </c>
      <c r="D3426" s="10">
        <v>44530.0</v>
      </c>
      <c r="E3426" s="4" t="s">
        <v>9493</v>
      </c>
      <c r="F3426" s="4" t="s">
        <v>9494</v>
      </c>
      <c r="G3426" s="6" t="str">
        <f>IFERROR(__xludf.DUMMYFUNCTION("REGEXREPLACE(LOWER(F3426),""[^a-z\s]"","""")"),"i was able to get my dogs food from you when no other retailer had it thank you")</f>
        <v>i was able to get my dogs food from you when no other retailer had it thank you</v>
      </c>
      <c r="H3426" s="4" t="str">
        <f t="shared" si="1"/>
        <v>i was able get my dogs food from you when no other retailer had it thank you</v>
      </c>
      <c r="I3426" s="6">
        <f t="shared" si="2"/>
        <v>17</v>
      </c>
      <c r="J3426" s="6">
        <f>IFERROR(__xludf.DUMMYFUNCTION("IF(H3426="""","""",
SUM(
ARRAYFORMULA(
IF(
REGEXMATCH(
"" ""&amp;H3426&amp;"" "",
"" ""&amp;Sentiment_Words!A$2:A3730&amp;"" ""
),
1,
0
)
)
)
)"),1.0)</f>
        <v>1</v>
      </c>
      <c r="K3426" s="4">
        <f>IFERROR(__xludf.DUMMYFUNCTION("IF(H3426="""","""",
SUM(
ARRAYFORMULA(
IF(
REGEXMATCH(
"" ""&amp;H3426&amp;"" "",
"" ""&amp;Sentiment_Words!B$2:B3730&amp;"" ""
),
1,
0
)
)
)
)"),0.0)</f>
        <v>0</v>
      </c>
      <c r="L3426" s="7" t="str">
        <f t="shared" si="3"/>
        <v>Other</v>
      </c>
      <c r="M3426" s="7" t="str">
        <f t="shared" si="4"/>
        <v>Positive</v>
      </c>
      <c r="N3426" s="7" t="str">
        <f>IFERROR(__xludf.DUMMYFUNCTION("LOWER(
TRIM(
REGEXREPLACE(B3426,""[^a-zA-Z\s]"","""")
)
)
"),"carol blohm")</f>
        <v>carol blohm</v>
      </c>
      <c r="O3426" s="7">
        <f t="shared" si="5"/>
        <v>1</v>
      </c>
      <c r="P3426" s="8" t="str">
        <f t="shared" si="6"/>
        <v>No</v>
      </c>
    </row>
    <row r="3427">
      <c r="A3427" s="4" t="s">
        <v>16</v>
      </c>
      <c r="B3427" s="4" t="s">
        <v>9495</v>
      </c>
      <c r="C3427" s="5">
        <v>44530.0</v>
      </c>
      <c r="D3427" s="10">
        <v>44530.0</v>
      </c>
      <c r="E3427" s="4" t="s">
        <v>9496</v>
      </c>
      <c r="F3427" s="4" t="s">
        <v>9497</v>
      </c>
      <c r="G3427" s="6" t="str">
        <f>IFERROR(__xludf.DUMMYFUNCTION("REGEXREPLACE(LOWER(F3427),""[^a-z\s]"","""")"),"product was as advertisedworks great arrival was fastprice was good service was friendly and professional great company")</f>
        <v>product was as advertisedworks great arrival was fastprice was good service was friendly and professional great company</v>
      </c>
      <c r="H3427" s="4" t="str">
        <f t="shared" si="1"/>
        <v>product was as advertisedworks great arrival was fastprice was good service was friendly professional great company</v>
      </c>
      <c r="I3427" s="6">
        <f t="shared" si="2"/>
        <v>16</v>
      </c>
      <c r="J3427" s="6">
        <f>IFERROR(__xludf.DUMMYFUNCTION("IF(H3427="""","""",
SUM(
ARRAYFORMULA(
IF(
REGEXMATCH(
"" ""&amp;H3427&amp;"" "",
"" ""&amp;Sentiment_Words!A$2:A3730&amp;"" ""
),
1,
0
)
)
)
)"),2.0)</f>
        <v>2</v>
      </c>
      <c r="K3427" s="4">
        <f>IFERROR(__xludf.DUMMYFUNCTION("IF(H3427="""","""",
SUM(
ARRAYFORMULA(
IF(
REGEXMATCH(
"" ""&amp;H3427&amp;"" "",
"" ""&amp;Sentiment_Words!B$2:B3730&amp;"" ""
),
1,
0
)
)
)
)"),0.0)</f>
        <v>0</v>
      </c>
      <c r="L3427" s="7" t="str">
        <f t="shared" si="3"/>
        <v>Customer Support</v>
      </c>
      <c r="M3427" s="7" t="str">
        <f t="shared" si="4"/>
        <v>Positive</v>
      </c>
      <c r="N3427" s="7" t="str">
        <f>IFERROR(__xludf.DUMMYFUNCTION("LOWER(
TRIM(
REGEXREPLACE(B3427,""[^a-zA-Z\s]"","""")
)
)
"),"gail osborne")</f>
        <v>gail osborne</v>
      </c>
      <c r="O3427" s="7">
        <f t="shared" si="5"/>
        <v>1</v>
      </c>
      <c r="P3427" s="8" t="str">
        <f t="shared" si="6"/>
        <v>No</v>
      </c>
    </row>
    <row r="3428">
      <c r="A3428" s="4" t="s">
        <v>16</v>
      </c>
      <c r="B3428" s="4" t="s">
        <v>9498</v>
      </c>
      <c r="C3428" s="5">
        <v>44529.0</v>
      </c>
      <c r="D3428" s="10">
        <v>44530.0</v>
      </c>
      <c r="E3428" s="4" t="s">
        <v>9499</v>
      </c>
      <c r="F3428" s="4" t="s">
        <v>9500</v>
      </c>
      <c r="G3428" s="6" t="str">
        <f>IFERROR(__xludf.DUMMYFUNCTION("REGEXREPLACE(LOWER(F3428),""[^a-z\s]"","""")")," days after i should have recieved my order i called because i did not know why or where it waswell was told by a very rude lady she would send an e mail to hurry up my order at another warehouse because they had none i asked why they didnot notify me it "&amp;"was scheduled for delivery on the th today is the th i was going to order another but she was so rude i will order my dog supplies thru another companyit should be automatic to let your customer know that you are not sending their dog food i will no longe"&amp;"r want your company to send auto shipand the woman i spoke to should be fired for her rudeness to your customersand she could not tell me when the dog supplies will be shipped")</f>
        <v> days after i should have recieved my order i called because i did not know why or where it waswell was told by a very rude lady she would send an e mail to hurry up my order at another warehouse because they had none i asked why they didnot notify me it was scheduled for delivery on the th today is the th i was going to order another but she was so rude i will order my dog supplies thru another companyit should be automatic to let your customer know that you are not sending their dog food i will no longer want your company to send auto shipand the woman i spoke to should be fired for her rudeness to your customersand she could not tell me when the dog supplies will be shipped</v>
      </c>
      <c r="H3428" s="4" t="str">
        <f t="shared" si="1"/>
        <v>days after i should have recieved my order i called because i did not know why or where it waswell was told by a very rude lady she would send an e mail hurry up my order at another warehouse because they had none i asked why they didnot notify me it was scheduled delivery on th today th i was going order another but she was so rude i will order my dog supplies thru another companyit should be automatic let your customer know that you are not sending their dog food i will no longer want your company send auto shipand woman i spoke should be fired her rudeness your customersand she could not tell me when dog supplies will be shipped</v>
      </c>
      <c r="I3428" s="6">
        <f t="shared" si="2"/>
        <v>124</v>
      </c>
      <c r="J3428" s="6">
        <f>IFERROR(__xludf.DUMMYFUNCTION("IF(H3428="""","""",
SUM(
ARRAYFORMULA(
IF(
REGEXMATCH(
"" ""&amp;H3428&amp;"" "",
"" ""&amp;Sentiment_Words!A$2:A3730&amp;"" ""
),
1,
0
)
)
)
)"),0.0)</f>
        <v>0</v>
      </c>
      <c r="K3428" s="4">
        <f>IFERROR(__xludf.DUMMYFUNCTION("IF(H3428="""","""",
SUM(
ARRAYFORMULA(
IF(
REGEXMATCH(
"" ""&amp;H3428&amp;"" "",
"" ""&amp;Sentiment_Words!B$2:B3730&amp;"" ""
),
1,
0
)
)
)
)"),0.0)</f>
        <v>0</v>
      </c>
      <c r="L3428" s="7" t="str">
        <f t="shared" si="3"/>
        <v>Other</v>
      </c>
      <c r="M3428" s="7" t="str">
        <f t="shared" si="4"/>
        <v>Neutral</v>
      </c>
      <c r="N3428" s="7" t="str">
        <f>IFERROR(__xludf.DUMMYFUNCTION("LOWER(
TRIM(
REGEXREPLACE(B3428,""[^a-zA-Z\s]"","""")
)
)
"),"joan kanowitz")</f>
        <v>joan kanowitz</v>
      </c>
      <c r="O3428" s="7">
        <f t="shared" si="5"/>
        <v>1</v>
      </c>
      <c r="P3428" s="8" t="str">
        <f t="shared" si="6"/>
        <v>No</v>
      </c>
    </row>
    <row r="3429">
      <c r="A3429" s="4" t="s">
        <v>16</v>
      </c>
      <c r="B3429" s="4" t="s">
        <v>9501</v>
      </c>
      <c r="C3429" s="5">
        <v>44529.0</v>
      </c>
      <c r="D3429" s="10">
        <v>44530.0</v>
      </c>
      <c r="E3429" s="4" t="s">
        <v>9502</v>
      </c>
      <c r="F3429" s="4" t="s">
        <v>9503</v>
      </c>
      <c r="G3429" s="6" t="str">
        <f>IFERROR(__xludf.DUMMYFUNCTION("REGEXREPLACE(LOWER(F3429),""[^a-z\s]"","""")"),"fast service good prices arrived in great condition has follow up emails")</f>
        <v>fast service good prices arrived in great condition has follow up emails</v>
      </c>
      <c r="H3429" s="4" t="str">
        <f t="shared" si="1"/>
        <v>fast service good prices arrived in great condition has follow up emails</v>
      </c>
      <c r="I3429" s="6">
        <f t="shared" si="2"/>
        <v>12</v>
      </c>
      <c r="J3429" s="6">
        <f>IFERROR(__xludf.DUMMYFUNCTION("IF(H3429="""","""",
SUM(
ARRAYFORMULA(
IF(
REGEXMATCH(
"" ""&amp;H3429&amp;"" "",
"" ""&amp;Sentiment_Words!A$2:A3730&amp;"" ""
),
1,
0
)
)
)
)"),3.0)</f>
        <v>3</v>
      </c>
      <c r="K3429" s="4">
        <f>IFERROR(__xludf.DUMMYFUNCTION("IF(H3429="""","""",
SUM(
ARRAYFORMULA(
IF(
REGEXMATCH(
"" ""&amp;H3429&amp;"" "",
"" ""&amp;Sentiment_Words!B$2:B3730&amp;"" ""
),
1,
0
)
)
)
)"),0.0)</f>
        <v>0</v>
      </c>
      <c r="L3429" s="7" t="str">
        <f t="shared" si="3"/>
        <v>Customer Support</v>
      </c>
      <c r="M3429" s="7" t="str">
        <f t="shared" si="4"/>
        <v>Positive</v>
      </c>
      <c r="N3429" s="7" t="str">
        <f>IFERROR(__xludf.DUMMYFUNCTION("LOWER(
TRIM(
REGEXREPLACE(B3429,""[^a-zA-Z\s]"","""")
)
)
"),"ronald")</f>
        <v>ronald</v>
      </c>
      <c r="O3429" s="7">
        <f t="shared" si="5"/>
        <v>1</v>
      </c>
      <c r="P3429" s="8" t="str">
        <f t="shared" si="6"/>
        <v>No</v>
      </c>
    </row>
    <row r="3430">
      <c r="A3430" s="4" t="s">
        <v>16</v>
      </c>
      <c r="B3430" s="4" t="s">
        <v>9504</v>
      </c>
      <c r="C3430" s="5">
        <v>44529.0</v>
      </c>
      <c r="D3430" s="10">
        <v>44529.0</v>
      </c>
      <c r="E3430" s="4" t="s">
        <v>9505</v>
      </c>
      <c r="F3430" s="4" t="s">
        <v>9506</v>
      </c>
      <c r="G3430" s="6" t="str">
        <f>IFERROR(__xludf.DUMMYFUNCTION("REGEXREPLACE(LOWER(F3430),""[^a-z\s]"","""")"),"chewys orders always arrived within  days i decided to give petflow a try after close to a week i had to call petflow to ask where the dog food order was they said they delayed getting the order through  waited until the next day to initiate the order and"&amp;" then they were short staffed then mailing delay etc i was leaving for thanksgiving and i was almost placed in a situation where i had to go to pick up a brand at the local store that my dog wasnt used to in order for him to have food over the thanksgivin"&amp;"g week it would have upset his stomach abruptly changing his diet it was my first experience with petflow and it was not a good one")</f>
        <v>chewys orders always arrived within  days i decided to give petflow a try after close to a week i had to call petflow to ask where the dog food order was they said they delayed getting the order through  waited until the next day to initiate the order and then they were short staffed then mailing delay etc i was leaving for thanksgiving and i was almost placed in a situation where i had to go to pick up a brand at the local store that my dog wasnt used to in order for him to have food over the thanksgiving week it would have upset his stomach abruptly changing his diet it was my first experience with petflow and it was not a good one</v>
      </c>
      <c r="H3430" s="4" t="str">
        <f t="shared" si="1"/>
        <v>chewys orders always arrived within days i decided give petflow a try after close a week i had call petflow ask where dog food order was they said they delayed getting order through waited until next day initiate order then they were short staffed then mailing delay etc i was leaving thanksgiving i was almost placed in a situation where i had go pick up a brand at local store that my dog wasnt used in order him have food over thanksgiving week it would have upset his stomach abruptly changing his diet it was my first experience with petflow it was not a good one</v>
      </c>
      <c r="I3430" s="6">
        <f t="shared" si="2"/>
        <v>106</v>
      </c>
      <c r="J3430" s="6">
        <f>IFERROR(__xludf.DUMMYFUNCTION("IF(H3430="""","""",
SUM(
ARRAYFORMULA(
IF(
REGEXMATCH(
"" ""&amp;H3430&amp;"" "",
"" ""&amp;Sentiment_Words!A$2:A3730&amp;"" ""
),
1,
0
)
)
)
)"),1.0)</f>
        <v>1</v>
      </c>
      <c r="K3430" s="4">
        <f>IFERROR(__xludf.DUMMYFUNCTION("IF(H3430="""","""",
SUM(
ARRAYFORMULA(
IF(
REGEXMATCH(
"" ""&amp;H3430&amp;"" "",
"" ""&amp;Sentiment_Words!B$2:B3730&amp;"" ""
),
1,
0
)
)
)
)"),2.0)</f>
        <v>2</v>
      </c>
      <c r="L3430" s="7" t="str">
        <f t="shared" si="3"/>
        <v>Fulfillment &amp; Shipping</v>
      </c>
      <c r="M3430" s="7" t="str">
        <f t="shared" si="4"/>
        <v>Negative</v>
      </c>
      <c r="N3430" s="7" t="str">
        <f>IFERROR(__xludf.DUMMYFUNCTION("LOWER(
TRIM(
REGEXREPLACE(B3430,""[^a-zA-Z\s]"","""")
)
)
"),"jeannie")</f>
        <v>jeannie</v>
      </c>
      <c r="O3430" s="7">
        <f t="shared" si="5"/>
        <v>2</v>
      </c>
      <c r="P3430" s="8" t="str">
        <f t="shared" si="6"/>
        <v>Yes</v>
      </c>
    </row>
    <row r="3431">
      <c r="A3431" s="4" t="s">
        <v>16</v>
      </c>
      <c r="B3431" s="4" t="s">
        <v>9507</v>
      </c>
      <c r="C3431" s="5">
        <v>44529.0</v>
      </c>
      <c r="D3431" s="10">
        <v>44529.0</v>
      </c>
      <c r="E3431" s="4" t="s">
        <v>9508</v>
      </c>
      <c r="F3431" s="4" t="s">
        <v>9509</v>
      </c>
      <c r="G3431" s="6" t="str">
        <f>IFERROR(__xludf.DUMMYFUNCTION("REGEXREPLACE(LOWER(F3431),""[^a-z\s]"","""")"),"i love that my choice of dog food is always ready to deliver to our door when we need it auto ship is great and not having to lug the big bags home from the store is even better")</f>
        <v>i love that my choice of dog food is always ready to deliver to our door when we need it auto ship is great and not having to lug the big bags home from the store is even better</v>
      </c>
      <c r="H3431" s="4" t="str">
        <f t="shared" si="1"/>
        <v>i love that my choice of dog food always ready deliver our door when we need it auto ship great not having lug big bags home from store even better</v>
      </c>
      <c r="I3431" s="6">
        <f t="shared" si="2"/>
        <v>30</v>
      </c>
      <c r="J3431" s="6">
        <f>IFERROR(__xludf.DUMMYFUNCTION("IF(H3431="""","""",
SUM(
ARRAYFORMULA(
IF(
REGEXMATCH(
"" ""&amp;H3431&amp;"" "",
"" ""&amp;Sentiment_Words!A$2:A3730&amp;"" ""
),
1,
0
)
)
)
)"),3.0)</f>
        <v>3</v>
      </c>
      <c r="K3431" s="4">
        <f>IFERROR(__xludf.DUMMYFUNCTION("IF(H3431="""","""",
SUM(
ARRAYFORMULA(
IF(
REGEXMATCH(
"" ""&amp;H3431&amp;"" "",
"" ""&amp;Sentiment_Words!B$2:B3730&amp;"" ""
),
1,
0
)
)
)
)"),0.0)</f>
        <v>0</v>
      </c>
      <c r="L3431" s="7" t="str">
        <f t="shared" si="3"/>
        <v>Other</v>
      </c>
      <c r="M3431" s="7" t="str">
        <f t="shared" si="4"/>
        <v>Positive</v>
      </c>
      <c r="N3431" s="7" t="str">
        <f>IFERROR(__xludf.DUMMYFUNCTION("LOWER(
TRIM(
REGEXREPLACE(B3431,""[^a-zA-Z\s]"","""")
)
)
"),"maria maropakis")</f>
        <v>maria maropakis</v>
      </c>
      <c r="O3431" s="7">
        <f t="shared" si="5"/>
        <v>1</v>
      </c>
      <c r="P3431" s="8" t="str">
        <f t="shared" si="6"/>
        <v>No</v>
      </c>
    </row>
    <row r="3432">
      <c r="A3432" s="4" t="s">
        <v>16</v>
      </c>
      <c r="B3432" s="4" t="s">
        <v>9510</v>
      </c>
      <c r="C3432" s="5">
        <v>44529.0</v>
      </c>
      <c r="D3432" s="10">
        <v>44529.0</v>
      </c>
      <c r="E3432" s="4" t="s">
        <v>9511</v>
      </c>
      <c r="F3432" s="4" t="s">
        <v>9512</v>
      </c>
      <c r="G3432" s="6" t="str">
        <f>IFERROR(__xludf.DUMMYFUNCTION("REGEXREPLACE(LOWER(F3432),""[^a-z\s]"","""")"),"the products i ordered arrived quickly and website was easy to navigate")</f>
        <v>the products i ordered arrived quickly and website was easy to navigate</v>
      </c>
      <c r="H3432" s="4" t="str">
        <f t="shared" si="1"/>
        <v>products i ordered arrived quickly website was easy navigate</v>
      </c>
      <c r="I3432" s="6">
        <f t="shared" si="2"/>
        <v>9</v>
      </c>
      <c r="J3432" s="6">
        <f>IFERROR(__xludf.DUMMYFUNCTION("IF(H3432="""","""",
SUM(
ARRAYFORMULA(
IF(
REGEXMATCH(
"" ""&amp;H3432&amp;"" "",
"" ""&amp;Sentiment_Words!A$2:A3730&amp;"" ""
),
1,
0
)
)
)
)"),1.0)</f>
        <v>1</v>
      </c>
      <c r="K3432" s="4">
        <f>IFERROR(__xludf.DUMMYFUNCTION("IF(H3432="""","""",
SUM(
ARRAYFORMULA(
IF(
REGEXMATCH(
"" ""&amp;H3432&amp;"" "",
"" ""&amp;Sentiment_Words!B$2:B3730&amp;"" ""
),
1,
0
)
)
)
)"),0.0)</f>
        <v>0</v>
      </c>
      <c r="L3432" s="7" t="str">
        <f t="shared" si="3"/>
        <v>Account &amp; Website</v>
      </c>
      <c r="M3432" s="7" t="str">
        <f t="shared" si="4"/>
        <v>Positive</v>
      </c>
      <c r="N3432" s="7" t="str">
        <f>IFERROR(__xludf.DUMMYFUNCTION("LOWER(
TRIM(
REGEXREPLACE(B3432,""[^a-zA-Z\s]"","""")
)
)
"),"diana dane")</f>
        <v>diana dane</v>
      </c>
      <c r="O3432" s="7">
        <f t="shared" si="5"/>
        <v>1</v>
      </c>
      <c r="P3432" s="8" t="str">
        <f t="shared" si="6"/>
        <v>No</v>
      </c>
    </row>
    <row r="3433">
      <c r="A3433" s="4" t="s">
        <v>16</v>
      </c>
      <c r="B3433" s="4" t="s">
        <v>9513</v>
      </c>
      <c r="C3433" s="5">
        <v>44529.0</v>
      </c>
      <c r="D3433" s="10">
        <v>44529.0</v>
      </c>
      <c r="E3433" s="4" t="s">
        <v>9514</v>
      </c>
      <c r="F3433" s="4" t="s">
        <v>9515</v>
      </c>
      <c r="G3433" s="6" t="str">
        <f>IFERROR(__xludf.DUMMYFUNCTION("REGEXREPLACE(LOWER(F3433),""[^a-z\s]"","""")"),"disappointed i created my first order on  and order still hasnt even shipped  no communication updates either uggh")</f>
        <v>disappointed i created my first order on  and order still hasnt even shipped  no communication updates either uggh</v>
      </c>
      <c r="H3433" s="4" t="str">
        <f t="shared" si="1"/>
        <v>disappointed i created my first order on order still hasnt even shipped no communication updates either uggh</v>
      </c>
      <c r="I3433" s="6">
        <f t="shared" si="2"/>
        <v>17</v>
      </c>
      <c r="J3433" s="6">
        <f>IFERROR(__xludf.DUMMYFUNCTION("IF(H3433="""","""",
SUM(
ARRAYFORMULA(
IF(
REGEXMATCH(
"" ""&amp;H3433&amp;"" "",
"" ""&amp;Sentiment_Words!A$2:A3730&amp;"" ""
),
1,
0
)
)
)
)"),0.0)</f>
        <v>0</v>
      </c>
      <c r="K3433" s="4">
        <f>IFERROR(__xludf.DUMMYFUNCTION("IF(H3433="""","""",
SUM(
ARRAYFORMULA(
IF(
REGEXMATCH(
"" ""&amp;H3433&amp;"" "",
"" ""&amp;Sentiment_Words!B$2:B3730&amp;"" ""
),
1,
0
)
)
)
)"),0.0)</f>
        <v>0</v>
      </c>
      <c r="L3433" s="7" t="str">
        <f t="shared" si="3"/>
        <v>Trust &amp; Experience</v>
      </c>
      <c r="M3433" s="7" t="str">
        <f t="shared" si="4"/>
        <v>Neutral</v>
      </c>
      <c r="N3433" s="7" t="str">
        <f>IFERROR(__xludf.DUMMYFUNCTION("LOWER(
TRIM(
REGEXREPLACE(B3433,""[^a-zA-Z\s]"","""")
)
)
"),"kn")</f>
        <v>kn</v>
      </c>
      <c r="O3433" s="7">
        <f t="shared" si="5"/>
        <v>1</v>
      </c>
      <c r="P3433" s="8" t="str">
        <f t="shared" si="6"/>
        <v>No</v>
      </c>
    </row>
    <row r="3434">
      <c r="A3434" s="4" t="s">
        <v>16</v>
      </c>
      <c r="B3434" s="4" t="s">
        <v>9516</v>
      </c>
      <c r="C3434" s="5">
        <v>44529.0</v>
      </c>
      <c r="D3434" s="10">
        <v>44529.0</v>
      </c>
      <c r="E3434" s="4" t="s">
        <v>9517</v>
      </c>
      <c r="F3434" s="4" t="s">
        <v>9518</v>
      </c>
      <c r="G3434" s="6" t="str">
        <f>IFERROR(__xludf.DUMMYFUNCTION("REGEXREPLACE(LOWER(F3434),""[^a-z\s]"","""")"),"very happy with my purchase shipping is fast and communication is excellent")</f>
        <v>very happy with my purchase shipping is fast and communication is excellent</v>
      </c>
      <c r="H3434" s="4" t="str">
        <f t="shared" si="1"/>
        <v>very happy with my purchase shipping fast communication excellent</v>
      </c>
      <c r="I3434" s="6">
        <f t="shared" si="2"/>
        <v>9</v>
      </c>
      <c r="J3434" s="6">
        <f>IFERROR(__xludf.DUMMYFUNCTION("IF(H3434="""","""",
SUM(
ARRAYFORMULA(
IF(
REGEXMATCH(
"" ""&amp;H3434&amp;"" "",
"" ""&amp;Sentiment_Words!A$2:A3730&amp;"" ""
),
1,
0
)
)
)
)"),2.0)</f>
        <v>2</v>
      </c>
      <c r="K3434" s="4">
        <f>IFERROR(__xludf.DUMMYFUNCTION("IF(H3434="""","""",
SUM(
ARRAYFORMULA(
IF(
REGEXMATCH(
"" ""&amp;H3434&amp;"" "",
"" ""&amp;Sentiment_Words!B$2:B3730&amp;"" ""
),
1,
0
)
)
)
)"),0.0)</f>
        <v>0</v>
      </c>
      <c r="L3434" s="7" t="str">
        <f t="shared" si="3"/>
        <v>Other</v>
      </c>
      <c r="M3434" s="7" t="str">
        <f t="shared" si="4"/>
        <v>Positive</v>
      </c>
      <c r="N3434" s="7" t="str">
        <f>IFERROR(__xludf.DUMMYFUNCTION("LOWER(
TRIM(
REGEXREPLACE(B3434,""[^a-zA-Z\s]"","""")
)
)
"),"patricia ragone")</f>
        <v>patricia ragone</v>
      </c>
      <c r="O3434" s="7">
        <f t="shared" si="5"/>
        <v>1</v>
      </c>
      <c r="P3434" s="8" t="str">
        <f t="shared" si="6"/>
        <v>No</v>
      </c>
    </row>
    <row r="3435">
      <c r="A3435" s="4" t="s">
        <v>16</v>
      </c>
      <c r="B3435" s="4" t="s">
        <v>9519</v>
      </c>
      <c r="C3435" s="5">
        <v>44529.0</v>
      </c>
      <c r="D3435" s="10">
        <v>44529.0</v>
      </c>
      <c r="E3435" s="4" t="s">
        <v>3355</v>
      </c>
      <c r="F3435" s="4" t="s">
        <v>9520</v>
      </c>
      <c r="G3435" s="6" t="str">
        <f>IFERROR(__xludf.DUMMYFUNCTION("REGEXREPLACE(LOWER(F3435),""[^a-z\s]"","""")"),"it was supper easy to place my order shipping was quick")</f>
        <v>it was supper easy to place my order shipping was quick</v>
      </c>
      <c r="H3435" s="4" t="str">
        <f t="shared" si="1"/>
        <v>it was supper easy place my order shipping was quick</v>
      </c>
      <c r="I3435" s="6">
        <f t="shared" si="2"/>
        <v>10</v>
      </c>
      <c r="J3435" s="6">
        <f>IFERROR(__xludf.DUMMYFUNCTION("IF(H3435="""","""",
SUM(
ARRAYFORMULA(
IF(
REGEXMATCH(
"" ""&amp;H3435&amp;"" "",
"" ""&amp;Sentiment_Words!A$2:A3730&amp;"" ""
),
1,
0
)
)
)
)"),1.0)</f>
        <v>1</v>
      </c>
      <c r="K3435" s="4">
        <f>IFERROR(__xludf.DUMMYFUNCTION("IF(H3435="""","""",
SUM(
ARRAYFORMULA(
IF(
REGEXMATCH(
"" ""&amp;H3435&amp;"" "",
"" ""&amp;Sentiment_Words!B$2:B3730&amp;"" ""
),
1,
0
)
)
)
)"),0.0)</f>
        <v>0</v>
      </c>
      <c r="L3435" s="7" t="str">
        <f t="shared" si="3"/>
        <v>Other</v>
      </c>
      <c r="M3435" s="7" t="str">
        <f t="shared" si="4"/>
        <v>Positive</v>
      </c>
      <c r="N3435" s="7" t="str">
        <f>IFERROR(__xludf.DUMMYFUNCTION("LOWER(
TRIM(
REGEXREPLACE(B3435,""[^a-zA-Z\s]"","""")
)
)
"),"michael z")</f>
        <v>michael z</v>
      </c>
      <c r="O3435" s="7">
        <f t="shared" si="5"/>
        <v>1</v>
      </c>
      <c r="P3435" s="8" t="str">
        <f t="shared" si="6"/>
        <v>No</v>
      </c>
    </row>
    <row r="3436">
      <c r="A3436" s="4" t="s">
        <v>16</v>
      </c>
      <c r="B3436" s="4" t="s">
        <v>9521</v>
      </c>
      <c r="C3436" s="5">
        <v>44529.0</v>
      </c>
      <c r="D3436" s="10">
        <v>44529.0</v>
      </c>
      <c r="E3436" s="4" t="s">
        <v>9522</v>
      </c>
      <c r="F3436" s="4" t="s">
        <v>9523</v>
      </c>
      <c r="G3436" s="6" t="str">
        <f>IFERROR(__xludf.DUMMYFUNCTION("REGEXREPLACE(LOWER(F3436),""[^a-z\s]"","""")"),"good job sending package on timely basis thank you")</f>
        <v>good job sending package on timely basis thank you</v>
      </c>
      <c r="H3436" s="4" t="str">
        <f t="shared" si="1"/>
        <v>good job sending package on timely basis thank you</v>
      </c>
      <c r="I3436" s="6">
        <f t="shared" si="2"/>
        <v>9</v>
      </c>
      <c r="J3436" s="6">
        <f>IFERROR(__xludf.DUMMYFUNCTION("IF(H3436="""","""",
SUM(
ARRAYFORMULA(
IF(
REGEXMATCH(
"" ""&amp;H3436&amp;"" "",
"" ""&amp;Sentiment_Words!A$2:A3730&amp;"" ""
),
1,
0
)
)
)
)"),1.0)</f>
        <v>1</v>
      </c>
      <c r="K3436" s="4">
        <f>IFERROR(__xludf.DUMMYFUNCTION("IF(H3436="""","""",
SUM(
ARRAYFORMULA(
IF(
REGEXMATCH(
"" ""&amp;H3436&amp;"" "",
"" ""&amp;Sentiment_Words!B$2:B3730&amp;"" ""
),
1,
0
)
)
)
)"),0.0)</f>
        <v>0</v>
      </c>
      <c r="L3436" s="7" t="str">
        <f t="shared" si="3"/>
        <v>Other</v>
      </c>
      <c r="M3436" s="7" t="str">
        <f t="shared" si="4"/>
        <v>Positive</v>
      </c>
      <c r="N3436" s="7" t="str">
        <f>IFERROR(__xludf.DUMMYFUNCTION("LOWER(
TRIM(
REGEXREPLACE(B3436,""[^a-zA-Z\s]"","""")
)
)
"),"sue durante")</f>
        <v>sue durante</v>
      </c>
      <c r="O3436" s="7">
        <f t="shared" si="5"/>
        <v>1</v>
      </c>
      <c r="P3436" s="8" t="str">
        <f t="shared" si="6"/>
        <v>No</v>
      </c>
    </row>
    <row r="3437">
      <c r="A3437" s="4" t="s">
        <v>16</v>
      </c>
      <c r="B3437" s="4" t="s">
        <v>9524</v>
      </c>
      <c r="C3437" s="5">
        <v>44528.0</v>
      </c>
      <c r="D3437" s="10">
        <v>44528.0</v>
      </c>
      <c r="E3437" s="4" t="s">
        <v>9525</v>
      </c>
      <c r="F3437" s="4" t="s">
        <v>9526</v>
      </c>
      <c r="G3437" s="6" t="str">
        <f>IFERROR(__xludf.DUMMYFUNCTION("REGEXREPLACE(LOWER(F3437),""[^a-z\s]"","""")"),"always super fast shipping and great packaging")</f>
        <v>always super fast shipping and great packaging</v>
      </c>
      <c r="H3437" s="4" t="str">
        <f t="shared" si="1"/>
        <v>always super fast shipping great packaging</v>
      </c>
      <c r="I3437" s="6">
        <f t="shared" si="2"/>
        <v>6</v>
      </c>
      <c r="J3437" s="6">
        <f>IFERROR(__xludf.DUMMYFUNCTION("IF(H3437="""","""",
SUM(
ARRAYFORMULA(
IF(
REGEXMATCH(
"" ""&amp;H3437&amp;"" "",
"" ""&amp;Sentiment_Words!A$2:A3730&amp;"" ""
),
1,
0
)
)
)
)"),2.0)</f>
        <v>2</v>
      </c>
      <c r="K3437" s="4">
        <f>IFERROR(__xludf.DUMMYFUNCTION("IF(H3437="""","""",
SUM(
ARRAYFORMULA(
IF(
REGEXMATCH(
"" ""&amp;H3437&amp;"" "",
"" ""&amp;Sentiment_Words!B$2:B3730&amp;"" ""
),
1,
0
)
)
)
)"),0.0)</f>
        <v>0</v>
      </c>
      <c r="L3437" s="7" t="str">
        <f t="shared" si="3"/>
        <v>Other</v>
      </c>
      <c r="M3437" s="7" t="str">
        <f t="shared" si="4"/>
        <v>Positive</v>
      </c>
      <c r="N3437" s="7" t="str">
        <f>IFERROR(__xludf.DUMMYFUNCTION("LOWER(
TRIM(
REGEXREPLACE(B3437,""[^a-zA-Z\s]"","""")
)
)
"),"debrasmith")</f>
        <v>debrasmith</v>
      </c>
      <c r="O3437" s="7">
        <f t="shared" si="5"/>
        <v>1</v>
      </c>
      <c r="P3437" s="8" t="str">
        <f t="shared" si="6"/>
        <v>No</v>
      </c>
    </row>
    <row r="3438">
      <c r="A3438" s="4" t="s">
        <v>16</v>
      </c>
      <c r="B3438" s="4" t="s">
        <v>9527</v>
      </c>
      <c r="C3438" s="5">
        <v>44528.0</v>
      </c>
      <c r="D3438" s="10">
        <v>44528.0</v>
      </c>
      <c r="E3438" s="4" t="s">
        <v>9528</v>
      </c>
      <c r="F3438" s="4" t="s">
        <v>9529</v>
      </c>
      <c r="G3438" s="6" t="str">
        <f>IFERROR(__xludf.DUMMYFUNCTION("REGEXREPLACE(LOWER(F3438),""[^a-z\s]"","""")"),"always good condition of cat bagged food arrived in great shape and the order was correcttimely order")</f>
        <v>always good condition of cat bagged food arrived in great shape and the order was correcttimely order</v>
      </c>
      <c r="H3438" s="4" t="str">
        <f t="shared" si="1"/>
        <v>always good condition of cat bagged food arrived in great shape order was correcttimely order</v>
      </c>
      <c r="I3438" s="6">
        <f t="shared" si="2"/>
        <v>15</v>
      </c>
      <c r="J3438" s="6">
        <f>IFERROR(__xludf.DUMMYFUNCTION("IF(H3438="""","""",
SUM(
ARRAYFORMULA(
IF(
REGEXMATCH(
"" ""&amp;H3438&amp;"" "",
"" ""&amp;Sentiment_Words!A$2:A3730&amp;"" ""
),
1,
0
)
)
)
)"),2.0)</f>
        <v>2</v>
      </c>
      <c r="K3438" s="4">
        <f>IFERROR(__xludf.DUMMYFUNCTION("IF(H3438="""","""",
SUM(
ARRAYFORMULA(
IF(
REGEXMATCH(
"" ""&amp;H3438&amp;"" "",
"" ""&amp;Sentiment_Words!B$2:B3730&amp;"" ""
),
1,
0
)
)
)
)"),0.0)</f>
        <v>0</v>
      </c>
      <c r="L3438" s="7" t="str">
        <f t="shared" si="3"/>
        <v>Other</v>
      </c>
      <c r="M3438" s="7" t="str">
        <f t="shared" si="4"/>
        <v>Positive</v>
      </c>
      <c r="N3438" s="7" t="str">
        <f>IFERROR(__xludf.DUMMYFUNCTION("LOWER(
TRIM(
REGEXREPLACE(B3438,""[^a-zA-Z\s]"","""")
)
)
"),"dennis")</f>
        <v>dennis</v>
      </c>
      <c r="O3438" s="7">
        <f t="shared" si="5"/>
        <v>2</v>
      </c>
      <c r="P3438" s="8" t="str">
        <f t="shared" si="6"/>
        <v>Yes</v>
      </c>
    </row>
    <row r="3439">
      <c r="A3439" s="4" t="s">
        <v>16</v>
      </c>
      <c r="B3439" s="4" t="s">
        <v>9530</v>
      </c>
      <c r="C3439" s="5">
        <v>44526.0</v>
      </c>
      <c r="D3439" s="10">
        <v>44526.0</v>
      </c>
      <c r="E3439" s="4" t="s">
        <v>9531</v>
      </c>
      <c r="F3439" s="4" t="s">
        <v>9532</v>
      </c>
      <c r="G3439" s="6" t="str">
        <f>IFERROR(__xludf.DUMMYFUNCTION("REGEXREPLACE(LOWER(F3439),""[^a-z\s]"","""")"),"had products i couldnt find any other site")</f>
        <v>had products i couldnt find any other site</v>
      </c>
      <c r="H3439" s="4" t="str">
        <f t="shared" si="1"/>
        <v>had products i couldnt find any other site</v>
      </c>
      <c r="I3439" s="6">
        <f t="shared" si="2"/>
        <v>8</v>
      </c>
      <c r="J3439" s="6">
        <f>IFERROR(__xludf.DUMMYFUNCTION("IF(H3439="""","""",
SUM(
ARRAYFORMULA(
IF(
REGEXMATCH(
"" ""&amp;H3439&amp;"" "",
"" ""&amp;Sentiment_Words!A$2:A3730&amp;"" ""
),
1,
0
)
)
)
)"),0.0)</f>
        <v>0</v>
      </c>
      <c r="K3439" s="4">
        <f>IFERROR(__xludf.DUMMYFUNCTION("IF(H3439="""","""",
SUM(
ARRAYFORMULA(
IF(
REGEXMATCH(
"" ""&amp;H3439&amp;"" "",
"" ""&amp;Sentiment_Words!B$2:B3730&amp;"" ""
),
1,
0
)
)
)
)"),0.0)</f>
        <v>0</v>
      </c>
      <c r="L3439" s="7" t="str">
        <f t="shared" si="3"/>
        <v>Other</v>
      </c>
      <c r="M3439" s="7" t="str">
        <f t="shared" si="4"/>
        <v>Neutral</v>
      </c>
      <c r="N3439" s="7" t="str">
        <f>IFERROR(__xludf.DUMMYFUNCTION("LOWER(
TRIM(
REGEXREPLACE(B3439,""[^a-zA-Z\s]"","""")
)
)
"),"james politis")</f>
        <v>james politis</v>
      </c>
      <c r="O3439" s="7">
        <f t="shared" si="5"/>
        <v>1</v>
      </c>
      <c r="P3439" s="8" t="str">
        <f t="shared" si="6"/>
        <v>No</v>
      </c>
    </row>
    <row r="3440">
      <c r="A3440" s="4" t="s">
        <v>16</v>
      </c>
      <c r="B3440" s="4" t="s">
        <v>9533</v>
      </c>
      <c r="C3440" s="5">
        <v>44526.0</v>
      </c>
      <c r="D3440" s="10">
        <v>44526.0</v>
      </c>
      <c r="E3440" s="4" t="s">
        <v>9534</v>
      </c>
      <c r="F3440" s="4" t="s">
        <v>9535</v>
      </c>
      <c r="G3440" s="6" t="str">
        <f>IFERROR(__xludf.DUMMYFUNCTION("REGEXREPLACE(LOWER(F3440),""[^a-z\s]"","""")"),"dog food was listed in stock at time of placing order after a few days of showing shipped ends up order wasnt shipped i called and was informed that it was out of stock in the warehouse")</f>
        <v>dog food was listed in stock at time of placing order after a few days of showing shipped ends up order wasnt shipped i called and was informed that it was out of stock in the warehouse</v>
      </c>
      <c r="H3440" s="4" t="str">
        <f t="shared" si="1"/>
        <v>dog food was listed in stock at time of placing order after a few days of showing shipped ends up order wasnt shipped i called was informed that it was out of stock in warehouse</v>
      </c>
      <c r="I3440" s="6">
        <f t="shared" si="2"/>
        <v>35</v>
      </c>
      <c r="J3440" s="6">
        <f>IFERROR(__xludf.DUMMYFUNCTION("IF(H3440="""","""",
SUM(
ARRAYFORMULA(
IF(
REGEXMATCH(
"" ""&amp;H3440&amp;"" "",
"" ""&amp;Sentiment_Words!A$2:A3730&amp;"" ""
),
1,
0
)
)
)
)"),0.0)</f>
        <v>0</v>
      </c>
      <c r="K3440" s="4">
        <f>IFERROR(__xludf.DUMMYFUNCTION("IF(H3440="""","""",
SUM(
ARRAYFORMULA(
IF(
REGEXMATCH(
"" ""&amp;H3440&amp;"" "",
"" ""&amp;Sentiment_Words!B$2:B3730&amp;"" ""
),
1,
0
)
)
)
)"),1.0)</f>
        <v>1</v>
      </c>
      <c r="L3440" s="7" t="str">
        <f t="shared" si="3"/>
        <v>Availability</v>
      </c>
      <c r="M3440" s="7" t="str">
        <f t="shared" si="4"/>
        <v>Negative</v>
      </c>
      <c r="N3440" s="7" t="str">
        <f>IFERROR(__xludf.DUMMYFUNCTION("LOWER(
TRIM(
REGEXREPLACE(B3440,""[^a-zA-Z\s]"","""")
)
)
"),"todd strickland")</f>
        <v>todd strickland</v>
      </c>
      <c r="O3440" s="7">
        <f t="shared" si="5"/>
        <v>1</v>
      </c>
      <c r="P3440" s="8" t="str">
        <f t="shared" si="6"/>
        <v>No</v>
      </c>
    </row>
    <row r="3441">
      <c r="A3441" s="4" t="s">
        <v>16</v>
      </c>
      <c r="B3441" s="4" t="s">
        <v>9536</v>
      </c>
      <c r="C3441" s="5">
        <v>44526.0</v>
      </c>
      <c r="D3441" s="10">
        <v>44526.0</v>
      </c>
      <c r="E3441" s="4" t="s">
        <v>9537</v>
      </c>
      <c r="F3441" s="4" t="s">
        <v>9538</v>
      </c>
      <c r="G3441" s="6" t="str">
        <f>IFERROR(__xludf.DUMMYFUNCTION("REGEXREPLACE(LOWER(F3441),""[^a-z\s]"","""")"),"never received my order in over a month and spoke to over  customer service people dont buy from this company ")</f>
        <v>never received my order in over a month and spoke to over  customer service people dont buy from this company </v>
      </c>
      <c r="H3441" s="4" t="str">
        <f t="shared" si="1"/>
        <v>never received my order in over a month spoke over customer service people dont buy from this company</v>
      </c>
      <c r="I3441" s="6">
        <f t="shared" si="2"/>
        <v>18</v>
      </c>
      <c r="J3441" s="6">
        <f>IFERROR(__xludf.DUMMYFUNCTION("IF(H3441="""","""",
SUM(
ARRAYFORMULA(
IF(
REGEXMATCH(
"" ""&amp;H3441&amp;"" "",
"" ""&amp;Sentiment_Words!A$2:A3730&amp;"" ""
),
1,
0
)
)
)
)"),0.0)</f>
        <v>0</v>
      </c>
      <c r="K3441" s="4">
        <f>IFERROR(__xludf.DUMMYFUNCTION("IF(H3441="""","""",
SUM(
ARRAYFORMULA(
IF(
REGEXMATCH(
"" ""&amp;H3441&amp;"" "",
"" ""&amp;Sentiment_Words!B$2:B3730&amp;"" ""
),
1,
0
)
)
)
)"),1.0)</f>
        <v>1</v>
      </c>
      <c r="L3441" s="7" t="str">
        <f t="shared" si="3"/>
        <v>Customer Support</v>
      </c>
      <c r="M3441" s="7" t="str">
        <f t="shared" si="4"/>
        <v>Negative</v>
      </c>
      <c r="N3441" s="7" t="str">
        <f>IFERROR(__xludf.DUMMYFUNCTION("LOWER(
TRIM(
REGEXREPLACE(B3441,""[^a-zA-Z\s]"","""")
)
)
"),"evelyn dimiceli")</f>
        <v>evelyn dimiceli</v>
      </c>
      <c r="O3441" s="7">
        <f t="shared" si="5"/>
        <v>1</v>
      </c>
      <c r="P3441" s="8" t="str">
        <f t="shared" si="6"/>
        <v>No</v>
      </c>
    </row>
    <row r="3442">
      <c r="A3442" s="4" t="s">
        <v>16</v>
      </c>
      <c r="B3442" s="4" t="s">
        <v>9539</v>
      </c>
      <c r="C3442" s="5">
        <v>44526.0</v>
      </c>
      <c r="D3442" s="10">
        <v>44526.0</v>
      </c>
      <c r="E3442" s="4" t="s">
        <v>9540</v>
      </c>
      <c r="F3442" s="4" t="s">
        <v>9541</v>
      </c>
      <c r="G3442" s="6" t="str">
        <f>IFERROR(__xludf.DUMMYFUNCTION("REGEXREPLACE(LOWER(F3442),""[^a-z\s]"","""")"),"order placing was easy great site set up like the autoship offer too already referred them to my neighbor")</f>
        <v>order placing was easy great site set up like the autoship offer too already referred them to my neighbor</v>
      </c>
      <c r="H3442" s="4" t="str">
        <f t="shared" si="1"/>
        <v>order placing was easy great site set up like autoship offer too already referred them my neighbor</v>
      </c>
      <c r="I3442" s="6">
        <f t="shared" si="2"/>
        <v>17</v>
      </c>
      <c r="J3442" s="6">
        <f>IFERROR(__xludf.DUMMYFUNCTION("IF(H3442="""","""",
SUM(
ARRAYFORMULA(
IF(
REGEXMATCH(
"" ""&amp;H3442&amp;"" "",
"" ""&amp;Sentiment_Words!A$2:A3730&amp;"" ""
),
1,
0
)
)
)
)"),2.0)</f>
        <v>2</v>
      </c>
      <c r="K3442" s="4">
        <f>IFERROR(__xludf.DUMMYFUNCTION("IF(H3442="""","""",
SUM(
ARRAYFORMULA(
IF(
REGEXMATCH(
"" ""&amp;H3442&amp;"" "",
"" ""&amp;Sentiment_Words!B$2:B3730&amp;"" ""
),
1,
0
)
)
)
)"),0.0)</f>
        <v>0</v>
      </c>
      <c r="L3442" s="7" t="str">
        <f t="shared" si="3"/>
        <v>Other</v>
      </c>
      <c r="M3442" s="7" t="str">
        <f t="shared" si="4"/>
        <v>Positive</v>
      </c>
      <c r="N3442" s="7" t="str">
        <f>IFERROR(__xludf.DUMMYFUNCTION("LOWER(
TRIM(
REGEXREPLACE(B3442,""[^a-zA-Z\s]"","""")
)
)
"),"micahel bennett")</f>
        <v>micahel bennett</v>
      </c>
      <c r="O3442" s="7">
        <f t="shared" si="5"/>
        <v>1</v>
      </c>
      <c r="P3442" s="8" t="str">
        <f t="shared" si="6"/>
        <v>No</v>
      </c>
    </row>
    <row r="3443">
      <c r="A3443" s="4" t="s">
        <v>16</v>
      </c>
      <c r="B3443" s="4" t="s">
        <v>9542</v>
      </c>
      <c r="C3443" s="5">
        <v>44526.0</v>
      </c>
      <c r="D3443" s="10">
        <v>44526.0</v>
      </c>
      <c r="E3443" s="4" t="s">
        <v>9543</v>
      </c>
      <c r="F3443" s="4" t="s">
        <v>9544</v>
      </c>
      <c r="G3443" s="6" t="str">
        <f>IFERROR(__xludf.DUMMYFUNCTION("REGEXREPLACE(LOWER(F3443),""[^a-z\s]"","""")"),"ordering was easy and my purchases arrived quickly which is wonderful during these times
i give this site a  instead of  because i was unable to read reviews on the products i bought my cats are not eating one of them and would like to know what other buy"&amp;"ers said or if they added something to the product")</f>
        <v>ordering was easy and my purchases arrived quickly which is wonderful during these times
i give this site a  instead of  because i was unable to read reviews on the products i bought my cats are not eating one of them and would like to know what other buyers said or if they added something to the product</v>
      </c>
      <c r="H3443" s="4" t="str">
        <f t="shared" si="1"/>
        <v>ordering was easy my purchases arrived quickly which wonderful during these times
i give this site a instead of because i was unable read reviews on products i bought my cats are not eating one of them would like know what other buyers said or if they added something product</v>
      </c>
      <c r="I3443" s="6">
        <f t="shared" si="2"/>
        <v>49</v>
      </c>
      <c r="J3443" s="6">
        <f>IFERROR(__xludf.DUMMYFUNCTION("IF(H3443="""","""",
SUM(
ARRAYFORMULA(
IF(
REGEXMATCH(
"" ""&amp;H3443&amp;"" "",
"" ""&amp;Sentiment_Words!A$2:A3730&amp;"" ""
),
1,
0
)
)
)
)"),2.0)</f>
        <v>2</v>
      </c>
      <c r="K3443" s="4">
        <f>IFERROR(__xludf.DUMMYFUNCTION("IF(H3443="""","""",
SUM(
ARRAYFORMULA(
IF(
REGEXMATCH(
"" ""&amp;H3443&amp;"" "",
"" ""&amp;Sentiment_Words!B$2:B3730&amp;"" ""
),
1,
0
)
)
)
)"),0.0)</f>
        <v>0</v>
      </c>
      <c r="L3443" s="7" t="str">
        <f t="shared" si="3"/>
        <v>Other</v>
      </c>
      <c r="M3443" s="7" t="str">
        <f t="shared" si="4"/>
        <v>Positive</v>
      </c>
      <c r="N3443" s="7" t="str">
        <f>IFERROR(__xludf.DUMMYFUNCTION("LOWER(
TRIM(
REGEXREPLACE(B3443,""[^a-zA-Z\s]"","""")
)
)
"),"irene rodriguez")</f>
        <v>irene rodriguez</v>
      </c>
      <c r="O3443" s="7">
        <f t="shared" si="5"/>
        <v>1</v>
      </c>
      <c r="P3443" s="8" t="str">
        <f t="shared" si="6"/>
        <v>No</v>
      </c>
    </row>
    <row r="3444">
      <c r="A3444" s="4" t="s">
        <v>16</v>
      </c>
      <c r="B3444" s="4" t="s">
        <v>9545</v>
      </c>
      <c r="C3444" s="5">
        <v>44525.0</v>
      </c>
      <c r="D3444" s="10">
        <v>44526.0</v>
      </c>
      <c r="E3444" s="4" t="s">
        <v>9546</v>
      </c>
      <c r="F3444" s="4" t="s">
        <v>9547</v>
      </c>
      <c r="G3444" s="6" t="str">
        <f>IFERROR(__xludf.DUMMYFUNCTION("REGEXREPLACE(LOWER(F3444),""[^a-z\s]"","""")"),"saved from having my kitten upset i have been unable to find the food my kitten eats after several trips to pet store with no luck went online to royal canin site and pet flow was a recommended store to order from fortunately for my kitten yall had plenty"&amp;" of cans for me to order very satisfied with the service received will definitely use again and refer friends to this site")</f>
        <v>saved from having my kitten upset i have been unable to find the food my kitten eats after several trips to pet store with no luck went online to royal canin site and pet flow was a recommended store to order from fortunately for my kitten yall had plenty of cans for me to order very satisfied with the service received will definitely use again and refer friends to this site</v>
      </c>
      <c r="H3444" s="4" t="str">
        <f t="shared" si="1"/>
        <v>saved from having my kitten upset i have been unable find food my kitten eats after several trips pet store with no luck went online royal canin site pet flow was a recommended store order from fortunately my kitten yall had plenty of cans me order very satisfied with service received will definitely use again refer friends this site</v>
      </c>
      <c r="I3444" s="6">
        <f t="shared" si="2"/>
        <v>59</v>
      </c>
      <c r="J3444" s="6">
        <f>IFERROR(__xludf.DUMMYFUNCTION("IF(H3444="""","""",
SUM(
ARRAYFORMULA(
IF(
REGEXMATCH(
"" ""&amp;H3444&amp;"" "",
"" ""&amp;Sentiment_Words!A$2:A3730&amp;"" ""
),
1,
0
)
)
)
)"),1.0)</f>
        <v>1</v>
      </c>
      <c r="K3444" s="4">
        <f>IFERROR(__xludf.DUMMYFUNCTION("IF(H3444="""","""",
SUM(
ARRAYFORMULA(
IF(
REGEXMATCH(
"" ""&amp;H3444&amp;"" "",
"" ""&amp;Sentiment_Words!B$2:B3730&amp;"" ""
),
1,
0
)
)
)
)"),0.0)</f>
        <v>0</v>
      </c>
      <c r="L3444" s="7" t="str">
        <f t="shared" si="3"/>
        <v>Customer Support</v>
      </c>
      <c r="M3444" s="7" t="str">
        <f t="shared" si="4"/>
        <v>Positive</v>
      </c>
      <c r="N3444" s="7" t="str">
        <f>IFERROR(__xludf.DUMMYFUNCTION("LOWER(
TRIM(
REGEXREPLACE(B3444,""[^a-zA-Z\s]"","""")
)
)
"),"penelope mcmillan")</f>
        <v>penelope mcmillan</v>
      </c>
      <c r="O3444" s="7">
        <f t="shared" si="5"/>
        <v>1</v>
      </c>
      <c r="P3444" s="8" t="str">
        <f t="shared" si="6"/>
        <v>No</v>
      </c>
    </row>
    <row r="3445">
      <c r="A3445" s="4" t="s">
        <v>16</v>
      </c>
      <c r="B3445" s="4" t="s">
        <v>9548</v>
      </c>
      <c r="C3445" s="5">
        <v>44525.0</v>
      </c>
      <c r="D3445" s="10">
        <v>44525.0</v>
      </c>
      <c r="E3445" s="4" t="s">
        <v>9549</v>
      </c>
      <c r="F3445" s="4" t="s">
        <v>9550</v>
      </c>
      <c r="G3445" s="6" t="str">
        <f>IFERROR(__xludf.DUMMYFUNCTION("REGEXREPLACE(LOWER(F3445),""[^a-z\s]"","""")"),"i liked the prices and the toys and treats available but several of the items that i ordered sold out and were removed from my order after id checked out and paid for them however i will be giving them another chance when the supply chain problems are bet"&amp;"ter")</f>
        <v>i liked the prices and the toys and treats available but several of the items that i ordered sold out and were removed from my order after id checked out and paid for them however i will be giving them another chance when the supply chain problems are better</v>
      </c>
      <c r="H3445" s="4" t="str">
        <f t="shared" si="1"/>
        <v>i liked prices toys treats available but several of items that i ordered sold out were removed from my order after id checked out paid them however i will be giving them another chance when supply chain problems are better</v>
      </c>
      <c r="I3445" s="6">
        <f t="shared" si="2"/>
        <v>40</v>
      </c>
      <c r="J3445" s="6">
        <f>IFERROR(__xludf.DUMMYFUNCTION("IF(H3445="""","""",
SUM(
ARRAYFORMULA(
IF(
REGEXMATCH(
"" ""&amp;H3445&amp;"" "",
"" ""&amp;Sentiment_Words!A$2:A3730&amp;"" ""
),
1,
0
)
)
)
)"),1.0)</f>
        <v>1</v>
      </c>
      <c r="K3445" s="4">
        <f>IFERROR(__xludf.DUMMYFUNCTION("IF(H3445="""","""",
SUM(
ARRAYFORMULA(
IF(
REGEXMATCH(
"" ""&amp;H3445&amp;"" "",
"" ""&amp;Sentiment_Words!B$2:B3730&amp;"" ""
),
1,
0
)
)
)
)"),0.0)</f>
        <v>0</v>
      </c>
      <c r="L3445" s="7" t="str">
        <f t="shared" si="3"/>
        <v>Other</v>
      </c>
      <c r="M3445" s="7" t="str">
        <f t="shared" si="4"/>
        <v>Positive</v>
      </c>
      <c r="N3445" s="7" t="str">
        <f>IFERROR(__xludf.DUMMYFUNCTION("LOWER(
TRIM(
REGEXREPLACE(B3445,""[^a-zA-Z\s]"","""")
)
)
"),"linda moon")</f>
        <v>linda moon</v>
      </c>
      <c r="O3445" s="7">
        <f t="shared" si="5"/>
        <v>1</v>
      </c>
      <c r="P3445" s="8" t="str">
        <f t="shared" si="6"/>
        <v>No</v>
      </c>
    </row>
    <row r="3446">
      <c r="A3446" s="4" t="s">
        <v>16</v>
      </c>
      <c r="B3446" s="4" t="s">
        <v>9551</v>
      </c>
      <c r="C3446" s="5">
        <v>44525.0</v>
      </c>
      <c r="D3446" s="10">
        <v>44525.0</v>
      </c>
      <c r="E3446" s="4" t="s">
        <v>9552</v>
      </c>
      <c r="F3446" s="4" t="s">
        <v>81</v>
      </c>
      <c r="G3446" s="6" t="str">
        <f>IFERROR(__xludf.DUMMYFUNCTION("REGEXREPLACE(LOWER(F3446),""[^a-z\s]"","""")"),"good service")</f>
        <v>good service</v>
      </c>
      <c r="H3446" s="4" t="str">
        <f t="shared" si="1"/>
        <v>good service</v>
      </c>
      <c r="I3446" s="6">
        <f t="shared" si="2"/>
        <v>2</v>
      </c>
      <c r="J3446" s="6">
        <f>IFERROR(__xludf.DUMMYFUNCTION("IF(H3446="""","""",
SUM(
ARRAYFORMULA(
IF(
REGEXMATCH(
"" ""&amp;H3446&amp;"" "",
"" ""&amp;Sentiment_Words!A$2:A3730&amp;"" ""
),
1,
0
)
)
)
)"),1.0)</f>
        <v>1</v>
      </c>
      <c r="K3446" s="4">
        <f>IFERROR(__xludf.DUMMYFUNCTION("IF(H3446="""","""",
SUM(
ARRAYFORMULA(
IF(
REGEXMATCH(
"" ""&amp;H3446&amp;"" "",
"" ""&amp;Sentiment_Words!B$2:B3730&amp;"" ""
),
1,
0
)
)
)
)"),0.0)</f>
        <v>0</v>
      </c>
      <c r="L3446" s="7" t="str">
        <f t="shared" si="3"/>
        <v>Customer Support</v>
      </c>
      <c r="M3446" s="7" t="str">
        <f t="shared" si="4"/>
        <v>Positive</v>
      </c>
      <c r="N3446" s="7" t="str">
        <f>IFERROR(__xludf.DUMMYFUNCTION("LOWER(
TRIM(
REGEXREPLACE(B3446,""[^a-zA-Z\s]"","""")
)
)
"),"sandy b")</f>
        <v>sandy b</v>
      </c>
      <c r="O3446" s="7">
        <f t="shared" si="5"/>
        <v>1</v>
      </c>
      <c r="P3446" s="8" t="str">
        <f t="shared" si="6"/>
        <v>No</v>
      </c>
    </row>
    <row r="3447">
      <c r="A3447" s="4" t="s">
        <v>16</v>
      </c>
      <c r="B3447" s="4" t="s">
        <v>9553</v>
      </c>
      <c r="C3447" s="5">
        <v>44517.0</v>
      </c>
      <c r="D3447" s="10">
        <v>44518.0</v>
      </c>
      <c r="E3447" s="4" t="s">
        <v>9554</v>
      </c>
      <c r="F3447" s="4" t="s">
        <v>9555</v>
      </c>
      <c r="G3447" s="6" t="str">
        <f>IFERROR(__xludf.DUMMYFUNCTION("REGEXREPLACE(LOWER(F3447),""[^a-z\s]"","""")"),"fast shipping and great inventory of cheap toys")</f>
        <v>fast shipping and great inventory of cheap toys</v>
      </c>
      <c r="H3447" s="4" t="str">
        <f t="shared" si="1"/>
        <v>fast shipping great inventory of cheap toys</v>
      </c>
      <c r="I3447" s="6">
        <f t="shared" si="2"/>
        <v>7</v>
      </c>
      <c r="J3447" s="6">
        <f>IFERROR(__xludf.DUMMYFUNCTION("IF(H3447="""","""",
SUM(
ARRAYFORMULA(
IF(
REGEXMATCH(
"" ""&amp;H3447&amp;"" "",
"" ""&amp;Sentiment_Words!A$2:A3730&amp;"" ""
),
1,
0
)
)
)
)"),2.0)</f>
        <v>2</v>
      </c>
      <c r="K3447" s="4">
        <f>IFERROR(__xludf.DUMMYFUNCTION("IF(H3447="""","""",
SUM(
ARRAYFORMULA(
IF(
REGEXMATCH(
"" ""&amp;H3447&amp;"" "",
"" ""&amp;Sentiment_Words!B$2:B3730&amp;"" ""
),
1,
0
)
)
)
)"),0.0)</f>
        <v>0</v>
      </c>
      <c r="L3447" s="7" t="str">
        <f t="shared" si="3"/>
        <v>Other</v>
      </c>
      <c r="M3447" s="7" t="str">
        <f t="shared" si="4"/>
        <v>Positive</v>
      </c>
      <c r="N3447" s="7" t="str">
        <f>IFERROR(__xludf.DUMMYFUNCTION("LOWER(
TRIM(
REGEXREPLACE(B3447,""[^a-zA-Z\s]"","""")
)
)
"),"deanna nole")</f>
        <v>deanna nole</v>
      </c>
      <c r="O3447" s="7">
        <f t="shared" si="5"/>
        <v>1</v>
      </c>
      <c r="P3447" s="8" t="str">
        <f t="shared" si="6"/>
        <v>No</v>
      </c>
    </row>
    <row r="3448">
      <c r="A3448" s="4" t="s">
        <v>16</v>
      </c>
      <c r="B3448" s="4" t="s">
        <v>9556</v>
      </c>
      <c r="C3448" s="5">
        <v>44517.0</v>
      </c>
      <c r="D3448" s="10">
        <v>44518.0</v>
      </c>
      <c r="E3448" s="4" t="s">
        <v>9557</v>
      </c>
      <c r="F3448" s="4" t="s">
        <v>9558</v>
      </c>
      <c r="G3448" s="6" t="str">
        <f>IFERROR(__xludf.DUMMYFUNCTION("REGEXREPLACE(LOWER(F3448),""[^a-z\s]"","""")"),"we use auto ship for most of the products we buy online i found pet flows autoship program to be extremely difficult to manage and no longer use it as a result i often buy pet products from other suppliers we have  pets and buy a lot of pet products")</f>
        <v>we use auto ship for most of the products we buy online i found pet flows autoship program to be extremely difficult to manage and no longer use it as a result i often buy pet products from other suppliers we have  pets and buy a lot of pet products</v>
      </c>
      <c r="H3448" s="4" t="str">
        <f t="shared" si="1"/>
        <v>we use auto ship most of products we buy online i found pet flows autoship program be extremely difficult manage no longer use it as a result i often buy pet products from other suppliers we have pets buy a lot of pet products</v>
      </c>
      <c r="I3448" s="6">
        <f t="shared" si="2"/>
        <v>44</v>
      </c>
      <c r="J3448" s="6">
        <f>IFERROR(__xludf.DUMMYFUNCTION("IF(H3448="""","""",
SUM(
ARRAYFORMULA(
IF(
REGEXMATCH(
"" ""&amp;H3448&amp;"" "",
"" ""&amp;Sentiment_Words!A$2:A3730&amp;"" ""
),
1,
0
)
)
)
)"),2.0)</f>
        <v>2</v>
      </c>
      <c r="K3448" s="4">
        <f>IFERROR(__xludf.DUMMYFUNCTION("IF(H3448="""","""",
SUM(
ARRAYFORMULA(
IF(
REGEXMATCH(
"" ""&amp;H3448&amp;"" "",
"" ""&amp;Sentiment_Words!B$2:B3730&amp;"" ""
),
1,
0
)
)
)
)"),0.0)</f>
        <v>0</v>
      </c>
      <c r="L3448" s="7" t="str">
        <f t="shared" si="3"/>
        <v>Other</v>
      </c>
      <c r="M3448" s="7" t="str">
        <f t="shared" si="4"/>
        <v>Positive</v>
      </c>
      <c r="N3448" s="7" t="str">
        <f>IFERROR(__xludf.DUMMYFUNCTION("LOWER(
TRIM(
REGEXREPLACE(B3448,""[^a-zA-Z\s]"","""")
)
)
"),"jan murphy")</f>
        <v>jan murphy</v>
      </c>
      <c r="O3448" s="7">
        <f t="shared" si="5"/>
        <v>1</v>
      </c>
      <c r="P3448" s="8" t="str">
        <f t="shared" si="6"/>
        <v>No</v>
      </c>
    </row>
    <row r="3449">
      <c r="A3449" s="4" t="s">
        <v>16</v>
      </c>
      <c r="B3449" s="4" t="s">
        <v>9559</v>
      </c>
      <c r="C3449" s="5">
        <v>44517.0</v>
      </c>
      <c r="D3449" s="10">
        <v>44517.0</v>
      </c>
      <c r="E3449" s="4" t="s">
        <v>9560</v>
      </c>
      <c r="F3449" s="4" t="s">
        <v>9561</v>
      </c>
      <c r="G3449" s="6" t="str">
        <f>IFERROR(__xludf.DUMMYFUNCTION("REGEXREPLACE(LOWER(F3449),""[^a-z\s]"","""")"),"speedy delivery stuff usually comes within  or  days good customer service i called to ask a question about my product and they answered quickly and with good telephone manner i just signed up for autoship well see how that goes i just wished they carried"&amp;" fancy feast grilled chicken and cheddar ")</f>
        <v>speedy delivery stuff usually comes within  or  days good customer service i called to ask a question about my product and they answered quickly and with good telephone manner i just signed up for autoship well see how that goes i just wished they carried fancy feast grilled chicken and cheddar </v>
      </c>
      <c r="H3449" s="4" t="str">
        <f t="shared" si="1"/>
        <v>speedy delivery stuff usually comes within or days good customer service i called ask a question about my product they answered quickly with good telephone manner i just signed up autoship well see how that goes i just wished they carried fancy feast grilled chicken cheddar</v>
      </c>
      <c r="I3449" s="6">
        <f t="shared" si="2"/>
        <v>46</v>
      </c>
      <c r="J3449" s="6">
        <f>IFERROR(__xludf.DUMMYFUNCTION("IF(H3449="""","""",
SUM(
ARRAYFORMULA(
IF(
REGEXMATCH(
"" ""&amp;H3449&amp;"" "",
"" ""&amp;Sentiment_Words!A$2:A3730&amp;"" ""
),
1,
0
)
)
)
)"),1.0)</f>
        <v>1</v>
      </c>
      <c r="K3449" s="4">
        <f>IFERROR(__xludf.DUMMYFUNCTION("IF(H3449="""","""",
SUM(
ARRAYFORMULA(
IF(
REGEXMATCH(
"" ""&amp;H3449&amp;"" "",
"" ""&amp;Sentiment_Words!B$2:B3730&amp;"" ""
),
1,
0
)
)
)
)"),1.0)</f>
        <v>1</v>
      </c>
      <c r="L3449" s="7" t="str">
        <f t="shared" si="3"/>
        <v>Customer Support</v>
      </c>
      <c r="M3449" s="7" t="str">
        <f t="shared" si="4"/>
        <v>Neutral</v>
      </c>
      <c r="N3449" s="7" t="str">
        <f>IFERROR(__xludf.DUMMYFUNCTION("LOWER(
TRIM(
REGEXREPLACE(B3449,""[^a-zA-Z\s]"","""")
)
)
"),"ximena salomon")</f>
        <v>ximena salomon</v>
      </c>
      <c r="O3449" s="7">
        <f t="shared" si="5"/>
        <v>1</v>
      </c>
      <c r="P3449" s="8" t="str">
        <f t="shared" si="6"/>
        <v>No</v>
      </c>
    </row>
    <row r="3450">
      <c r="A3450" s="4" t="s">
        <v>16</v>
      </c>
      <c r="B3450" s="4" t="s">
        <v>9562</v>
      </c>
      <c r="C3450" s="5">
        <v>44517.0</v>
      </c>
      <c r="D3450" s="10">
        <v>44517.0</v>
      </c>
      <c r="E3450" s="4" t="s">
        <v>9563</v>
      </c>
      <c r="F3450" s="4" t="s">
        <v>9564</v>
      </c>
      <c r="G3450" s="6" t="str">
        <f>IFERROR(__xludf.DUMMYFUNCTION("REGEXREPLACE(LOWER(F3450),""[^a-z\s]"","""")"),"we love the convenience of auto shipping we were surprised at how easy it is to add or delete items for a specific auto ship or for future orders the prices are fantastic and i like that i can still find fromm products here")</f>
        <v>we love the convenience of auto shipping we were surprised at how easy it is to add or delete items for a specific auto ship or for future orders the prices are fantastic and i like that i can still find fromm products here</v>
      </c>
      <c r="H3450" s="4" t="str">
        <f t="shared" si="1"/>
        <v>we love convenience of auto shipping we were surprised at how easy it add or delete items a specific auto ship or future orders prices are fantastic i like that i can still find fromm products here</v>
      </c>
      <c r="I3450" s="6">
        <f t="shared" si="2"/>
        <v>37</v>
      </c>
      <c r="J3450" s="6">
        <f>IFERROR(__xludf.DUMMYFUNCTION("IF(H3450="""","""",
SUM(
ARRAYFORMULA(
IF(
REGEXMATCH(
"" ""&amp;H3450&amp;"" "",
"" ""&amp;Sentiment_Words!A$2:A3730&amp;"" ""
),
1,
0
)
)
)
)"),3.0)</f>
        <v>3</v>
      </c>
      <c r="K3450" s="4">
        <f>IFERROR(__xludf.DUMMYFUNCTION("IF(H3450="""","""",
SUM(
ARRAYFORMULA(
IF(
REGEXMATCH(
"" ""&amp;H3450&amp;"" "",
"" ""&amp;Sentiment_Words!B$2:B3730&amp;"" ""
),
1,
0
)
)
)
)"),0.0)</f>
        <v>0</v>
      </c>
      <c r="L3450" s="7" t="str">
        <f t="shared" si="3"/>
        <v>Other</v>
      </c>
      <c r="M3450" s="7" t="str">
        <f t="shared" si="4"/>
        <v>Positive</v>
      </c>
      <c r="N3450" s="7" t="str">
        <f>IFERROR(__xludf.DUMMYFUNCTION("LOWER(
TRIM(
REGEXREPLACE(B3450,""[^a-zA-Z\s]"","""")
)
)
"),"vicky")</f>
        <v>vicky</v>
      </c>
      <c r="O3450" s="7">
        <f t="shared" si="5"/>
        <v>1</v>
      </c>
      <c r="P3450" s="8" t="str">
        <f t="shared" si="6"/>
        <v>No</v>
      </c>
    </row>
    <row r="3451">
      <c r="A3451" s="4" t="s">
        <v>16</v>
      </c>
      <c r="B3451" s="4" t="s">
        <v>9565</v>
      </c>
      <c r="C3451" s="5">
        <v>44517.0</v>
      </c>
      <c r="D3451" s="10">
        <v>44517.0</v>
      </c>
      <c r="E3451" s="4" t="s">
        <v>9566</v>
      </c>
      <c r="F3451" s="4" t="s">
        <v>9567</v>
      </c>
      <c r="G3451" s="6" t="str">
        <f>IFERROR(__xludf.DUMMYFUNCTION("REGEXREPLACE(LOWER(F3451),""[^a-z\s]"","""")"),"very smooth experience good price and reasonable and quick shipping")</f>
        <v>very smooth experience good price and reasonable and quick shipping</v>
      </c>
      <c r="H3451" s="4" t="str">
        <f t="shared" si="1"/>
        <v>very smooth experience good price reasonable quick shipping</v>
      </c>
      <c r="I3451" s="6">
        <f t="shared" si="2"/>
        <v>8</v>
      </c>
      <c r="J3451" s="6">
        <f>IFERROR(__xludf.DUMMYFUNCTION("IF(H3451="""","""",
SUM(
ARRAYFORMULA(
IF(
REGEXMATCH(
"" ""&amp;H3451&amp;"" "",
"" ""&amp;Sentiment_Words!A$2:A3730&amp;"" ""
),
1,
0
)
)
)
)"),1.0)</f>
        <v>1</v>
      </c>
      <c r="K3451" s="4">
        <f>IFERROR(__xludf.DUMMYFUNCTION("IF(H3451="""","""",
SUM(
ARRAYFORMULA(
IF(
REGEXMATCH(
"" ""&amp;H3451&amp;"" "",
"" ""&amp;Sentiment_Words!B$2:B3730&amp;"" ""
),
1,
0
)
)
)
)"),0.0)</f>
        <v>0</v>
      </c>
      <c r="L3451" s="7" t="str">
        <f t="shared" si="3"/>
        <v>Other</v>
      </c>
      <c r="M3451" s="7" t="str">
        <f t="shared" si="4"/>
        <v>Positive</v>
      </c>
      <c r="N3451" s="7" t="str">
        <f>IFERROR(__xludf.DUMMYFUNCTION("LOWER(
TRIM(
REGEXREPLACE(B3451,""[^a-zA-Z\s]"","""")
)
)
"),"joe")</f>
        <v>joe</v>
      </c>
      <c r="O3451" s="7">
        <f t="shared" si="5"/>
        <v>3</v>
      </c>
      <c r="P3451" s="8" t="str">
        <f t="shared" si="6"/>
        <v>Yes</v>
      </c>
    </row>
    <row r="3452">
      <c r="A3452" s="4" t="s">
        <v>16</v>
      </c>
      <c r="B3452" s="4" t="s">
        <v>9568</v>
      </c>
      <c r="C3452" s="5">
        <v>44517.0</v>
      </c>
      <c r="D3452" s="10">
        <v>44517.0</v>
      </c>
      <c r="E3452" s="4" t="s">
        <v>9569</v>
      </c>
      <c r="F3452" s="4" t="s">
        <v>9570</v>
      </c>
      <c r="G3452" s="6" t="str">
        <f>IFERROR(__xludf.DUMMYFUNCTION("REGEXREPLACE(LOWER(F3452),""[^a-z\s]"","""")"),"order and paid for dry dog food and  cans of wet dog food the day they shipped it i got an email saying they will refund me cause they are all of sudden out of that particular wet dog food i then had to run everywhere to find it at the last minute
when th"&amp;"e  lb victor dry dog food arrived it was thrown on my porch half hanging out of the box
needless to say that was my first and last order work them ill stick to chewy")</f>
        <v>order and paid for dry dog food and  cans of wet dog food the day they shipped it i got an email saying they will refund me cause they are all of sudden out of that particular wet dog food i then had to run everywhere to find it at the last minute
when the  lb victor dry dog food arrived it was thrown on my porch half hanging out of the box
needless to say that was my first and last order work them ill stick to chewy</v>
      </c>
      <c r="H3452" s="4" t="str">
        <f t="shared" si="1"/>
        <v>order paid dry dog food cans of wet dog food day they shipped it i got an email saying they will refund me cause they are all of sudden out of that particular wet dog food i then had run everywhere find it at last minute
when lb victor dry dog food arrived it was thrown on my porch half hanging out of box
needless say that was my first last order work them ill stick chewy</v>
      </c>
      <c r="I3452" s="6">
        <f t="shared" si="2"/>
        <v>75</v>
      </c>
      <c r="J3452" s="6">
        <f>IFERROR(__xludf.DUMMYFUNCTION("IF(H3452="""","""",
SUM(
ARRAYFORMULA(
IF(
REGEXMATCH(
"" ""&amp;H3452&amp;"" "",
"" ""&amp;Sentiment_Words!A$2:A3730&amp;"" ""
),
1,
0
)
)
)
)"),0.0)</f>
        <v>0</v>
      </c>
      <c r="K3452" s="4">
        <f>IFERROR(__xludf.DUMMYFUNCTION("IF(H3452="""","""",
SUM(
ARRAYFORMULA(
IF(
REGEXMATCH(
"" ""&amp;H3452&amp;"" "",
"" ""&amp;Sentiment_Words!B$2:B3730&amp;"" ""
),
1,
0
)
)
)
)"),1.0)</f>
        <v>1</v>
      </c>
      <c r="L3452" s="7" t="str">
        <f t="shared" si="3"/>
        <v>Other</v>
      </c>
      <c r="M3452" s="7" t="str">
        <f t="shared" si="4"/>
        <v>Negative</v>
      </c>
      <c r="N3452" s="7" t="str">
        <f>IFERROR(__xludf.DUMMYFUNCTION("LOWER(
TRIM(
REGEXREPLACE(B3452,""[^a-zA-Z\s]"","""")
)
)
"),"narc hall")</f>
        <v>narc hall</v>
      </c>
      <c r="O3452" s="7">
        <f t="shared" si="5"/>
        <v>1</v>
      </c>
      <c r="P3452" s="8" t="str">
        <f t="shared" si="6"/>
        <v>No</v>
      </c>
    </row>
    <row r="3453">
      <c r="A3453" s="4" t="s">
        <v>16</v>
      </c>
      <c r="B3453" s="4" t="s">
        <v>9571</v>
      </c>
      <c r="C3453" s="5">
        <v>44516.0</v>
      </c>
      <c r="D3453" s="10">
        <v>44517.0</v>
      </c>
      <c r="E3453" s="4" t="s">
        <v>9572</v>
      </c>
      <c r="F3453" s="4" t="s">
        <v>9573</v>
      </c>
      <c r="G3453" s="6" t="str">
        <f>IFERROR(__xludf.DUMMYFUNCTION("REGEXREPLACE(LOWER(F3453),""[^a-z\s]"","""")"),"everything went very smoothly from ordering all the way to delivery i was very happy and will use them again")</f>
        <v>everything went very smoothly from ordering all the way to delivery i was very happy and will use them again</v>
      </c>
      <c r="H3453" s="4" t="str">
        <f t="shared" si="1"/>
        <v>everything went very smoothly from ordering all way delivery i was very happy will use them again</v>
      </c>
      <c r="I3453" s="6">
        <f t="shared" si="2"/>
        <v>17</v>
      </c>
      <c r="J3453" s="6">
        <f>IFERROR(__xludf.DUMMYFUNCTION("IF(H3453="""","""",
SUM(
ARRAYFORMULA(
IF(
REGEXMATCH(
"" ""&amp;H3453&amp;"" "",
"" ""&amp;Sentiment_Words!A$2:A3730&amp;"" ""
),
1,
0
)
)
)
)"),1.0)</f>
        <v>1</v>
      </c>
      <c r="K3453" s="4">
        <f>IFERROR(__xludf.DUMMYFUNCTION("IF(H3453="""","""",
SUM(
ARRAYFORMULA(
IF(
REGEXMATCH(
"" ""&amp;H3453&amp;"" "",
"" ""&amp;Sentiment_Words!B$2:B3730&amp;"" ""
),
1,
0
)
)
)
)"),0.0)</f>
        <v>0</v>
      </c>
      <c r="L3453" s="7" t="str">
        <f t="shared" si="3"/>
        <v>Other</v>
      </c>
      <c r="M3453" s="7" t="str">
        <f t="shared" si="4"/>
        <v>Positive</v>
      </c>
      <c r="N3453" s="7" t="str">
        <f>IFERROR(__xludf.DUMMYFUNCTION("LOWER(
TRIM(
REGEXREPLACE(B3453,""[^a-zA-Z\s]"","""")
)
)
"),"kathleen otero")</f>
        <v>kathleen otero</v>
      </c>
      <c r="O3453" s="7">
        <f t="shared" si="5"/>
        <v>1</v>
      </c>
      <c r="P3453" s="8" t="str">
        <f t="shared" si="6"/>
        <v>No</v>
      </c>
    </row>
    <row r="3454">
      <c r="A3454" s="4" t="s">
        <v>16</v>
      </c>
      <c r="B3454" s="4" t="s">
        <v>9574</v>
      </c>
      <c r="C3454" s="5">
        <v>44516.0</v>
      </c>
      <c r="D3454" s="10">
        <v>44517.0</v>
      </c>
      <c r="E3454" s="4" t="s">
        <v>9575</v>
      </c>
      <c r="F3454" s="4" t="s">
        <v>9576</v>
      </c>
      <c r="G3454" s="6" t="str">
        <f>IFERROR(__xludf.DUMMYFUNCTION("REGEXREPLACE(LOWER(F3454),""[^a-z\s]"","""")"),"delivery was delayed  times said  day delivery i got it in days not satisfied with delivery")</f>
        <v>delivery was delayed  times said  day delivery i got it in days not satisfied with delivery</v>
      </c>
      <c r="H3454" s="4" t="str">
        <f t="shared" si="1"/>
        <v>delivery was delayed times said day delivery i got it in days not satisfied with delivery</v>
      </c>
      <c r="I3454" s="6">
        <f t="shared" si="2"/>
        <v>16</v>
      </c>
      <c r="J3454" s="6">
        <f>IFERROR(__xludf.DUMMYFUNCTION("IF(H3454="""","""",
SUM(
ARRAYFORMULA(
IF(
REGEXMATCH(
"" ""&amp;H3454&amp;"" "",
"" ""&amp;Sentiment_Words!A$2:A3730&amp;"" ""
),
1,
0
)
)
)
)"),1.0)</f>
        <v>1</v>
      </c>
      <c r="K3454" s="4">
        <f>IFERROR(__xludf.DUMMYFUNCTION("IF(H3454="""","""",
SUM(
ARRAYFORMULA(
IF(
REGEXMATCH(
"" ""&amp;H3454&amp;"" "",
"" ""&amp;Sentiment_Words!B$2:B3730&amp;"" ""
),
1,
0
)
)
)
)"),1.0)</f>
        <v>1</v>
      </c>
      <c r="L3454" s="7" t="str">
        <f t="shared" si="3"/>
        <v>Fulfillment &amp; Shipping</v>
      </c>
      <c r="M3454" s="7" t="str">
        <f t="shared" si="4"/>
        <v>Neutral</v>
      </c>
      <c r="N3454" s="7" t="str">
        <f>IFERROR(__xludf.DUMMYFUNCTION("LOWER(
TRIM(
REGEXREPLACE(B3454,""[^a-zA-Z\s]"","""")
)
)
"),"donna allen")</f>
        <v>donna allen</v>
      </c>
      <c r="O3454" s="7">
        <f t="shared" si="5"/>
        <v>1</v>
      </c>
      <c r="P3454" s="8" t="str">
        <f t="shared" si="6"/>
        <v>No</v>
      </c>
    </row>
    <row r="3455">
      <c r="A3455" s="4" t="s">
        <v>16</v>
      </c>
      <c r="B3455" s="4" t="s">
        <v>9577</v>
      </c>
      <c r="C3455" s="5">
        <v>44516.0</v>
      </c>
      <c r="D3455" s="10">
        <v>44517.0</v>
      </c>
      <c r="E3455" s="4" t="s">
        <v>9578</v>
      </c>
      <c r="F3455" s="4" t="s">
        <v>9579</v>
      </c>
      <c r="G3455" s="6" t="str">
        <f>IFERROR(__xludf.DUMMYFUNCTION("REGEXREPLACE(LOWER(F3455),""[^a-z\s]"","""")"),"ordered prescription dog food but got nothing but excuses for over a week their reps made one excuse after another as to why my dogs food was not shipped")</f>
        <v>ordered prescription dog food but got nothing but excuses for over a week their reps made one excuse after another as to why my dogs food was not shipped</v>
      </c>
      <c r="H3455" s="4" t="str">
        <f t="shared" si="1"/>
        <v>ordered prescription dog food but got nothing but excuses over a week their reps made one excuse after another as why my dogs food was not shipped</v>
      </c>
      <c r="I3455" s="6">
        <f t="shared" si="2"/>
        <v>27</v>
      </c>
      <c r="J3455" s="6">
        <f>IFERROR(__xludf.DUMMYFUNCTION("IF(H3455="""","""",
SUM(
ARRAYFORMULA(
IF(
REGEXMATCH(
"" ""&amp;H3455&amp;"" "",
"" ""&amp;Sentiment_Words!A$2:A3730&amp;"" ""
),
1,
0
)
)
)
)"),0.0)</f>
        <v>0</v>
      </c>
      <c r="K3455" s="4">
        <f>IFERROR(__xludf.DUMMYFUNCTION("IF(H3455="""","""",
SUM(
ARRAYFORMULA(
IF(
REGEXMATCH(
"" ""&amp;H3455&amp;"" "",
"" ""&amp;Sentiment_Words!B$2:B3730&amp;"" ""
),
1,
0
)
)
)
)"),0.0)</f>
        <v>0</v>
      </c>
      <c r="L3455" s="7" t="str">
        <f t="shared" si="3"/>
        <v>Other</v>
      </c>
      <c r="M3455" s="7" t="str">
        <f t="shared" si="4"/>
        <v>Neutral</v>
      </c>
      <c r="N3455" s="7" t="str">
        <f>IFERROR(__xludf.DUMMYFUNCTION("LOWER(
TRIM(
REGEXREPLACE(B3455,""[^a-zA-Z\s]"","""")
)
)
"),"dog and cat depot sizemore")</f>
        <v>dog and cat depot sizemore</v>
      </c>
      <c r="O3455" s="7">
        <f t="shared" si="5"/>
        <v>1</v>
      </c>
      <c r="P3455" s="8" t="str">
        <f t="shared" si="6"/>
        <v>No</v>
      </c>
    </row>
    <row r="3456">
      <c r="A3456" s="4" t="s">
        <v>16</v>
      </c>
      <c r="B3456" s="4" t="s">
        <v>9580</v>
      </c>
      <c r="C3456" s="5">
        <v>44516.0</v>
      </c>
      <c r="D3456" s="10">
        <v>44516.0</v>
      </c>
      <c r="E3456" s="4" t="s">
        <v>9581</v>
      </c>
      <c r="F3456" s="4" t="s">
        <v>9582</v>
      </c>
      <c r="G3456" s="6" t="str">
        <f>IFERROR(__xludf.DUMMYFUNCTION("REGEXREPLACE(LOWER(F3456),""[^a-z\s]"","""")"),"excellent service im a happy customer")</f>
        <v>excellent service im a happy customer</v>
      </c>
      <c r="H3456" s="4" t="str">
        <f t="shared" si="1"/>
        <v>excellent service im a happy customer</v>
      </c>
      <c r="I3456" s="6">
        <f t="shared" si="2"/>
        <v>6</v>
      </c>
      <c r="J3456" s="6">
        <f>IFERROR(__xludf.DUMMYFUNCTION("IF(H3456="""","""",
SUM(
ARRAYFORMULA(
IF(
REGEXMATCH(
"" ""&amp;H3456&amp;"" "",
"" ""&amp;Sentiment_Words!A$2:A3730&amp;"" ""
),
1,
0
)
)
)
)"),1.0)</f>
        <v>1</v>
      </c>
      <c r="K3456" s="4">
        <f>IFERROR(__xludf.DUMMYFUNCTION("IF(H3456="""","""",
SUM(
ARRAYFORMULA(
IF(
REGEXMATCH(
"" ""&amp;H3456&amp;"" "",
"" ""&amp;Sentiment_Words!B$2:B3730&amp;"" ""
),
1,
0
)
)
)
)"),0.0)</f>
        <v>0</v>
      </c>
      <c r="L3456" s="7" t="str">
        <f t="shared" si="3"/>
        <v>Customer Support</v>
      </c>
      <c r="M3456" s="7" t="str">
        <f t="shared" si="4"/>
        <v>Positive</v>
      </c>
      <c r="N3456" s="7" t="str">
        <f>IFERROR(__xludf.DUMMYFUNCTION("LOWER(
TRIM(
REGEXREPLACE(B3456,""[^a-zA-Z\s]"","""")
)
)
"),"cj demello")</f>
        <v>cj demello</v>
      </c>
      <c r="O3456" s="7">
        <f t="shared" si="5"/>
        <v>1</v>
      </c>
      <c r="P3456" s="8" t="str">
        <f t="shared" si="6"/>
        <v>No</v>
      </c>
    </row>
    <row r="3457">
      <c r="A3457" s="4" t="s">
        <v>16</v>
      </c>
      <c r="B3457" s="4" t="s">
        <v>9583</v>
      </c>
      <c r="C3457" s="5">
        <v>44516.0</v>
      </c>
      <c r="D3457" s="10">
        <v>44516.0</v>
      </c>
      <c r="E3457" s="4" t="s">
        <v>1319</v>
      </c>
      <c r="F3457" s="4" t="s">
        <v>9584</v>
      </c>
      <c r="G3457" s="6" t="str">
        <f>IFERROR(__xludf.DUMMYFUNCTION("REGEXREPLACE(LOWER(F3457),""[^a-z\s]"","""")"),"i am totally impressed with petflow they deliver product quickly and have the pet food in stock and if they are out of stock they will send email to let you know that it is back in stock they are now the only one that carries my dogs food and i hope they "&amp;"always will thank you petflow")</f>
        <v>i am totally impressed with petflow they deliver product quickly and have the pet food in stock and if they are out of stock they will send email to let you know that it is back in stock they are now the only one that carries my dogs food and i hope they always will thank you petflow</v>
      </c>
      <c r="H3457" s="4" t="str">
        <f t="shared" si="1"/>
        <v>i am totally impressed with petflow they deliver product quickly have pet food in stock if they are out of stock they will send email let you know that it back in stock they are now only one that carries my dogs food i hope they always will thank you petflow</v>
      </c>
      <c r="I3457" s="6">
        <f t="shared" si="2"/>
        <v>51</v>
      </c>
      <c r="J3457" s="6">
        <f>IFERROR(__xludf.DUMMYFUNCTION("IF(H3457="""","""",
SUM(
ARRAYFORMULA(
IF(
REGEXMATCH(
"" ""&amp;H3457&amp;"" "",
"" ""&amp;Sentiment_Words!A$2:A3730&amp;"" ""
),
1,
0
)
)
)
)"),1.0)</f>
        <v>1</v>
      </c>
      <c r="K3457" s="4">
        <f>IFERROR(__xludf.DUMMYFUNCTION("IF(H3457="""","""",
SUM(
ARRAYFORMULA(
IF(
REGEXMATCH(
"" ""&amp;H3457&amp;"" "",
"" ""&amp;Sentiment_Words!B$2:B3730&amp;"" ""
),
1,
0
)
)
)
)"),1.0)</f>
        <v>1</v>
      </c>
      <c r="L3457" s="7" t="str">
        <f t="shared" si="3"/>
        <v>Availability</v>
      </c>
      <c r="M3457" s="7" t="str">
        <f t="shared" si="4"/>
        <v>Neutral</v>
      </c>
      <c r="N3457" s="7" t="str">
        <f>IFERROR(__xludf.DUMMYFUNCTION("LOWER(
TRIM(
REGEXREPLACE(B3457,""[^a-zA-Z\s]"","""")
)
)
"),"gail e bueler")</f>
        <v>gail e bueler</v>
      </c>
      <c r="O3457" s="7">
        <f t="shared" si="5"/>
        <v>1</v>
      </c>
      <c r="P3457" s="8" t="str">
        <f t="shared" si="6"/>
        <v>No</v>
      </c>
    </row>
    <row r="3458">
      <c r="A3458" s="4" t="s">
        <v>16</v>
      </c>
      <c r="B3458" s="4" t="s">
        <v>9585</v>
      </c>
      <c r="C3458" s="5">
        <v>44516.0</v>
      </c>
      <c r="D3458" s="10">
        <v>44516.0</v>
      </c>
      <c r="E3458" s="4" t="s">
        <v>9586</v>
      </c>
      <c r="F3458" s="4" t="s">
        <v>9587</v>
      </c>
      <c r="G3458" s="6" t="str">
        <f>IFERROR(__xludf.DUMMYFUNCTION("REGEXREPLACE(LOWER(F3458),""[^a-z\s]"","""")"),"i have been
using petflow for several years because they carry the type of dog food i want my dogs to have and no stores anywhere near me have it in fact trying to get high quality dog food id have to travel an hour one way so it is very convenient to hav"&amp;"e it shipped directly to my home also i recently had an issue with a toy i ordered and they immediately did a full credit for the cost of the toy it is also very easy do a chat with themwhenever i have questions")</f>
        <v>i have been
using petflow for several years because they carry the type of dog food i want my dogs to have and no stores anywhere near me have it in fact trying to get high quality dog food id have to travel an hour one way so it is very convenient to have it shipped directly to my home also i recently had an issue with a toy i ordered and they immediately did a full credit for the cost of the toy it is also very easy do a chat with themwhenever i have questions</v>
      </c>
      <c r="H3458" s="4" t="str">
        <f t="shared" si="1"/>
        <v>i have been
using petflow several years because they carry type of dog food i want my dogs have no stores anywhere near me have it in fact trying get high quality dog food id have travel an hour one way so it very convenient have it shipped directly my home also i recently had an issue with a toy i ordered they immediately did a full credit cost of toy it also very easy do a chat with themwhenever i have questions</v>
      </c>
      <c r="I3458" s="6">
        <f t="shared" si="2"/>
        <v>82</v>
      </c>
      <c r="J3458" s="6">
        <f>IFERROR(__xludf.DUMMYFUNCTION("IF(H3458="""","""",
SUM(
ARRAYFORMULA(
IF(
REGEXMATCH(
"" ""&amp;H3458&amp;"" "",
"" ""&amp;Sentiment_Words!A$2:A3730&amp;"" ""
),
1,
0
)
)
)
)"),3.0)</f>
        <v>3</v>
      </c>
      <c r="K3458" s="4">
        <f>IFERROR(__xludf.DUMMYFUNCTION("IF(H3458="""","""",
SUM(
ARRAYFORMULA(
IF(
REGEXMATCH(
"" ""&amp;H3458&amp;"" "",
"" ""&amp;Sentiment_Words!B$2:B3730&amp;"" ""
),
1,
0
)
)
)
)"),1.0)</f>
        <v>1</v>
      </c>
      <c r="L3458" s="7" t="str">
        <f t="shared" si="3"/>
        <v>Value &amp; Convenience</v>
      </c>
      <c r="M3458" s="7" t="str">
        <f t="shared" si="4"/>
        <v>Positive</v>
      </c>
      <c r="N3458" s="7" t="str">
        <f>IFERROR(__xludf.DUMMYFUNCTION("LOWER(
TRIM(
REGEXREPLACE(B3458,""[^a-zA-Z\s]"","""")
)
)
"),"diana")</f>
        <v>diana</v>
      </c>
      <c r="O3458" s="7">
        <f t="shared" si="5"/>
        <v>1</v>
      </c>
      <c r="P3458" s="8" t="str">
        <f t="shared" si="6"/>
        <v>No</v>
      </c>
    </row>
    <row r="3459">
      <c r="A3459" s="4" t="s">
        <v>16</v>
      </c>
      <c r="B3459" s="4" t="s">
        <v>3116</v>
      </c>
      <c r="C3459" s="5">
        <v>44516.0</v>
      </c>
      <c r="D3459" s="4" t="s">
        <v>9588</v>
      </c>
      <c r="E3459" s="4" t="s">
        <v>9589</v>
      </c>
      <c r="F3459" s="4" t="s">
        <v>9590</v>
      </c>
      <c r="G3459" s="6" t="str">
        <f>IFERROR(__xludf.DUMMYFUNCTION("REGEXREPLACE(LOWER(F3459),""[^a-z\s]"","""")"),"very fast shipping they sell good quality items")</f>
        <v>very fast shipping they sell good quality items</v>
      </c>
      <c r="H3459" s="4" t="str">
        <f t="shared" si="1"/>
        <v>very fast shipping they sell good quality items</v>
      </c>
      <c r="I3459" s="6">
        <f t="shared" si="2"/>
        <v>8</v>
      </c>
      <c r="J3459" s="6">
        <f>IFERROR(__xludf.DUMMYFUNCTION("IF(H3459="""","""",
SUM(
ARRAYFORMULA(
IF(
REGEXMATCH(
"" ""&amp;H3459&amp;"" "",
"" ""&amp;Sentiment_Words!A$2:A3730&amp;"" ""
),
1,
0
)
)
)
)"),2.0)</f>
        <v>2</v>
      </c>
      <c r="K3459" s="4">
        <f>IFERROR(__xludf.DUMMYFUNCTION("IF(H3459="""","""",
SUM(
ARRAYFORMULA(
IF(
REGEXMATCH(
"" ""&amp;H3459&amp;"" "",
"" ""&amp;Sentiment_Words!B$2:B3730&amp;"" ""
),
1,
0
)
)
)
)"),0.0)</f>
        <v>0</v>
      </c>
      <c r="L3459" s="7" t="str">
        <f t="shared" si="3"/>
        <v>Other</v>
      </c>
      <c r="M3459" s="7" t="str">
        <f t="shared" si="4"/>
        <v>Positive</v>
      </c>
      <c r="N3459" s="7" t="str">
        <f>IFERROR(__xludf.DUMMYFUNCTION("LOWER(
TRIM(
REGEXREPLACE(B3459,""[^a-zA-Z\s]"","""")
)
)
"),"janice")</f>
        <v>janice</v>
      </c>
      <c r="O3459" s="7">
        <f t="shared" si="5"/>
        <v>3</v>
      </c>
      <c r="P3459" s="8" t="str">
        <f t="shared" si="6"/>
        <v>Yes</v>
      </c>
    </row>
    <row r="3460">
      <c r="A3460" s="4" t="s">
        <v>16</v>
      </c>
      <c r="B3460" s="4" t="s">
        <v>9591</v>
      </c>
      <c r="C3460" s="5">
        <v>44516.0</v>
      </c>
      <c r="D3460" s="10">
        <v>44516.0</v>
      </c>
      <c r="E3460" s="4" t="s">
        <v>2043</v>
      </c>
      <c r="F3460" s="4" t="s">
        <v>9592</v>
      </c>
      <c r="G3460" s="6" t="str">
        <f>IFERROR(__xludf.DUMMYFUNCTION("REGEXREPLACE(LOWER(F3460),""[^a-z\s]"","""")"),"very good customer service contacted my vet for prescription diet food and shipped out immediately highly recommend")</f>
        <v>very good customer service contacted my vet for prescription diet food and shipped out immediately highly recommend</v>
      </c>
      <c r="H3460" s="4" t="str">
        <f t="shared" si="1"/>
        <v>very good customer service contacted my vet prescription diet food shipped out immediately highly recommend</v>
      </c>
      <c r="I3460" s="6">
        <f t="shared" si="2"/>
        <v>15</v>
      </c>
      <c r="J3460" s="6">
        <f>IFERROR(__xludf.DUMMYFUNCTION("IF(H3460="""","""",
SUM(
ARRAYFORMULA(
IF(
REGEXMATCH(
"" ""&amp;H3460&amp;"" "",
"" ""&amp;Sentiment_Words!A$2:A3730&amp;"" ""
),
1,
0
)
)
)
)"),2.0)</f>
        <v>2</v>
      </c>
      <c r="K3460" s="4">
        <f>IFERROR(__xludf.DUMMYFUNCTION("IF(H3460="""","""",
SUM(
ARRAYFORMULA(
IF(
REGEXMATCH(
"" ""&amp;H3460&amp;"" "",
"" ""&amp;Sentiment_Words!B$2:B3730&amp;"" ""
),
1,
0
)
)
)
)"),1.0)</f>
        <v>1</v>
      </c>
      <c r="L3460" s="7" t="str">
        <f t="shared" si="3"/>
        <v>Customer Support</v>
      </c>
      <c r="M3460" s="7" t="str">
        <f t="shared" si="4"/>
        <v>Positive</v>
      </c>
      <c r="N3460" s="7" t="str">
        <f>IFERROR(__xludf.DUMMYFUNCTION("LOWER(
TRIM(
REGEXREPLACE(B3460,""[^a-zA-Z\s]"","""")
)
)
"),"sara")</f>
        <v>sara</v>
      </c>
      <c r="O3460" s="7">
        <f t="shared" si="5"/>
        <v>3</v>
      </c>
      <c r="P3460" s="8" t="str">
        <f t="shared" si="6"/>
        <v>Yes</v>
      </c>
    </row>
    <row r="3461">
      <c r="A3461" s="4" t="s">
        <v>16</v>
      </c>
      <c r="B3461" s="4" t="s">
        <v>9593</v>
      </c>
      <c r="C3461" s="5">
        <v>44516.0</v>
      </c>
      <c r="D3461" s="10">
        <v>44516.0</v>
      </c>
      <c r="E3461" s="4" t="s">
        <v>1319</v>
      </c>
      <c r="F3461" s="4" t="s">
        <v>9594</v>
      </c>
      <c r="G3461" s="6" t="str">
        <f>IFERROR(__xludf.DUMMYFUNCTION("REGEXREPLACE(LOWER(F3461),""[^a-z\s]"","""")"),"great products and service that excels more than satisfied consumer from maryland ")</f>
        <v>great products and service that excels more than satisfied consumer from maryland </v>
      </c>
      <c r="H3461" s="4" t="str">
        <f t="shared" si="1"/>
        <v>great products service that excels more than satisfied consumer from maryland</v>
      </c>
      <c r="I3461" s="6">
        <f t="shared" si="2"/>
        <v>11</v>
      </c>
      <c r="J3461" s="6">
        <f>IFERROR(__xludf.DUMMYFUNCTION("IF(H3461="""","""",
SUM(
ARRAYFORMULA(
IF(
REGEXMATCH(
"" ""&amp;H3461&amp;"" "",
"" ""&amp;Sentiment_Words!A$2:A3730&amp;"" ""
),
1,
0
)
)
)
)"),2.0)</f>
        <v>2</v>
      </c>
      <c r="K3461" s="4">
        <f>IFERROR(__xludf.DUMMYFUNCTION("IF(H3461="""","""",
SUM(
ARRAYFORMULA(
IF(
REGEXMATCH(
"" ""&amp;H3461&amp;"" "",
"" ""&amp;Sentiment_Words!B$2:B3730&amp;"" ""
),
1,
0
)
)
)
)"),0.0)</f>
        <v>0</v>
      </c>
      <c r="L3461" s="7" t="str">
        <f t="shared" si="3"/>
        <v>Customer Support</v>
      </c>
      <c r="M3461" s="7" t="str">
        <f t="shared" si="4"/>
        <v>Positive</v>
      </c>
      <c r="N3461" s="7" t="str">
        <f>IFERROR(__xludf.DUMMYFUNCTION("LOWER(
TRIM(
REGEXREPLACE(B3461,""[^a-zA-Z\s]"","""")
)
)
"),"denise lanning")</f>
        <v>denise lanning</v>
      </c>
      <c r="O3461" s="7">
        <f t="shared" si="5"/>
        <v>1</v>
      </c>
      <c r="P3461" s="8" t="str">
        <f t="shared" si="6"/>
        <v>No</v>
      </c>
    </row>
    <row r="3462">
      <c r="A3462" s="4" t="s">
        <v>16</v>
      </c>
      <c r="B3462" s="4" t="s">
        <v>9595</v>
      </c>
      <c r="C3462" s="5">
        <v>44515.0</v>
      </c>
      <c r="D3462" s="10">
        <v>44515.0</v>
      </c>
      <c r="E3462" s="4" t="s">
        <v>9596</v>
      </c>
      <c r="F3462" s="4" t="s">
        <v>9597</v>
      </c>
      <c r="G3462" s="6" t="str">
        <f>IFERROR(__xludf.DUMMYFUNCTION("REGEXREPLACE(LOWER(F3462),""[^a-z\s]"","""")"),"i spoke with a very helpful woman who checked with supply  found a case of hills savory cat food our local petsmart had been out of it for a while my  year old cat loves that particular food and takes her meds with itshe has hyperthyroidism the food arriv"&amp;"ed as promised i am grateful for the excellent service thank you")</f>
        <v>i spoke with a very helpful woman who checked with supply  found a case of hills savory cat food our local petsmart had been out of it for a while my  year old cat loves that particular food and takes her meds with itshe has hyperthyroidism the food arrived as promised i am grateful for the excellent service thank you</v>
      </c>
      <c r="H3462" s="4" t="str">
        <f t="shared" si="1"/>
        <v>i spoke with a very helpful woman who checked with supply found a case of hills savory cat food our local petsmart had been out of it a while my year old cat loves that particular food takes her meds with itshe has hyperthyroidism food arrived as promised i am grateful excellent service thank you</v>
      </c>
      <c r="I3462" s="6">
        <f t="shared" si="2"/>
        <v>55</v>
      </c>
      <c r="J3462" s="6">
        <f>IFERROR(__xludf.DUMMYFUNCTION("IF(H3462="""","""",
SUM(
ARRAYFORMULA(
IF(
REGEXMATCH(
"" ""&amp;H3462&amp;"" "",
"" ""&amp;Sentiment_Words!A$2:A3730&amp;"" ""
),
1,
0
)
)
)
)"),2.0)</f>
        <v>2</v>
      </c>
      <c r="K3462" s="4">
        <f>IFERROR(__xludf.DUMMYFUNCTION("IF(H3462="""","""",
SUM(
ARRAYFORMULA(
IF(
REGEXMATCH(
"" ""&amp;H3462&amp;"" "",
"" ""&amp;Sentiment_Words!B$2:B3730&amp;"" ""
),
1,
0
)
)
)
)"),0.0)</f>
        <v>0</v>
      </c>
      <c r="L3462" s="7" t="str">
        <f t="shared" si="3"/>
        <v>Customer Support</v>
      </c>
      <c r="M3462" s="7" t="str">
        <f t="shared" si="4"/>
        <v>Positive</v>
      </c>
      <c r="N3462" s="7" t="str">
        <f>IFERROR(__xludf.DUMMYFUNCTION("LOWER(
TRIM(
REGEXREPLACE(B3462,""[^a-zA-Z\s]"","""")
)
)
"),"mark m")</f>
        <v>mark m</v>
      </c>
      <c r="O3462" s="7">
        <f t="shared" si="5"/>
        <v>1</v>
      </c>
      <c r="P3462" s="8" t="str">
        <f t="shared" si="6"/>
        <v>No</v>
      </c>
    </row>
    <row r="3463">
      <c r="A3463" s="4" t="s">
        <v>16</v>
      </c>
      <c r="B3463" s="4" t="s">
        <v>9598</v>
      </c>
      <c r="C3463" s="5">
        <v>44515.0</v>
      </c>
      <c r="D3463" s="10">
        <v>44515.0</v>
      </c>
      <c r="E3463" s="4" t="s">
        <v>9599</v>
      </c>
      <c r="F3463" s="4" t="s">
        <v>9600</v>
      </c>
      <c r="G3463" s="6" t="str">
        <f>IFERROR(__xludf.DUMMYFUNCTION("REGEXREPLACE(LOWER(F3463),""[^a-z\s]"","""")"),"i placed an order on  received an email saying i would get a shipping confirmation when it shipped when not received by  i reached out to customer service and was told it was delivered on  as of  i still have no food  was forced to order elsewhere your cu"&amp;"stomer service did respond but were not helpful")</f>
        <v>i placed an order on  received an email saying i would get a shipping confirmation when it shipped when not received by  i reached out to customer service and was told it was delivered on  as of  i still have no food  was forced to order elsewhere your customer service did respond but were not helpful</v>
      </c>
      <c r="H3463" s="4" t="str">
        <f t="shared" si="1"/>
        <v>i placed an order on received an email saying i would get a shipping confirmation when it shipped when not received by i reached out customer service was told it was delivered on as of i still have no food was forced order elsewhere your customer service did respond but were not helpful</v>
      </c>
      <c r="I3463" s="6">
        <f t="shared" si="2"/>
        <v>53</v>
      </c>
      <c r="J3463" s="6">
        <f>IFERROR(__xludf.DUMMYFUNCTION("IF(H3463="""","""",
SUM(
ARRAYFORMULA(
IF(
REGEXMATCH(
"" ""&amp;H3463&amp;"" "",
"" ""&amp;Sentiment_Words!A$2:A3730&amp;"" ""
),
1,
0
)
)
)
)"),2.0)</f>
        <v>2</v>
      </c>
      <c r="K3463" s="4">
        <f>IFERROR(__xludf.DUMMYFUNCTION("IF(H3463="""","""",
SUM(
ARRAYFORMULA(
IF(
REGEXMATCH(
"" ""&amp;H3463&amp;"" "",
"" ""&amp;Sentiment_Words!B$2:B3730&amp;"" ""
),
1,
0
)
)
)
)"),1.0)</f>
        <v>1</v>
      </c>
      <c r="L3463" s="7" t="str">
        <f t="shared" si="3"/>
        <v>Customer Support</v>
      </c>
      <c r="M3463" s="7" t="str">
        <f t="shared" si="4"/>
        <v>Positive</v>
      </c>
      <c r="N3463" s="7" t="str">
        <f>IFERROR(__xludf.DUMMYFUNCTION("LOWER(
TRIM(
REGEXREPLACE(B3463,""[^a-zA-Z\s]"","""")
)
)
"),"susan robertson")</f>
        <v>susan robertson</v>
      </c>
      <c r="O3463" s="7">
        <f t="shared" si="5"/>
        <v>1</v>
      </c>
      <c r="P3463" s="8" t="str">
        <f t="shared" si="6"/>
        <v>No</v>
      </c>
    </row>
    <row r="3464">
      <c r="A3464" s="4" t="s">
        <v>16</v>
      </c>
      <c r="B3464" s="4" t="s">
        <v>9601</v>
      </c>
      <c r="C3464" s="5">
        <v>44515.0</v>
      </c>
      <c r="D3464" s="10">
        <v>44515.0</v>
      </c>
      <c r="E3464" s="4" t="s">
        <v>9602</v>
      </c>
      <c r="F3464" s="4" t="s">
        <v>9603</v>
      </c>
      <c r="G3464" s="6" t="str">
        <f>IFERROR(__xludf.DUMMYFUNCTION("REGEXREPLACE(LOWER(F3464),""[^a-z\s]"","""")"),"my husband shopped here last christmas and gave it  stars i like the site because they have unusual things and make great gift items")</f>
        <v>my husband shopped here last christmas and gave it  stars i like the site because they have unusual things and make great gift items</v>
      </c>
      <c r="H3464" s="4" t="str">
        <f t="shared" si="1"/>
        <v>my husband shopped here last christmas gave it stars i like site because they have unusual things make great gift items</v>
      </c>
      <c r="I3464" s="6">
        <f t="shared" si="2"/>
        <v>21</v>
      </c>
      <c r="J3464" s="6">
        <f>IFERROR(__xludf.DUMMYFUNCTION("IF(H3464="""","""",
SUM(
ARRAYFORMULA(
IF(
REGEXMATCH(
"" ""&amp;H3464&amp;"" "",
"" ""&amp;Sentiment_Words!A$2:A3730&amp;"" ""
),
1,
0
)
)
)
)"),1.0)</f>
        <v>1</v>
      </c>
      <c r="K3464" s="4">
        <f>IFERROR(__xludf.DUMMYFUNCTION("IF(H3464="""","""",
SUM(
ARRAYFORMULA(
IF(
REGEXMATCH(
"" ""&amp;H3464&amp;"" "",
"" ""&amp;Sentiment_Words!B$2:B3730&amp;"" ""
),
1,
0
)
)
)
)"),0.0)</f>
        <v>0</v>
      </c>
      <c r="L3464" s="7" t="str">
        <f t="shared" si="3"/>
        <v>Other</v>
      </c>
      <c r="M3464" s="7" t="str">
        <f t="shared" si="4"/>
        <v>Positive</v>
      </c>
      <c r="N3464" s="7" t="str">
        <f>IFERROR(__xludf.DUMMYFUNCTION("LOWER(
TRIM(
REGEXREPLACE(B3464,""[^a-zA-Z\s]"","""")
)
)
"),"harriett hoffman")</f>
        <v>harriett hoffman</v>
      </c>
      <c r="O3464" s="7">
        <f t="shared" si="5"/>
        <v>1</v>
      </c>
      <c r="P3464" s="8" t="str">
        <f t="shared" si="6"/>
        <v>No</v>
      </c>
    </row>
    <row r="3465">
      <c r="A3465" s="4" t="s">
        <v>16</v>
      </c>
      <c r="B3465" s="4" t="s">
        <v>9604</v>
      </c>
      <c r="C3465" s="5">
        <v>44515.0</v>
      </c>
      <c r="D3465" s="10">
        <v>44515.0</v>
      </c>
      <c r="E3465" s="4" t="s">
        <v>9605</v>
      </c>
      <c r="F3465" s="4" t="s">
        <v>331</v>
      </c>
      <c r="G3465" s="6" t="str">
        <f>IFERROR(__xludf.DUMMYFUNCTION("REGEXREPLACE(LOWER(F3465),""[^a-z\s]"","""")"),"none")</f>
        <v>none</v>
      </c>
      <c r="H3465" s="4" t="str">
        <f t="shared" si="1"/>
        <v>none</v>
      </c>
      <c r="I3465" s="6">
        <f t="shared" si="2"/>
        <v>1</v>
      </c>
      <c r="J3465" s="6">
        <f>IFERROR(__xludf.DUMMYFUNCTION("IF(H3465="""","""",
SUM(
ARRAYFORMULA(
IF(
REGEXMATCH(
"" ""&amp;H3465&amp;"" "",
"" ""&amp;Sentiment_Words!A$2:A3730&amp;"" ""
),
1,
0
)
)
)
)"),0.0)</f>
        <v>0</v>
      </c>
      <c r="K3465" s="4">
        <f>IFERROR(__xludf.DUMMYFUNCTION("IF(H3465="""","""",
SUM(
ARRAYFORMULA(
IF(
REGEXMATCH(
"" ""&amp;H3465&amp;"" "",
"" ""&amp;Sentiment_Words!B$2:B3730&amp;"" ""
),
1,
0
)
)
)
)"),0.0)</f>
        <v>0</v>
      </c>
      <c r="L3465" s="7" t="str">
        <f t="shared" si="3"/>
        <v>Other</v>
      </c>
      <c r="M3465" s="7" t="str">
        <f t="shared" si="4"/>
        <v>Neutral</v>
      </c>
      <c r="N3465" s="7" t="str">
        <f>IFERROR(__xludf.DUMMYFUNCTION("LOWER(
TRIM(
REGEXREPLACE(B3465,""[^a-zA-Z\s]"","""")
)
)
"),"diesels mom")</f>
        <v>diesels mom</v>
      </c>
      <c r="O3465" s="7">
        <f t="shared" si="5"/>
        <v>1</v>
      </c>
      <c r="P3465" s="8" t="str">
        <f t="shared" si="6"/>
        <v>No</v>
      </c>
    </row>
    <row r="3466">
      <c r="A3466" s="4" t="s">
        <v>16</v>
      </c>
      <c r="B3466" s="4" t="s">
        <v>5675</v>
      </c>
      <c r="C3466" s="5">
        <v>44515.0</v>
      </c>
      <c r="D3466" s="10">
        <v>44515.0</v>
      </c>
      <c r="E3466" s="4" t="s">
        <v>9606</v>
      </c>
      <c r="F3466" s="4" t="s">
        <v>331</v>
      </c>
      <c r="G3466" s="6" t="str">
        <f>IFERROR(__xludf.DUMMYFUNCTION("REGEXREPLACE(LOWER(F3466),""[^a-z\s]"","""")"),"none")</f>
        <v>none</v>
      </c>
      <c r="H3466" s="4" t="str">
        <f t="shared" si="1"/>
        <v>none</v>
      </c>
      <c r="I3466" s="6">
        <f t="shared" si="2"/>
        <v>1</v>
      </c>
      <c r="J3466" s="6">
        <f>IFERROR(__xludf.DUMMYFUNCTION("IF(H3466="""","""",
SUM(
ARRAYFORMULA(
IF(
REGEXMATCH(
"" ""&amp;H3466&amp;"" "",
"" ""&amp;Sentiment_Words!A$2:A3730&amp;"" ""
),
1,
0
)
)
)
)"),0.0)</f>
        <v>0</v>
      </c>
      <c r="K3466" s="4">
        <f>IFERROR(__xludf.DUMMYFUNCTION("IF(H3466="""","""",
SUM(
ARRAYFORMULA(
IF(
REGEXMATCH(
"" ""&amp;H3466&amp;"" "",
"" ""&amp;Sentiment_Words!B$2:B3730&amp;"" ""
),
1,
0
)
)
)
)"),0.0)</f>
        <v>0</v>
      </c>
      <c r="L3466" s="7" t="str">
        <f t="shared" si="3"/>
        <v>Other</v>
      </c>
      <c r="M3466" s="7" t="str">
        <f t="shared" si="4"/>
        <v>Neutral</v>
      </c>
      <c r="N3466" s="7" t="str">
        <f>IFERROR(__xludf.DUMMYFUNCTION("LOWER(
TRIM(
REGEXREPLACE(B3466,""[^a-zA-Z\s]"","""")
)
)
"),"sharon")</f>
        <v>sharon</v>
      </c>
      <c r="O3466" s="7">
        <f t="shared" si="5"/>
        <v>5</v>
      </c>
      <c r="P3466" s="8" t="str">
        <f t="shared" si="6"/>
        <v>Yes</v>
      </c>
    </row>
    <row r="3467">
      <c r="A3467" s="4" t="s">
        <v>16</v>
      </c>
      <c r="B3467" s="4" t="s">
        <v>9607</v>
      </c>
      <c r="C3467" s="5">
        <v>44515.0</v>
      </c>
      <c r="D3467" s="10">
        <v>44515.0</v>
      </c>
      <c r="E3467" s="4" t="s">
        <v>9608</v>
      </c>
      <c r="F3467" s="4" t="s">
        <v>9609</v>
      </c>
      <c r="G3467" s="6" t="str">
        <f>IFERROR(__xludf.DUMMYFUNCTION("REGEXREPLACE(LOWER(F3467),""[^a-z\s]"","""")"),"i requested the heavy package be left at the garage door under the overhang but it was left at the front door instead otherwise very easy convenient efficient order and delivery")</f>
        <v>i requested the heavy package be left at the garage door under the overhang but it was left at the front door instead otherwise very easy convenient efficient order and delivery</v>
      </c>
      <c r="H3467" s="4" t="str">
        <f t="shared" si="1"/>
        <v>i requested heavy package be left at garage door under overhang but it was left at front door instead otherwise very easy convenient efficient order delivery</v>
      </c>
      <c r="I3467" s="6">
        <f t="shared" si="2"/>
        <v>26</v>
      </c>
      <c r="J3467" s="6">
        <f>IFERROR(__xludf.DUMMYFUNCTION("IF(H3467="""","""",
SUM(
ARRAYFORMULA(
IF(
REGEXMATCH(
"" ""&amp;H3467&amp;"" "",
"" ""&amp;Sentiment_Words!A$2:A3730&amp;"" ""
),
1,
0
)
)
)
)"),3.0)</f>
        <v>3</v>
      </c>
      <c r="K3467" s="4">
        <f>IFERROR(__xludf.DUMMYFUNCTION("IF(H3467="""","""",
SUM(
ARRAYFORMULA(
IF(
REGEXMATCH(
"" ""&amp;H3467&amp;"" "",
"" ""&amp;Sentiment_Words!B$2:B3730&amp;"" ""
),
1,
0
)
)
)
)"),0.0)</f>
        <v>0</v>
      </c>
      <c r="L3467" s="7" t="str">
        <f t="shared" si="3"/>
        <v>Value &amp; Convenience</v>
      </c>
      <c r="M3467" s="7" t="str">
        <f t="shared" si="4"/>
        <v>Positive</v>
      </c>
      <c r="N3467" s="7" t="str">
        <f>IFERROR(__xludf.DUMMYFUNCTION("LOWER(
TRIM(
REGEXREPLACE(B3467,""[^a-zA-Z\s]"","""")
)
)
"),"melissa shaffer")</f>
        <v>melissa shaffer</v>
      </c>
      <c r="O3467" s="7">
        <f t="shared" si="5"/>
        <v>1</v>
      </c>
      <c r="P3467" s="8" t="str">
        <f t="shared" si="6"/>
        <v>No</v>
      </c>
    </row>
    <row r="3468">
      <c r="A3468" s="4" t="s">
        <v>16</v>
      </c>
      <c r="B3468" s="4" t="s">
        <v>9610</v>
      </c>
      <c r="C3468" s="5">
        <v>44515.0</v>
      </c>
      <c r="D3468" s="10">
        <v>44515.0</v>
      </c>
      <c r="E3468" s="4" t="s">
        <v>9611</v>
      </c>
      <c r="F3468" s="4" t="s">
        <v>9612</v>
      </c>
      <c r="G3468" s="6" t="str">
        <f>IFERROR(__xludf.DUMMYFUNCTION("REGEXREPLACE(LOWER(F3468),""[^a-z\s]"","""")"),"excellent service and everything packed with care")</f>
        <v>excellent service and everything packed with care</v>
      </c>
      <c r="H3468" s="4" t="str">
        <f t="shared" si="1"/>
        <v>excellent service everything packed with care</v>
      </c>
      <c r="I3468" s="6">
        <f t="shared" si="2"/>
        <v>6</v>
      </c>
      <c r="J3468" s="6">
        <f>IFERROR(__xludf.DUMMYFUNCTION("IF(H3468="""","""",
SUM(
ARRAYFORMULA(
IF(
REGEXMATCH(
"" ""&amp;H3468&amp;"" "",
"" ""&amp;Sentiment_Words!A$2:A3730&amp;"" ""
),
1,
0
)
)
)
)"),0.0)</f>
        <v>0</v>
      </c>
      <c r="K3468" s="4">
        <f>IFERROR(__xludf.DUMMYFUNCTION("IF(H3468="""","""",
SUM(
ARRAYFORMULA(
IF(
REGEXMATCH(
"" ""&amp;H3468&amp;"" "",
"" ""&amp;Sentiment_Words!B$2:B3730&amp;"" ""
),
1,
0
)
)
)
)"),0.0)</f>
        <v>0</v>
      </c>
      <c r="L3468" s="7" t="str">
        <f t="shared" si="3"/>
        <v>Customer Support</v>
      </c>
      <c r="M3468" s="7" t="str">
        <f t="shared" si="4"/>
        <v>Neutral</v>
      </c>
      <c r="N3468" s="7" t="str">
        <f>IFERROR(__xludf.DUMMYFUNCTION("LOWER(
TRIM(
REGEXREPLACE(B3468,""[^a-zA-Z\s]"","""")
)
)
"),"carol miller")</f>
        <v>carol miller</v>
      </c>
      <c r="O3468" s="7">
        <f t="shared" si="5"/>
        <v>1</v>
      </c>
      <c r="P3468" s="8" t="str">
        <f t="shared" si="6"/>
        <v>No</v>
      </c>
    </row>
    <row r="3469">
      <c r="A3469" s="4" t="s">
        <v>16</v>
      </c>
      <c r="B3469" s="4" t="s">
        <v>9613</v>
      </c>
      <c r="C3469" s="5">
        <v>44514.0</v>
      </c>
      <c r="D3469" s="10">
        <v>44515.0</v>
      </c>
      <c r="E3469" s="4" t="s">
        <v>9614</v>
      </c>
      <c r="F3469" s="4" t="s">
        <v>9615</v>
      </c>
      <c r="G3469" s="6" t="str">
        <f>IFERROR(__xludf.DUMMYFUNCTION("REGEXREPLACE(LOWER(F3469),""[^a-z\s]"","""")"),"currently waiting to receive order know distribution system is messed up i will try to explain to my hungry miniature doxie would have been helpful if at the point of order for petflow to made a statement that delivery could take up to x weeks or more and"&amp;" if that is unacceptable to cancel order simply      
that way i would have had power in deciding what was best for my dog")</f>
        <v>currently waiting to receive order know distribution system is messed up i will try to explain to my hungry miniature doxie would have been helpful if at the point of order for petflow to made a statement that delivery could take up to x weeks or more and if that is unacceptable to cancel order simply      
that way i would have had power in deciding what was best for my dog</v>
      </c>
      <c r="H3469" s="4" t="str">
        <f t="shared" si="1"/>
        <v>currently waiting receive order know distribution system messed up i will try explain my hungry miniature doxie would have been helpful if at point of order petflow made a statement that delivery could take up x weeks or more if that unacceptable cancel order simply 
that way i would have had power in deciding what was best my dog</v>
      </c>
      <c r="I3469" s="6">
        <f t="shared" si="2"/>
        <v>59</v>
      </c>
      <c r="J3469" s="6">
        <f>IFERROR(__xludf.DUMMYFUNCTION("IF(H3469="""","""",
SUM(
ARRAYFORMULA(
IF(
REGEXMATCH(
"" ""&amp;H3469&amp;"" "",
"" ""&amp;Sentiment_Words!A$2:A3730&amp;"" ""
),
1,
0
)
)
)
)"),1.0)</f>
        <v>1</v>
      </c>
      <c r="K3469" s="4">
        <f>IFERROR(__xludf.DUMMYFUNCTION("IF(H3469="""","""",
SUM(
ARRAYFORMULA(
IF(
REGEXMATCH(
"" ""&amp;H3469&amp;"" "",
"" ""&amp;Sentiment_Words!B$2:B3730&amp;"" ""
),
1,
0
)
)
)
)"),0.0)</f>
        <v>0</v>
      </c>
      <c r="L3469" s="7" t="str">
        <f t="shared" si="3"/>
        <v>Other</v>
      </c>
      <c r="M3469" s="7" t="str">
        <f t="shared" si="4"/>
        <v>Positive</v>
      </c>
      <c r="N3469" s="7" t="str">
        <f>IFERROR(__xludf.DUMMYFUNCTION("LOWER(
TRIM(
REGEXREPLACE(B3469,""[^a-zA-Z\s]"","""")
)
)
"),"dana connolly")</f>
        <v>dana connolly</v>
      </c>
      <c r="O3469" s="7">
        <f t="shared" si="5"/>
        <v>1</v>
      </c>
      <c r="P3469" s="8" t="str">
        <f t="shared" si="6"/>
        <v>No</v>
      </c>
    </row>
    <row r="3470">
      <c r="A3470" s="4" t="s">
        <v>16</v>
      </c>
      <c r="B3470" s="4" t="s">
        <v>9616</v>
      </c>
      <c r="C3470" s="5">
        <v>44514.0</v>
      </c>
      <c r="D3470" s="10">
        <v>44515.0</v>
      </c>
      <c r="E3470" s="4" t="s">
        <v>9617</v>
      </c>
      <c r="F3470" s="4" t="s">
        <v>9618</v>
      </c>
      <c r="G3470" s="6" t="str">
        <f>IFERROR(__xludf.DUMMYFUNCTION("REGEXREPLACE(LOWER(F3470),""[^a-z\s]"","""")"),"i love the quick delivery when we order our dogs food so convenient")</f>
        <v>i love the quick delivery when we order our dogs food so convenient</v>
      </c>
      <c r="H3470" s="4" t="str">
        <f t="shared" si="1"/>
        <v>i love quick delivery when we order our dogs food so convenient</v>
      </c>
      <c r="I3470" s="6">
        <f t="shared" si="2"/>
        <v>12</v>
      </c>
      <c r="J3470" s="6">
        <f>IFERROR(__xludf.DUMMYFUNCTION("IF(H3470="""","""",
SUM(
ARRAYFORMULA(
IF(
REGEXMATCH(
"" ""&amp;H3470&amp;"" "",
"" ""&amp;Sentiment_Words!A$2:A3730&amp;"" ""
),
1,
0
)
)
)
)"),3.0)</f>
        <v>3</v>
      </c>
      <c r="K3470" s="4">
        <f>IFERROR(__xludf.DUMMYFUNCTION("IF(H3470="""","""",
SUM(
ARRAYFORMULA(
IF(
REGEXMATCH(
"" ""&amp;H3470&amp;"" "",
"" ""&amp;Sentiment_Words!B$2:B3730&amp;"" ""
),
1,
0
)
)
)
)"),0.0)</f>
        <v>0</v>
      </c>
      <c r="L3470" s="7" t="str">
        <f t="shared" si="3"/>
        <v>Value &amp; Convenience</v>
      </c>
      <c r="M3470" s="7" t="str">
        <f t="shared" si="4"/>
        <v>Positive</v>
      </c>
      <c r="N3470" s="7" t="str">
        <f>IFERROR(__xludf.DUMMYFUNCTION("LOWER(
TRIM(
REGEXREPLACE(B3470,""[^a-zA-Z\s]"","""")
)
)
"),"sandy")</f>
        <v>sandy</v>
      </c>
      <c r="O3470" s="7">
        <f t="shared" si="5"/>
        <v>1</v>
      </c>
      <c r="P3470" s="8" t="str">
        <f t="shared" si="6"/>
        <v>No</v>
      </c>
    </row>
    <row r="3471">
      <c r="A3471" s="4" t="s">
        <v>16</v>
      </c>
      <c r="B3471" s="4" t="s">
        <v>9619</v>
      </c>
      <c r="C3471" s="5">
        <v>44514.0</v>
      </c>
      <c r="D3471" s="10">
        <v>44514.0</v>
      </c>
      <c r="E3471" s="4" t="s">
        <v>9620</v>
      </c>
      <c r="F3471" s="4" t="s">
        <v>9621</v>
      </c>
      <c r="G3471" s="6" t="str">
        <f>IFERROR(__xludf.DUMMYFUNCTION("REGEXREPLACE(LOWER(F3471),""[^a-z\s]"","""")"),"good cat loved it")</f>
        <v>good cat loved it</v>
      </c>
      <c r="H3471" s="4" t="str">
        <f t="shared" si="1"/>
        <v>good cat loved it</v>
      </c>
      <c r="I3471" s="6">
        <f t="shared" si="2"/>
        <v>4</v>
      </c>
      <c r="J3471" s="6">
        <f>IFERROR(__xludf.DUMMYFUNCTION("IF(H3471="""","""",
SUM(
ARRAYFORMULA(
IF(
REGEXMATCH(
"" ""&amp;H3471&amp;"" "",
"" ""&amp;Sentiment_Words!A$2:A3730&amp;"" ""
),
1,
0
)
)
)
)"),1.0)</f>
        <v>1</v>
      </c>
      <c r="K3471" s="4">
        <f>IFERROR(__xludf.DUMMYFUNCTION("IF(H3471="""","""",
SUM(
ARRAYFORMULA(
IF(
REGEXMATCH(
"" ""&amp;H3471&amp;"" "",
"" ""&amp;Sentiment_Words!B$2:B3730&amp;"" ""
),
1,
0
)
)
)
)"),0.0)</f>
        <v>0</v>
      </c>
      <c r="L3471" s="7" t="str">
        <f t="shared" si="3"/>
        <v>Other</v>
      </c>
      <c r="M3471" s="7" t="str">
        <f t="shared" si="4"/>
        <v>Positive</v>
      </c>
      <c r="N3471" s="7" t="str">
        <f>IFERROR(__xludf.DUMMYFUNCTION("LOWER(
TRIM(
REGEXREPLACE(B3471,""[^a-zA-Z\s]"","""")
)
)
"),"robert berman")</f>
        <v>robert berman</v>
      </c>
      <c r="O3471" s="7">
        <f t="shared" si="5"/>
        <v>1</v>
      </c>
      <c r="P3471" s="8" t="str">
        <f t="shared" si="6"/>
        <v>No</v>
      </c>
    </row>
    <row r="3472">
      <c r="A3472" s="4" t="s">
        <v>16</v>
      </c>
      <c r="B3472" s="4" t="s">
        <v>9622</v>
      </c>
      <c r="C3472" s="5">
        <v>44514.0</v>
      </c>
      <c r="D3472" s="10">
        <v>44514.0</v>
      </c>
      <c r="E3472" s="4" t="s">
        <v>9623</v>
      </c>
      <c r="F3472" s="4" t="s">
        <v>9624</v>
      </c>
      <c r="G3472" s="6" t="str">
        <f>IFERROR(__xludf.DUMMYFUNCTION("REGEXREPLACE(LOWER(F3472),""[^a-z\s]"","""")"),"ordered dog food for the first from petflow the ordering was simple easy website navigation and the product arrived in a timely manner")</f>
        <v>ordered dog food for the first from petflow the ordering was simple easy website navigation and the product arrived in a timely manner</v>
      </c>
      <c r="H3472" s="4" t="str">
        <f t="shared" si="1"/>
        <v>ordered dog food first from petflow ordering was simple easy website navigation product arrived in a timely manner</v>
      </c>
      <c r="I3472" s="6">
        <f t="shared" si="2"/>
        <v>18</v>
      </c>
      <c r="J3472" s="6">
        <f>IFERROR(__xludf.DUMMYFUNCTION("IF(H3472="""","""",
SUM(
ARRAYFORMULA(
IF(
REGEXMATCH(
"" ""&amp;H3472&amp;"" "",
"" ""&amp;Sentiment_Words!A$2:A3730&amp;"" ""
),
1,
0
)
)
)
)"),1.0)</f>
        <v>1</v>
      </c>
      <c r="K3472" s="4">
        <f>IFERROR(__xludf.DUMMYFUNCTION("IF(H3472="""","""",
SUM(
ARRAYFORMULA(
IF(
REGEXMATCH(
"" ""&amp;H3472&amp;"" "",
"" ""&amp;Sentiment_Words!B$2:B3730&amp;"" ""
),
1,
0
)
)
)
)"),0.0)</f>
        <v>0</v>
      </c>
      <c r="L3472" s="7" t="str">
        <f t="shared" si="3"/>
        <v>Account &amp; Website</v>
      </c>
      <c r="M3472" s="7" t="str">
        <f t="shared" si="4"/>
        <v>Positive</v>
      </c>
      <c r="N3472" s="7" t="str">
        <f>IFERROR(__xludf.DUMMYFUNCTION("LOWER(
TRIM(
REGEXREPLACE(B3472,""[^a-zA-Z\s]"","""")
)
)
"),"paul hanigan")</f>
        <v>paul hanigan</v>
      </c>
      <c r="O3472" s="7">
        <f t="shared" si="5"/>
        <v>1</v>
      </c>
      <c r="P3472" s="8" t="str">
        <f t="shared" si="6"/>
        <v>No</v>
      </c>
    </row>
    <row r="3473">
      <c r="A3473" s="4" t="s">
        <v>16</v>
      </c>
      <c r="B3473" s="4" t="s">
        <v>9625</v>
      </c>
      <c r="C3473" s="5">
        <v>44514.0</v>
      </c>
      <c r="D3473" s="10">
        <v>44514.0</v>
      </c>
      <c r="E3473" s="4" t="s">
        <v>9626</v>
      </c>
      <c r="F3473" s="4" t="s">
        <v>9627</v>
      </c>
      <c r="G3473" s="6" t="str">
        <f>IFERROR(__xludf.DUMMYFUNCTION("REGEXREPLACE(LOWER(F3473),""[^a-z\s]"","""")"),"they let me order food and charged me and called my vet to confirm the prescription and they didnt even have the food in stock in these times of cat food shortages wasting my entire week thinking i had found food for my cat was detrimental to my finding m"&amp;"ore in a timely fashion shame on you petflow")</f>
        <v>they let me order food and charged me and called my vet to confirm the prescription and they didnt even have the food in stock in these times of cat food shortages wasting my entire week thinking i had found food for my cat was detrimental to my finding more in a timely fashion shame on you petflow</v>
      </c>
      <c r="H3473" s="4" t="str">
        <f t="shared" si="1"/>
        <v>they let me order food charged me called my vet confirm prescription they didnt even have food in stock in these times of cat food shortages wasting my entire week thinking i had found food my cat was detrimental my finding more in a timely fashion shame on you petflow</v>
      </c>
      <c r="I3473" s="6">
        <f t="shared" si="2"/>
        <v>50</v>
      </c>
      <c r="J3473" s="6">
        <f>IFERROR(__xludf.DUMMYFUNCTION("IF(H3473="""","""",
SUM(
ARRAYFORMULA(
IF(
REGEXMATCH(
"" ""&amp;H3473&amp;"" "",
"" ""&amp;Sentiment_Words!A$2:A3730&amp;"" ""
),
1,
0
)
)
)
)"),1.0)</f>
        <v>1</v>
      </c>
      <c r="K3473" s="4">
        <f>IFERROR(__xludf.DUMMYFUNCTION("IF(H3473="""","""",
SUM(
ARRAYFORMULA(
IF(
REGEXMATCH(
"" ""&amp;H3473&amp;"" "",
"" ""&amp;Sentiment_Words!B$2:B3730&amp;"" ""
),
1,
0
)
)
)
)"),0.0)</f>
        <v>0</v>
      </c>
      <c r="L3473" s="7" t="str">
        <f t="shared" si="3"/>
        <v>Other</v>
      </c>
      <c r="M3473" s="7" t="str">
        <f t="shared" si="4"/>
        <v>Positive</v>
      </c>
      <c r="N3473" s="7" t="str">
        <f>IFERROR(__xludf.DUMMYFUNCTION("LOWER(
TRIM(
REGEXREPLACE(B3473,""[^a-zA-Z\s]"","""")
)
)
"),"peggy mazur")</f>
        <v>peggy mazur</v>
      </c>
      <c r="O3473" s="7">
        <f t="shared" si="5"/>
        <v>1</v>
      </c>
      <c r="P3473" s="8" t="str">
        <f t="shared" si="6"/>
        <v>No</v>
      </c>
    </row>
    <row r="3474">
      <c r="A3474" s="4" t="s">
        <v>16</v>
      </c>
      <c r="B3474" s="4" t="s">
        <v>9628</v>
      </c>
      <c r="C3474" s="5">
        <v>44514.0</v>
      </c>
      <c r="D3474" s="10">
        <v>44514.0</v>
      </c>
      <c r="E3474" s="4" t="s">
        <v>9629</v>
      </c>
      <c r="F3474" s="4" t="s">
        <v>9630</v>
      </c>
      <c r="G3474" s="6" t="str">
        <f>IFERROR(__xludf.DUMMYFUNCTION("REGEXREPLACE(LOWER(F3474),""[^a-z\s]"","""")"),"very good customer service
they work with you to get you just what you want")</f>
        <v>very good customer service
they work with you to get you just what you want</v>
      </c>
      <c r="H3474" s="4" t="str">
        <f t="shared" si="1"/>
        <v>very good customer service
they work with you get you just what you want</v>
      </c>
      <c r="I3474" s="6">
        <f t="shared" si="2"/>
        <v>13</v>
      </c>
      <c r="J3474" s="6">
        <f>IFERROR(__xludf.DUMMYFUNCTION("IF(H3474="""","""",
SUM(
ARRAYFORMULA(
IF(
REGEXMATCH(
"" ""&amp;H3474&amp;"" "",
"" ""&amp;Sentiment_Words!A$2:A3730&amp;"" ""
),
1,
0
)
)
)
)"),1.0)</f>
        <v>1</v>
      </c>
      <c r="K3474" s="4">
        <f>IFERROR(__xludf.DUMMYFUNCTION("IF(H3474="""","""",
SUM(
ARRAYFORMULA(
IF(
REGEXMATCH(
"" ""&amp;H3474&amp;"" "",
"" ""&amp;Sentiment_Words!B$2:B3730&amp;"" ""
),
1,
0
)
)
)
)"),0.0)</f>
        <v>0</v>
      </c>
      <c r="L3474" s="7" t="str">
        <f t="shared" si="3"/>
        <v>Customer Support</v>
      </c>
      <c r="M3474" s="7" t="str">
        <f t="shared" si="4"/>
        <v>Positive</v>
      </c>
      <c r="N3474" s="7" t="str">
        <f>IFERROR(__xludf.DUMMYFUNCTION("LOWER(
TRIM(
REGEXREPLACE(B3474,""[^a-zA-Z\s]"","""")
)
)
"),"sharon zinns")</f>
        <v>sharon zinns</v>
      </c>
      <c r="O3474" s="7">
        <f t="shared" si="5"/>
        <v>1</v>
      </c>
      <c r="P3474" s="8" t="str">
        <f t="shared" si="6"/>
        <v>No</v>
      </c>
    </row>
    <row r="3475">
      <c r="A3475" s="4" t="s">
        <v>16</v>
      </c>
      <c r="B3475" s="4" t="s">
        <v>9631</v>
      </c>
      <c r="C3475" s="5">
        <v>44514.0</v>
      </c>
      <c r="D3475" s="10">
        <v>44514.0</v>
      </c>
      <c r="E3475" s="4" t="s">
        <v>8806</v>
      </c>
      <c r="F3475" s="4" t="s">
        <v>9632</v>
      </c>
      <c r="G3475" s="6" t="str">
        <f>IFERROR(__xludf.DUMMYFUNCTION("REGEXREPLACE(LOWER(F3475),""[^a-z\s]"","""")"),"ive used petflow for a year now and love it the orders are easy to complete and quick to deliver
i had to call customer service to change my order and quickly received the credit on my card i switched dog food brand and mistakenly forgot to cancel my auto"&amp;"matic refill order great customer service")</f>
        <v>ive used petflow for a year now and love it the orders are easy to complete and quick to deliver
i had to call customer service to change my order and quickly received the credit on my card i switched dog food brand and mistakenly forgot to cancel my automatic refill order great customer service</v>
      </c>
      <c r="H3475" s="4" t="str">
        <f t="shared" si="1"/>
        <v>ive used petflow a year now love it orders are easy complete quick deliver
i had call customer service change my order quickly received credit on my card i switched dog food brand mistakenly forgot cancel my automatic refill order great customer service</v>
      </c>
      <c r="I3475" s="6">
        <f t="shared" si="2"/>
        <v>42</v>
      </c>
      <c r="J3475" s="6">
        <f>IFERROR(__xludf.DUMMYFUNCTION("IF(H3475="""","""",
SUM(
ARRAYFORMULA(
IF(
REGEXMATCH(
"" ""&amp;H3475&amp;"" "",
"" ""&amp;Sentiment_Words!A$2:A3730&amp;"" ""
),
1,
0
)
)
)
)"),4.0)</f>
        <v>4</v>
      </c>
      <c r="K3475" s="4">
        <f>IFERROR(__xludf.DUMMYFUNCTION("IF(H3475="""","""",
SUM(
ARRAYFORMULA(
IF(
REGEXMATCH(
"" ""&amp;H3475&amp;"" "",
"" ""&amp;Sentiment_Words!B$2:B3730&amp;"" ""
),
1,
0
)
)
)
)"),1.0)</f>
        <v>1</v>
      </c>
      <c r="L3475" s="7" t="str">
        <f t="shared" si="3"/>
        <v>Customer Support</v>
      </c>
      <c r="M3475" s="7" t="str">
        <f t="shared" si="4"/>
        <v>Positive</v>
      </c>
      <c r="N3475" s="7" t="str">
        <f>IFERROR(__xludf.DUMMYFUNCTION("LOWER(
TRIM(
REGEXREPLACE(B3475,""[^a-zA-Z\s]"","""")
)
)
"),"david spiegel")</f>
        <v>david spiegel</v>
      </c>
      <c r="O3475" s="7">
        <f t="shared" si="5"/>
        <v>1</v>
      </c>
      <c r="P3475" s="8" t="str">
        <f t="shared" si="6"/>
        <v>No</v>
      </c>
    </row>
    <row r="3476">
      <c r="A3476" s="4" t="s">
        <v>16</v>
      </c>
      <c r="B3476" s="4" t="s">
        <v>9633</v>
      </c>
      <c r="C3476" s="5">
        <v>44513.0</v>
      </c>
      <c r="D3476" s="10">
        <v>44514.0</v>
      </c>
      <c r="E3476" s="4" t="s">
        <v>9634</v>
      </c>
      <c r="F3476" s="4" t="s">
        <v>9635</v>
      </c>
      <c r="G3476" s="6" t="str">
        <f>IFERROR(__xludf.DUMMYFUNCTION("REGEXREPLACE(LOWER(F3476),""[^a-z\s]"","""")"),"package was a week late but i believe that was fedex fault when i contacted petflow about the delay the response came relatively quickly and they let me know they contacted fedex to figure out the issue i received the package the next day the customer ser"&amp;"vice was friendly and helpful")</f>
        <v>package was a week late but i believe that was fedex fault when i contacted petflow about the delay the response came relatively quickly and they let me know they contacted fedex to figure out the issue i received the package the next day the customer service was friendly and helpful</v>
      </c>
      <c r="H3476" s="4" t="str">
        <f t="shared" si="1"/>
        <v>package was a week late but i believe that was fedex fault when i contacted petflow about delay response came relatively quickly they let me know they contacted fedex figure out issue i received package next day customer service was friendly helpful</v>
      </c>
      <c r="I3476" s="6">
        <f t="shared" si="2"/>
        <v>42</v>
      </c>
      <c r="J3476" s="6">
        <f>IFERROR(__xludf.DUMMYFUNCTION("IF(H3476="""","""",
SUM(
ARRAYFORMULA(
IF(
REGEXMATCH(
"" ""&amp;H3476&amp;"" "",
"" ""&amp;Sentiment_Words!A$2:A3730&amp;"" ""
),
1,
0
)
)
)
)"),1.0)</f>
        <v>1</v>
      </c>
      <c r="K3476" s="4">
        <f>IFERROR(__xludf.DUMMYFUNCTION("IF(H3476="""","""",
SUM(
ARRAYFORMULA(
IF(
REGEXMATCH(
"" ""&amp;H3476&amp;"" "",
"" ""&amp;Sentiment_Words!B$2:B3730&amp;"" ""
),
1,
0
)
)
)
)"),3.0)</f>
        <v>3</v>
      </c>
      <c r="L3476" s="7" t="str">
        <f t="shared" si="3"/>
        <v>Customer Support</v>
      </c>
      <c r="M3476" s="7" t="str">
        <f t="shared" si="4"/>
        <v>Negative</v>
      </c>
      <c r="N3476" s="7" t="str">
        <f>IFERROR(__xludf.DUMMYFUNCTION("LOWER(
TRIM(
REGEXREPLACE(B3476,""[^a-zA-Z\s]"","""")
)
)
"),"sue cervantes")</f>
        <v>sue cervantes</v>
      </c>
      <c r="O3476" s="7">
        <f t="shared" si="5"/>
        <v>1</v>
      </c>
      <c r="P3476" s="8" t="str">
        <f t="shared" si="6"/>
        <v>No</v>
      </c>
    </row>
    <row r="3477">
      <c r="A3477" s="4" t="s">
        <v>16</v>
      </c>
      <c r="B3477" s="4" t="s">
        <v>9636</v>
      </c>
      <c r="C3477" s="5">
        <v>44513.0</v>
      </c>
      <c r="D3477" s="10">
        <v>44514.0</v>
      </c>
      <c r="E3477" s="4" t="s">
        <v>9637</v>
      </c>
      <c r="F3477" s="4" t="s">
        <v>9638</v>
      </c>
      <c r="G3477" s="6" t="str">
        <f>IFERROR(__xludf.DUMMYFUNCTION("REGEXREPLACE(LOWER(F3477),""[^a-z\s]"","""")"),"great pricing however i wasnt able to use my  on my second order as promised i did rate the company a  star however after reading the other  star ratings i feel im just another customer that was mislead")</f>
        <v>great pricing however i wasnt able to use my  on my second order as promised i did rate the company a  star however after reading the other  star ratings i feel im just another customer that was mislead</v>
      </c>
      <c r="H3477" s="4" t="str">
        <f t="shared" si="1"/>
        <v>great pricing however i wasnt able use my on my second order as promised i did rate company a star however after reading other star ratings i feel im just another customer that was mislead</v>
      </c>
      <c r="I3477" s="6">
        <f t="shared" si="2"/>
        <v>35</v>
      </c>
      <c r="J3477" s="6">
        <f>IFERROR(__xludf.DUMMYFUNCTION("IF(H3477="""","""",
SUM(
ARRAYFORMULA(
IF(
REGEXMATCH(
"" ""&amp;H3477&amp;"" "",
"" ""&amp;Sentiment_Words!A$2:A3730&amp;"" ""
),
1,
0
)
)
)
)"),2.0)</f>
        <v>2</v>
      </c>
      <c r="K3477" s="4">
        <f>IFERROR(__xludf.DUMMYFUNCTION("IF(H3477="""","""",
SUM(
ARRAYFORMULA(
IF(
REGEXMATCH(
"" ""&amp;H3477&amp;"" "",
"" ""&amp;Sentiment_Words!B$2:B3730&amp;"" ""
),
1,
0
)
)
)
)"),0.0)</f>
        <v>0</v>
      </c>
      <c r="L3477" s="7" t="str">
        <f t="shared" si="3"/>
        <v>Other</v>
      </c>
      <c r="M3477" s="7" t="str">
        <f t="shared" si="4"/>
        <v>Positive</v>
      </c>
      <c r="N3477" s="7" t="str">
        <f>IFERROR(__xludf.DUMMYFUNCTION("LOWER(
TRIM(
REGEXREPLACE(B3477,""[^a-zA-Z\s]"","""")
)
)
"),"brittany thompson")</f>
        <v>brittany thompson</v>
      </c>
      <c r="O3477" s="7">
        <f t="shared" si="5"/>
        <v>1</v>
      </c>
      <c r="P3477" s="8" t="str">
        <f t="shared" si="6"/>
        <v>No</v>
      </c>
    </row>
    <row r="3478">
      <c r="A3478" s="4" t="s">
        <v>16</v>
      </c>
      <c r="B3478" s="4" t="s">
        <v>9639</v>
      </c>
      <c r="C3478" s="5">
        <v>44513.0</v>
      </c>
      <c r="D3478" s="4" t="s">
        <v>9640</v>
      </c>
      <c r="E3478" s="4" t="s">
        <v>9641</v>
      </c>
      <c r="F3478" s="4" t="s">
        <v>9642</v>
      </c>
      <c r="G3478" s="6" t="str">
        <f>IFERROR(__xludf.DUMMYFUNCTION("REGEXREPLACE(LOWER(F3478),""[^a-z\s]"","""")"),"very slow to ship resulted in poor arrival time i thought  days was enough time but was wrong")</f>
        <v>very slow to ship resulted in poor arrival time i thought  days was enough time but was wrong</v>
      </c>
      <c r="H3478" s="4" t="str">
        <f t="shared" si="1"/>
        <v>very slow ship resulted in poor arrival time i thought days was enough time but was wrong</v>
      </c>
      <c r="I3478" s="6">
        <f t="shared" si="2"/>
        <v>17</v>
      </c>
      <c r="J3478" s="6">
        <f>IFERROR(__xludf.DUMMYFUNCTION("IF(H3478="""","""",
SUM(
ARRAYFORMULA(
IF(
REGEXMATCH(
"" ""&amp;H3478&amp;"" "",
"" ""&amp;Sentiment_Words!A$2:A3730&amp;"" ""
),
1,
0
)
)
)
)"),0.0)</f>
        <v>0</v>
      </c>
      <c r="K3478" s="4">
        <f>IFERROR(__xludf.DUMMYFUNCTION("IF(H3478="""","""",
SUM(
ARRAYFORMULA(
IF(
REGEXMATCH(
"" ""&amp;H3478&amp;"" "",
"" ""&amp;Sentiment_Words!B$2:B3730&amp;"" ""
),
1,
0
)
)
)
)"),1.0)</f>
        <v>1</v>
      </c>
      <c r="L3478" s="7" t="str">
        <f t="shared" si="3"/>
        <v>Fulfillment &amp; Shipping</v>
      </c>
      <c r="M3478" s="7" t="str">
        <f t="shared" si="4"/>
        <v>Negative</v>
      </c>
      <c r="N3478" s="7" t="str">
        <f>IFERROR(__xludf.DUMMYFUNCTION("LOWER(
TRIM(
REGEXREPLACE(B3478,""[^a-zA-Z\s]"","""")
)
)
"),"sanja")</f>
        <v>sanja</v>
      </c>
      <c r="O3478" s="7">
        <f t="shared" si="5"/>
        <v>1</v>
      </c>
      <c r="P3478" s="8" t="str">
        <f t="shared" si="6"/>
        <v>No</v>
      </c>
    </row>
    <row r="3479">
      <c r="A3479" s="4" t="s">
        <v>16</v>
      </c>
      <c r="B3479" s="4" t="s">
        <v>9643</v>
      </c>
      <c r="C3479" s="5">
        <v>44513.0</v>
      </c>
      <c r="D3479" s="10">
        <v>44513.0</v>
      </c>
      <c r="E3479" s="4" t="s">
        <v>9644</v>
      </c>
      <c r="F3479" s="4" t="s">
        <v>9645</v>
      </c>
      <c r="G3479" s="6" t="str">
        <f>IFERROR(__xludf.DUMMYFUNCTION("REGEXREPLACE(LOWER(F3479),""[^a-z\s]"","""")"),"i spoke with somebody in chat and i canceled this order i was told that my order was canceled i asked for confirmation that my order was canceled to an email they told me we dont do that two days later i had two of my  lids show up at my door after it was"&amp;" canceled i dont know what kind of operation you run but it sucks definitely one star and if my card is charged for the other screen lids that are on back stock after i canceled i will sue your company")</f>
        <v>i spoke with somebody in chat and i canceled this order i was told that my order was canceled i asked for confirmation that my order was canceled to an email they told me we dont do that two days later i had two of my  lids show up at my door after it was canceled i dont know what kind of operation you run but it sucks definitely one star and if my card is charged for the other screen lids that are on back stock after i canceled i will sue your company</v>
      </c>
      <c r="H3479" s="4" t="str">
        <f t="shared" si="1"/>
        <v>i spoke with somebody in chat i canceled this order i was told that my order was canceled i asked confirmation that my order was canceled an email they told me we dont do that two days later i had two of my lids show up at my door after it was canceled i dont know what kind of operation you run but it sucks definitely one star if my card charged other screen lids that are on back stock after i canceled i will sue your company</v>
      </c>
      <c r="I3479" s="6">
        <f t="shared" si="2"/>
        <v>88</v>
      </c>
      <c r="J3479" s="6">
        <f>IFERROR(__xludf.DUMMYFUNCTION("IF(H3479="""","""",
SUM(
ARRAYFORMULA(
IF(
REGEXMATCH(
"" ""&amp;H3479&amp;"" "",
"" ""&amp;Sentiment_Words!A$2:A3730&amp;"" ""
),
1,
0
)
)
)
)"),0.0)</f>
        <v>0</v>
      </c>
      <c r="K3479" s="4">
        <f>IFERROR(__xludf.DUMMYFUNCTION("IF(H3479="""","""",
SUM(
ARRAYFORMULA(
IF(
REGEXMATCH(
"" ""&amp;H3479&amp;"" "",
"" ""&amp;Sentiment_Words!B$2:B3730&amp;"" ""
),
1,
0
)
)
)
)"),0.0)</f>
        <v>0</v>
      </c>
      <c r="L3479" s="7" t="str">
        <f t="shared" si="3"/>
        <v>Fulfillment &amp; Shipping</v>
      </c>
      <c r="M3479" s="7" t="str">
        <f t="shared" si="4"/>
        <v>Neutral</v>
      </c>
      <c r="N3479" s="7" t="str">
        <f>IFERROR(__xludf.DUMMYFUNCTION("LOWER(
TRIM(
REGEXREPLACE(B3479,""[^a-zA-Z\s]"","""")
)
)
"),"scott petersen")</f>
        <v>scott petersen</v>
      </c>
      <c r="O3479" s="7">
        <f t="shared" si="5"/>
        <v>1</v>
      </c>
      <c r="P3479" s="8" t="str">
        <f t="shared" si="6"/>
        <v>No</v>
      </c>
    </row>
    <row r="3480">
      <c r="A3480" s="4" t="s">
        <v>16</v>
      </c>
      <c r="B3480" s="4" t="s">
        <v>9646</v>
      </c>
      <c r="C3480" s="5">
        <v>44513.0</v>
      </c>
      <c r="D3480" s="10">
        <v>44513.0</v>
      </c>
      <c r="E3480" s="4" t="s">
        <v>9647</v>
      </c>
      <c r="F3480" s="4" t="s">
        <v>9648</v>
      </c>
      <c r="G3480" s="6" t="str">
        <f>IFERROR(__xludf.DUMMYFUNCTION("REGEXREPLACE(LOWER(F3480),""[^a-z\s]"","""")"),"although i have had great success with using petflow in the past currently their service is quite poor i had a older cat is needs vet prescribed food after ordering food recently petflow informed me the vet indicated i have no relationship with them ok i "&amp;"called the vet and they indicated they received no communication from petflow this i tried again and the vet indicated they would be waiting for petflows communication on that day again i received a email notice from petflow saying the vet and i had no re"&amp;"lationship since the vet was expecting a call or fax one can only assume petflow was communicating with the wrong vet or is lying take your pick either way my poor cat did has not receive the food she needs shame on petflow
regards")</f>
        <v>although i have had great success with using petflow in the past currently their service is quite poor i had a older cat is needs vet prescribed food after ordering food recently petflow informed me the vet indicated i have no relationship with them ok i called the vet and they indicated they received no communication from petflow this i tried again and the vet indicated they would be waiting for petflows communication on that day again i received a email notice from petflow saying the vet and i had no relationship since the vet was expecting a call or fax one can only assume petflow was communicating with the wrong vet or is lying take your pick either way my poor cat did has not receive the food she needs shame on petflow
regards</v>
      </c>
      <c r="H3480" s="4" t="str">
        <f t="shared" si="1"/>
        <v>although i have had great success with using petflow in past currently their service quite poor i had a older cat needs vet prescribed food after ordering food recently petflow informed me vet indicated i have no relationship with them ok i called vet they indicated they received no communication from petflow this i tried again vet indicated they would be waiting petflows communication on that day again i received a email notice from petflow saying vet i had no relationship since vet was expecting a call or fax one can only assume petflow was communicating with wrong vet or lying take your pick either way my poor cat did has not receive food she needs shame on petflow
regards</v>
      </c>
      <c r="I3480" s="6">
        <f t="shared" si="2"/>
        <v>119</v>
      </c>
      <c r="J3480" s="6">
        <f>IFERROR(__xludf.DUMMYFUNCTION("IF(H3480="""","""",
SUM(
ARRAYFORMULA(
IF(
REGEXMATCH(
"" ""&amp;H3480&amp;"" "",
"" ""&amp;Sentiment_Words!A$2:A3730&amp;"" ""
),
1,
0
)
)
)
)"),1.0)</f>
        <v>1</v>
      </c>
      <c r="K3480" s="4">
        <f>IFERROR(__xludf.DUMMYFUNCTION("IF(H3480="""","""",
SUM(
ARRAYFORMULA(
IF(
REGEXMATCH(
"" ""&amp;H3480&amp;"" "",
"" ""&amp;Sentiment_Words!B$2:B3730&amp;"" ""
),
1,
0
)
)
)
)"),1.0)</f>
        <v>1</v>
      </c>
      <c r="L3480" s="7" t="str">
        <f t="shared" si="3"/>
        <v>Customer Support</v>
      </c>
      <c r="M3480" s="7" t="str">
        <f t="shared" si="4"/>
        <v>Neutral</v>
      </c>
      <c r="N3480" s="7" t="str">
        <f>IFERROR(__xludf.DUMMYFUNCTION("LOWER(
TRIM(
REGEXREPLACE(B3480,""[^a-zA-Z\s]"","""")
)
)
"),"ajs reptarium")</f>
        <v>ajs reptarium</v>
      </c>
      <c r="O3480" s="7">
        <f t="shared" si="5"/>
        <v>1</v>
      </c>
      <c r="P3480" s="8" t="str">
        <f t="shared" si="6"/>
        <v>No</v>
      </c>
    </row>
    <row r="3481">
      <c r="A3481" s="4" t="s">
        <v>16</v>
      </c>
      <c r="B3481" s="4" t="s">
        <v>9649</v>
      </c>
      <c r="C3481" s="5">
        <v>44513.0</v>
      </c>
      <c r="D3481" s="10">
        <v>44513.0</v>
      </c>
      <c r="E3481" s="4" t="s">
        <v>9650</v>
      </c>
      <c r="F3481" s="4" t="s">
        <v>9651</v>
      </c>
      <c r="G3481" s="6" t="str">
        <f>IFERROR(__xludf.DUMMYFUNCTION("REGEXREPLACE(LOWER(F3481),""[^a-z\s]"","""")"),"petflow has cat food that i cant find elsewhere which is nice i like their automatic programs except for not being able to edit them ive been sent products that i cant use and have to contribute to the humane society delivery is always fast and well packa"&amp;"ged")</f>
        <v>petflow has cat food that i cant find elsewhere which is nice i like their automatic programs except for not being able to edit them ive been sent products that i cant use and have to contribute to the humane society delivery is always fast and well packaged</v>
      </c>
      <c r="H3481" s="4" t="str">
        <f t="shared" si="1"/>
        <v>petflow has cat food that i cant find elsewhere which nice i like their automatic programs except not being able edit them ive been sent products that i cant use have contribute humane society delivery always fast well packaged</v>
      </c>
      <c r="I3481" s="6">
        <f t="shared" si="2"/>
        <v>39</v>
      </c>
      <c r="J3481" s="6">
        <f>IFERROR(__xludf.DUMMYFUNCTION("IF(H3481="""","""",
SUM(
ARRAYFORMULA(
IF(
REGEXMATCH(
"" ""&amp;H3481&amp;"" "",
"" ""&amp;Sentiment_Words!A$2:A3730&amp;"" ""
),
1,
0
)
)
)
)"),2.0)</f>
        <v>2</v>
      </c>
      <c r="K3481" s="4">
        <f>IFERROR(__xludf.DUMMYFUNCTION("IF(H3481="""","""",
SUM(
ARRAYFORMULA(
IF(
REGEXMATCH(
"" ""&amp;H3481&amp;"" "",
"" ""&amp;Sentiment_Words!B$2:B3730&amp;"" ""
),
1,
0
)
)
)
)"),0.0)</f>
        <v>0</v>
      </c>
      <c r="L3481" s="7" t="str">
        <f t="shared" si="3"/>
        <v>Other</v>
      </c>
      <c r="M3481" s="7" t="str">
        <f t="shared" si="4"/>
        <v>Positive</v>
      </c>
      <c r="N3481" s="7" t="str">
        <f>IFERROR(__xludf.DUMMYFUNCTION("LOWER(
TRIM(
REGEXREPLACE(B3481,""[^a-zA-Z\s]"","""")
)
)
"),"kenneth henke")</f>
        <v>kenneth henke</v>
      </c>
      <c r="O3481" s="7">
        <f t="shared" si="5"/>
        <v>1</v>
      </c>
      <c r="P3481" s="8" t="str">
        <f t="shared" si="6"/>
        <v>No</v>
      </c>
    </row>
    <row r="3482">
      <c r="A3482" s="4" t="s">
        <v>16</v>
      </c>
      <c r="B3482" s="4" t="s">
        <v>9652</v>
      </c>
      <c r="C3482" s="5">
        <v>44513.0</v>
      </c>
      <c r="D3482" s="10">
        <v>44513.0</v>
      </c>
      <c r="E3482" s="4" t="s">
        <v>9653</v>
      </c>
      <c r="F3482" s="4" t="s">
        <v>9654</v>
      </c>
      <c r="G3482" s="6" t="str">
        <f>IFERROR(__xludf.DUMMYFUNCTION("REGEXREPLACE(LOWER(F3482),""[^a-z\s]"","""")"),"my dog food always arrives on time they always correct if a mistake happens we are happy with the service")</f>
        <v>my dog food always arrives on time they always correct if a mistake happens we are happy with the service</v>
      </c>
      <c r="H3482" s="4" t="str">
        <f t="shared" si="1"/>
        <v>my dog food always arrives on time they always correct if a mistake happens we are happy with service</v>
      </c>
      <c r="I3482" s="6">
        <f t="shared" si="2"/>
        <v>19</v>
      </c>
      <c r="J3482" s="6">
        <f>IFERROR(__xludf.DUMMYFUNCTION("IF(H3482="""","""",
SUM(
ARRAYFORMULA(
IF(
REGEXMATCH(
"" ""&amp;H3482&amp;"" "",
"" ""&amp;Sentiment_Words!A$2:A3730&amp;"" ""
),
1,
0
)
)
)
)"),2.0)</f>
        <v>2</v>
      </c>
      <c r="K3482" s="4">
        <f>IFERROR(__xludf.DUMMYFUNCTION("IF(H3482="""","""",
SUM(
ARRAYFORMULA(
IF(
REGEXMATCH(
"" ""&amp;H3482&amp;"" "",
"" ""&amp;Sentiment_Words!B$2:B3730&amp;"" ""
),
1,
0
)
)
)
)"),0.0)</f>
        <v>0</v>
      </c>
      <c r="L3482" s="7" t="str">
        <f t="shared" si="3"/>
        <v>Customer Support</v>
      </c>
      <c r="M3482" s="7" t="str">
        <f t="shared" si="4"/>
        <v>Positive</v>
      </c>
      <c r="N3482" s="7" t="str">
        <f>IFERROR(__xludf.DUMMYFUNCTION("LOWER(
TRIM(
REGEXREPLACE(B3482,""[^a-zA-Z\s]"","""")
)
)
"),"elizabeth scalzo")</f>
        <v>elizabeth scalzo</v>
      </c>
      <c r="O3482" s="7">
        <f t="shared" si="5"/>
        <v>1</v>
      </c>
      <c r="P3482" s="8" t="str">
        <f t="shared" si="6"/>
        <v>No</v>
      </c>
    </row>
    <row r="3483">
      <c r="A3483" s="4" t="s">
        <v>16</v>
      </c>
      <c r="B3483" s="4" t="s">
        <v>9655</v>
      </c>
      <c r="C3483" s="5">
        <v>44513.0</v>
      </c>
      <c r="D3483" s="10">
        <v>44513.0</v>
      </c>
      <c r="E3483" s="4" t="s">
        <v>9656</v>
      </c>
      <c r="F3483" s="4" t="s">
        <v>9657</v>
      </c>
      <c r="G3483" s="6" t="str">
        <f>IFERROR(__xludf.DUMMYFUNCTION("REGEXREPLACE(LOWER(F3483),""[^a-z\s]"","""")"),"this gate is working very well at our house the twoway open door is terrific we are very happy")</f>
        <v>this gate is working very well at our house the twoway open door is terrific we are very happy</v>
      </c>
      <c r="H3483" s="4" t="str">
        <f t="shared" si="1"/>
        <v>this gate working very well at our house twoway open door terrific we are very happy</v>
      </c>
      <c r="I3483" s="6">
        <f t="shared" si="2"/>
        <v>16</v>
      </c>
      <c r="J3483" s="6">
        <f>IFERROR(__xludf.DUMMYFUNCTION("IF(H3483="""","""",
SUM(
ARRAYFORMULA(
IF(
REGEXMATCH(
"" ""&amp;H3483&amp;"" "",
"" ""&amp;Sentiment_Words!A$2:A3730&amp;"" ""
),
1,
0
)
)
)
)"),2.0)</f>
        <v>2</v>
      </c>
      <c r="K3483" s="4">
        <f>IFERROR(__xludf.DUMMYFUNCTION("IF(H3483="""","""",
SUM(
ARRAYFORMULA(
IF(
REGEXMATCH(
"" ""&amp;H3483&amp;"" "",
"" ""&amp;Sentiment_Words!B$2:B3730&amp;"" ""
),
1,
0
)
)
)
)"),0.0)</f>
        <v>0</v>
      </c>
      <c r="L3483" s="7" t="str">
        <f t="shared" si="3"/>
        <v>Other</v>
      </c>
      <c r="M3483" s="7" t="str">
        <f t="shared" si="4"/>
        <v>Positive</v>
      </c>
      <c r="N3483" s="7" t="str">
        <f>IFERROR(__xludf.DUMMYFUNCTION("LOWER(
TRIM(
REGEXREPLACE(B3483,""[^a-zA-Z\s]"","""")
)
)
"),"corrine savage")</f>
        <v>corrine savage</v>
      </c>
      <c r="O3483" s="7">
        <f t="shared" si="5"/>
        <v>1</v>
      </c>
      <c r="P3483" s="8" t="str">
        <f t="shared" si="6"/>
        <v>No</v>
      </c>
    </row>
    <row r="3484">
      <c r="A3484" s="4" t="s">
        <v>16</v>
      </c>
      <c r="B3484" s="4" t="s">
        <v>4340</v>
      </c>
      <c r="C3484" s="5">
        <v>44512.0</v>
      </c>
      <c r="D3484" s="10">
        <v>44512.0</v>
      </c>
      <c r="E3484" s="4" t="s">
        <v>9658</v>
      </c>
      <c r="F3484" s="4" t="s">
        <v>9659</v>
      </c>
      <c r="G3484" s="6" t="str">
        <f>IFERROR(__xludf.DUMMYFUNCTION("REGEXREPLACE(LOWER(F3484),""[^a-z\s]"","""")"),"great prices selection fast shipping love petflow")</f>
        <v>great prices selection fast shipping love petflow</v>
      </c>
      <c r="H3484" s="4" t="str">
        <f t="shared" si="1"/>
        <v>great prices selection fast shipping love petflow</v>
      </c>
      <c r="I3484" s="6">
        <f t="shared" si="2"/>
        <v>7</v>
      </c>
      <c r="J3484" s="6">
        <f>IFERROR(__xludf.DUMMYFUNCTION("IF(H3484="""","""",
SUM(
ARRAYFORMULA(
IF(
REGEXMATCH(
"" ""&amp;H3484&amp;"" "",
"" ""&amp;Sentiment_Words!A$2:A3730&amp;"" ""
),
1,
0
)
)
)
)"),3.0)</f>
        <v>3</v>
      </c>
      <c r="K3484" s="4">
        <f>IFERROR(__xludf.DUMMYFUNCTION("IF(H3484="""","""",
SUM(
ARRAYFORMULA(
IF(
REGEXMATCH(
"" ""&amp;H3484&amp;"" "",
"" ""&amp;Sentiment_Words!B$2:B3730&amp;"" ""
),
1,
0
)
)
)
)"),0.0)</f>
        <v>0</v>
      </c>
      <c r="L3484" s="7" t="str">
        <f t="shared" si="3"/>
        <v>Other</v>
      </c>
      <c r="M3484" s="7" t="str">
        <f t="shared" si="4"/>
        <v>Positive</v>
      </c>
      <c r="N3484" s="7" t="str">
        <f>IFERROR(__xludf.DUMMYFUNCTION("LOWER(
TRIM(
REGEXREPLACE(B3484,""[^a-zA-Z\s]"","""")
)
)
"),"nancy")</f>
        <v>nancy</v>
      </c>
      <c r="O3484" s="7">
        <f t="shared" si="5"/>
        <v>7</v>
      </c>
      <c r="P3484" s="8" t="str">
        <f t="shared" si="6"/>
        <v>Yes</v>
      </c>
    </row>
    <row r="3485">
      <c r="A3485" s="4" t="s">
        <v>16</v>
      </c>
      <c r="B3485" s="4" t="s">
        <v>9660</v>
      </c>
      <c r="C3485" s="5">
        <v>44512.0</v>
      </c>
      <c r="D3485" s="10">
        <v>44512.0</v>
      </c>
      <c r="E3485" s="4" t="s">
        <v>9661</v>
      </c>
      <c r="F3485" s="4" t="s">
        <v>331</v>
      </c>
      <c r="G3485" s="6" t="str">
        <f>IFERROR(__xludf.DUMMYFUNCTION("REGEXREPLACE(LOWER(F3485),""[^a-z\s]"","""")"),"none")</f>
        <v>none</v>
      </c>
      <c r="H3485" s="4" t="str">
        <f t="shared" si="1"/>
        <v>none</v>
      </c>
      <c r="I3485" s="6">
        <f t="shared" si="2"/>
        <v>1</v>
      </c>
      <c r="J3485" s="6">
        <f>IFERROR(__xludf.DUMMYFUNCTION("IF(H3485="""","""",
SUM(
ARRAYFORMULA(
IF(
REGEXMATCH(
"" ""&amp;H3485&amp;"" "",
"" ""&amp;Sentiment_Words!A$2:A3730&amp;"" ""
),
1,
0
)
)
)
)"),0.0)</f>
        <v>0</v>
      </c>
      <c r="K3485" s="4">
        <f>IFERROR(__xludf.DUMMYFUNCTION("IF(H3485="""","""",
SUM(
ARRAYFORMULA(
IF(
REGEXMATCH(
"" ""&amp;H3485&amp;"" "",
"" ""&amp;Sentiment_Words!B$2:B3730&amp;"" ""
),
1,
0
)
)
)
)"),0.0)</f>
        <v>0</v>
      </c>
      <c r="L3485" s="7" t="str">
        <f t="shared" si="3"/>
        <v>Other</v>
      </c>
      <c r="M3485" s="7" t="str">
        <f t="shared" si="4"/>
        <v>Neutral</v>
      </c>
      <c r="N3485" s="7" t="str">
        <f>IFERROR(__xludf.DUMMYFUNCTION("LOWER(
TRIM(
REGEXREPLACE(B3485,""[^a-zA-Z\s]"","""")
)
)
"),"linda antonioli")</f>
        <v>linda antonioli</v>
      </c>
      <c r="O3485" s="7">
        <f t="shared" si="5"/>
        <v>1</v>
      </c>
      <c r="P3485" s="8" t="str">
        <f t="shared" si="6"/>
        <v>No</v>
      </c>
    </row>
    <row r="3486">
      <c r="A3486" s="4" t="s">
        <v>16</v>
      </c>
      <c r="B3486" s="4" t="s">
        <v>9662</v>
      </c>
      <c r="C3486" s="5">
        <v>44512.0</v>
      </c>
      <c r="D3486" s="10">
        <v>44512.0</v>
      </c>
      <c r="E3486" s="4" t="s">
        <v>181</v>
      </c>
      <c r="F3486" s="4" t="s">
        <v>331</v>
      </c>
      <c r="G3486" s="6" t="str">
        <f>IFERROR(__xludf.DUMMYFUNCTION("REGEXREPLACE(LOWER(F3486),""[^a-z\s]"","""")"),"none")</f>
        <v>none</v>
      </c>
      <c r="H3486" s="4" t="str">
        <f t="shared" si="1"/>
        <v>none</v>
      </c>
      <c r="I3486" s="6">
        <f t="shared" si="2"/>
        <v>1</v>
      </c>
      <c r="J3486" s="6">
        <f>IFERROR(__xludf.DUMMYFUNCTION("IF(H3486="""","""",
SUM(
ARRAYFORMULA(
IF(
REGEXMATCH(
"" ""&amp;H3486&amp;"" "",
"" ""&amp;Sentiment_Words!A$2:A3730&amp;"" ""
),
1,
0
)
)
)
)"),0.0)</f>
        <v>0</v>
      </c>
      <c r="K3486" s="4">
        <f>IFERROR(__xludf.DUMMYFUNCTION("IF(H3486="""","""",
SUM(
ARRAYFORMULA(
IF(
REGEXMATCH(
"" ""&amp;H3486&amp;"" "",
"" ""&amp;Sentiment_Words!B$2:B3730&amp;"" ""
),
1,
0
)
)
)
)"),0.0)</f>
        <v>0</v>
      </c>
      <c r="L3486" s="7" t="str">
        <f t="shared" si="3"/>
        <v>Other</v>
      </c>
      <c r="M3486" s="7" t="str">
        <f t="shared" si="4"/>
        <v>Neutral</v>
      </c>
      <c r="N3486" s="7" t="str">
        <f>IFERROR(__xludf.DUMMYFUNCTION("LOWER(
TRIM(
REGEXREPLACE(B3486,""[^a-zA-Z\s]"","""")
)
)
"),"kristen")</f>
        <v>kristen</v>
      </c>
      <c r="O3486" s="7">
        <f t="shared" si="5"/>
        <v>1</v>
      </c>
      <c r="P3486" s="8" t="str">
        <f t="shared" si="6"/>
        <v>No</v>
      </c>
    </row>
    <row r="3487">
      <c r="A3487" s="4" t="s">
        <v>16</v>
      </c>
      <c r="B3487" s="4" t="s">
        <v>9663</v>
      </c>
      <c r="C3487" s="5">
        <v>44512.0</v>
      </c>
      <c r="D3487" s="10">
        <v>44512.0</v>
      </c>
      <c r="E3487" s="4" t="s">
        <v>9664</v>
      </c>
      <c r="F3487" s="4" t="s">
        <v>9665</v>
      </c>
      <c r="G3487" s="6" t="str">
        <f>IFERROR(__xludf.DUMMYFUNCTION("REGEXREPLACE(LOWER(F3487),""[^a-z\s]"","""")"),"excellent selection of items and their delivery was spot on and timely i tried them when chewy did not have the brand of food that i was looking for i learned that since chewy was purchased by petsmart they no longer carry fromms dog food")</f>
        <v>excellent selection of items and their delivery was spot on and timely i tried them when chewy did not have the brand of food that i was looking for i learned that since chewy was purchased by petsmart they no longer carry fromms dog food</v>
      </c>
      <c r="H3487" s="4" t="str">
        <f t="shared" si="1"/>
        <v>excellent selection of items their delivery was spot on timely i tried them when chewy did not have brand of food that i was looking i learned that since chewy was purchased by petsmart they no longer carry fromms dog food</v>
      </c>
      <c r="I3487" s="6">
        <f t="shared" si="2"/>
        <v>41</v>
      </c>
      <c r="J3487" s="6">
        <f>IFERROR(__xludf.DUMMYFUNCTION("IF(H3487="""","""",
SUM(
ARRAYFORMULA(
IF(
REGEXMATCH(
"" ""&amp;H3487&amp;"" "",
"" ""&amp;Sentiment_Words!A$2:A3730&amp;"" ""
),
1,
0
)
)
)
)"),0.0)</f>
        <v>0</v>
      </c>
      <c r="K3487" s="4">
        <f>IFERROR(__xludf.DUMMYFUNCTION("IF(H3487="""","""",
SUM(
ARRAYFORMULA(
IF(
REGEXMATCH(
"" ""&amp;H3487&amp;"" "",
"" ""&amp;Sentiment_Words!B$2:B3730&amp;"" ""
),
1,
0
)
)
)
)"),0.0)</f>
        <v>0</v>
      </c>
      <c r="L3487" s="7" t="str">
        <f t="shared" si="3"/>
        <v>Other</v>
      </c>
      <c r="M3487" s="7" t="str">
        <f t="shared" si="4"/>
        <v>Neutral</v>
      </c>
      <c r="N3487" s="7" t="str">
        <f>IFERROR(__xludf.DUMMYFUNCTION("LOWER(
TRIM(
REGEXREPLACE(B3487,""[^a-zA-Z\s]"","""")
)
)
"),"kaia")</f>
        <v>kaia</v>
      </c>
      <c r="O3487" s="7">
        <f t="shared" si="5"/>
        <v>1</v>
      </c>
      <c r="P3487" s="8" t="str">
        <f t="shared" si="6"/>
        <v>No</v>
      </c>
    </row>
    <row r="3488">
      <c r="A3488" s="4" t="s">
        <v>16</v>
      </c>
      <c r="B3488" s="4" t="s">
        <v>9666</v>
      </c>
      <c r="C3488" s="5">
        <v>44512.0</v>
      </c>
      <c r="D3488" s="10">
        <v>44512.0</v>
      </c>
      <c r="E3488" s="4" t="s">
        <v>9667</v>
      </c>
      <c r="F3488" s="4" t="s">
        <v>9668</v>
      </c>
      <c r="G3488" s="6" t="str">
        <f>IFERROR(__xludf.DUMMYFUNCTION("REGEXREPLACE(LOWER(F3488),""[^a-z\s]"","""")"),"thank you so much petflow you have the prescription wetfood available for my halo")</f>
        <v>thank you so much petflow you have the prescription wetfood available for my halo</v>
      </c>
      <c r="H3488" s="4" t="str">
        <f t="shared" si="1"/>
        <v>thank you so much petflow you have prescription wetfood available my halo</v>
      </c>
      <c r="I3488" s="6">
        <f t="shared" si="2"/>
        <v>12</v>
      </c>
      <c r="J3488" s="6">
        <f>IFERROR(__xludf.DUMMYFUNCTION("IF(H3488="""","""",
SUM(
ARRAYFORMULA(
IF(
REGEXMATCH(
"" ""&amp;H3488&amp;"" "",
"" ""&amp;Sentiment_Words!A$2:A3730&amp;"" ""
),
1,
0
)
)
)
)"),1.0)</f>
        <v>1</v>
      </c>
      <c r="K3488" s="4">
        <f>IFERROR(__xludf.DUMMYFUNCTION("IF(H3488="""","""",
SUM(
ARRAYFORMULA(
IF(
REGEXMATCH(
"" ""&amp;H3488&amp;"" "",
"" ""&amp;Sentiment_Words!B$2:B3730&amp;"" ""
),
1,
0
)
)
)
)"),0.0)</f>
        <v>0</v>
      </c>
      <c r="L3488" s="7" t="str">
        <f t="shared" si="3"/>
        <v>Other</v>
      </c>
      <c r="M3488" s="7" t="str">
        <f t="shared" si="4"/>
        <v>Positive</v>
      </c>
      <c r="N3488" s="7" t="str">
        <f>IFERROR(__xludf.DUMMYFUNCTION("LOWER(
TRIM(
REGEXREPLACE(B3488,""[^a-zA-Z\s]"","""")
)
)
"),"gemma")</f>
        <v>gemma</v>
      </c>
      <c r="O3488" s="7">
        <f t="shared" si="5"/>
        <v>1</v>
      </c>
      <c r="P3488" s="8" t="str">
        <f t="shared" si="6"/>
        <v>No</v>
      </c>
    </row>
    <row r="3489">
      <c r="A3489" s="4" t="s">
        <v>16</v>
      </c>
      <c r="B3489" s="4" t="s">
        <v>9669</v>
      </c>
      <c r="C3489" s="5">
        <v>44512.0</v>
      </c>
      <c r="D3489" s="10">
        <v>44512.0</v>
      </c>
      <c r="E3489" s="4" t="s">
        <v>6409</v>
      </c>
      <c r="F3489" s="4" t="s">
        <v>9670</v>
      </c>
      <c r="G3489" s="6" t="str">
        <f>IFERROR(__xludf.DUMMYFUNCTION("REGEXREPLACE(LOWER(F3489),""[^a-z\s]"","""")"),"the delivery of our canned dog food was quick we had a problem with one of the cases due to the shipper and petflow customer service was excellent")</f>
        <v>the delivery of our canned dog food was quick we had a problem with one of the cases due to the shipper and petflow customer service was excellent</v>
      </c>
      <c r="H3489" s="4" t="str">
        <f t="shared" si="1"/>
        <v>delivery of our canned dog food was quick we had a problem with one of cases due shipper petflow customer service was excellent</v>
      </c>
      <c r="I3489" s="6">
        <f t="shared" si="2"/>
        <v>23</v>
      </c>
      <c r="J3489" s="6">
        <f>IFERROR(__xludf.DUMMYFUNCTION("IF(H3489="""","""",
SUM(
ARRAYFORMULA(
IF(
REGEXMATCH(
"" ""&amp;H3489&amp;"" "",
"" ""&amp;Sentiment_Words!A$2:A3730&amp;"" ""
),
1,
0
)
)
)
)"),0.0)</f>
        <v>0</v>
      </c>
      <c r="K3489" s="4">
        <f>IFERROR(__xludf.DUMMYFUNCTION("IF(H3489="""","""",
SUM(
ARRAYFORMULA(
IF(
REGEXMATCH(
"" ""&amp;H3489&amp;"" "",
"" ""&amp;Sentiment_Words!B$2:B3730&amp;"" ""
),
1,
0
)
)
)
)"),2.0)</f>
        <v>2</v>
      </c>
      <c r="L3489" s="7" t="str">
        <f t="shared" si="3"/>
        <v>Customer Support</v>
      </c>
      <c r="M3489" s="7" t="str">
        <f t="shared" si="4"/>
        <v>Negative</v>
      </c>
      <c r="N3489" s="7" t="str">
        <f>IFERROR(__xludf.DUMMYFUNCTION("LOWER(
TRIM(
REGEXREPLACE(B3489,""[^a-zA-Z\s]"","""")
)
)
"),"susan g")</f>
        <v>susan g</v>
      </c>
      <c r="O3489" s="7">
        <f t="shared" si="5"/>
        <v>1</v>
      </c>
      <c r="P3489" s="8" t="str">
        <f t="shared" si="6"/>
        <v>No</v>
      </c>
    </row>
    <row r="3490">
      <c r="A3490" s="4" t="s">
        <v>16</v>
      </c>
      <c r="B3490" s="4" t="s">
        <v>9671</v>
      </c>
      <c r="C3490" s="5">
        <v>44511.0</v>
      </c>
      <c r="D3490" s="10">
        <v>44512.0</v>
      </c>
      <c r="E3490" s="4" t="s">
        <v>9672</v>
      </c>
      <c r="F3490" s="4" t="s">
        <v>9673</v>
      </c>
      <c r="G3490" s="6" t="str">
        <f>IFERROR(__xludf.DUMMYFUNCTION("REGEXREPLACE(LOWER(F3490),""[^a-z\s]"","""")"),"never received the dog food i ordered nor did anyone follow up after i called them inquiring about the missing order super disappointing untrustworthy and poor customer service")</f>
        <v>never received the dog food i ordered nor did anyone follow up after i called them inquiring about the missing order super disappointing untrustworthy and poor customer service</v>
      </c>
      <c r="H3490" s="4" t="str">
        <f t="shared" si="1"/>
        <v>never received dog food i ordered nor did anyone follow up after i called them inquiring about missing order super disappointing untrustworthy poor customer service</v>
      </c>
      <c r="I3490" s="6">
        <f t="shared" si="2"/>
        <v>25</v>
      </c>
      <c r="J3490" s="6">
        <f>IFERROR(__xludf.DUMMYFUNCTION("IF(H3490="""","""",
SUM(
ARRAYFORMULA(
IF(
REGEXMATCH(
"" ""&amp;H3490&amp;"" "",
"" ""&amp;Sentiment_Words!A$2:A3730&amp;"" ""
),
1,
0
)
)
)
)"),0.0)</f>
        <v>0</v>
      </c>
      <c r="K3490" s="4">
        <f>IFERROR(__xludf.DUMMYFUNCTION("IF(H3490="""","""",
SUM(
ARRAYFORMULA(
IF(
REGEXMATCH(
"" ""&amp;H3490&amp;"" "",
"" ""&amp;Sentiment_Words!B$2:B3730&amp;"" ""
),
1,
0
)
)
)
)"),2.0)</f>
        <v>2</v>
      </c>
      <c r="L3490" s="7" t="str">
        <f t="shared" si="3"/>
        <v>Customer Support</v>
      </c>
      <c r="M3490" s="7" t="str">
        <f t="shared" si="4"/>
        <v>Negative</v>
      </c>
      <c r="N3490" s="7" t="str">
        <f>IFERROR(__xludf.DUMMYFUNCTION("LOWER(
TRIM(
REGEXREPLACE(B3490,""[^a-zA-Z\s]"","""")
)
)
"),"anna")</f>
        <v>anna</v>
      </c>
      <c r="O3490" s="7">
        <f t="shared" si="5"/>
        <v>4</v>
      </c>
      <c r="P3490" s="8" t="str">
        <f t="shared" si="6"/>
        <v>Yes</v>
      </c>
    </row>
    <row r="3491">
      <c r="A3491" s="4" t="s">
        <v>16</v>
      </c>
      <c r="B3491" s="4" t="s">
        <v>9674</v>
      </c>
      <c r="C3491" s="5">
        <v>44511.0</v>
      </c>
      <c r="D3491" s="10">
        <v>44511.0</v>
      </c>
      <c r="E3491" s="4" t="s">
        <v>9675</v>
      </c>
      <c r="F3491" s="4" t="s">
        <v>9676</v>
      </c>
      <c r="G3491" s="6" t="str">
        <f>IFERROR(__xludf.DUMMYFUNCTION("REGEXREPLACE(LOWER(F3491),""[^a-z\s]"","""")"),"petflow is a great company to do my on line buying from the customer service persons are the best")</f>
        <v>petflow is a great company to do my on line buying from the customer service persons are the best</v>
      </c>
      <c r="H3491" s="4" t="str">
        <f t="shared" si="1"/>
        <v>petflow a great company do my on line buying from customer service persons are best</v>
      </c>
      <c r="I3491" s="6">
        <f t="shared" si="2"/>
        <v>15</v>
      </c>
      <c r="J3491" s="6">
        <f>IFERROR(__xludf.DUMMYFUNCTION("IF(H3491="""","""",
SUM(
ARRAYFORMULA(
IF(
REGEXMATCH(
"" ""&amp;H3491&amp;"" "",
"" ""&amp;Sentiment_Words!A$2:A3730&amp;"" ""
),
1,
0
)
)
)
)"),1.0)</f>
        <v>1</v>
      </c>
      <c r="K3491" s="4">
        <f>IFERROR(__xludf.DUMMYFUNCTION("IF(H3491="""","""",
SUM(
ARRAYFORMULA(
IF(
REGEXMATCH(
"" ""&amp;H3491&amp;"" "",
"" ""&amp;Sentiment_Words!B$2:B3730&amp;"" ""
),
1,
0
)
)
)
)"),1.0)</f>
        <v>1</v>
      </c>
      <c r="L3491" s="7" t="str">
        <f t="shared" si="3"/>
        <v>Customer Support</v>
      </c>
      <c r="M3491" s="7" t="str">
        <f t="shared" si="4"/>
        <v>Neutral</v>
      </c>
      <c r="N3491" s="7" t="str">
        <f>IFERROR(__xludf.DUMMYFUNCTION("LOWER(
TRIM(
REGEXREPLACE(B3491,""[^a-zA-Z\s]"","""")
)
)
"),"drivers license wizard user")</f>
        <v>drivers license wizard user</v>
      </c>
      <c r="O3491" s="7">
        <f t="shared" si="5"/>
        <v>1</v>
      </c>
      <c r="P3491" s="8" t="str">
        <f t="shared" si="6"/>
        <v>No</v>
      </c>
    </row>
    <row r="3492">
      <c r="A3492" s="4" t="s">
        <v>16</v>
      </c>
      <c r="B3492" s="4" t="s">
        <v>9677</v>
      </c>
      <c r="C3492" s="5">
        <v>44511.0</v>
      </c>
      <c r="D3492" s="10">
        <v>44511.0</v>
      </c>
      <c r="E3492" s="4" t="s">
        <v>9678</v>
      </c>
      <c r="F3492" s="4" t="s">
        <v>9679</v>
      </c>
      <c r="G3492" s="6" t="str">
        <f>IFERROR(__xludf.DUMMYFUNCTION("REGEXREPLACE(LOWER(F3492),""[^a-z\s]"","""")"),"like the quick service and available products i have only had one problem since using petflow ordered pill pouches and they arrived smashed good company that i have recommended")</f>
        <v>like the quick service and available products i have only had one problem since using petflow ordered pill pouches and they arrived smashed good company that i have recommended</v>
      </c>
      <c r="H3492" s="4" t="str">
        <f t="shared" si="1"/>
        <v>like quick service available products i have only had one problem since using petflow ordered pill pouches they arrived smashed good company that i have recommended</v>
      </c>
      <c r="I3492" s="6">
        <f t="shared" si="2"/>
        <v>26</v>
      </c>
      <c r="J3492" s="6">
        <f>IFERROR(__xludf.DUMMYFUNCTION("IF(H3492="""","""",
SUM(
ARRAYFORMULA(
IF(
REGEXMATCH(
"" ""&amp;H3492&amp;"" "",
"" ""&amp;Sentiment_Words!A$2:A3730&amp;"" ""
),
1,
0
)
)
)
)"),2.0)</f>
        <v>2</v>
      </c>
      <c r="K3492" s="4">
        <f>IFERROR(__xludf.DUMMYFUNCTION("IF(H3492="""","""",
SUM(
ARRAYFORMULA(
IF(
REGEXMATCH(
"" ""&amp;H3492&amp;"" "",
"" ""&amp;Sentiment_Words!B$2:B3730&amp;"" ""
),
1,
0
)
)
)
)"),1.0)</f>
        <v>1</v>
      </c>
      <c r="L3492" s="7" t="str">
        <f t="shared" si="3"/>
        <v>Customer Support</v>
      </c>
      <c r="M3492" s="7" t="str">
        <f t="shared" si="4"/>
        <v>Positive</v>
      </c>
      <c r="N3492" s="7" t="str">
        <f>IFERROR(__xludf.DUMMYFUNCTION("LOWER(
TRIM(
REGEXREPLACE(B3492,""[^a-zA-Z\s]"","""")
)
)
"),"von snow")</f>
        <v>von snow</v>
      </c>
      <c r="O3492" s="7">
        <f t="shared" si="5"/>
        <v>1</v>
      </c>
      <c r="P3492" s="8" t="str">
        <f t="shared" si="6"/>
        <v>No</v>
      </c>
    </row>
    <row r="3493">
      <c r="A3493" s="4" t="s">
        <v>16</v>
      </c>
      <c r="B3493" s="4" t="s">
        <v>9680</v>
      </c>
      <c r="C3493" s="5">
        <v>44511.0</v>
      </c>
      <c r="D3493" s="10">
        <v>44511.0</v>
      </c>
      <c r="E3493" s="4" t="s">
        <v>9681</v>
      </c>
      <c r="F3493" s="4" t="s">
        <v>9682</v>
      </c>
      <c r="G3493" s="6" t="str">
        <f>IFERROR(__xludf.DUMMYFUNCTION("REGEXREPLACE(LOWER(F3493),""[^a-z\s]"","""")"),"always get my pups treats and food from petflow great service and super quick delivery with updates")</f>
        <v>always get my pups treats and food from petflow great service and super quick delivery with updates</v>
      </c>
      <c r="H3493" s="4" t="str">
        <f t="shared" si="1"/>
        <v>always get my pups treats food from petflow great service super quick delivery with updates</v>
      </c>
      <c r="I3493" s="6">
        <f t="shared" si="2"/>
        <v>15</v>
      </c>
      <c r="J3493" s="6">
        <f>IFERROR(__xludf.DUMMYFUNCTION("IF(H3493="""","""",
SUM(
ARRAYFORMULA(
IF(
REGEXMATCH(
"" ""&amp;H3493&amp;"" "",
"" ""&amp;Sentiment_Words!A$2:A3730&amp;"" ""
),
1,
0
)
)
)
)"),2.0)</f>
        <v>2</v>
      </c>
      <c r="K3493" s="4">
        <f>IFERROR(__xludf.DUMMYFUNCTION("IF(H3493="""","""",
SUM(
ARRAYFORMULA(
IF(
REGEXMATCH(
"" ""&amp;H3493&amp;"" "",
"" ""&amp;Sentiment_Words!B$2:B3730&amp;"" ""
),
1,
0
)
)
)
)"),0.0)</f>
        <v>0</v>
      </c>
      <c r="L3493" s="7" t="str">
        <f t="shared" si="3"/>
        <v>Customer Support</v>
      </c>
      <c r="M3493" s="7" t="str">
        <f t="shared" si="4"/>
        <v>Positive</v>
      </c>
      <c r="N3493" s="7" t="str">
        <f>IFERROR(__xludf.DUMMYFUNCTION("LOWER(
TRIM(
REGEXREPLACE(B3493,""[^a-zA-Z\s]"","""")
)
)
"),"antoinette darrow")</f>
        <v>antoinette darrow</v>
      </c>
      <c r="O3493" s="7">
        <f t="shared" si="5"/>
        <v>1</v>
      </c>
      <c r="P3493" s="8" t="str">
        <f t="shared" si="6"/>
        <v>No</v>
      </c>
    </row>
    <row r="3494">
      <c r="A3494" s="4" t="s">
        <v>16</v>
      </c>
      <c r="B3494" s="4" t="s">
        <v>9683</v>
      </c>
      <c r="C3494" s="5">
        <v>44510.0</v>
      </c>
      <c r="D3494" s="10">
        <v>44511.0</v>
      </c>
      <c r="E3494" s="4" t="s">
        <v>9684</v>
      </c>
      <c r="F3494" s="4" t="s">
        <v>9685</v>
      </c>
      <c r="G3494" s="6" t="str">
        <f>IFERROR(__xludf.DUMMYFUNCTION("REGEXREPLACE(LOWER(F3494),""[^a-z\s]"","""")"),"on oct th after not being able to obtain the prescription canned dog food needed through normal online pet care provider for over  days i found the petflow website which showed the food was in stock to be sure i called the same day  spoke to an agent who "&amp;"confirmed their database did indicate the food was in stock consequently i placed an order that day and sent the agent id spoken to the original inforce prescription she confirmed via email shed forward it to the appropriate area to expedite the order as "&amp;"we were running out of food received order confirmation that day along with email form agent saying shed forwarded the prescription to complete the order
after receiving no further information i contacted petflow via the text message system and was infor"&amp;"med  hi there it looks like we are still awaiting approval on this order ive sent your prescription to our pharmacy team again and asked that they approve this order today once shipped youll be notified via email and that  i just followed up with our phar"&amp;"macy team still having received no information i called the customer service number on nov th rep advised shed look into it and give me a call back the call never came
then on nov th at am i received an email which stated  as you know weve been monitorin"&amp;"g the status of your order and anticipating a new shipment from the manufacturer regrettably we still have not received raw products as a result weve had to cancel your order
consequently one can only assume after showing the item instock on the petflow "&amp;"website and after calling to confirm that before placing the order and then having received nothing prior to the nov th notice that petflow never had the item instock the old bait and switch
therefore after this experience i can not and will not recommen"&amp;"d petflow to anyone")</f>
        <v>on oct th after not being able to obtain the prescription canned dog food needed through normal online pet care provider for over  days i found the petflow website which showed the food was in stock to be sure i called the same day  spoke to an agent who confirmed their database did indicate the food was in stock consequently i placed an order that day and sent the agent id spoken to the original inforce prescription she confirmed via email shed forward it to the appropriate area to expedite the order as we were running out of food received order confirmation that day along with email form agent saying shed forwarded the prescription to complete the order
after receiving no further information i contacted petflow via the text message system and was informed  hi there it looks like we are still awaiting approval on this order ive sent your prescription to our pharmacy team again and asked that they approve this order today once shipped youll be notified via email and that  i just followed up with our pharmacy team still having received no information i called the customer service number on nov th rep advised shed look into it and give me a call back the call never came
then on nov th at am i received an email which stated  as you know weve been monitoring the status of your order and anticipating a new shipment from the manufacturer regrettably we still have not received raw products as a result weve had to cancel your order
consequently one can only assume after showing the item instock on the petflow website and after calling to confirm that before placing the order and then having received nothing prior to the nov th notice that petflow never had the item instock the old bait and switch
therefore after this experience i can not and will not recommend petflow to anyone</v>
      </c>
      <c r="H3494" s="4" t="str">
        <f t="shared" si="1"/>
        <v>on oct th after not being able obtain prescription canned dog food needed through normal online pet care provider over days i found petflow website which showed food was in stock be sure i called same day spoke an agent who confirmed their database did indicate food was in stock consequently i placed an order that day sent agent id spoken original inforce prescription she confirmed via email shed forward it appropriate area expedite order as we were running out of food received order confirmation that day along with email form agent saying shed forwarded prescription complete order
after receiving no further information i contacted petflow via text message system was informed hi there it looks like we are still awaiting approval on this order ive sent your prescription our pharmacy team again asked that they approve this order today once shipped youll be notified via email that i just followed up with our pharmacy team still having received no information i called customer service number on nov th rep advised shed look into it give me a call back call never came
then on nov th at am i received an email which stated as you know weve been monitoring status of your order anticipating a new shipment from manufacturer regrettably we still have not received raw products as a result weve had cancel your order
consequently one can only assume after showing item instock on petflow website after calling confirm that before placing order then having received nothing prior nov th notice that petflow never had item instock old bait switch
therefore after this experience i can not will not recommend petflow anyone</v>
      </c>
      <c r="I3494" s="6">
        <f t="shared" si="2"/>
        <v>271</v>
      </c>
      <c r="J3494" s="6">
        <f>IFERROR(__xludf.DUMMYFUNCTION("IF(H3494="""","""",
SUM(
ARRAYFORMULA(
IF(
REGEXMATCH(
"" ""&amp;H3494&amp;"" "",
"" ""&amp;Sentiment_Words!A$2:A3730&amp;"" ""
),
1,
0
)
)
)
)"),3.0)</f>
        <v>3</v>
      </c>
      <c r="K3494" s="4">
        <f>IFERROR(__xludf.DUMMYFUNCTION("IF(H3494="""","""",
SUM(
ARRAYFORMULA(
IF(
REGEXMATCH(
"" ""&amp;H3494&amp;"" "",
"" ""&amp;Sentiment_Words!B$2:B3730&amp;"" ""
),
1,
0
)
)
)
)"),1.0)</f>
        <v>1</v>
      </c>
      <c r="L3494" s="7" t="str">
        <f t="shared" si="3"/>
        <v>Customer Support</v>
      </c>
      <c r="M3494" s="7" t="str">
        <f t="shared" si="4"/>
        <v>Positive</v>
      </c>
      <c r="N3494" s="7" t="str">
        <f>IFERROR(__xludf.DUMMYFUNCTION("LOWER(
TRIM(
REGEXREPLACE(B3494,""[^a-zA-Z\s]"","""")
)
)
"),"wk")</f>
        <v>wk</v>
      </c>
      <c r="O3494" s="7">
        <f t="shared" si="5"/>
        <v>1</v>
      </c>
      <c r="P3494" s="8" t="str">
        <f t="shared" si="6"/>
        <v>No</v>
      </c>
    </row>
    <row r="3495">
      <c r="A3495" s="4" t="s">
        <v>16</v>
      </c>
      <c r="B3495" s="4" t="s">
        <v>9686</v>
      </c>
      <c r="C3495" s="5">
        <v>44510.0</v>
      </c>
      <c r="D3495" s="10">
        <v>44510.0</v>
      </c>
      <c r="E3495" s="4" t="s">
        <v>9687</v>
      </c>
      <c r="F3495" s="4" t="s">
        <v>9688</v>
      </c>
      <c r="G3495" s="6" t="str">
        <f>IFERROR(__xludf.DUMMYFUNCTION("REGEXREPLACE(LOWER(F3495),""[^a-z\s]"","""")"),"customer service is excellent what they sayhappens and quickly delivery is fast packaged very well notifications of shipment delays when to expect delivery are outstanding
love this companythey genuinely understand how important our fur babies are to us b"&amp;"ravo pet flow")</f>
        <v>customer service is excellent what they sayhappens and quickly delivery is fast packaged very well notifications of shipment delays when to expect delivery are outstanding
love this companythey genuinely understand how important our fur babies are to us bravo pet flow</v>
      </c>
      <c r="H3495" s="4" t="str">
        <f t="shared" si="1"/>
        <v>customer service excellent what they sayhappens quickly delivery fast packaged very well notifications of shipment delays when expect delivery are outstanding
love this companythey genuinely understand how important our fur babies are us bravo pet flow</v>
      </c>
      <c r="I3495" s="6">
        <f t="shared" si="2"/>
        <v>35</v>
      </c>
      <c r="J3495" s="6">
        <f>IFERROR(__xludf.DUMMYFUNCTION("IF(H3495="""","""",
SUM(
ARRAYFORMULA(
IF(
REGEXMATCH(
"" ""&amp;H3495&amp;"" "",
"" ""&amp;Sentiment_Words!A$2:A3730&amp;"" ""
),
1,
0
)
)
)
)"),1.0)</f>
        <v>1</v>
      </c>
      <c r="K3495" s="4">
        <f>IFERROR(__xludf.DUMMYFUNCTION("IF(H3495="""","""",
SUM(
ARRAYFORMULA(
IF(
REGEXMATCH(
"" ""&amp;H3495&amp;"" "",
"" ""&amp;Sentiment_Words!B$2:B3730&amp;"" ""
),
1,
0
)
)
)
)"),1.0)</f>
        <v>1</v>
      </c>
      <c r="L3495" s="7" t="str">
        <f t="shared" si="3"/>
        <v>Customer Support</v>
      </c>
      <c r="M3495" s="7" t="str">
        <f t="shared" si="4"/>
        <v>Neutral</v>
      </c>
      <c r="N3495" s="7" t="str">
        <f>IFERROR(__xludf.DUMMYFUNCTION("LOWER(
TRIM(
REGEXREPLACE(B3495,""[^a-zA-Z\s]"","""")
)
)
"),"martha")</f>
        <v>martha</v>
      </c>
      <c r="O3495" s="7">
        <f t="shared" si="5"/>
        <v>3</v>
      </c>
      <c r="P3495" s="8" t="str">
        <f t="shared" si="6"/>
        <v>Yes</v>
      </c>
    </row>
    <row r="3496">
      <c r="A3496" s="4" t="s">
        <v>16</v>
      </c>
      <c r="B3496" s="4" t="s">
        <v>9689</v>
      </c>
      <c r="C3496" s="5">
        <v>44510.0</v>
      </c>
      <c r="D3496" s="10">
        <v>44510.0</v>
      </c>
      <c r="E3496" s="4" t="s">
        <v>9690</v>
      </c>
      <c r="F3496" s="4" t="s">
        <v>9691</v>
      </c>
      <c r="G3496" s="6" t="str">
        <f>IFERROR(__xludf.DUMMYFUNCTION("REGEXREPLACE(LOWER(F3496),""[^a-z\s]"","""")"),"i had a hard time finding what i wanted and petflow had it fair price fair shipping cost and timely i will be a repeat customer")</f>
        <v>i had a hard time finding what i wanted and petflow had it fair price fair shipping cost and timely i will be a repeat customer</v>
      </c>
      <c r="H3496" s="4" t="str">
        <f t="shared" si="1"/>
        <v>i had a hard time finding what i wanted petflow had it fair price fair shipping cost timely i will be a repeat customer</v>
      </c>
      <c r="I3496" s="6">
        <f t="shared" si="2"/>
        <v>24</v>
      </c>
      <c r="J3496" s="6">
        <f>IFERROR(__xludf.DUMMYFUNCTION("IF(H3496="""","""",
SUM(
ARRAYFORMULA(
IF(
REGEXMATCH(
"" ""&amp;H3496&amp;"" "",
"" ""&amp;Sentiment_Words!A$2:A3730&amp;"" ""
),
1,
0
)
)
)
)"),0.0)</f>
        <v>0</v>
      </c>
      <c r="K3496" s="4">
        <f>IFERROR(__xludf.DUMMYFUNCTION("IF(H3496="""","""",
SUM(
ARRAYFORMULA(
IF(
REGEXMATCH(
"" ""&amp;H3496&amp;"" "",
"" ""&amp;Sentiment_Words!B$2:B3730&amp;"" ""
),
1,
0
)
)
)
)"),0.0)</f>
        <v>0</v>
      </c>
      <c r="L3496" s="7" t="str">
        <f t="shared" si="3"/>
        <v>Other</v>
      </c>
      <c r="M3496" s="7" t="str">
        <f t="shared" si="4"/>
        <v>Neutral</v>
      </c>
      <c r="N3496" s="7" t="str">
        <f>IFERROR(__xludf.DUMMYFUNCTION("LOWER(
TRIM(
REGEXREPLACE(B3496,""[^a-zA-Z\s]"","""")
)
)
"),"tammy counts")</f>
        <v>tammy counts</v>
      </c>
      <c r="O3496" s="7">
        <f t="shared" si="5"/>
        <v>1</v>
      </c>
      <c r="P3496" s="8" t="str">
        <f t="shared" si="6"/>
        <v>No</v>
      </c>
    </row>
    <row r="3497">
      <c r="A3497" s="4" t="s">
        <v>16</v>
      </c>
      <c r="B3497" s="4" t="s">
        <v>9692</v>
      </c>
      <c r="C3497" s="5">
        <v>44510.0</v>
      </c>
      <c r="D3497" s="10">
        <v>44510.0</v>
      </c>
      <c r="E3497" s="4" t="s">
        <v>9693</v>
      </c>
      <c r="F3497" s="4" t="s">
        <v>9694</v>
      </c>
      <c r="G3497" s="6" t="str">
        <f>IFERROR(__xludf.DUMMYFUNCTION("REGEXREPLACE(LOWER(F3497),""[^a-z\s]"","""")"),"always what they promised great deals")</f>
        <v>always what they promised great deals</v>
      </c>
      <c r="H3497" s="4" t="str">
        <f t="shared" si="1"/>
        <v>always what they promised great deals</v>
      </c>
      <c r="I3497" s="6">
        <f t="shared" si="2"/>
        <v>6</v>
      </c>
      <c r="J3497" s="6">
        <f>IFERROR(__xludf.DUMMYFUNCTION("IF(H3497="""","""",
SUM(
ARRAYFORMULA(
IF(
REGEXMATCH(
"" ""&amp;H3497&amp;"" "",
"" ""&amp;Sentiment_Words!A$2:A3730&amp;"" ""
),
1,
0
)
)
)
)"),1.0)</f>
        <v>1</v>
      </c>
      <c r="K3497" s="4">
        <f>IFERROR(__xludf.DUMMYFUNCTION("IF(H3497="""","""",
SUM(
ARRAYFORMULA(
IF(
REGEXMATCH(
"" ""&amp;H3497&amp;"" "",
"" ""&amp;Sentiment_Words!B$2:B3730&amp;"" ""
),
1,
0
)
)
)
)"),0.0)</f>
        <v>0</v>
      </c>
      <c r="L3497" s="7" t="str">
        <f t="shared" si="3"/>
        <v>Other</v>
      </c>
      <c r="M3497" s="7" t="str">
        <f t="shared" si="4"/>
        <v>Positive</v>
      </c>
      <c r="N3497" s="7" t="str">
        <f>IFERROR(__xludf.DUMMYFUNCTION("LOWER(
TRIM(
REGEXREPLACE(B3497,""[^a-zA-Z\s]"","""")
)
)
"),"caroline")</f>
        <v>caroline</v>
      </c>
      <c r="O3497" s="7">
        <f t="shared" si="5"/>
        <v>1</v>
      </c>
      <c r="P3497" s="8" t="str">
        <f t="shared" si="6"/>
        <v>No</v>
      </c>
    </row>
    <row r="3498">
      <c r="A3498" s="4" t="s">
        <v>16</v>
      </c>
      <c r="B3498" s="4" t="s">
        <v>9695</v>
      </c>
      <c r="C3498" s="5">
        <v>44510.0</v>
      </c>
      <c r="D3498" s="10">
        <v>44510.0</v>
      </c>
      <c r="E3498" s="4" t="s">
        <v>1045</v>
      </c>
      <c r="F3498" s="4" t="s">
        <v>9696</v>
      </c>
      <c r="G3498" s="6" t="str">
        <f>IFERROR(__xludf.DUMMYFUNCTION("REGEXREPLACE(LOWER(F3498),""[^a-z\s]"","""")"),"i ordered a few items using an account credit when one of the items was out of stock at one warehouse and had to be shipped from a different warehouse they charged my paypal account without my consent for this item that was already paid for using the acco"&amp;"unt credit i will never buy another thing from petflow ever again what an awful company")</f>
        <v>i ordered a few items using an account credit when one of the items was out of stock at one warehouse and had to be shipped from a different warehouse they charged my paypal account without my consent for this item that was already paid for using the account credit i will never buy another thing from petflow ever again what an awful company</v>
      </c>
      <c r="H3498" s="4" t="str">
        <f t="shared" si="1"/>
        <v>i ordered a few items using an account credit when one of items was out of stock at one warehouse had be shipped from a different warehouse they charged my paypal account without my consent this item that was already paid using account credit i will never buy another thing from petflow ever again what an awful company</v>
      </c>
      <c r="I3498" s="6">
        <f t="shared" si="2"/>
        <v>58</v>
      </c>
      <c r="J3498" s="6">
        <f>IFERROR(__xludf.DUMMYFUNCTION("IF(H3498="""","""",
SUM(
ARRAYFORMULA(
IF(
REGEXMATCH(
"" ""&amp;H3498&amp;"" "",
"" ""&amp;Sentiment_Words!A$2:A3730&amp;"" ""
),
1,
0
)
)
)
)"),0.0)</f>
        <v>0</v>
      </c>
      <c r="K3498" s="4">
        <f>IFERROR(__xludf.DUMMYFUNCTION("IF(H3498="""","""",
SUM(
ARRAYFORMULA(
IF(
REGEXMATCH(
"" ""&amp;H3498&amp;"" "",
"" ""&amp;Sentiment_Words!B$2:B3730&amp;"" ""
),
1,
0
)
)
)
)"),1.0)</f>
        <v>1</v>
      </c>
      <c r="L3498" s="7" t="str">
        <f t="shared" si="3"/>
        <v>Availability</v>
      </c>
      <c r="M3498" s="7" t="str">
        <f t="shared" si="4"/>
        <v>Negative</v>
      </c>
      <c r="N3498" s="7" t="str">
        <f>IFERROR(__xludf.DUMMYFUNCTION("LOWER(
TRIM(
REGEXREPLACE(B3498,""[^a-zA-Z\s]"","""")
)
)
"),"gwen siddiqu")</f>
        <v>gwen siddiqu</v>
      </c>
      <c r="O3498" s="7">
        <f t="shared" si="5"/>
        <v>1</v>
      </c>
      <c r="P3498" s="8" t="str">
        <f t="shared" si="6"/>
        <v>No</v>
      </c>
    </row>
    <row r="3499">
      <c r="A3499" s="4" t="s">
        <v>16</v>
      </c>
      <c r="B3499" s="4" t="s">
        <v>9697</v>
      </c>
      <c r="C3499" s="5">
        <v>44510.0</v>
      </c>
      <c r="D3499" s="10">
        <v>44510.0</v>
      </c>
      <c r="E3499" s="4" t="s">
        <v>9698</v>
      </c>
      <c r="F3499" s="4" t="s">
        <v>9699</v>
      </c>
      <c r="G3499" s="6" t="str">
        <f>IFERROR(__xludf.DUMMYFUNCTION("REGEXREPLACE(LOWER(F3499),""[^a-z\s]"","""")"),"great prices easy to order and prompt delivery im a convert")</f>
        <v>great prices easy to order and prompt delivery im a convert</v>
      </c>
      <c r="H3499" s="4" t="str">
        <f t="shared" si="1"/>
        <v>great prices easy order prompt delivery im a convert</v>
      </c>
      <c r="I3499" s="6">
        <f t="shared" si="2"/>
        <v>9</v>
      </c>
      <c r="J3499" s="6">
        <f>IFERROR(__xludf.DUMMYFUNCTION("IF(H3499="""","""",
SUM(
ARRAYFORMULA(
IF(
REGEXMATCH(
"" ""&amp;H3499&amp;"" "",
"" ""&amp;Sentiment_Words!A$2:A3730&amp;"" ""
),
1,
0
)
)
)
)"),3.0)</f>
        <v>3</v>
      </c>
      <c r="K3499" s="4">
        <f>IFERROR(__xludf.DUMMYFUNCTION("IF(H3499="""","""",
SUM(
ARRAYFORMULA(
IF(
REGEXMATCH(
"" ""&amp;H3499&amp;"" "",
"" ""&amp;Sentiment_Words!B$2:B3730&amp;"" ""
),
1,
0
)
)
)
)"),0.0)</f>
        <v>0</v>
      </c>
      <c r="L3499" s="7" t="str">
        <f t="shared" si="3"/>
        <v>Other</v>
      </c>
      <c r="M3499" s="7" t="str">
        <f t="shared" si="4"/>
        <v>Positive</v>
      </c>
      <c r="N3499" s="7" t="str">
        <f>IFERROR(__xludf.DUMMYFUNCTION("LOWER(
TRIM(
REGEXREPLACE(B3499,""[^a-zA-Z\s]"","""")
)
)
"),"lj")</f>
        <v>lj</v>
      </c>
      <c r="O3499" s="7">
        <f t="shared" si="5"/>
        <v>1</v>
      </c>
      <c r="P3499" s="8" t="str">
        <f t="shared" si="6"/>
        <v>No</v>
      </c>
    </row>
    <row r="3500">
      <c r="A3500" s="4" t="s">
        <v>16</v>
      </c>
      <c r="B3500" s="4" t="s">
        <v>9700</v>
      </c>
      <c r="C3500" s="5">
        <v>44510.0</v>
      </c>
      <c r="D3500" s="10">
        <v>44510.0</v>
      </c>
      <c r="E3500" s="4" t="s">
        <v>9701</v>
      </c>
      <c r="F3500" s="4" t="s">
        <v>9702</v>
      </c>
      <c r="G3500" s="6" t="str">
        <f>IFERROR(__xludf.DUMMYFUNCTION("REGEXREPLACE(LOWER(F3500),""[^a-z\s]"","""")"),"i have ordered the  pack of bully sticks from petflow several times they are an expensive item anywhere and the cost keeps going up as with everything these days their prices are fair and their shipping is fast one thing i have noticed is that the total a"&amp;"mount that my receipt says and the amount taken out of my bank account are always  penny different i know its just a penny if petflow does that to every customer it would amount to felony theft")</f>
        <v>i have ordered the  pack of bully sticks from petflow several times they are an expensive item anywhere and the cost keeps going up as with everything these days their prices are fair and their shipping is fast one thing i have noticed is that the total amount that my receipt says and the amount taken out of my bank account are always  penny different i know its just a penny if petflow does that to every customer it would amount to felony theft</v>
      </c>
      <c r="H3500" s="4" t="str">
        <f t="shared" si="1"/>
        <v>i have ordered pack of bully sticks from petflow several times they are an expensive item anywhere cost keeps going up as with everything these days their prices are fair their shipping fast one thing i have noticed that total amount that my receipt says amount taken out of my bank account are always penny different i know its just a penny if petflow does that every customer it would amount felony theft</v>
      </c>
      <c r="I3500" s="6">
        <f t="shared" si="2"/>
        <v>73</v>
      </c>
      <c r="J3500" s="6">
        <f>IFERROR(__xludf.DUMMYFUNCTION("IF(H3500="""","""",
SUM(
ARRAYFORMULA(
IF(
REGEXMATCH(
"" ""&amp;H3500&amp;"" "",
"" ""&amp;Sentiment_Words!A$2:A3730&amp;"" ""
),
1,
0
)
)
)
)"),1.0)</f>
        <v>1</v>
      </c>
      <c r="K3500" s="4">
        <f>IFERROR(__xludf.DUMMYFUNCTION("IF(H3500="""","""",
SUM(
ARRAYFORMULA(
IF(
REGEXMATCH(
"" ""&amp;H3500&amp;"" "",
"" ""&amp;Sentiment_Words!B$2:B3730&amp;"" ""
),
1,
0
)
)
)
)"),0.0)</f>
        <v>0</v>
      </c>
      <c r="L3500" s="7" t="str">
        <f t="shared" si="3"/>
        <v>Account &amp; Website</v>
      </c>
      <c r="M3500" s="7" t="str">
        <f t="shared" si="4"/>
        <v>Positive</v>
      </c>
      <c r="N3500" s="7" t="str">
        <f>IFERROR(__xludf.DUMMYFUNCTION("LOWER(
TRIM(
REGEXREPLACE(B3500,""[^a-zA-Z\s]"","""")
)
)
"),"wilda white")</f>
        <v>wilda white</v>
      </c>
      <c r="O3500" s="7">
        <f t="shared" si="5"/>
        <v>1</v>
      </c>
      <c r="P3500" s="8" t="str">
        <f t="shared" si="6"/>
        <v>No</v>
      </c>
    </row>
    <row r="3501">
      <c r="A3501" s="4" t="s">
        <v>16</v>
      </c>
      <c r="B3501" s="4" t="s">
        <v>9703</v>
      </c>
      <c r="C3501" s="9">
        <v>44509.0</v>
      </c>
      <c r="D3501" s="10">
        <v>44509.0</v>
      </c>
      <c r="E3501" s="4" t="s">
        <v>9704</v>
      </c>
      <c r="F3501" s="4" t="s">
        <v>9705</v>
      </c>
      <c r="G3501" s="6" t="str">
        <f>IFERROR(__xludf.DUMMYFUNCTION("REGEXREPLACE(LOWER(F3501),""[^a-z\s]"","""")"),"ordered online instead of my local store who is almost always out of stock i just order when the old bag is halfway empty  food comes within a couple of days usually no issues")</f>
        <v>ordered online instead of my local store who is almost always out of stock i just order when the old bag is halfway empty  food comes within a couple of days usually no issues</v>
      </c>
      <c r="H3501" s="4" t="str">
        <f t="shared" si="1"/>
        <v>ordered online instead of my local store who almost always out of stock i just order when old bag halfway empty food comes within a couple of days usually no issues</v>
      </c>
      <c r="I3501" s="6">
        <f t="shared" si="2"/>
        <v>31</v>
      </c>
      <c r="J3501" s="6">
        <f>IFERROR(__xludf.DUMMYFUNCTION("IF(H3501="""","""",
SUM(
ARRAYFORMULA(
IF(
REGEXMATCH(
"" ""&amp;H3501&amp;"" "",
"" ""&amp;Sentiment_Words!A$2:A3730&amp;"" ""
),
1,
0
)
)
)
)"),1.0)</f>
        <v>1</v>
      </c>
      <c r="K3501" s="4">
        <f>IFERROR(__xludf.DUMMYFUNCTION("IF(H3501="""","""",
SUM(
ARRAYFORMULA(
IF(
REGEXMATCH(
"" ""&amp;H3501&amp;"" "",
"" ""&amp;Sentiment_Words!B$2:B3730&amp;"" ""
),
1,
0
)
)
)
)"),1.0)</f>
        <v>1</v>
      </c>
      <c r="L3501" s="7" t="str">
        <f t="shared" si="3"/>
        <v>Availability</v>
      </c>
      <c r="M3501" s="7" t="str">
        <f t="shared" si="4"/>
        <v>Neutral</v>
      </c>
      <c r="N3501" s="7" t="str">
        <f>IFERROR(__xludf.DUMMYFUNCTION("LOWER(
TRIM(
REGEXREPLACE(B3501,""[^a-zA-Z\s]"","""")
)
)
"),"russell holster")</f>
        <v>russell holster</v>
      </c>
      <c r="O3501" s="7">
        <f t="shared" si="5"/>
        <v>1</v>
      </c>
      <c r="P3501" s="8" t="str">
        <f t="shared" si="6"/>
        <v>No</v>
      </c>
    </row>
    <row r="3502">
      <c r="A3502" s="4" t="s">
        <v>16</v>
      </c>
      <c r="B3502" s="4" t="s">
        <v>9706</v>
      </c>
      <c r="C3502" s="9">
        <v>44509.0</v>
      </c>
      <c r="D3502" s="10">
        <v>44509.0</v>
      </c>
      <c r="E3502" s="4" t="s">
        <v>9707</v>
      </c>
      <c r="F3502" s="4" t="s">
        <v>9708</v>
      </c>
      <c r="G3502" s="6" t="str">
        <f>IFERROR(__xludf.DUMMYFUNCTION("REGEXREPLACE(LOWER(F3502),""[^a-z\s]"","""")"),"my order was filled shortly after it was placed but  days after it was due to be delivered only of  boxes has been the other two boxes are sitting at a fed ex center waiting to be loaded onto the delivery truck the petflow customer service people were ver"&amp;"y kind pleasant to work with and thorough they were able to accommodate the changes in delivery that needed to be made due to fed ex delays and did their best to improve an unfortunate situation i would certainly order again but would try to allow at leas"&amp;"t three times as much time for shipping than prepandemic")</f>
        <v>my order was filled shortly after it was placed but  days after it was due to be delivered only of  boxes has been the other two boxes are sitting at a fed ex center waiting to be loaded onto the delivery truck the petflow customer service people were very kind pleasant to work with and thorough they were able to accommodate the changes in delivery that needed to be made due to fed ex delays and did their best to improve an unfortunate situation i would certainly order again but would try to allow at least three times as much time for shipping than prepandemic</v>
      </c>
      <c r="H3502" s="4" t="str">
        <f t="shared" si="1"/>
        <v>my order was filled shortly after it was placed but days after it was due be delivered only of boxes has been other two boxes are sitting at a fed ex center waiting be loaded onto delivery truck petflow customer service people were very kind pleasant work with thorough they were able accommodate changes in delivery that needed be made due fed ex delays did their best improve an unfortunate situation i would certainly order again but would try allow at least three times as much time shipping than prepandemic</v>
      </c>
      <c r="I3502" s="6">
        <f t="shared" si="2"/>
        <v>90</v>
      </c>
      <c r="J3502" s="6">
        <f>IFERROR(__xludf.DUMMYFUNCTION("IF(H3502="""","""",
SUM(
ARRAYFORMULA(
IF(
REGEXMATCH(
"" ""&amp;H3502&amp;"" "",
"" ""&amp;Sentiment_Words!A$2:A3730&amp;"" ""
),
1,
0
)
)
)
)"),2.0)</f>
        <v>2</v>
      </c>
      <c r="K3502" s="4">
        <f>IFERROR(__xludf.DUMMYFUNCTION("IF(H3502="""","""",
SUM(
ARRAYFORMULA(
IF(
REGEXMATCH(
"" ""&amp;H3502&amp;"" "",
"" ""&amp;Sentiment_Words!B$2:B3730&amp;"" ""
),
1,
0
)
)
)
)"),1.0)</f>
        <v>1</v>
      </c>
      <c r="L3502" s="7" t="str">
        <f t="shared" si="3"/>
        <v>Customer Support</v>
      </c>
      <c r="M3502" s="7" t="str">
        <f t="shared" si="4"/>
        <v>Positive</v>
      </c>
      <c r="N3502" s="7" t="str">
        <f>IFERROR(__xludf.DUMMYFUNCTION("LOWER(
TRIM(
REGEXREPLACE(B3502,""[^a-zA-Z\s]"","""")
)
)
"),"jim lucas")</f>
        <v>jim lucas</v>
      </c>
      <c r="O3502" s="7">
        <f t="shared" si="5"/>
        <v>1</v>
      </c>
      <c r="P3502" s="8" t="str">
        <f t="shared" si="6"/>
        <v>No</v>
      </c>
    </row>
    <row r="3503">
      <c r="A3503" s="4" t="s">
        <v>16</v>
      </c>
      <c r="B3503" s="4" t="s">
        <v>9709</v>
      </c>
      <c r="C3503" s="9">
        <v>44509.0</v>
      </c>
      <c r="D3503" s="10">
        <v>44509.0</v>
      </c>
      <c r="E3503" s="4" t="s">
        <v>9710</v>
      </c>
      <c r="F3503" s="4" t="s">
        <v>9711</v>
      </c>
      <c r="G3503" s="6" t="str">
        <f>IFERROR(__xludf.DUMMYFUNCTION("REGEXREPLACE(LOWER(F3503),""[^a-z\s]"","""")"),"i ordered my dogs food and had it within a couple days and free delivery to boot")</f>
        <v>i ordered my dogs food and had it within a couple days and free delivery to boot</v>
      </c>
      <c r="H3503" s="4" t="str">
        <f t="shared" si="1"/>
        <v>i ordered my dogs food had it within a couple days free delivery boot</v>
      </c>
      <c r="I3503" s="6">
        <f t="shared" si="2"/>
        <v>14</v>
      </c>
      <c r="J3503" s="6">
        <f>IFERROR(__xludf.DUMMYFUNCTION("IF(H3503="""","""",
SUM(
ARRAYFORMULA(
IF(
REGEXMATCH(
"" ""&amp;H3503&amp;"" "",
"" ""&amp;Sentiment_Words!A$2:A3730&amp;"" ""
),
1,
0
)
)
)
)"),0.0)</f>
        <v>0</v>
      </c>
      <c r="K3503" s="4">
        <f>IFERROR(__xludf.DUMMYFUNCTION("IF(H3503="""","""",
SUM(
ARRAYFORMULA(
IF(
REGEXMATCH(
"" ""&amp;H3503&amp;"" "",
"" ""&amp;Sentiment_Words!B$2:B3730&amp;"" ""
),
1,
0
)
)
)
)"),0.0)</f>
        <v>0</v>
      </c>
      <c r="L3503" s="7" t="str">
        <f t="shared" si="3"/>
        <v>Other</v>
      </c>
      <c r="M3503" s="7" t="str">
        <f t="shared" si="4"/>
        <v>Neutral</v>
      </c>
      <c r="N3503" s="7" t="str">
        <f>IFERROR(__xludf.DUMMYFUNCTION("LOWER(
TRIM(
REGEXREPLACE(B3503,""[^a-zA-Z\s]"","""")
)
)
"),"c wellnitz")</f>
        <v>c wellnitz</v>
      </c>
      <c r="O3503" s="7">
        <f t="shared" si="5"/>
        <v>1</v>
      </c>
      <c r="P3503" s="8" t="str">
        <f t="shared" si="6"/>
        <v>No</v>
      </c>
    </row>
    <row r="3504">
      <c r="A3504" s="4" t="s">
        <v>16</v>
      </c>
      <c r="B3504" s="4" t="s">
        <v>9712</v>
      </c>
      <c r="C3504" s="9">
        <v>44509.0</v>
      </c>
      <c r="D3504" s="10">
        <v>44509.0</v>
      </c>
      <c r="E3504" s="4" t="s">
        <v>9713</v>
      </c>
      <c r="F3504" s="4" t="s">
        <v>9714</v>
      </c>
      <c r="G3504" s="6" t="str">
        <f>IFERROR(__xludf.DUMMYFUNCTION("REGEXREPLACE(LOWER(F3504),""[^a-z\s]"","""")"),"our order was delivered very fast  the price was reasonable the website is easy to use")</f>
        <v>our order was delivered very fast  the price was reasonable the website is easy to use</v>
      </c>
      <c r="H3504" s="4" t="str">
        <f t="shared" si="1"/>
        <v>our order was delivered very fast price was reasonable website easy use</v>
      </c>
      <c r="I3504" s="6">
        <f t="shared" si="2"/>
        <v>12</v>
      </c>
      <c r="J3504" s="6">
        <f>IFERROR(__xludf.DUMMYFUNCTION("IF(H3504="""","""",
SUM(
ARRAYFORMULA(
IF(
REGEXMATCH(
"" ""&amp;H3504&amp;"" "",
"" ""&amp;Sentiment_Words!A$2:A3730&amp;"" ""
),
1,
0
)
)
)
)"),3.0)</f>
        <v>3</v>
      </c>
      <c r="K3504" s="4">
        <f>IFERROR(__xludf.DUMMYFUNCTION("IF(H3504="""","""",
SUM(
ARRAYFORMULA(
IF(
REGEXMATCH(
"" ""&amp;H3504&amp;"" "",
"" ""&amp;Sentiment_Words!B$2:B3730&amp;"" ""
),
1,
0
)
)
)
)"),0.0)</f>
        <v>0</v>
      </c>
      <c r="L3504" s="7" t="str">
        <f t="shared" si="3"/>
        <v>Account &amp; Website</v>
      </c>
      <c r="M3504" s="7" t="str">
        <f t="shared" si="4"/>
        <v>Positive</v>
      </c>
      <c r="N3504" s="7" t="str">
        <f>IFERROR(__xludf.DUMMYFUNCTION("LOWER(
TRIM(
REGEXREPLACE(B3504,""[^a-zA-Z\s]"","""")
)
)
"),"marie vardaman")</f>
        <v>marie vardaman</v>
      </c>
      <c r="O3504" s="7">
        <f t="shared" si="5"/>
        <v>1</v>
      </c>
      <c r="P3504" s="8" t="str">
        <f t="shared" si="6"/>
        <v>No</v>
      </c>
    </row>
    <row r="3505">
      <c r="A3505" s="4" t="s">
        <v>16</v>
      </c>
      <c r="B3505" s="4" t="s">
        <v>9715</v>
      </c>
      <c r="C3505" s="9">
        <v>44508.0</v>
      </c>
      <c r="D3505" s="10">
        <v>44508.0</v>
      </c>
      <c r="E3505" s="4" t="s">
        <v>9716</v>
      </c>
      <c r="F3505" s="4" t="s">
        <v>9717</v>
      </c>
      <c r="G3505" s="6" t="str">
        <f>IFERROR(__xludf.DUMMYFUNCTION("REGEXREPLACE(LOWER(F3505),""[^a-z\s]"","""")"),"came on time and exactly what i needed couldnt find it anywhere else thanks")</f>
        <v>came on time and exactly what i needed couldnt find it anywhere else thanks</v>
      </c>
      <c r="H3505" s="4" t="str">
        <f t="shared" si="1"/>
        <v>came on time exactly what i needed couldnt find it anywhere else thanks</v>
      </c>
      <c r="I3505" s="6">
        <f t="shared" si="2"/>
        <v>13</v>
      </c>
      <c r="J3505" s="6">
        <f>IFERROR(__xludf.DUMMYFUNCTION("IF(H3505="""","""",
SUM(
ARRAYFORMULA(
IF(
REGEXMATCH(
"" ""&amp;H3505&amp;"" "",
"" ""&amp;Sentiment_Words!A$2:A3730&amp;"" ""
),
1,
0
)
)
)
)"),1.0)</f>
        <v>1</v>
      </c>
      <c r="K3505" s="4">
        <f>IFERROR(__xludf.DUMMYFUNCTION("IF(H3505="""","""",
SUM(
ARRAYFORMULA(
IF(
REGEXMATCH(
"" ""&amp;H3505&amp;"" "",
"" ""&amp;Sentiment_Words!B$2:B3730&amp;"" ""
),
1,
0
)
)
)
)"),0.0)</f>
        <v>0</v>
      </c>
      <c r="L3505" s="7" t="str">
        <f t="shared" si="3"/>
        <v>Other</v>
      </c>
      <c r="M3505" s="7" t="str">
        <f t="shared" si="4"/>
        <v>Positive</v>
      </c>
      <c r="N3505" s="7" t="str">
        <f>IFERROR(__xludf.DUMMYFUNCTION("LOWER(
TRIM(
REGEXREPLACE(B3505,""[^a-zA-Z\s]"","""")
)
)
"),"joe kraut")</f>
        <v>joe kraut</v>
      </c>
      <c r="O3505" s="7">
        <f t="shared" si="5"/>
        <v>1</v>
      </c>
      <c r="P3505" s="8" t="str">
        <f t="shared" si="6"/>
        <v>No</v>
      </c>
    </row>
    <row r="3506">
      <c r="A3506" s="4" t="s">
        <v>16</v>
      </c>
      <c r="B3506" s="4" t="s">
        <v>9718</v>
      </c>
      <c r="C3506" s="9">
        <v>44508.0</v>
      </c>
      <c r="D3506" s="10">
        <v>44508.0</v>
      </c>
      <c r="E3506" s="4" t="s">
        <v>9719</v>
      </c>
      <c r="F3506" s="4" t="s">
        <v>331</v>
      </c>
      <c r="G3506" s="6" t="str">
        <f>IFERROR(__xludf.DUMMYFUNCTION("REGEXREPLACE(LOWER(F3506),""[^a-z\s]"","""")"),"none")</f>
        <v>none</v>
      </c>
      <c r="H3506" s="4" t="str">
        <f t="shared" si="1"/>
        <v>none</v>
      </c>
      <c r="I3506" s="6">
        <f t="shared" si="2"/>
        <v>1</v>
      </c>
      <c r="J3506" s="6">
        <f>IFERROR(__xludf.DUMMYFUNCTION("IF(H3506="""","""",
SUM(
ARRAYFORMULA(
IF(
REGEXMATCH(
"" ""&amp;H3506&amp;"" "",
"" ""&amp;Sentiment_Words!A$2:A3730&amp;"" ""
),
1,
0
)
)
)
)"),0.0)</f>
        <v>0</v>
      </c>
      <c r="K3506" s="4">
        <f>IFERROR(__xludf.DUMMYFUNCTION("IF(H3506="""","""",
SUM(
ARRAYFORMULA(
IF(
REGEXMATCH(
"" ""&amp;H3506&amp;"" "",
"" ""&amp;Sentiment_Words!B$2:B3730&amp;"" ""
),
1,
0
)
)
)
)"),0.0)</f>
        <v>0</v>
      </c>
      <c r="L3506" s="7" t="str">
        <f t="shared" si="3"/>
        <v>Other</v>
      </c>
      <c r="M3506" s="7" t="str">
        <f t="shared" si="4"/>
        <v>Neutral</v>
      </c>
      <c r="N3506" s="7" t="str">
        <f>IFERROR(__xludf.DUMMYFUNCTION("LOWER(
TRIM(
REGEXREPLACE(B3506,""[^a-zA-Z\s]"","""")
)
)
"),"darlene redclift")</f>
        <v>darlene redclift</v>
      </c>
      <c r="O3506" s="7">
        <f t="shared" si="5"/>
        <v>1</v>
      </c>
      <c r="P3506" s="8" t="str">
        <f t="shared" si="6"/>
        <v>No</v>
      </c>
    </row>
    <row r="3507">
      <c r="A3507" s="4" t="s">
        <v>16</v>
      </c>
      <c r="B3507" s="4" t="s">
        <v>9720</v>
      </c>
      <c r="C3507" s="9">
        <v>44508.0</v>
      </c>
      <c r="D3507" s="10">
        <v>44508.0</v>
      </c>
      <c r="E3507" s="4" t="s">
        <v>9713</v>
      </c>
      <c r="F3507" s="4" t="s">
        <v>9721</v>
      </c>
      <c r="G3507" s="6" t="str">
        <f>IFERROR(__xludf.DUMMYFUNCTION("REGEXREPLACE(LOWER(F3507),""[^a-z\s]"","""")"),"placed order and received it in less than one week")</f>
        <v>placed order and received it in less than one week</v>
      </c>
      <c r="H3507" s="4" t="str">
        <f t="shared" si="1"/>
        <v>placed order received it in less than one week</v>
      </c>
      <c r="I3507" s="6">
        <f t="shared" si="2"/>
        <v>9</v>
      </c>
      <c r="J3507" s="6">
        <f>IFERROR(__xludf.DUMMYFUNCTION("IF(H3507="""","""",
SUM(
ARRAYFORMULA(
IF(
REGEXMATCH(
"" ""&amp;H3507&amp;"" "",
"" ""&amp;Sentiment_Words!A$2:A3730&amp;"" ""
),
1,
0
)
)
)
)"),0.0)</f>
        <v>0</v>
      </c>
      <c r="K3507" s="4">
        <f>IFERROR(__xludf.DUMMYFUNCTION("IF(H3507="""","""",
SUM(
ARRAYFORMULA(
IF(
REGEXMATCH(
"" ""&amp;H3507&amp;"" "",
"" ""&amp;Sentiment_Words!B$2:B3730&amp;"" ""
),
1,
0
)
)
)
)"),0.0)</f>
        <v>0</v>
      </c>
      <c r="L3507" s="7" t="str">
        <f t="shared" si="3"/>
        <v>Other</v>
      </c>
      <c r="M3507" s="7" t="str">
        <f t="shared" si="4"/>
        <v>Neutral</v>
      </c>
      <c r="N3507" s="7" t="str">
        <f>IFERROR(__xludf.DUMMYFUNCTION("LOWER(
TRIM(
REGEXREPLACE(B3507,""[^a-zA-Z\s]"","""")
)
)
"),"dixie eichelberger")</f>
        <v>dixie eichelberger</v>
      </c>
      <c r="O3507" s="7">
        <f t="shared" si="5"/>
        <v>1</v>
      </c>
      <c r="P3507" s="8" t="str">
        <f t="shared" si="6"/>
        <v>No</v>
      </c>
    </row>
    <row r="3508">
      <c r="A3508" s="4" t="s">
        <v>16</v>
      </c>
      <c r="B3508" s="4" t="s">
        <v>9722</v>
      </c>
      <c r="C3508" s="9">
        <v>44508.0</v>
      </c>
      <c r="D3508" s="10">
        <v>44508.0</v>
      </c>
      <c r="E3508" s="4" t="s">
        <v>9723</v>
      </c>
      <c r="F3508" s="4" t="s">
        <v>9724</v>
      </c>
      <c r="G3508" s="6" t="str">
        <f>IFERROR(__xludf.DUMMYFUNCTION("REGEXREPLACE(LOWER(F3508),""[^a-z\s]"","""")"),"what a mess this company is i thought chewy was annoying
i will never use petflow again")</f>
        <v>what a mess this company is i thought chewy was annoying
i will never use petflow again</v>
      </c>
      <c r="H3508" s="4" t="str">
        <f t="shared" si="1"/>
        <v>what a mess this company i thought chewy was annoying
i will never use petflow again</v>
      </c>
      <c r="I3508" s="6">
        <f t="shared" si="2"/>
        <v>15</v>
      </c>
      <c r="J3508" s="6">
        <f>IFERROR(__xludf.DUMMYFUNCTION("IF(H3508="""","""",
SUM(
ARRAYFORMULA(
IF(
REGEXMATCH(
"" ""&amp;H3508&amp;"" "",
"" ""&amp;Sentiment_Words!A$2:A3730&amp;"" ""
),
1,
0
)
)
)
)"),0.0)</f>
        <v>0</v>
      </c>
      <c r="K3508" s="4">
        <f>IFERROR(__xludf.DUMMYFUNCTION("IF(H3508="""","""",
SUM(
ARRAYFORMULA(
IF(
REGEXMATCH(
"" ""&amp;H3508&amp;"" "",
"" ""&amp;Sentiment_Words!B$2:B3730&amp;"" ""
),
1,
0
)
)
)
)"),0.0)</f>
        <v>0</v>
      </c>
      <c r="L3508" s="7" t="str">
        <f t="shared" si="3"/>
        <v>Other</v>
      </c>
      <c r="M3508" s="7" t="str">
        <f t="shared" si="4"/>
        <v>Neutral</v>
      </c>
      <c r="N3508" s="7" t="str">
        <f>IFERROR(__xludf.DUMMYFUNCTION("LOWER(
TRIM(
REGEXREPLACE(B3508,""[^a-zA-Z\s]"","""")
)
)
"),"luis orozco")</f>
        <v>luis orozco</v>
      </c>
      <c r="O3508" s="7">
        <f t="shared" si="5"/>
        <v>1</v>
      </c>
      <c r="P3508" s="8" t="str">
        <f t="shared" si="6"/>
        <v>No</v>
      </c>
    </row>
    <row r="3509">
      <c r="A3509" s="4" t="s">
        <v>16</v>
      </c>
      <c r="B3509" s="4" t="s">
        <v>9725</v>
      </c>
      <c r="C3509" s="9">
        <v>44508.0</v>
      </c>
      <c r="D3509" s="10">
        <v>44508.0</v>
      </c>
      <c r="E3509" s="4" t="s">
        <v>9726</v>
      </c>
      <c r="F3509" s="4" t="s">
        <v>9727</v>
      </c>
      <c r="G3509" s="6" t="str">
        <f>IFERROR(__xludf.DUMMYFUNCTION("REGEXREPLACE(LOWER(F3509),""[^a-z\s]"","""")"),"when i received my order the box and the bag of dog food had been ripped open i called customer service and they had a new bag out the same day awesome customer service thank you very much")</f>
        <v>when i received my order the box and the bag of dog food had been ripped open i called customer service and they had a new bag out the same day awesome customer service thank you very much</v>
      </c>
      <c r="H3509" s="4" t="str">
        <f t="shared" si="1"/>
        <v>when i received my order box bag of dog food had been ripped open i called customer service they had a new bag out same day awesome customer service thank you very much</v>
      </c>
      <c r="I3509" s="6">
        <f t="shared" si="2"/>
        <v>33</v>
      </c>
      <c r="J3509" s="6">
        <f>IFERROR(__xludf.DUMMYFUNCTION("IF(H3509="""","""",
SUM(
ARRAYFORMULA(
IF(
REGEXMATCH(
"" ""&amp;H3509&amp;"" "",
"" ""&amp;Sentiment_Words!A$2:A3730&amp;"" ""
),
1,
0
)
)
)
)"),0.0)</f>
        <v>0</v>
      </c>
      <c r="K3509" s="4">
        <f>IFERROR(__xludf.DUMMYFUNCTION("IF(H3509="""","""",
SUM(
ARRAYFORMULA(
IF(
REGEXMATCH(
"" ""&amp;H3509&amp;"" "",
"" ""&amp;Sentiment_Words!B$2:B3730&amp;"" ""
),
1,
0
)
)
)
)"),1.0)</f>
        <v>1</v>
      </c>
      <c r="L3509" s="7" t="str">
        <f t="shared" si="3"/>
        <v>Customer Support</v>
      </c>
      <c r="M3509" s="7" t="str">
        <f t="shared" si="4"/>
        <v>Negative</v>
      </c>
      <c r="N3509" s="7" t="str">
        <f>IFERROR(__xludf.DUMMYFUNCTION("LOWER(
TRIM(
REGEXREPLACE(B3509,""[^a-zA-Z\s]"","""")
)
)
"),"bigoakfarmsocal an animal resc")</f>
        <v>bigoakfarmsocal an animal resc</v>
      </c>
      <c r="O3509" s="7">
        <f t="shared" si="5"/>
        <v>1</v>
      </c>
      <c r="P3509" s="8" t="str">
        <f t="shared" si="6"/>
        <v>No</v>
      </c>
    </row>
    <row r="3510">
      <c r="A3510" s="4" t="s">
        <v>16</v>
      </c>
      <c r="B3510" s="4" t="s">
        <v>9728</v>
      </c>
      <c r="C3510" s="9">
        <v>44508.0</v>
      </c>
      <c r="D3510" s="10">
        <v>44508.0</v>
      </c>
      <c r="E3510" s="4" t="s">
        <v>9729</v>
      </c>
      <c r="F3510" s="4" t="s">
        <v>9730</v>
      </c>
      <c r="G3510" s="6" t="str">
        <f>IFERROR(__xludf.DUMMYFUNCTION("REGEXREPLACE(LOWER(F3510),""[^a-z\s]"","""")"),"outstanding well trained smart friendly  knowledgable customer service and i depend heavily on the autoship program")</f>
        <v>outstanding well trained smart friendly  knowledgable customer service and i depend heavily on the autoship program</v>
      </c>
      <c r="H3510" s="4" t="str">
        <f t="shared" si="1"/>
        <v>outstanding well trained smart friendly knowledgable customer service i depend heavily on autoship program</v>
      </c>
      <c r="I3510" s="6">
        <f t="shared" si="2"/>
        <v>14</v>
      </c>
      <c r="J3510" s="6">
        <f>IFERROR(__xludf.DUMMYFUNCTION("IF(H3510="""","""",
SUM(
ARRAYFORMULA(
IF(
REGEXMATCH(
"" ""&amp;H3510&amp;"" "",
"" ""&amp;Sentiment_Words!A$2:A3730&amp;"" ""
),
1,
0
)
)
)
)"),0.0)</f>
        <v>0</v>
      </c>
      <c r="K3510" s="4">
        <f>IFERROR(__xludf.DUMMYFUNCTION("IF(H3510="""","""",
SUM(
ARRAYFORMULA(
IF(
REGEXMATCH(
"" ""&amp;H3510&amp;"" "",
"" ""&amp;Sentiment_Words!B$2:B3730&amp;"" ""
),
1,
0
)
)
)
)"),1.0)</f>
        <v>1</v>
      </c>
      <c r="L3510" s="7" t="str">
        <f t="shared" si="3"/>
        <v>Customer Support</v>
      </c>
      <c r="M3510" s="7" t="str">
        <f t="shared" si="4"/>
        <v>Negative</v>
      </c>
      <c r="N3510" s="7" t="str">
        <f>IFERROR(__xludf.DUMMYFUNCTION("LOWER(
TRIM(
REGEXREPLACE(B3510,""[^a-zA-Z\s]"","""")
)
)
"),"tanya scarantine")</f>
        <v>tanya scarantine</v>
      </c>
      <c r="O3510" s="7">
        <f t="shared" si="5"/>
        <v>1</v>
      </c>
      <c r="P3510" s="8" t="str">
        <f t="shared" si="6"/>
        <v>No</v>
      </c>
    </row>
    <row r="3511">
      <c r="A3511" s="4" t="s">
        <v>16</v>
      </c>
      <c r="B3511" s="4" t="s">
        <v>9731</v>
      </c>
      <c r="C3511" s="9">
        <v>44508.0</v>
      </c>
      <c r="D3511" s="10">
        <v>44508.0</v>
      </c>
      <c r="E3511" s="4" t="s">
        <v>9732</v>
      </c>
      <c r="F3511" s="4" t="s">
        <v>9733</v>
      </c>
      <c r="G3511" s="6" t="str">
        <f>IFERROR(__xludf.DUMMYFUNCTION("REGEXREPLACE(LOWER(F3511),""[^a-z\s]"","""")"),"ordered everything i have a chew everything puppy i placed my order then received an email for a couple items not in the warehouse that was fine but never received either an email or receipt for my items or what my final cost was they did state i wouldnt "&amp;"be charged for the items that were unavailable but i sure would love a receipt")</f>
        <v>ordered everything i have a chew everything puppy i placed my order then received an email for a couple items not in the warehouse that was fine but never received either an email or receipt for my items or what my final cost was they did state i wouldnt be charged for the items that were unavailable but i sure would love a receipt</v>
      </c>
      <c r="H3511" s="4" t="str">
        <f t="shared" si="1"/>
        <v>ordered everything i have a chew everything puppy i placed my order then received an email a couple items not in warehouse that was fine but never received either an email or receipt my items or what my final cost was they did state i wouldnt be charged items that were unavailable but i sure would love a receipt</v>
      </c>
      <c r="I3511" s="6">
        <f t="shared" si="2"/>
        <v>59</v>
      </c>
      <c r="J3511" s="6">
        <f>IFERROR(__xludf.DUMMYFUNCTION("IF(H3511="""","""",
SUM(
ARRAYFORMULA(
IF(
REGEXMATCH(
"" ""&amp;H3511&amp;"" "",
"" ""&amp;Sentiment_Words!A$2:A3730&amp;"" ""
),
1,
0
)
)
)
)"),1.0)</f>
        <v>1</v>
      </c>
      <c r="K3511" s="4">
        <f>IFERROR(__xludf.DUMMYFUNCTION("IF(H3511="""","""",
SUM(
ARRAYFORMULA(
IF(
REGEXMATCH(
"" ""&amp;H3511&amp;"" "",
"" ""&amp;Sentiment_Words!B$2:B3730&amp;"" ""
),
1,
0
)
)
)
)"),1.0)</f>
        <v>1</v>
      </c>
      <c r="L3511" s="7" t="str">
        <f t="shared" si="3"/>
        <v>Availability</v>
      </c>
      <c r="M3511" s="7" t="str">
        <f t="shared" si="4"/>
        <v>Neutral</v>
      </c>
      <c r="N3511" s="7" t="str">
        <f>IFERROR(__xludf.DUMMYFUNCTION("LOWER(
TRIM(
REGEXREPLACE(B3511,""[^a-zA-Z\s]"","""")
)
)
"),"tracy moore")</f>
        <v>tracy moore</v>
      </c>
      <c r="O3511" s="7">
        <f t="shared" si="5"/>
        <v>1</v>
      </c>
      <c r="P3511" s="8" t="str">
        <f t="shared" si="6"/>
        <v>No</v>
      </c>
    </row>
    <row r="3512">
      <c r="A3512" s="4" t="s">
        <v>16</v>
      </c>
      <c r="B3512" s="4" t="s">
        <v>9734</v>
      </c>
      <c r="C3512" s="9">
        <v>44508.0</v>
      </c>
      <c r="D3512" s="10">
        <v>44508.0</v>
      </c>
      <c r="E3512" s="4" t="s">
        <v>9735</v>
      </c>
      <c r="F3512" s="4" t="s">
        <v>9736</v>
      </c>
      <c r="G3512" s="6" t="str">
        <f>IFERROR(__xludf.DUMMYFUNCTION("REGEXREPLACE(LOWER(F3512),""[^a-z\s]"","""")"),"i love petflow they always have what i need for my dog  and ship it out fast a service every order")</f>
        <v>i love petflow they always have what i need for my dog  and ship it out fast a service every order</v>
      </c>
      <c r="H3512" s="4" t="str">
        <f t="shared" si="1"/>
        <v>i love petflow they always have what i need my dog ship it out fast a service every order</v>
      </c>
      <c r="I3512" s="6">
        <f t="shared" si="2"/>
        <v>19</v>
      </c>
      <c r="J3512" s="6">
        <f>IFERROR(__xludf.DUMMYFUNCTION("IF(H3512="""","""",
SUM(
ARRAYFORMULA(
IF(
REGEXMATCH(
"" ""&amp;H3512&amp;"" "",
"" ""&amp;Sentiment_Words!A$2:A3730&amp;"" ""
),
1,
0
)
)
)
)"),2.0)</f>
        <v>2</v>
      </c>
      <c r="K3512" s="4">
        <f>IFERROR(__xludf.DUMMYFUNCTION("IF(H3512="""","""",
SUM(
ARRAYFORMULA(
IF(
REGEXMATCH(
"" ""&amp;H3512&amp;"" "",
"" ""&amp;Sentiment_Words!B$2:B3730&amp;"" ""
),
1,
0
)
)
)
)"),0.0)</f>
        <v>0</v>
      </c>
      <c r="L3512" s="7" t="str">
        <f t="shared" si="3"/>
        <v>Customer Support</v>
      </c>
      <c r="M3512" s="7" t="str">
        <f t="shared" si="4"/>
        <v>Positive</v>
      </c>
      <c r="N3512" s="7" t="str">
        <f>IFERROR(__xludf.DUMMYFUNCTION("LOWER(
TRIM(
REGEXREPLACE(B3512,""[^a-zA-Z\s]"","""")
)
)
"),"elizabeth ciprich")</f>
        <v>elizabeth ciprich</v>
      </c>
      <c r="O3512" s="7">
        <f t="shared" si="5"/>
        <v>1</v>
      </c>
      <c r="P3512" s="8" t="str">
        <f t="shared" si="6"/>
        <v>No</v>
      </c>
    </row>
    <row r="3513">
      <c r="A3513" s="4" t="s">
        <v>16</v>
      </c>
      <c r="B3513" s="4" t="s">
        <v>9737</v>
      </c>
      <c r="C3513" s="9">
        <v>44508.0</v>
      </c>
      <c r="D3513" s="10">
        <v>44508.0</v>
      </c>
      <c r="E3513" s="4" t="s">
        <v>9738</v>
      </c>
      <c r="F3513" s="4" t="s">
        <v>9739</v>
      </c>
      <c r="G3513" s="6" t="str">
        <f>IFERROR(__xludf.DUMMYFUNCTION("REGEXREPLACE(LOWER(F3513),""[^a-z\s]"","""")"),"everyone at petflow seems to be familiar with their inventory  very helpful great place to shop for your pets needs")</f>
        <v>everyone at petflow seems to be familiar with their inventory  very helpful great place to shop for your pets needs</v>
      </c>
      <c r="H3513" s="4" t="str">
        <f t="shared" si="1"/>
        <v>everyone at petflow seems be familiar with their inventory very helpful great place shop your pets needs</v>
      </c>
      <c r="I3513" s="6">
        <f t="shared" si="2"/>
        <v>17</v>
      </c>
      <c r="J3513" s="6">
        <f>IFERROR(__xludf.DUMMYFUNCTION("IF(H3513="""","""",
SUM(
ARRAYFORMULA(
IF(
REGEXMATCH(
"" ""&amp;H3513&amp;"" "",
"" ""&amp;Sentiment_Words!A$2:A3730&amp;"" ""
),
1,
0
)
)
)
)"),2.0)</f>
        <v>2</v>
      </c>
      <c r="K3513" s="4">
        <f>IFERROR(__xludf.DUMMYFUNCTION("IF(H3513="""","""",
SUM(
ARRAYFORMULA(
IF(
REGEXMATCH(
"" ""&amp;H3513&amp;"" "",
"" ""&amp;Sentiment_Words!B$2:B3730&amp;"" ""
),
1,
0
)
)
)
)"),0.0)</f>
        <v>0</v>
      </c>
      <c r="L3513" s="7" t="str">
        <f t="shared" si="3"/>
        <v>Other</v>
      </c>
      <c r="M3513" s="7" t="str">
        <f t="shared" si="4"/>
        <v>Positive</v>
      </c>
      <c r="N3513" s="7" t="str">
        <f>IFERROR(__xludf.DUMMYFUNCTION("LOWER(
TRIM(
REGEXREPLACE(B3513,""[^a-zA-Z\s]"","""")
)
)
"),"faith freewoman")</f>
        <v>faith freewoman</v>
      </c>
      <c r="O3513" s="7">
        <f t="shared" si="5"/>
        <v>1</v>
      </c>
      <c r="P3513" s="8" t="str">
        <f t="shared" si="6"/>
        <v>No</v>
      </c>
    </row>
    <row r="3514">
      <c r="A3514" s="4" t="s">
        <v>16</v>
      </c>
      <c r="B3514" s="4" t="s">
        <v>9740</v>
      </c>
      <c r="C3514" s="9">
        <v>44507.0</v>
      </c>
      <c r="D3514" s="10">
        <v>44507.0</v>
      </c>
      <c r="E3514" s="4" t="s">
        <v>9741</v>
      </c>
      <c r="F3514" s="4" t="s">
        <v>9742</v>
      </c>
      <c r="G3514" s="6" t="str">
        <f>IFERROR(__xludf.DUMMYFUNCTION("REGEXREPLACE(LOWER(F3514),""[^a-z\s]"","""")"),"the treats were perfect and fast shipping thank you")</f>
        <v>the treats were perfect and fast shipping thank you</v>
      </c>
      <c r="H3514" s="4" t="str">
        <f t="shared" si="1"/>
        <v>treats were perfect fast shipping thank you</v>
      </c>
      <c r="I3514" s="6">
        <f t="shared" si="2"/>
        <v>7</v>
      </c>
      <c r="J3514" s="6">
        <f>IFERROR(__xludf.DUMMYFUNCTION("IF(H3514="""","""",
SUM(
ARRAYFORMULA(
IF(
REGEXMATCH(
"" ""&amp;H3514&amp;"" "",
"" ""&amp;Sentiment_Words!A$2:A3730&amp;"" ""
),
1,
0
)
)
)
)"),1.0)</f>
        <v>1</v>
      </c>
      <c r="K3514" s="4">
        <f>IFERROR(__xludf.DUMMYFUNCTION("IF(H3514="""","""",
SUM(
ARRAYFORMULA(
IF(
REGEXMATCH(
"" ""&amp;H3514&amp;"" "",
"" ""&amp;Sentiment_Words!B$2:B3730&amp;"" ""
),
1,
0
)
)
)
)"),0.0)</f>
        <v>0</v>
      </c>
      <c r="L3514" s="7" t="str">
        <f t="shared" si="3"/>
        <v>Other</v>
      </c>
      <c r="M3514" s="7" t="str">
        <f t="shared" si="4"/>
        <v>Positive</v>
      </c>
      <c r="N3514" s="7" t="str">
        <f>IFERROR(__xludf.DUMMYFUNCTION("LOWER(
TRIM(
REGEXREPLACE(B3514,""[^a-zA-Z\s]"","""")
)
)
"),"karmen")</f>
        <v>karmen</v>
      </c>
      <c r="O3514" s="7">
        <f t="shared" si="5"/>
        <v>1</v>
      </c>
      <c r="P3514" s="8" t="str">
        <f t="shared" si="6"/>
        <v>No</v>
      </c>
    </row>
    <row r="3515">
      <c r="A3515" s="4" t="s">
        <v>16</v>
      </c>
      <c r="B3515" s="4" t="s">
        <v>9743</v>
      </c>
      <c r="C3515" s="9">
        <v>44507.0</v>
      </c>
      <c r="D3515" s="10">
        <v>44507.0</v>
      </c>
      <c r="E3515" s="4" t="s">
        <v>9744</v>
      </c>
      <c r="F3515" s="4" t="s">
        <v>9745</v>
      </c>
      <c r="G3515" s="6" t="str">
        <f>IFERROR(__xludf.DUMMYFUNCTION("REGEXREPLACE(LOWER(F3515),""[^a-z\s]"","""")"),"petflow was recommended by my girlfriend and i switched dog food and my dog loves it and i have no complaints  recommend and i can set up times of delivery between bags")</f>
        <v>petflow was recommended by my girlfriend and i switched dog food and my dog loves it and i have no complaints  recommend and i can set up times of delivery between bags</v>
      </c>
      <c r="H3515" s="4" t="str">
        <f t="shared" si="1"/>
        <v>petflow was recommended by my girlfriend i switched dog food my dog loves it i have no complaints recommend i can set up times of delivery between bags</v>
      </c>
      <c r="I3515" s="6">
        <f t="shared" si="2"/>
        <v>28</v>
      </c>
      <c r="J3515" s="6">
        <f>IFERROR(__xludf.DUMMYFUNCTION("IF(H3515="""","""",
SUM(
ARRAYFORMULA(
IF(
REGEXMATCH(
"" ""&amp;H3515&amp;"" "",
"" ""&amp;Sentiment_Words!A$2:A3730&amp;"" ""
),
1,
0
)
)
)
)"),0.0)</f>
        <v>0</v>
      </c>
      <c r="K3515" s="4">
        <f>IFERROR(__xludf.DUMMYFUNCTION("IF(H3515="""","""",
SUM(
ARRAYFORMULA(
IF(
REGEXMATCH(
"" ""&amp;H3515&amp;"" "",
"" ""&amp;Sentiment_Words!B$2:B3730&amp;"" ""
),
1,
0
)
)
)
)"),0.0)</f>
        <v>0</v>
      </c>
      <c r="L3515" s="7" t="str">
        <f t="shared" si="3"/>
        <v>Other</v>
      </c>
      <c r="M3515" s="7" t="str">
        <f t="shared" si="4"/>
        <v>Neutral</v>
      </c>
      <c r="N3515" s="7" t="str">
        <f>IFERROR(__xludf.DUMMYFUNCTION("LOWER(
TRIM(
REGEXREPLACE(B3515,""[^a-zA-Z\s]"","""")
)
)
"),"stacey")</f>
        <v>stacey</v>
      </c>
      <c r="O3515" s="7">
        <f t="shared" si="5"/>
        <v>1</v>
      </c>
      <c r="P3515" s="8" t="str">
        <f t="shared" si="6"/>
        <v>No</v>
      </c>
    </row>
    <row r="3516">
      <c r="A3516" s="4" t="s">
        <v>16</v>
      </c>
      <c r="B3516" s="4" t="s">
        <v>9746</v>
      </c>
      <c r="C3516" s="9">
        <v>44507.0</v>
      </c>
      <c r="D3516" s="4" t="s">
        <v>9747</v>
      </c>
      <c r="E3516" s="4" t="s">
        <v>9748</v>
      </c>
      <c r="F3516" s="4" t="s">
        <v>9749</v>
      </c>
      <c r="G3516" s="6" t="str">
        <f>IFERROR(__xludf.DUMMYFUNCTION("REGEXREPLACE(LOWER(F3516),""[^a-z\s]"","""")"),"just started auto ship of a cat food for skin allergies made by hills and once i know how much i will need of blue buffalos i will make it auto ship the hills i am running into availability of just ordering when i need it or at the vets it was even a prob"&amp;"lem before the pandemic their supply chain has a problem but everyone is having this problem now so being on a scheduled shipment i am hoping helps my one cat cannot eat anything but these special foods so will see so this is why only  stars this is only "&amp;"the second shipment")</f>
        <v>just started auto ship of a cat food for skin allergies made by hills and once i know how much i will need of blue buffalos i will make it auto ship the hills i am running into availability of just ordering when i need it or at the vets it was even a problem before the pandemic their supply chain has a problem but everyone is having this problem now so being on a scheduled shipment i am hoping helps my one cat cannot eat anything but these special foods so will see so this is why only  stars this is only the second shipment</v>
      </c>
      <c r="H3516" s="4" t="str">
        <f t="shared" si="1"/>
        <v>just started auto ship of a cat food skin allergies made by hills once i know how much i will need of blue buffalos i will make it auto ship hills i am running into availability of just ordering when i need it or at vets it was even a problem before pandemic their supply chain has a problem but everyone having this problem now so being on a scheduled shipment i am hoping helps my one cat cannot eat anything but these special foods so will see so this why only stars this only second shipment</v>
      </c>
      <c r="I3516" s="6">
        <f t="shared" si="2"/>
        <v>97</v>
      </c>
      <c r="J3516" s="6">
        <f>IFERROR(__xludf.DUMMYFUNCTION("IF(H3516="""","""",
SUM(
ARRAYFORMULA(
IF(
REGEXMATCH(
"" ""&amp;H3516&amp;"" "",
"" ""&amp;Sentiment_Words!A$2:A3730&amp;"" ""
),
1,
0
)
)
)
)"),1.0)</f>
        <v>1</v>
      </c>
      <c r="K3516" s="4">
        <f>IFERROR(__xludf.DUMMYFUNCTION("IF(H3516="""","""",
SUM(
ARRAYFORMULA(
IF(
REGEXMATCH(
"" ""&amp;H3516&amp;"" "",
"" ""&amp;Sentiment_Words!B$2:B3730&amp;"" ""
),
1,
0
)
)
)
)"),1.0)</f>
        <v>1</v>
      </c>
      <c r="L3516" s="7" t="str">
        <f t="shared" si="3"/>
        <v>Other</v>
      </c>
      <c r="M3516" s="7" t="str">
        <f t="shared" si="4"/>
        <v>Neutral</v>
      </c>
      <c r="N3516" s="7" t="str">
        <f>IFERROR(__xludf.DUMMYFUNCTION("LOWER(
TRIM(
REGEXREPLACE(B3516,""[^a-zA-Z\s]"","""")
)
)
"),"darlene cooper")</f>
        <v>darlene cooper</v>
      </c>
      <c r="O3516" s="7">
        <f t="shared" si="5"/>
        <v>1</v>
      </c>
      <c r="P3516" s="8" t="str">
        <f t="shared" si="6"/>
        <v>No</v>
      </c>
    </row>
    <row r="3517">
      <c r="A3517" s="4" t="s">
        <v>16</v>
      </c>
      <c r="B3517" s="4" t="s">
        <v>9750</v>
      </c>
      <c r="C3517" s="9">
        <v>44507.0</v>
      </c>
      <c r="D3517" s="10">
        <v>44507.0</v>
      </c>
      <c r="E3517" s="4" t="s">
        <v>9751</v>
      </c>
      <c r="F3517" s="4" t="s">
        <v>9752</v>
      </c>
      <c r="G3517" s="6" t="str">
        <f>IFERROR(__xludf.DUMMYFUNCTION("REGEXREPLACE(LOWER(F3517),""[^a-z\s]"","""")"),"love pet flow very kind and friendly customer service they always have my cat bff weruva in and the  off is always a plus")</f>
        <v>love pet flow very kind and friendly customer service they always have my cat bff weruva in and the  off is always a plus</v>
      </c>
      <c r="H3517" s="4" t="str">
        <f t="shared" si="1"/>
        <v>love pet flow very kind friendly customer service they always have my cat bff weruva in off always a plus</v>
      </c>
      <c r="I3517" s="6">
        <f t="shared" si="2"/>
        <v>20</v>
      </c>
      <c r="J3517" s="6">
        <f>IFERROR(__xludf.DUMMYFUNCTION("IF(H3517="""","""",
SUM(
ARRAYFORMULA(
IF(
REGEXMATCH(
"" ""&amp;H3517&amp;"" "",
"" ""&amp;Sentiment_Words!A$2:A3730&amp;"" ""
),
1,
0
)
)
)
)"),1.0)</f>
        <v>1</v>
      </c>
      <c r="K3517" s="4">
        <f>IFERROR(__xludf.DUMMYFUNCTION("IF(H3517="""","""",
SUM(
ARRAYFORMULA(
IF(
REGEXMATCH(
"" ""&amp;H3517&amp;"" "",
"" ""&amp;Sentiment_Words!B$2:B3730&amp;"" ""
),
1,
0
)
)
)
)"),1.0)</f>
        <v>1</v>
      </c>
      <c r="L3517" s="7" t="str">
        <f t="shared" si="3"/>
        <v>Customer Support</v>
      </c>
      <c r="M3517" s="7" t="str">
        <f t="shared" si="4"/>
        <v>Neutral</v>
      </c>
      <c r="N3517" s="7" t="str">
        <f>IFERROR(__xludf.DUMMYFUNCTION("LOWER(
TRIM(
REGEXREPLACE(B3517,""[^a-zA-Z\s]"","""")
)
)
"),"joanna proctor")</f>
        <v>joanna proctor</v>
      </c>
      <c r="O3517" s="7">
        <f t="shared" si="5"/>
        <v>1</v>
      </c>
      <c r="P3517" s="8" t="str">
        <f t="shared" si="6"/>
        <v>No</v>
      </c>
    </row>
    <row r="3518">
      <c r="A3518" s="4" t="s">
        <v>16</v>
      </c>
      <c r="B3518" s="4" t="s">
        <v>9753</v>
      </c>
      <c r="C3518" s="9">
        <v>44506.0</v>
      </c>
      <c r="D3518" s="10">
        <v>44507.0</v>
      </c>
      <c r="E3518" s="4" t="s">
        <v>9754</v>
      </c>
      <c r="F3518" s="4" t="s">
        <v>9755</v>
      </c>
      <c r="G3518" s="6" t="str">
        <f>IFERROR(__xludf.DUMMYFUNCTION("REGEXREPLACE(LOWER(F3518),""[^a-z\s]"","""")"),"i have been pleased with petflow customer service has been great products are good the only problem i have had is using your website to cancel autoship i have only been able to pause it i dont know if this is intentional or an oversight i know i can call "&amp;"to cancel but it is more convenient to do it online")</f>
        <v>i have been pleased with petflow customer service has been great products are good the only problem i have had is using your website to cancel autoship i have only been able to pause it i dont know if this is intentional or an oversight i know i can call to cancel but it is more convenient to do it online</v>
      </c>
      <c r="H3518" s="4" t="str">
        <f t="shared" si="1"/>
        <v>i have been pleased with petflow customer service has been great products are good only problem i have had using your website cancel autoship i have only been able pause it i dont know if this intentional or an oversight i know i can call cancel but it more convenient do it online</v>
      </c>
      <c r="I3518" s="6">
        <f t="shared" si="2"/>
        <v>53</v>
      </c>
      <c r="J3518" s="6">
        <f>IFERROR(__xludf.DUMMYFUNCTION("IF(H3518="""","""",
SUM(
ARRAYFORMULA(
IF(
REGEXMATCH(
"" ""&amp;H3518&amp;"" "",
"" ""&amp;Sentiment_Words!A$2:A3730&amp;"" ""
),
1,
0
)
)
)
)"),4.0)</f>
        <v>4</v>
      </c>
      <c r="K3518" s="4">
        <f>IFERROR(__xludf.DUMMYFUNCTION("IF(H3518="""","""",
SUM(
ARRAYFORMULA(
IF(
REGEXMATCH(
"" ""&amp;H3518&amp;"" "",
"" ""&amp;Sentiment_Words!B$2:B3730&amp;"" ""
),
1,
0
)
)
)
)"),2.0)</f>
        <v>2</v>
      </c>
      <c r="L3518" s="7" t="str">
        <f t="shared" si="3"/>
        <v>Customer Support</v>
      </c>
      <c r="M3518" s="7" t="str">
        <f t="shared" si="4"/>
        <v>Positive</v>
      </c>
      <c r="N3518" s="7" t="str">
        <f>IFERROR(__xludf.DUMMYFUNCTION("LOWER(
TRIM(
REGEXREPLACE(B3518,""[^a-zA-Z\s]"","""")
)
)
"),"keeron hogan")</f>
        <v>keeron hogan</v>
      </c>
      <c r="O3518" s="7">
        <f t="shared" si="5"/>
        <v>1</v>
      </c>
      <c r="P3518" s="8" t="str">
        <f t="shared" si="6"/>
        <v>No</v>
      </c>
    </row>
    <row r="3519">
      <c r="A3519" s="4" t="s">
        <v>16</v>
      </c>
      <c r="B3519" s="4" t="s">
        <v>9756</v>
      </c>
      <c r="C3519" s="9">
        <v>44506.0</v>
      </c>
      <c r="D3519" s="10">
        <v>44506.0</v>
      </c>
      <c r="E3519" s="4" t="s">
        <v>9757</v>
      </c>
      <c r="F3519" s="4" t="s">
        <v>9758</v>
      </c>
      <c r="G3519" s="6" t="str">
        <f>IFERROR(__xludf.DUMMYFUNCTION("REGEXREPLACE(LOWER(F3519),""[^a-z\s]"","""")"),"my doggies food comes so quickly after i order its always in perfect condition")</f>
        <v>my doggies food comes so quickly after i order its always in perfect condition</v>
      </c>
      <c r="H3519" s="4" t="str">
        <f t="shared" si="1"/>
        <v>my doggies food comes so quickly after i order its always in perfect condition</v>
      </c>
      <c r="I3519" s="6">
        <f t="shared" si="2"/>
        <v>14</v>
      </c>
      <c r="J3519" s="6">
        <f>IFERROR(__xludf.DUMMYFUNCTION("IF(H3519="""","""",
SUM(
ARRAYFORMULA(
IF(
REGEXMATCH(
"" ""&amp;H3519&amp;"" "",
"" ""&amp;Sentiment_Words!A$2:A3730&amp;"" ""
),
1,
0
)
)
)
)"),0.0)</f>
        <v>0</v>
      </c>
      <c r="K3519" s="4">
        <f>IFERROR(__xludf.DUMMYFUNCTION("IF(H3519="""","""",
SUM(
ARRAYFORMULA(
IF(
REGEXMATCH(
"" ""&amp;H3519&amp;"" "",
"" ""&amp;Sentiment_Words!B$2:B3730&amp;"" ""
),
1,
0
)
)
)
)"),0.0)</f>
        <v>0</v>
      </c>
      <c r="L3519" s="7" t="str">
        <f t="shared" si="3"/>
        <v>Other</v>
      </c>
      <c r="M3519" s="7" t="str">
        <f t="shared" si="4"/>
        <v>Neutral</v>
      </c>
      <c r="N3519" s="7" t="str">
        <f>IFERROR(__xludf.DUMMYFUNCTION("LOWER(
TRIM(
REGEXREPLACE(B3519,""[^a-zA-Z\s]"","""")
)
)
"),"kathy davis")</f>
        <v>kathy davis</v>
      </c>
      <c r="O3519" s="7">
        <f t="shared" si="5"/>
        <v>1</v>
      </c>
      <c r="P3519" s="8" t="str">
        <f t="shared" si="6"/>
        <v>No</v>
      </c>
    </row>
    <row r="3520">
      <c r="A3520" s="4" t="s">
        <v>16</v>
      </c>
      <c r="B3520" s="4" t="s">
        <v>9759</v>
      </c>
      <c r="C3520" s="9">
        <v>44506.0</v>
      </c>
      <c r="D3520" s="10">
        <v>44506.0</v>
      </c>
      <c r="E3520" s="4" t="s">
        <v>9760</v>
      </c>
      <c r="F3520" s="4" t="s">
        <v>9761</v>
      </c>
      <c r="G3520" s="6" t="str">
        <f>IFERROR(__xludf.DUMMYFUNCTION("REGEXREPLACE(LOWER(F3520),""[^a-z\s]"","""")"),"always an easy transaction we order our dog food from here regularly")</f>
        <v>always an easy transaction we order our dog food from here regularly</v>
      </c>
      <c r="H3520" s="4" t="str">
        <f t="shared" si="1"/>
        <v>always an easy transaction we order our dog food from here regularly</v>
      </c>
      <c r="I3520" s="6">
        <f t="shared" si="2"/>
        <v>12</v>
      </c>
      <c r="J3520" s="6">
        <f>IFERROR(__xludf.DUMMYFUNCTION("IF(H3520="""","""",
SUM(
ARRAYFORMULA(
IF(
REGEXMATCH(
"" ""&amp;H3520&amp;"" "",
"" ""&amp;Sentiment_Words!A$2:A3730&amp;"" ""
),
1,
0
)
)
)
)"),1.0)</f>
        <v>1</v>
      </c>
      <c r="K3520" s="4">
        <f>IFERROR(__xludf.DUMMYFUNCTION("IF(H3520="""","""",
SUM(
ARRAYFORMULA(
IF(
REGEXMATCH(
"" ""&amp;H3520&amp;"" "",
"" ""&amp;Sentiment_Words!B$2:B3730&amp;"" ""
),
1,
0
)
)
)
)"),0.0)</f>
        <v>0</v>
      </c>
      <c r="L3520" s="7" t="str">
        <f t="shared" si="3"/>
        <v>Other</v>
      </c>
      <c r="M3520" s="7" t="str">
        <f t="shared" si="4"/>
        <v>Positive</v>
      </c>
      <c r="N3520" s="7" t="str">
        <f>IFERROR(__xludf.DUMMYFUNCTION("LOWER(
TRIM(
REGEXREPLACE(B3520,""[^a-zA-Z\s]"","""")
)
)
"),"shannon")</f>
        <v>shannon</v>
      </c>
      <c r="O3520" s="7">
        <f t="shared" si="5"/>
        <v>1</v>
      </c>
      <c r="P3520" s="8" t="str">
        <f t="shared" si="6"/>
        <v>No</v>
      </c>
    </row>
    <row r="3521">
      <c r="A3521" s="4" t="s">
        <v>16</v>
      </c>
      <c r="B3521" s="4" t="s">
        <v>594</v>
      </c>
      <c r="C3521" s="9">
        <v>44506.0</v>
      </c>
      <c r="D3521" s="10">
        <v>44506.0</v>
      </c>
      <c r="E3521" s="4" t="s">
        <v>9762</v>
      </c>
      <c r="F3521" s="4" t="s">
        <v>9763</v>
      </c>
      <c r="G3521" s="6" t="str">
        <f>IFERROR(__xludf.DUMMYFUNCTION("REGEXREPLACE(LOWER(F3521),""[^a-z\s]"","""")"),"didnt have my order in stock and canceled my shipment with a puppy it is hard to just up and switch food when an order doesnt arrive as expected so had to go to extra lengths to find the specific food")</f>
        <v>didnt have my order in stock and canceled my shipment with a puppy it is hard to just up and switch food when an order doesnt arrive as expected so had to go to extra lengths to find the specific food</v>
      </c>
      <c r="H3521" s="4" t="str">
        <f t="shared" si="1"/>
        <v>didnt have my order in stock canceled my shipment with a puppy it hard just up switch food when an order doesnt arrive as expected so had go extra lengths find specific food</v>
      </c>
      <c r="I3521" s="6">
        <f t="shared" si="2"/>
        <v>33</v>
      </c>
      <c r="J3521" s="6">
        <f>IFERROR(__xludf.DUMMYFUNCTION("IF(H3521="""","""",
SUM(
ARRAYFORMULA(
IF(
REGEXMATCH(
"" ""&amp;H3521&amp;"" "",
"" ""&amp;Sentiment_Words!A$2:A3730&amp;"" ""
),
1,
0
)
)
)
)"),0.0)</f>
        <v>0</v>
      </c>
      <c r="K3521" s="4">
        <f>IFERROR(__xludf.DUMMYFUNCTION("IF(H3521="""","""",
SUM(
ARRAYFORMULA(
IF(
REGEXMATCH(
"" ""&amp;H3521&amp;"" "",
"" ""&amp;Sentiment_Words!B$2:B3730&amp;"" ""
),
1,
0
)
)
)
)"),0.0)</f>
        <v>0</v>
      </c>
      <c r="L3521" s="7" t="str">
        <f t="shared" si="3"/>
        <v>Other</v>
      </c>
      <c r="M3521" s="7" t="str">
        <f t="shared" si="4"/>
        <v>Neutral</v>
      </c>
      <c r="N3521" s="7" t="str">
        <f>IFERROR(__xludf.DUMMYFUNCTION("LOWER(
TRIM(
REGEXREPLACE(B3521,""[^a-zA-Z\s]"","""")
)
)
"),"andrea")</f>
        <v>andrea</v>
      </c>
      <c r="O3521" s="7">
        <f t="shared" si="5"/>
        <v>2</v>
      </c>
      <c r="P3521" s="8" t="str">
        <f t="shared" si="6"/>
        <v>Yes</v>
      </c>
    </row>
    <row r="3522">
      <c r="A3522" s="4" t="s">
        <v>16</v>
      </c>
      <c r="B3522" s="4" t="s">
        <v>9764</v>
      </c>
      <c r="C3522" s="9">
        <v>44506.0</v>
      </c>
      <c r="D3522" s="10">
        <v>44506.0</v>
      </c>
      <c r="E3522" s="4" t="s">
        <v>2398</v>
      </c>
      <c r="F3522" s="4" t="s">
        <v>9765</v>
      </c>
      <c r="G3522" s="6" t="str">
        <f>IFERROR(__xludf.DUMMYFUNCTION("REGEXREPLACE(LOWER(F3522),""[^a-z\s]"","""")"),"awesome as usual  always on time great customer service and fantastic product")</f>
        <v>awesome as usual  always on time great customer service and fantastic product</v>
      </c>
      <c r="H3522" s="4" t="str">
        <f t="shared" si="1"/>
        <v>awesome as usual always on time great customer service fantastic product</v>
      </c>
      <c r="I3522" s="6">
        <f t="shared" si="2"/>
        <v>11</v>
      </c>
      <c r="J3522" s="6">
        <f>IFERROR(__xludf.DUMMYFUNCTION("IF(H3522="""","""",
SUM(
ARRAYFORMULA(
IF(
REGEXMATCH(
"" ""&amp;H3522&amp;"" "",
"" ""&amp;Sentiment_Words!A$2:A3730&amp;"" ""
),
1,
0
)
)
)
)"),3.0)</f>
        <v>3</v>
      </c>
      <c r="K3522" s="4">
        <f>IFERROR(__xludf.DUMMYFUNCTION("IF(H3522="""","""",
SUM(
ARRAYFORMULA(
IF(
REGEXMATCH(
"" ""&amp;H3522&amp;"" "",
"" ""&amp;Sentiment_Words!B$2:B3730&amp;"" ""
),
1,
0
)
)
)
)"),1.0)</f>
        <v>1</v>
      </c>
      <c r="L3522" s="7" t="str">
        <f t="shared" si="3"/>
        <v>Customer Support</v>
      </c>
      <c r="M3522" s="7" t="str">
        <f t="shared" si="4"/>
        <v>Positive</v>
      </c>
      <c r="N3522" s="7" t="str">
        <f>IFERROR(__xludf.DUMMYFUNCTION("LOWER(
TRIM(
REGEXREPLACE(B3522,""[^a-zA-Z\s]"","""")
)
)
"),"diane p")</f>
        <v>diane p</v>
      </c>
      <c r="O3522" s="7">
        <f t="shared" si="5"/>
        <v>1</v>
      </c>
      <c r="P3522" s="8" t="str">
        <f t="shared" si="6"/>
        <v>No</v>
      </c>
    </row>
    <row r="3523">
      <c r="A3523" s="4" t="s">
        <v>16</v>
      </c>
      <c r="B3523" s="4" t="s">
        <v>9766</v>
      </c>
      <c r="C3523" s="9">
        <v>44505.0</v>
      </c>
      <c r="D3523" s="10">
        <v>44505.0</v>
      </c>
      <c r="E3523" s="4" t="s">
        <v>9767</v>
      </c>
      <c r="F3523" s="4" t="s">
        <v>9768</v>
      </c>
      <c r="G3523" s="6" t="str">
        <f>IFERROR(__xludf.DUMMYFUNCTION("REGEXREPLACE(LOWER(F3523),""[^a-z\s]"","""")"),"our toy poodle has been permanently put on hills canned stew due to health issues but we found it was not available due to a supply shortage then we turned to petflow and found her entire supply with fast delivery petflow looks out for our furry kids and "&amp;"for that we are very grateful
penny di  sebring fl")</f>
        <v>our toy poodle has been permanently put on hills canned stew due to health issues but we found it was not available due to a supply shortage then we turned to petflow and found her entire supply with fast delivery petflow looks out for our furry kids and for that we are very grateful
penny di  sebring fl</v>
      </c>
      <c r="H3523" s="4" t="str">
        <f t="shared" si="1"/>
        <v>our toy poodle has been permanently put on hills canned stew due health issues but we found it was not available due a supply shortage then we turned petflow found her entire supply with fast delivery petflow looks out our furry kids that we are very grateful
penny di sebring fl</v>
      </c>
      <c r="I3523" s="6">
        <f t="shared" si="2"/>
        <v>50</v>
      </c>
      <c r="J3523" s="6">
        <f>IFERROR(__xludf.DUMMYFUNCTION("IF(H3523="""","""",
SUM(
ARRAYFORMULA(
IF(
REGEXMATCH(
"" ""&amp;H3523&amp;"" "",
"" ""&amp;Sentiment_Words!A$2:A3730&amp;"" ""
),
1,
0
)
)
)
)"),4.0)</f>
        <v>4</v>
      </c>
      <c r="K3523" s="4">
        <f>IFERROR(__xludf.DUMMYFUNCTION("IF(H3523="""","""",
SUM(
ARRAYFORMULA(
IF(
REGEXMATCH(
"" ""&amp;H3523&amp;"" "",
"" ""&amp;Sentiment_Words!B$2:B3730&amp;"" ""
),
1,
0
)
)
)
)"),0.0)</f>
        <v>0</v>
      </c>
      <c r="L3523" s="7" t="str">
        <f t="shared" si="3"/>
        <v>Other</v>
      </c>
      <c r="M3523" s="7" t="str">
        <f t="shared" si="4"/>
        <v>Positive</v>
      </c>
      <c r="N3523" s="7" t="str">
        <f>IFERROR(__xludf.DUMMYFUNCTION("LOWER(
TRIM(
REGEXREPLACE(B3523,""[^a-zA-Z\s]"","""")
)
)
"),"jenny martinstadena")</f>
        <v>jenny martinstadena</v>
      </c>
      <c r="O3523" s="7">
        <f t="shared" si="5"/>
        <v>1</v>
      </c>
      <c r="P3523" s="8" t="str">
        <f t="shared" si="6"/>
        <v>No</v>
      </c>
    </row>
    <row r="3524">
      <c r="A3524" s="4" t="s">
        <v>16</v>
      </c>
      <c r="B3524" s="4" t="s">
        <v>9769</v>
      </c>
      <c r="C3524" s="9">
        <v>44505.0</v>
      </c>
      <c r="D3524" s="10">
        <v>44505.0</v>
      </c>
      <c r="E3524" s="4" t="s">
        <v>9770</v>
      </c>
      <c r="F3524" s="4" t="s">
        <v>331</v>
      </c>
      <c r="G3524" s="6" t="str">
        <f>IFERROR(__xludf.DUMMYFUNCTION("REGEXREPLACE(LOWER(F3524),""[^a-z\s]"","""")"),"none")</f>
        <v>none</v>
      </c>
      <c r="H3524" s="4" t="str">
        <f t="shared" si="1"/>
        <v>none</v>
      </c>
      <c r="I3524" s="6">
        <f t="shared" si="2"/>
        <v>1</v>
      </c>
      <c r="J3524" s="6">
        <f>IFERROR(__xludf.DUMMYFUNCTION("IF(H3524="""","""",
SUM(
ARRAYFORMULA(
IF(
REGEXMATCH(
"" ""&amp;H3524&amp;"" "",
"" ""&amp;Sentiment_Words!A$2:A3730&amp;"" ""
),
1,
0
)
)
)
)"),0.0)</f>
        <v>0</v>
      </c>
      <c r="K3524" s="4">
        <f>IFERROR(__xludf.DUMMYFUNCTION("IF(H3524="""","""",
SUM(
ARRAYFORMULA(
IF(
REGEXMATCH(
"" ""&amp;H3524&amp;"" "",
"" ""&amp;Sentiment_Words!B$2:B3730&amp;"" ""
),
1,
0
)
)
)
)"),0.0)</f>
        <v>0</v>
      </c>
      <c r="L3524" s="7" t="str">
        <f t="shared" si="3"/>
        <v>Other</v>
      </c>
      <c r="M3524" s="7" t="str">
        <f t="shared" si="4"/>
        <v>Neutral</v>
      </c>
      <c r="N3524" s="7" t="str">
        <f>IFERROR(__xludf.DUMMYFUNCTION("LOWER(
TRIM(
REGEXREPLACE(B3524,""[^a-zA-Z\s]"","""")
)
)
"),"erika")</f>
        <v>erika</v>
      </c>
      <c r="O3524" s="7">
        <f t="shared" si="5"/>
        <v>1</v>
      </c>
      <c r="P3524" s="8" t="str">
        <f t="shared" si="6"/>
        <v>No</v>
      </c>
    </row>
    <row r="3525">
      <c r="A3525" s="4" t="s">
        <v>16</v>
      </c>
      <c r="B3525" s="4" t="s">
        <v>9771</v>
      </c>
      <c r="C3525" s="9">
        <v>44505.0</v>
      </c>
      <c r="D3525" s="10">
        <v>44505.0</v>
      </c>
      <c r="E3525" s="4" t="s">
        <v>9772</v>
      </c>
      <c r="F3525" s="4" t="s">
        <v>331</v>
      </c>
      <c r="G3525" s="6" t="str">
        <f>IFERROR(__xludf.DUMMYFUNCTION("REGEXREPLACE(LOWER(F3525),""[^a-z\s]"","""")"),"none")</f>
        <v>none</v>
      </c>
      <c r="H3525" s="4" t="str">
        <f t="shared" si="1"/>
        <v>none</v>
      </c>
      <c r="I3525" s="6">
        <f t="shared" si="2"/>
        <v>1</v>
      </c>
      <c r="J3525" s="6">
        <f>IFERROR(__xludf.DUMMYFUNCTION("IF(H3525="""","""",
SUM(
ARRAYFORMULA(
IF(
REGEXMATCH(
"" ""&amp;H3525&amp;"" "",
"" ""&amp;Sentiment_Words!A$2:A3730&amp;"" ""
),
1,
0
)
)
)
)"),0.0)</f>
        <v>0</v>
      </c>
      <c r="K3525" s="4">
        <f>IFERROR(__xludf.DUMMYFUNCTION("IF(H3525="""","""",
SUM(
ARRAYFORMULA(
IF(
REGEXMATCH(
"" ""&amp;H3525&amp;"" "",
"" ""&amp;Sentiment_Words!B$2:B3730&amp;"" ""
),
1,
0
)
)
)
)"),0.0)</f>
        <v>0</v>
      </c>
      <c r="L3525" s="7" t="str">
        <f t="shared" si="3"/>
        <v>Other</v>
      </c>
      <c r="M3525" s="7" t="str">
        <f t="shared" si="4"/>
        <v>Neutral</v>
      </c>
      <c r="N3525" s="7" t="str">
        <f>IFERROR(__xludf.DUMMYFUNCTION("LOWER(
TRIM(
REGEXREPLACE(B3525,""[^a-zA-Z\s]"","""")
)
)
"),"kelly krauss")</f>
        <v>kelly krauss</v>
      </c>
      <c r="O3525" s="7">
        <f t="shared" si="5"/>
        <v>1</v>
      </c>
      <c r="P3525" s="8" t="str">
        <f t="shared" si="6"/>
        <v>No</v>
      </c>
    </row>
    <row r="3526">
      <c r="A3526" s="4" t="s">
        <v>16</v>
      </c>
      <c r="B3526" s="4" t="s">
        <v>9773</v>
      </c>
      <c r="C3526" s="9">
        <v>44504.0</v>
      </c>
      <c r="D3526" s="10">
        <v>44505.0</v>
      </c>
      <c r="E3526" s="4" t="s">
        <v>9774</v>
      </c>
      <c r="F3526" s="4" t="s">
        <v>331</v>
      </c>
      <c r="G3526" s="6" t="str">
        <f>IFERROR(__xludf.DUMMYFUNCTION("REGEXREPLACE(LOWER(F3526),""[^a-z\s]"","""")"),"none")</f>
        <v>none</v>
      </c>
      <c r="H3526" s="4" t="str">
        <f t="shared" si="1"/>
        <v>none</v>
      </c>
      <c r="I3526" s="6">
        <f t="shared" si="2"/>
        <v>1</v>
      </c>
      <c r="J3526" s="6">
        <f>IFERROR(__xludf.DUMMYFUNCTION("IF(H3526="""","""",
SUM(
ARRAYFORMULA(
IF(
REGEXMATCH(
"" ""&amp;H3526&amp;"" "",
"" ""&amp;Sentiment_Words!A$2:A3730&amp;"" ""
),
1,
0
)
)
)
)"),0.0)</f>
        <v>0</v>
      </c>
      <c r="K3526" s="4">
        <f>IFERROR(__xludf.DUMMYFUNCTION("IF(H3526="""","""",
SUM(
ARRAYFORMULA(
IF(
REGEXMATCH(
"" ""&amp;H3526&amp;"" "",
"" ""&amp;Sentiment_Words!B$2:B3730&amp;"" ""
),
1,
0
)
)
)
)"),0.0)</f>
        <v>0</v>
      </c>
      <c r="L3526" s="7" t="str">
        <f t="shared" si="3"/>
        <v>Other</v>
      </c>
      <c r="M3526" s="7" t="str">
        <f t="shared" si="4"/>
        <v>Neutral</v>
      </c>
      <c r="N3526" s="7" t="str">
        <f>IFERROR(__xludf.DUMMYFUNCTION("LOWER(
TRIM(
REGEXREPLACE(B3526,""[^a-zA-Z\s]"","""")
)
)
"),"paula nelson digennaro sebring fl")</f>
        <v>paula nelson digennaro sebring fl</v>
      </c>
      <c r="O3526" s="7">
        <f t="shared" si="5"/>
        <v>1</v>
      </c>
      <c r="P3526" s="8" t="str">
        <f t="shared" si="6"/>
        <v>No</v>
      </c>
    </row>
    <row r="3527">
      <c r="A3527" s="4" t="s">
        <v>16</v>
      </c>
      <c r="B3527" s="4" t="s">
        <v>9775</v>
      </c>
      <c r="C3527" s="9">
        <v>44504.0</v>
      </c>
      <c r="D3527" s="10">
        <v>44505.0</v>
      </c>
      <c r="E3527" s="4" t="s">
        <v>9776</v>
      </c>
      <c r="F3527" s="4" t="s">
        <v>9777</v>
      </c>
      <c r="G3527" s="6" t="str">
        <f>IFERROR(__xludf.DUMMYFUNCTION("REGEXREPLACE(LOWER(F3527),""[^a-z\s]"","""")"),"i love the autoship option for my cat items purchases in particular i order large containersboxes of cat litterpetflow does an excellent job of packing it and it always arrives undamaged they also keep me informed of any shipment delays etc")</f>
        <v>i love the autoship option for my cat items purchases in particular i order large containersboxes of cat litterpetflow does an excellent job of packing it and it always arrives undamaged they also keep me informed of any shipment delays etc</v>
      </c>
      <c r="H3527" s="4" t="str">
        <f t="shared" si="1"/>
        <v>i love autoship option my cat items purchases in particular i order large containersboxes of cat litterpetflow does an excellent job of packing it it always arrives undamaged they also keep me informed of any shipment delays etc</v>
      </c>
      <c r="I3527" s="6">
        <f t="shared" si="2"/>
        <v>38</v>
      </c>
      <c r="J3527" s="6">
        <f>IFERROR(__xludf.DUMMYFUNCTION("IF(H3527="""","""",
SUM(
ARRAYFORMULA(
IF(
REGEXMATCH(
"" ""&amp;H3527&amp;"" "",
"" ""&amp;Sentiment_Words!A$2:A3730&amp;"" ""
),
1,
0
)
)
)
)"),1.0)</f>
        <v>1</v>
      </c>
      <c r="K3527" s="4">
        <f>IFERROR(__xludf.DUMMYFUNCTION("IF(H3527="""","""",
SUM(
ARRAYFORMULA(
IF(
REGEXMATCH(
"" ""&amp;H3527&amp;"" "",
"" ""&amp;Sentiment_Words!B$2:B3730&amp;"" ""
),
1,
0
)
)
)
)"),0.0)</f>
        <v>0</v>
      </c>
      <c r="L3527" s="7" t="str">
        <f t="shared" si="3"/>
        <v>Fulfillment &amp; Shipping</v>
      </c>
      <c r="M3527" s="7" t="str">
        <f t="shared" si="4"/>
        <v>Positive</v>
      </c>
      <c r="N3527" s="7" t="str">
        <f>IFERROR(__xludf.DUMMYFUNCTION("LOWER(
TRIM(
REGEXREPLACE(B3527,""[^a-zA-Z\s]"","""")
)
)
"),"webclient laura p")</f>
        <v>webclient laura p</v>
      </c>
      <c r="O3527" s="7">
        <f t="shared" si="5"/>
        <v>1</v>
      </c>
      <c r="P3527" s="8" t="str">
        <f t="shared" si="6"/>
        <v>No</v>
      </c>
    </row>
    <row r="3528">
      <c r="A3528" s="4" t="s">
        <v>16</v>
      </c>
      <c r="B3528" s="4" t="s">
        <v>9778</v>
      </c>
      <c r="C3528" s="9">
        <v>44503.0</v>
      </c>
      <c r="D3528" s="4" t="s">
        <v>9779</v>
      </c>
      <c r="E3528" s="4" t="s">
        <v>9780</v>
      </c>
      <c r="F3528" s="4" t="s">
        <v>9781</v>
      </c>
      <c r="G3528" s="6" t="str">
        <f>IFERROR(__xludf.DUMMYFUNCTION("REGEXREPLACE(LOWER(F3528),""[^a-z\s]"","""")"),"i began using petflow several years ago i love them because
 i can speak to a real american born person who always helps me
 they carry brands from small companies such as fromm
 somehow they get fedex to deliver to my house on time fedex usually does not"&amp;" deliver to me until i complain to my vendor but they do it for petflow on time everyone")</f>
        <v>i began using petflow several years ago i love them because
 i can speak to a real american born person who always helps me
 they carry brands from small companies such as fromm
 somehow they get fedex to deliver to my house on time fedex usually does not deliver to me until i complain to my vendor but they do it for petflow on time everyone</v>
      </c>
      <c r="H3528" s="4" t="str">
        <f t="shared" si="1"/>
        <v>i began using petflow several years ago i love them because
 i can speak a real american born person who always helps me
 they carry brands from small companies such as fromm
 somehow they get fedex deliver my house on time fedex usually does not deliver me until i complain my vendor but they do it petflow on time everyone</v>
      </c>
      <c r="I3528" s="6">
        <f t="shared" si="2"/>
        <v>60</v>
      </c>
      <c r="J3528" s="6">
        <f>IFERROR(__xludf.DUMMYFUNCTION("IF(H3528="""","""",
SUM(
ARRAYFORMULA(
IF(
REGEXMATCH(
"" ""&amp;H3528&amp;"" "",
"" ""&amp;Sentiment_Words!A$2:A3730&amp;"" ""
),
1,
0
)
)
)
)"),2.0)</f>
        <v>2</v>
      </c>
      <c r="K3528" s="4">
        <f>IFERROR(__xludf.DUMMYFUNCTION("IF(H3528="""","""",
SUM(
ARRAYFORMULA(
IF(
REGEXMATCH(
"" ""&amp;H3528&amp;"" "",
"" ""&amp;Sentiment_Words!B$2:B3730&amp;"" ""
),
1,
0
)
)
)
)"),0.0)</f>
        <v>0</v>
      </c>
      <c r="L3528" s="7" t="str">
        <f t="shared" si="3"/>
        <v>Other</v>
      </c>
      <c r="M3528" s="7" t="str">
        <f t="shared" si="4"/>
        <v>Positive</v>
      </c>
      <c r="N3528" s="7" t="str">
        <f>IFERROR(__xludf.DUMMYFUNCTION("LOWER(
TRIM(
REGEXREPLACE(B3528,""[^a-zA-Z\s]"","""")
)
)
"),"karen mcfarlane")</f>
        <v>karen mcfarlane</v>
      </c>
      <c r="O3528" s="7">
        <f t="shared" si="5"/>
        <v>1</v>
      </c>
      <c r="P3528" s="8" t="str">
        <f t="shared" si="6"/>
        <v>No</v>
      </c>
    </row>
    <row r="3529">
      <c r="A3529" s="4" t="s">
        <v>16</v>
      </c>
      <c r="B3529" s="4" t="s">
        <v>9782</v>
      </c>
      <c r="C3529" s="9">
        <v>44503.0</v>
      </c>
      <c r="D3529" s="10">
        <v>44503.0</v>
      </c>
      <c r="E3529" s="4" t="s">
        <v>9783</v>
      </c>
      <c r="F3529" s="4" t="s">
        <v>9784</v>
      </c>
      <c r="G3529" s="6" t="str">
        <f>IFERROR(__xludf.DUMMYFUNCTION("REGEXREPLACE(LOWER(F3529),""[^a-z\s]"","""")"),"product was delivered quickly on time with no damage")</f>
        <v>product was delivered quickly on time with no damage</v>
      </c>
      <c r="H3529" s="4" t="str">
        <f t="shared" si="1"/>
        <v>product was delivered quickly on time with no damage</v>
      </c>
      <c r="I3529" s="6">
        <f t="shared" si="2"/>
        <v>9</v>
      </c>
      <c r="J3529" s="6">
        <f>IFERROR(__xludf.DUMMYFUNCTION("IF(H3529="""","""",
SUM(
ARRAYFORMULA(
IF(
REGEXMATCH(
"" ""&amp;H3529&amp;"" "",
"" ""&amp;Sentiment_Words!A$2:A3730&amp;"" ""
),
1,
0
)
)
)
)"),2.0)</f>
        <v>2</v>
      </c>
      <c r="K3529" s="4">
        <f>IFERROR(__xludf.DUMMYFUNCTION("IF(H3529="""","""",
SUM(
ARRAYFORMULA(
IF(
REGEXMATCH(
"" ""&amp;H3529&amp;"" "",
"" ""&amp;Sentiment_Words!B$2:B3730&amp;"" ""
),
1,
0
)
)
)
)"),0.0)</f>
        <v>0</v>
      </c>
      <c r="L3529" s="7" t="str">
        <f t="shared" si="3"/>
        <v>Other</v>
      </c>
      <c r="M3529" s="7" t="str">
        <f t="shared" si="4"/>
        <v>Positive</v>
      </c>
      <c r="N3529" s="7" t="str">
        <f>IFERROR(__xludf.DUMMYFUNCTION("LOWER(
TRIM(
REGEXREPLACE(B3529,""[^a-zA-Z\s]"","""")
)
)
"),"terry gorman")</f>
        <v>terry gorman</v>
      </c>
      <c r="O3529" s="7">
        <f t="shared" si="5"/>
        <v>1</v>
      </c>
      <c r="P3529" s="8" t="str">
        <f t="shared" si="6"/>
        <v>No</v>
      </c>
    </row>
    <row r="3530">
      <c r="A3530" s="4" t="s">
        <v>16</v>
      </c>
      <c r="B3530" s="4" t="s">
        <v>4389</v>
      </c>
      <c r="C3530" s="9">
        <v>44503.0</v>
      </c>
      <c r="D3530" s="10">
        <v>44503.0</v>
      </c>
      <c r="E3530" s="4" t="s">
        <v>9785</v>
      </c>
      <c r="F3530" s="4" t="s">
        <v>9786</v>
      </c>
      <c r="G3530" s="6" t="str">
        <f>IFERROR(__xludf.DUMMYFUNCTION("REGEXREPLACE(LOWER(F3530),""[^a-z\s]"","""")"),"excellent communication and reliable timely deliveries customer service is the best ive ever worked with my goto supplier for quality pet food")</f>
        <v>excellent communication and reliable timely deliveries customer service is the best ive ever worked with my goto supplier for quality pet food</v>
      </c>
      <c r="H3530" s="4" t="str">
        <f t="shared" si="1"/>
        <v>excellent communication reliable timely deliveries customer service best ive ever worked with my goto supplier quality pet food</v>
      </c>
      <c r="I3530" s="6">
        <f t="shared" si="2"/>
        <v>18</v>
      </c>
      <c r="J3530" s="6">
        <f>IFERROR(__xludf.DUMMYFUNCTION("IF(H3530="""","""",
SUM(
ARRAYFORMULA(
IF(
REGEXMATCH(
"" ""&amp;H3530&amp;"" "",
"" ""&amp;Sentiment_Words!A$2:A3730&amp;"" ""
),
1,
0
)
)
)
)"),2.0)</f>
        <v>2</v>
      </c>
      <c r="K3530" s="4">
        <f>IFERROR(__xludf.DUMMYFUNCTION("IF(H3530="""","""",
SUM(
ARRAYFORMULA(
IF(
REGEXMATCH(
"" ""&amp;H3530&amp;"" "",
"" ""&amp;Sentiment_Words!B$2:B3730&amp;"" ""
),
1,
0
)
)
)
)"),1.0)</f>
        <v>1</v>
      </c>
      <c r="L3530" s="7" t="str">
        <f t="shared" si="3"/>
        <v>Customer Support</v>
      </c>
      <c r="M3530" s="7" t="str">
        <f t="shared" si="4"/>
        <v>Positive</v>
      </c>
      <c r="N3530" s="7" t="str">
        <f>IFERROR(__xludf.DUMMYFUNCTION("LOWER(
TRIM(
REGEXREPLACE(B3530,""[^a-zA-Z\s]"","""")
)
)
"),"db")</f>
        <v>db</v>
      </c>
      <c r="O3530" s="7">
        <f t="shared" si="5"/>
        <v>2</v>
      </c>
      <c r="P3530" s="8" t="str">
        <f t="shared" si="6"/>
        <v>Yes</v>
      </c>
    </row>
    <row r="3531">
      <c r="A3531" s="4" t="s">
        <v>16</v>
      </c>
      <c r="B3531" s="4" t="s">
        <v>9787</v>
      </c>
      <c r="C3531" s="9">
        <v>44503.0</v>
      </c>
      <c r="D3531" s="10">
        <v>44503.0</v>
      </c>
      <c r="E3531" s="4" t="s">
        <v>9788</v>
      </c>
      <c r="F3531" s="4" t="s">
        <v>9789</v>
      </c>
      <c r="G3531" s="6" t="str">
        <f>IFERROR(__xludf.DUMMYFUNCTION("REGEXREPLACE(LOWER(F3531),""[^a-z\s]"","""")"),"excellent customer service and easy auto ship options")</f>
        <v>excellent customer service and easy auto ship options</v>
      </c>
      <c r="H3531" s="4" t="str">
        <f t="shared" si="1"/>
        <v>excellent customer service easy auto ship options</v>
      </c>
      <c r="I3531" s="6">
        <f t="shared" si="2"/>
        <v>7</v>
      </c>
      <c r="J3531" s="6">
        <f>IFERROR(__xludf.DUMMYFUNCTION("IF(H3531="""","""",
SUM(
ARRAYFORMULA(
IF(
REGEXMATCH(
"" ""&amp;H3531&amp;"" "",
"" ""&amp;Sentiment_Words!A$2:A3730&amp;"" ""
),
1,
0
)
)
)
)"),2.0)</f>
        <v>2</v>
      </c>
      <c r="K3531" s="4">
        <f>IFERROR(__xludf.DUMMYFUNCTION("IF(H3531="""","""",
SUM(
ARRAYFORMULA(
IF(
REGEXMATCH(
"" ""&amp;H3531&amp;"" "",
"" ""&amp;Sentiment_Words!B$2:B3730&amp;"" ""
),
1,
0
)
)
)
)"),1.0)</f>
        <v>1</v>
      </c>
      <c r="L3531" s="7" t="str">
        <f t="shared" si="3"/>
        <v>Customer Support</v>
      </c>
      <c r="M3531" s="7" t="str">
        <f t="shared" si="4"/>
        <v>Positive</v>
      </c>
      <c r="N3531" s="7" t="str">
        <f>IFERROR(__xludf.DUMMYFUNCTION("LOWER(
TRIM(
REGEXREPLACE(B3531,""[^a-zA-Z\s]"","""")
)
)
"),"jean o")</f>
        <v>jean o</v>
      </c>
      <c r="O3531" s="7">
        <f t="shared" si="5"/>
        <v>1</v>
      </c>
      <c r="P3531" s="8" t="str">
        <f t="shared" si="6"/>
        <v>No</v>
      </c>
    </row>
    <row r="3532">
      <c r="A3532" s="4" t="s">
        <v>16</v>
      </c>
      <c r="B3532" s="4" t="s">
        <v>9790</v>
      </c>
      <c r="C3532" s="9">
        <v>44503.0</v>
      </c>
      <c r="D3532" s="10">
        <v>44503.0</v>
      </c>
      <c r="E3532" s="4" t="s">
        <v>81</v>
      </c>
      <c r="F3532" s="4" t="s">
        <v>9791</v>
      </c>
      <c r="G3532" s="6" t="str">
        <f>IFERROR(__xludf.DUMMYFUNCTION("REGEXREPLACE(LOWER(F3532),""[^a-z\s]"","""")"),"good service selection prices")</f>
        <v>good service selection prices</v>
      </c>
      <c r="H3532" s="4" t="str">
        <f t="shared" si="1"/>
        <v>good service selection prices</v>
      </c>
      <c r="I3532" s="6">
        <f t="shared" si="2"/>
        <v>4</v>
      </c>
      <c r="J3532" s="6">
        <f>IFERROR(__xludf.DUMMYFUNCTION("IF(H3532="""","""",
SUM(
ARRAYFORMULA(
IF(
REGEXMATCH(
"" ""&amp;H3532&amp;"" "",
"" ""&amp;Sentiment_Words!A$2:A3730&amp;"" ""
),
1,
0
)
)
)
)"),1.0)</f>
        <v>1</v>
      </c>
      <c r="K3532" s="4">
        <f>IFERROR(__xludf.DUMMYFUNCTION("IF(H3532="""","""",
SUM(
ARRAYFORMULA(
IF(
REGEXMATCH(
"" ""&amp;H3532&amp;"" "",
"" ""&amp;Sentiment_Words!B$2:B3730&amp;"" ""
),
1,
0
)
)
)
)"),0.0)</f>
        <v>0</v>
      </c>
      <c r="L3532" s="7" t="str">
        <f t="shared" si="3"/>
        <v>Customer Support</v>
      </c>
      <c r="M3532" s="7" t="str">
        <f t="shared" si="4"/>
        <v>Positive</v>
      </c>
      <c r="N3532" s="7" t="str">
        <f>IFERROR(__xludf.DUMMYFUNCTION("LOWER(
TRIM(
REGEXREPLACE(B3532,""[^a-zA-Z\s]"","""")
)
)
"),"charlotte greenbarg")</f>
        <v>charlotte greenbarg</v>
      </c>
      <c r="O3532" s="7">
        <f t="shared" si="5"/>
        <v>1</v>
      </c>
      <c r="P3532" s="8" t="str">
        <f t="shared" si="6"/>
        <v>No</v>
      </c>
    </row>
    <row r="3533">
      <c r="A3533" s="4" t="s">
        <v>16</v>
      </c>
      <c r="B3533" s="4" t="s">
        <v>9792</v>
      </c>
      <c r="C3533" s="9">
        <v>44502.0</v>
      </c>
      <c r="D3533" s="10">
        <v>44502.0</v>
      </c>
      <c r="E3533" s="4" t="s">
        <v>9793</v>
      </c>
      <c r="F3533" s="4" t="s">
        <v>9794</v>
      </c>
      <c r="G3533" s="6" t="str">
        <f>IFERROR(__xludf.DUMMYFUNCTION("REGEXREPLACE(LOWER(F3533),""[^a-z\s]"","""")"),"customer service has always been polite and helpful but unfortunately i have needed to use them frequently with my autoship orders i had  pets getting prescription diets but they kept sending the requests for refill to the incorrect veterinarian then some"&amp;"how the changed the pet names they also send nondescript emails if one of the prescription diets are on backorder and wont be shipped so we never quite know if our monthly order will come until we are almost out of food the other issue is they dont automa"&amp;"tically ship when the backorder diet is back in stock they wait till the next scheduled autoship order date unless you call to find out when the food will be shipped
customer service has always handled my concerns very well and they do what they can to c"&amp;"orrect the issues")</f>
        <v>customer service has always been polite and helpful but unfortunately i have needed to use them frequently with my autoship orders i had  pets getting prescription diets but they kept sending the requests for refill to the incorrect veterinarian then somehow the changed the pet names they also send nondescript emails if one of the prescription diets are on backorder and wont be shipped so we never quite know if our monthly order will come until we are almost out of food the other issue is they dont automatically ship when the backorder diet is back in stock they wait till the next scheduled autoship order date unless you call to find out when the food will be shipped
customer service has always handled my concerns very well and they do what they can to correct the issues</v>
      </c>
      <c r="H3533" s="4" t="str">
        <f t="shared" si="1"/>
        <v>customer service has always been polite helpful but unfortunately i have needed use them frequently with my autoship orders i had pets getting prescription diets but they kept sending requests refill incorrect veterinarian then somehow changed pet names they also send nondescript emails if one of prescription diets are on backorder wont be shipped so we never quite know if our monthly order will come until we are almost out of food other issue they dont automatically ship when backorder diet back in stock they wait till next scheduled autoship order date unless you call find out when food will be shipped
customer service has always handled my concerns very well they do what they can correct issues</v>
      </c>
      <c r="I3533" s="6">
        <f t="shared" si="2"/>
        <v>117</v>
      </c>
      <c r="J3533" s="6">
        <f>IFERROR(__xludf.DUMMYFUNCTION("IF(H3533="""","""",
SUM(
ARRAYFORMULA(
IF(
REGEXMATCH(
"" ""&amp;H3533&amp;"" "",
"" ""&amp;Sentiment_Words!A$2:A3730&amp;"" ""
),
1,
0
)
)
)
)"),1.0)</f>
        <v>1</v>
      </c>
      <c r="K3533" s="4">
        <f>IFERROR(__xludf.DUMMYFUNCTION("IF(H3533="""","""",
SUM(
ARRAYFORMULA(
IF(
REGEXMATCH(
"" ""&amp;H3533&amp;"" "",
"" ""&amp;Sentiment_Words!B$2:B3730&amp;"" ""
),
1,
0
)
)
)
)"),3.0)</f>
        <v>3</v>
      </c>
      <c r="L3533" s="7" t="str">
        <f t="shared" si="3"/>
        <v>Customer Support</v>
      </c>
      <c r="M3533" s="7" t="str">
        <f t="shared" si="4"/>
        <v>Negative</v>
      </c>
      <c r="N3533" s="7" t="str">
        <f>IFERROR(__xludf.DUMMYFUNCTION("LOWER(
TRIM(
REGEXREPLACE(B3533,""[^a-zA-Z\s]"","""")
)
)
"),"michelle stanek")</f>
        <v>michelle stanek</v>
      </c>
      <c r="O3533" s="7">
        <f t="shared" si="5"/>
        <v>1</v>
      </c>
      <c r="P3533" s="8" t="str">
        <f t="shared" si="6"/>
        <v>No</v>
      </c>
    </row>
    <row r="3534">
      <c r="A3534" s="4" t="s">
        <v>16</v>
      </c>
      <c r="B3534" s="4" t="s">
        <v>9795</v>
      </c>
      <c r="C3534" s="9">
        <v>44502.0</v>
      </c>
      <c r="D3534" s="10">
        <v>44502.0</v>
      </c>
      <c r="E3534" s="4" t="s">
        <v>9796</v>
      </c>
      <c r="F3534" s="4" t="s">
        <v>9797</v>
      </c>
      <c r="G3534" s="6" t="str">
        <f>IFERROR(__xludf.DUMMYFUNCTION("REGEXREPLACE(LOWER(F3534),""[^a-z\s]"","""")"),"the item i ordered turned out to be unavailable i received an email a few days after ordering which informed me of that fact i dont know why you cant update your website so someone doesnt end up ordering something you dont actually have thankfully i was a"&amp;"ble to find the item on another website for less money")</f>
        <v>the item i ordered turned out to be unavailable i received an email a few days after ordering which informed me of that fact i dont know why you cant update your website so someone doesnt end up ordering something you dont actually have thankfully i was able to find the item on another website for less money</v>
      </c>
      <c r="H3534" s="4" t="str">
        <f t="shared" si="1"/>
        <v>item i ordered turned out be unavailable i received an email a few days after ordering which informed me of that fact i dont know why you cant update your website so someone doesnt end up ordering something you dont actually have thankfully i was able find item on another website less money</v>
      </c>
      <c r="I3534" s="6">
        <f t="shared" si="2"/>
        <v>53</v>
      </c>
      <c r="J3534" s="6">
        <f>IFERROR(__xludf.DUMMYFUNCTION("IF(H3534="""","""",
SUM(
ARRAYFORMULA(
IF(
REGEXMATCH(
"" ""&amp;H3534&amp;"" "",
"" ""&amp;Sentiment_Words!A$2:A3730&amp;"" ""
),
1,
0
)
)
)
)"),2.0)</f>
        <v>2</v>
      </c>
      <c r="K3534" s="4">
        <f>IFERROR(__xludf.DUMMYFUNCTION("IF(H3534="""","""",
SUM(
ARRAYFORMULA(
IF(
REGEXMATCH(
"" ""&amp;H3534&amp;"" "",
"" ""&amp;Sentiment_Words!B$2:B3730&amp;"" ""
),
1,
0
)
)
)
)"),1.0)</f>
        <v>1</v>
      </c>
      <c r="L3534" s="7" t="str">
        <f t="shared" si="3"/>
        <v>Availability</v>
      </c>
      <c r="M3534" s="7" t="str">
        <f t="shared" si="4"/>
        <v>Positive</v>
      </c>
      <c r="N3534" s="7" t="str">
        <f>IFERROR(__xludf.DUMMYFUNCTION("LOWER(
TRIM(
REGEXREPLACE(B3534,""[^a-zA-Z\s]"","""")
)
)
"),"carmelle latour")</f>
        <v>carmelle latour</v>
      </c>
      <c r="O3534" s="7">
        <f t="shared" si="5"/>
        <v>1</v>
      </c>
      <c r="P3534" s="8" t="str">
        <f t="shared" si="6"/>
        <v>No</v>
      </c>
    </row>
    <row r="3535">
      <c r="A3535" s="4" t="s">
        <v>16</v>
      </c>
      <c r="B3535" s="4" t="s">
        <v>9798</v>
      </c>
      <c r="C3535" s="9">
        <v>44502.0</v>
      </c>
      <c r="D3535" s="10">
        <v>44502.0</v>
      </c>
      <c r="E3535" s="4" t="s">
        <v>9799</v>
      </c>
      <c r="F3535" s="4" t="s">
        <v>9800</v>
      </c>
      <c r="G3535" s="6" t="str">
        <f>IFERROR(__xludf.DUMMYFUNCTION("REGEXREPLACE(LOWER(F3535),""[^a-z\s]"","""")"),"i placed an order and had to cancel i was shocked how quickly my text message was received and taken care of not entirely trusting the text system i called customer service and the lady was courteous and confirmed order was already canceled customer servi"&amp;"ce is a lost art these days but not with your company ive always received great service for years now keep up the good work")</f>
        <v>i placed an order and had to cancel i was shocked how quickly my text message was received and taken care of not entirely trusting the text system i called customer service and the lady was courteous and confirmed order was already canceled customer service is a lost art these days but not with your company ive always received great service for years now keep up the good work</v>
      </c>
      <c r="H3535" s="4" t="str">
        <f t="shared" si="1"/>
        <v>i placed an order had cancel i was shocked how quickly my text message was received taken care of not entirely trusting text system i called customer service lady was courteous confirmed order was already canceled customer service a lost art these days but not with your company ive always received great service years now keep up good work</v>
      </c>
      <c r="I3535" s="6">
        <f t="shared" si="2"/>
        <v>59</v>
      </c>
      <c r="J3535" s="6">
        <f>IFERROR(__xludf.DUMMYFUNCTION("IF(H3535="""","""",
SUM(
ARRAYFORMULA(
IF(
REGEXMATCH(
"" ""&amp;H3535&amp;"" "",
"" ""&amp;Sentiment_Words!A$2:A3730&amp;"" ""
),
1,
0
)
)
)
)"),3.0)</f>
        <v>3</v>
      </c>
      <c r="K3535" s="4">
        <f>IFERROR(__xludf.DUMMYFUNCTION("IF(H3535="""","""",
SUM(
ARRAYFORMULA(
IF(
REGEXMATCH(
"" ""&amp;H3535&amp;"" "",
"" ""&amp;Sentiment_Words!B$2:B3730&amp;"" ""
),
1,
0
)
)
)
)"),1.0)</f>
        <v>1</v>
      </c>
      <c r="L3535" s="7" t="str">
        <f t="shared" si="3"/>
        <v>Customer Support</v>
      </c>
      <c r="M3535" s="7" t="str">
        <f t="shared" si="4"/>
        <v>Positive</v>
      </c>
      <c r="N3535" s="7" t="str">
        <f>IFERROR(__xludf.DUMMYFUNCTION("LOWER(
TRIM(
REGEXREPLACE(B3535,""[^a-zA-Z\s]"","""")
)
)
"),"thao b")</f>
        <v>thao b</v>
      </c>
      <c r="O3535" s="7">
        <f t="shared" si="5"/>
        <v>1</v>
      </c>
      <c r="P3535" s="8" t="str">
        <f t="shared" si="6"/>
        <v>No</v>
      </c>
    </row>
    <row r="3536">
      <c r="A3536" s="4" t="s">
        <v>16</v>
      </c>
      <c r="B3536" s="4" t="s">
        <v>9801</v>
      </c>
      <c r="C3536" s="9">
        <v>44502.0</v>
      </c>
      <c r="D3536" s="10">
        <v>44502.0</v>
      </c>
      <c r="E3536" s="4" t="s">
        <v>9802</v>
      </c>
      <c r="F3536" s="4" t="s">
        <v>9803</v>
      </c>
      <c r="G3536" s="6" t="str">
        <f>IFERROR(__xludf.DUMMYFUNCTION("REGEXREPLACE(LOWER(F3536),""[^a-z\s]"","""")"),"petflow is wonderful the lady i spoke with taking my order was terrific my pet food all arrived quickly and in good condition delivered right to my front door  thank you petflow ")</f>
        <v>petflow is wonderful the lady i spoke with taking my order was terrific my pet food all arrived quickly and in good condition delivered right to my front door  thank you petflow </v>
      </c>
      <c r="H3536" s="4" t="str">
        <f t="shared" si="1"/>
        <v>petflow wonderful lady i spoke with taking my order was terrific my pet food all arrived quickly in good condition delivered right my front door thank you petflow</v>
      </c>
      <c r="I3536" s="6">
        <f t="shared" si="2"/>
        <v>28</v>
      </c>
      <c r="J3536" s="6">
        <f>IFERROR(__xludf.DUMMYFUNCTION("IF(H3536="""","""",
SUM(
ARRAYFORMULA(
IF(
REGEXMATCH(
"" ""&amp;H3536&amp;"" "",
"" ""&amp;Sentiment_Words!A$2:A3730&amp;"" ""
),
1,
0
)
)
)
)"),3.0)</f>
        <v>3</v>
      </c>
      <c r="K3536" s="4">
        <f>IFERROR(__xludf.DUMMYFUNCTION("IF(H3536="""","""",
SUM(
ARRAYFORMULA(
IF(
REGEXMATCH(
"" ""&amp;H3536&amp;"" "",
"" ""&amp;Sentiment_Words!B$2:B3730&amp;"" ""
),
1,
0
)
)
)
)"),0.0)</f>
        <v>0</v>
      </c>
      <c r="L3536" s="7" t="str">
        <f t="shared" si="3"/>
        <v>Other</v>
      </c>
      <c r="M3536" s="7" t="str">
        <f t="shared" si="4"/>
        <v>Positive</v>
      </c>
      <c r="N3536" s="7" t="str">
        <f>IFERROR(__xludf.DUMMYFUNCTION("LOWER(
TRIM(
REGEXREPLACE(B3536,""[^a-zA-Z\s]"","""")
)
)
"),"cat lady")</f>
        <v>cat lady</v>
      </c>
      <c r="O3536" s="7">
        <f t="shared" si="5"/>
        <v>1</v>
      </c>
      <c r="P3536" s="8" t="str">
        <f t="shared" si="6"/>
        <v>No</v>
      </c>
    </row>
    <row r="3537">
      <c r="A3537" s="4" t="s">
        <v>16</v>
      </c>
      <c r="B3537" s="4" t="s">
        <v>2459</v>
      </c>
      <c r="C3537" s="9">
        <v>44502.0</v>
      </c>
      <c r="D3537" s="10">
        <v>44502.0</v>
      </c>
      <c r="E3537" s="4" t="s">
        <v>9804</v>
      </c>
      <c r="F3537" s="4" t="s">
        <v>9805</v>
      </c>
      <c r="G3537" s="6" t="str">
        <f>IFERROR(__xludf.DUMMYFUNCTION("REGEXREPLACE(LOWER(F3537),""[^a-z\s]"","""")"),"i wish i had known about you sooner i order my pups dog food  it arrives the next day thank you for such great service")</f>
        <v>i wish i had known about you sooner i order my pups dog food  it arrives the next day thank you for such great service</v>
      </c>
      <c r="H3537" s="4" t="str">
        <f t="shared" si="1"/>
        <v>i wish i had known about you sooner i order my pups dog food it arrives next day thank you such great service</v>
      </c>
      <c r="I3537" s="6">
        <f t="shared" si="2"/>
        <v>23</v>
      </c>
      <c r="J3537" s="6">
        <f>IFERROR(__xludf.DUMMYFUNCTION("IF(H3537="""","""",
SUM(
ARRAYFORMULA(
IF(
REGEXMATCH(
"" ""&amp;H3537&amp;"" "",
"" ""&amp;Sentiment_Words!A$2:A3730&amp;"" ""
),
1,
0
)
)
)
)"),1.0)</f>
        <v>1</v>
      </c>
      <c r="K3537" s="4">
        <f>IFERROR(__xludf.DUMMYFUNCTION("IF(H3537="""","""",
SUM(
ARRAYFORMULA(
IF(
REGEXMATCH(
"" ""&amp;H3537&amp;"" "",
"" ""&amp;Sentiment_Words!B$2:B3730&amp;"" ""
),
1,
0
)
)
)
)"),0.0)</f>
        <v>0</v>
      </c>
      <c r="L3537" s="7" t="str">
        <f t="shared" si="3"/>
        <v>Customer Support</v>
      </c>
      <c r="M3537" s="7" t="str">
        <f t="shared" si="4"/>
        <v>Positive</v>
      </c>
      <c r="N3537" s="7" t="str">
        <f>IFERROR(__xludf.DUMMYFUNCTION("LOWER(
TRIM(
REGEXREPLACE(B3537,""[^a-zA-Z\s]"","""")
)
)
"),"donna")</f>
        <v>donna</v>
      </c>
      <c r="O3537" s="7">
        <f t="shared" si="5"/>
        <v>5</v>
      </c>
      <c r="P3537" s="8" t="str">
        <f t="shared" si="6"/>
        <v>Yes</v>
      </c>
    </row>
    <row r="3538">
      <c r="A3538" s="4" t="s">
        <v>16</v>
      </c>
      <c r="B3538" s="4" t="s">
        <v>9806</v>
      </c>
      <c r="C3538" s="9">
        <v>44502.0</v>
      </c>
      <c r="D3538" s="10">
        <v>44502.0</v>
      </c>
      <c r="E3538" s="4" t="s">
        <v>9807</v>
      </c>
      <c r="F3538" s="4" t="s">
        <v>9808</v>
      </c>
      <c r="G3538" s="6" t="str">
        <f>IFERROR(__xludf.DUMMYFUNCTION("REGEXREPLACE(LOWER(F3538),""[^a-z\s]"","""")"),"products are great good selection could have been better communication on the order status and shipping times compared to other companier i order from taking  or  days to prepare an order to ship is too slow especially with little to no communication from"&amp;" you as to when the order will be or has been shipped dont know the size of you company but speed is very important in todays market")</f>
        <v>products are great good selection could have been better communication on the order status and shipping times compared to other companier i order from taking  or  days to prepare an order to ship is too slow especially with little to no communication from you as to when the order will be or has been shipped dont know the size of you company but speed is very important in todays market</v>
      </c>
      <c r="H3538" s="4" t="str">
        <f t="shared" si="1"/>
        <v>products are great good selection could have been better communication on order status shipping times compared other companier i order from taking or days prepare an order ship too slow especially with little no communication from you as when order will be or has been shipped dont know size of you company but speed very important in todays market</v>
      </c>
      <c r="I3538" s="6">
        <f t="shared" si="2"/>
        <v>59</v>
      </c>
      <c r="J3538" s="6">
        <f>IFERROR(__xludf.DUMMYFUNCTION("IF(H3538="""","""",
SUM(
ARRAYFORMULA(
IF(
REGEXMATCH(
"" ""&amp;H3538&amp;"" "",
"" ""&amp;Sentiment_Words!A$2:A3730&amp;"" ""
),
1,
0
)
)
)
)"),2.0)</f>
        <v>2</v>
      </c>
      <c r="K3538" s="4">
        <f>IFERROR(__xludf.DUMMYFUNCTION("IF(H3538="""","""",
SUM(
ARRAYFORMULA(
IF(
REGEXMATCH(
"" ""&amp;H3538&amp;"" "",
"" ""&amp;Sentiment_Words!B$2:B3730&amp;"" ""
),
1,
0
)
)
)
)"),0.0)</f>
        <v>0</v>
      </c>
      <c r="L3538" s="7" t="str">
        <f t="shared" si="3"/>
        <v>Other</v>
      </c>
      <c r="M3538" s="7" t="str">
        <f t="shared" si="4"/>
        <v>Positive</v>
      </c>
      <c r="N3538" s="7" t="str">
        <f>IFERROR(__xludf.DUMMYFUNCTION("LOWER(
TRIM(
REGEXREPLACE(B3538,""[^a-zA-Z\s]"","""")
)
)
"),"ken pearson")</f>
        <v>ken pearson</v>
      </c>
      <c r="O3538" s="7">
        <f t="shared" si="5"/>
        <v>1</v>
      </c>
      <c r="P3538" s="8" t="str">
        <f t="shared" si="6"/>
        <v>No</v>
      </c>
    </row>
    <row r="3539">
      <c r="A3539" s="4" t="s">
        <v>16</v>
      </c>
      <c r="B3539" s="4" t="s">
        <v>9809</v>
      </c>
      <c r="C3539" s="9">
        <v>44502.0</v>
      </c>
      <c r="D3539" s="10">
        <v>44502.0</v>
      </c>
      <c r="E3539" s="4" t="s">
        <v>9088</v>
      </c>
      <c r="F3539" s="4" t="s">
        <v>9810</v>
      </c>
      <c r="G3539" s="6" t="str">
        <f>IFERROR(__xludf.DUMMYFUNCTION("REGEXREPLACE(LOWER(F3539),""[^a-z\s]"","""")"),"i was pleasantly surprised that petflow had products that chewy had out of stock and they shipped it free and fast good work petflow i will definitely buy from you again")</f>
        <v>i was pleasantly surprised that petflow had products that chewy had out of stock and they shipped it free and fast good work petflow i will definitely buy from you again</v>
      </c>
      <c r="H3539" s="4" t="str">
        <f t="shared" si="1"/>
        <v>i was pleasantly surprised that petflow had products that chewy had out of stock they shipped it free fast good work petflow i will definitely buy from you again</v>
      </c>
      <c r="I3539" s="6">
        <f t="shared" si="2"/>
        <v>29</v>
      </c>
      <c r="J3539" s="6">
        <f>IFERROR(__xludf.DUMMYFUNCTION("IF(H3539="""","""",
SUM(
ARRAYFORMULA(
IF(
REGEXMATCH(
"" ""&amp;H3539&amp;"" "",
"" ""&amp;Sentiment_Words!A$2:A3730&amp;"" ""
),
1,
0
)
)
)
)"),2.0)</f>
        <v>2</v>
      </c>
      <c r="K3539" s="4">
        <f>IFERROR(__xludf.DUMMYFUNCTION("IF(H3539="""","""",
SUM(
ARRAYFORMULA(
IF(
REGEXMATCH(
"" ""&amp;H3539&amp;"" "",
"" ""&amp;Sentiment_Words!B$2:B3730&amp;"" ""
),
1,
0
)
)
)
)"),1.0)</f>
        <v>1</v>
      </c>
      <c r="L3539" s="7" t="str">
        <f t="shared" si="3"/>
        <v>Availability</v>
      </c>
      <c r="M3539" s="7" t="str">
        <f t="shared" si="4"/>
        <v>Positive</v>
      </c>
      <c r="N3539" s="7" t="str">
        <f>IFERROR(__xludf.DUMMYFUNCTION("LOWER(
TRIM(
REGEXREPLACE(B3539,""[^a-zA-Z\s]"","""")
)
)
"),"cheryl jasper")</f>
        <v>cheryl jasper</v>
      </c>
      <c r="O3539" s="7">
        <f t="shared" si="5"/>
        <v>1</v>
      </c>
      <c r="P3539" s="8" t="str">
        <f t="shared" si="6"/>
        <v>No</v>
      </c>
    </row>
    <row r="3540">
      <c r="A3540" s="4" t="s">
        <v>16</v>
      </c>
      <c r="B3540" s="4" t="s">
        <v>9811</v>
      </c>
      <c r="C3540" s="9">
        <v>44502.0</v>
      </c>
      <c r="D3540" s="10">
        <v>44502.0</v>
      </c>
      <c r="E3540" s="4" t="s">
        <v>9812</v>
      </c>
      <c r="F3540" s="4" t="s">
        <v>9813</v>
      </c>
      <c r="G3540" s="6" t="str">
        <f>IFERROR(__xludf.DUMMYFUNCTION("REGEXREPLACE(LOWER(F3540),""[^a-z\s]"","""")"),"always great service and excellent selection")</f>
        <v>always great service and excellent selection</v>
      </c>
      <c r="H3540" s="4" t="str">
        <f t="shared" si="1"/>
        <v>always great service excellent selection</v>
      </c>
      <c r="I3540" s="6">
        <f t="shared" si="2"/>
        <v>5</v>
      </c>
      <c r="J3540" s="6">
        <f>IFERROR(__xludf.DUMMYFUNCTION("IF(H3540="""","""",
SUM(
ARRAYFORMULA(
IF(
REGEXMATCH(
"" ""&amp;H3540&amp;"" "",
"" ""&amp;Sentiment_Words!A$2:A3730&amp;"" ""
),
1,
0
)
)
)
)"),1.0)</f>
        <v>1</v>
      </c>
      <c r="K3540" s="4">
        <f>IFERROR(__xludf.DUMMYFUNCTION("IF(H3540="""","""",
SUM(
ARRAYFORMULA(
IF(
REGEXMATCH(
"" ""&amp;H3540&amp;"" "",
"" ""&amp;Sentiment_Words!B$2:B3730&amp;"" ""
),
1,
0
)
)
)
)"),0.0)</f>
        <v>0</v>
      </c>
      <c r="L3540" s="7" t="str">
        <f t="shared" si="3"/>
        <v>Customer Support</v>
      </c>
      <c r="M3540" s="7" t="str">
        <f t="shared" si="4"/>
        <v>Positive</v>
      </c>
      <c r="N3540" s="7" t="str">
        <f>IFERROR(__xludf.DUMMYFUNCTION("LOWER(
TRIM(
REGEXREPLACE(B3540,""[^a-zA-Z\s]"","""")
)
)
"),"wil")</f>
        <v>wil</v>
      </c>
      <c r="O3540" s="7">
        <f t="shared" si="5"/>
        <v>1</v>
      </c>
      <c r="P3540" s="8" t="str">
        <f t="shared" si="6"/>
        <v>No</v>
      </c>
    </row>
    <row r="3541">
      <c r="A3541" s="4" t="s">
        <v>16</v>
      </c>
      <c r="B3541" s="4" t="s">
        <v>9814</v>
      </c>
      <c r="C3541" s="9">
        <v>44501.0</v>
      </c>
      <c r="D3541" s="10">
        <v>44502.0</v>
      </c>
      <c r="E3541" s="4" t="s">
        <v>9815</v>
      </c>
      <c r="F3541" s="4" t="s">
        <v>9816</v>
      </c>
      <c r="G3541" s="6" t="str">
        <f>IFERROR(__xludf.DUMMYFUNCTION("REGEXREPLACE(LOWER(F3541),""[^a-z\s]"","""")"),"have been waiting for almost  weeks for the dog food i ordered they said it got lost")</f>
        <v>have been waiting for almost  weeks for the dog food i ordered they said it got lost</v>
      </c>
      <c r="H3541" s="4" t="str">
        <f t="shared" si="1"/>
        <v>have been waiting almost weeks dog food i ordered they said it got lost</v>
      </c>
      <c r="I3541" s="6">
        <f t="shared" si="2"/>
        <v>14</v>
      </c>
      <c r="J3541" s="6">
        <f>IFERROR(__xludf.DUMMYFUNCTION("IF(H3541="""","""",
SUM(
ARRAYFORMULA(
IF(
REGEXMATCH(
"" ""&amp;H3541&amp;"" "",
"" ""&amp;Sentiment_Words!A$2:A3730&amp;"" ""
),
1,
0
)
)
)
)"),0.0)</f>
        <v>0</v>
      </c>
      <c r="K3541" s="4">
        <f>IFERROR(__xludf.DUMMYFUNCTION("IF(H3541="""","""",
SUM(
ARRAYFORMULA(
IF(
REGEXMATCH(
"" ""&amp;H3541&amp;"" "",
"" ""&amp;Sentiment_Words!B$2:B3730&amp;"" ""
),
1,
0
)
)
)
)"),0.0)</f>
        <v>0</v>
      </c>
      <c r="L3541" s="7" t="str">
        <f t="shared" si="3"/>
        <v>Other</v>
      </c>
      <c r="M3541" s="7" t="str">
        <f t="shared" si="4"/>
        <v>Neutral</v>
      </c>
      <c r="N3541" s="7" t="str">
        <f>IFERROR(__xludf.DUMMYFUNCTION("LOWER(
TRIM(
REGEXREPLACE(B3541,""[^a-zA-Z\s]"","""")
)
)
"),"tom allen")</f>
        <v>tom allen</v>
      </c>
      <c r="O3541" s="7">
        <f t="shared" si="5"/>
        <v>1</v>
      </c>
      <c r="P3541" s="8" t="str">
        <f t="shared" si="6"/>
        <v>No</v>
      </c>
    </row>
    <row r="3542">
      <c r="A3542" s="4" t="s">
        <v>16</v>
      </c>
      <c r="B3542" s="4" t="s">
        <v>9817</v>
      </c>
      <c r="C3542" s="9">
        <v>44501.0</v>
      </c>
      <c r="D3542" s="10">
        <v>44501.0</v>
      </c>
      <c r="E3542" s="4" t="s">
        <v>9818</v>
      </c>
      <c r="F3542" s="4" t="s">
        <v>9819</v>
      </c>
      <c r="G3542" s="6" t="str">
        <f>IFERROR(__xludf.DUMMYFUNCTION("REGEXREPLACE(LOWER(F3542),""[^a-z\s]"","""")"),"i really like pet flow and would order from them more but it seems like they are frequently out of stock of the products i want so i am then forced to go elsewhere and shop")</f>
        <v>i really like pet flow and would order from them more but it seems like they are frequently out of stock of the products i want so i am then forced to go elsewhere and shop</v>
      </c>
      <c r="H3542" s="4" t="str">
        <f t="shared" si="1"/>
        <v>i really like pet flow would order from them more but it seems like they are frequently out of stock of products i want so i am then forced go elsewhere shop</v>
      </c>
      <c r="I3542" s="6">
        <f t="shared" si="2"/>
        <v>32</v>
      </c>
      <c r="J3542" s="6">
        <f>IFERROR(__xludf.DUMMYFUNCTION("IF(H3542="""","""",
SUM(
ARRAYFORMULA(
IF(
REGEXMATCH(
"" ""&amp;H3542&amp;"" "",
"" ""&amp;Sentiment_Words!A$2:A3730&amp;"" ""
),
1,
0
)
)
)
)"),0.0)</f>
        <v>0</v>
      </c>
      <c r="K3542" s="4">
        <f>IFERROR(__xludf.DUMMYFUNCTION("IF(H3542="""","""",
SUM(
ARRAYFORMULA(
IF(
REGEXMATCH(
"" ""&amp;H3542&amp;"" "",
"" ""&amp;Sentiment_Words!B$2:B3730&amp;"" ""
),
1,
0
)
)
)
)"),1.0)</f>
        <v>1</v>
      </c>
      <c r="L3542" s="7" t="str">
        <f t="shared" si="3"/>
        <v>Availability</v>
      </c>
      <c r="M3542" s="7" t="str">
        <f t="shared" si="4"/>
        <v>Negative</v>
      </c>
      <c r="N3542" s="7" t="str">
        <f>IFERROR(__xludf.DUMMYFUNCTION("LOWER(
TRIM(
REGEXREPLACE(B3542,""[^a-zA-Z\s]"","""")
)
)
"),"slick")</f>
        <v>slick</v>
      </c>
      <c r="O3542" s="7">
        <f t="shared" si="5"/>
        <v>1</v>
      </c>
      <c r="P3542" s="8" t="str">
        <f t="shared" si="6"/>
        <v>No</v>
      </c>
    </row>
    <row r="3543">
      <c r="A3543" s="4" t="s">
        <v>16</v>
      </c>
      <c r="B3543" s="4" t="s">
        <v>9820</v>
      </c>
      <c r="C3543" s="9">
        <v>44501.0</v>
      </c>
      <c r="D3543" s="10">
        <v>44501.0</v>
      </c>
      <c r="E3543" s="4" t="s">
        <v>9821</v>
      </c>
      <c r="F3543" s="4" t="s">
        <v>9822</v>
      </c>
      <c r="G3543" s="6" t="str">
        <f>IFERROR(__xludf.DUMMYFUNCTION("REGEXREPLACE(LOWER(F3543),""[^a-z\s]"","""")"),"great price and item was shipped out in timely fashion")</f>
        <v>great price and item was shipped out in timely fashion</v>
      </c>
      <c r="H3543" s="4" t="str">
        <f t="shared" si="1"/>
        <v>great price item was shipped out in timely fashion</v>
      </c>
      <c r="I3543" s="6">
        <f t="shared" si="2"/>
        <v>9</v>
      </c>
      <c r="J3543" s="6">
        <f>IFERROR(__xludf.DUMMYFUNCTION("IF(H3543="""","""",
SUM(
ARRAYFORMULA(
IF(
REGEXMATCH(
"" ""&amp;H3543&amp;"" "",
"" ""&amp;Sentiment_Words!A$2:A3730&amp;"" ""
),
1,
0
)
)
)
)"),1.0)</f>
        <v>1</v>
      </c>
      <c r="K3543" s="4">
        <f>IFERROR(__xludf.DUMMYFUNCTION("IF(H3543="""","""",
SUM(
ARRAYFORMULA(
IF(
REGEXMATCH(
"" ""&amp;H3543&amp;"" "",
"" ""&amp;Sentiment_Words!B$2:B3730&amp;"" ""
),
1,
0
)
)
)
)"),0.0)</f>
        <v>0</v>
      </c>
      <c r="L3543" s="7" t="str">
        <f t="shared" si="3"/>
        <v>Other</v>
      </c>
      <c r="M3543" s="7" t="str">
        <f t="shared" si="4"/>
        <v>Positive</v>
      </c>
      <c r="N3543" s="7" t="str">
        <f>IFERROR(__xludf.DUMMYFUNCTION("LOWER(
TRIM(
REGEXREPLACE(B3543,""[^a-zA-Z\s]"","""")
)
)
"),"cheryl farrell")</f>
        <v>cheryl farrell</v>
      </c>
      <c r="O3543" s="7">
        <f t="shared" si="5"/>
        <v>1</v>
      </c>
      <c r="P3543" s="8" t="str">
        <f t="shared" si="6"/>
        <v>No</v>
      </c>
    </row>
    <row r="3544">
      <c r="A3544" s="4" t="s">
        <v>16</v>
      </c>
      <c r="B3544" s="4" t="s">
        <v>9823</v>
      </c>
      <c r="C3544" s="9">
        <v>44501.0</v>
      </c>
      <c r="D3544" s="10">
        <v>44501.0</v>
      </c>
      <c r="E3544" s="4" t="s">
        <v>9824</v>
      </c>
      <c r="F3544" s="4" t="s">
        <v>9825</v>
      </c>
      <c r="G3544" s="6" t="str">
        <f>IFERROR(__xludf.DUMMYFUNCTION("REGEXREPLACE(LOWER(F3544),""[^a-z\s]"","""")"),"petflow has excellent customer service i ordered a case of canned dog food and it once again came with almost all the cans dented i called to let them know and they sent me a new case of cans without dents would have liked the original shipment to have co"&amp;"me not damaged")</f>
        <v>petflow has excellent customer service i ordered a case of canned dog food and it once again came with almost all the cans dented i called to let them know and they sent me a new case of cans without dents would have liked the original shipment to have come not damaged</v>
      </c>
      <c r="H3544" s="4" t="str">
        <f t="shared" si="1"/>
        <v>petflow has excellent customer service i ordered a case of canned dog food it once again came with almost all cans dented i called let them know they sent me a new case of cans without dents would have liked original shipment have come not damaged</v>
      </c>
      <c r="I3544" s="6">
        <f t="shared" si="2"/>
        <v>46</v>
      </c>
      <c r="J3544" s="6">
        <f>IFERROR(__xludf.DUMMYFUNCTION("IF(H3544="""","""",
SUM(
ARRAYFORMULA(
IF(
REGEXMATCH(
"" ""&amp;H3544&amp;"" "",
"" ""&amp;Sentiment_Words!A$2:A3730&amp;"" ""
),
1,
0
)
)
)
)"),0.0)</f>
        <v>0</v>
      </c>
      <c r="K3544" s="4">
        <f>IFERROR(__xludf.DUMMYFUNCTION("IF(H3544="""","""",
SUM(
ARRAYFORMULA(
IF(
REGEXMATCH(
"" ""&amp;H3544&amp;"" "",
"" ""&amp;Sentiment_Words!B$2:B3730&amp;"" ""
),
1,
0
)
)
)
)"),1.0)</f>
        <v>1</v>
      </c>
      <c r="L3544" s="7" t="str">
        <f t="shared" si="3"/>
        <v>Customer Support</v>
      </c>
      <c r="M3544" s="7" t="str">
        <f t="shared" si="4"/>
        <v>Negative</v>
      </c>
      <c r="N3544" s="7" t="str">
        <f>IFERROR(__xludf.DUMMYFUNCTION("LOWER(
TRIM(
REGEXREPLACE(B3544,""[^a-zA-Z\s]"","""")
)
)
"),"katie werner")</f>
        <v>katie werner</v>
      </c>
      <c r="O3544" s="7">
        <f t="shared" si="5"/>
        <v>1</v>
      </c>
      <c r="P3544" s="8" t="str">
        <f t="shared" si="6"/>
        <v>No</v>
      </c>
    </row>
    <row r="3545">
      <c r="A3545" s="4" t="s">
        <v>16</v>
      </c>
      <c r="B3545" s="4" t="s">
        <v>9826</v>
      </c>
      <c r="C3545" s="9">
        <v>44501.0</v>
      </c>
      <c r="D3545" s="10">
        <v>44501.0</v>
      </c>
      <c r="E3545" s="4" t="s">
        <v>9827</v>
      </c>
      <c r="F3545" s="4" t="s">
        <v>9828</v>
      </c>
      <c r="G3545" s="6" t="str">
        <f>IFERROR(__xludf.DUMMYFUNCTION("REGEXREPLACE(LOWER(F3545),""[^a-z\s]"","""")"),"when it comes to the phone reps i have always had friendly and competent service from petflow however the inadequacies of the website have me at the point of switching companies i have set up autoship for rx cat food when i log in there is just no way for"&amp;" me to add extra items to my order to take advantage of free shipping i should not have to make a phone call every time")</f>
        <v>when it comes to the phone reps i have always had friendly and competent service from petflow however the inadequacies of the website have me at the point of switching companies i have set up autoship for rx cat food when i log in there is just no way for me to add extra items to my order to take advantage of free shipping i should not have to make a phone call every time</v>
      </c>
      <c r="H3545" s="4" t="str">
        <f t="shared" si="1"/>
        <v>when it comes phone reps i have always had friendly competent service from petflow however inadequacies of website have me at point of switching companies i have set up autoship rx cat food when i log in there just no way me add extra items my order take advantage of free shipping i should not have make a phone call every time</v>
      </c>
      <c r="I3545" s="6">
        <f t="shared" si="2"/>
        <v>62</v>
      </c>
      <c r="J3545" s="6">
        <f>IFERROR(__xludf.DUMMYFUNCTION("IF(H3545="""","""",
SUM(
ARRAYFORMULA(
IF(
REGEXMATCH(
"" ""&amp;H3545&amp;"" "",
"" ""&amp;Sentiment_Words!A$2:A3730&amp;"" ""
),
1,
0
)
)
)
)"),0.0)</f>
        <v>0</v>
      </c>
      <c r="K3545" s="4">
        <f>IFERROR(__xludf.DUMMYFUNCTION("IF(H3545="""","""",
SUM(
ARRAYFORMULA(
IF(
REGEXMATCH(
"" ""&amp;H3545&amp;"" "",
"" ""&amp;Sentiment_Words!B$2:B3730&amp;"" ""
),
1,
0
)
)
)
)"),0.0)</f>
        <v>0</v>
      </c>
      <c r="L3545" s="7" t="str">
        <f t="shared" si="3"/>
        <v>Customer Support</v>
      </c>
      <c r="M3545" s="7" t="str">
        <f t="shared" si="4"/>
        <v>Neutral</v>
      </c>
      <c r="N3545" s="7" t="str">
        <f>IFERROR(__xludf.DUMMYFUNCTION("LOWER(
TRIM(
REGEXREPLACE(B3545,""[^a-zA-Z\s]"","""")
)
)
"),"tina p")</f>
        <v>tina p</v>
      </c>
      <c r="O3545" s="7">
        <f t="shared" si="5"/>
        <v>1</v>
      </c>
      <c r="P3545" s="8" t="str">
        <f t="shared" si="6"/>
        <v>No</v>
      </c>
    </row>
    <row r="3546">
      <c r="A3546" s="4" t="s">
        <v>16</v>
      </c>
      <c r="B3546" s="4" t="s">
        <v>9829</v>
      </c>
      <c r="C3546" s="9">
        <v>44501.0</v>
      </c>
      <c r="D3546" s="10">
        <v>44501.0</v>
      </c>
      <c r="E3546" s="4" t="s">
        <v>9830</v>
      </c>
      <c r="F3546" s="4" t="s">
        <v>331</v>
      </c>
      <c r="G3546" s="6" t="str">
        <f>IFERROR(__xludf.DUMMYFUNCTION("REGEXREPLACE(LOWER(F3546),""[^a-z\s]"","""")"),"none")</f>
        <v>none</v>
      </c>
      <c r="H3546" s="4" t="str">
        <f t="shared" si="1"/>
        <v>none</v>
      </c>
      <c r="I3546" s="6">
        <f t="shared" si="2"/>
        <v>1</v>
      </c>
      <c r="J3546" s="6">
        <f>IFERROR(__xludf.DUMMYFUNCTION("IF(H3546="""","""",
SUM(
ARRAYFORMULA(
IF(
REGEXMATCH(
"" ""&amp;H3546&amp;"" "",
"" ""&amp;Sentiment_Words!A$2:A3730&amp;"" ""
),
1,
0
)
)
)
)"),0.0)</f>
        <v>0</v>
      </c>
      <c r="K3546" s="4">
        <f>IFERROR(__xludf.DUMMYFUNCTION("IF(H3546="""","""",
SUM(
ARRAYFORMULA(
IF(
REGEXMATCH(
"" ""&amp;H3546&amp;"" "",
"" ""&amp;Sentiment_Words!B$2:B3730&amp;"" ""
),
1,
0
)
)
)
)"),0.0)</f>
        <v>0</v>
      </c>
      <c r="L3546" s="7" t="str">
        <f t="shared" si="3"/>
        <v>Other</v>
      </c>
      <c r="M3546" s="7" t="str">
        <f t="shared" si="4"/>
        <v>Neutral</v>
      </c>
      <c r="N3546" s="7" t="str">
        <f>IFERROR(__xludf.DUMMYFUNCTION("LOWER(
TRIM(
REGEXREPLACE(B3546,""[^a-zA-Z\s]"","""")
)
)
"),"nearmiss")</f>
        <v>nearmiss</v>
      </c>
      <c r="O3546" s="7">
        <f t="shared" si="5"/>
        <v>1</v>
      </c>
      <c r="P3546" s="8" t="str">
        <f t="shared" si="6"/>
        <v>No</v>
      </c>
    </row>
    <row r="3547">
      <c r="A3547" s="4" t="s">
        <v>16</v>
      </c>
      <c r="B3547" s="4" t="s">
        <v>9831</v>
      </c>
      <c r="C3547" s="9">
        <v>44501.0</v>
      </c>
      <c r="D3547" s="10">
        <v>44501.0</v>
      </c>
      <c r="E3547" s="4" t="s">
        <v>9832</v>
      </c>
      <c r="F3547" s="4" t="s">
        <v>9833</v>
      </c>
      <c r="G3547" s="6" t="str">
        <f>IFERROR(__xludf.DUMMYFUNCTION("REGEXREPLACE(LOWER(F3547),""[^a-z\s]"","""")"),"customer service was great but i was disappointed in the bully sticks they were the right length but very small around not what i expected")</f>
        <v>customer service was great but i was disappointed in the bully sticks they were the right length but very small around not what i expected</v>
      </c>
      <c r="H3547" s="4" t="str">
        <f t="shared" si="1"/>
        <v>customer service was great but i was disappointed in bully sticks they were right length but very small around not what i expected</v>
      </c>
      <c r="I3547" s="6">
        <f t="shared" si="2"/>
        <v>23</v>
      </c>
      <c r="J3547" s="6">
        <f>IFERROR(__xludf.DUMMYFUNCTION("IF(H3547="""","""",
SUM(
ARRAYFORMULA(
IF(
REGEXMATCH(
"" ""&amp;H3547&amp;"" "",
"" ""&amp;Sentiment_Words!A$2:A3730&amp;"" ""
),
1,
0
)
)
)
)"),1.0)</f>
        <v>1</v>
      </c>
      <c r="K3547" s="4">
        <f>IFERROR(__xludf.DUMMYFUNCTION("IF(H3547="""","""",
SUM(
ARRAYFORMULA(
IF(
REGEXMATCH(
"" ""&amp;H3547&amp;"" "",
"" ""&amp;Sentiment_Words!B$2:B3730&amp;"" ""
),
1,
0
)
)
)
)"),1.0)</f>
        <v>1</v>
      </c>
      <c r="L3547" s="7" t="str">
        <f t="shared" si="3"/>
        <v>Customer Support</v>
      </c>
      <c r="M3547" s="7" t="str">
        <f t="shared" si="4"/>
        <v>Neutral</v>
      </c>
      <c r="N3547" s="7" t="str">
        <f>IFERROR(__xludf.DUMMYFUNCTION("LOWER(
TRIM(
REGEXREPLACE(B3547,""[^a-zA-Z\s]"","""")
)
)
"),"tami")</f>
        <v>tami</v>
      </c>
      <c r="O3547" s="7">
        <f t="shared" si="5"/>
        <v>1</v>
      </c>
      <c r="P3547" s="8" t="str">
        <f t="shared" si="6"/>
        <v>No</v>
      </c>
    </row>
    <row r="3548">
      <c r="A3548" s="4" t="s">
        <v>16</v>
      </c>
      <c r="B3548" s="4" t="s">
        <v>3975</v>
      </c>
      <c r="C3548" s="9">
        <v>44501.0</v>
      </c>
      <c r="D3548" s="4" t="s">
        <v>9834</v>
      </c>
      <c r="E3548" s="4" t="s">
        <v>9835</v>
      </c>
      <c r="F3548" s="4" t="s">
        <v>9836</v>
      </c>
      <c r="G3548" s="6" t="str">
        <f>IFERROR(__xludf.DUMMYFUNCTION("REGEXREPLACE(LOWER(F3548),""[^a-z\s]"","""")"),"i liked the idea that at petflow i can get fromm dog food and treats delivered right to my door with free shipping")</f>
        <v>i liked the idea that at petflow i can get fromm dog food and treats delivered right to my door with free shipping</v>
      </c>
      <c r="H3548" s="4" t="str">
        <f t="shared" si="1"/>
        <v>i liked idea that at petflow i can get fromm dog food treats delivered right my door with free shipping</v>
      </c>
      <c r="I3548" s="6">
        <f t="shared" si="2"/>
        <v>20</v>
      </c>
      <c r="J3548" s="6">
        <f>IFERROR(__xludf.DUMMYFUNCTION("IF(H3548="""","""",
SUM(
ARRAYFORMULA(
IF(
REGEXMATCH(
"" ""&amp;H3548&amp;"" "",
"" ""&amp;Sentiment_Words!A$2:A3730&amp;"" ""
),
1,
0
)
)
)
)"),1.0)</f>
        <v>1</v>
      </c>
      <c r="K3548" s="4">
        <f>IFERROR(__xludf.DUMMYFUNCTION("IF(H3548="""","""",
SUM(
ARRAYFORMULA(
IF(
REGEXMATCH(
"" ""&amp;H3548&amp;"" "",
"" ""&amp;Sentiment_Words!B$2:B3730&amp;"" ""
),
1,
0
)
)
)
)"),0.0)</f>
        <v>0</v>
      </c>
      <c r="L3548" s="7" t="str">
        <f t="shared" si="3"/>
        <v>Other</v>
      </c>
      <c r="M3548" s="7" t="str">
        <f t="shared" si="4"/>
        <v>Positive</v>
      </c>
      <c r="N3548" s="7" t="str">
        <f>IFERROR(__xludf.DUMMYFUNCTION("LOWER(
TRIM(
REGEXREPLACE(B3548,""[^a-zA-Z\s]"","""")
)
)
"),"brenda")</f>
        <v>brenda</v>
      </c>
      <c r="O3548" s="7">
        <f t="shared" si="5"/>
        <v>7</v>
      </c>
      <c r="P3548" s="8" t="str">
        <f t="shared" si="6"/>
        <v>Yes</v>
      </c>
    </row>
    <row r="3549">
      <c r="A3549" s="4" t="s">
        <v>16</v>
      </c>
      <c r="B3549" s="4" t="s">
        <v>9837</v>
      </c>
      <c r="C3549" s="5">
        <v>44500.0</v>
      </c>
      <c r="D3549" s="10">
        <v>44501.0</v>
      </c>
      <c r="E3549" s="4" t="s">
        <v>9838</v>
      </c>
      <c r="F3549" s="4" t="s">
        <v>9839</v>
      </c>
      <c r="G3549" s="6" t="str">
        <f>IFERROR(__xludf.DUMMYFUNCTION("REGEXREPLACE(LOWER(F3549),""[^a-z\s]"","""")"),"can you wait til i receive my order so far your premature review begging is a turn off")</f>
        <v>can you wait til i receive my order so far your premature review begging is a turn off</v>
      </c>
      <c r="H3549" s="4" t="str">
        <f t="shared" si="1"/>
        <v>can you wait til i receive my order so far your premature review begging a turn off</v>
      </c>
      <c r="I3549" s="6">
        <f t="shared" si="2"/>
        <v>17</v>
      </c>
      <c r="J3549" s="6">
        <f>IFERROR(__xludf.DUMMYFUNCTION("IF(H3549="""","""",
SUM(
ARRAYFORMULA(
IF(
REGEXMATCH(
"" ""&amp;H3549&amp;"" "",
"" ""&amp;Sentiment_Words!A$2:A3730&amp;"" ""
),
1,
0
)
)
)
)"),0.0)</f>
        <v>0</v>
      </c>
      <c r="K3549" s="4">
        <f>IFERROR(__xludf.DUMMYFUNCTION("IF(H3549="""","""",
SUM(
ARRAYFORMULA(
IF(
REGEXMATCH(
"" ""&amp;H3549&amp;"" "",
"" ""&amp;Sentiment_Words!B$2:B3730&amp;"" ""
),
1,
0
)
)
)
)"),0.0)</f>
        <v>0</v>
      </c>
      <c r="L3549" s="7" t="str">
        <f t="shared" si="3"/>
        <v>Other</v>
      </c>
      <c r="M3549" s="7" t="str">
        <f t="shared" si="4"/>
        <v>Neutral</v>
      </c>
      <c r="N3549" s="7" t="str">
        <f>IFERROR(__xludf.DUMMYFUNCTION("LOWER(
TRIM(
REGEXREPLACE(B3549,""[^a-zA-Z\s]"","""")
)
)
"),"dana drake")</f>
        <v>dana drake</v>
      </c>
      <c r="O3549" s="7">
        <f t="shared" si="5"/>
        <v>1</v>
      </c>
      <c r="P3549" s="8" t="str">
        <f t="shared" si="6"/>
        <v>No</v>
      </c>
    </row>
    <row r="3550">
      <c r="A3550" s="4" t="s">
        <v>16</v>
      </c>
      <c r="B3550" s="4" t="s">
        <v>9840</v>
      </c>
      <c r="C3550" s="5">
        <v>44500.0</v>
      </c>
      <c r="D3550" s="10">
        <v>44500.0</v>
      </c>
      <c r="E3550" s="4" t="s">
        <v>9841</v>
      </c>
      <c r="F3550" s="4" t="s">
        <v>9842</v>
      </c>
      <c r="G3550" s="6" t="str">
        <f>IFERROR(__xludf.DUMMYFUNCTION("REGEXREPLACE(LOWER(F3550),""[^a-z\s]"","""")"),"great site lots of items i couldnt find elsewhere especially limited ingredient feline canned shipping was fast will buy again for sure")</f>
        <v>great site lots of items i couldnt find elsewhere especially limited ingredient feline canned shipping was fast will buy again for sure</v>
      </c>
      <c r="H3550" s="4" t="str">
        <f t="shared" si="1"/>
        <v>great site lots of items i couldnt find elsewhere especially limited ingredient feline canned shipping was fast will buy again sure</v>
      </c>
      <c r="I3550" s="6">
        <f t="shared" si="2"/>
        <v>21</v>
      </c>
      <c r="J3550" s="6">
        <f>IFERROR(__xludf.DUMMYFUNCTION("IF(H3550="""","""",
SUM(
ARRAYFORMULA(
IF(
REGEXMATCH(
"" ""&amp;H3550&amp;"" "",
"" ""&amp;Sentiment_Words!A$2:A3730&amp;"" ""
),
1,
0
)
)
)
)"),2.0)</f>
        <v>2</v>
      </c>
      <c r="K3550" s="4">
        <f>IFERROR(__xludf.DUMMYFUNCTION("IF(H3550="""","""",
SUM(
ARRAYFORMULA(
IF(
REGEXMATCH(
"" ""&amp;H3550&amp;"" "",
"" ""&amp;Sentiment_Words!B$2:B3730&amp;"" ""
),
1,
0
)
)
)
)"),0.0)</f>
        <v>0</v>
      </c>
      <c r="L3550" s="7" t="str">
        <f t="shared" si="3"/>
        <v>Other</v>
      </c>
      <c r="M3550" s="7" t="str">
        <f t="shared" si="4"/>
        <v>Positive</v>
      </c>
      <c r="N3550" s="7" t="str">
        <f>IFERROR(__xludf.DUMMYFUNCTION("LOWER(
TRIM(
REGEXREPLACE(B3550,""[^a-zA-Z\s]"","""")
)
)
"),"robin gedge")</f>
        <v>robin gedge</v>
      </c>
      <c r="O3550" s="7">
        <f t="shared" si="5"/>
        <v>1</v>
      </c>
      <c r="P3550" s="8" t="str">
        <f t="shared" si="6"/>
        <v>No</v>
      </c>
    </row>
    <row r="3551">
      <c r="A3551" s="4" t="s">
        <v>16</v>
      </c>
      <c r="B3551" s="4" t="s">
        <v>9843</v>
      </c>
      <c r="C3551" s="5">
        <v>44500.0</v>
      </c>
      <c r="D3551" s="10">
        <v>44500.0</v>
      </c>
      <c r="E3551" s="4" t="s">
        <v>9844</v>
      </c>
      <c r="F3551" s="4" t="s">
        <v>9845</v>
      </c>
      <c r="G3551" s="6" t="str">
        <f>IFERROR(__xludf.DUMMYFUNCTION("REGEXREPLACE(LOWER(F3551),""[^a-z\s]"","""")"),"i am so very pleased with petflow every shipment arrives on time prices are fair customer service is outstanding and shipments arrive properly packed have never had anything broken")</f>
        <v>i am so very pleased with petflow every shipment arrives on time prices are fair customer service is outstanding and shipments arrive properly packed have never had anything broken</v>
      </c>
      <c r="H3551" s="4" t="str">
        <f t="shared" si="1"/>
        <v>i am so very pleased with petflow every shipment arrives on time prices are fair customer service outstanding shipments arrive properly packed have never had anything broken</v>
      </c>
      <c r="I3551" s="6">
        <f t="shared" si="2"/>
        <v>27</v>
      </c>
      <c r="J3551" s="6">
        <f>IFERROR(__xludf.DUMMYFUNCTION("IF(H3551="""","""",
SUM(
ARRAYFORMULA(
IF(
REGEXMATCH(
"" ""&amp;H3551&amp;"" "",
"" ""&amp;Sentiment_Words!A$2:A3730&amp;"" ""
),
1,
0
)
)
)
)"),1.0)</f>
        <v>1</v>
      </c>
      <c r="K3551" s="4">
        <f>IFERROR(__xludf.DUMMYFUNCTION("IF(H3551="""","""",
SUM(
ARRAYFORMULA(
IF(
REGEXMATCH(
"" ""&amp;H3551&amp;"" "",
"" ""&amp;Sentiment_Words!B$2:B3730&amp;"" ""
),
1,
0
)
)
)
)"),1.0)</f>
        <v>1</v>
      </c>
      <c r="L3551" s="7" t="str">
        <f t="shared" si="3"/>
        <v>Customer Support</v>
      </c>
      <c r="M3551" s="7" t="str">
        <f t="shared" si="4"/>
        <v>Neutral</v>
      </c>
      <c r="N3551" s="7" t="str">
        <f>IFERROR(__xludf.DUMMYFUNCTION("LOWER(
TRIM(
REGEXREPLACE(B3551,""[^a-zA-Z\s]"","""")
)
)
"),"lynne levy")</f>
        <v>lynne levy</v>
      </c>
      <c r="O3551" s="7">
        <f t="shared" si="5"/>
        <v>1</v>
      </c>
      <c r="P3551" s="8" t="str">
        <f t="shared" si="6"/>
        <v>No</v>
      </c>
    </row>
    <row r="3552">
      <c r="A3552" s="4" t="s">
        <v>16</v>
      </c>
      <c r="B3552" s="4" t="s">
        <v>9846</v>
      </c>
      <c r="C3552" s="5">
        <v>44500.0</v>
      </c>
      <c r="D3552" s="10">
        <v>44500.0</v>
      </c>
      <c r="E3552" s="4" t="s">
        <v>9847</v>
      </c>
      <c r="F3552" s="4" t="s">
        <v>9848</v>
      </c>
      <c r="G3552" s="6" t="str">
        <f>IFERROR(__xludf.DUMMYFUNCTION("REGEXREPLACE(LOWER(F3552),""[^a-z\s]"","""")"),"i have  cats for whom the chickennnreast is a regular morning treat they all look forward to it every day")</f>
        <v>i have  cats for whom the chickennnreast is a regular morning treat they all look forward to it every day</v>
      </c>
      <c r="H3552" s="4" t="str">
        <f t="shared" si="1"/>
        <v>i have cats whom chickennnreast a regular morning treat they all look forward it every day</v>
      </c>
      <c r="I3552" s="6">
        <f t="shared" si="2"/>
        <v>16</v>
      </c>
      <c r="J3552" s="6">
        <f>IFERROR(__xludf.DUMMYFUNCTION("IF(H3552="""","""",
SUM(
ARRAYFORMULA(
IF(
REGEXMATCH(
"" ""&amp;H3552&amp;"" "",
"" ""&amp;Sentiment_Words!A$2:A3730&amp;"" ""
),
1,
0
)
)
)
)"),0.0)</f>
        <v>0</v>
      </c>
      <c r="K3552" s="4">
        <f>IFERROR(__xludf.DUMMYFUNCTION("IF(H3552="""","""",
SUM(
ARRAYFORMULA(
IF(
REGEXMATCH(
"" ""&amp;H3552&amp;"" "",
"" ""&amp;Sentiment_Words!B$2:B3730&amp;"" ""
),
1,
0
)
)
)
)"),0.0)</f>
        <v>0</v>
      </c>
      <c r="L3552" s="7" t="str">
        <f t="shared" si="3"/>
        <v>Other</v>
      </c>
      <c r="M3552" s="7" t="str">
        <f t="shared" si="4"/>
        <v>Neutral</v>
      </c>
      <c r="N3552" s="7" t="str">
        <f>IFERROR(__xludf.DUMMYFUNCTION("LOWER(
TRIM(
REGEXREPLACE(B3552,""[^a-zA-Z\s]"","""")
)
)
"),"thomas hooper")</f>
        <v>thomas hooper</v>
      </c>
      <c r="O3552" s="7">
        <f t="shared" si="5"/>
        <v>1</v>
      </c>
      <c r="P3552" s="8" t="str">
        <f t="shared" si="6"/>
        <v>No</v>
      </c>
    </row>
    <row r="3553">
      <c r="A3553" s="4" t="s">
        <v>16</v>
      </c>
      <c r="B3553" s="4" t="s">
        <v>9849</v>
      </c>
      <c r="C3553" s="5">
        <v>44499.0</v>
      </c>
      <c r="D3553" s="10">
        <v>44500.0</v>
      </c>
      <c r="E3553" s="4" t="s">
        <v>9850</v>
      </c>
      <c r="F3553" s="4" t="s">
        <v>9851</v>
      </c>
      <c r="G3553" s="6" t="str">
        <f>IFERROR(__xludf.DUMMYFUNCTION("REGEXREPLACE(LOWER(F3553),""[^a-z\s]"","""")"),"delivery of my product arrived timely but i needed to cancel my autoship when you select to cancel there is no option to cancel only pause i had to wait until the next day to call and and speak with someone to cancel and when asked why i had to share with"&amp;" a complete stranger that my furbaby is no longer here and has crossed over to the rainbow bridge you need to fix this")</f>
        <v>delivery of my product arrived timely but i needed to cancel my autoship when you select to cancel there is no option to cancel only pause i had to wait until the next day to call and and speak with someone to cancel and when asked why i had to share with a complete stranger that my furbaby is no longer here and has crossed over to the rainbow bridge you need to fix this</v>
      </c>
      <c r="H3553" s="4" t="str">
        <f t="shared" si="1"/>
        <v>delivery of my product arrived timely but i needed cancel my autoship when you select cancel there no option cancel only pause i had wait until next day call and speak with someone cancel when asked why i had share with a complete stranger that my furbaby no longer here has crossed over rainbow bridge you need fix this</v>
      </c>
      <c r="I3553" s="6">
        <f t="shared" si="2"/>
        <v>59</v>
      </c>
      <c r="J3553" s="6">
        <f>IFERROR(__xludf.DUMMYFUNCTION("IF(H3553="""","""",
SUM(
ARRAYFORMULA(
IF(
REGEXMATCH(
"" ""&amp;H3553&amp;"" "",
"" ""&amp;Sentiment_Words!A$2:A3730&amp;"" ""
),
1,
0
)
)
)
)"),0.0)</f>
        <v>0</v>
      </c>
      <c r="K3553" s="4">
        <f>IFERROR(__xludf.DUMMYFUNCTION("IF(H3553="""","""",
SUM(
ARRAYFORMULA(
IF(
REGEXMATCH(
"" ""&amp;H3553&amp;"" "",
"" ""&amp;Sentiment_Words!B$2:B3730&amp;"" ""
),
1,
0
)
)
)
)"),0.0)</f>
        <v>0</v>
      </c>
      <c r="L3553" s="7" t="str">
        <f t="shared" si="3"/>
        <v>Other</v>
      </c>
      <c r="M3553" s="7" t="str">
        <f t="shared" si="4"/>
        <v>Neutral</v>
      </c>
      <c r="N3553" s="7" t="str">
        <f>IFERROR(__xludf.DUMMYFUNCTION("LOWER(
TRIM(
REGEXREPLACE(B3553,""[^a-zA-Z\s]"","""")
)
)
"),"cheryl")</f>
        <v>cheryl</v>
      </c>
      <c r="O3553" s="7">
        <f t="shared" si="5"/>
        <v>5</v>
      </c>
      <c r="P3553" s="8" t="str">
        <f t="shared" si="6"/>
        <v>Yes</v>
      </c>
    </row>
    <row r="3554">
      <c r="A3554" s="4" t="s">
        <v>16</v>
      </c>
      <c r="B3554" s="4" t="s">
        <v>9852</v>
      </c>
      <c r="C3554" s="5">
        <v>44499.0</v>
      </c>
      <c r="D3554" s="10">
        <v>44499.0</v>
      </c>
      <c r="E3554" s="4" t="s">
        <v>9853</v>
      </c>
      <c r="F3554" s="4" t="s">
        <v>9854</v>
      </c>
      <c r="G3554" s="6" t="str">
        <f>IFERROR(__xludf.DUMMYFUNCTION("REGEXREPLACE(LOWER(F3554),""[^a-z\s]"","""")"),"my experience with petflow was excellent their pricing and availability of products is very good the kept me informed of my order status from start to finish they were the only company that had what i needed and i received my order promptly i will continu"&amp;"e buying the prescription food for my cats from them and will likely order much more from petflow")</f>
        <v>my experience with petflow was excellent their pricing and availability of products is very good the kept me informed of my order status from start to finish they were the only company that had what i needed and i received my order promptly i will continue buying the prescription food for my cats from them and will likely order much more from petflow</v>
      </c>
      <c r="H3554" s="4" t="str">
        <f t="shared" si="1"/>
        <v>my experience with petflow was excellent their pricing availability of products very good kept me informed of my order status from start finish they were only company that had what i needed i received my order promptly i will continue buying prescription food my cats from them will likely order much more from petflow</v>
      </c>
      <c r="I3554" s="6">
        <f t="shared" si="2"/>
        <v>54</v>
      </c>
      <c r="J3554" s="6">
        <f>IFERROR(__xludf.DUMMYFUNCTION("IF(H3554="""","""",
SUM(
ARRAYFORMULA(
IF(
REGEXMATCH(
"" ""&amp;H3554&amp;"" "",
"" ""&amp;Sentiment_Words!A$2:A3730&amp;"" ""
),
1,
0
)
)
)
)"),1.0)</f>
        <v>1</v>
      </c>
      <c r="K3554" s="4">
        <f>IFERROR(__xludf.DUMMYFUNCTION("IF(H3554="""","""",
SUM(
ARRAYFORMULA(
IF(
REGEXMATCH(
"" ""&amp;H3554&amp;"" "",
"" ""&amp;Sentiment_Words!B$2:B3730&amp;"" ""
),
1,
0
)
)
)
)"),0.0)</f>
        <v>0</v>
      </c>
      <c r="L3554" s="7" t="str">
        <f t="shared" si="3"/>
        <v>Other</v>
      </c>
      <c r="M3554" s="7" t="str">
        <f t="shared" si="4"/>
        <v>Positive</v>
      </c>
      <c r="N3554" s="7" t="str">
        <f>IFERROR(__xludf.DUMMYFUNCTION("LOWER(
TRIM(
REGEXREPLACE(B3554,""[^a-zA-Z\s]"","""")
)
)
"),"irene simmons")</f>
        <v>irene simmons</v>
      </c>
      <c r="O3554" s="7">
        <f t="shared" si="5"/>
        <v>1</v>
      </c>
      <c r="P3554" s="8" t="str">
        <f t="shared" si="6"/>
        <v>No</v>
      </c>
    </row>
    <row r="3555">
      <c r="A3555" s="4" t="s">
        <v>16</v>
      </c>
      <c r="B3555" s="4" t="s">
        <v>7802</v>
      </c>
      <c r="C3555" s="5">
        <v>44499.0</v>
      </c>
      <c r="D3555" s="10">
        <v>44499.0</v>
      </c>
      <c r="E3555" s="4" t="s">
        <v>3533</v>
      </c>
      <c r="F3555" s="4" t="s">
        <v>9855</v>
      </c>
      <c r="G3555" s="6" t="str">
        <f>IFERROR(__xludf.DUMMYFUNCTION("REGEXREPLACE(LOWER(F3555),""[^a-z\s]"","""")"),"bad experience took forever to acknowledge receipt of pet rx all the while losing time to secure the limited supply of product i ordered by the time they confirmed receipt of the script and acknowledged the order the supply dwindled and i lost the product"&amp;" mind you that took days and days and yet my debit card was charged when i placed the order a week before and it was another bunch of days before the charge was reversed")</f>
        <v>bad experience took forever to acknowledge receipt of pet rx all the while losing time to secure the limited supply of product i ordered by the time they confirmed receipt of the script and acknowledged the order the supply dwindled and i lost the product mind you that took days and days and yet my debit card was charged when i placed the order a week before and it was another bunch of days before the charge was reversed</v>
      </c>
      <c r="H3555" s="4" t="str">
        <f t="shared" si="1"/>
        <v>bad experience took forever acknowledge receipt of pet rx all while losing time secure limited supply of product i ordered by time they confirmed receipt of script acknowledged order supply dwindled i lost product mind you that took days days yet my debit card was charged when i placed order a week before it was another bunch of days before charge was reversed</v>
      </c>
      <c r="I3555" s="6">
        <f t="shared" si="2"/>
        <v>63</v>
      </c>
      <c r="J3555" s="6">
        <f>IFERROR(__xludf.DUMMYFUNCTION("IF(H3555="""","""",
SUM(
ARRAYFORMULA(
IF(
REGEXMATCH(
"" ""&amp;H3555&amp;"" "",
"" ""&amp;Sentiment_Words!A$2:A3730&amp;"" ""
),
1,
0
)
)
)
)"),0.0)</f>
        <v>0</v>
      </c>
      <c r="K3555" s="4">
        <f>IFERROR(__xludf.DUMMYFUNCTION("IF(H3555="""","""",
SUM(
ARRAYFORMULA(
IF(
REGEXMATCH(
"" ""&amp;H3555&amp;"" "",
"" ""&amp;Sentiment_Words!B$2:B3730&amp;"" ""
),
1,
0
)
)
)
)"),0.0)</f>
        <v>0</v>
      </c>
      <c r="L3555" s="7" t="str">
        <f t="shared" si="3"/>
        <v>Other</v>
      </c>
      <c r="M3555" s="7" t="str">
        <f t="shared" si="4"/>
        <v>Neutral</v>
      </c>
      <c r="N3555" s="7" t="str">
        <f>IFERROR(__xludf.DUMMYFUNCTION("LOWER(
TRIM(
REGEXREPLACE(B3555,""[^a-zA-Z\s]"","""")
)
)
"),"jb")</f>
        <v>jb</v>
      </c>
      <c r="O3555" s="7">
        <f t="shared" si="5"/>
        <v>3</v>
      </c>
      <c r="P3555" s="8" t="str">
        <f t="shared" si="6"/>
        <v>Yes</v>
      </c>
    </row>
    <row r="3556">
      <c r="A3556" s="4" t="s">
        <v>16</v>
      </c>
      <c r="B3556" s="4" t="s">
        <v>7833</v>
      </c>
      <c r="C3556" s="5">
        <v>44499.0</v>
      </c>
      <c r="D3556" s="10">
        <v>44499.0</v>
      </c>
      <c r="E3556" s="4" t="s">
        <v>9856</v>
      </c>
      <c r="F3556" s="4" t="s">
        <v>9857</v>
      </c>
      <c r="G3556" s="6" t="str">
        <f>IFERROR(__xludf.DUMMYFUNCTION("REGEXREPLACE(LOWER(F3556),""[^a-z\s]"","""")"),"always fast shipping and great products ")</f>
        <v>always fast shipping and great products </v>
      </c>
      <c r="H3556" s="4" t="str">
        <f t="shared" si="1"/>
        <v>always fast shipping great products</v>
      </c>
      <c r="I3556" s="6">
        <f t="shared" si="2"/>
        <v>5</v>
      </c>
      <c r="J3556" s="6">
        <f>IFERROR(__xludf.DUMMYFUNCTION("IF(H3556="""","""",
SUM(
ARRAYFORMULA(
IF(
REGEXMATCH(
"" ""&amp;H3556&amp;"" "",
"" ""&amp;Sentiment_Words!A$2:A3730&amp;"" ""
),
1,
0
)
)
)
)"),2.0)</f>
        <v>2</v>
      </c>
      <c r="K3556" s="4">
        <f>IFERROR(__xludf.DUMMYFUNCTION("IF(H3556="""","""",
SUM(
ARRAYFORMULA(
IF(
REGEXMATCH(
"" ""&amp;H3556&amp;"" "",
"" ""&amp;Sentiment_Words!B$2:B3730&amp;"" ""
),
1,
0
)
)
)
)"),0.0)</f>
        <v>0</v>
      </c>
      <c r="L3556" s="7" t="str">
        <f t="shared" si="3"/>
        <v>Other</v>
      </c>
      <c r="M3556" s="7" t="str">
        <f t="shared" si="4"/>
        <v>Positive</v>
      </c>
      <c r="N3556" s="7" t="str">
        <f>IFERROR(__xludf.DUMMYFUNCTION("LOWER(
TRIM(
REGEXREPLACE(B3556,""[^a-zA-Z\s]"","""")
)
)
"),"vicki")</f>
        <v>vicki</v>
      </c>
      <c r="O3556" s="7">
        <f t="shared" si="5"/>
        <v>5</v>
      </c>
      <c r="P3556" s="8" t="str">
        <f t="shared" si="6"/>
        <v>Yes</v>
      </c>
    </row>
    <row r="3557">
      <c r="A3557" s="4" t="s">
        <v>16</v>
      </c>
      <c r="B3557" s="4" t="s">
        <v>9858</v>
      </c>
      <c r="C3557" s="5">
        <v>44498.0</v>
      </c>
      <c r="D3557" s="10">
        <v>44498.0</v>
      </c>
      <c r="E3557" s="4" t="s">
        <v>9859</v>
      </c>
      <c r="F3557" s="4" t="s">
        <v>9860</v>
      </c>
      <c r="G3557" s="6" t="str">
        <f>IFERROR(__xludf.DUMMYFUNCTION("REGEXREPLACE(LOWER(F3557),""[^a-z\s]"","""")"),"products are fine website is fine but i have a problem with auto ship set up it is impossible to cancel auto ship program i can delay and change the date of shipment but cannot cancel without calling the office and because of this have received duplicate "&amp;"shipments")</f>
        <v>products are fine website is fine but i have a problem with auto ship set up it is impossible to cancel auto ship program i can delay and change the date of shipment but cannot cancel without calling the office and because of this have received duplicate shipments</v>
      </c>
      <c r="H3557" s="4" t="str">
        <f t="shared" si="1"/>
        <v>products are fine website fine but i have a problem with auto ship set up it impossible cancel auto ship program i can delay change date of shipment but cannot cancel without calling office because of this have received duplicate shipments</v>
      </c>
      <c r="I3557" s="6">
        <f t="shared" si="2"/>
        <v>41</v>
      </c>
      <c r="J3557" s="6">
        <f>IFERROR(__xludf.DUMMYFUNCTION("IF(H3557="""","""",
SUM(
ARRAYFORMULA(
IF(
REGEXMATCH(
"" ""&amp;H3557&amp;"" "",
"" ""&amp;Sentiment_Words!A$2:A3730&amp;"" ""
),
1,
0
)
)
)
)"),1.0)</f>
        <v>1</v>
      </c>
      <c r="K3557" s="4">
        <f>IFERROR(__xludf.DUMMYFUNCTION("IF(H3557="""","""",
SUM(
ARRAYFORMULA(
IF(
REGEXMATCH(
"" ""&amp;H3557&amp;"" "",
"" ""&amp;Sentiment_Words!B$2:B3730&amp;"" ""
),
1,
0
)
)
)
)"),2.0)</f>
        <v>2</v>
      </c>
      <c r="L3557" s="7" t="str">
        <f t="shared" si="3"/>
        <v>Fulfillment &amp; Shipping</v>
      </c>
      <c r="M3557" s="7" t="str">
        <f t="shared" si="4"/>
        <v>Negative</v>
      </c>
      <c r="N3557" s="7" t="str">
        <f>IFERROR(__xludf.DUMMYFUNCTION("LOWER(
TRIM(
REGEXREPLACE(B3557,""[^a-zA-Z\s]"","""")
)
)
"),"barbara mcneil")</f>
        <v>barbara mcneil</v>
      </c>
      <c r="O3557" s="7">
        <f t="shared" si="5"/>
        <v>1</v>
      </c>
      <c r="P3557" s="8" t="str">
        <f t="shared" si="6"/>
        <v>No</v>
      </c>
    </row>
    <row r="3558">
      <c r="A3558" s="4" t="s">
        <v>16</v>
      </c>
      <c r="B3558" s="4" t="s">
        <v>9861</v>
      </c>
      <c r="C3558" s="5">
        <v>44498.0</v>
      </c>
      <c r="D3558" s="10">
        <v>44498.0</v>
      </c>
      <c r="E3558" s="4" t="s">
        <v>9862</v>
      </c>
      <c r="F3558" s="4" t="s">
        <v>9863</v>
      </c>
      <c r="G3558" s="6" t="str">
        <f>IFERROR(__xludf.DUMMYFUNCTION("REGEXREPLACE(LOWER(F3558),""[^a-z\s]"","""")"),"my puppy and cat love it
i love how big the bowl and reserve tank are and how quite the motor is as well as the way the water circulates in the bowl no splashing i had the large original drinkwell pet fountain and so far i prefer this one a lot over the d"&amp;"rinkwell")</f>
        <v>my puppy and cat love it
i love how big the bowl and reserve tank are and how quite the motor is as well as the way the water circulates in the bowl no splashing i had the large original drinkwell pet fountain and so far i prefer this one a lot over the drinkwell</v>
      </c>
      <c r="H3558" s="4" t="str">
        <f t="shared" si="1"/>
        <v>my puppy cat love it
i love how big bowl reserve tank are how quite motor as well as way water circulates in bowl no splashing i had large original drinkwell pet fountain so far i prefer this one a lot over drinkwell</v>
      </c>
      <c r="I3558" s="6">
        <f t="shared" si="2"/>
        <v>42</v>
      </c>
      <c r="J3558" s="6">
        <f>IFERROR(__xludf.DUMMYFUNCTION("IF(H3558="""","""",
SUM(
ARRAYFORMULA(
IF(
REGEXMATCH(
"" ""&amp;H3558&amp;"" "",
"" ""&amp;Sentiment_Words!A$2:A3730&amp;"" ""
),
1,
0
)
)
)
)"),2.0)</f>
        <v>2</v>
      </c>
      <c r="K3558" s="4">
        <f>IFERROR(__xludf.DUMMYFUNCTION("IF(H3558="""","""",
SUM(
ARRAYFORMULA(
IF(
REGEXMATCH(
"" ""&amp;H3558&amp;"" "",
"" ""&amp;Sentiment_Words!B$2:B3730&amp;"" ""
),
1,
0
)
)
)
)"),0.0)</f>
        <v>0</v>
      </c>
      <c r="L3558" s="7" t="str">
        <f t="shared" si="3"/>
        <v>Fulfillment &amp; Shipping</v>
      </c>
      <c r="M3558" s="7" t="str">
        <f t="shared" si="4"/>
        <v>Positive</v>
      </c>
      <c r="N3558" s="7" t="str">
        <f>IFERROR(__xludf.DUMMYFUNCTION("LOWER(
TRIM(
REGEXREPLACE(B3558,""[^a-zA-Z\s]"","""")
)
)
"),"james miller")</f>
        <v>james miller</v>
      </c>
      <c r="O3558" s="7">
        <f t="shared" si="5"/>
        <v>1</v>
      </c>
      <c r="P3558" s="8" t="str">
        <f t="shared" si="6"/>
        <v>No</v>
      </c>
    </row>
    <row r="3559">
      <c r="A3559" s="4" t="s">
        <v>16</v>
      </c>
      <c r="B3559" s="4" t="s">
        <v>9864</v>
      </c>
      <c r="C3559" s="5">
        <v>44498.0</v>
      </c>
      <c r="D3559" s="10">
        <v>44498.0</v>
      </c>
      <c r="E3559" s="4" t="s">
        <v>9865</v>
      </c>
      <c r="F3559" s="4" t="s">
        <v>9866</v>
      </c>
      <c r="G3559" s="6" t="str">
        <f>IFERROR(__xludf.DUMMYFUNCTION("REGEXREPLACE(LOWER(F3559),""[^a-z\s]"","""")"),"this was the very first time i ever purchased from the site and i was a little nervous in the beginning but that was all changed when i found out that they shipped on the day they said they were going to and i received it when i needed it i am very happy "&amp;"with the service and will use it again")</f>
        <v>this was the very first time i ever purchased from the site and i was a little nervous in the beginning but that was all changed when i found out that they shipped on the day they said they were going to and i received it when i needed it i am very happy with the service and will use it again</v>
      </c>
      <c r="H3559" s="4" t="str">
        <f t="shared" si="1"/>
        <v>this was very first time i ever purchased from site i was a little nervous in beginning but that was all changed when i found out that they shipped on day they said they were going i received it when i needed it i am very happy with service will use it again</v>
      </c>
      <c r="I3559" s="6">
        <f t="shared" si="2"/>
        <v>53</v>
      </c>
      <c r="J3559" s="6">
        <f>IFERROR(__xludf.DUMMYFUNCTION("IF(H3559="""","""",
SUM(
ARRAYFORMULA(
IF(
REGEXMATCH(
"" ""&amp;H3559&amp;"" "",
"" ""&amp;Sentiment_Words!A$2:A3730&amp;"" ""
),
1,
0
)
)
)
)"),2.0)</f>
        <v>2</v>
      </c>
      <c r="K3559" s="4">
        <f>IFERROR(__xludf.DUMMYFUNCTION("IF(H3559="""","""",
SUM(
ARRAYFORMULA(
IF(
REGEXMATCH(
"" ""&amp;H3559&amp;"" "",
"" ""&amp;Sentiment_Words!B$2:B3730&amp;"" ""
),
1,
0
)
)
)
)"),0.0)</f>
        <v>0</v>
      </c>
      <c r="L3559" s="7" t="str">
        <f t="shared" si="3"/>
        <v>Customer Support</v>
      </c>
      <c r="M3559" s="7" t="str">
        <f t="shared" si="4"/>
        <v>Positive</v>
      </c>
      <c r="N3559" s="7" t="str">
        <f>IFERROR(__xludf.DUMMYFUNCTION("LOWER(
TRIM(
REGEXREPLACE(B3559,""[^a-zA-Z\s]"","""")
)
)
"),"shell")</f>
        <v>shell</v>
      </c>
      <c r="O3559" s="7">
        <f t="shared" si="5"/>
        <v>1</v>
      </c>
      <c r="P3559" s="8" t="str">
        <f t="shared" si="6"/>
        <v>No</v>
      </c>
    </row>
    <row r="3560">
      <c r="A3560" s="4" t="s">
        <v>16</v>
      </c>
      <c r="B3560" s="4" t="s">
        <v>9867</v>
      </c>
      <c r="C3560" s="5">
        <v>44498.0</v>
      </c>
      <c r="D3560" s="10">
        <v>44498.0</v>
      </c>
      <c r="E3560" s="4" t="s">
        <v>9868</v>
      </c>
      <c r="F3560" s="4" t="s">
        <v>9869</v>
      </c>
      <c r="G3560" s="6" t="str">
        <f>IFERROR(__xludf.DUMMYFUNCTION("REGEXREPLACE(LOWER(F3560),""[^a-z\s]"","""")"),"its been weeks and i havent received the good yet i cant believe they are asking my opinion of an item that hasnt arrived yet")</f>
        <v>its been weeks and i havent received the good yet i cant believe they are asking my opinion of an item that hasnt arrived yet</v>
      </c>
      <c r="H3560" s="4" t="str">
        <f t="shared" si="1"/>
        <v>its been weeks i havent received good yet i cant believe they are asking my opinion of an item that hasnt arrived yet</v>
      </c>
      <c r="I3560" s="6">
        <f t="shared" si="2"/>
        <v>23</v>
      </c>
      <c r="J3560" s="6">
        <f>IFERROR(__xludf.DUMMYFUNCTION("IF(H3560="""","""",
SUM(
ARRAYFORMULA(
IF(
REGEXMATCH(
"" ""&amp;H3560&amp;"" "",
"" ""&amp;Sentiment_Words!A$2:A3730&amp;"" ""
),
1,
0
)
)
)
)"),1.0)</f>
        <v>1</v>
      </c>
      <c r="K3560" s="4">
        <f>IFERROR(__xludf.DUMMYFUNCTION("IF(H3560="""","""",
SUM(
ARRAYFORMULA(
IF(
REGEXMATCH(
"" ""&amp;H3560&amp;"" "",
"" ""&amp;Sentiment_Words!B$2:B3730&amp;"" ""
),
1,
0
)
)
)
)"),0.0)</f>
        <v>0</v>
      </c>
      <c r="L3560" s="7" t="str">
        <f t="shared" si="3"/>
        <v>Other</v>
      </c>
      <c r="M3560" s="7" t="str">
        <f t="shared" si="4"/>
        <v>Positive</v>
      </c>
      <c r="N3560" s="7" t="str">
        <f>IFERROR(__xludf.DUMMYFUNCTION("LOWER(
TRIM(
REGEXREPLACE(B3560,""[^a-zA-Z\s]"","""")
)
)
"),"michele casolco")</f>
        <v>michele casolco</v>
      </c>
      <c r="O3560" s="7">
        <f t="shared" si="5"/>
        <v>1</v>
      </c>
      <c r="P3560" s="8" t="str">
        <f t="shared" si="6"/>
        <v>No</v>
      </c>
    </row>
    <row r="3561">
      <c r="A3561" s="4" t="s">
        <v>16</v>
      </c>
      <c r="B3561" s="4" t="s">
        <v>9870</v>
      </c>
      <c r="C3561" s="5">
        <v>44498.0</v>
      </c>
      <c r="D3561" s="10">
        <v>44498.0</v>
      </c>
      <c r="E3561" s="4" t="s">
        <v>9871</v>
      </c>
      <c r="F3561" s="4" t="s">
        <v>9872</v>
      </c>
      <c r="G3561" s="6" t="str">
        <f>IFERROR(__xludf.DUMMYFUNCTION("REGEXREPLACE(LOWER(F3561),""[^a-z\s]"","""")"),"the orders are always late the customer service rep was rude and unhelpful i had to speak to the manager to get some resolve")</f>
        <v>the orders are always late the customer service rep was rude and unhelpful i had to speak to the manager to get some resolve</v>
      </c>
      <c r="H3561" s="4" t="str">
        <f t="shared" si="1"/>
        <v>orders are always late customer service rep was rude unhelpful i had speak manager get some resolve</v>
      </c>
      <c r="I3561" s="6">
        <f t="shared" si="2"/>
        <v>17</v>
      </c>
      <c r="J3561" s="6">
        <f>IFERROR(__xludf.DUMMYFUNCTION("IF(H3561="""","""",
SUM(
ARRAYFORMULA(
IF(
REGEXMATCH(
"" ""&amp;H3561&amp;"" "",
"" ""&amp;Sentiment_Words!A$2:A3730&amp;"" ""
),
1,
0
)
)
)
)"),0.0)</f>
        <v>0</v>
      </c>
      <c r="K3561" s="4">
        <f>IFERROR(__xludf.DUMMYFUNCTION("IF(H3561="""","""",
SUM(
ARRAYFORMULA(
IF(
REGEXMATCH(
"" ""&amp;H3561&amp;"" "",
"" ""&amp;Sentiment_Words!B$2:B3730&amp;"" ""
),
1,
0
)
)
)
)"),1.0)</f>
        <v>1</v>
      </c>
      <c r="L3561" s="7" t="str">
        <f t="shared" si="3"/>
        <v>Customer Support</v>
      </c>
      <c r="M3561" s="7" t="str">
        <f t="shared" si="4"/>
        <v>Negative</v>
      </c>
      <c r="N3561" s="7" t="str">
        <f>IFERROR(__xludf.DUMMYFUNCTION("LOWER(
TRIM(
REGEXREPLACE(B3561,""[^a-zA-Z\s]"","""")
)
)
"),"kim d")</f>
        <v>kim d</v>
      </c>
      <c r="O3561" s="7">
        <f t="shared" si="5"/>
        <v>1</v>
      </c>
      <c r="P3561" s="8" t="str">
        <f t="shared" si="6"/>
        <v>No</v>
      </c>
    </row>
    <row r="3562">
      <c r="A3562" s="4" t="s">
        <v>16</v>
      </c>
      <c r="B3562" s="4" t="s">
        <v>9873</v>
      </c>
      <c r="C3562" s="5">
        <v>44498.0</v>
      </c>
      <c r="D3562" s="10">
        <v>44498.0</v>
      </c>
      <c r="E3562" s="4" t="s">
        <v>9874</v>
      </c>
      <c r="F3562" s="4" t="s">
        <v>9875</v>
      </c>
      <c r="G3562" s="6" t="str">
        <f>IFERROR(__xludf.DUMMYFUNCTION("REGEXREPLACE(LOWER(F3562),""[^a-z\s]"","""")"),"because as a customer petflow mislead me  petflow sold me merchandise and the sold it to another customer then sent me a message that they were now out of stock  and petflow still has not refunded my money  we will never shop with petflow again  ta")</f>
        <v>because as a customer petflow mislead me  petflow sold me merchandise and the sold it to another customer then sent me a message that they were now out of stock  and petflow still has not refunded my money  we will never shop with petflow again  ta</v>
      </c>
      <c r="H3562" s="4" t="str">
        <f t="shared" si="1"/>
        <v>because as a customer petflow mislead me petflow sold me merchandise sold it another customer then sent me a message that they were now out of stock petflow still has not refunded my money we will never shop with petflow again ta</v>
      </c>
      <c r="I3562" s="6">
        <f t="shared" si="2"/>
        <v>42</v>
      </c>
      <c r="J3562" s="6">
        <f>IFERROR(__xludf.DUMMYFUNCTION("IF(H3562="""","""",
SUM(
ARRAYFORMULA(
IF(
REGEXMATCH(
"" ""&amp;H3562&amp;"" "",
"" ""&amp;Sentiment_Words!A$2:A3730&amp;"" ""
),
1,
0
)
)
)
)"),0.0)</f>
        <v>0</v>
      </c>
      <c r="K3562" s="4">
        <f>IFERROR(__xludf.DUMMYFUNCTION("IF(H3562="""","""",
SUM(
ARRAYFORMULA(
IF(
REGEXMATCH(
"" ""&amp;H3562&amp;"" "",
"" ""&amp;Sentiment_Words!B$2:B3730&amp;"" ""
),
1,
0
)
)
)
)"),1.0)</f>
        <v>1</v>
      </c>
      <c r="L3562" s="7" t="str">
        <f t="shared" si="3"/>
        <v>Availability</v>
      </c>
      <c r="M3562" s="7" t="str">
        <f t="shared" si="4"/>
        <v>Negative</v>
      </c>
      <c r="N3562" s="7" t="str">
        <f>IFERROR(__xludf.DUMMYFUNCTION("LOWER(
TRIM(
REGEXREPLACE(B3562,""[^a-zA-Z\s]"","""")
)
)
"),"victor albanese")</f>
        <v>victor albanese</v>
      </c>
      <c r="O3562" s="7">
        <f t="shared" si="5"/>
        <v>1</v>
      </c>
      <c r="P3562" s="8" t="str">
        <f t="shared" si="6"/>
        <v>No</v>
      </c>
    </row>
    <row r="3563">
      <c r="A3563" s="4" t="s">
        <v>16</v>
      </c>
      <c r="B3563" s="4" t="s">
        <v>9876</v>
      </c>
      <c r="C3563" s="5">
        <v>44498.0</v>
      </c>
      <c r="D3563" s="10">
        <v>44498.0</v>
      </c>
      <c r="E3563" s="4" t="s">
        <v>9877</v>
      </c>
      <c r="F3563" s="4" t="s">
        <v>9878</v>
      </c>
      <c r="G3563" s="6" t="str">
        <f>IFERROR(__xludf.DUMMYFUNCTION("REGEXREPLACE(LOWER(F3563),""[^a-z\s]"","""")"),"first time ordering with this company placed the order on  by  still hadnt received it i called and apparently the shipment got lost employee offered to send out another order but declined to give any type of promo code or discount even though i told her "&amp;"i had to go out an purchase food elsewhere on a day by day basis until the order arrived she said i only had  options new order or a refund and that i had to pick one")</f>
        <v>first time ordering with this company placed the order on  by  still hadnt received it i called and apparently the shipment got lost employee offered to send out another order but declined to give any type of promo code or discount even though i told her i had to go out an purchase food elsewhere on a day by day basis until the order arrived she said i only had  options new order or a refund and that i had to pick one</v>
      </c>
      <c r="H3563" s="4" t="str">
        <f t="shared" si="1"/>
        <v>first time ordering with this company placed order on by still hadnt received it i called apparently shipment got lost employee offered send out another order but declined give any type of promo code or discount even though i told her i had go out an purchase food elsewhere on a day by day basis until order arrived she said i only had options new order or a refund that i had pick one</v>
      </c>
      <c r="I3563" s="6">
        <f t="shared" si="2"/>
        <v>74</v>
      </c>
      <c r="J3563" s="6">
        <f>IFERROR(__xludf.DUMMYFUNCTION("IF(H3563="""","""",
SUM(
ARRAYFORMULA(
IF(
REGEXMATCH(
"" ""&amp;H3563&amp;"" "",
"" ""&amp;Sentiment_Words!A$2:A3730&amp;"" ""
),
1,
0
)
)
)
)"),0.0)</f>
        <v>0</v>
      </c>
      <c r="K3563" s="4">
        <f>IFERROR(__xludf.DUMMYFUNCTION("IF(H3563="""","""",
SUM(
ARRAYFORMULA(
IF(
REGEXMATCH(
"" ""&amp;H3563&amp;"" "",
"" ""&amp;Sentiment_Words!B$2:B3730&amp;"" ""
),
1,
0
)
)
)
)"),1.0)</f>
        <v>1</v>
      </c>
      <c r="L3563" s="7" t="str">
        <f t="shared" si="3"/>
        <v>Account &amp; Website</v>
      </c>
      <c r="M3563" s="7" t="str">
        <f t="shared" si="4"/>
        <v>Negative</v>
      </c>
      <c r="N3563" s="7" t="str">
        <f>IFERROR(__xludf.DUMMYFUNCTION("LOWER(
TRIM(
REGEXREPLACE(B3563,""[^a-zA-Z\s]"","""")
)
)
"),"customtom arnolder")</f>
        <v>customtom arnolder</v>
      </c>
      <c r="O3563" s="7">
        <f t="shared" si="5"/>
        <v>1</v>
      </c>
      <c r="P3563" s="8" t="str">
        <f t="shared" si="6"/>
        <v>No</v>
      </c>
    </row>
    <row r="3564">
      <c r="A3564" s="4" t="s">
        <v>16</v>
      </c>
      <c r="B3564" s="4" t="s">
        <v>9879</v>
      </c>
      <c r="C3564" s="5">
        <v>44498.0</v>
      </c>
      <c r="D3564" s="10">
        <v>44498.0</v>
      </c>
      <c r="E3564" s="4" t="s">
        <v>5366</v>
      </c>
      <c r="F3564" s="4" t="s">
        <v>9880</v>
      </c>
      <c r="G3564" s="6" t="str">
        <f>IFERROR(__xludf.DUMMYFUNCTION("REGEXREPLACE(LOWER(F3564),""[^a-z\s]"","""")"),"unfortunately when i placed my order my items were in stock then i got an email saying they were out of stock and i was refunded havent order again")</f>
        <v>unfortunately when i placed my order my items were in stock then i got an email saying they were out of stock and i was refunded havent order again</v>
      </c>
      <c r="H3564" s="4" t="str">
        <f t="shared" si="1"/>
        <v>unfortunately when i placed my order my items were in stock then i got an email saying they were out of stock i was refunded havent order again</v>
      </c>
      <c r="I3564" s="6">
        <f t="shared" si="2"/>
        <v>28</v>
      </c>
      <c r="J3564" s="6">
        <f>IFERROR(__xludf.DUMMYFUNCTION("IF(H3564="""","""",
SUM(
ARRAYFORMULA(
IF(
REGEXMATCH(
"" ""&amp;H3564&amp;"" "",
"" ""&amp;Sentiment_Words!A$2:A3730&amp;"" ""
),
1,
0
)
)
)
)"),0.0)</f>
        <v>0</v>
      </c>
      <c r="K3564" s="4">
        <f>IFERROR(__xludf.DUMMYFUNCTION("IF(H3564="""","""",
SUM(
ARRAYFORMULA(
IF(
REGEXMATCH(
"" ""&amp;H3564&amp;"" "",
"" ""&amp;Sentiment_Words!B$2:B3730&amp;"" ""
),
1,
0
)
)
)
)"),1.0)</f>
        <v>1</v>
      </c>
      <c r="L3564" s="7" t="str">
        <f t="shared" si="3"/>
        <v>Availability</v>
      </c>
      <c r="M3564" s="7" t="str">
        <f t="shared" si="4"/>
        <v>Negative</v>
      </c>
      <c r="N3564" s="7" t="str">
        <f>IFERROR(__xludf.DUMMYFUNCTION("LOWER(
TRIM(
REGEXREPLACE(B3564,""[^a-zA-Z\s]"","""")
)
)
"),"eks")</f>
        <v>eks</v>
      </c>
      <c r="O3564" s="7">
        <f t="shared" si="5"/>
        <v>1</v>
      </c>
      <c r="P3564" s="8" t="str">
        <f t="shared" si="6"/>
        <v>No</v>
      </c>
    </row>
    <row r="3565">
      <c r="A3565" s="4" t="s">
        <v>16</v>
      </c>
      <c r="B3565" s="4" t="s">
        <v>9881</v>
      </c>
      <c r="C3565" s="5">
        <v>44498.0</v>
      </c>
      <c r="D3565" s="10">
        <v>44498.0</v>
      </c>
      <c r="E3565" s="4" t="s">
        <v>9882</v>
      </c>
      <c r="F3565" s="4" t="s">
        <v>9883</v>
      </c>
      <c r="G3565" s="6" t="str">
        <f>IFERROR(__xludf.DUMMYFUNCTION("REGEXREPLACE(LOWER(F3565),""[^a-z\s]"","""")"),"very punctual and nice but the fedex delivery person did not do his job left the box near the mail box and not at the door i am senior and cannot pick up this heave box")</f>
        <v>very punctual and nice but the fedex delivery person did not do his job left the box near the mail box and not at the door i am senior and cannot pick up this heave box</v>
      </c>
      <c r="H3565" s="4" t="str">
        <f t="shared" si="1"/>
        <v>very punctual nice but fedex delivery person did not do his job left box near mail box not at door i am senior cannot pick up this heave box</v>
      </c>
      <c r="I3565" s="6">
        <f t="shared" si="2"/>
        <v>29</v>
      </c>
      <c r="J3565" s="6">
        <f>IFERROR(__xludf.DUMMYFUNCTION("IF(H3565="""","""",
SUM(
ARRAYFORMULA(
IF(
REGEXMATCH(
"" ""&amp;H3565&amp;"" "",
"" ""&amp;Sentiment_Words!A$2:A3730&amp;"" ""
),
1,
0
)
)
)
)"),0.0)</f>
        <v>0</v>
      </c>
      <c r="K3565" s="4">
        <f>IFERROR(__xludf.DUMMYFUNCTION("IF(H3565="""","""",
SUM(
ARRAYFORMULA(
IF(
REGEXMATCH(
"" ""&amp;H3565&amp;"" "",
"" ""&amp;Sentiment_Words!B$2:B3730&amp;"" ""
),
1,
0
)
)
)
)"),0.0)</f>
        <v>0</v>
      </c>
      <c r="L3565" s="7" t="str">
        <f t="shared" si="3"/>
        <v>Other</v>
      </c>
      <c r="M3565" s="7" t="str">
        <f t="shared" si="4"/>
        <v>Neutral</v>
      </c>
      <c r="N3565" s="7" t="str">
        <f>IFERROR(__xludf.DUMMYFUNCTION("LOWER(
TRIM(
REGEXREPLACE(B3565,""[^a-zA-Z\s]"","""")
)
)
"),"jennifer hornung")</f>
        <v>jennifer hornung</v>
      </c>
      <c r="O3565" s="7">
        <f t="shared" si="5"/>
        <v>1</v>
      </c>
      <c r="P3565" s="8" t="str">
        <f t="shared" si="6"/>
        <v>No</v>
      </c>
    </row>
    <row r="3566">
      <c r="A3566" s="4" t="s">
        <v>16</v>
      </c>
      <c r="B3566" s="4" t="s">
        <v>80</v>
      </c>
      <c r="C3566" s="5">
        <v>44497.0</v>
      </c>
      <c r="D3566" s="10">
        <v>44498.0</v>
      </c>
      <c r="E3566" s="4" t="s">
        <v>9884</v>
      </c>
      <c r="F3566" s="4" t="s">
        <v>331</v>
      </c>
      <c r="G3566" s="6" t="str">
        <f>IFERROR(__xludf.DUMMYFUNCTION("REGEXREPLACE(LOWER(F3566),""[^a-z\s]"","""")"),"none")</f>
        <v>none</v>
      </c>
      <c r="H3566" s="4" t="str">
        <f t="shared" si="1"/>
        <v>none</v>
      </c>
      <c r="I3566" s="6">
        <f t="shared" si="2"/>
        <v>1</v>
      </c>
      <c r="J3566" s="6">
        <f>IFERROR(__xludf.DUMMYFUNCTION("IF(H3566="""","""",
SUM(
ARRAYFORMULA(
IF(
REGEXMATCH(
"" ""&amp;H3566&amp;"" "",
"" ""&amp;Sentiment_Words!A$2:A3730&amp;"" ""
),
1,
0
)
)
)
)"),0.0)</f>
        <v>0</v>
      </c>
      <c r="K3566" s="4">
        <f>IFERROR(__xludf.DUMMYFUNCTION("IF(H3566="""","""",
SUM(
ARRAYFORMULA(
IF(
REGEXMATCH(
"" ""&amp;H3566&amp;"" "",
"" ""&amp;Sentiment_Words!B$2:B3730&amp;"" ""
),
1,
0
)
)
)
)"),0.0)</f>
        <v>0</v>
      </c>
      <c r="L3566" s="7" t="str">
        <f t="shared" si="3"/>
        <v>Other</v>
      </c>
      <c r="M3566" s="7" t="str">
        <f t="shared" si="4"/>
        <v>Neutral</v>
      </c>
      <c r="N3566" s="7" t="str">
        <f>IFERROR(__xludf.DUMMYFUNCTION("LOWER(
TRIM(
REGEXREPLACE(B3566,""[^a-zA-Z\s]"","""")
)
)
"),"ann")</f>
        <v>ann</v>
      </c>
      <c r="O3566" s="7">
        <f t="shared" si="5"/>
        <v>2</v>
      </c>
      <c r="P3566" s="8" t="str">
        <f t="shared" si="6"/>
        <v>Yes</v>
      </c>
    </row>
    <row r="3567">
      <c r="A3567" s="4" t="s">
        <v>16</v>
      </c>
      <c r="B3567" s="4" t="s">
        <v>9885</v>
      </c>
      <c r="C3567" s="5">
        <v>44497.0</v>
      </c>
      <c r="D3567" s="10">
        <v>44497.0</v>
      </c>
      <c r="E3567" s="4" t="s">
        <v>9886</v>
      </c>
      <c r="F3567" s="4" t="s">
        <v>9887</v>
      </c>
      <c r="G3567" s="6" t="str">
        <f>IFERROR(__xludf.DUMMYFUNCTION("REGEXREPLACE(LOWER(F3567),""[^a-z\s]"","""")"),"petflow came through for me with a prescription order when chewy could not hours on the phone with chewy and multiple customer service agents and chewy failed  they have problems over there i contacted petflow and they took my prescription and had my cat "&amp;"food shipped to me arriving within a few days chewy has now lost all of my business and i will be forever loyal to petflow thank you petflow for handling a simple transaction in a simple way thank you thank you")</f>
        <v>petflow came through for me with a prescription order when chewy could not hours on the phone with chewy and multiple customer service agents and chewy failed  they have problems over there i contacted petflow and they took my prescription and had my cat food shipped to me arriving within a few days chewy has now lost all of my business and i will be forever loyal to petflow thank you petflow for handling a simple transaction in a simple way thank you thank you</v>
      </c>
      <c r="H3567" s="4" t="str">
        <f t="shared" si="1"/>
        <v>petflow came through me with a prescription order when chewy could not hours on phone with chewy multiple customer service agents chewy failed they have problems over there i contacted petflow they took my prescription had my cat food shipped me arriving within a few days chewy has now lost all of my business i will be forever loyal petflow thank you petflow handling a simple transaction in a simple way thank you thank you</v>
      </c>
      <c r="I3567" s="6">
        <f t="shared" si="2"/>
        <v>75</v>
      </c>
      <c r="J3567" s="6">
        <f>IFERROR(__xludf.DUMMYFUNCTION("IF(H3567="""","""",
SUM(
ARRAYFORMULA(
IF(
REGEXMATCH(
"" ""&amp;H3567&amp;"" "",
"" ""&amp;Sentiment_Words!A$2:A3730&amp;"" ""
),
1,
0
)
)
)
)"),0.0)</f>
        <v>0</v>
      </c>
      <c r="K3567" s="4">
        <f>IFERROR(__xludf.DUMMYFUNCTION("IF(H3567="""","""",
SUM(
ARRAYFORMULA(
IF(
REGEXMATCH(
"" ""&amp;H3567&amp;"" "",
"" ""&amp;Sentiment_Words!B$2:B3730&amp;"" ""
),
1,
0
)
)
)
)"),1.0)</f>
        <v>1</v>
      </c>
      <c r="L3567" s="7" t="str">
        <f t="shared" si="3"/>
        <v>Customer Support</v>
      </c>
      <c r="M3567" s="7" t="str">
        <f t="shared" si="4"/>
        <v>Negative</v>
      </c>
      <c r="N3567" s="7" t="str">
        <f>IFERROR(__xludf.DUMMYFUNCTION("LOWER(
TRIM(
REGEXREPLACE(B3567,""[^a-zA-Z\s]"","""")
)
)
"),"allyson")</f>
        <v>allyson</v>
      </c>
      <c r="O3567" s="7">
        <f t="shared" si="5"/>
        <v>1</v>
      </c>
      <c r="P3567" s="8" t="str">
        <f t="shared" si="6"/>
        <v>No</v>
      </c>
    </row>
    <row r="3568">
      <c r="A3568" s="4" t="s">
        <v>16</v>
      </c>
      <c r="B3568" s="4" t="s">
        <v>9888</v>
      </c>
      <c r="C3568" s="5">
        <v>44497.0</v>
      </c>
      <c r="D3568" s="10">
        <v>44497.0</v>
      </c>
      <c r="E3568" s="4" t="s">
        <v>9889</v>
      </c>
      <c r="F3568" s="4" t="s">
        <v>9890</v>
      </c>
      <c r="G3568" s="6" t="str">
        <f>IFERROR(__xludf.DUMMYFUNCTION("REGEXREPLACE(LOWER(F3568),""[^a-z\s]"","""")"),"love the convenience of not having to shop and hoist large bags of food")</f>
        <v>love the convenience of not having to shop and hoist large bags of food</v>
      </c>
      <c r="H3568" s="4" t="str">
        <f t="shared" si="1"/>
        <v>love convenience of not having shop hoist large bags of food</v>
      </c>
      <c r="I3568" s="6">
        <f t="shared" si="2"/>
        <v>11</v>
      </c>
      <c r="J3568" s="6">
        <f>IFERROR(__xludf.DUMMYFUNCTION("IF(H3568="""","""",
SUM(
ARRAYFORMULA(
IF(
REGEXMATCH(
"" ""&amp;H3568&amp;"" "",
"" ""&amp;Sentiment_Words!A$2:A3730&amp;"" ""
),
1,
0
)
)
)
)"),1.0)</f>
        <v>1</v>
      </c>
      <c r="K3568" s="4">
        <f>IFERROR(__xludf.DUMMYFUNCTION("IF(H3568="""","""",
SUM(
ARRAYFORMULA(
IF(
REGEXMATCH(
"" ""&amp;H3568&amp;"" "",
"" ""&amp;Sentiment_Words!B$2:B3730&amp;"" ""
),
1,
0
)
)
)
)"),0.0)</f>
        <v>0</v>
      </c>
      <c r="L3568" s="7" t="str">
        <f t="shared" si="3"/>
        <v>Other</v>
      </c>
      <c r="M3568" s="7" t="str">
        <f t="shared" si="4"/>
        <v>Positive</v>
      </c>
      <c r="N3568" s="7" t="str">
        <f>IFERROR(__xludf.DUMMYFUNCTION("LOWER(
TRIM(
REGEXREPLACE(B3568,""[^a-zA-Z\s]"","""")
)
)
"),"loren osborne")</f>
        <v>loren osborne</v>
      </c>
      <c r="O3568" s="7">
        <f t="shared" si="5"/>
        <v>1</v>
      </c>
      <c r="P3568" s="8" t="str">
        <f t="shared" si="6"/>
        <v>No</v>
      </c>
    </row>
    <row r="3569">
      <c r="A3569" s="4" t="s">
        <v>16</v>
      </c>
      <c r="B3569" s="4" t="s">
        <v>9891</v>
      </c>
      <c r="C3569" s="5">
        <v>44497.0</v>
      </c>
      <c r="D3569" s="10">
        <v>44497.0</v>
      </c>
      <c r="E3569" s="4" t="s">
        <v>3355</v>
      </c>
      <c r="F3569" s="4" t="s">
        <v>9892</v>
      </c>
      <c r="G3569" s="6" t="str">
        <f>IFERROR(__xludf.DUMMYFUNCTION("REGEXREPLACE(LOWER(F3569),""[^a-z\s]"","""")"),"i ordered treats that showed in stock they never came so i emailed they said they were now out of stock and would notify me when in stock they ended up cancelling my order  not a good experience for first time customer")</f>
        <v>i ordered treats that showed in stock they never came so i emailed they said they were now out of stock and would notify me when in stock they ended up cancelling my order  not a good experience for first time customer</v>
      </c>
      <c r="H3569" s="4" t="str">
        <f t="shared" si="1"/>
        <v>i ordered treats that showed in stock they never came so i emailed they said they were now out of stock would notify me when in stock they ended up cancelling my order not a good experience first time customer</v>
      </c>
      <c r="I3569" s="6">
        <f t="shared" si="2"/>
        <v>40</v>
      </c>
      <c r="J3569" s="6">
        <f>IFERROR(__xludf.DUMMYFUNCTION("IF(H3569="""","""",
SUM(
ARRAYFORMULA(
IF(
REGEXMATCH(
"" ""&amp;H3569&amp;"" "",
"" ""&amp;Sentiment_Words!A$2:A3730&amp;"" ""
),
1,
0
)
)
)
)"),1.0)</f>
        <v>1</v>
      </c>
      <c r="K3569" s="4">
        <f>IFERROR(__xludf.DUMMYFUNCTION("IF(H3569="""","""",
SUM(
ARRAYFORMULA(
IF(
REGEXMATCH(
"" ""&amp;H3569&amp;"" "",
"" ""&amp;Sentiment_Words!B$2:B3730&amp;"" ""
),
1,
0
)
)
)
)"),1.0)</f>
        <v>1</v>
      </c>
      <c r="L3569" s="7" t="str">
        <f t="shared" si="3"/>
        <v>Availability</v>
      </c>
      <c r="M3569" s="7" t="str">
        <f t="shared" si="4"/>
        <v>Neutral</v>
      </c>
      <c r="N3569" s="7" t="str">
        <f>IFERROR(__xludf.DUMMYFUNCTION("LOWER(
TRIM(
REGEXREPLACE(B3569,""[^a-zA-Z\s]"","""")
)
)
"),"sheila hodges")</f>
        <v>sheila hodges</v>
      </c>
      <c r="O3569" s="7">
        <f t="shared" si="5"/>
        <v>1</v>
      </c>
      <c r="P3569" s="8" t="str">
        <f t="shared" si="6"/>
        <v>No</v>
      </c>
    </row>
    <row r="3570">
      <c r="A3570" s="4" t="s">
        <v>16</v>
      </c>
      <c r="B3570" s="4" t="s">
        <v>9893</v>
      </c>
      <c r="C3570" s="5">
        <v>44497.0</v>
      </c>
      <c r="D3570" s="10">
        <v>44497.0</v>
      </c>
      <c r="E3570" s="4" t="s">
        <v>9894</v>
      </c>
      <c r="F3570" s="4" t="s">
        <v>9895</v>
      </c>
      <c r="G3570" s="6" t="str">
        <f>IFERROR(__xludf.DUMMYFUNCTION("REGEXREPLACE(LOWER(F3570),""[^a-z\s]"","""")"),"great fast service great intro prices for new customers when you do autoship")</f>
        <v>great fast service great intro prices for new customers when you do autoship</v>
      </c>
      <c r="H3570" s="4" t="str">
        <f t="shared" si="1"/>
        <v>great fast service great intro prices new customers when you do autoship</v>
      </c>
      <c r="I3570" s="6">
        <f t="shared" si="2"/>
        <v>12</v>
      </c>
      <c r="J3570" s="6">
        <f>IFERROR(__xludf.DUMMYFUNCTION("IF(H3570="""","""",
SUM(
ARRAYFORMULA(
IF(
REGEXMATCH(
"" ""&amp;H3570&amp;"" "",
"" ""&amp;Sentiment_Words!A$2:A3730&amp;"" ""
),
1,
0
)
)
)
)"),2.0)</f>
        <v>2</v>
      </c>
      <c r="K3570" s="4">
        <f>IFERROR(__xludf.DUMMYFUNCTION("IF(H3570="""","""",
SUM(
ARRAYFORMULA(
IF(
REGEXMATCH(
"" ""&amp;H3570&amp;"" "",
"" ""&amp;Sentiment_Words!B$2:B3730&amp;"" ""
),
1,
0
)
)
)
)"),0.0)</f>
        <v>0</v>
      </c>
      <c r="L3570" s="7" t="str">
        <f t="shared" si="3"/>
        <v>Customer Support</v>
      </c>
      <c r="M3570" s="7" t="str">
        <f t="shared" si="4"/>
        <v>Positive</v>
      </c>
      <c r="N3570" s="7" t="str">
        <f>IFERROR(__xludf.DUMMYFUNCTION("LOWER(
TRIM(
REGEXREPLACE(B3570,""[^a-zA-Z\s]"","""")
)
)
"),"curt shake")</f>
        <v>curt shake</v>
      </c>
      <c r="O3570" s="7">
        <f t="shared" si="5"/>
        <v>1</v>
      </c>
      <c r="P3570" s="8" t="str">
        <f t="shared" si="6"/>
        <v>No</v>
      </c>
    </row>
    <row r="3571">
      <c r="A3571" s="4" t="s">
        <v>16</v>
      </c>
      <c r="B3571" s="4" t="s">
        <v>9896</v>
      </c>
      <c r="C3571" s="5">
        <v>44497.0</v>
      </c>
      <c r="D3571" s="10">
        <v>44497.0</v>
      </c>
      <c r="E3571" s="4" t="s">
        <v>9897</v>
      </c>
      <c r="F3571" s="4" t="s">
        <v>9898</v>
      </c>
      <c r="G3571" s="6" t="str">
        <f>IFERROR(__xludf.DUMMYFUNCTION("REGEXREPLACE(LOWER(F3571),""[^a-z\s]"","""")"),"horrible customer service keeps lying to me about when my order is going to come in every time i looked it up it was supposed to be delivered today at at  in the morning now too and it never showed up and i cant seem to find the damn email to tell me wher"&amp;"e the hell my order is then i call at  and your clothes when youre supposed to be closed at  i know youre located and las vegas were on the same time zone what the hells going on")</f>
        <v>horrible customer service keeps lying to me about when my order is going to come in every time i looked it up it was supposed to be delivered today at at  in the morning now too and it never showed up and i cant seem to find the damn email to tell me where the hell my order is then i call at  and your clothes when youre supposed to be closed at  i know youre located and las vegas were on the same time zone what the hells going on</v>
      </c>
      <c r="H3571" s="4" t="str">
        <f t="shared" si="1"/>
        <v>horrible customer service keeps lying me about when my order going come in every time i looked it up it was supposed be delivered today at at in morning now too it never showed up i cant seem find damn email tell me where hell my order then i call at your clothes when youre supposed be closed at i know youre located las vegas were on same time zone what hells going on</v>
      </c>
      <c r="I3571" s="6">
        <f t="shared" si="2"/>
        <v>74</v>
      </c>
      <c r="J3571" s="6">
        <f>IFERROR(__xludf.DUMMYFUNCTION("IF(H3571="""","""",
SUM(
ARRAYFORMULA(
IF(
REGEXMATCH(
"" ""&amp;H3571&amp;"" "",
"" ""&amp;Sentiment_Words!A$2:A3730&amp;"" ""
),
1,
0
)
)
)
)"),1.0)</f>
        <v>1</v>
      </c>
      <c r="K3571" s="4">
        <f>IFERROR(__xludf.DUMMYFUNCTION("IF(H3571="""","""",
SUM(
ARRAYFORMULA(
IF(
REGEXMATCH(
"" ""&amp;H3571&amp;"" "",
"" ""&amp;Sentiment_Words!B$2:B3730&amp;"" ""
),
1,
0
)
)
)
)"),1.0)</f>
        <v>1</v>
      </c>
      <c r="L3571" s="7" t="str">
        <f t="shared" si="3"/>
        <v>Customer Support</v>
      </c>
      <c r="M3571" s="7" t="str">
        <f t="shared" si="4"/>
        <v>Neutral</v>
      </c>
      <c r="N3571" s="7" t="str">
        <f>IFERROR(__xludf.DUMMYFUNCTION("LOWER(
TRIM(
REGEXREPLACE(B3571,""[^a-zA-Z\s]"","""")
)
)
"),"lisa barnes")</f>
        <v>lisa barnes</v>
      </c>
      <c r="O3571" s="7">
        <f t="shared" si="5"/>
        <v>1</v>
      </c>
      <c r="P3571" s="8" t="str">
        <f t="shared" si="6"/>
        <v>No</v>
      </c>
    </row>
    <row r="3572">
      <c r="A3572" s="4" t="s">
        <v>16</v>
      </c>
      <c r="B3572" s="4" t="s">
        <v>9899</v>
      </c>
      <c r="C3572" s="5">
        <v>44497.0</v>
      </c>
      <c r="D3572" s="10">
        <v>44497.0</v>
      </c>
      <c r="E3572" s="4" t="s">
        <v>9900</v>
      </c>
      <c r="F3572" s="4" t="s">
        <v>9901</v>
      </c>
      <c r="G3572" s="6" t="str">
        <f>IFERROR(__xludf.DUMMYFUNCTION("REGEXREPLACE(LOWER(F3572),""[^a-z\s]"","""")"),"most anything i was looking for i was available on petflow and at a good price")</f>
        <v>most anything i was looking for i was available on petflow and at a good price</v>
      </c>
      <c r="H3572" s="4" t="str">
        <f t="shared" si="1"/>
        <v>most anything i was looking i was available on petflow at a good price</v>
      </c>
      <c r="I3572" s="6">
        <f t="shared" si="2"/>
        <v>14</v>
      </c>
      <c r="J3572" s="6">
        <f>IFERROR(__xludf.DUMMYFUNCTION("IF(H3572="""","""",
SUM(
ARRAYFORMULA(
IF(
REGEXMATCH(
"" ""&amp;H3572&amp;"" "",
"" ""&amp;Sentiment_Words!A$2:A3730&amp;"" ""
),
1,
0
)
)
)
)"),2.0)</f>
        <v>2</v>
      </c>
      <c r="K3572" s="4">
        <f>IFERROR(__xludf.DUMMYFUNCTION("IF(H3572="""","""",
SUM(
ARRAYFORMULA(
IF(
REGEXMATCH(
"" ""&amp;H3572&amp;"" "",
"" ""&amp;Sentiment_Words!B$2:B3730&amp;"" ""
),
1,
0
)
)
)
)"),0.0)</f>
        <v>0</v>
      </c>
      <c r="L3572" s="7" t="str">
        <f t="shared" si="3"/>
        <v>Other</v>
      </c>
      <c r="M3572" s="7" t="str">
        <f t="shared" si="4"/>
        <v>Positive</v>
      </c>
      <c r="N3572" s="7" t="str">
        <f>IFERROR(__xludf.DUMMYFUNCTION("LOWER(
TRIM(
REGEXREPLACE(B3572,""[^a-zA-Z\s]"","""")
)
)
"),"deborah noack")</f>
        <v>deborah noack</v>
      </c>
      <c r="O3572" s="7">
        <f t="shared" si="5"/>
        <v>1</v>
      </c>
      <c r="P3572" s="8" t="str">
        <f t="shared" si="6"/>
        <v>No</v>
      </c>
    </row>
    <row r="3573">
      <c r="A3573" s="4" t="s">
        <v>16</v>
      </c>
      <c r="B3573" s="4" t="s">
        <v>9902</v>
      </c>
      <c r="C3573" s="5">
        <v>44497.0</v>
      </c>
      <c r="D3573" s="10">
        <v>44497.0</v>
      </c>
      <c r="E3573" s="4" t="s">
        <v>1081</v>
      </c>
      <c r="F3573" s="4" t="s">
        <v>9903</v>
      </c>
      <c r="G3573" s="6" t="str">
        <f>IFERROR(__xludf.DUMMYFUNCTION("REGEXREPLACE(LOWER(F3573),""[^a-z\s]"","""")"),"received mats exceptionally quickly for a very good price")</f>
        <v>received mats exceptionally quickly for a very good price</v>
      </c>
      <c r="H3573" s="4" t="str">
        <f t="shared" si="1"/>
        <v>received mats exceptionally quickly a very good price</v>
      </c>
      <c r="I3573" s="6">
        <f t="shared" si="2"/>
        <v>8</v>
      </c>
      <c r="J3573" s="6">
        <f>IFERROR(__xludf.DUMMYFUNCTION("IF(H3573="""","""",
SUM(
ARRAYFORMULA(
IF(
REGEXMATCH(
"" ""&amp;H3573&amp;"" "",
"" ""&amp;Sentiment_Words!A$2:A3730&amp;"" ""
),
1,
0
)
)
)
)"),1.0)</f>
        <v>1</v>
      </c>
      <c r="K3573" s="4">
        <f>IFERROR(__xludf.DUMMYFUNCTION("IF(H3573="""","""",
SUM(
ARRAYFORMULA(
IF(
REGEXMATCH(
"" ""&amp;H3573&amp;"" "",
"" ""&amp;Sentiment_Words!B$2:B3730&amp;"" ""
),
1,
0
)
)
)
)"),0.0)</f>
        <v>0</v>
      </c>
      <c r="L3573" s="7" t="str">
        <f t="shared" si="3"/>
        <v>Other</v>
      </c>
      <c r="M3573" s="7" t="str">
        <f t="shared" si="4"/>
        <v>Positive</v>
      </c>
      <c r="N3573" s="7" t="str">
        <f>IFERROR(__xludf.DUMMYFUNCTION("LOWER(
TRIM(
REGEXREPLACE(B3573,""[^a-zA-Z\s]"","""")
)
)
"),"janet f")</f>
        <v>janet f</v>
      </c>
      <c r="O3573" s="7">
        <f t="shared" si="5"/>
        <v>1</v>
      </c>
      <c r="P3573" s="8" t="str">
        <f t="shared" si="6"/>
        <v>No</v>
      </c>
    </row>
    <row r="3574">
      <c r="A3574" s="4" t="s">
        <v>16</v>
      </c>
      <c r="B3574" s="4" t="s">
        <v>9904</v>
      </c>
      <c r="C3574" s="5">
        <v>44497.0</v>
      </c>
      <c r="D3574" s="4" t="s">
        <v>9905</v>
      </c>
      <c r="E3574" s="4" t="s">
        <v>9906</v>
      </c>
      <c r="F3574" s="4" t="s">
        <v>9907</v>
      </c>
      <c r="G3574" s="6" t="str">
        <f>IFERROR(__xludf.DUMMYFUNCTION("REGEXREPLACE(LOWER(F3574),""[^a-z\s]"","""")"),"fast order great packaging great price")</f>
        <v>fast order great packaging great price</v>
      </c>
      <c r="H3574" s="4" t="str">
        <f t="shared" si="1"/>
        <v>fast order great packaging great price</v>
      </c>
      <c r="I3574" s="6">
        <f t="shared" si="2"/>
        <v>6</v>
      </c>
      <c r="J3574" s="6">
        <f>IFERROR(__xludf.DUMMYFUNCTION("IF(H3574="""","""",
SUM(
ARRAYFORMULA(
IF(
REGEXMATCH(
"" ""&amp;H3574&amp;"" "",
"" ""&amp;Sentiment_Words!A$2:A3730&amp;"" ""
),
1,
0
)
)
)
)"),2.0)</f>
        <v>2</v>
      </c>
      <c r="K3574" s="4">
        <f>IFERROR(__xludf.DUMMYFUNCTION("IF(H3574="""","""",
SUM(
ARRAYFORMULA(
IF(
REGEXMATCH(
"" ""&amp;H3574&amp;"" "",
"" ""&amp;Sentiment_Words!B$2:B3730&amp;"" ""
),
1,
0
)
)
)
)"),0.0)</f>
        <v>0</v>
      </c>
      <c r="L3574" s="7" t="str">
        <f t="shared" si="3"/>
        <v>Other</v>
      </c>
      <c r="M3574" s="7" t="str">
        <f t="shared" si="4"/>
        <v>Positive</v>
      </c>
      <c r="N3574" s="7" t="str">
        <f>IFERROR(__xludf.DUMMYFUNCTION("LOWER(
TRIM(
REGEXREPLACE(B3574,""[^a-zA-Z\s]"","""")
)
)
"),"kenny kazarosian")</f>
        <v>kenny kazarosian</v>
      </c>
      <c r="O3574" s="7">
        <f t="shared" si="5"/>
        <v>1</v>
      </c>
      <c r="P3574" s="8" t="str">
        <f t="shared" si="6"/>
        <v>No</v>
      </c>
    </row>
    <row r="3575">
      <c r="A3575" s="4" t="s">
        <v>16</v>
      </c>
      <c r="B3575" s="4" t="s">
        <v>9908</v>
      </c>
      <c r="C3575" s="5">
        <v>44496.0</v>
      </c>
      <c r="D3575" s="10">
        <v>44496.0</v>
      </c>
      <c r="E3575" s="4" t="s">
        <v>9909</v>
      </c>
      <c r="F3575" s="4" t="s">
        <v>9910</v>
      </c>
      <c r="G3575" s="6" t="str">
        <f>IFERROR(__xludf.DUMMYFUNCTION("REGEXREPLACE(LOWER(F3575),""[^a-z\s]"","""")"),"i love the service however  bags of dog food i have received had busted bags and dog food all in the boxes")</f>
        <v>i love the service however  bags of dog food i have received had busted bags and dog food all in the boxes</v>
      </c>
      <c r="H3575" s="4" t="str">
        <f t="shared" si="1"/>
        <v>i love service however bags of dog food i have received had busted bags dog food all in boxes</v>
      </c>
      <c r="I3575" s="6">
        <f t="shared" si="2"/>
        <v>19</v>
      </c>
      <c r="J3575" s="6">
        <f>IFERROR(__xludf.DUMMYFUNCTION("IF(H3575="""","""",
SUM(
ARRAYFORMULA(
IF(
REGEXMATCH(
"" ""&amp;H3575&amp;"" "",
"" ""&amp;Sentiment_Words!A$2:A3730&amp;"" ""
),
1,
0
)
)
)
)"),1.0)</f>
        <v>1</v>
      </c>
      <c r="K3575" s="4">
        <f>IFERROR(__xludf.DUMMYFUNCTION("IF(H3575="""","""",
SUM(
ARRAYFORMULA(
IF(
REGEXMATCH(
"" ""&amp;H3575&amp;"" "",
"" ""&amp;Sentiment_Words!B$2:B3730&amp;"" ""
),
1,
0
)
)
)
)"),0.0)</f>
        <v>0</v>
      </c>
      <c r="L3575" s="7" t="str">
        <f t="shared" si="3"/>
        <v>Customer Support</v>
      </c>
      <c r="M3575" s="7" t="str">
        <f t="shared" si="4"/>
        <v>Positive</v>
      </c>
      <c r="N3575" s="7" t="str">
        <f>IFERROR(__xludf.DUMMYFUNCTION("LOWER(
TRIM(
REGEXREPLACE(B3575,""[^a-zA-Z\s]"","""")
)
)
"),"wanda segars")</f>
        <v>wanda segars</v>
      </c>
      <c r="O3575" s="7">
        <f t="shared" si="5"/>
        <v>1</v>
      </c>
      <c r="P3575" s="8" t="str">
        <f t="shared" si="6"/>
        <v>No</v>
      </c>
    </row>
    <row r="3576">
      <c r="A3576" s="4" t="s">
        <v>16</v>
      </c>
      <c r="B3576" s="4" t="s">
        <v>9911</v>
      </c>
      <c r="C3576" s="5">
        <v>44496.0</v>
      </c>
      <c r="D3576" s="10">
        <v>44496.0</v>
      </c>
      <c r="E3576" s="4" t="s">
        <v>9912</v>
      </c>
      <c r="F3576" s="4" t="s">
        <v>9913</v>
      </c>
      <c r="G3576" s="6" t="str">
        <f>IFERROR(__xludf.DUMMYFUNCTION("REGEXREPLACE(LOWER(F3576),""[^a-z\s]"","""")"),"i used to use other wellknown online mail pet services but they stopped carrying the brand of dog food i have given my beloved english singer spaniel for  years i then discovered petflow carried this brand they are courteous professional and most importan"&amp;"tly quick to deliver great service and helpful staff i now look to them first for my pet care needs")</f>
        <v>i used to use other wellknown online mail pet services but they stopped carrying the brand of dog food i have given my beloved english singer spaniel for  years i then discovered petflow carried this brand they are courteous professional and most importantly quick to deliver great service and helpful staff i now look to them first for my pet care needs</v>
      </c>
      <c r="H3576" s="4" t="str">
        <f t="shared" si="1"/>
        <v>i used use other wellknown online mail pet services but they stopped carrying brand of dog food i have given my beloved english singer spaniel years i then discovered petflow carried this brand they are courteous professional most importantly quick deliver great service helpful staff i now look them first my pet care needs</v>
      </c>
      <c r="I3576" s="6">
        <f t="shared" si="2"/>
        <v>54</v>
      </c>
      <c r="J3576" s="6">
        <f>IFERROR(__xludf.DUMMYFUNCTION("IF(H3576="""","""",
SUM(
ARRAYFORMULA(
IF(
REGEXMATCH(
"" ""&amp;H3576&amp;"" "",
"" ""&amp;Sentiment_Words!A$2:A3730&amp;"" ""
),
1,
0
)
)
)
)"),3.0)</f>
        <v>3</v>
      </c>
      <c r="K3576" s="4">
        <f>IFERROR(__xludf.DUMMYFUNCTION("IF(H3576="""","""",
SUM(
ARRAYFORMULA(
IF(
REGEXMATCH(
"" ""&amp;H3576&amp;"" "",
"" ""&amp;Sentiment_Words!B$2:B3730&amp;"" ""
),
1,
0
)
)
)
)"),0.0)</f>
        <v>0</v>
      </c>
      <c r="L3576" s="7" t="str">
        <f t="shared" si="3"/>
        <v>Customer Support</v>
      </c>
      <c r="M3576" s="7" t="str">
        <f t="shared" si="4"/>
        <v>Positive</v>
      </c>
      <c r="N3576" s="7" t="str">
        <f>IFERROR(__xludf.DUMMYFUNCTION("LOWER(
TRIM(
REGEXREPLACE(B3576,""[^a-zA-Z\s]"","""")
)
)
"),"mary beth alder")</f>
        <v>mary beth alder</v>
      </c>
      <c r="O3576" s="7">
        <f t="shared" si="5"/>
        <v>1</v>
      </c>
      <c r="P3576" s="8" t="str">
        <f t="shared" si="6"/>
        <v>No</v>
      </c>
    </row>
    <row r="3577">
      <c r="A3577" s="4" t="s">
        <v>16</v>
      </c>
      <c r="B3577" s="4" t="s">
        <v>9914</v>
      </c>
      <c r="C3577" s="5">
        <v>44496.0</v>
      </c>
      <c r="D3577" s="10">
        <v>44496.0</v>
      </c>
      <c r="E3577" s="4" t="s">
        <v>9915</v>
      </c>
      <c r="F3577" s="4" t="s">
        <v>9916</v>
      </c>
      <c r="G3577" s="6" t="str">
        <f>IFERROR(__xludf.DUMMYFUNCTION("REGEXREPLACE(LOWER(F3577),""[^a-z\s]"","""")"),"i ordered a product that said it was in stock only to be told  days later it was out of stock the website is misleading")</f>
        <v>i ordered a product that said it was in stock only to be told  days later it was out of stock the website is misleading</v>
      </c>
      <c r="H3577" s="4" t="str">
        <f t="shared" si="1"/>
        <v>i ordered a product that said it was in stock only be told days later it was out of stock website misleading</v>
      </c>
      <c r="I3577" s="6">
        <f t="shared" si="2"/>
        <v>22</v>
      </c>
      <c r="J3577" s="6">
        <f>IFERROR(__xludf.DUMMYFUNCTION("IF(H3577="""","""",
SUM(
ARRAYFORMULA(
IF(
REGEXMATCH(
"" ""&amp;H3577&amp;"" "",
"" ""&amp;Sentiment_Words!A$2:A3730&amp;"" ""
),
1,
0
)
)
)
)"),0.0)</f>
        <v>0</v>
      </c>
      <c r="K3577" s="4">
        <f>IFERROR(__xludf.DUMMYFUNCTION("IF(H3577="""","""",
SUM(
ARRAYFORMULA(
IF(
REGEXMATCH(
"" ""&amp;H3577&amp;"" "",
"" ""&amp;Sentiment_Words!B$2:B3730&amp;"" ""
),
1,
0
)
)
)
)"),1.0)</f>
        <v>1</v>
      </c>
      <c r="L3577" s="7" t="str">
        <f t="shared" si="3"/>
        <v>Fulfillment &amp; Shipping</v>
      </c>
      <c r="M3577" s="7" t="str">
        <f t="shared" si="4"/>
        <v>Negative</v>
      </c>
      <c r="N3577" s="7" t="str">
        <f>IFERROR(__xludf.DUMMYFUNCTION("LOWER(
TRIM(
REGEXREPLACE(B3577,""[^a-zA-Z\s]"","""")
)
)
"),"rose brown")</f>
        <v>rose brown</v>
      </c>
      <c r="O3577" s="7">
        <f t="shared" si="5"/>
        <v>1</v>
      </c>
      <c r="P3577" s="8" t="str">
        <f t="shared" si="6"/>
        <v>No</v>
      </c>
    </row>
    <row r="3578">
      <c r="A3578" s="4" t="s">
        <v>16</v>
      </c>
      <c r="B3578" s="4" t="s">
        <v>9917</v>
      </c>
      <c r="C3578" s="5">
        <v>44496.0</v>
      </c>
      <c r="D3578" s="10">
        <v>44496.0</v>
      </c>
      <c r="E3578" s="4" t="s">
        <v>9918</v>
      </c>
      <c r="F3578" s="4" t="s">
        <v>9919</v>
      </c>
      <c r="G3578" s="6" t="str">
        <f>IFERROR(__xludf.DUMMYFUNCTION("REGEXREPLACE(LOWER(F3578),""[^a-z\s]"","""")"),"great prices products and customer service")</f>
        <v>great prices products and customer service</v>
      </c>
      <c r="H3578" s="4" t="str">
        <f t="shared" si="1"/>
        <v>great prices products customer service</v>
      </c>
      <c r="I3578" s="6">
        <f t="shared" si="2"/>
        <v>5</v>
      </c>
      <c r="J3578" s="6">
        <f>IFERROR(__xludf.DUMMYFUNCTION("IF(H3578="""","""",
SUM(
ARRAYFORMULA(
IF(
REGEXMATCH(
"" ""&amp;H3578&amp;"" "",
"" ""&amp;Sentiment_Words!A$2:A3730&amp;"" ""
),
1,
0
)
)
)
)"),1.0)</f>
        <v>1</v>
      </c>
      <c r="K3578" s="4">
        <f>IFERROR(__xludf.DUMMYFUNCTION("IF(H3578="""","""",
SUM(
ARRAYFORMULA(
IF(
REGEXMATCH(
"" ""&amp;H3578&amp;"" "",
"" ""&amp;Sentiment_Words!B$2:B3730&amp;"" ""
),
1,
0
)
)
)
)"),1.0)</f>
        <v>1</v>
      </c>
      <c r="L3578" s="7" t="str">
        <f t="shared" si="3"/>
        <v>Customer Support</v>
      </c>
      <c r="M3578" s="7" t="str">
        <f t="shared" si="4"/>
        <v>Neutral</v>
      </c>
      <c r="N3578" s="7" t="str">
        <f>IFERROR(__xludf.DUMMYFUNCTION("LOWER(
TRIM(
REGEXREPLACE(B3578,""[^a-zA-Z\s]"","""")
)
)
"),"sue ash")</f>
        <v>sue ash</v>
      </c>
      <c r="O3578" s="7">
        <f t="shared" si="5"/>
        <v>1</v>
      </c>
      <c r="P3578" s="8" t="str">
        <f t="shared" si="6"/>
        <v>No</v>
      </c>
    </row>
    <row r="3579">
      <c r="A3579" s="4" t="s">
        <v>16</v>
      </c>
      <c r="B3579" s="4" t="s">
        <v>9920</v>
      </c>
      <c r="C3579" s="5">
        <v>44496.0</v>
      </c>
      <c r="D3579" s="10">
        <v>44496.0</v>
      </c>
      <c r="E3579" s="4" t="s">
        <v>9921</v>
      </c>
      <c r="F3579" s="4" t="s">
        <v>9922</v>
      </c>
      <c r="G3579" s="6" t="str">
        <f>IFERROR(__xludf.DUMMYFUNCTION("REGEXREPLACE(LOWER(F3579),""[^a-z\s]"","""")"),"the kitty litter box split and was all over the box")</f>
        <v>the kitty litter box split and was all over the box</v>
      </c>
      <c r="H3579" s="4" t="str">
        <f t="shared" si="1"/>
        <v>kitty litter box split was all over box</v>
      </c>
      <c r="I3579" s="6">
        <f t="shared" si="2"/>
        <v>8</v>
      </c>
      <c r="J3579" s="6">
        <f>IFERROR(__xludf.DUMMYFUNCTION("IF(H3579="""","""",
SUM(
ARRAYFORMULA(
IF(
REGEXMATCH(
"" ""&amp;H3579&amp;"" "",
"" ""&amp;Sentiment_Words!A$2:A3730&amp;"" ""
),
1,
0
)
)
)
)"),0.0)</f>
        <v>0</v>
      </c>
      <c r="K3579" s="4">
        <f>IFERROR(__xludf.DUMMYFUNCTION("IF(H3579="""","""",
SUM(
ARRAYFORMULA(
IF(
REGEXMATCH(
"" ""&amp;H3579&amp;"" "",
"" ""&amp;Sentiment_Words!B$2:B3730&amp;"" ""
),
1,
0
)
)
)
)"),0.0)</f>
        <v>0</v>
      </c>
      <c r="L3579" s="7" t="str">
        <f t="shared" si="3"/>
        <v>Other</v>
      </c>
      <c r="M3579" s="7" t="str">
        <f t="shared" si="4"/>
        <v>Neutral</v>
      </c>
      <c r="N3579" s="7" t="str">
        <f>IFERROR(__xludf.DUMMYFUNCTION("LOWER(
TRIM(
REGEXREPLACE(B3579,""[^a-zA-Z\s]"","""")
)
)
"),"philip jow")</f>
        <v>philip jow</v>
      </c>
      <c r="O3579" s="7">
        <f t="shared" si="5"/>
        <v>1</v>
      </c>
      <c r="P3579" s="8" t="str">
        <f t="shared" si="6"/>
        <v>No</v>
      </c>
    </row>
    <row r="3580">
      <c r="A3580" s="4" t="s">
        <v>16</v>
      </c>
      <c r="B3580" s="4" t="s">
        <v>9923</v>
      </c>
      <c r="C3580" s="5">
        <v>44496.0</v>
      </c>
      <c r="D3580" s="10">
        <v>44496.0</v>
      </c>
      <c r="E3580" s="4" t="s">
        <v>9924</v>
      </c>
      <c r="F3580" s="4" t="s">
        <v>9925</v>
      </c>
      <c r="G3580" s="6" t="str">
        <f>IFERROR(__xludf.DUMMYFUNCTION("REGEXREPLACE(LOWER(F3580),""[^a-z\s]"","""")"),"fast carefully packed service")</f>
        <v>fast carefully packed service</v>
      </c>
      <c r="H3580" s="4" t="str">
        <f t="shared" si="1"/>
        <v>fast carefully packed service</v>
      </c>
      <c r="I3580" s="6">
        <f t="shared" si="2"/>
        <v>4</v>
      </c>
      <c r="J3580" s="6">
        <f>IFERROR(__xludf.DUMMYFUNCTION("IF(H3580="""","""",
SUM(
ARRAYFORMULA(
IF(
REGEXMATCH(
"" ""&amp;H3580&amp;"" "",
"" ""&amp;Sentiment_Words!A$2:A3730&amp;"" ""
),
1,
0
)
)
)
)"),1.0)</f>
        <v>1</v>
      </c>
      <c r="K3580" s="4">
        <f>IFERROR(__xludf.DUMMYFUNCTION("IF(H3580="""","""",
SUM(
ARRAYFORMULA(
IF(
REGEXMATCH(
"" ""&amp;H3580&amp;"" "",
"" ""&amp;Sentiment_Words!B$2:B3730&amp;"" ""
),
1,
0
)
)
)
)"),0.0)</f>
        <v>0</v>
      </c>
      <c r="L3580" s="7" t="str">
        <f t="shared" si="3"/>
        <v>Customer Support</v>
      </c>
      <c r="M3580" s="7" t="str">
        <f t="shared" si="4"/>
        <v>Positive</v>
      </c>
      <c r="N3580" s="7" t="str">
        <f>IFERROR(__xludf.DUMMYFUNCTION("LOWER(
TRIM(
REGEXREPLACE(B3580,""[^a-zA-Z\s]"","""")
)
)
"),"maryanne kramer")</f>
        <v>maryanne kramer</v>
      </c>
      <c r="O3580" s="7">
        <f t="shared" si="5"/>
        <v>1</v>
      </c>
      <c r="P3580" s="8" t="str">
        <f t="shared" si="6"/>
        <v>No</v>
      </c>
    </row>
    <row r="3581">
      <c r="A3581" s="4" t="s">
        <v>16</v>
      </c>
      <c r="B3581" s="4" t="s">
        <v>5334</v>
      </c>
      <c r="C3581" s="5">
        <v>44495.0</v>
      </c>
      <c r="D3581" s="10">
        <v>44495.0</v>
      </c>
      <c r="E3581" s="4" t="s">
        <v>9926</v>
      </c>
      <c r="F3581" s="4" t="s">
        <v>9927</v>
      </c>
      <c r="G3581" s="6" t="str">
        <f>IFERROR(__xludf.DUMMYFUNCTION("REGEXREPLACE(LOWER(F3581),""[^a-z\s]"","""")"),"this is a fantastic gate it looks divine and was easy to assemble perfect for my maltese thank you")</f>
        <v>this is a fantastic gate it looks divine and was easy to assemble perfect for my maltese thank you</v>
      </c>
      <c r="H3581" s="4" t="str">
        <f t="shared" si="1"/>
        <v>this a fantastic gate it looks divine was easy assemble perfect my maltese thank you</v>
      </c>
      <c r="I3581" s="6">
        <f t="shared" si="2"/>
        <v>15</v>
      </c>
      <c r="J3581" s="6">
        <f>IFERROR(__xludf.DUMMYFUNCTION("IF(H3581="""","""",
SUM(
ARRAYFORMULA(
IF(
REGEXMATCH(
"" ""&amp;H3581&amp;"" "",
"" ""&amp;Sentiment_Words!A$2:A3730&amp;"" ""
),
1,
0
)
)
)
)"),1.0)</f>
        <v>1</v>
      </c>
      <c r="K3581" s="4">
        <f>IFERROR(__xludf.DUMMYFUNCTION("IF(H3581="""","""",
SUM(
ARRAYFORMULA(
IF(
REGEXMATCH(
"" ""&amp;H3581&amp;"" "",
"" ""&amp;Sentiment_Words!B$2:B3730&amp;"" ""
),
1,
0
)
)
)
)"),0.0)</f>
        <v>0</v>
      </c>
      <c r="L3581" s="7" t="str">
        <f t="shared" si="3"/>
        <v>Other</v>
      </c>
      <c r="M3581" s="7" t="str">
        <f t="shared" si="4"/>
        <v>Positive</v>
      </c>
      <c r="N3581" s="7" t="str">
        <f>IFERROR(__xludf.DUMMYFUNCTION("LOWER(
TRIM(
REGEXREPLACE(B3581,""[^a-zA-Z\s]"","""")
)
)
"),"joan")</f>
        <v>joan</v>
      </c>
      <c r="O3581" s="7">
        <f t="shared" si="5"/>
        <v>7</v>
      </c>
      <c r="P3581" s="8" t="str">
        <f t="shared" si="6"/>
        <v>Yes</v>
      </c>
    </row>
    <row r="3582">
      <c r="A3582" s="4" t="s">
        <v>16</v>
      </c>
      <c r="B3582" s="4" t="s">
        <v>9928</v>
      </c>
      <c r="C3582" s="5">
        <v>44495.0</v>
      </c>
      <c r="D3582" s="10">
        <v>44495.0</v>
      </c>
      <c r="E3582" s="4" t="s">
        <v>4440</v>
      </c>
      <c r="F3582" s="4" t="s">
        <v>9929</v>
      </c>
      <c r="G3582" s="6" t="str">
        <f>IFERROR(__xludf.DUMMYFUNCTION("REGEXREPLACE(LOWER(F3582),""[^a-z\s]"","""")"),"you take orders knowing products not available no trust ever again")</f>
        <v>you take orders knowing products not available no trust ever again</v>
      </c>
      <c r="H3582" s="4" t="str">
        <f t="shared" si="1"/>
        <v>you take orders knowing products not available no trust ever again</v>
      </c>
      <c r="I3582" s="6">
        <f t="shared" si="2"/>
        <v>11</v>
      </c>
      <c r="J3582" s="6">
        <f>IFERROR(__xludf.DUMMYFUNCTION("IF(H3582="""","""",
SUM(
ARRAYFORMULA(
IF(
REGEXMATCH(
"" ""&amp;H3582&amp;"" "",
"" ""&amp;Sentiment_Words!A$2:A3730&amp;"" ""
),
1,
0
)
)
)
)"),1.0)</f>
        <v>1</v>
      </c>
      <c r="K3582" s="4">
        <f>IFERROR(__xludf.DUMMYFUNCTION("IF(H3582="""","""",
SUM(
ARRAYFORMULA(
IF(
REGEXMATCH(
"" ""&amp;H3582&amp;"" "",
"" ""&amp;Sentiment_Words!B$2:B3730&amp;"" ""
),
1,
0
)
)
)
)"),0.0)</f>
        <v>0</v>
      </c>
      <c r="L3582" s="7" t="str">
        <f t="shared" si="3"/>
        <v>Trust &amp; Experience</v>
      </c>
      <c r="M3582" s="7" t="str">
        <f t="shared" si="4"/>
        <v>Positive</v>
      </c>
      <c r="N3582" s="7" t="str">
        <f>IFERROR(__xludf.DUMMYFUNCTION("LOWER(
TRIM(
REGEXREPLACE(B3582,""[^a-zA-Z\s]"","""")
)
)
"),"susan foster")</f>
        <v>susan foster</v>
      </c>
      <c r="O3582" s="7">
        <f t="shared" si="5"/>
        <v>1</v>
      </c>
      <c r="P3582" s="8" t="str">
        <f t="shared" si="6"/>
        <v>No</v>
      </c>
    </row>
    <row r="3583">
      <c r="A3583" s="4" t="s">
        <v>16</v>
      </c>
      <c r="B3583" s="4" t="s">
        <v>9930</v>
      </c>
      <c r="C3583" s="5">
        <v>44495.0</v>
      </c>
      <c r="D3583" s="10">
        <v>44495.0</v>
      </c>
      <c r="E3583" s="4" t="s">
        <v>9931</v>
      </c>
      <c r="F3583" s="4" t="s">
        <v>9932</v>
      </c>
      <c r="G3583" s="6" t="str">
        <f>IFERROR(__xludf.DUMMYFUNCTION("REGEXREPLACE(LOWER(F3583),""[^a-z\s]"","""")"),"petflow has a good selection of products they are almost always in stock the have competitive pricing and they deliver quickly usually  days")</f>
        <v>petflow has a good selection of products they are almost always in stock the have competitive pricing and they deliver quickly usually  days</v>
      </c>
      <c r="H3583" s="4" t="str">
        <f t="shared" si="1"/>
        <v>petflow has a good selection of products they are almost always in stock have competitive pricing they deliver quickly usually days</v>
      </c>
      <c r="I3583" s="6">
        <f t="shared" si="2"/>
        <v>21</v>
      </c>
      <c r="J3583" s="6">
        <f>IFERROR(__xludf.DUMMYFUNCTION("IF(H3583="""","""",
SUM(
ARRAYFORMULA(
IF(
REGEXMATCH(
"" ""&amp;H3583&amp;"" "",
"" ""&amp;Sentiment_Words!A$2:A3730&amp;"" ""
),
1,
0
)
)
)
)"),1.0)</f>
        <v>1</v>
      </c>
      <c r="K3583" s="4">
        <f>IFERROR(__xludf.DUMMYFUNCTION("IF(H3583="""","""",
SUM(
ARRAYFORMULA(
IF(
REGEXMATCH(
"" ""&amp;H3583&amp;"" "",
"" ""&amp;Sentiment_Words!B$2:B3730&amp;"" ""
),
1,
0
)
)
)
)"),0.0)</f>
        <v>0</v>
      </c>
      <c r="L3583" s="7" t="str">
        <f t="shared" si="3"/>
        <v>Other</v>
      </c>
      <c r="M3583" s="7" t="str">
        <f t="shared" si="4"/>
        <v>Positive</v>
      </c>
      <c r="N3583" s="7" t="str">
        <f>IFERROR(__xludf.DUMMYFUNCTION("LOWER(
TRIM(
REGEXREPLACE(B3583,""[^a-zA-Z\s]"","""")
)
)
"),"julie kassis")</f>
        <v>julie kassis</v>
      </c>
      <c r="O3583" s="7">
        <f t="shared" si="5"/>
        <v>1</v>
      </c>
      <c r="P3583" s="8" t="str">
        <f t="shared" si="6"/>
        <v>No</v>
      </c>
    </row>
    <row r="3584">
      <c r="A3584" s="4" t="s">
        <v>16</v>
      </c>
      <c r="B3584" s="4" t="s">
        <v>9933</v>
      </c>
      <c r="C3584" s="5">
        <v>44495.0</v>
      </c>
      <c r="D3584" s="10">
        <v>44495.0</v>
      </c>
      <c r="E3584" s="4" t="s">
        <v>9934</v>
      </c>
      <c r="F3584" s="4" t="s">
        <v>331</v>
      </c>
      <c r="G3584" s="6" t="str">
        <f>IFERROR(__xludf.DUMMYFUNCTION("REGEXREPLACE(LOWER(F3584),""[^a-z\s]"","""")"),"none")</f>
        <v>none</v>
      </c>
      <c r="H3584" s="4" t="str">
        <f t="shared" si="1"/>
        <v>none</v>
      </c>
      <c r="I3584" s="6">
        <f t="shared" si="2"/>
        <v>1</v>
      </c>
      <c r="J3584" s="6">
        <f>IFERROR(__xludf.DUMMYFUNCTION("IF(H3584="""","""",
SUM(
ARRAYFORMULA(
IF(
REGEXMATCH(
"" ""&amp;H3584&amp;"" "",
"" ""&amp;Sentiment_Words!A$2:A3730&amp;"" ""
),
1,
0
)
)
)
)"),0.0)</f>
        <v>0</v>
      </c>
      <c r="K3584" s="4">
        <f>IFERROR(__xludf.DUMMYFUNCTION("IF(H3584="""","""",
SUM(
ARRAYFORMULA(
IF(
REGEXMATCH(
"" ""&amp;H3584&amp;"" "",
"" ""&amp;Sentiment_Words!B$2:B3730&amp;"" ""
),
1,
0
)
)
)
)"),0.0)</f>
        <v>0</v>
      </c>
      <c r="L3584" s="7" t="str">
        <f t="shared" si="3"/>
        <v>Other</v>
      </c>
      <c r="M3584" s="7" t="str">
        <f t="shared" si="4"/>
        <v>Neutral</v>
      </c>
      <c r="N3584" s="7" t="str">
        <f>IFERROR(__xludf.DUMMYFUNCTION("LOWER(
TRIM(
REGEXREPLACE(B3584,""[^a-zA-Z\s]"","""")
)
)
"),"steven goldstein")</f>
        <v>steven goldstein</v>
      </c>
      <c r="O3584" s="7">
        <f t="shared" si="5"/>
        <v>1</v>
      </c>
      <c r="P3584" s="8" t="str">
        <f t="shared" si="6"/>
        <v>No</v>
      </c>
    </row>
    <row r="3585">
      <c r="A3585" s="4" t="s">
        <v>16</v>
      </c>
      <c r="B3585" s="4" t="s">
        <v>9935</v>
      </c>
      <c r="C3585" s="5">
        <v>44495.0</v>
      </c>
      <c r="D3585" s="10">
        <v>44495.0</v>
      </c>
      <c r="E3585" s="4" t="s">
        <v>725</v>
      </c>
      <c r="F3585" s="4" t="s">
        <v>331</v>
      </c>
      <c r="G3585" s="6" t="str">
        <f>IFERROR(__xludf.DUMMYFUNCTION("REGEXREPLACE(LOWER(F3585),""[^a-z\s]"","""")"),"none")</f>
        <v>none</v>
      </c>
      <c r="H3585" s="4" t="str">
        <f t="shared" si="1"/>
        <v>none</v>
      </c>
      <c r="I3585" s="6">
        <f t="shared" si="2"/>
        <v>1</v>
      </c>
      <c r="J3585" s="6">
        <f>IFERROR(__xludf.DUMMYFUNCTION("IF(H3585="""","""",
SUM(
ARRAYFORMULA(
IF(
REGEXMATCH(
"" ""&amp;H3585&amp;"" "",
"" ""&amp;Sentiment_Words!A$2:A3730&amp;"" ""
),
1,
0
)
)
)
)"),0.0)</f>
        <v>0</v>
      </c>
      <c r="K3585" s="4">
        <f>IFERROR(__xludf.DUMMYFUNCTION("IF(H3585="""","""",
SUM(
ARRAYFORMULA(
IF(
REGEXMATCH(
"" ""&amp;H3585&amp;"" "",
"" ""&amp;Sentiment_Words!B$2:B3730&amp;"" ""
),
1,
0
)
)
)
)"),0.0)</f>
        <v>0</v>
      </c>
      <c r="L3585" s="7" t="str">
        <f t="shared" si="3"/>
        <v>Other</v>
      </c>
      <c r="M3585" s="7" t="str">
        <f t="shared" si="4"/>
        <v>Neutral</v>
      </c>
      <c r="N3585" s="7" t="str">
        <f>IFERROR(__xludf.DUMMYFUNCTION("LOWER(
TRIM(
REGEXREPLACE(B3585,""[^a-zA-Z\s]"","""")
)
)
"),"julie roberts")</f>
        <v>julie roberts</v>
      </c>
      <c r="O3585" s="7">
        <f t="shared" si="5"/>
        <v>1</v>
      </c>
      <c r="P3585" s="8" t="str">
        <f t="shared" si="6"/>
        <v>No</v>
      </c>
    </row>
    <row r="3586">
      <c r="A3586" s="4" t="s">
        <v>16</v>
      </c>
      <c r="B3586" s="4" t="s">
        <v>9936</v>
      </c>
      <c r="C3586" s="5">
        <v>44495.0</v>
      </c>
      <c r="D3586" s="10">
        <v>44495.0</v>
      </c>
      <c r="E3586" s="4" t="s">
        <v>9937</v>
      </c>
      <c r="F3586" s="4" t="s">
        <v>331</v>
      </c>
      <c r="G3586" s="6" t="str">
        <f>IFERROR(__xludf.DUMMYFUNCTION("REGEXREPLACE(LOWER(F3586),""[^a-z\s]"","""")"),"none")</f>
        <v>none</v>
      </c>
      <c r="H3586" s="4" t="str">
        <f t="shared" si="1"/>
        <v>none</v>
      </c>
      <c r="I3586" s="6">
        <f t="shared" si="2"/>
        <v>1</v>
      </c>
      <c r="J3586" s="6">
        <f>IFERROR(__xludf.DUMMYFUNCTION("IF(H3586="""","""",
SUM(
ARRAYFORMULA(
IF(
REGEXMATCH(
"" ""&amp;H3586&amp;"" "",
"" ""&amp;Sentiment_Words!A$2:A3730&amp;"" ""
),
1,
0
)
)
)
)"),0.0)</f>
        <v>0</v>
      </c>
      <c r="K3586" s="4">
        <f>IFERROR(__xludf.DUMMYFUNCTION("IF(H3586="""","""",
SUM(
ARRAYFORMULA(
IF(
REGEXMATCH(
"" ""&amp;H3586&amp;"" "",
"" ""&amp;Sentiment_Words!B$2:B3730&amp;"" ""
),
1,
0
)
)
)
)"),0.0)</f>
        <v>0</v>
      </c>
      <c r="L3586" s="7" t="str">
        <f t="shared" si="3"/>
        <v>Other</v>
      </c>
      <c r="M3586" s="7" t="str">
        <f t="shared" si="4"/>
        <v>Neutral</v>
      </c>
      <c r="N3586" s="7" t="str">
        <f>IFERROR(__xludf.DUMMYFUNCTION("LOWER(
TRIM(
REGEXREPLACE(B3586,""[^a-zA-Z\s]"","""")
)
)
"),"deborah prinz")</f>
        <v>deborah prinz</v>
      </c>
      <c r="O3586" s="7">
        <f t="shared" si="5"/>
        <v>1</v>
      </c>
      <c r="P3586" s="8" t="str">
        <f t="shared" si="6"/>
        <v>No</v>
      </c>
    </row>
    <row r="3587">
      <c r="A3587" s="4" t="s">
        <v>16</v>
      </c>
      <c r="B3587" s="4" t="s">
        <v>2595</v>
      </c>
      <c r="C3587" s="5">
        <v>44495.0</v>
      </c>
      <c r="D3587" s="10">
        <v>44495.0</v>
      </c>
      <c r="E3587" s="4" t="s">
        <v>9938</v>
      </c>
      <c r="F3587" s="4" t="s">
        <v>9939</v>
      </c>
      <c r="G3587" s="6" t="str">
        <f>IFERROR(__xludf.DUMMYFUNCTION("REGEXREPLACE(LOWER(F3587),""[^a-z\s]"","""")"),"reliable product easy ordering process dependable delivery thanks petflow")</f>
        <v>reliable product easy ordering process dependable delivery thanks petflow</v>
      </c>
      <c r="H3587" s="4" t="str">
        <f t="shared" si="1"/>
        <v>reliable product easy ordering process dependable delivery thanks petflow</v>
      </c>
      <c r="I3587" s="6">
        <f t="shared" si="2"/>
        <v>9</v>
      </c>
      <c r="J3587" s="6">
        <f>IFERROR(__xludf.DUMMYFUNCTION("IF(H3587="""","""",
SUM(
ARRAYFORMULA(
IF(
REGEXMATCH(
"" ""&amp;H3587&amp;"" "",
"" ""&amp;Sentiment_Words!A$2:A3730&amp;"" ""
),
1,
0
)
)
)
)"),2.0)</f>
        <v>2</v>
      </c>
      <c r="K3587" s="4">
        <f>IFERROR(__xludf.DUMMYFUNCTION("IF(H3587="""","""",
SUM(
ARRAYFORMULA(
IF(
REGEXMATCH(
"" ""&amp;H3587&amp;"" "",
"" ""&amp;Sentiment_Words!B$2:B3730&amp;"" ""
),
1,
0
)
)
)
)"),0.0)</f>
        <v>0</v>
      </c>
      <c r="L3587" s="7" t="str">
        <f t="shared" si="3"/>
        <v>Other</v>
      </c>
      <c r="M3587" s="7" t="str">
        <f t="shared" si="4"/>
        <v>Positive</v>
      </c>
      <c r="N3587" s="7" t="str">
        <f>IFERROR(__xludf.DUMMYFUNCTION("LOWER(
TRIM(
REGEXREPLACE(B3587,""[^a-zA-Z\s]"","""")
)
)
"),"susan")</f>
        <v>susan</v>
      </c>
      <c r="O3587" s="7">
        <f t="shared" si="5"/>
        <v>5</v>
      </c>
      <c r="P3587" s="8" t="str">
        <f t="shared" si="6"/>
        <v>Yes</v>
      </c>
    </row>
    <row r="3588">
      <c r="A3588" s="4" t="s">
        <v>16</v>
      </c>
      <c r="B3588" s="4" t="s">
        <v>9940</v>
      </c>
      <c r="C3588" s="5">
        <v>44494.0</v>
      </c>
      <c r="D3588" s="10">
        <v>44494.0</v>
      </c>
      <c r="E3588" s="4" t="s">
        <v>9941</v>
      </c>
      <c r="F3588" s="4" t="s">
        <v>9860</v>
      </c>
      <c r="G3588" s="6" t="str">
        <f>IFERROR(__xludf.DUMMYFUNCTION("REGEXREPLACE(LOWER(F3588),""[^a-z\s]"","""")"),"products are fine website is fine but i have a problem with auto ship set up it is impossible to cancel auto ship program i can delay and change the date of shipment but cannot cancel without calling the office and because of this have received duplicate "&amp;"shipments")</f>
        <v>products are fine website is fine but i have a problem with auto ship set up it is impossible to cancel auto ship program i can delay and change the date of shipment but cannot cancel without calling the office and because of this have received duplicate shipments</v>
      </c>
      <c r="H3588" s="4" t="str">
        <f t="shared" si="1"/>
        <v>products are fine website fine but i have a problem with auto ship set up it impossible cancel auto ship program i can delay change date of shipment but cannot cancel without calling office because of this have received duplicate shipments</v>
      </c>
      <c r="I3588" s="6">
        <f t="shared" si="2"/>
        <v>41</v>
      </c>
      <c r="J3588" s="6">
        <f>IFERROR(__xludf.DUMMYFUNCTION("IF(H3588="""","""",
SUM(
ARRAYFORMULA(
IF(
REGEXMATCH(
"" ""&amp;H3588&amp;"" "",
"" ""&amp;Sentiment_Words!A$2:A3730&amp;"" ""
),
1,
0
)
)
)
)"),1.0)</f>
        <v>1</v>
      </c>
      <c r="K3588" s="4">
        <f>IFERROR(__xludf.DUMMYFUNCTION("IF(H3588="""","""",
SUM(
ARRAYFORMULA(
IF(
REGEXMATCH(
"" ""&amp;H3588&amp;"" "",
"" ""&amp;Sentiment_Words!B$2:B3730&amp;"" ""
),
1,
0
)
)
)
)"),2.0)</f>
        <v>2</v>
      </c>
      <c r="L3588" s="7" t="str">
        <f t="shared" si="3"/>
        <v>Fulfillment &amp; Shipping</v>
      </c>
      <c r="M3588" s="7" t="str">
        <f t="shared" si="4"/>
        <v>Negative</v>
      </c>
      <c r="N3588" s="7" t="str">
        <f>IFERROR(__xludf.DUMMYFUNCTION("LOWER(
TRIM(
REGEXREPLACE(B3588,""[^a-zA-Z\s]"","""")
)
)
"),"noisyhouse")</f>
        <v>noisyhouse</v>
      </c>
      <c r="O3588" s="7">
        <f t="shared" si="5"/>
        <v>1</v>
      </c>
      <c r="P3588" s="8" t="str">
        <f t="shared" si="6"/>
        <v>No</v>
      </c>
    </row>
    <row r="3589">
      <c r="A3589" s="4" t="s">
        <v>16</v>
      </c>
      <c r="B3589" s="4" t="s">
        <v>9942</v>
      </c>
      <c r="C3589" s="5">
        <v>44494.0</v>
      </c>
      <c r="D3589" s="10">
        <v>44494.0</v>
      </c>
      <c r="E3589" s="4" t="s">
        <v>9943</v>
      </c>
      <c r="F3589" s="4" t="s">
        <v>9944</v>
      </c>
      <c r="G3589" s="6" t="str">
        <f>IFERROR(__xludf.DUMMYFUNCTION("REGEXREPLACE(LOWER(F3589),""[^a-z\s]"","""")"),"i have place  orders with petflow both orders shipped out on the same day packages arrived quickly excellent company highly recommend")</f>
        <v>i have place  orders with petflow both orders shipped out on the same day packages arrived quickly excellent company highly recommend</v>
      </c>
      <c r="H3589" s="4" t="str">
        <f t="shared" si="1"/>
        <v>i have place orders with petflow both orders shipped out on same day packages arrived quickly excellent company highly recommend</v>
      </c>
      <c r="I3589" s="6">
        <f t="shared" si="2"/>
        <v>20</v>
      </c>
      <c r="J3589" s="6">
        <f>IFERROR(__xludf.DUMMYFUNCTION("IF(H3589="""","""",
SUM(
ARRAYFORMULA(
IF(
REGEXMATCH(
"" ""&amp;H3589&amp;"" "",
"" ""&amp;Sentiment_Words!A$2:A3730&amp;"" ""
),
1,
0
)
)
)
)"),0.0)</f>
        <v>0</v>
      </c>
      <c r="K3589" s="4">
        <f>IFERROR(__xludf.DUMMYFUNCTION("IF(H3589="""","""",
SUM(
ARRAYFORMULA(
IF(
REGEXMATCH(
"" ""&amp;H3589&amp;"" "",
"" ""&amp;Sentiment_Words!B$2:B3730&amp;"" ""
),
1,
0
)
)
)
)"),0.0)</f>
        <v>0</v>
      </c>
      <c r="L3589" s="7" t="str">
        <f t="shared" si="3"/>
        <v>Other</v>
      </c>
      <c r="M3589" s="7" t="str">
        <f t="shared" si="4"/>
        <v>Neutral</v>
      </c>
      <c r="N3589" s="7" t="str">
        <f>IFERROR(__xludf.DUMMYFUNCTION("LOWER(
TRIM(
REGEXREPLACE(B3589,""[^a-zA-Z\s]"","""")
)
)
"),"astoria")</f>
        <v>astoria</v>
      </c>
      <c r="O3589" s="7">
        <f t="shared" si="5"/>
        <v>1</v>
      </c>
      <c r="P3589" s="8" t="str">
        <f t="shared" si="6"/>
        <v>No</v>
      </c>
    </row>
    <row r="3590">
      <c r="A3590" s="4" t="s">
        <v>16</v>
      </c>
      <c r="B3590" s="4" t="s">
        <v>1910</v>
      </c>
      <c r="C3590" s="5">
        <v>44494.0</v>
      </c>
      <c r="D3590" s="10">
        <v>44494.0</v>
      </c>
      <c r="E3590" s="4" t="s">
        <v>9945</v>
      </c>
      <c r="F3590" s="4" t="s">
        <v>9946</v>
      </c>
      <c r="G3590" s="6" t="str">
        <f>IFERROR(__xludf.DUMMYFUNCTION("REGEXREPLACE(LOWER(F3590),""[^a-z\s]"","""")"),"great selection of products  emphasis on very healthy items good price points  delivery is always on time  in good condition")</f>
        <v>great selection of products  emphasis on very healthy items good price points  delivery is always on time  in good condition</v>
      </c>
      <c r="H3590" s="4" t="str">
        <f t="shared" si="1"/>
        <v>great selection of products emphasis on very healthy items good price points delivery always on time in good condition</v>
      </c>
      <c r="I3590" s="6">
        <f t="shared" si="2"/>
        <v>19</v>
      </c>
      <c r="J3590" s="6">
        <f>IFERROR(__xludf.DUMMYFUNCTION("IF(H3590="""","""",
SUM(
ARRAYFORMULA(
IF(
REGEXMATCH(
"" ""&amp;H3590&amp;"" "",
"" ""&amp;Sentiment_Words!A$2:A3730&amp;"" ""
),
1,
0
)
)
)
)"),3.0)</f>
        <v>3</v>
      </c>
      <c r="K3590" s="4">
        <f>IFERROR(__xludf.DUMMYFUNCTION("IF(H3590="""","""",
SUM(
ARRAYFORMULA(
IF(
REGEXMATCH(
"" ""&amp;H3590&amp;"" "",
"" ""&amp;Sentiment_Words!B$2:B3730&amp;"" ""
),
1,
0
)
)
)
)"),0.0)</f>
        <v>0</v>
      </c>
      <c r="L3590" s="7" t="str">
        <f t="shared" si="3"/>
        <v>Other</v>
      </c>
      <c r="M3590" s="7" t="str">
        <f t="shared" si="4"/>
        <v>Positive</v>
      </c>
      <c r="N3590" s="7" t="str">
        <f>IFERROR(__xludf.DUMMYFUNCTION("LOWER(
TRIM(
REGEXREPLACE(B3590,""[^a-zA-Z\s]"","""")
)
)
"),"diane")</f>
        <v>diane</v>
      </c>
      <c r="O3590" s="7">
        <f t="shared" si="5"/>
        <v>7</v>
      </c>
      <c r="P3590" s="8" t="str">
        <f t="shared" si="6"/>
        <v>Yes</v>
      </c>
    </row>
    <row r="3591">
      <c r="A3591" s="4" t="s">
        <v>16</v>
      </c>
      <c r="B3591" s="4" t="s">
        <v>7293</v>
      </c>
      <c r="C3591" s="5">
        <v>44494.0</v>
      </c>
      <c r="D3591" s="10">
        <v>44494.0</v>
      </c>
      <c r="E3591" s="4" t="s">
        <v>9947</v>
      </c>
      <c r="F3591" s="4" t="s">
        <v>9948</v>
      </c>
      <c r="G3591" s="6" t="str">
        <f>IFERROR(__xludf.DUMMYFUNCTION("REGEXREPLACE(LOWER(F3591),""[^a-z\s]"","""")"),"thank you for carrying my dogs prescription dog food hills metabolic your website was the only trustworthy site in stock my dog beau says thanks for his food too")</f>
        <v>thank you for carrying my dogs prescription dog food hills metabolic your website was the only trustworthy site in stock my dog beau says thanks for his food too</v>
      </c>
      <c r="H3591" s="4" t="str">
        <f t="shared" si="1"/>
        <v>thank you carrying my dogs prescription dog food hills metabolic your website was only trustworthy site in stock my dog beau says thanks his food too</v>
      </c>
      <c r="I3591" s="6">
        <f t="shared" si="2"/>
        <v>26</v>
      </c>
      <c r="J3591" s="6">
        <f>IFERROR(__xludf.DUMMYFUNCTION("IF(H3591="""","""",
SUM(
ARRAYFORMULA(
IF(
REGEXMATCH(
"" ""&amp;H3591&amp;"" "",
"" ""&amp;Sentiment_Words!A$2:A3730&amp;"" ""
),
1,
0
)
)
)
)"),0.0)</f>
        <v>0</v>
      </c>
      <c r="K3591" s="4">
        <f>IFERROR(__xludf.DUMMYFUNCTION("IF(H3591="""","""",
SUM(
ARRAYFORMULA(
IF(
REGEXMATCH(
"" ""&amp;H3591&amp;"" "",
"" ""&amp;Sentiment_Words!B$2:B3730&amp;"" ""
),
1,
0
)
)
)
)"),0.0)</f>
        <v>0</v>
      </c>
      <c r="L3591" s="7" t="str">
        <f t="shared" si="3"/>
        <v>Account &amp; Website</v>
      </c>
      <c r="M3591" s="7" t="str">
        <f t="shared" si="4"/>
        <v>Neutral</v>
      </c>
      <c r="N3591" s="7" t="str">
        <f>IFERROR(__xludf.DUMMYFUNCTION("LOWER(
TRIM(
REGEXREPLACE(B3591,""[^a-zA-Z\s]"","""")
)
)
"),"donna")</f>
        <v>donna</v>
      </c>
      <c r="O3591" s="7">
        <f t="shared" si="5"/>
        <v>5</v>
      </c>
      <c r="P3591" s="8" t="str">
        <f t="shared" si="6"/>
        <v>Yes</v>
      </c>
    </row>
    <row r="3592">
      <c r="A3592" s="4" t="s">
        <v>16</v>
      </c>
      <c r="B3592" s="4" t="s">
        <v>9949</v>
      </c>
      <c r="C3592" s="5">
        <v>44494.0</v>
      </c>
      <c r="D3592" s="10">
        <v>44494.0</v>
      </c>
      <c r="E3592" s="4" t="s">
        <v>9950</v>
      </c>
      <c r="F3592" s="4" t="s">
        <v>9951</v>
      </c>
      <c r="G3592" s="6" t="str">
        <f>IFERROR(__xludf.DUMMYFUNCTION("REGEXREPLACE(LOWER(F3592),""[^a-z\s]"","""")"),"i ordered food for my dog on the petflow website my first order took a little while because they needed to verify with my vet since it was a prescription food my second order was shipped the next day and arrived a day later at my house excellent service t"&amp;"hank you")</f>
        <v>i ordered food for my dog on the petflow website my first order took a little while because they needed to verify with my vet since it was a prescription food my second order was shipped the next day and arrived a day later at my house excellent service thank you</v>
      </c>
      <c r="H3592" s="4" t="str">
        <f t="shared" si="1"/>
        <v>i ordered food my dog on petflow website my first order took a little while because they needed verify with my vet since it was a prescription food my second order was shipped next day arrived a day later at my house excellent service thank you</v>
      </c>
      <c r="I3592" s="6">
        <f t="shared" si="2"/>
        <v>46</v>
      </c>
      <c r="J3592" s="6">
        <f>IFERROR(__xludf.DUMMYFUNCTION("IF(H3592="""","""",
SUM(
ARRAYFORMULA(
IF(
REGEXMATCH(
"" ""&amp;H3592&amp;"" "",
"" ""&amp;Sentiment_Words!A$2:A3730&amp;"" ""
),
1,
0
)
)
)
)"),0.0)</f>
        <v>0</v>
      </c>
      <c r="K3592" s="4">
        <f>IFERROR(__xludf.DUMMYFUNCTION("IF(H3592="""","""",
SUM(
ARRAYFORMULA(
IF(
REGEXMATCH(
"" ""&amp;H3592&amp;"" "",
"" ""&amp;Sentiment_Words!B$2:B3730&amp;"" ""
),
1,
0
)
)
)
)"),0.0)</f>
        <v>0</v>
      </c>
      <c r="L3592" s="7" t="str">
        <f t="shared" si="3"/>
        <v>Customer Support</v>
      </c>
      <c r="M3592" s="7" t="str">
        <f t="shared" si="4"/>
        <v>Neutral</v>
      </c>
      <c r="N3592" s="7" t="str">
        <f>IFERROR(__xludf.DUMMYFUNCTION("LOWER(
TRIM(
REGEXREPLACE(B3592,""[^a-zA-Z\s]"","""")
)
)
"),"dale")</f>
        <v>dale</v>
      </c>
      <c r="O3592" s="7">
        <f t="shared" si="5"/>
        <v>1</v>
      </c>
      <c r="P3592" s="8" t="str">
        <f t="shared" si="6"/>
        <v>No</v>
      </c>
    </row>
    <row r="3593">
      <c r="A3593" s="4" t="s">
        <v>16</v>
      </c>
      <c r="B3593" s="4" t="s">
        <v>5334</v>
      </c>
      <c r="C3593" s="5">
        <v>44494.0</v>
      </c>
      <c r="D3593" s="10">
        <v>44494.0</v>
      </c>
      <c r="E3593" s="4" t="s">
        <v>190</v>
      </c>
      <c r="F3593" s="4" t="s">
        <v>9952</v>
      </c>
      <c r="G3593" s="6" t="str">
        <f>IFERROR(__xludf.DUMMYFUNCTION("REGEXREPLACE(LOWER(F3593),""[^a-z\s]"","""")"),"great customer service quick  courteous")</f>
        <v>great customer service quick  courteous</v>
      </c>
      <c r="H3593" s="4" t="str">
        <f t="shared" si="1"/>
        <v>great customer service quick courteous</v>
      </c>
      <c r="I3593" s="6">
        <f t="shared" si="2"/>
        <v>5</v>
      </c>
      <c r="J3593" s="6">
        <f>IFERROR(__xludf.DUMMYFUNCTION("IF(H3593="""","""",
SUM(
ARRAYFORMULA(
IF(
REGEXMATCH(
"" ""&amp;H3593&amp;"" "",
"" ""&amp;Sentiment_Words!A$2:A3730&amp;"" ""
),
1,
0
)
)
)
)"),3.0)</f>
        <v>3</v>
      </c>
      <c r="K3593" s="4">
        <f>IFERROR(__xludf.DUMMYFUNCTION("IF(H3593="""","""",
SUM(
ARRAYFORMULA(
IF(
REGEXMATCH(
"" ""&amp;H3593&amp;"" "",
"" ""&amp;Sentiment_Words!B$2:B3730&amp;"" ""
),
1,
0
)
)
)
)"),1.0)</f>
        <v>1</v>
      </c>
      <c r="L3593" s="7" t="str">
        <f t="shared" si="3"/>
        <v>Customer Support</v>
      </c>
      <c r="M3593" s="7" t="str">
        <f t="shared" si="4"/>
        <v>Positive</v>
      </c>
      <c r="N3593" s="7" t="str">
        <f>IFERROR(__xludf.DUMMYFUNCTION("LOWER(
TRIM(
REGEXREPLACE(B3593,""[^a-zA-Z\s]"","""")
)
)
"),"joan")</f>
        <v>joan</v>
      </c>
      <c r="O3593" s="7">
        <f t="shared" si="5"/>
        <v>7</v>
      </c>
      <c r="P3593" s="8" t="str">
        <f t="shared" si="6"/>
        <v>Yes</v>
      </c>
    </row>
    <row r="3594">
      <c r="A3594" s="4" t="s">
        <v>16</v>
      </c>
      <c r="B3594" s="4" t="s">
        <v>9953</v>
      </c>
      <c r="C3594" s="5">
        <v>44493.0</v>
      </c>
      <c r="D3594" s="10">
        <v>44494.0</v>
      </c>
      <c r="E3594" s="4" t="s">
        <v>9954</v>
      </c>
      <c r="F3594" s="4" t="s">
        <v>9955</v>
      </c>
      <c r="G3594" s="6" t="str">
        <f>IFERROR(__xludf.DUMMYFUNCTION("REGEXREPLACE(LOWER(F3594),""[^a-z\s]"","""")"),"ive been using petflow for years for my dogs food subcritical platform the customer service is outstanding the product diversity is unbeatable")</f>
        <v>ive been using petflow for years for my dogs food subcritical platform the customer service is outstanding the product diversity is unbeatable</v>
      </c>
      <c r="H3594" s="4" t="str">
        <f t="shared" si="1"/>
        <v>ive been using petflow years my dogs food subcritical platform customer service outstanding product diversity unbeatable</v>
      </c>
      <c r="I3594" s="6">
        <f t="shared" si="2"/>
        <v>16</v>
      </c>
      <c r="J3594" s="6">
        <f>IFERROR(__xludf.DUMMYFUNCTION("IF(H3594="""","""",
SUM(
ARRAYFORMULA(
IF(
REGEXMATCH(
"" ""&amp;H3594&amp;"" "",
"" ""&amp;Sentiment_Words!A$2:A3730&amp;"" ""
),
1,
0
)
)
)
)"),0.0)</f>
        <v>0</v>
      </c>
      <c r="K3594" s="4">
        <f>IFERROR(__xludf.DUMMYFUNCTION("IF(H3594="""","""",
SUM(
ARRAYFORMULA(
IF(
REGEXMATCH(
"" ""&amp;H3594&amp;"" "",
"" ""&amp;Sentiment_Words!B$2:B3730&amp;"" ""
),
1,
0
)
)
)
)"),1.0)</f>
        <v>1</v>
      </c>
      <c r="L3594" s="7" t="str">
        <f t="shared" si="3"/>
        <v>Customer Support</v>
      </c>
      <c r="M3594" s="7" t="str">
        <f t="shared" si="4"/>
        <v>Negative</v>
      </c>
      <c r="N3594" s="7" t="str">
        <f>IFERROR(__xludf.DUMMYFUNCTION("LOWER(
TRIM(
REGEXREPLACE(B3594,""[^a-zA-Z\s]"","""")
)
)
"),"tera marsh")</f>
        <v>tera marsh</v>
      </c>
      <c r="O3594" s="7">
        <f t="shared" si="5"/>
        <v>1</v>
      </c>
      <c r="P3594" s="8" t="str">
        <f t="shared" si="6"/>
        <v>No</v>
      </c>
    </row>
    <row r="3595">
      <c r="A3595" s="4" t="s">
        <v>16</v>
      </c>
      <c r="B3595" s="4" t="s">
        <v>9956</v>
      </c>
      <c r="C3595" s="5">
        <v>44493.0</v>
      </c>
      <c r="D3595" s="10">
        <v>44493.0</v>
      </c>
      <c r="E3595" s="4" t="s">
        <v>9957</v>
      </c>
      <c r="F3595" s="4" t="s">
        <v>9958</v>
      </c>
      <c r="G3595" s="6" t="str">
        <f>IFERROR(__xludf.DUMMYFUNCTION("REGEXREPLACE(LOWER(F3595),""[^a-z\s]"","""")"),"placed order for dog food that i needed asap then days later petflow cancelled order and wont refund my payment for  to  days i had to then find a physical store that sold my brand of food so aggravated didnt they know my order wouldnt be fulfilled when t"&amp;"hey took payment")</f>
        <v>placed order for dog food that i needed asap then days later petflow cancelled order and wont refund my payment for  to  days i had to then find a physical store that sold my brand of food so aggravated didnt they know my order wouldnt be fulfilled when they took payment</v>
      </c>
      <c r="H3595" s="4" t="str">
        <f t="shared" si="1"/>
        <v>placed order dog food that i needed asap then days later petflow cancelled order wont refund my payment days i had then find a physical store that sold my brand of food so aggravated didnt they know my order wouldnt be fulfilled when they took payment</v>
      </c>
      <c r="I3595" s="6">
        <f t="shared" si="2"/>
        <v>46</v>
      </c>
      <c r="J3595" s="6">
        <f>IFERROR(__xludf.DUMMYFUNCTION("IF(H3595="""","""",
SUM(
ARRAYFORMULA(
IF(
REGEXMATCH(
"" ""&amp;H3595&amp;"" "",
"" ""&amp;Sentiment_Words!A$2:A3730&amp;"" ""
),
1,
0
)
)
)
)"),0.0)</f>
        <v>0</v>
      </c>
      <c r="K3595" s="4">
        <f>IFERROR(__xludf.DUMMYFUNCTION("IF(H3595="""","""",
SUM(
ARRAYFORMULA(
IF(
REGEXMATCH(
"" ""&amp;H3595&amp;"" "",
"" ""&amp;Sentiment_Words!B$2:B3730&amp;"" ""
),
1,
0
)
)
)
)"),2.0)</f>
        <v>2</v>
      </c>
      <c r="L3595" s="7" t="str">
        <f t="shared" si="3"/>
        <v>Fulfillment &amp; Shipping</v>
      </c>
      <c r="M3595" s="7" t="str">
        <f t="shared" si="4"/>
        <v>Negative</v>
      </c>
      <c r="N3595" s="7" t="str">
        <f>IFERROR(__xludf.DUMMYFUNCTION("LOWER(
TRIM(
REGEXREPLACE(B3595,""[^a-zA-Z\s]"","""")
)
)
"),"nv")</f>
        <v>nv</v>
      </c>
      <c r="O3595" s="7">
        <f t="shared" si="5"/>
        <v>1</v>
      </c>
      <c r="P3595" s="8" t="str">
        <f t="shared" si="6"/>
        <v>No</v>
      </c>
    </row>
    <row r="3596">
      <c r="A3596" s="4" t="s">
        <v>16</v>
      </c>
      <c r="B3596" s="4" t="s">
        <v>9959</v>
      </c>
      <c r="C3596" s="5">
        <v>44493.0</v>
      </c>
      <c r="D3596" s="10">
        <v>44493.0</v>
      </c>
      <c r="E3596" s="4" t="s">
        <v>9960</v>
      </c>
      <c r="F3596" s="4" t="s">
        <v>9961</v>
      </c>
      <c r="G3596" s="6" t="str">
        <f>IFERROR(__xludf.DUMMYFUNCTION("REGEXREPLACE(LOWER(F3596),""[^a-z\s]"","""")"),"all item sent even if it took more than one box for same free shipping")</f>
        <v>all item sent even if it took more than one box for same free shipping</v>
      </c>
      <c r="H3596" s="4" t="str">
        <f t="shared" si="1"/>
        <v>all item sent even if it took more than one box same free shipping</v>
      </c>
      <c r="I3596" s="6">
        <f t="shared" si="2"/>
        <v>14</v>
      </c>
      <c r="J3596" s="6">
        <f>IFERROR(__xludf.DUMMYFUNCTION("IF(H3596="""","""",
SUM(
ARRAYFORMULA(
IF(
REGEXMATCH(
"" ""&amp;H3596&amp;"" "",
"" ""&amp;Sentiment_Words!A$2:A3730&amp;"" ""
),
1,
0
)
)
)
)"),0.0)</f>
        <v>0</v>
      </c>
      <c r="K3596" s="4">
        <f>IFERROR(__xludf.DUMMYFUNCTION("IF(H3596="""","""",
SUM(
ARRAYFORMULA(
IF(
REGEXMATCH(
"" ""&amp;H3596&amp;"" "",
"" ""&amp;Sentiment_Words!B$2:B3730&amp;"" ""
),
1,
0
)
)
)
)"),0.0)</f>
        <v>0</v>
      </c>
      <c r="L3596" s="7" t="str">
        <f t="shared" si="3"/>
        <v>Other</v>
      </c>
      <c r="M3596" s="7" t="str">
        <f t="shared" si="4"/>
        <v>Neutral</v>
      </c>
      <c r="N3596" s="7" t="str">
        <f>IFERROR(__xludf.DUMMYFUNCTION("LOWER(
TRIM(
REGEXREPLACE(B3596,""[^a-zA-Z\s]"","""")
)
)
"),"s hardy")</f>
        <v>s hardy</v>
      </c>
      <c r="O3596" s="7">
        <f t="shared" si="5"/>
        <v>1</v>
      </c>
      <c r="P3596" s="8" t="str">
        <f t="shared" si="6"/>
        <v>No</v>
      </c>
    </row>
    <row r="3597">
      <c r="A3597" s="4" t="s">
        <v>16</v>
      </c>
      <c r="B3597" s="4" t="s">
        <v>9962</v>
      </c>
      <c r="C3597" s="5">
        <v>44493.0</v>
      </c>
      <c r="D3597" s="10">
        <v>44493.0</v>
      </c>
      <c r="E3597" s="4" t="s">
        <v>9963</v>
      </c>
      <c r="F3597" s="4" t="s">
        <v>9964</v>
      </c>
      <c r="G3597" s="6" t="str">
        <f>IFERROR(__xludf.DUMMYFUNCTION("REGEXREPLACE(LOWER(F3597),""[^a-z\s]"","""")"),"products ordered  stars ease of ordering  stars speed of shipping which may or may not be petflows issue  stars my order included dog food i was only given  tracking number and unfortunately that tracking number was for the items shipped separately from t"&amp;"he dog food i never knew there were  packages in transit the non food package arrived a day earlier than the dog food even though they were shipped and picked up at the same time and unfortunately i needed the dog food sooner than it arrived so i had to g"&amp;"o to the store and purchase a bag now i have  bags overall still a happy shopper")</f>
        <v>products ordered  stars ease of ordering  stars speed of shipping which may or may not be petflows issue  stars my order included dog food i was only given  tracking number and unfortunately that tracking number was for the items shipped separately from the dog food i never knew there were  packages in transit the non food package arrived a day earlier than the dog food even though they were shipped and picked up at the same time and unfortunately i needed the dog food sooner than it arrived so i had to go to the store and purchase a bag now i have  bags overall still a happy shopper</v>
      </c>
      <c r="H3597" s="4" t="str">
        <f t="shared" si="1"/>
        <v>products ordered stars ease of ordering stars speed of shipping which may or may not be petflows issue stars my order included dog food i was only given tracking number unfortunately that tracking number was items shipped separately from dog food i never knew there were packages in transit non food package arrived a day earlier than dog food even though they were shipped picked up at same time unfortunately i needed dog food sooner than it arrived so i had go store purchase a bag now i have bags overall still a happy shopper</v>
      </c>
      <c r="I3597" s="6">
        <f t="shared" si="2"/>
        <v>95</v>
      </c>
      <c r="J3597" s="6">
        <f>IFERROR(__xludf.DUMMYFUNCTION("IF(H3597="""","""",
SUM(
ARRAYFORMULA(
IF(
REGEXMATCH(
"" ""&amp;H3597&amp;"" "",
"" ""&amp;Sentiment_Words!A$2:A3730&amp;"" ""
),
1,
0
)
)
)
)"),1.0)</f>
        <v>1</v>
      </c>
      <c r="K3597" s="4">
        <f>IFERROR(__xludf.DUMMYFUNCTION("IF(H3597="""","""",
SUM(
ARRAYFORMULA(
IF(
REGEXMATCH(
"" ""&amp;H3597&amp;"" "",
"" ""&amp;Sentiment_Words!B$2:B3730&amp;"" ""
),
1,
0
)
)
)
)"),1.0)</f>
        <v>1</v>
      </c>
      <c r="L3597" s="7" t="str">
        <f t="shared" si="3"/>
        <v>Other</v>
      </c>
      <c r="M3597" s="7" t="str">
        <f t="shared" si="4"/>
        <v>Neutral</v>
      </c>
      <c r="N3597" s="7" t="str">
        <f>IFERROR(__xludf.DUMMYFUNCTION("LOWER(
TRIM(
REGEXREPLACE(B3597,""[^a-zA-Z\s]"","""")
)
)
"),"kristi ehlers")</f>
        <v>kristi ehlers</v>
      </c>
      <c r="O3597" s="7">
        <f t="shared" si="5"/>
        <v>1</v>
      </c>
      <c r="P3597" s="8" t="str">
        <f t="shared" si="6"/>
        <v>No</v>
      </c>
    </row>
    <row r="3598">
      <c r="A3598" s="4" t="s">
        <v>16</v>
      </c>
      <c r="B3598" s="4" t="s">
        <v>9965</v>
      </c>
      <c r="C3598" s="5">
        <v>44493.0</v>
      </c>
      <c r="D3598" s="10">
        <v>44493.0</v>
      </c>
      <c r="E3598" s="4" t="s">
        <v>9966</v>
      </c>
      <c r="F3598" s="4" t="s">
        <v>9967</v>
      </c>
      <c r="G3598" s="6" t="str">
        <f>IFERROR(__xludf.DUMMYFUNCTION("REGEXREPLACE(LOWER(F3598),""[^a-z\s]"","""")"),"ordered butcher block bones and a box of dog biscuits at checkout there was no information that the bones were out of stock you shipped only the dog biscuits i cancelled order you said it already shipped and we could just go ahead and keep the biscuits or"&amp;" donate them that was nice of you website or at check out should tell you if something is in stock or not")</f>
        <v>ordered butcher block bones and a box of dog biscuits at checkout there was no information that the bones were out of stock you shipped only the dog biscuits i cancelled order you said it already shipped and we could just go ahead and keep the biscuits or donate them that was nice of you website or at check out should tell you if something is in stock or not</v>
      </c>
      <c r="H3598" s="4" t="str">
        <f t="shared" si="1"/>
        <v>ordered butcher block bones a box of dog biscuits at checkout there was no information that bones were out of stock you shipped only dog biscuits i cancelled order you said it already shipped we could just go ahead keep biscuits or donate them that was nice of you website or at check out should tell you if something in stock or not</v>
      </c>
      <c r="I3598" s="6">
        <f t="shared" si="2"/>
        <v>63</v>
      </c>
      <c r="J3598" s="6">
        <f>IFERROR(__xludf.DUMMYFUNCTION("IF(H3598="""","""",
SUM(
ARRAYFORMULA(
IF(
REGEXMATCH(
"" ""&amp;H3598&amp;"" "",
"" ""&amp;Sentiment_Words!A$2:A3730&amp;"" ""
),
1,
0
)
)
)
)"),0.0)</f>
        <v>0</v>
      </c>
      <c r="K3598" s="4">
        <f>IFERROR(__xludf.DUMMYFUNCTION("IF(H3598="""","""",
SUM(
ARRAYFORMULA(
IF(
REGEXMATCH(
"" ""&amp;H3598&amp;"" "",
"" ""&amp;Sentiment_Words!B$2:B3730&amp;"" ""
),
1,
0
)
)
)
)"),2.0)</f>
        <v>2</v>
      </c>
      <c r="L3598" s="7" t="str">
        <f t="shared" si="3"/>
        <v>Availability</v>
      </c>
      <c r="M3598" s="7" t="str">
        <f t="shared" si="4"/>
        <v>Negative</v>
      </c>
      <c r="N3598" s="7" t="str">
        <f>IFERROR(__xludf.DUMMYFUNCTION("LOWER(
TRIM(
REGEXREPLACE(B3598,""[^a-zA-Z\s]"","""")
)
)
"),"michael fazekas")</f>
        <v>michael fazekas</v>
      </c>
      <c r="O3598" s="7">
        <f t="shared" si="5"/>
        <v>1</v>
      </c>
      <c r="P3598" s="8" t="str">
        <f t="shared" si="6"/>
        <v>No</v>
      </c>
    </row>
    <row r="3599">
      <c r="A3599" s="4" t="s">
        <v>16</v>
      </c>
      <c r="B3599" s="4" t="s">
        <v>9968</v>
      </c>
      <c r="C3599" s="5">
        <v>44492.0</v>
      </c>
      <c r="D3599" s="10">
        <v>44493.0</v>
      </c>
      <c r="E3599" s="4" t="s">
        <v>9969</v>
      </c>
      <c r="F3599" s="4" t="s">
        <v>9970</v>
      </c>
      <c r="G3599" s="6" t="str">
        <f>IFERROR(__xludf.DUMMYFUNCTION("REGEXREPLACE(LOWER(F3599),""[^a-z\s]"","""")"),"i was impressed with how quickly my order arrived it was protected in a strong box very professional thank you")</f>
        <v>i was impressed with how quickly my order arrived it was protected in a strong box very professional thank you</v>
      </c>
      <c r="H3599" s="4" t="str">
        <f t="shared" si="1"/>
        <v>i was impressed with how quickly my order arrived it was protected in a strong box very professional thank you</v>
      </c>
      <c r="I3599" s="6">
        <f t="shared" si="2"/>
        <v>20</v>
      </c>
      <c r="J3599" s="6">
        <f>IFERROR(__xludf.DUMMYFUNCTION("IF(H3599="""","""",
SUM(
ARRAYFORMULA(
IF(
REGEXMATCH(
"" ""&amp;H3599&amp;"" "",
"" ""&amp;Sentiment_Words!A$2:A3730&amp;"" ""
),
1,
0
)
)
)
)"),1.0)</f>
        <v>1</v>
      </c>
      <c r="K3599" s="4">
        <f>IFERROR(__xludf.DUMMYFUNCTION("IF(H3599="""","""",
SUM(
ARRAYFORMULA(
IF(
REGEXMATCH(
"" ""&amp;H3599&amp;"" "",
"" ""&amp;Sentiment_Words!B$2:B3730&amp;"" ""
),
1,
0
)
)
)
)"),0.0)</f>
        <v>0</v>
      </c>
      <c r="L3599" s="7" t="str">
        <f t="shared" si="3"/>
        <v>Service Recovery</v>
      </c>
      <c r="M3599" s="7" t="str">
        <f t="shared" si="4"/>
        <v>Positive</v>
      </c>
      <c r="N3599" s="7" t="str">
        <f>IFERROR(__xludf.DUMMYFUNCTION("LOWER(
TRIM(
REGEXREPLACE(B3599,""[^a-zA-Z\s]"","""")
)
)
"),"rosepetals")</f>
        <v>rosepetals</v>
      </c>
      <c r="O3599" s="7">
        <f t="shared" si="5"/>
        <v>1</v>
      </c>
      <c r="P3599" s="8" t="str">
        <f t="shared" si="6"/>
        <v>No</v>
      </c>
    </row>
    <row r="3600">
      <c r="A3600" s="4" t="s">
        <v>16</v>
      </c>
      <c r="B3600" s="4" t="s">
        <v>9971</v>
      </c>
      <c r="C3600" s="5">
        <v>44492.0</v>
      </c>
      <c r="D3600" s="10">
        <v>44492.0</v>
      </c>
      <c r="E3600" s="4" t="s">
        <v>9972</v>
      </c>
      <c r="F3600" s="4" t="s">
        <v>9973</v>
      </c>
      <c r="G3600" s="6" t="str">
        <f>IFERROR(__xludf.DUMMYFUNCTION("REGEXREPLACE(LOWER(F3600),""[^a-z\s]"","""")"),"i ordered a new flexi leash for my canine having carefully researched various sites and noting petflow for my first time decided to have a go and was pleasantly surprised at the pricing service and delivery they run out of the leash but notified me immedi"&amp;"ately they would get it back in stock it only took  hours it was then shipped and arrived the next day great job petflow ill be back")</f>
        <v>i ordered a new flexi leash for my canine having carefully researched various sites and noting petflow for my first time decided to have a go and was pleasantly surprised at the pricing service and delivery they run out of the leash but notified me immediately they would get it back in stock it only took  hours it was then shipped and arrived the next day great job petflow ill be back</v>
      </c>
      <c r="H3600" s="4" t="str">
        <f t="shared" si="1"/>
        <v>i ordered a new flexi leash my canine having carefully researched various sites noting petflow my first time decided have a go was pleasantly surprised at pricing service delivery they run out of leash but notified me immediately they would get it back in stock it only took hours it was then shipped arrived next day great job petflow ill be back</v>
      </c>
      <c r="I3600" s="6">
        <f t="shared" si="2"/>
        <v>62</v>
      </c>
      <c r="J3600" s="6">
        <f>IFERROR(__xludf.DUMMYFUNCTION("IF(H3600="""","""",
SUM(
ARRAYFORMULA(
IF(
REGEXMATCH(
"" ""&amp;H3600&amp;"" "",
"" ""&amp;Sentiment_Words!A$2:A3730&amp;"" ""
),
1,
0
)
)
)
)"),2.0)</f>
        <v>2</v>
      </c>
      <c r="K3600" s="4">
        <f>IFERROR(__xludf.DUMMYFUNCTION("IF(H3600="""","""",
SUM(
ARRAYFORMULA(
IF(
REGEXMATCH(
"" ""&amp;H3600&amp;"" "",
"" ""&amp;Sentiment_Words!B$2:B3730&amp;"" ""
),
1,
0
)
)
)
)"),0.0)</f>
        <v>0</v>
      </c>
      <c r="L3600" s="7" t="str">
        <f t="shared" si="3"/>
        <v>Customer Support</v>
      </c>
      <c r="M3600" s="7" t="str">
        <f t="shared" si="4"/>
        <v>Positive</v>
      </c>
      <c r="N3600" s="7" t="str">
        <f>IFERROR(__xludf.DUMMYFUNCTION("LOWER(
TRIM(
REGEXREPLACE(B3600,""[^a-zA-Z\s]"","""")
)
)
"),"bill skinner")</f>
        <v>bill skinner</v>
      </c>
      <c r="O3600" s="7">
        <f t="shared" si="5"/>
        <v>1</v>
      </c>
      <c r="P3600" s="8" t="str">
        <f t="shared" si="6"/>
        <v>No</v>
      </c>
    </row>
    <row r="3601">
      <c r="A3601" s="4" t="s">
        <v>16</v>
      </c>
      <c r="B3601" s="4" t="s">
        <v>9974</v>
      </c>
      <c r="C3601" s="5">
        <v>44492.0</v>
      </c>
      <c r="D3601" s="10">
        <v>44492.0</v>
      </c>
      <c r="E3601" s="4" t="s">
        <v>9975</v>
      </c>
      <c r="F3601" s="4" t="s">
        <v>9976</v>
      </c>
      <c r="G3601" s="6" t="str">
        <f>IFERROR(__xludf.DUMMYFUNCTION("REGEXREPLACE(LOWER(F3601),""[^a-z\s]"","""")"),"product that is not available elsewhere is available on petflow which i appreciate with supply issues from the manufacturer petflow provides another option to find the pet food im looking for
shipping time is slower that other online sites so i need to p"&amp;"lan further ahead to receive product before i run out and have starving kitties")</f>
        <v>product that is not available elsewhere is available on petflow which i appreciate with supply issues from the manufacturer petflow provides another option to find the pet food im looking for
shipping time is slower that other online sites so i need to plan further ahead to receive product before i run out and have starving kitties</v>
      </c>
      <c r="H3601" s="4" t="str">
        <f t="shared" si="1"/>
        <v>product that not available elsewhere available on petflow which i appreciate with supply issues from manufacturer petflow provides another option find pet food im looking for
shipping time slower that other online sites so i need plan further ahead receive product before i run out have starving kitties</v>
      </c>
      <c r="I3601" s="6">
        <f t="shared" si="2"/>
        <v>47</v>
      </c>
      <c r="J3601" s="6">
        <f>IFERROR(__xludf.DUMMYFUNCTION("IF(H3601="""","""",
SUM(
ARRAYFORMULA(
IF(
REGEXMATCH(
"" ""&amp;H3601&amp;"" "",
"" ""&amp;Sentiment_Words!A$2:A3730&amp;"" ""
),
1,
0
)
)
)
)"),1.0)</f>
        <v>1</v>
      </c>
      <c r="K3601" s="4">
        <f>IFERROR(__xludf.DUMMYFUNCTION("IF(H3601="""","""",
SUM(
ARRAYFORMULA(
IF(
REGEXMATCH(
"" ""&amp;H3601&amp;"" "",
"" ""&amp;Sentiment_Words!B$2:B3730&amp;"" ""
),
1,
0
)
)
)
)"),0.0)</f>
        <v>0</v>
      </c>
      <c r="L3601" s="7" t="str">
        <f t="shared" si="3"/>
        <v>Other</v>
      </c>
      <c r="M3601" s="7" t="str">
        <f t="shared" si="4"/>
        <v>Positive</v>
      </c>
      <c r="N3601" s="7" t="str">
        <f>IFERROR(__xludf.DUMMYFUNCTION("LOWER(
TRIM(
REGEXREPLACE(B3601,""[^a-zA-Z\s]"","""")
)
)
"),"carol smith")</f>
        <v>carol smith</v>
      </c>
      <c r="O3601" s="7">
        <f t="shared" si="5"/>
        <v>1</v>
      </c>
      <c r="P3601" s="8" t="str">
        <f t="shared" si="6"/>
        <v>No</v>
      </c>
    </row>
    <row r="3602">
      <c r="A3602" s="4" t="s">
        <v>16</v>
      </c>
      <c r="B3602" s="4" t="s">
        <v>9977</v>
      </c>
      <c r="C3602" s="5">
        <v>44492.0</v>
      </c>
      <c r="D3602" s="10">
        <v>44492.0</v>
      </c>
      <c r="E3602" s="4" t="s">
        <v>9978</v>
      </c>
      <c r="F3602" s="4" t="s">
        <v>9979</v>
      </c>
      <c r="G3602" s="6" t="str">
        <f>IFERROR(__xludf.DUMMYFUNCTION("REGEXREPLACE(LOWER(F3602),""[^a-z\s]"","""")"),"first time using will use again")</f>
        <v>first time using will use again</v>
      </c>
      <c r="H3602" s="4" t="str">
        <f t="shared" si="1"/>
        <v>first time using will use again</v>
      </c>
      <c r="I3602" s="6">
        <f t="shared" si="2"/>
        <v>6</v>
      </c>
      <c r="J3602" s="6">
        <f>IFERROR(__xludf.DUMMYFUNCTION("IF(H3602="""","""",
SUM(
ARRAYFORMULA(
IF(
REGEXMATCH(
"" ""&amp;H3602&amp;"" "",
"" ""&amp;Sentiment_Words!A$2:A3730&amp;"" ""
),
1,
0
)
)
)
)"),0.0)</f>
        <v>0</v>
      </c>
      <c r="K3602" s="4">
        <f>IFERROR(__xludf.DUMMYFUNCTION("IF(H3602="""","""",
SUM(
ARRAYFORMULA(
IF(
REGEXMATCH(
"" ""&amp;H3602&amp;"" "",
"" ""&amp;Sentiment_Words!B$2:B3730&amp;"" ""
),
1,
0
)
)
)
)"),0.0)</f>
        <v>0</v>
      </c>
      <c r="L3602" s="7" t="str">
        <f t="shared" si="3"/>
        <v>Other</v>
      </c>
      <c r="M3602" s="7" t="str">
        <f t="shared" si="4"/>
        <v>Neutral</v>
      </c>
      <c r="N3602" s="7" t="str">
        <f>IFERROR(__xludf.DUMMYFUNCTION("LOWER(
TRIM(
REGEXREPLACE(B3602,""[^a-zA-Z\s]"","""")
)
)
"),"james neyhouse")</f>
        <v>james neyhouse</v>
      </c>
      <c r="O3602" s="7">
        <f t="shared" si="5"/>
        <v>1</v>
      </c>
      <c r="P3602" s="8" t="str">
        <f t="shared" si="6"/>
        <v>No</v>
      </c>
    </row>
    <row r="3603">
      <c r="A3603" s="4" t="s">
        <v>16</v>
      </c>
      <c r="B3603" s="4" t="s">
        <v>6040</v>
      </c>
      <c r="C3603" s="5">
        <v>44492.0</v>
      </c>
      <c r="D3603" s="10">
        <v>44492.0</v>
      </c>
      <c r="E3603" s="4" t="s">
        <v>9980</v>
      </c>
      <c r="F3603" s="4" t="s">
        <v>9981</v>
      </c>
      <c r="G3603" s="6" t="str">
        <f>IFERROR(__xludf.DUMMYFUNCTION("REGEXREPLACE(LOWER(F3603),""[^a-z\s]"","""")"),"your selection and prices are good i also appreciate the discounts available only thing i have a problem with is fedex delivery but since i eventually get my order ill be okay with it")</f>
        <v>your selection and prices are good i also appreciate the discounts available only thing i have a problem with is fedex delivery but since i eventually get my order ill be okay with it</v>
      </c>
      <c r="H3603" s="4" t="str">
        <f t="shared" si="1"/>
        <v>your selection prices are good i also appreciate discounts available only thing i have a problem with fedex delivery but since i eventually get my order ill be okay with it</v>
      </c>
      <c r="I3603" s="6">
        <f t="shared" si="2"/>
        <v>31</v>
      </c>
      <c r="J3603" s="6">
        <f>IFERROR(__xludf.DUMMYFUNCTION("IF(H3603="""","""",
SUM(
ARRAYFORMULA(
IF(
REGEXMATCH(
"" ""&amp;H3603&amp;"" "",
"" ""&amp;Sentiment_Words!A$2:A3730&amp;"" ""
),
1,
0
)
)
)
)"),2.0)</f>
        <v>2</v>
      </c>
      <c r="K3603" s="4">
        <f>IFERROR(__xludf.DUMMYFUNCTION("IF(H3603="""","""",
SUM(
ARRAYFORMULA(
IF(
REGEXMATCH(
"" ""&amp;H3603&amp;"" "",
"" ""&amp;Sentiment_Words!B$2:B3730&amp;"" ""
),
1,
0
)
)
)
)"),1.0)</f>
        <v>1</v>
      </c>
      <c r="L3603" s="7" t="str">
        <f t="shared" si="3"/>
        <v>Other</v>
      </c>
      <c r="M3603" s="7" t="str">
        <f t="shared" si="4"/>
        <v>Positive</v>
      </c>
      <c r="N3603" s="7" t="str">
        <f>IFERROR(__xludf.DUMMYFUNCTION("LOWER(
TRIM(
REGEXREPLACE(B3603,""[^a-zA-Z\s]"","""")
)
)
"),"mary")</f>
        <v>mary</v>
      </c>
      <c r="O3603" s="7">
        <f t="shared" si="5"/>
        <v>8</v>
      </c>
      <c r="P3603" s="8" t="str">
        <f t="shared" si="6"/>
        <v>Yes</v>
      </c>
    </row>
    <row r="3604">
      <c r="A3604" s="4" t="s">
        <v>16</v>
      </c>
      <c r="B3604" s="4" t="s">
        <v>9982</v>
      </c>
      <c r="C3604" s="5">
        <v>44492.0</v>
      </c>
      <c r="D3604" s="10">
        <v>44492.0</v>
      </c>
      <c r="E3604" s="4" t="s">
        <v>1319</v>
      </c>
      <c r="F3604" s="4" t="s">
        <v>9983</v>
      </c>
      <c r="G3604" s="6" t="str">
        <f>IFERROR(__xludf.DUMMYFUNCTION("REGEXREPLACE(LOWER(F3604),""[^a-z\s]"","""")"),"excellent service however now i can not find the product anymore
vital essentials relief hemp dog chews relieves inflammation")</f>
        <v>excellent service however now i can not find the product anymore
vital essentials relief hemp dog chews relieves inflammation</v>
      </c>
      <c r="H3604" s="4" t="str">
        <f t="shared" si="1"/>
        <v>excellent service however now i can not find product anymore
vital essentials relief hemp dog chews relieves inflammation</v>
      </c>
      <c r="I3604" s="6">
        <f t="shared" si="2"/>
        <v>17</v>
      </c>
      <c r="J3604" s="6">
        <f>IFERROR(__xludf.DUMMYFUNCTION("IF(H3604="""","""",
SUM(
ARRAYFORMULA(
IF(
REGEXMATCH(
"" ""&amp;H3604&amp;"" "",
"" ""&amp;Sentiment_Words!A$2:A3730&amp;"" ""
),
1,
0
)
)
)
)"),0.0)</f>
        <v>0</v>
      </c>
      <c r="K3604" s="4">
        <f>IFERROR(__xludf.DUMMYFUNCTION("IF(H3604="""","""",
SUM(
ARRAYFORMULA(
IF(
REGEXMATCH(
"" ""&amp;H3604&amp;"" "",
"" ""&amp;Sentiment_Words!B$2:B3730&amp;"" ""
),
1,
0
)
)
)
)"),0.0)</f>
        <v>0</v>
      </c>
      <c r="L3604" s="7" t="str">
        <f t="shared" si="3"/>
        <v>Customer Support</v>
      </c>
      <c r="M3604" s="7" t="str">
        <f t="shared" si="4"/>
        <v>Neutral</v>
      </c>
      <c r="N3604" s="7" t="str">
        <f>IFERROR(__xludf.DUMMYFUNCTION("LOWER(
TRIM(
REGEXREPLACE(B3604,""[^a-zA-Z\s]"","""")
)
)
"),"marlies ruben")</f>
        <v>marlies ruben</v>
      </c>
      <c r="O3604" s="7">
        <f t="shared" si="5"/>
        <v>1</v>
      </c>
      <c r="P3604" s="8" t="str">
        <f t="shared" si="6"/>
        <v>No</v>
      </c>
    </row>
    <row r="3605">
      <c r="A3605" s="4" t="s">
        <v>16</v>
      </c>
      <c r="B3605" s="4" t="s">
        <v>9984</v>
      </c>
      <c r="C3605" s="5">
        <v>44491.0</v>
      </c>
      <c r="D3605" s="10">
        <v>44491.0</v>
      </c>
      <c r="E3605" s="4" t="s">
        <v>9985</v>
      </c>
      <c r="F3605" s="4" t="s">
        <v>9986</v>
      </c>
      <c r="G3605" s="6" t="str">
        <f>IFERROR(__xludf.DUMMYFUNCTION("REGEXREPLACE(LOWER(F3605),""[^a-z\s]"","""")"),"i have been trying to find the special urinary diet treats for my fur baby for months i finally found them on your site only to be told weeks later whoops you dont have them well put it on your website then that they are unavailable")</f>
        <v>i have been trying to find the special urinary diet treats for my fur baby for months i finally found them on your site only to be told weeks later whoops you dont have them well put it on your website then that they are unavailable</v>
      </c>
      <c r="H3605" s="4" t="str">
        <f t="shared" si="1"/>
        <v>i have been trying find special urinary diet treats my fur baby months i finally found them on your site only be told weeks later whoops you dont have them well put it on your website then that they are unavailable</v>
      </c>
      <c r="I3605" s="6">
        <f t="shared" si="2"/>
        <v>41</v>
      </c>
      <c r="J3605" s="6">
        <f>IFERROR(__xludf.DUMMYFUNCTION("IF(H3605="""","""",
SUM(
ARRAYFORMULA(
IF(
REGEXMATCH(
"" ""&amp;H3605&amp;"" "",
"" ""&amp;Sentiment_Words!A$2:A3730&amp;"" ""
),
1,
0
)
)
)
)"),1.0)</f>
        <v>1</v>
      </c>
      <c r="K3605" s="4">
        <f>IFERROR(__xludf.DUMMYFUNCTION("IF(H3605="""","""",
SUM(
ARRAYFORMULA(
IF(
REGEXMATCH(
"" ""&amp;H3605&amp;"" "",
"" ""&amp;Sentiment_Words!B$2:B3730&amp;"" ""
),
1,
0
)
)
)
)"),1.0)</f>
        <v>1</v>
      </c>
      <c r="L3605" s="7" t="str">
        <f t="shared" si="3"/>
        <v>Fulfillment &amp; Shipping</v>
      </c>
      <c r="M3605" s="7" t="str">
        <f t="shared" si="4"/>
        <v>Neutral</v>
      </c>
      <c r="N3605" s="7" t="str">
        <f>IFERROR(__xludf.DUMMYFUNCTION("LOWER(
TRIM(
REGEXREPLACE(B3605,""[^a-zA-Z\s]"","""")
)
)
"),"sandra francois")</f>
        <v>sandra francois</v>
      </c>
      <c r="O3605" s="7">
        <f t="shared" si="5"/>
        <v>1</v>
      </c>
      <c r="P3605" s="8" t="str">
        <f t="shared" si="6"/>
        <v>No</v>
      </c>
    </row>
    <row r="3606">
      <c r="A3606" s="4" t="s">
        <v>16</v>
      </c>
      <c r="B3606" s="4" t="s">
        <v>9987</v>
      </c>
      <c r="C3606" s="5">
        <v>44491.0</v>
      </c>
      <c r="D3606" s="10">
        <v>44491.0</v>
      </c>
      <c r="E3606" s="4" t="s">
        <v>9988</v>
      </c>
      <c r="F3606" s="4" t="s">
        <v>9989</v>
      </c>
      <c r="G3606" s="6" t="str">
        <f>IFERROR(__xludf.DUMMYFUNCTION("REGEXREPLACE(LOWER(F3606),""[^a-z\s]"","""")"),"great selection and services
happy dogs")</f>
        <v>great selection and services
happy dogs</v>
      </c>
      <c r="H3606" s="4" t="str">
        <f t="shared" si="1"/>
        <v>great selection services
happy dogs</v>
      </c>
      <c r="I3606" s="6">
        <f t="shared" si="2"/>
        <v>4</v>
      </c>
      <c r="J3606" s="6">
        <f>IFERROR(__xludf.DUMMYFUNCTION("IF(H3606="""","""",
SUM(
ARRAYFORMULA(
IF(
REGEXMATCH(
"" ""&amp;H3606&amp;"" "",
"" ""&amp;Sentiment_Words!A$2:A3730&amp;"" ""
),
1,
0
)
)
)
)"),1.0)</f>
        <v>1</v>
      </c>
      <c r="K3606" s="4">
        <f>IFERROR(__xludf.DUMMYFUNCTION("IF(H3606="""","""",
SUM(
ARRAYFORMULA(
IF(
REGEXMATCH(
"" ""&amp;H3606&amp;"" "",
"" ""&amp;Sentiment_Words!B$2:B3730&amp;"" ""
),
1,
0
)
)
)
)"),0.0)</f>
        <v>0</v>
      </c>
      <c r="L3606" s="7" t="str">
        <f t="shared" si="3"/>
        <v>Customer Support</v>
      </c>
      <c r="M3606" s="7" t="str">
        <f t="shared" si="4"/>
        <v>Positive</v>
      </c>
      <c r="N3606" s="7" t="str">
        <f>IFERROR(__xludf.DUMMYFUNCTION("LOWER(
TRIM(
REGEXREPLACE(B3606,""[^a-zA-Z\s]"","""")
)
)
"),"sj")</f>
        <v>sj</v>
      </c>
      <c r="O3606" s="7">
        <f t="shared" si="5"/>
        <v>1</v>
      </c>
      <c r="P3606" s="8" t="str">
        <f t="shared" si="6"/>
        <v>No</v>
      </c>
    </row>
    <row r="3607">
      <c r="A3607" s="4" t="s">
        <v>16</v>
      </c>
      <c r="B3607" s="4" t="s">
        <v>9990</v>
      </c>
      <c r="C3607" s="5">
        <v>44491.0</v>
      </c>
      <c r="D3607" s="10">
        <v>44491.0</v>
      </c>
      <c r="E3607" s="4" t="s">
        <v>9991</v>
      </c>
      <c r="F3607" s="4" t="s">
        <v>9992</v>
      </c>
      <c r="G3607" s="6" t="str">
        <f>IFERROR(__xludf.DUMMYFUNCTION("REGEXREPLACE(LOWER(F3607),""[^a-z\s]"","""")"),"everything from locating products on the website to check out was very easy i wish that some kind of summary or packing slip was included with the delivery but other than that everything went as smoothly as it could thank you")</f>
        <v>everything from locating products on the website to check out was very easy i wish that some kind of summary or packing slip was included with the delivery but other than that everything went as smoothly as it could thank you</v>
      </c>
      <c r="H3607" s="4" t="str">
        <f t="shared" si="1"/>
        <v>everything from locating products on website check out was very easy i wish that some kind of summary or packing slip was included with delivery but other than that everything went as smoothly as it could thank you</v>
      </c>
      <c r="I3607" s="6">
        <f t="shared" si="2"/>
        <v>38</v>
      </c>
      <c r="J3607" s="6">
        <f>IFERROR(__xludf.DUMMYFUNCTION("IF(H3607="""","""",
SUM(
ARRAYFORMULA(
IF(
REGEXMATCH(
"" ""&amp;H3607&amp;"" "",
"" ""&amp;Sentiment_Words!A$2:A3730&amp;"" ""
),
1,
0
)
)
)
)"),1.0)</f>
        <v>1</v>
      </c>
      <c r="K3607" s="4">
        <f>IFERROR(__xludf.DUMMYFUNCTION("IF(H3607="""","""",
SUM(
ARRAYFORMULA(
IF(
REGEXMATCH(
"" ""&amp;H3607&amp;"" "",
"" ""&amp;Sentiment_Words!B$2:B3730&amp;"" ""
),
1,
0
)
)
)
)"),0.0)</f>
        <v>0</v>
      </c>
      <c r="L3607" s="7" t="str">
        <f t="shared" si="3"/>
        <v>Account &amp; Website</v>
      </c>
      <c r="M3607" s="7" t="str">
        <f t="shared" si="4"/>
        <v>Positive</v>
      </c>
      <c r="N3607" s="7" t="str">
        <f>IFERROR(__xludf.DUMMYFUNCTION("LOWER(
TRIM(
REGEXREPLACE(B3607,""[^a-zA-Z\s]"","""")
)
)
"),"jeff kramer")</f>
        <v>jeff kramer</v>
      </c>
      <c r="O3607" s="7">
        <f t="shared" si="5"/>
        <v>1</v>
      </c>
      <c r="P3607" s="8" t="str">
        <f t="shared" si="6"/>
        <v>No</v>
      </c>
    </row>
    <row r="3608">
      <c r="A3608" s="4" t="s">
        <v>16</v>
      </c>
      <c r="B3608" s="4" t="s">
        <v>9993</v>
      </c>
      <c r="C3608" s="5">
        <v>44491.0</v>
      </c>
      <c r="D3608" s="10">
        <v>44491.0</v>
      </c>
      <c r="E3608" s="4" t="s">
        <v>9994</v>
      </c>
      <c r="F3608" s="4" t="s">
        <v>9995</v>
      </c>
      <c r="G3608" s="6" t="str">
        <f>IFERROR(__xludf.DUMMYFUNCTION("REGEXREPLACE(LOWER(F3608),""[^a-z\s]"","""")"),"petflow has the products i need and if they dont they can explain to me why they dont and why i cant find the product anywhere else something might be happening at the manufatcurers end or with the distributer etc they are always very helpful if i have to"&amp;" call them on the phone too for help placing my order")</f>
        <v>petflow has the products i need and if they dont they can explain to me why they dont and why i cant find the product anywhere else something might be happening at the manufatcurers end or with the distributer etc they are always very helpful if i have to call them on the phone too for help placing my order</v>
      </c>
      <c r="H3608" s="4" t="str">
        <f t="shared" si="1"/>
        <v>petflow has products i need if they dont they can explain me why they dont why i cant find product anywhere else something might be happening at manufatcurers end or with distributer etc they are always very helpful if i have call them on phone too help placing my order</v>
      </c>
      <c r="I3608" s="6">
        <f t="shared" si="2"/>
        <v>50</v>
      </c>
      <c r="J3608" s="6">
        <f>IFERROR(__xludf.DUMMYFUNCTION("IF(H3608="""","""",
SUM(
ARRAYFORMULA(
IF(
REGEXMATCH(
"" ""&amp;H3608&amp;"" "",
"" ""&amp;Sentiment_Words!A$2:A3730&amp;"" ""
),
1,
0
)
)
)
)"),1.0)</f>
        <v>1</v>
      </c>
      <c r="K3608" s="4">
        <f>IFERROR(__xludf.DUMMYFUNCTION("IF(H3608="""","""",
SUM(
ARRAYFORMULA(
IF(
REGEXMATCH(
"" ""&amp;H3608&amp;"" "",
"" ""&amp;Sentiment_Words!B$2:B3730&amp;"" ""
),
1,
0
)
)
)
)"),0.0)</f>
        <v>0</v>
      </c>
      <c r="L3608" s="7" t="str">
        <f t="shared" si="3"/>
        <v>Other</v>
      </c>
      <c r="M3608" s="7" t="str">
        <f t="shared" si="4"/>
        <v>Positive</v>
      </c>
      <c r="N3608" s="7" t="str">
        <f>IFERROR(__xludf.DUMMYFUNCTION("LOWER(
TRIM(
REGEXREPLACE(B3608,""[^a-zA-Z\s]"","""")
)
)
"),"jan stern")</f>
        <v>jan stern</v>
      </c>
      <c r="O3608" s="7">
        <f t="shared" si="5"/>
        <v>1</v>
      </c>
      <c r="P3608" s="8" t="str">
        <f t="shared" si="6"/>
        <v>No</v>
      </c>
    </row>
    <row r="3609">
      <c r="A3609" s="4" t="s">
        <v>16</v>
      </c>
      <c r="B3609" s="4" t="s">
        <v>9996</v>
      </c>
      <c r="C3609" s="5">
        <v>44491.0</v>
      </c>
      <c r="D3609" s="10">
        <v>44491.0</v>
      </c>
      <c r="E3609" s="4" t="s">
        <v>9997</v>
      </c>
      <c r="F3609" s="4" t="s">
        <v>9998</v>
      </c>
      <c r="G3609" s="6" t="str">
        <f>IFERROR(__xludf.DUMMYFUNCTION("REGEXREPLACE(LOWER(F3609),""[^a-z\s]"","""")"),"it seems a bit difficult to delete an autoship maybe its me")</f>
        <v>it seems a bit difficult to delete an autoship maybe its me</v>
      </c>
      <c r="H3609" s="4" t="str">
        <f t="shared" si="1"/>
        <v>it seems a bit difficult delete an autoship maybe its me</v>
      </c>
      <c r="I3609" s="6">
        <f t="shared" si="2"/>
        <v>11</v>
      </c>
      <c r="J3609" s="6">
        <f>IFERROR(__xludf.DUMMYFUNCTION("IF(H3609="""","""",
SUM(
ARRAYFORMULA(
IF(
REGEXMATCH(
"" ""&amp;H3609&amp;"" "",
"" ""&amp;Sentiment_Words!A$2:A3730&amp;"" ""
),
1,
0
)
)
)
)"),0.0)</f>
        <v>0</v>
      </c>
      <c r="K3609" s="4">
        <f>IFERROR(__xludf.DUMMYFUNCTION("IF(H3609="""","""",
SUM(
ARRAYFORMULA(
IF(
REGEXMATCH(
"" ""&amp;H3609&amp;"" "",
"" ""&amp;Sentiment_Words!B$2:B3730&amp;"" ""
),
1,
0
)
)
)
)"),0.0)</f>
        <v>0</v>
      </c>
      <c r="L3609" s="7" t="str">
        <f t="shared" si="3"/>
        <v>Other</v>
      </c>
      <c r="M3609" s="7" t="str">
        <f t="shared" si="4"/>
        <v>Neutral</v>
      </c>
      <c r="N3609" s="7" t="str">
        <f>IFERROR(__xludf.DUMMYFUNCTION("LOWER(
TRIM(
REGEXREPLACE(B3609,""[^a-zA-Z\s]"","""")
)
)
"),"sandra schafer")</f>
        <v>sandra schafer</v>
      </c>
      <c r="O3609" s="7">
        <f t="shared" si="5"/>
        <v>1</v>
      </c>
      <c r="P3609" s="8" t="str">
        <f t="shared" si="6"/>
        <v>No</v>
      </c>
    </row>
    <row r="3610">
      <c r="A3610" s="4" t="s">
        <v>16</v>
      </c>
      <c r="B3610" s="4" t="s">
        <v>9999</v>
      </c>
      <c r="C3610" s="5">
        <v>44491.0</v>
      </c>
      <c r="D3610" s="10">
        <v>44491.0</v>
      </c>
      <c r="E3610" s="4" t="s">
        <v>10000</v>
      </c>
      <c r="F3610" s="4" t="s">
        <v>10001</v>
      </c>
      <c r="G3610" s="6" t="str">
        <f>IFERROR(__xludf.DUMMYFUNCTION("REGEXREPLACE(LOWER(F3610),""[^a-z\s]"","""")"),"not very long shipping from the date of the order prices same as vet")</f>
        <v>not very long shipping from the date of the order prices same as vet</v>
      </c>
      <c r="H3610" s="4" t="str">
        <f t="shared" si="1"/>
        <v>not very long shipping from date of order prices same as vet</v>
      </c>
      <c r="I3610" s="6">
        <f t="shared" si="2"/>
        <v>12</v>
      </c>
      <c r="J3610" s="6">
        <f>IFERROR(__xludf.DUMMYFUNCTION("IF(H3610="""","""",
SUM(
ARRAYFORMULA(
IF(
REGEXMATCH(
"" ""&amp;H3610&amp;"" "",
"" ""&amp;Sentiment_Words!A$2:A3730&amp;"" ""
),
1,
0
)
)
)
)"),0.0)</f>
        <v>0</v>
      </c>
      <c r="K3610" s="4">
        <f>IFERROR(__xludf.DUMMYFUNCTION("IF(H3610="""","""",
SUM(
ARRAYFORMULA(
IF(
REGEXMATCH(
"" ""&amp;H3610&amp;"" "",
"" ""&amp;Sentiment_Words!B$2:B3730&amp;"" ""
),
1,
0
)
)
)
)"),0.0)</f>
        <v>0</v>
      </c>
      <c r="L3610" s="7" t="str">
        <f t="shared" si="3"/>
        <v>Other</v>
      </c>
      <c r="M3610" s="7" t="str">
        <f t="shared" si="4"/>
        <v>Neutral</v>
      </c>
      <c r="N3610" s="7" t="str">
        <f>IFERROR(__xludf.DUMMYFUNCTION("LOWER(
TRIM(
REGEXREPLACE(B3610,""[^a-zA-Z\s]"","""")
)
)
"),"grace carr")</f>
        <v>grace carr</v>
      </c>
      <c r="O3610" s="7">
        <f t="shared" si="5"/>
        <v>1</v>
      </c>
      <c r="P3610" s="8" t="str">
        <f t="shared" si="6"/>
        <v>No</v>
      </c>
    </row>
    <row r="3611">
      <c r="A3611" s="4" t="s">
        <v>16</v>
      </c>
      <c r="B3611" s="4" t="s">
        <v>10002</v>
      </c>
      <c r="C3611" s="5">
        <v>44490.0</v>
      </c>
      <c r="D3611" s="10">
        <v>44491.0</v>
      </c>
      <c r="E3611" s="4" t="s">
        <v>10003</v>
      </c>
      <c r="F3611" s="4" t="s">
        <v>10004</v>
      </c>
      <c r="G3611" s="6" t="str">
        <f>IFERROR(__xludf.DUMMYFUNCTION("REGEXREPLACE(LOWER(F3611),""[^a-z\s]"","""")"),"ordered on  prescription approved the same day item was in stock estimated delivery oct   days for a prescription assuming it arrives on the th and no update at all unacceptable and the same thing happened the last time i ordered terrible service they als"&amp;"o promised to update me twice when i called and i received zero updates never again")</f>
        <v>ordered on  prescription approved the same day item was in stock estimated delivery oct   days for a prescription assuming it arrives on the th and no update at all unacceptable and the same thing happened the last time i ordered terrible service they also promised to update me twice when i called and i received zero updates never again</v>
      </c>
      <c r="H3611" s="4" t="str">
        <f t="shared" si="1"/>
        <v>ordered on prescription approved same day item was in stock estimated delivery oct days a prescription assuming it arrives on th no update at all unacceptable same thing happened last time i ordered terrible service they also promised update me twice when i called i received zero updates never again</v>
      </c>
      <c r="I3611" s="6">
        <f t="shared" si="2"/>
        <v>50</v>
      </c>
      <c r="J3611" s="6">
        <f>IFERROR(__xludf.DUMMYFUNCTION("IF(H3611="""","""",
SUM(
ARRAYFORMULA(
IF(
REGEXMATCH(
"" ""&amp;H3611&amp;"" "",
"" ""&amp;Sentiment_Words!A$2:A3730&amp;"" ""
),
1,
0
)
)
)
)"),0.0)</f>
        <v>0</v>
      </c>
      <c r="K3611" s="4">
        <f>IFERROR(__xludf.DUMMYFUNCTION("IF(H3611="""","""",
SUM(
ARRAYFORMULA(
IF(
REGEXMATCH(
"" ""&amp;H3611&amp;"" "",
"" ""&amp;Sentiment_Words!B$2:B3730&amp;"" ""
),
1,
0
)
)
)
)"),1.0)</f>
        <v>1</v>
      </c>
      <c r="L3611" s="7" t="str">
        <f t="shared" si="3"/>
        <v>Customer Support</v>
      </c>
      <c r="M3611" s="7" t="str">
        <f t="shared" si="4"/>
        <v>Negative</v>
      </c>
      <c r="N3611" s="7" t="str">
        <f>IFERROR(__xludf.DUMMYFUNCTION("LOWER(
TRIM(
REGEXREPLACE(B3611,""[^a-zA-Z\s]"","""")
)
)
"),"frank f")</f>
        <v>frank f</v>
      </c>
      <c r="O3611" s="7">
        <f t="shared" si="5"/>
        <v>1</v>
      </c>
      <c r="P3611" s="8" t="str">
        <f t="shared" si="6"/>
        <v>No</v>
      </c>
    </row>
    <row r="3612">
      <c r="A3612" s="4" t="s">
        <v>16</v>
      </c>
      <c r="B3612" s="4" t="s">
        <v>1077</v>
      </c>
      <c r="C3612" s="5">
        <v>44490.0</v>
      </c>
      <c r="D3612" s="10">
        <v>44491.0</v>
      </c>
      <c r="E3612" s="4" t="s">
        <v>10005</v>
      </c>
      <c r="F3612" s="4" t="s">
        <v>10006</v>
      </c>
      <c r="G3612" s="6" t="str">
        <f>IFERROR(__xludf.DUMMYFUNCTION("REGEXREPLACE(LOWER(F3612),""[^a-z\s]"","""")"),"i get all my dog food and treats from you usually all is good and no problemshowever last order the  lb bag of their nutrisource weight management bag was torn and kibble leaked out into delivery box i do not like giving my pups any food or treats where t"&amp;"he container has been openedit should be replaced")</f>
        <v>i get all my dog food and treats from you usually all is good and no problemshowever last order the  lb bag of their nutrisource weight management bag was torn and kibble leaked out into delivery box i do not like giving my pups any food or treats where the container has been openedit should be replaced</v>
      </c>
      <c r="H3612" s="4" t="str">
        <f t="shared" si="1"/>
        <v>i get all my dog food treats from you usually all good no problemshowever last order lb bag of their nutrisource weight management bag was torn kibble leaked out into delivery box i do not like giving my pups any food or treats where container has been openedit should be replaced</v>
      </c>
      <c r="I3612" s="6">
        <f t="shared" si="2"/>
        <v>51</v>
      </c>
      <c r="J3612" s="6">
        <f>IFERROR(__xludf.DUMMYFUNCTION("IF(H3612="""","""",
SUM(
ARRAYFORMULA(
IF(
REGEXMATCH(
"" ""&amp;H3612&amp;"" "",
"" ""&amp;Sentiment_Words!A$2:A3730&amp;"" ""
),
1,
0
)
)
)
)"),1.0)</f>
        <v>1</v>
      </c>
      <c r="K3612" s="4">
        <f>IFERROR(__xludf.DUMMYFUNCTION("IF(H3612="""","""",
SUM(
ARRAYFORMULA(
IF(
REGEXMATCH(
"" ""&amp;H3612&amp;"" "",
"" ""&amp;Sentiment_Words!B$2:B3730&amp;"" ""
),
1,
0
)
)
)
)"),0.0)</f>
        <v>0</v>
      </c>
      <c r="L3612" s="7" t="str">
        <f t="shared" si="3"/>
        <v>Other</v>
      </c>
      <c r="M3612" s="7" t="str">
        <f t="shared" si="4"/>
        <v>Positive</v>
      </c>
      <c r="N3612" s="7" t="str">
        <f>IFERROR(__xludf.DUMMYFUNCTION("LOWER(
TRIM(
REGEXREPLACE(B3612,""[^a-zA-Z\s]"","""")
)
)
"),"allen karol")</f>
        <v>allen karol</v>
      </c>
      <c r="O3612" s="7">
        <f t="shared" si="5"/>
        <v>2</v>
      </c>
      <c r="P3612" s="8" t="str">
        <f t="shared" si="6"/>
        <v>Yes</v>
      </c>
    </row>
    <row r="3613">
      <c r="A3613" s="4" t="s">
        <v>16</v>
      </c>
      <c r="B3613" s="4" t="s">
        <v>10007</v>
      </c>
      <c r="C3613" s="5">
        <v>44490.0</v>
      </c>
      <c r="D3613" s="10">
        <v>44491.0</v>
      </c>
      <c r="E3613" s="4" t="s">
        <v>10008</v>
      </c>
      <c r="F3613" s="4" t="s">
        <v>10009</v>
      </c>
      <c r="G3613" s="6" t="str">
        <f>IFERROR(__xludf.DUMMYFUNCTION("REGEXREPLACE(LOWER(F3613),""[^a-z\s]"","""")"),"petflow always has the prescription diet dog food in stock my dog requires i dont have to wait for them to ship thank you for your service")</f>
        <v>petflow always has the prescription diet dog food in stock my dog requires i dont have to wait for them to ship thank you for your service</v>
      </c>
      <c r="H3613" s="4" t="str">
        <f t="shared" si="1"/>
        <v>petflow always has prescription diet dog food in stock my dog requires i dont have wait them ship thank you your service</v>
      </c>
      <c r="I3613" s="6">
        <f t="shared" si="2"/>
        <v>22</v>
      </c>
      <c r="J3613" s="6">
        <f>IFERROR(__xludf.DUMMYFUNCTION("IF(H3613="""","""",
SUM(
ARRAYFORMULA(
IF(
REGEXMATCH(
"" ""&amp;H3613&amp;"" "",
"" ""&amp;Sentiment_Words!A$2:A3730&amp;"" ""
),
1,
0
)
)
)
)"),0.0)</f>
        <v>0</v>
      </c>
      <c r="K3613" s="4">
        <f>IFERROR(__xludf.DUMMYFUNCTION("IF(H3613="""","""",
SUM(
ARRAYFORMULA(
IF(
REGEXMATCH(
"" ""&amp;H3613&amp;"" "",
"" ""&amp;Sentiment_Words!B$2:B3730&amp;"" ""
),
1,
0
)
)
)
)"),0.0)</f>
        <v>0</v>
      </c>
      <c r="L3613" s="7" t="str">
        <f t="shared" si="3"/>
        <v>Customer Support</v>
      </c>
      <c r="M3613" s="7" t="str">
        <f t="shared" si="4"/>
        <v>Neutral</v>
      </c>
      <c r="N3613" s="7" t="str">
        <f>IFERROR(__xludf.DUMMYFUNCTION("LOWER(
TRIM(
REGEXREPLACE(B3613,""[^a-zA-Z\s]"","""")
)
)
"),"marion konvalina")</f>
        <v>marion konvalina</v>
      </c>
      <c r="O3613" s="7">
        <f t="shared" si="5"/>
        <v>1</v>
      </c>
      <c r="P3613" s="8" t="str">
        <f t="shared" si="6"/>
        <v>No</v>
      </c>
    </row>
    <row r="3614">
      <c r="A3614" s="4" t="s">
        <v>16</v>
      </c>
      <c r="B3614" s="4" t="s">
        <v>10010</v>
      </c>
      <c r="C3614" s="5">
        <v>44490.0</v>
      </c>
      <c r="D3614" s="10">
        <v>44490.0</v>
      </c>
      <c r="E3614" s="4" t="s">
        <v>10011</v>
      </c>
      <c r="F3614" s="4" t="s">
        <v>10012</v>
      </c>
      <c r="G3614" s="6" t="str">
        <f>IFERROR(__xludf.DUMMYFUNCTION("REGEXREPLACE(LOWER(F3614),""[^a-z\s]"","""")"),"ive used this company twice and both calls were speedy and user friendly ive also used chewy and those calls tend to be cumbersome nice people at both companies ex chewy asks lots of questions before i can place my order i believe petflow just needed my p"&amp;"hone number fast petflow is now my first choice for my future service dogs needs good job")</f>
        <v>ive used this company twice and both calls were speedy and user friendly ive also used chewy and those calls tend to be cumbersome nice people at both companies ex chewy asks lots of questions before i can place my order i believe petflow just needed my phone number fast petflow is now my first choice for my future service dogs needs good job</v>
      </c>
      <c r="H3614" s="4" t="str">
        <f t="shared" si="1"/>
        <v>ive used this company twice both calls were speedy user friendly ive also used chewy those calls tend be cumbersome nice people at both companies ex chewy asks lots of questions before i can place my order i believe petflow just needed my phone number fast petflow now my first choice my future service dogs needs good job</v>
      </c>
      <c r="I3614" s="6">
        <f t="shared" si="2"/>
        <v>58</v>
      </c>
      <c r="J3614" s="6">
        <f>IFERROR(__xludf.DUMMYFUNCTION("IF(H3614="""","""",
SUM(
ARRAYFORMULA(
IF(
REGEXMATCH(
"" ""&amp;H3614&amp;"" "",
"" ""&amp;Sentiment_Words!A$2:A3730&amp;"" ""
),
1,
0
)
)
)
)"),2.0)</f>
        <v>2</v>
      </c>
      <c r="K3614" s="4">
        <f>IFERROR(__xludf.DUMMYFUNCTION("IF(H3614="""","""",
SUM(
ARRAYFORMULA(
IF(
REGEXMATCH(
"" ""&amp;H3614&amp;"" "",
"" ""&amp;Sentiment_Words!B$2:B3730&amp;"" ""
),
1,
0
)
)
)
)"),0.0)</f>
        <v>0</v>
      </c>
      <c r="L3614" s="7" t="str">
        <f t="shared" si="3"/>
        <v>Customer Support</v>
      </c>
      <c r="M3614" s="7" t="str">
        <f t="shared" si="4"/>
        <v>Positive</v>
      </c>
      <c r="N3614" s="7" t="str">
        <f>IFERROR(__xludf.DUMMYFUNCTION("LOWER(
TRIM(
REGEXREPLACE(B3614,""[^a-zA-Z\s]"","""")
)
)
"),"wilson")</f>
        <v>wilson</v>
      </c>
      <c r="O3614" s="7">
        <f t="shared" si="5"/>
        <v>2</v>
      </c>
      <c r="P3614" s="8" t="str">
        <f t="shared" si="6"/>
        <v>Yes</v>
      </c>
    </row>
    <row r="3615">
      <c r="A3615" s="4" t="s">
        <v>16</v>
      </c>
      <c r="B3615" s="4" t="s">
        <v>10013</v>
      </c>
      <c r="C3615" s="5">
        <v>44490.0</v>
      </c>
      <c r="D3615" s="10">
        <v>44490.0</v>
      </c>
      <c r="E3615" s="4" t="s">
        <v>10014</v>
      </c>
      <c r="F3615" s="4" t="s">
        <v>10015</v>
      </c>
      <c r="G3615" s="6" t="str">
        <f>IFERROR(__xludf.DUMMYFUNCTION("REGEXREPLACE(LOWER(F3615),""[^a-z\s]"","""")"),"love the products and ease of ordering my problem is with the actual shippingpackaging of items being sent to my house often everything no matter what size or weight is thrown into the same weakly sealed one strip of packing tape thin cardboard box by the"&amp;" time it arrives at my house the box is falling apart or in pieces further the products inside are smashed or in some cases have holes in the bags i have received many bags over the years of lb cat litter with rips or holes ive had to patch my last order "&amp;"of  lb bags of cat litter and  lb bags of cat food were all in one weakly sealed cheap cardboard box the box was falling apart so i couldnt even move it not to mention it weighed  lbs i tried to wrestle it but nothing would stay inside finally i had to re"&amp;"move each product one by one and carry them from my front porch to my basement one bag of litter had a rip in it so i had to tape it shut again this is like the rd or th time this has happened i now know i cannot bring your delivered boxes into my house a"&amp;"s it more than likely has litter spilling out inside the other smaller miscellaneous products cat treats pumpkin puree etc were smashed from the weight of the heavier items andor in the case of the pumpkin its box was falling apart too i wish more care wa"&amp;"s taken with the actual shipment of the products im tired of repairing rips removing loose cat litter from all the other products and my house and dealing with ripped shipping boxes maybe shipping the heavier items in their own individual box would be a g"&amp;"ood idea i keep ordering from you because i do like the products and they are basically usable it would just be nice to not have to wrestle with the shipping packages every time")</f>
        <v>love the products and ease of ordering my problem is with the actual shippingpackaging of items being sent to my house often everything no matter what size or weight is thrown into the same weakly sealed one strip of packing tape thin cardboard box by the time it arrives at my house the box is falling apart or in pieces further the products inside are smashed or in some cases have holes in the bags i have received many bags over the years of lb cat litter with rips or holes ive had to patch my last order of  lb bags of cat litter and  lb bags of cat food were all in one weakly sealed cheap cardboard box the box was falling apart so i couldnt even move it not to mention it weighed  lbs i tried to wrestle it but nothing would stay inside finally i had to remove each product one by one and carry them from my front porch to my basement one bag of litter had a rip in it so i had to tape it shut again this is like the rd or th time this has happened i now know i cannot bring your delivered boxes into my house as it more than likely has litter spilling out inside the other smaller miscellaneous products cat treats pumpkin puree etc were smashed from the weight of the heavier items andor in the case of the pumpkin its box was falling apart too i wish more care was taken with the actual shipment of the products im tired of repairing rips removing loose cat litter from all the other products and my house and dealing with ripped shipping boxes maybe shipping the heavier items in their own individual box would be a good idea i keep ordering from you because i do like the products and they are basically usable it would just be nice to not have to wrestle with the shipping packages every time</v>
      </c>
      <c r="H3615" s="4" t="str">
        <f t="shared" si="1"/>
        <v>love products ease of ordering my problem with actual shippingpackaging of items being sent my house often everything no matter what size or weight thrown into same weakly sealed one strip of packing tape thin cardboard box by time it arrives at my house box falling apart or in pieces further products inside are smashed or in some cases have holes in bags i have received many bags over years of lb cat litter with rips or holes ive had patch my last order of lb bags of cat litter lb bags of cat food were all in one weakly sealed cheap cardboard box box was falling apart so i couldnt even move it not mention it weighed lbs i tried wrestle it but nothing would stay inside finally i had remove each product one by one carry them from my front porch my basement one bag of litter had a rip in it so i had tape it shut again this like rd or th time this has happened i now know i cannot bring your delivered boxes into my house as it more than likely has litter spilling out inside other smaller miscellaneous products cat treats pumpkin puree etc were smashed from weight of heavier items andor in case of pumpkin its box was falling apart too i wish more care was taken with actual shipment of products im tired of repairing rips removing loose cat litter from all other products my house dealing with ripped shipping boxes maybe shipping heavier items in their own individual box would be a good idea i keep ordering from you because i do like products they are basically usable it would just be nice not have wrestle with shipping packages every time</v>
      </c>
      <c r="I3615" s="6">
        <f t="shared" si="2"/>
        <v>291</v>
      </c>
      <c r="J3615" s="6">
        <f>IFERROR(__xludf.DUMMYFUNCTION("IF(H3615="""","""",
SUM(
ARRAYFORMULA(
IF(
REGEXMATCH(
"" ""&amp;H3615&amp;"" "",
"" ""&amp;Sentiment_Words!A$2:A3730&amp;"" ""
),
1,
0
)
)
)
)"),3.0)</f>
        <v>3</v>
      </c>
      <c r="K3615" s="4">
        <f>IFERROR(__xludf.DUMMYFUNCTION("IF(H3615="""","""",
SUM(
ARRAYFORMULA(
IF(
REGEXMATCH(
"" ""&amp;H3615&amp;"" "",
"" ""&amp;Sentiment_Words!B$2:B3730&amp;"" ""
),
1,
0
)
)
)
)"),1.0)</f>
        <v>1</v>
      </c>
      <c r="L3615" s="7" t="str">
        <f t="shared" si="3"/>
        <v>Other</v>
      </c>
      <c r="M3615" s="7" t="str">
        <f t="shared" si="4"/>
        <v>Positive</v>
      </c>
      <c r="N3615" s="7" t="str">
        <f>IFERROR(__xludf.DUMMYFUNCTION("LOWER(
TRIM(
REGEXREPLACE(B3615,""[^a-zA-Z\s]"","""")
)
)
"),"patricia campbell")</f>
        <v>patricia campbell</v>
      </c>
      <c r="O3615" s="7">
        <f t="shared" si="5"/>
        <v>1</v>
      </c>
      <c r="P3615" s="8" t="str">
        <f t="shared" si="6"/>
        <v>No</v>
      </c>
    </row>
    <row r="3616">
      <c r="A3616" s="4" t="s">
        <v>16</v>
      </c>
      <c r="B3616" s="4" t="s">
        <v>10016</v>
      </c>
      <c r="C3616" s="5">
        <v>44490.0</v>
      </c>
      <c r="D3616" s="4" t="s">
        <v>10017</v>
      </c>
      <c r="E3616" s="4" t="s">
        <v>10018</v>
      </c>
      <c r="F3616" s="4" t="s">
        <v>10019</v>
      </c>
      <c r="G3616" s="6" t="str">
        <f>IFERROR(__xludf.DUMMYFUNCTION("REGEXREPLACE(LOWER(F3616),""[^a-z\s]"","""")"),"my purchase was delivered in a timely manner
prices are fabulous just  at any other retail store is  ish
once im finally moved into my new house i will start automatic shipping ")</f>
        <v>my purchase was delivered in a timely manner
prices are fabulous just  at any other retail store is  ish
once im finally moved into my new house i will start automatic shipping </v>
      </c>
      <c r="H3616" s="4" t="str">
        <f t="shared" si="1"/>
        <v>my purchase was delivered in a timely manner
prices are fabulous just at any other retail store ish
once im finally moved into my new house i will start automatic shipping</v>
      </c>
      <c r="I3616" s="6">
        <f t="shared" si="2"/>
        <v>29</v>
      </c>
      <c r="J3616" s="6">
        <f>IFERROR(__xludf.DUMMYFUNCTION("IF(H3616="""","""",
SUM(
ARRAYFORMULA(
IF(
REGEXMATCH(
"" ""&amp;H3616&amp;"" "",
"" ""&amp;Sentiment_Words!A$2:A3730&amp;"" ""
),
1,
0
)
)
)
)"),1.0)</f>
        <v>1</v>
      </c>
      <c r="K3616" s="4">
        <f>IFERROR(__xludf.DUMMYFUNCTION("IF(H3616="""","""",
SUM(
ARRAYFORMULA(
IF(
REGEXMATCH(
"" ""&amp;H3616&amp;"" "",
"" ""&amp;Sentiment_Words!B$2:B3730&amp;"" ""
),
1,
0
)
)
)
)"),0.0)</f>
        <v>0</v>
      </c>
      <c r="L3616" s="7" t="str">
        <f t="shared" si="3"/>
        <v>Other</v>
      </c>
      <c r="M3616" s="7" t="str">
        <f t="shared" si="4"/>
        <v>Positive</v>
      </c>
      <c r="N3616" s="7" t="str">
        <f>IFERROR(__xludf.DUMMYFUNCTION("LOWER(
TRIM(
REGEXREPLACE(B3616,""[^a-zA-Z\s]"","""")
)
)
"),"r lahrman")</f>
        <v>r lahrman</v>
      </c>
      <c r="O3616" s="7">
        <f t="shared" si="5"/>
        <v>1</v>
      </c>
      <c r="P3616" s="8" t="str">
        <f t="shared" si="6"/>
        <v>No</v>
      </c>
    </row>
    <row r="3617">
      <c r="A3617" s="4" t="s">
        <v>16</v>
      </c>
      <c r="B3617" s="4" t="s">
        <v>3332</v>
      </c>
      <c r="C3617" s="5">
        <v>44490.0</v>
      </c>
      <c r="D3617" s="10">
        <v>44490.0</v>
      </c>
      <c r="E3617" s="4" t="s">
        <v>10020</v>
      </c>
      <c r="F3617" s="4" t="s">
        <v>10021</v>
      </c>
      <c r="G3617" s="6" t="str">
        <f>IFERROR(__xludf.DUMMYFUNCTION("REGEXREPLACE(LOWER(F3617),""[^a-z\s]"","""")"),"always correct  timely a bit of delay due to getting items further than nv to az end point but that is expected in the shipping issues across all businesses")</f>
        <v>always correct  timely a bit of delay due to getting items further than nv to az end point but that is expected in the shipping issues across all businesses</v>
      </c>
      <c r="H3617" s="4" t="str">
        <f t="shared" si="1"/>
        <v>always correct timely a bit of delay due getting items further than nv az end point but that expected in shipping issues across all businesses</v>
      </c>
      <c r="I3617" s="6">
        <f t="shared" si="2"/>
        <v>25</v>
      </c>
      <c r="J3617" s="6">
        <f>IFERROR(__xludf.DUMMYFUNCTION("IF(H3617="""","""",
SUM(
ARRAYFORMULA(
IF(
REGEXMATCH(
"" ""&amp;H3617&amp;"" "",
"" ""&amp;Sentiment_Words!A$2:A3730&amp;"" ""
),
1,
0
)
)
)
)"),0.0)</f>
        <v>0</v>
      </c>
      <c r="K3617" s="4">
        <f>IFERROR(__xludf.DUMMYFUNCTION("IF(H3617="""","""",
SUM(
ARRAYFORMULA(
IF(
REGEXMATCH(
"" ""&amp;H3617&amp;"" "",
"" ""&amp;Sentiment_Words!B$2:B3730&amp;"" ""
),
1,
0
)
)
)
)"),1.0)</f>
        <v>1</v>
      </c>
      <c r="L3617" s="7" t="str">
        <f t="shared" si="3"/>
        <v>Fulfillment &amp; Shipping</v>
      </c>
      <c r="M3617" s="7" t="str">
        <f t="shared" si="4"/>
        <v>Negative</v>
      </c>
      <c r="N3617" s="7" t="str">
        <f>IFERROR(__xludf.DUMMYFUNCTION("LOWER(
TRIM(
REGEXREPLACE(B3617,""[^a-zA-Z\s]"","""")
)
)
"),"karen")</f>
        <v>karen</v>
      </c>
      <c r="O3617" s="7">
        <f t="shared" si="5"/>
        <v>8</v>
      </c>
      <c r="P3617" s="8" t="str">
        <f t="shared" si="6"/>
        <v>Yes</v>
      </c>
    </row>
    <row r="3618">
      <c r="A3618" s="4" t="s">
        <v>16</v>
      </c>
      <c r="B3618" s="4" t="s">
        <v>10022</v>
      </c>
      <c r="C3618" s="5">
        <v>44490.0</v>
      </c>
      <c r="D3618" s="10">
        <v>44490.0</v>
      </c>
      <c r="E3618" s="4" t="s">
        <v>10023</v>
      </c>
      <c r="F3618" s="4" t="s">
        <v>10024</v>
      </c>
      <c r="G3618" s="6" t="str">
        <f>IFERROR(__xludf.DUMMYFUNCTION("REGEXREPLACE(LOWER(F3618),""[^a-z\s]"","""")"),"so far so good
petsmart has let me down with late shipping not in stock and lb bags of dog food with way too much powder they refuse to ship in boxes that match the large bags and simple will not use any kind of packing
fthat we be dun wit does mfers
petf"&amp;"low met our needs for instock ready to ship and a few bucks less
way to go my flowers
or something
rock on")</f>
        <v>so far so good
petsmart has let me down with late shipping not in stock and lb bags of dog food with way too much powder they refuse to ship in boxes that match the large bags and simple will not use any kind of packing
fthat we be dun wit does mfers
petflow met our needs for instock ready to ship and a few bucks less
way to go my flowers
or something
rock on</v>
      </c>
      <c r="H3618" s="4" t="str">
        <f t="shared" si="1"/>
        <v>so far so good
petsmart has let me down with late shipping not in stock lb bags of dog food with way too much powder they refuse ship in boxes that match large bags simple will not use any kind of packing
fthat we be dun wit does mfers
petflow met our needs instock ready ship a few bucks less
way go my flowers
or something
rock on</v>
      </c>
      <c r="I3618" s="6">
        <f t="shared" si="2"/>
        <v>62</v>
      </c>
      <c r="J3618" s="6">
        <f>IFERROR(__xludf.DUMMYFUNCTION("IF(H3618="""","""",
SUM(
ARRAYFORMULA(
IF(
REGEXMATCH(
"" ""&amp;H3618&amp;"" "",
"" ""&amp;Sentiment_Words!A$2:A3730&amp;"" ""
),
1,
0
)
)
)
)"),0.0)</f>
        <v>0</v>
      </c>
      <c r="K3618" s="4">
        <f>IFERROR(__xludf.DUMMYFUNCTION("IF(H3618="""","""",
SUM(
ARRAYFORMULA(
IF(
REGEXMATCH(
"" ""&amp;H3618&amp;"" "",
"" ""&amp;Sentiment_Words!B$2:B3730&amp;"" ""
),
1,
0
)
)
)
)"),0.0)</f>
        <v>0</v>
      </c>
      <c r="L3618" s="7" t="str">
        <f t="shared" si="3"/>
        <v>Fulfillment &amp; Shipping</v>
      </c>
      <c r="M3618" s="7" t="str">
        <f t="shared" si="4"/>
        <v>Neutral</v>
      </c>
      <c r="N3618" s="7" t="str">
        <f>IFERROR(__xludf.DUMMYFUNCTION("LOWER(
TRIM(
REGEXREPLACE(B3618,""[^a-zA-Z\s]"","""")
)
)
"),"owl lover")</f>
        <v>owl lover</v>
      </c>
      <c r="O3618" s="7">
        <f t="shared" si="5"/>
        <v>1</v>
      </c>
      <c r="P3618" s="8" t="str">
        <f t="shared" si="6"/>
        <v>No</v>
      </c>
    </row>
    <row r="3619">
      <c r="A3619" s="4" t="s">
        <v>16</v>
      </c>
      <c r="B3619" s="4" t="s">
        <v>10025</v>
      </c>
      <c r="C3619" s="5">
        <v>44489.0</v>
      </c>
      <c r="D3619" s="10">
        <v>44489.0</v>
      </c>
      <c r="E3619" s="4" t="s">
        <v>10026</v>
      </c>
      <c r="F3619" s="4" t="s">
        <v>10027</v>
      </c>
      <c r="G3619" s="6" t="str">
        <f>IFERROR(__xludf.DUMMYFUNCTION("REGEXREPLACE(LOWER(F3619),""[^a-z\s]"","""")"),"first time ordering autoship for dog food so far so good")</f>
        <v>first time ordering autoship for dog food so far so good</v>
      </c>
      <c r="H3619" s="4" t="str">
        <f t="shared" si="1"/>
        <v>first time ordering autoship dog food so far so good</v>
      </c>
      <c r="I3619" s="6">
        <f t="shared" si="2"/>
        <v>10</v>
      </c>
      <c r="J3619" s="6">
        <f>IFERROR(__xludf.DUMMYFUNCTION("IF(H3619="""","""",
SUM(
ARRAYFORMULA(
IF(
REGEXMATCH(
"" ""&amp;H3619&amp;"" "",
"" ""&amp;Sentiment_Words!A$2:A3730&amp;"" ""
),
1,
0
)
)
)
)"),1.0)</f>
        <v>1</v>
      </c>
      <c r="K3619" s="4">
        <f>IFERROR(__xludf.DUMMYFUNCTION("IF(H3619="""","""",
SUM(
ARRAYFORMULA(
IF(
REGEXMATCH(
"" ""&amp;H3619&amp;"" "",
"" ""&amp;Sentiment_Words!B$2:B3730&amp;"" ""
),
1,
0
)
)
)
)"),0.0)</f>
        <v>0</v>
      </c>
      <c r="L3619" s="7" t="str">
        <f t="shared" si="3"/>
        <v>Other</v>
      </c>
      <c r="M3619" s="7" t="str">
        <f t="shared" si="4"/>
        <v>Positive</v>
      </c>
      <c r="N3619" s="7" t="str">
        <f>IFERROR(__xludf.DUMMYFUNCTION("LOWER(
TRIM(
REGEXREPLACE(B3619,""[^a-zA-Z\s]"","""")
)
)
"),"bigfishgamessucks")</f>
        <v>bigfishgamessucks</v>
      </c>
      <c r="O3619" s="7">
        <f t="shared" si="5"/>
        <v>1</v>
      </c>
      <c r="P3619" s="8" t="str">
        <f t="shared" si="6"/>
        <v>No</v>
      </c>
    </row>
    <row r="3620">
      <c r="A3620" s="4" t="s">
        <v>16</v>
      </c>
      <c r="B3620" s="4" t="s">
        <v>1139</v>
      </c>
      <c r="C3620" s="5">
        <v>44489.0</v>
      </c>
      <c r="D3620" s="10">
        <v>44489.0</v>
      </c>
      <c r="E3620" s="4" t="s">
        <v>10028</v>
      </c>
      <c r="F3620" s="4" t="s">
        <v>10029</v>
      </c>
      <c r="G3620" s="6" t="str">
        <f>IFERROR(__xludf.DUMMYFUNCTION("REGEXREPLACE(LOWER(F3620),""[^a-z\s]"","""")"),"quick delivery and always coupons to be found")</f>
        <v>quick delivery and always coupons to be found</v>
      </c>
      <c r="H3620" s="4" t="str">
        <f t="shared" si="1"/>
        <v>quick delivery always coupons be found</v>
      </c>
      <c r="I3620" s="6">
        <f t="shared" si="2"/>
        <v>6</v>
      </c>
      <c r="J3620" s="6">
        <f>IFERROR(__xludf.DUMMYFUNCTION("IF(H3620="""","""",
SUM(
ARRAYFORMULA(
IF(
REGEXMATCH(
"" ""&amp;H3620&amp;"" "",
"" ""&amp;Sentiment_Words!A$2:A3730&amp;"" ""
),
1,
0
)
)
)
)"),2.0)</f>
        <v>2</v>
      </c>
      <c r="K3620" s="4">
        <f>IFERROR(__xludf.DUMMYFUNCTION("IF(H3620="""","""",
SUM(
ARRAYFORMULA(
IF(
REGEXMATCH(
"" ""&amp;H3620&amp;"" "",
"" ""&amp;Sentiment_Words!B$2:B3730&amp;"" ""
),
1,
0
)
)
)
)"),0.0)</f>
        <v>0</v>
      </c>
      <c r="L3620" s="7" t="str">
        <f t="shared" si="3"/>
        <v>Other</v>
      </c>
      <c r="M3620" s="7" t="str">
        <f t="shared" si="4"/>
        <v>Positive</v>
      </c>
      <c r="N3620" s="7" t="str">
        <f>IFERROR(__xludf.DUMMYFUNCTION("LOWER(
TRIM(
REGEXREPLACE(B3620,""[^a-zA-Z\s]"","""")
)
)
"),"jeff")</f>
        <v>jeff</v>
      </c>
      <c r="O3620" s="7">
        <f t="shared" si="5"/>
        <v>5</v>
      </c>
      <c r="P3620" s="8" t="str">
        <f t="shared" si="6"/>
        <v>Yes</v>
      </c>
    </row>
    <row r="3621">
      <c r="A3621" s="4" t="s">
        <v>16</v>
      </c>
      <c r="B3621" s="4" t="s">
        <v>10030</v>
      </c>
      <c r="C3621" s="5">
        <v>44489.0</v>
      </c>
      <c r="D3621" s="10">
        <v>44489.0</v>
      </c>
      <c r="E3621" s="4" t="s">
        <v>1036</v>
      </c>
      <c r="F3621" s="4" t="s">
        <v>10031</v>
      </c>
      <c r="G3621" s="6" t="str">
        <f>IFERROR(__xludf.DUMMYFUNCTION("REGEXREPLACE(LOWER(F3621),""[^a-z\s]"","""")"),"quick dependable service with diverse item selection most companies now offer free shipping on all orders which should be a consideration here")</f>
        <v>quick dependable service with diverse item selection most companies now offer free shipping on all orders which should be a consideration here</v>
      </c>
      <c r="H3621" s="4" t="str">
        <f t="shared" si="1"/>
        <v>quick dependable service with diverse item selection most companies now offer free shipping on all orders which should be a consideration here</v>
      </c>
      <c r="I3621" s="6">
        <f t="shared" si="2"/>
        <v>22</v>
      </c>
      <c r="J3621" s="6">
        <f>IFERROR(__xludf.DUMMYFUNCTION("IF(H3621="""","""",
SUM(
ARRAYFORMULA(
IF(
REGEXMATCH(
"" ""&amp;H3621&amp;"" "",
"" ""&amp;Sentiment_Words!A$2:A3730&amp;"" ""
),
1,
0
)
)
)
)"),0.0)</f>
        <v>0</v>
      </c>
      <c r="K3621" s="4">
        <f>IFERROR(__xludf.DUMMYFUNCTION("IF(H3621="""","""",
SUM(
ARRAYFORMULA(
IF(
REGEXMATCH(
"" ""&amp;H3621&amp;"" "",
"" ""&amp;Sentiment_Words!B$2:B3730&amp;"" ""
),
1,
0
)
)
)
)"),0.0)</f>
        <v>0</v>
      </c>
      <c r="L3621" s="7" t="str">
        <f t="shared" si="3"/>
        <v>Customer Support</v>
      </c>
      <c r="M3621" s="7" t="str">
        <f t="shared" si="4"/>
        <v>Neutral</v>
      </c>
      <c r="N3621" s="7" t="str">
        <f>IFERROR(__xludf.DUMMYFUNCTION("LOWER(
TRIM(
REGEXREPLACE(B3621,""[^a-zA-Z\s]"","""")
)
)
"),"michelle murray")</f>
        <v>michelle murray</v>
      </c>
      <c r="O3621" s="7">
        <f t="shared" si="5"/>
        <v>1</v>
      </c>
      <c r="P3621" s="8" t="str">
        <f t="shared" si="6"/>
        <v>No</v>
      </c>
    </row>
    <row r="3622">
      <c r="A3622" s="4" t="s">
        <v>16</v>
      </c>
      <c r="B3622" s="4" t="s">
        <v>10032</v>
      </c>
      <c r="C3622" s="5">
        <v>44489.0</v>
      </c>
      <c r="D3622" s="10">
        <v>44489.0</v>
      </c>
      <c r="E3622" s="4" t="s">
        <v>332</v>
      </c>
      <c r="F3622" s="4" t="s">
        <v>10033</v>
      </c>
      <c r="G3622" s="6" t="str">
        <f>IFERROR(__xludf.DUMMYFUNCTION("REGEXREPLACE(LOWER(F3622),""[^a-z\s]"","""")"),"great product the company you use for shipping is horrible boxes opened when delivered bags of food broke open from throwing it down on the ground poor shipping")</f>
        <v>great product the company you use for shipping is horrible boxes opened when delivered bags of food broke open from throwing it down on the ground poor shipping</v>
      </c>
      <c r="H3622" s="4" t="str">
        <f t="shared" si="1"/>
        <v>great product company you use shipping horrible boxes opened when delivered bags of food broke open from throwing it down on ground poor shipping</v>
      </c>
      <c r="I3622" s="6">
        <f t="shared" si="2"/>
        <v>24</v>
      </c>
      <c r="J3622" s="6">
        <f>IFERROR(__xludf.DUMMYFUNCTION("IF(H3622="""","""",
SUM(
ARRAYFORMULA(
IF(
REGEXMATCH(
"" ""&amp;H3622&amp;"" "",
"" ""&amp;Sentiment_Words!A$2:A3730&amp;"" ""
),
1,
0
)
)
)
)"),2.0)</f>
        <v>2</v>
      </c>
      <c r="K3622" s="4">
        <f>IFERROR(__xludf.DUMMYFUNCTION("IF(H3622="""","""",
SUM(
ARRAYFORMULA(
IF(
REGEXMATCH(
"" ""&amp;H3622&amp;"" "",
"" ""&amp;Sentiment_Words!B$2:B3730&amp;"" ""
),
1,
0
)
)
)
)"),0.0)</f>
        <v>0</v>
      </c>
      <c r="L3622" s="7" t="str">
        <f t="shared" si="3"/>
        <v>Other</v>
      </c>
      <c r="M3622" s="7" t="str">
        <f t="shared" si="4"/>
        <v>Positive</v>
      </c>
      <c r="N3622" s="7" t="str">
        <f>IFERROR(__xludf.DUMMYFUNCTION("LOWER(
TRIM(
REGEXREPLACE(B3622,""[^a-zA-Z\s]"","""")
)
)
"),"patty")</f>
        <v>patty</v>
      </c>
      <c r="O3622" s="7">
        <f t="shared" si="5"/>
        <v>2</v>
      </c>
      <c r="P3622" s="8" t="str">
        <f t="shared" si="6"/>
        <v>Yes</v>
      </c>
    </row>
    <row r="3623">
      <c r="A3623" s="4" t="s">
        <v>16</v>
      </c>
      <c r="B3623" s="4" t="s">
        <v>10034</v>
      </c>
      <c r="C3623" s="5">
        <v>44489.0</v>
      </c>
      <c r="D3623" s="10">
        <v>44489.0</v>
      </c>
      <c r="E3623" s="4" t="s">
        <v>3859</v>
      </c>
      <c r="F3623" s="4" t="s">
        <v>10035</v>
      </c>
      <c r="G3623" s="6" t="str">
        <f>IFERROR(__xludf.DUMMYFUNCTION("REGEXREPLACE(LOWER(F3623),""[^a-z\s]"","""")"),"great prices and products in stock ready to ship i will definitely order again")</f>
        <v>great prices and products in stock ready to ship i will definitely order again</v>
      </c>
      <c r="H3623" s="4" t="str">
        <f t="shared" si="1"/>
        <v>great prices products in stock ready ship i will definitely order again</v>
      </c>
      <c r="I3623" s="6">
        <f t="shared" si="2"/>
        <v>12</v>
      </c>
      <c r="J3623" s="6">
        <f>IFERROR(__xludf.DUMMYFUNCTION("IF(H3623="""","""",
SUM(
ARRAYFORMULA(
IF(
REGEXMATCH(
"" ""&amp;H3623&amp;"" "",
"" ""&amp;Sentiment_Words!A$2:A3730&amp;"" ""
),
1,
0
)
)
)
)"),1.0)</f>
        <v>1</v>
      </c>
      <c r="K3623" s="4">
        <f>IFERROR(__xludf.DUMMYFUNCTION("IF(H3623="""","""",
SUM(
ARRAYFORMULA(
IF(
REGEXMATCH(
"" ""&amp;H3623&amp;"" "",
"" ""&amp;Sentiment_Words!B$2:B3730&amp;"" ""
),
1,
0
)
)
)
)"),0.0)</f>
        <v>0</v>
      </c>
      <c r="L3623" s="7" t="str">
        <f t="shared" si="3"/>
        <v>Other</v>
      </c>
      <c r="M3623" s="7" t="str">
        <f t="shared" si="4"/>
        <v>Positive</v>
      </c>
      <c r="N3623" s="7" t="str">
        <f>IFERROR(__xludf.DUMMYFUNCTION("LOWER(
TRIM(
REGEXREPLACE(B3623,""[^a-zA-Z\s]"","""")
)
)
"),"chris porcaro")</f>
        <v>chris porcaro</v>
      </c>
      <c r="O3623" s="7">
        <f t="shared" si="5"/>
        <v>1</v>
      </c>
      <c r="P3623" s="8" t="str">
        <f t="shared" si="6"/>
        <v>No</v>
      </c>
    </row>
    <row r="3624">
      <c r="A3624" s="4" t="s">
        <v>16</v>
      </c>
      <c r="B3624" s="4" t="s">
        <v>739</v>
      </c>
      <c r="C3624" s="5">
        <v>44489.0</v>
      </c>
      <c r="D3624" s="10">
        <v>44489.0</v>
      </c>
      <c r="E3624" s="4" t="s">
        <v>10036</v>
      </c>
      <c r="F3624" s="4" t="s">
        <v>10037</v>
      </c>
      <c r="G3624" s="6" t="str">
        <f>IFERROR(__xludf.DUMMYFUNCTION("REGEXREPLACE(LOWER(F3624),""[^a-z\s]"","""")"),"great service and fast delivery excellent ")</f>
        <v>great service and fast delivery excellent </v>
      </c>
      <c r="H3624" s="4" t="str">
        <f t="shared" si="1"/>
        <v>great service fast delivery excellent</v>
      </c>
      <c r="I3624" s="6">
        <f t="shared" si="2"/>
        <v>5</v>
      </c>
      <c r="J3624" s="6">
        <f>IFERROR(__xludf.DUMMYFUNCTION("IF(H3624="""","""",
SUM(
ARRAYFORMULA(
IF(
REGEXMATCH(
"" ""&amp;H3624&amp;"" "",
"" ""&amp;Sentiment_Words!A$2:A3730&amp;"" ""
),
1,
0
)
)
)
)"),3.0)</f>
        <v>3</v>
      </c>
      <c r="K3624" s="4">
        <f>IFERROR(__xludf.DUMMYFUNCTION("IF(H3624="""","""",
SUM(
ARRAYFORMULA(
IF(
REGEXMATCH(
"" ""&amp;H3624&amp;"" "",
"" ""&amp;Sentiment_Words!B$2:B3730&amp;"" ""
),
1,
0
)
)
)
)"),0.0)</f>
        <v>0</v>
      </c>
      <c r="L3624" s="7" t="str">
        <f t="shared" si="3"/>
        <v>Customer Support</v>
      </c>
      <c r="M3624" s="7" t="str">
        <f t="shared" si="4"/>
        <v>Positive</v>
      </c>
      <c r="N3624" s="7" t="str">
        <f>IFERROR(__xludf.DUMMYFUNCTION("LOWER(
TRIM(
REGEXREPLACE(B3624,""[^a-zA-Z\s]"","""")
)
)
"),"customer")</f>
        <v>customer</v>
      </c>
      <c r="O3624" s="7">
        <f t="shared" si="5"/>
        <v>54</v>
      </c>
      <c r="P3624" s="8" t="str">
        <f t="shared" si="6"/>
        <v>Yes</v>
      </c>
    </row>
    <row r="3625">
      <c r="A3625" s="4" t="s">
        <v>16</v>
      </c>
      <c r="B3625" s="4" t="s">
        <v>10038</v>
      </c>
      <c r="C3625" s="5">
        <v>44489.0</v>
      </c>
      <c r="D3625" s="10">
        <v>44489.0</v>
      </c>
      <c r="E3625" s="4" t="s">
        <v>10039</v>
      </c>
      <c r="F3625" s="4" t="s">
        <v>10040</v>
      </c>
      <c r="G3625" s="6" t="str">
        <f>IFERROR(__xludf.DUMMYFUNCTION("REGEXREPLACE(LOWER(F3625),""[^a-z\s]"","""")"),"always a pleasure shopping with pet flow")</f>
        <v>always a pleasure shopping with pet flow</v>
      </c>
      <c r="H3625" s="4" t="str">
        <f t="shared" si="1"/>
        <v>always a pleasure shopping with pet flow</v>
      </c>
      <c r="I3625" s="6">
        <f t="shared" si="2"/>
        <v>7</v>
      </c>
      <c r="J3625" s="6">
        <f>IFERROR(__xludf.DUMMYFUNCTION("IF(H3625="""","""",
SUM(
ARRAYFORMULA(
IF(
REGEXMATCH(
"" ""&amp;H3625&amp;"" "",
"" ""&amp;Sentiment_Words!A$2:A3730&amp;"" ""
),
1,
0
)
)
)
)"),0.0)</f>
        <v>0</v>
      </c>
      <c r="K3625" s="4">
        <f>IFERROR(__xludf.DUMMYFUNCTION("IF(H3625="""","""",
SUM(
ARRAYFORMULA(
IF(
REGEXMATCH(
"" ""&amp;H3625&amp;"" "",
"" ""&amp;Sentiment_Words!B$2:B3730&amp;"" ""
),
1,
0
)
)
)
)"),0.0)</f>
        <v>0</v>
      </c>
      <c r="L3625" s="7" t="str">
        <f t="shared" si="3"/>
        <v>Other</v>
      </c>
      <c r="M3625" s="7" t="str">
        <f t="shared" si="4"/>
        <v>Neutral</v>
      </c>
      <c r="N3625" s="7" t="str">
        <f>IFERROR(__xludf.DUMMYFUNCTION("LOWER(
TRIM(
REGEXREPLACE(B3625,""[^a-zA-Z\s]"","""")
)
)
"),"pasquale crudo")</f>
        <v>pasquale crudo</v>
      </c>
      <c r="O3625" s="7">
        <f t="shared" si="5"/>
        <v>1</v>
      </c>
      <c r="P3625" s="8" t="str">
        <f t="shared" si="6"/>
        <v>No</v>
      </c>
    </row>
    <row r="3626">
      <c r="A3626" s="4" t="s">
        <v>16</v>
      </c>
      <c r="B3626" s="4" t="s">
        <v>10041</v>
      </c>
      <c r="C3626" s="5">
        <v>44488.0</v>
      </c>
      <c r="D3626" s="10">
        <v>44488.0</v>
      </c>
      <c r="E3626" s="4" t="s">
        <v>10042</v>
      </c>
      <c r="F3626" s="4" t="s">
        <v>331</v>
      </c>
      <c r="G3626" s="6" t="str">
        <f>IFERROR(__xludf.DUMMYFUNCTION("REGEXREPLACE(LOWER(F3626),""[^a-z\s]"","""")"),"none")</f>
        <v>none</v>
      </c>
      <c r="H3626" s="4" t="str">
        <f t="shared" si="1"/>
        <v>none</v>
      </c>
      <c r="I3626" s="6">
        <f t="shared" si="2"/>
        <v>1</v>
      </c>
      <c r="J3626" s="6">
        <f>IFERROR(__xludf.DUMMYFUNCTION("IF(H3626="""","""",
SUM(
ARRAYFORMULA(
IF(
REGEXMATCH(
"" ""&amp;H3626&amp;"" "",
"" ""&amp;Sentiment_Words!A$2:A3730&amp;"" ""
),
1,
0
)
)
)
)"),0.0)</f>
        <v>0</v>
      </c>
      <c r="K3626" s="4">
        <f>IFERROR(__xludf.DUMMYFUNCTION("IF(H3626="""","""",
SUM(
ARRAYFORMULA(
IF(
REGEXMATCH(
"" ""&amp;H3626&amp;"" "",
"" ""&amp;Sentiment_Words!B$2:B3730&amp;"" ""
),
1,
0
)
)
)
)"),0.0)</f>
        <v>0</v>
      </c>
      <c r="L3626" s="7" t="str">
        <f t="shared" si="3"/>
        <v>Other</v>
      </c>
      <c r="M3626" s="7" t="str">
        <f t="shared" si="4"/>
        <v>Neutral</v>
      </c>
      <c r="N3626" s="7" t="str">
        <f>IFERROR(__xludf.DUMMYFUNCTION("LOWER(
TRIM(
REGEXREPLACE(B3626,""[^a-zA-Z\s]"","""")
)
)
"),"mary mahaney")</f>
        <v>mary mahaney</v>
      </c>
      <c r="O3626" s="7">
        <f t="shared" si="5"/>
        <v>1</v>
      </c>
      <c r="P3626" s="8" t="str">
        <f t="shared" si="6"/>
        <v>No</v>
      </c>
    </row>
    <row r="3627">
      <c r="A3627" s="4" t="s">
        <v>16</v>
      </c>
      <c r="B3627" s="4" t="s">
        <v>10043</v>
      </c>
      <c r="C3627" s="5">
        <v>44488.0</v>
      </c>
      <c r="D3627" s="10">
        <v>44488.0</v>
      </c>
      <c r="E3627" s="4" t="s">
        <v>518</v>
      </c>
      <c r="F3627" s="4" t="s">
        <v>10044</v>
      </c>
      <c r="G3627" s="6" t="str">
        <f>IFERROR(__xludf.DUMMYFUNCTION("REGEXREPLACE(LOWER(F3627),""[^a-z\s]"","""")"),"great company quick shipping i order dog food from them all the time but was disappointed on the last dog toy i bought this time my little dog that doesnt really destroy toys had this stuffed pizza toy destroyed after  minutes i probably wont order any mo"&amp;"re stuffed dog toys from them but will continue to buy other things")</f>
        <v>great company quick shipping i order dog food from them all the time but was disappointed on the last dog toy i bought this time my little dog that doesnt really destroy toys had this stuffed pizza toy destroyed after  minutes i probably wont order any more stuffed dog toys from them but will continue to buy other things</v>
      </c>
      <c r="H3627" s="4" t="str">
        <f t="shared" si="1"/>
        <v>great company quick shipping i order dog food from them all time but was disappointed on last dog toy i bought this time my little dog that doesnt really destroy toys had this stuffed pizza toy destroyed after minutes i probably wont order any more stuffed dog toys from them but will continue buy other things</v>
      </c>
      <c r="I3627" s="6">
        <f t="shared" si="2"/>
        <v>56</v>
      </c>
      <c r="J3627" s="6">
        <f>IFERROR(__xludf.DUMMYFUNCTION("IF(H3627="""","""",
SUM(
ARRAYFORMULA(
IF(
REGEXMATCH(
"" ""&amp;H3627&amp;"" "",
"" ""&amp;Sentiment_Words!A$2:A3730&amp;"" ""
),
1,
0
)
)
)
)"),1.0)</f>
        <v>1</v>
      </c>
      <c r="K3627" s="4">
        <f>IFERROR(__xludf.DUMMYFUNCTION("IF(H3627="""","""",
SUM(
ARRAYFORMULA(
IF(
REGEXMATCH(
"" ""&amp;H3627&amp;"" "",
"" ""&amp;Sentiment_Words!B$2:B3730&amp;"" ""
),
1,
0
)
)
)
)"),0.0)</f>
        <v>0</v>
      </c>
      <c r="L3627" s="7" t="str">
        <f t="shared" si="3"/>
        <v>Trust &amp; Experience</v>
      </c>
      <c r="M3627" s="7" t="str">
        <f t="shared" si="4"/>
        <v>Positive</v>
      </c>
      <c r="N3627" s="7" t="str">
        <f>IFERROR(__xludf.DUMMYFUNCTION("LOWER(
TRIM(
REGEXREPLACE(B3627,""[^a-zA-Z\s]"","""")
)
)
"),"candy")</f>
        <v>candy</v>
      </c>
      <c r="O3627" s="7">
        <f t="shared" si="5"/>
        <v>1</v>
      </c>
      <c r="P3627" s="8" t="str">
        <f t="shared" si="6"/>
        <v>No</v>
      </c>
    </row>
    <row r="3628">
      <c r="A3628" s="4" t="s">
        <v>16</v>
      </c>
      <c r="B3628" s="4" t="s">
        <v>10045</v>
      </c>
      <c r="C3628" s="5">
        <v>44488.0</v>
      </c>
      <c r="D3628" s="10">
        <v>44488.0</v>
      </c>
      <c r="E3628" s="4" t="s">
        <v>623</v>
      </c>
      <c r="F3628" s="4" t="s">
        <v>10046</v>
      </c>
      <c r="G3628" s="6" t="str">
        <f>IFERROR(__xludf.DUMMYFUNCTION("REGEXREPLACE(LOWER(F3628),""[^a-z\s]"","""")"),"always got what my cats want and always delivered on time petflow gives me one less thing i have to worry about with there auto ship")</f>
        <v>always got what my cats want and always delivered on time petflow gives me one less thing i have to worry about with there auto ship</v>
      </c>
      <c r="H3628" s="4" t="str">
        <f t="shared" si="1"/>
        <v>always got what my cats want always delivered on time petflow gives me one less thing i have worry about with there auto ship</v>
      </c>
      <c r="I3628" s="6">
        <f t="shared" si="2"/>
        <v>24</v>
      </c>
      <c r="J3628" s="6">
        <f>IFERROR(__xludf.DUMMYFUNCTION("IF(H3628="""","""",
SUM(
ARRAYFORMULA(
IF(
REGEXMATCH(
"" ""&amp;H3628&amp;"" "",
"" ""&amp;Sentiment_Words!A$2:A3730&amp;"" ""
),
1,
0
)
)
)
)"),3.0)</f>
        <v>3</v>
      </c>
      <c r="K3628" s="4">
        <f>IFERROR(__xludf.DUMMYFUNCTION("IF(H3628="""","""",
SUM(
ARRAYFORMULA(
IF(
REGEXMATCH(
"" ""&amp;H3628&amp;"" "",
"" ""&amp;Sentiment_Words!B$2:B3730&amp;"" ""
),
1,
0
)
)
)
)"),0.0)</f>
        <v>0</v>
      </c>
      <c r="L3628" s="7" t="str">
        <f t="shared" si="3"/>
        <v>Other</v>
      </c>
      <c r="M3628" s="7" t="str">
        <f t="shared" si="4"/>
        <v>Positive</v>
      </c>
      <c r="N3628" s="7" t="str">
        <f>IFERROR(__xludf.DUMMYFUNCTION("LOWER(
TRIM(
REGEXREPLACE(B3628,""[^a-zA-Z\s]"","""")
)
)
"),"steven brock")</f>
        <v>steven brock</v>
      </c>
      <c r="O3628" s="7">
        <f t="shared" si="5"/>
        <v>1</v>
      </c>
      <c r="P3628" s="8" t="str">
        <f t="shared" si="6"/>
        <v>No</v>
      </c>
    </row>
    <row r="3629">
      <c r="A3629" s="4" t="s">
        <v>16</v>
      </c>
      <c r="B3629" s="4" t="s">
        <v>10047</v>
      </c>
      <c r="C3629" s="5">
        <v>44487.0</v>
      </c>
      <c r="D3629" s="10">
        <v>44488.0</v>
      </c>
      <c r="E3629" s="4" t="s">
        <v>10048</v>
      </c>
      <c r="F3629" s="4" t="s">
        <v>10049</v>
      </c>
      <c r="G3629" s="6" t="str">
        <f>IFERROR(__xludf.DUMMYFUNCTION("REGEXREPLACE(LOWER(F3629),""[^a-z\s]"","""")"),"great company with excellent customer service")</f>
        <v>great company with excellent customer service</v>
      </c>
      <c r="H3629" s="4" t="str">
        <f t="shared" si="1"/>
        <v>great company with excellent customer service</v>
      </c>
      <c r="I3629" s="6">
        <f t="shared" si="2"/>
        <v>6</v>
      </c>
      <c r="J3629" s="6">
        <f>IFERROR(__xludf.DUMMYFUNCTION("IF(H3629="""","""",
SUM(
ARRAYFORMULA(
IF(
REGEXMATCH(
"" ""&amp;H3629&amp;"" "",
"" ""&amp;Sentiment_Words!A$2:A3730&amp;"" ""
),
1,
0
)
)
)
)"),1.0)</f>
        <v>1</v>
      </c>
      <c r="K3629" s="4">
        <f>IFERROR(__xludf.DUMMYFUNCTION("IF(H3629="""","""",
SUM(
ARRAYFORMULA(
IF(
REGEXMATCH(
"" ""&amp;H3629&amp;"" "",
"" ""&amp;Sentiment_Words!B$2:B3730&amp;"" ""
),
1,
0
)
)
)
)"),1.0)</f>
        <v>1</v>
      </c>
      <c r="L3629" s="7" t="str">
        <f t="shared" si="3"/>
        <v>Customer Support</v>
      </c>
      <c r="M3629" s="7" t="str">
        <f t="shared" si="4"/>
        <v>Neutral</v>
      </c>
      <c r="N3629" s="7" t="str">
        <f>IFERROR(__xludf.DUMMYFUNCTION("LOWER(
TRIM(
REGEXREPLACE(B3629,""[^a-zA-Z\s]"","""")
)
)
"),"peter")</f>
        <v>peter</v>
      </c>
      <c r="O3629" s="7">
        <f t="shared" si="5"/>
        <v>2</v>
      </c>
      <c r="P3629" s="8" t="str">
        <f t="shared" si="6"/>
        <v>Yes</v>
      </c>
    </row>
    <row r="3630">
      <c r="A3630" s="4" t="s">
        <v>16</v>
      </c>
      <c r="B3630" s="4" t="s">
        <v>10050</v>
      </c>
      <c r="C3630" s="5">
        <v>44487.0</v>
      </c>
      <c r="D3630" s="10">
        <v>44487.0</v>
      </c>
      <c r="E3630" s="4" t="s">
        <v>10051</v>
      </c>
      <c r="F3630" s="4" t="s">
        <v>10052</v>
      </c>
      <c r="G3630" s="6" t="str">
        <f>IFERROR(__xludf.DUMMYFUNCTION("REGEXREPLACE(LOWER(F3630),""[^a-z\s]"","""")"),"great prices excellent shipping time thank you")</f>
        <v>great prices excellent shipping time thank you</v>
      </c>
      <c r="H3630" s="4" t="str">
        <f t="shared" si="1"/>
        <v>great prices excellent shipping time thank you</v>
      </c>
      <c r="I3630" s="6">
        <f t="shared" si="2"/>
        <v>7</v>
      </c>
      <c r="J3630" s="6">
        <f>IFERROR(__xludf.DUMMYFUNCTION("IF(H3630="""","""",
SUM(
ARRAYFORMULA(
IF(
REGEXMATCH(
"" ""&amp;H3630&amp;"" "",
"" ""&amp;Sentiment_Words!A$2:A3730&amp;"" ""
),
1,
0
)
)
)
)"),1.0)</f>
        <v>1</v>
      </c>
      <c r="K3630" s="4">
        <f>IFERROR(__xludf.DUMMYFUNCTION("IF(H3630="""","""",
SUM(
ARRAYFORMULA(
IF(
REGEXMATCH(
"" ""&amp;H3630&amp;"" "",
"" ""&amp;Sentiment_Words!B$2:B3730&amp;"" ""
),
1,
0
)
)
)
)"),0.0)</f>
        <v>0</v>
      </c>
      <c r="L3630" s="7" t="str">
        <f t="shared" si="3"/>
        <v>Other</v>
      </c>
      <c r="M3630" s="7" t="str">
        <f t="shared" si="4"/>
        <v>Positive</v>
      </c>
      <c r="N3630" s="7" t="str">
        <f>IFERROR(__xludf.DUMMYFUNCTION("LOWER(
TRIM(
REGEXREPLACE(B3630,""[^a-zA-Z\s]"","""")
)
)
"),"linda sabuda")</f>
        <v>linda sabuda</v>
      </c>
      <c r="O3630" s="7">
        <f t="shared" si="5"/>
        <v>1</v>
      </c>
      <c r="P3630" s="8" t="str">
        <f t="shared" si="6"/>
        <v>No</v>
      </c>
    </row>
    <row r="3631">
      <c r="A3631" s="4" t="s">
        <v>16</v>
      </c>
      <c r="B3631" s="4" t="s">
        <v>10053</v>
      </c>
      <c r="C3631" s="5">
        <v>44487.0</v>
      </c>
      <c r="D3631" s="10">
        <v>44487.0</v>
      </c>
      <c r="E3631" s="4" t="s">
        <v>181</v>
      </c>
      <c r="F3631" s="4" t="s">
        <v>10054</v>
      </c>
      <c r="G3631" s="6" t="str">
        <f>IFERROR(__xludf.DUMMYFUNCTION("REGEXREPLACE(LOWER(F3631),""[^a-z\s]"","""")"),"nd time ordering from petflow and i am a very happy customer i read a lot of bad reviews online about this company and was a bit concerned but honestly ive had an excellent experience with them so far the order was accurate and i received the products in "&amp;" days thats amazing especially considering that my dog food is with prescription")</f>
        <v>nd time ordering from petflow and i am a very happy customer i read a lot of bad reviews online about this company and was a bit concerned but honestly ive had an excellent experience with them so far the order was accurate and i received the products in  days thats amazing especially considering that my dog food is with prescription</v>
      </c>
      <c r="H3631" s="4" t="str">
        <f t="shared" si="1"/>
        <v>nd time ordering from petflow i am a very happy customer i read a lot of bad reviews online about this company was a bit concerned but honestly ive had an excellent experience with them so far order was accurate i received products in days thats amazing especially considering that my dog food with prescription</v>
      </c>
      <c r="I3631" s="6">
        <f t="shared" si="2"/>
        <v>55</v>
      </c>
      <c r="J3631" s="6">
        <f>IFERROR(__xludf.DUMMYFUNCTION("IF(H3631="""","""",
SUM(
ARRAYFORMULA(
IF(
REGEXMATCH(
"" ""&amp;H3631&amp;"" "",
"" ""&amp;Sentiment_Words!A$2:A3730&amp;"" ""
),
1,
0
)
)
)
)"),1.0)</f>
        <v>1</v>
      </c>
      <c r="K3631" s="4">
        <f>IFERROR(__xludf.DUMMYFUNCTION("IF(H3631="""","""",
SUM(
ARRAYFORMULA(
IF(
REGEXMATCH(
"" ""&amp;H3631&amp;"" "",
"" ""&amp;Sentiment_Words!B$2:B3730&amp;"" ""
),
1,
0
)
)
)
)"),0.0)</f>
        <v>0</v>
      </c>
      <c r="L3631" s="7" t="str">
        <f t="shared" si="3"/>
        <v>Other</v>
      </c>
      <c r="M3631" s="7" t="str">
        <f t="shared" si="4"/>
        <v>Positive</v>
      </c>
      <c r="N3631" s="7" t="str">
        <f>IFERROR(__xludf.DUMMYFUNCTION("LOWER(
TRIM(
REGEXREPLACE(B3631,""[^a-zA-Z\s]"","""")
)
)
"),"andrea p")</f>
        <v>andrea p</v>
      </c>
      <c r="O3631" s="7">
        <f t="shared" si="5"/>
        <v>1</v>
      </c>
      <c r="P3631" s="8" t="str">
        <f t="shared" si="6"/>
        <v>No</v>
      </c>
    </row>
    <row r="3632">
      <c r="A3632" s="4" t="s">
        <v>16</v>
      </c>
      <c r="B3632" s="4" t="s">
        <v>10055</v>
      </c>
      <c r="C3632" s="5">
        <v>44487.0</v>
      </c>
      <c r="D3632" s="10">
        <v>44487.0</v>
      </c>
      <c r="E3632" s="4" t="s">
        <v>4747</v>
      </c>
      <c r="F3632" s="4" t="s">
        <v>10056</v>
      </c>
      <c r="G3632" s="6" t="str">
        <f>IFERROR(__xludf.DUMMYFUNCTION("REGEXREPLACE(LOWER(F3632),""[^a-z\s]"","""")"),"excellent customer service very professional and accommodating
thank you")</f>
        <v>excellent customer service very professional and accommodating
thank you</v>
      </c>
      <c r="H3632" s="4" t="str">
        <f t="shared" si="1"/>
        <v>excellent customer service very professional accommodating
thank you</v>
      </c>
      <c r="I3632" s="6">
        <f t="shared" si="2"/>
        <v>7</v>
      </c>
      <c r="J3632" s="6">
        <f>IFERROR(__xludf.DUMMYFUNCTION("IF(H3632="""","""",
SUM(
ARRAYFORMULA(
IF(
REGEXMATCH(
"" ""&amp;H3632&amp;"" "",
"" ""&amp;Sentiment_Words!A$2:A3730&amp;"" ""
),
1,
0
)
)
)
)"),0.0)</f>
        <v>0</v>
      </c>
      <c r="K3632" s="4">
        <f>IFERROR(__xludf.DUMMYFUNCTION("IF(H3632="""","""",
SUM(
ARRAYFORMULA(
IF(
REGEXMATCH(
"" ""&amp;H3632&amp;"" "",
"" ""&amp;Sentiment_Words!B$2:B3730&amp;"" ""
),
1,
0
)
)
)
)"),1.0)</f>
        <v>1</v>
      </c>
      <c r="L3632" s="7" t="str">
        <f t="shared" si="3"/>
        <v>Customer Support</v>
      </c>
      <c r="M3632" s="7" t="str">
        <f t="shared" si="4"/>
        <v>Negative</v>
      </c>
      <c r="N3632" s="7" t="str">
        <f>IFERROR(__xludf.DUMMYFUNCTION("LOWER(
TRIM(
REGEXREPLACE(B3632,""[^a-zA-Z\s]"","""")
)
)
"),"ginnette alvarez")</f>
        <v>ginnette alvarez</v>
      </c>
      <c r="O3632" s="7">
        <f t="shared" si="5"/>
        <v>1</v>
      </c>
      <c r="P3632" s="8" t="str">
        <f t="shared" si="6"/>
        <v>No</v>
      </c>
    </row>
    <row r="3633">
      <c r="A3633" s="4" t="s">
        <v>16</v>
      </c>
      <c r="B3633" s="4" t="s">
        <v>10057</v>
      </c>
      <c r="C3633" s="5">
        <v>44487.0</v>
      </c>
      <c r="D3633" s="10">
        <v>44487.0</v>
      </c>
      <c r="E3633" s="4" t="s">
        <v>626</v>
      </c>
      <c r="F3633" s="4" t="s">
        <v>10058</v>
      </c>
      <c r="G3633" s="6" t="str">
        <f>IFERROR(__xludf.DUMMYFUNCTION("REGEXREPLACE(LOWER(F3633),""[^a-z\s]"","""")"),"petflows prices are good and the delivery is super fast")</f>
        <v>petflows prices are good and the delivery is super fast</v>
      </c>
      <c r="H3633" s="4" t="str">
        <f t="shared" si="1"/>
        <v>petflows prices are good delivery super fast</v>
      </c>
      <c r="I3633" s="6">
        <f t="shared" si="2"/>
        <v>7</v>
      </c>
      <c r="J3633" s="6">
        <f>IFERROR(__xludf.DUMMYFUNCTION("IF(H3633="""","""",
SUM(
ARRAYFORMULA(
IF(
REGEXMATCH(
"" ""&amp;H3633&amp;"" "",
"" ""&amp;Sentiment_Words!A$2:A3730&amp;"" ""
),
1,
0
)
)
)
)"),2.0)</f>
        <v>2</v>
      </c>
      <c r="K3633" s="4">
        <f>IFERROR(__xludf.DUMMYFUNCTION("IF(H3633="""","""",
SUM(
ARRAYFORMULA(
IF(
REGEXMATCH(
"" ""&amp;H3633&amp;"" "",
"" ""&amp;Sentiment_Words!B$2:B3730&amp;"" ""
),
1,
0
)
)
)
)"),0.0)</f>
        <v>0</v>
      </c>
      <c r="L3633" s="7" t="str">
        <f t="shared" si="3"/>
        <v>Other</v>
      </c>
      <c r="M3633" s="7" t="str">
        <f t="shared" si="4"/>
        <v>Positive</v>
      </c>
      <c r="N3633" s="7" t="str">
        <f>IFERROR(__xludf.DUMMYFUNCTION("LOWER(
TRIM(
REGEXREPLACE(B3633,""[^a-zA-Z\s]"","""")
)
)
"),"ida l")</f>
        <v>ida l</v>
      </c>
      <c r="O3633" s="7">
        <f t="shared" si="5"/>
        <v>1</v>
      </c>
      <c r="P3633" s="8" t="str">
        <f t="shared" si="6"/>
        <v>No</v>
      </c>
    </row>
    <row r="3634">
      <c r="A3634" s="4" t="s">
        <v>16</v>
      </c>
      <c r="B3634" s="4" t="s">
        <v>10059</v>
      </c>
      <c r="C3634" s="5">
        <v>44487.0</v>
      </c>
      <c r="D3634" s="10">
        <v>44487.0</v>
      </c>
      <c r="E3634" s="4" t="s">
        <v>10060</v>
      </c>
      <c r="F3634" s="4" t="s">
        <v>10061</v>
      </c>
      <c r="G3634" s="6" t="str">
        <f>IFERROR(__xludf.DUMMYFUNCTION("REGEXREPLACE(LOWER(F3634),""[^a-z\s]"","""")"),"i ordered prescription food from them which needed my vets approval spent over  at first the food order was put on hold until january   i contacted the customer service and they were able to get rid of the pause but they still had to contact my vet before"&amp;" shipping the order to me i had to wait for  days for it to happen now i need to wait for over a week for the food to be delivered considering that i spent over  dollars and ordered it on oct  and will get it on oct  its an unreasonable amount of time")</f>
        <v>i ordered prescription food from them which needed my vets approval spent over  at first the food order was put on hold until january   i contacted the customer service and they were able to get rid of the pause but they still had to contact my vet before shipping the order to me i had to wait for  days for it to happen now i need to wait for over a week for the food to be delivered considering that i spent over  dollars and ordered it on oct  and will get it on oct  its an unreasonable amount of time</v>
      </c>
      <c r="H3634" s="4" t="str">
        <f t="shared" si="1"/>
        <v>i ordered prescription food from them which needed my vets approval spent over at first food order was put on hold until january i contacted customer service they were able get rid of pause but they still had contact my vet before shipping order me i had wait days it happen now i need wait over a week food be delivered considering that i spent over dollars ordered it on oct will get it on oct its an unreasonable amount of time</v>
      </c>
      <c r="I3634" s="6">
        <f t="shared" si="2"/>
        <v>82</v>
      </c>
      <c r="J3634" s="6">
        <f>IFERROR(__xludf.DUMMYFUNCTION("IF(H3634="""","""",
SUM(
ARRAYFORMULA(
IF(
REGEXMATCH(
"" ""&amp;H3634&amp;"" "",
"" ""&amp;Sentiment_Words!A$2:A3730&amp;"" ""
),
1,
0
)
)
)
)"),2.0)</f>
        <v>2</v>
      </c>
      <c r="K3634" s="4">
        <f>IFERROR(__xludf.DUMMYFUNCTION("IF(H3634="""","""",
SUM(
ARRAYFORMULA(
IF(
REGEXMATCH(
"" ""&amp;H3634&amp;"" "",
"" ""&amp;Sentiment_Words!B$2:B3730&amp;"" ""
),
1,
0
)
)
)
)"),1.0)</f>
        <v>1</v>
      </c>
      <c r="L3634" s="7" t="str">
        <f t="shared" si="3"/>
        <v>Customer Support</v>
      </c>
      <c r="M3634" s="7" t="str">
        <f t="shared" si="4"/>
        <v>Positive</v>
      </c>
      <c r="N3634" s="7" t="str">
        <f>IFERROR(__xludf.DUMMYFUNCTION("LOWER(
TRIM(
REGEXREPLACE(B3634,""[^a-zA-Z\s]"","""")
)
)
"),"michelle cilurso")</f>
        <v>michelle cilurso</v>
      </c>
      <c r="O3634" s="7">
        <f t="shared" si="5"/>
        <v>1</v>
      </c>
      <c r="P3634" s="8" t="str">
        <f t="shared" si="6"/>
        <v>No</v>
      </c>
    </row>
    <row r="3635">
      <c r="A3635" s="4" t="s">
        <v>16</v>
      </c>
      <c r="B3635" s="4" t="s">
        <v>10062</v>
      </c>
      <c r="C3635" s="5">
        <v>44486.0</v>
      </c>
      <c r="D3635" s="10">
        <v>44486.0</v>
      </c>
      <c r="E3635" s="4" t="s">
        <v>10063</v>
      </c>
      <c r="F3635" s="4" t="s">
        <v>10064</v>
      </c>
      <c r="G3635" s="6" t="str">
        <f>IFERROR(__xludf.DUMMYFUNCTION("REGEXREPLACE(LOWER(F3635),""[^a-z\s]"","""")"),"competitive pricing product availability and fast shipping thank you petflow")</f>
        <v>competitive pricing product availability and fast shipping thank you petflow</v>
      </c>
      <c r="H3635" s="4" t="str">
        <f t="shared" si="1"/>
        <v>competitive pricing product availability fast shipping thank you petflow</v>
      </c>
      <c r="I3635" s="6">
        <f t="shared" si="2"/>
        <v>9</v>
      </c>
      <c r="J3635" s="6">
        <f>IFERROR(__xludf.DUMMYFUNCTION("IF(H3635="""","""",
SUM(
ARRAYFORMULA(
IF(
REGEXMATCH(
"" ""&amp;H3635&amp;"" "",
"" ""&amp;Sentiment_Words!A$2:A3730&amp;"" ""
),
1,
0
)
)
)
)"),1.0)</f>
        <v>1</v>
      </c>
      <c r="K3635" s="4">
        <f>IFERROR(__xludf.DUMMYFUNCTION("IF(H3635="""","""",
SUM(
ARRAYFORMULA(
IF(
REGEXMATCH(
"" ""&amp;H3635&amp;"" "",
"" ""&amp;Sentiment_Words!B$2:B3730&amp;"" ""
),
1,
0
)
)
)
)"),0.0)</f>
        <v>0</v>
      </c>
      <c r="L3635" s="7" t="str">
        <f t="shared" si="3"/>
        <v>Other</v>
      </c>
      <c r="M3635" s="7" t="str">
        <f t="shared" si="4"/>
        <v>Positive</v>
      </c>
      <c r="N3635" s="7" t="str">
        <f>IFERROR(__xludf.DUMMYFUNCTION("LOWER(
TRIM(
REGEXREPLACE(B3635,""[^a-zA-Z\s]"","""")
)
)
"),"mk")</f>
        <v>mk</v>
      </c>
      <c r="O3635" s="7">
        <f t="shared" si="5"/>
        <v>1</v>
      </c>
      <c r="P3635" s="8" t="str">
        <f t="shared" si="6"/>
        <v>No</v>
      </c>
    </row>
    <row r="3636">
      <c r="A3636" s="4" t="s">
        <v>16</v>
      </c>
      <c r="B3636" s="4" t="s">
        <v>10065</v>
      </c>
      <c r="C3636" s="5">
        <v>44486.0</v>
      </c>
      <c r="D3636" s="10">
        <v>44486.0</v>
      </c>
      <c r="E3636" s="4" t="s">
        <v>10066</v>
      </c>
      <c r="F3636" s="4" t="s">
        <v>10067</v>
      </c>
      <c r="G3636" s="6" t="str">
        <f>IFERROR(__xludf.DUMMYFUNCTION("REGEXREPLACE(LOWER(F3636),""[^a-z\s]"","""")"),"gave petflow a chance because chewy was out of stock on one of the items i needed and petflow showed it in stock after placing and paying for the order i got an email stating one of my items was out of stock turns out it was the same one chewy was out of "&amp;"stock on if i cant trust your site to be truthful with inventory i wont ever use your site again")</f>
        <v>gave petflow a chance because chewy was out of stock on one of the items i needed and petflow showed it in stock after placing and paying for the order i got an email stating one of my items was out of stock turns out it was the same one chewy was out of stock on if i cant trust your site to be truthful with inventory i wont ever use your site again</v>
      </c>
      <c r="H3636" s="4" t="str">
        <f t="shared" si="1"/>
        <v>gave petflow a chance because chewy was out of stock on one of items i needed petflow showed it in stock after placing paying order i got an email stating one of my items was out of stock turns out it was same one chewy was out of stock on if i cant trust your site be truthful with inventory i wont ever use your site again</v>
      </c>
      <c r="I3636" s="6">
        <f t="shared" si="2"/>
        <v>67</v>
      </c>
      <c r="J3636" s="6">
        <f>IFERROR(__xludf.DUMMYFUNCTION("IF(H3636="""","""",
SUM(
ARRAYFORMULA(
IF(
REGEXMATCH(
"" ""&amp;H3636&amp;"" "",
"" ""&amp;Sentiment_Words!A$2:A3730&amp;"" ""
),
1,
0
)
)
)
)"),0.0)</f>
        <v>0</v>
      </c>
      <c r="K3636" s="4">
        <f>IFERROR(__xludf.DUMMYFUNCTION("IF(H3636="""","""",
SUM(
ARRAYFORMULA(
IF(
REGEXMATCH(
"" ""&amp;H3636&amp;"" "",
"" ""&amp;Sentiment_Words!B$2:B3730&amp;"" ""
),
1,
0
)
)
)
)"),1.0)</f>
        <v>1</v>
      </c>
      <c r="L3636" s="7" t="str">
        <f t="shared" si="3"/>
        <v>Availability</v>
      </c>
      <c r="M3636" s="7" t="str">
        <f t="shared" si="4"/>
        <v>Negative</v>
      </c>
      <c r="N3636" s="7" t="str">
        <f>IFERROR(__xludf.DUMMYFUNCTION("LOWER(
TRIM(
REGEXREPLACE(B3636,""[^a-zA-Z\s]"","""")
)
)
"),"penny")</f>
        <v>penny</v>
      </c>
      <c r="O3636" s="7">
        <f t="shared" si="5"/>
        <v>2</v>
      </c>
      <c r="P3636" s="8" t="str">
        <f t="shared" si="6"/>
        <v>Yes</v>
      </c>
    </row>
    <row r="3637">
      <c r="A3637" s="4" t="s">
        <v>16</v>
      </c>
      <c r="B3637" s="4" t="s">
        <v>10068</v>
      </c>
      <c r="C3637" s="5">
        <v>44486.0</v>
      </c>
      <c r="D3637" s="10">
        <v>44486.0</v>
      </c>
      <c r="E3637" s="4" t="s">
        <v>10069</v>
      </c>
      <c r="F3637" s="4" t="s">
        <v>10070</v>
      </c>
      <c r="G3637" s="6" t="str">
        <f>IFERROR(__xludf.DUMMYFUNCTION("REGEXREPLACE(LOWER(F3637),""[^a-z\s]"","""")"),"i think im going to like this sifting litter box that i just bought its different from anything i ever used before but its simple enough to figure out")</f>
        <v>i think im going to like this sifting litter box that i just bought its different from anything i ever used before but its simple enough to figure out</v>
      </c>
      <c r="H3637" s="4" t="str">
        <f t="shared" si="1"/>
        <v>i think im going like this sifting litter box that i just bought its different from anything i ever used before but its simple enough figure out</v>
      </c>
      <c r="I3637" s="6">
        <f t="shared" si="2"/>
        <v>27</v>
      </c>
      <c r="J3637" s="6">
        <f>IFERROR(__xludf.DUMMYFUNCTION("IF(H3637="""","""",
SUM(
ARRAYFORMULA(
IF(
REGEXMATCH(
"" ""&amp;H3637&amp;"" "",
"" ""&amp;Sentiment_Words!A$2:A3730&amp;"" ""
),
1,
0
)
)
)
)"),0.0)</f>
        <v>0</v>
      </c>
      <c r="K3637" s="4">
        <f>IFERROR(__xludf.DUMMYFUNCTION("IF(H3637="""","""",
SUM(
ARRAYFORMULA(
IF(
REGEXMATCH(
"" ""&amp;H3637&amp;"" "",
"" ""&amp;Sentiment_Words!B$2:B3730&amp;"" ""
),
1,
0
)
)
)
)"),0.0)</f>
        <v>0</v>
      </c>
      <c r="L3637" s="7" t="str">
        <f t="shared" si="3"/>
        <v>Other</v>
      </c>
      <c r="M3637" s="7" t="str">
        <f t="shared" si="4"/>
        <v>Neutral</v>
      </c>
      <c r="N3637" s="7" t="str">
        <f>IFERROR(__xludf.DUMMYFUNCTION("LOWER(
TRIM(
REGEXREPLACE(B3637,""[^a-zA-Z\s]"","""")
)
)
"),"karen welch")</f>
        <v>karen welch</v>
      </c>
      <c r="O3637" s="7">
        <f t="shared" si="5"/>
        <v>1</v>
      </c>
      <c r="P3637" s="8" t="str">
        <f t="shared" si="6"/>
        <v>No</v>
      </c>
    </row>
    <row r="3638">
      <c r="A3638" s="4" t="s">
        <v>16</v>
      </c>
      <c r="B3638" s="4" t="s">
        <v>10071</v>
      </c>
      <c r="C3638" s="5">
        <v>44486.0</v>
      </c>
      <c r="D3638" s="10">
        <v>44486.0</v>
      </c>
      <c r="E3638" s="4" t="s">
        <v>10072</v>
      </c>
      <c r="F3638" s="4" t="s">
        <v>10073</v>
      </c>
      <c r="G3638" s="6" t="str">
        <f>IFERROR(__xludf.DUMMYFUNCTION("REGEXREPLACE(LOWER(F3638),""[^a-z\s]"","""")"),"i loved the selection and ease of checkout on petflow the one time i dealt with customer service was completely painless and i would recommend this company to any pet owner the only improvement that i can think of would be to have a way to save items for "&amp;"future purchase")</f>
        <v>i loved the selection and ease of checkout on petflow the one time i dealt with customer service was completely painless and i would recommend this company to any pet owner the only improvement that i can think of would be to have a way to save items for future purchase</v>
      </c>
      <c r="H3638" s="4" t="str">
        <f t="shared" si="1"/>
        <v>i loved selection ease of checkout on petflow one time i dealt with customer service was completely painless i would recommend this company any pet owner only improvement that i can think of would be have a way save items future purchase</v>
      </c>
      <c r="I3638" s="6">
        <f t="shared" si="2"/>
        <v>42</v>
      </c>
      <c r="J3638" s="6">
        <f>IFERROR(__xludf.DUMMYFUNCTION("IF(H3638="""","""",
SUM(
ARRAYFORMULA(
IF(
REGEXMATCH(
"" ""&amp;H3638&amp;"" "",
"" ""&amp;Sentiment_Words!A$2:A3730&amp;"" ""
),
1,
0
)
)
)
)"),0.0)</f>
        <v>0</v>
      </c>
      <c r="K3638" s="4">
        <f>IFERROR(__xludf.DUMMYFUNCTION("IF(H3638="""","""",
SUM(
ARRAYFORMULA(
IF(
REGEXMATCH(
"" ""&amp;H3638&amp;"" "",
"" ""&amp;Sentiment_Words!B$2:B3730&amp;"" ""
),
1,
0
)
)
)
)"),1.0)</f>
        <v>1</v>
      </c>
      <c r="L3638" s="7" t="str">
        <f t="shared" si="3"/>
        <v>Customer Support</v>
      </c>
      <c r="M3638" s="7" t="str">
        <f t="shared" si="4"/>
        <v>Negative</v>
      </c>
      <c r="N3638" s="7" t="str">
        <f>IFERROR(__xludf.DUMMYFUNCTION("LOWER(
TRIM(
REGEXREPLACE(B3638,""[^a-zA-Z\s]"","""")
)
)
"),"gino lanzi")</f>
        <v>gino lanzi</v>
      </c>
      <c r="O3638" s="7">
        <f t="shared" si="5"/>
        <v>1</v>
      </c>
      <c r="P3638" s="8" t="str">
        <f t="shared" si="6"/>
        <v>No</v>
      </c>
    </row>
    <row r="3639">
      <c r="A3639" s="4" t="s">
        <v>16</v>
      </c>
      <c r="B3639" s="4" t="s">
        <v>10074</v>
      </c>
      <c r="C3639" s="5">
        <v>44486.0</v>
      </c>
      <c r="D3639" s="10">
        <v>44486.0</v>
      </c>
      <c r="E3639" s="4" t="s">
        <v>10075</v>
      </c>
      <c r="F3639" s="4" t="s">
        <v>10076</v>
      </c>
      <c r="G3639" s="6" t="str">
        <f>IFERROR(__xludf.DUMMYFUNCTION("REGEXREPLACE(LOWER(F3639),""[^a-z\s]"","""")"),"competitive price
fast delivery")</f>
        <v>competitive price
fast delivery</v>
      </c>
      <c r="H3639" s="4" t="str">
        <f t="shared" si="1"/>
        <v>competitive price
fast delivery</v>
      </c>
      <c r="I3639" s="6">
        <f t="shared" si="2"/>
        <v>3</v>
      </c>
      <c r="J3639" s="6">
        <f>IFERROR(__xludf.DUMMYFUNCTION("IF(H3639="""","""",
SUM(
ARRAYFORMULA(
IF(
REGEXMATCH(
"" ""&amp;H3639&amp;"" "",
"" ""&amp;Sentiment_Words!A$2:A3730&amp;"" ""
),
1,
0
)
)
)
)"),0.0)</f>
        <v>0</v>
      </c>
      <c r="K3639" s="4">
        <f>IFERROR(__xludf.DUMMYFUNCTION("IF(H3639="""","""",
SUM(
ARRAYFORMULA(
IF(
REGEXMATCH(
"" ""&amp;H3639&amp;"" "",
"" ""&amp;Sentiment_Words!B$2:B3730&amp;"" ""
),
1,
0
)
)
)
)"),0.0)</f>
        <v>0</v>
      </c>
      <c r="L3639" s="7" t="str">
        <f t="shared" si="3"/>
        <v>Other</v>
      </c>
      <c r="M3639" s="7" t="str">
        <f t="shared" si="4"/>
        <v>Neutral</v>
      </c>
      <c r="N3639" s="7" t="str">
        <f>IFERROR(__xludf.DUMMYFUNCTION("LOWER(
TRIM(
REGEXREPLACE(B3639,""[^a-zA-Z\s]"","""")
)
)
"),"gloria moore")</f>
        <v>gloria moore</v>
      </c>
      <c r="O3639" s="7">
        <f t="shared" si="5"/>
        <v>1</v>
      </c>
      <c r="P3639" s="8" t="str">
        <f t="shared" si="6"/>
        <v>No</v>
      </c>
    </row>
    <row r="3640">
      <c r="A3640" s="4" t="s">
        <v>16</v>
      </c>
      <c r="B3640" s="4" t="s">
        <v>3165</v>
      </c>
      <c r="C3640" s="5">
        <v>44486.0</v>
      </c>
      <c r="D3640" s="10">
        <v>44486.0</v>
      </c>
      <c r="E3640" s="4" t="s">
        <v>1036</v>
      </c>
      <c r="F3640" s="4" t="s">
        <v>10077</v>
      </c>
      <c r="G3640" s="6" t="str">
        <f>IFERROR(__xludf.DUMMYFUNCTION("REGEXREPLACE(LOWER(F3640),""[^a-z\s]"","""")"),"good pricing great variety quick service need i say more")</f>
        <v>good pricing great variety quick service need i say more</v>
      </c>
      <c r="H3640" s="4" t="str">
        <f t="shared" si="1"/>
        <v>good pricing great variety quick service need i say more</v>
      </c>
      <c r="I3640" s="6">
        <f t="shared" si="2"/>
        <v>10</v>
      </c>
      <c r="J3640" s="6">
        <f>IFERROR(__xludf.DUMMYFUNCTION("IF(H3640="""","""",
SUM(
ARRAYFORMULA(
IF(
REGEXMATCH(
"" ""&amp;H3640&amp;"" "",
"" ""&amp;Sentiment_Words!A$2:A3730&amp;"" ""
),
1,
0
)
)
)
)"),2.0)</f>
        <v>2</v>
      </c>
      <c r="K3640" s="4">
        <f>IFERROR(__xludf.DUMMYFUNCTION("IF(H3640="""","""",
SUM(
ARRAYFORMULA(
IF(
REGEXMATCH(
"" ""&amp;H3640&amp;"" "",
"" ""&amp;Sentiment_Words!B$2:B3730&amp;"" ""
),
1,
0
)
)
)
)"),0.0)</f>
        <v>0</v>
      </c>
      <c r="L3640" s="7" t="str">
        <f t="shared" si="3"/>
        <v>Customer Support</v>
      </c>
      <c r="M3640" s="7" t="str">
        <f t="shared" si="4"/>
        <v>Positive</v>
      </c>
      <c r="N3640" s="7" t="str">
        <f>IFERROR(__xludf.DUMMYFUNCTION("LOWER(
TRIM(
REGEXREPLACE(B3640,""[^a-zA-Z\s]"","""")
)
)
"),"anna")</f>
        <v>anna</v>
      </c>
      <c r="O3640" s="7">
        <f t="shared" si="5"/>
        <v>4</v>
      </c>
      <c r="P3640" s="8" t="str">
        <f t="shared" si="6"/>
        <v>Yes</v>
      </c>
    </row>
    <row r="3641">
      <c r="A3641" s="4" t="s">
        <v>16</v>
      </c>
      <c r="B3641" s="4" t="s">
        <v>10078</v>
      </c>
      <c r="C3641" s="5">
        <v>44485.0</v>
      </c>
      <c r="D3641" s="10">
        <v>44485.0</v>
      </c>
      <c r="E3641" s="4" t="s">
        <v>10079</v>
      </c>
      <c r="F3641" s="4" t="s">
        <v>10080</v>
      </c>
      <c r="G3641" s="6" t="str">
        <f>IFERROR(__xludf.DUMMYFUNCTION("REGEXREPLACE(LOWER(F3641),""[^a-z\s]"","""")"),"the first time i ordered my dogs canned food the experience was pretty negative as none of my requests were taken care of it was if they just ignored me the second time was a better experience")</f>
        <v>the first time i ordered my dogs canned food the experience was pretty negative as none of my requests were taken care of it was if they just ignored me the second time was a better experience</v>
      </c>
      <c r="H3641" s="4" t="str">
        <f t="shared" si="1"/>
        <v>first time i ordered my dogs canned food experience was pretty negative as none of my requests were taken care of it was if they just ignored me second time was a better experience</v>
      </c>
      <c r="I3641" s="6">
        <f t="shared" si="2"/>
        <v>34</v>
      </c>
      <c r="J3641" s="6">
        <f>IFERROR(__xludf.DUMMYFUNCTION("IF(H3641="""","""",
SUM(
ARRAYFORMULA(
IF(
REGEXMATCH(
"" ""&amp;H3641&amp;"" "",
"" ""&amp;Sentiment_Words!A$2:A3730&amp;"" ""
),
1,
0
)
)
)
)"),0.0)</f>
        <v>0</v>
      </c>
      <c r="K3641" s="4">
        <f>IFERROR(__xludf.DUMMYFUNCTION("IF(H3641="""","""",
SUM(
ARRAYFORMULA(
IF(
REGEXMATCH(
"" ""&amp;H3641&amp;"" "",
"" ""&amp;Sentiment_Words!B$2:B3730&amp;"" ""
),
1,
0
)
)
)
)"),2.0)</f>
        <v>2</v>
      </c>
      <c r="L3641" s="7" t="str">
        <f t="shared" si="3"/>
        <v>Customer Support</v>
      </c>
      <c r="M3641" s="7" t="str">
        <f t="shared" si="4"/>
        <v>Negative</v>
      </c>
      <c r="N3641" s="7" t="str">
        <f>IFERROR(__xludf.DUMMYFUNCTION("LOWER(
TRIM(
REGEXREPLACE(B3641,""[^a-zA-Z\s]"","""")
)
)
"),"marc marsceill")</f>
        <v>marc marsceill</v>
      </c>
      <c r="O3641" s="7">
        <f t="shared" si="5"/>
        <v>1</v>
      </c>
      <c r="P3641" s="8" t="str">
        <f t="shared" si="6"/>
        <v>No</v>
      </c>
    </row>
    <row r="3642">
      <c r="A3642" s="4" t="s">
        <v>16</v>
      </c>
      <c r="B3642" s="4" t="s">
        <v>10081</v>
      </c>
      <c r="C3642" s="5">
        <v>44485.0</v>
      </c>
      <c r="D3642" s="10">
        <v>44485.0</v>
      </c>
      <c r="E3642" s="4" t="s">
        <v>10082</v>
      </c>
      <c r="F3642" s="4" t="s">
        <v>10083</v>
      </c>
      <c r="G3642" s="6" t="str">
        <f>IFERROR(__xludf.DUMMYFUNCTION("REGEXREPLACE(LOWER(F3642),""[^a-z\s]"","""")"),"ordered item  weeks ago web site said in stock  called twice did not receive any real answers or satisfaction said it was problem at he suppliers warehouse update just received email that product just shipped all is good")</f>
        <v>ordered item  weeks ago web site said in stock  called twice did not receive any real answers or satisfaction said it was problem at he suppliers warehouse update just received email that product just shipped all is good</v>
      </c>
      <c r="H3642" s="4" t="str">
        <f t="shared" si="1"/>
        <v>ordered item weeks ago web site said in stock called twice did not receive any real answers or satisfaction said it was problem at he suppliers warehouse update just received email that product just shipped all good</v>
      </c>
      <c r="I3642" s="6">
        <f t="shared" si="2"/>
        <v>37</v>
      </c>
      <c r="J3642" s="6">
        <f>IFERROR(__xludf.DUMMYFUNCTION("IF(H3642="""","""",
SUM(
ARRAYFORMULA(
IF(
REGEXMATCH(
"" ""&amp;H3642&amp;"" "",
"" ""&amp;Sentiment_Words!A$2:A3730&amp;"" ""
),
1,
0
)
)
)
)"),1.0)</f>
        <v>1</v>
      </c>
      <c r="K3642" s="4">
        <f>IFERROR(__xludf.DUMMYFUNCTION("IF(H3642="""","""",
SUM(
ARRAYFORMULA(
IF(
REGEXMATCH(
"" ""&amp;H3642&amp;"" "",
"" ""&amp;Sentiment_Words!B$2:B3730&amp;"" ""
),
1,
0
)
)
)
)"),1.0)</f>
        <v>1</v>
      </c>
      <c r="L3642" s="7" t="str">
        <f t="shared" si="3"/>
        <v>Other</v>
      </c>
      <c r="M3642" s="7" t="str">
        <f t="shared" si="4"/>
        <v>Neutral</v>
      </c>
      <c r="N3642" s="7" t="str">
        <f>IFERROR(__xludf.DUMMYFUNCTION("LOWER(
TRIM(
REGEXREPLACE(B3642,""[^a-zA-Z\s]"","""")
)
)
"),"john wright")</f>
        <v>john wright</v>
      </c>
      <c r="O3642" s="7">
        <f t="shared" si="5"/>
        <v>1</v>
      </c>
      <c r="P3642" s="8" t="str">
        <f t="shared" si="6"/>
        <v>No</v>
      </c>
    </row>
    <row r="3643">
      <c r="A3643" s="4" t="s">
        <v>16</v>
      </c>
      <c r="B3643" s="4" t="s">
        <v>10084</v>
      </c>
      <c r="C3643" s="5">
        <v>44485.0</v>
      </c>
      <c r="D3643" s="10">
        <v>44485.0</v>
      </c>
      <c r="E3643" s="4" t="s">
        <v>10085</v>
      </c>
      <c r="F3643" s="4" t="s">
        <v>10086</v>
      </c>
      <c r="G3643" s="6" t="str">
        <f>IFERROR(__xludf.DUMMYFUNCTION("REGEXREPLACE(LOWER(F3643),""[^a-z\s]"","""")"),"first i was told my food order was on its way and shipped then told it was on back ordered and cant be delivered  i want to cancel my order but have no where to call or know how to do it
but company sends constant emails 
also i ordered toys based on my d"&amp;"ogs weight but they were way too small
disappointed all around")</f>
        <v>first i was told my food order was on its way and shipped then told it was on back ordered and cant be delivered  i want to cancel my order but have no where to call or know how to do it
but company sends constant emails 
also i ordered toys based on my dogs weight but they were way too small
disappointed all around</v>
      </c>
      <c r="H3643" s="4" t="str">
        <f t="shared" si="1"/>
        <v>first i was told my food order was on its way shipped then told it was on back ordered cant be delivered i want cancel my order but have no where call or know how do it
but company sends constant emails 
also i ordered toys based on my dogs weight but they were way too small
disappointed all around</v>
      </c>
      <c r="I3643" s="6">
        <f t="shared" si="2"/>
        <v>58</v>
      </c>
      <c r="J3643" s="6">
        <f>IFERROR(__xludf.DUMMYFUNCTION("IF(H3643="""","""",
SUM(
ARRAYFORMULA(
IF(
REGEXMATCH(
"" ""&amp;H3643&amp;"" "",
"" ""&amp;Sentiment_Words!A$2:A3730&amp;"" ""
),
1,
0
)
)
)
)"),1.0)</f>
        <v>1</v>
      </c>
      <c r="K3643" s="4">
        <f>IFERROR(__xludf.DUMMYFUNCTION("IF(H3643="""","""",
SUM(
ARRAYFORMULA(
IF(
REGEXMATCH(
"" ""&amp;H3643&amp;"" "",
"" ""&amp;Sentiment_Words!B$2:B3730&amp;"" ""
),
1,
0
)
)
)
)"),0.0)</f>
        <v>0</v>
      </c>
      <c r="L3643" s="7" t="str">
        <f t="shared" si="3"/>
        <v>Trust &amp; Experience</v>
      </c>
      <c r="M3643" s="7" t="str">
        <f t="shared" si="4"/>
        <v>Positive</v>
      </c>
      <c r="N3643" s="7" t="str">
        <f>IFERROR(__xludf.DUMMYFUNCTION("LOWER(
TRIM(
REGEXREPLACE(B3643,""[^a-zA-Z\s]"","""")
)
)
"),"coffee")</f>
        <v>coffee</v>
      </c>
      <c r="O3643" s="7">
        <f t="shared" si="5"/>
        <v>1</v>
      </c>
      <c r="P3643" s="8" t="str">
        <f t="shared" si="6"/>
        <v>No</v>
      </c>
    </row>
    <row r="3644">
      <c r="A3644" s="4" t="s">
        <v>16</v>
      </c>
      <c r="B3644" s="4" t="s">
        <v>10087</v>
      </c>
      <c r="C3644" s="5">
        <v>44485.0</v>
      </c>
      <c r="D3644" s="4" t="s">
        <v>10088</v>
      </c>
      <c r="E3644" s="4" t="s">
        <v>10089</v>
      </c>
      <c r="F3644" s="4" t="s">
        <v>10090</v>
      </c>
      <c r="G3644" s="6" t="str">
        <f>IFERROR(__xludf.DUMMYFUNCTION("REGEXREPLACE(LOWER(F3644),""[^a-z\s]"","""")"),"they have products of dog food i cant find anywhere else")</f>
        <v>they have products of dog food i cant find anywhere else</v>
      </c>
      <c r="H3644" s="4" t="str">
        <f t="shared" si="1"/>
        <v>they have products of dog food i cant find anywhere else</v>
      </c>
      <c r="I3644" s="6">
        <f t="shared" si="2"/>
        <v>11</v>
      </c>
      <c r="J3644" s="6">
        <f>IFERROR(__xludf.DUMMYFUNCTION("IF(H3644="""","""",
SUM(
ARRAYFORMULA(
IF(
REGEXMATCH(
"" ""&amp;H3644&amp;"" "",
"" ""&amp;Sentiment_Words!A$2:A3730&amp;"" ""
),
1,
0
)
)
)
)"),0.0)</f>
        <v>0</v>
      </c>
      <c r="K3644" s="4">
        <f>IFERROR(__xludf.DUMMYFUNCTION("IF(H3644="""","""",
SUM(
ARRAYFORMULA(
IF(
REGEXMATCH(
"" ""&amp;H3644&amp;"" "",
"" ""&amp;Sentiment_Words!B$2:B3730&amp;"" ""
),
1,
0
)
)
)
)"),0.0)</f>
        <v>0</v>
      </c>
      <c r="L3644" s="7" t="str">
        <f t="shared" si="3"/>
        <v>Other</v>
      </c>
      <c r="M3644" s="7" t="str">
        <f t="shared" si="4"/>
        <v>Neutral</v>
      </c>
      <c r="N3644" s="7" t="str">
        <f>IFERROR(__xludf.DUMMYFUNCTION("LOWER(
TRIM(
REGEXREPLACE(B3644,""[^a-zA-Z\s]"","""")
)
)
"),"phyllis")</f>
        <v>phyllis</v>
      </c>
      <c r="O3644" s="7">
        <f t="shared" si="5"/>
        <v>1</v>
      </c>
      <c r="P3644" s="8" t="str">
        <f t="shared" si="6"/>
        <v>No</v>
      </c>
    </row>
    <row r="3645">
      <c r="A3645" s="4" t="s">
        <v>16</v>
      </c>
      <c r="B3645" s="4" t="s">
        <v>5812</v>
      </c>
      <c r="C3645" s="5">
        <v>44485.0</v>
      </c>
      <c r="D3645" s="10">
        <v>44485.0</v>
      </c>
      <c r="E3645" s="4" t="s">
        <v>10091</v>
      </c>
      <c r="F3645" s="4" t="s">
        <v>331</v>
      </c>
      <c r="G3645" s="6" t="str">
        <f>IFERROR(__xludf.DUMMYFUNCTION("REGEXREPLACE(LOWER(F3645),""[^a-z\s]"","""")"),"none")</f>
        <v>none</v>
      </c>
      <c r="H3645" s="4" t="str">
        <f t="shared" si="1"/>
        <v>none</v>
      </c>
      <c r="I3645" s="6">
        <f t="shared" si="2"/>
        <v>1</v>
      </c>
      <c r="J3645" s="6">
        <f>IFERROR(__xludf.DUMMYFUNCTION("IF(H3645="""","""",
SUM(
ARRAYFORMULA(
IF(
REGEXMATCH(
"" ""&amp;H3645&amp;"" "",
"" ""&amp;Sentiment_Words!A$2:A3730&amp;"" ""
),
1,
0
)
)
)
)"),0.0)</f>
        <v>0</v>
      </c>
      <c r="K3645" s="4">
        <f>IFERROR(__xludf.DUMMYFUNCTION("IF(H3645="""","""",
SUM(
ARRAYFORMULA(
IF(
REGEXMATCH(
"" ""&amp;H3645&amp;"" "",
"" ""&amp;Sentiment_Words!B$2:B3730&amp;"" ""
),
1,
0
)
)
)
)"),0.0)</f>
        <v>0</v>
      </c>
      <c r="L3645" s="7" t="str">
        <f t="shared" si="3"/>
        <v>Other</v>
      </c>
      <c r="M3645" s="7" t="str">
        <f t="shared" si="4"/>
        <v>Neutral</v>
      </c>
      <c r="N3645" s="7" t="str">
        <f>IFERROR(__xludf.DUMMYFUNCTION("LOWER(
TRIM(
REGEXREPLACE(B3645,""[^a-zA-Z\s]"","""")
)
)
"),"jeff")</f>
        <v>jeff</v>
      </c>
      <c r="O3645" s="7">
        <f t="shared" si="5"/>
        <v>5</v>
      </c>
      <c r="P3645" s="8" t="str">
        <f t="shared" si="6"/>
        <v>Yes</v>
      </c>
    </row>
    <row r="3646">
      <c r="A3646" s="4" t="s">
        <v>16</v>
      </c>
      <c r="B3646" s="4" t="s">
        <v>10092</v>
      </c>
      <c r="C3646" s="5">
        <v>44484.0</v>
      </c>
      <c r="D3646" s="10">
        <v>44485.0</v>
      </c>
      <c r="E3646" s="4" t="s">
        <v>10093</v>
      </c>
      <c r="F3646" s="4" t="s">
        <v>331</v>
      </c>
      <c r="G3646" s="6" t="str">
        <f>IFERROR(__xludf.DUMMYFUNCTION("REGEXREPLACE(LOWER(F3646),""[^a-z\s]"","""")"),"none")</f>
        <v>none</v>
      </c>
      <c r="H3646" s="4" t="str">
        <f t="shared" si="1"/>
        <v>none</v>
      </c>
      <c r="I3646" s="6">
        <f t="shared" si="2"/>
        <v>1</v>
      </c>
      <c r="J3646" s="6">
        <f>IFERROR(__xludf.DUMMYFUNCTION("IF(H3646="""","""",
SUM(
ARRAYFORMULA(
IF(
REGEXMATCH(
"" ""&amp;H3646&amp;"" "",
"" ""&amp;Sentiment_Words!A$2:A3730&amp;"" ""
),
1,
0
)
)
)
)"),0.0)</f>
        <v>0</v>
      </c>
      <c r="K3646" s="4">
        <f>IFERROR(__xludf.DUMMYFUNCTION("IF(H3646="""","""",
SUM(
ARRAYFORMULA(
IF(
REGEXMATCH(
"" ""&amp;H3646&amp;"" "",
"" ""&amp;Sentiment_Words!B$2:B3730&amp;"" ""
),
1,
0
)
)
)
)"),0.0)</f>
        <v>0</v>
      </c>
      <c r="L3646" s="7" t="str">
        <f t="shared" si="3"/>
        <v>Other</v>
      </c>
      <c r="M3646" s="7" t="str">
        <f t="shared" si="4"/>
        <v>Neutral</v>
      </c>
      <c r="N3646" s="7" t="str">
        <f>IFERROR(__xludf.DUMMYFUNCTION("LOWER(
TRIM(
REGEXREPLACE(B3646,""[^a-zA-Z\s]"","""")
)
)
"),"valerie d")</f>
        <v>valerie d</v>
      </c>
      <c r="O3646" s="7">
        <f t="shared" si="5"/>
        <v>1</v>
      </c>
      <c r="P3646" s="8" t="str">
        <f t="shared" si="6"/>
        <v>No</v>
      </c>
    </row>
    <row r="3647">
      <c r="A3647" s="4" t="s">
        <v>16</v>
      </c>
      <c r="B3647" s="4" t="s">
        <v>10094</v>
      </c>
      <c r="C3647" s="5">
        <v>44484.0</v>
      </c>
      <c r="D3647" s="10">
        <v>44484.0</v>
      </c>
      <c r="E3647" s="4" t="s">
        <v>9807</v>
      </c>
      <c r="F3647" s="4" t="s">
        <v>10095</v>
      </c>
      <c r="G3647" s="6" t="str">
        <f>IFERROR(__xludf.DUMMYFUNCTION("REGEXREPLACE(LOWER(F3647),""[^a-z\s]"","""")"),"products are great service was great the packaging for shipment was terrible both boxes were broken open due to poor lack of packing material it was amazing items ordered were still in the boxes")</f>
        <v>products are great service was great the packaging for shipment was terrible both boxes were broken open due to poor lack of packing material it was amazing items ordered were still in the boxes</v>
      </c>
      <c r="H3647" s="4" t="str">
        <f t="shared" si="1"/>
        <v>products are great service was great packaging shipment was terrible both boxes were broken open due poor lack of packing material it was amazing items ordered were still in boxes</v>
      </c>
      <c r="I3647" s="6">
        <f t="shared" si="2"/>
        <v>30</v>
      </c>
      <c r="J3647" s="6">
        <f>IFERROR(__xludf.DUMMYFUNCTION("IF(H3647="""","""",
SUM(
ARRAYFORMULA(
IF(
REGEXMATCH(
"" ""&amp;H3647&amp;"" "",
"" ""&amp;Sentiment_Words!A$2:A3730&amp;"" ""
),
1,
0
)
)
)
)"),1.0)</f>
        <v>1</v>
      </c>
      <c r="K3647" s="4">
        <f>IFERROR(__xludf.DUMMYFUNCTION("IF(H3647="""","""",
SUM(
ARRAYFORMULA(
IF(
REGEXMATCH(
"" ""&amp;H3647&amp;"" "",
"" ""&amp;Sentiment_Words!B$2:B3730&amp;"" ""
),
1,
0
)
)
)
)"),1.0)</f>
        <v>1</v>
      </c>
      <c r="L3647" s="7" t="str">
        <f t="shared" si="3"/>
        <v>Customer Support</v>
      </c>
      <c r="M3647" s="7" t="str">
        <f t="shared" si="4"/>
        <v>Neutral</v>
      </c>
      <c r="N3647" s="7" t="str">
        <f>IFERROR(__xludf.DUMMYFUNCTION("LOWER(
TRIM(
REGEXREPLACE(B3647,""[^a-zA-Z\s]"","""")
)
)
"),"melody fensel")</f>
        <v>melody fensel</v>
      </c>
      <c r="O3647" s="7">
        <f t="shared" si="5"/>
        <v>1</v>
      </c>
      <c r="P3647" s="8" t="str">
        <f t="shared" si="6"/>
        <v>No</v>
      </c>
    </row>
    <row r="3648">
      <c r="A3648" s="4" t="s">
        <v>16</v>
      </c>
      <c r="B3648" s="4" t="s">
        <v>10096</v>
      </c>
      <c r="C3648" s="5">
        <v>44484.0</v>
      </c>
      <c r="D3648" s="10">
        <v>44484.0</v>
      </c>
      <c r="E3648" s="4" t="s">
        <v>10097</v>
      </c>
      <c r="F3648" s="4" t="s">
        <v>10098</v>
      </c>
      <c r="G3648" s="6" t="str">
        <f>IFERROR(__xludf.DUMMYFUNCTION("REGEXREPLACE(LOWER(F3648),""[^a-z\s]"","""")"),"my dogs are happy and so am i with the services on delivery of their foodsand my cats are happy too")</f>
        <v>my dogs are happy and so am i with the services on delivery of their foodsand my cats are happy too</v>
      </c>
      <c r="H3648" s="4" t="str">
        <f t="shared" si="1"/>
        <v>my dogs are happy so am i with services on delivery of their foodsand my cats are happy too</v>
      </c>
      <c r="I3648" s="6">
        <f t="shared" si="2"/>
        <v>19</v>
      </c>
      <c r="J3648" s="6">
        <f>IFERROR(__xludf.DUMMYFUNCTION("IF(H3648="""","""",
SUM(
ARRAYFORMULA(
IF(
REGEXMATCH(
"" ""&amp;H3648&amp;"" "",
"" ""&amp;Sentiment_Words!A$2:A3730&amp;"" ""
),
1,
0
)
)
)
)"),1.0)</f>
        <v>1</v>
      </c>
      <c r="K3648" s="4">
        <f>IFERROR(__xludf.DUMMYFUNCTION("IF(H3648="""","""",
SUM(
ARRAYFORMULA(
IF(
REGEXMATCH(
"" ""&amp;H3648&amp;"" "",
"" ""&amp;Sentiment_Words!B$2:B3730&amp;"" ""
),
1,
0
)
)
)
)"),0.0)</f>
        <v>0</v>
      </c>
      <c r="L3648" s="7" t="str">
        <f t="shared" si="3"/>
        <v>Customer Support</v>
      </c>
      <c r="M3648" s="7" t="str">
        <f t="shared" si="4"/>
        <v>Positive</v>
      </c>
      <c r="N3648" s="7" t="str">
        <f>IFERROR(__xludf.DUMMYFUNCTION("LOWER(
TRIM(
REGEXREPLACE(B3648,""[^a-zA-Z\s]"","""")
)
)
"),"joanne hall")</f>
        <v>joanne hall</v>
      </c>
      <c r="O3648" s="7">
        <f t="shared" si="5"/>
        <v>1</v>
      </c>
      <c r="P3648" s="8" t="str">
        <f t="shared" si="6"/>
        <v>No</v>
      </c>
    </row>
    <row r="3649">
      <c r="A3649" s="4" t="s">
        <v>16</v>
      </c>
      <c r="B3649" s="4" t="s">
        <v>10099</v>
      </c>
      <c r="C3649" s="5">
        <v>44484.0</v>
      </c>
      <c r="D3649" s="10">
        <v>44484.0</v>
      </c>
      <c r="E3649" s="4" t="s">
        <v>10100</v>
      </c>
      <c r="F3649" s="4" t="s">
        <v>10101</v>
      </c>
      <c r="G3649" s="6" t="str">
        <f>IFERROR(__xludf.DUMMYFUNCTION("REGEXREPLACE(LOWER(F3649),""[^a-z\s]"","""")"),"there no price gauging my order was received quickly and packaged perfectly i will order through them again")</f>
        <v>there no price gauging my order was received quickly and packaged perfectly i will order through them again</v>
      </c>
      <c r="H3649" s="4" t="str">
        <f t="shared" si="1"/>
        <v>there no price gauging my order was received quickly packaged perfectly i will order through them again</v>
      </c>
      <c r="I3649" s="6">
        <f t="shared" si="2"/>
        <v>17</v>
      </c>
      <c r="J3649" s="6">
        <f>IFERROR(__xludf.DUMMYFUNCTION("IF(H3649="""","""",
SUM(
ARRAYFORMULA(
IF(
REGEXMATCH(
"" ""&amp;H3649&amp;"" "",
"" ""&amp;Sentiment_Words!A$2:A3730&amp;"" ""
),
1,
0
)
)
)
)"),0.0)</f>
        <v>0</v>
      </c>
      <c r="K3649" s="4">
        <f>IFERROR(__xludf.DUMMYFUNCTION("IF(H3649="""","""",
SUM(
ARRAYFORMULA(
IF(
REGEXMATCH(
"" ""&amp;H3649&amp;"" "",
"" ""&amp;Sentiment_Words!B$2:B3730&amp;"" ""
),
1,
0
)
)
)
)"),0.0)</f>
        <v>0</v>
      </c>
      <c r="L3649" s="7" t="str">
        <f t="shared" si="3"/>
        <v>Other</v>
      </c>
      <c r="M3649" s="7" t="str">
        <f t="shared" si="4"/>
        <v>Neutral</v>
      </c>
      <c r="N3649" s="7" t="str">
        <f>IFERROR(__xludf.DUMMYFUNCTION("LOWER(
TRIM(
REGEXREPLACE(B3649,""[^a-zA-Z\s]"","""")
)
)
"),"mary y")</f>
        <v>mary y</v>
      </c>
      <c r="O3649" s="7">
        <f t="shared" si="5"/>
        <v>1</v>
      </c>
      <c r="P3649" s="8" t="str">
        <f t="shared" si="6"/>
        <v>No</v>
      </c>
    </row>
    <row r="3650">
      <c r="A3650" s="4" t="s">
        <v>16</v>
      </c>
      <c r="B3650" s="4" t="s">
        <v>10102</v>
      </c>
      <c r="C3650" s="5">
        <v>44483.0</v>
      </c>
      <c r="D3650" s="10">
        <v>44483.0</v>
      </c>
      <c r="E3650" s="4" t="s">
        <v>10103</v>
      </c>
      <c r="F3650" s="4" t="s">
        <v>10104</v>
      </c>
      <c r="G3650" s="6" t="str">
        <f>IFERROR(__xludf.DUMMYFUNCTION("REGEXREPLACE(LOWER(F3650),""[^a-z\s]"","""")"),"respond to emails very quickly take care of a problem pronto")</f>
        <v>respond to emails very quickly take care of a problem pronto</v>
      </c>
      <c r="H3650" s="4" t="str">
        <f t="shared" si="1"/>
        <v>respond emails very quickly take care of a problem pronto</v>
      </c>
      <c r="I3650" s="6">
        <f t="shared" si="2"/>
        <v>10</v>
      </c>
      <c r="J3650" s="6">
        <f>IFERROR(__xludf.DUMMYFUNCTION("IF(H3650="""","""",
SUM(
ARRAYFORMULA(
IF(
REGEXMATCH(
"" ""&amp;H3650&amp;"" "",
"" ""&amp;Sentiment_Words!A$2:A3730&amp;"" ""
),
1,
0
)
)
)
)"),0.0)</f>
        <v>0</v>
      </c>
      <c r="K3650" s="4">
        <f>IFERROR(__xludf.DUMMYFUNCTION("IF(H3650="""","""",
SUM(
ARRAYFORMULA(
IF(
REGEXMATCH(
"" ""&amp;H3650&amp;"" "",
"" ""&amp;Sentiment_Words!B$2:B3730&amp;"" ""
),
1,
0
)
)
)
)"),1.0)</f>
        <v>1</v>
      </c>
      <c r="L3650" s="7" t="str">
        <f t="shared" si="3"/>
        <v>Other</v>
      </c>
      <c r="M3650" s="7" t="str">
        <f t="shared" si="4"/>
        <v>Negative</v>
      </c>
      <c r="N3650" s="7" t="str">
        <f>IFERROR(__xludf.DUMMYFUNCTION("LOWER(
TRIM(
REGEXREPLACE(B3650,""[^a-zA-Z\s]"","""")
)
)
"),"charles mcdowell")</f>
        <v>charles mcdowell</v>
      </c>
      <c r="O3650" s="7">
        <f t="shared" si="5"/>
        <v>1</v>
      </c>
      <c r="P3650" s="8" t="str">
        <f t="shared" si="6"/>
        <v>No</v>
      </c>
    </row>
    <row r="3651">
      <c r="A3651" s="4" t="s">
        <v>16</v>
      </c>
      <c r="B3651" s="4" t="s">
        <v>10105</v>
      </c>
      <c r="C3651" s="5">
        <v>44483.0</v>
      </c>
      <c r="D3651" s="10">
        <v>44483.0</v>
      </c>
      <c r="E3651" s="4" t="s">
        <v>10106</v>
      </c>
      <c r="F3651" s="4" t="s">
        <v>10107</v>
      </c>
      <c r="G3651" s="6" t="str">
        <f>IFERROR(__xludf.DUMMYFUNCTION("REGEXREPLACE(LOWER(F3651),""[^a-z\s]"","""")"),"it is difficult at times to get dog food during this pandemic petflow is dependable thank you")</f>
        <v>it is difficult at times to get dog food during this pandemic petflow is dependable thank you</v>
      </c>
      <c r="H3651" s="4" t="str">
        <f t="shared" si="1"/>
        <v>it difficult at times get dog food during this pandemic petflow dependable thank you</v>
      </c>
      <c r="I3651" s="6">
        <f t="shared" si="2"/>
        <v>14</v>
      </c>
      <c r="J3651" s="6">
        <f>IFERROR(__xludf.DUMMYFUNCTION("IF(H3651="""","""",
SUM(
ARRAYFORMULA(
IF(
REGEXMATCH(
"" ""&amp;H3651&amp;"" "",
"" ""&amp;Sentiment_Words!A$2:A3730&amp;"" ""
),
1,
0
)
)
)
)"),0.0)</f>
        <v>0</v>
      </c>
      <c r="K3651" s="4">
        <f>IFERROR(__xludf.DUMMYFUNCTION("IF(H3651="""","""",
SUM(
ARRAYFORMULA(
IF(
REGEXMATCH(
"" ""&amp;H3651&amp;"" "",
"" ""&amp;Sentiment_Words!B$2:B3730&amp;"" ""
),
1,
0
)
)
)
)"),0.0)</f>
        <v>0</v>
      </c>
      <c r="L3651" s="7" t="str">
        <f t="shared" si="3"/>
        <v>Other</v>
      </c>
      <c r="M3651" s="7" t="str">
        <f t="shared" si="4"/>
        <v>Neutral</v>
      </c>
      <c r="N3651" s="7" t="str">
        <f>IFERROR(__xludf.DUMMYFUNCTION("LOWER(
TRIM(
REGEXREPLACE(B3651,""[^a-zA-Z\s]"","""")
)
)
"),"graduation")</f>
        <v>graduation</v>
      </c>
      <c r="O3651" s="7">
        <f t="shared" si="5"/>
        <v>1</v>
      </c>
      <c r="P3651" s="8" t="str">
        <f t="shared" si="6"/>
        <v>No</v>
      </c>
    </row>
    <row r="3652">
      <c r="A3652" s="4" t="s">
        <v>16</v>
      </c>
      <c r="B3652" s="4" t="s">
        <v>10108</v>
      </c>
      <c r="C3652" s="5">
        <v>44483.0</v>
      </c>
      <c r="D3652" s="10">
        <v>44483.0</v>
      </c>
      <c r="E3652" s="4" t="s">
        <v>10109</v>
      </c>
      <c r="F3652" s="4" t="s">
        <v>10110</v>
      </c>
      <c r="G3652" s="6" t="str">
        <f>IFERROR(__xludf.DUMMYFUNCTION("REGEXREPLACE(LOWER(F3652),""[^a-z\s]"","""")"),"excellent service and delivery selection of products is probably the best that ive yet to find shipping has been on time pricing is very competitive thank you for a positive experience")</f>
        <v>excellent service and delivery selection of products is probably the best that ive yet to find shipping has been on time pricing is very competitive thank you for a positive experience</v>
      </c>
      <c r="H3652" s="4" t="str">
        <f t="shared" si="1"/>
        <v>excellent service delivery selection of products probably best that ive yet find shipping has been on time pricing very competitive thank you a positive experience</v>
      </c>
      <c r="I3652" s="6">
        <f t="shared" si="2"/>
        <v>25</v>
      </c>
      <c r="J3652" s="6">
        <f>IFERROR(__xludf.DUMMYFUNCTION("IF(H3652="""","""",
SUM(
ARRAYFORMULA(
IF(
REGEXMATCH(
"" ""&amp;H3652&amp;"" "",
"" ""&amp;Sentiment_Words!A$2:A3730&amp;"" ""
),
1,
0
)
)
)
)"),1.0)</f>
        <v>1</v>
      </c>
      <c r="K3652" s="4">
        <f>IFERROR(__xludf.DUMMYFUNCTION("IF(H3652="""","""",
SUM(
ARRAYFORMULA(
IF(
REGEXMATCH(
"" ""&amp;H3652&amp;"" "",
"" ""&amp;Sentiment_Words!B$2:B3730&amp;"" ""
),
1,
0
)
)
)
)"),0.0)</f>
        <v>0</v>
      </c>
      <c r="L3652" s="7" t="str">
        <f t="shared" si="3"/>
        <v>Customer Support</v>
      </c>
      <c r="M3652" s="7" t="str">
        <f t="shared" si="4"/>
        <v>Positive</v>
      </c>
      <c r="N3652" s="7" t="str">
        <f>IFERROR(__xludf.DUMMYFUNCTION("LOWER(
TRIM(
REGEXREPLACE(B3652,""[^a-zA-Z\s]"","""")
)
)
"),"jimmy")</f>
        <v>jimmy</v>
      </c>
      <c r="O3652" s="7">
        <f t="shared" si="5"/>
        <v>1</v>
      </c>
      <c r="P3652" s="8" t="str">
        <f t="shared" si="6"/>
        <v>No</v>
      </c>
    </row>
    <row r="3653">
      <c r="A3653" s="4" t="s">
        <v>16</v>
      </c>
      <c r="B3653" s="4" t="s">
        <v>10111</v>
      </c>
      <c r="C3653" s="5">
        <v>44483.0</v>
      </c>
      <c r="D3653" s="10">
        <v>44483.0</v>
      </c>
      <c r="E3653" s="4" t="s">
        <v>10112</v>
      </c>
      <c r="F3653" s="4" t="s">
        <v>10113</v>
      </c>
      <c r="G3653" s="6" t="str">
        <f>IFERROR(__xludf.DUMMYFUNCTION("REGEXREPLACE(LOWER(F3653),""[^a-z\s]"","""")"),"the replacement squeakers i purchased were supposed to be large unfortunately they were medium sized merely passed off as large they were barely bigger than the small squeakers i also purchased")</f>
        <v>the replacement squeakers i purchased were supposed to be large unfortunately they were medium sized merely passed off as large they were barely bigger than the small squeakers i also purchased</v>
      </c>
      <c r="H3653" s="4" t="str">
        <f t="shared" si="1"/>
        <v>replacement squeakers i purchased were supposed be large unfortunately they were medium sized merely passed off as large they were barely bigger than small squeakers i also purchased</v>
      </c>
      <c r="I3653" s="6">
        <f t="shared" si="2"/>
        <v>28</v>
      </c>
      <c r="J3653" s="6">
        <f>IFERROR(__xludf.DUMMYFUNCTION("IF(H3653="""","""",
SUM(
ARRAYFORMULA(
IF(
REGEXMATCH(
"" ""&amp;H3653&amp;"" "",
"" ""&amp;Sentiment_Words!A$2:A3730&amp;"" ""
),
1,
0
)
)
)
)"),0.0)</f>
        <v>0</v>
      </c>
      <c r="K3653" s="4">
        <f>IFERROR(__xludf.DUMMYFUNCTION("IF(H3653="""","""",
SUM(
ARRAYFORMULA(
IF(
REGEXMATCH(
"" ""&amp;H3653&amp;"" "",
"" ""&amp;Sentiment_Words!B$2:B3730&amp;"" ""
),
1,
0
)
)
)
)"),0.0)</f>
        <v>0</v>
      </c>
      <c r="L3653" s="7" t="str">
        <f t="shared" si="3"/>
        <v>Other</v>
      </c>
      <c r="M3653" s="7" t="str">
        <f t="shared" si="4"/>
        <v>Neutral</v>
      </c>
      <c r="N3653" s="7" t="str">
        <f>IFERROR(__xludf.DUMMYFUNCTION("LOWER(
TRIM(
REGEXREPLACE(B3653,""[^a-zA-Z\s]"","""")
)
)
"),"kay johnson")</f>
        <v>kay johnson</v>
      </c>
      <c r="O3653" s="7">
        <f t="shared" si="5"/>
        <v>1</v>
      </c>
      <c r="P3653" s="8" t="str">
        <f t="shared" si="6"/>
        <v>No</v>
      </c>
    </row>
    <row r="3654">
      <c r="A3654" s="4" t="s">
        <v>16</v>
      </c>
      <c r="B3654" s="4" t="s">
        <v>10114</v>
      </c>
      <c r="C3654" s="5">
        <v>44483.0</v>
      </c>
      <c r="D3654" s="10">
        <v>44483.0</v>
      </c>
      <c r="E3654" s="4" t="s">
        <v>10115</v>
      </c>
      <c r="F3654" s="4" t="s">
        <v>10116</v>
      </c>
      <c r="G3654" s="6" t="str">
        <f>IFERROR(__xludf.DUMMYFUNCTION("REGEXREPLACE(LOWER(F3654),""[^a-z\s]"","""")"),"it was supposed to be here thursday it is now wednesday almost a week late and no estimated delivery date i was hoping this would be convenient however now its way worse than just driving  minutes to the pet store")</f>
        <v>it was supposed to be here thursday it is now wednesday almost a week late and no estimated delivery date i was hoping this would be convenient however now its way worse than just driving  minutes to the pet store</v>
      </c>
      <c r="H3654" s="4" t="str">
        <f t="shared" si="1"/>
        <v>it was supposed be here thursday it now wednesday almost a week late no estimated delivery date i was hoping this would be convenient however now its way worse than just driving minutes pet store</v>
      </c>
      <c r="I3654" s="6">
        <f t="shared" si="2"/>
        <v>35</v>
      </c>
      <c r="J3654" s="6">
        <f>IFERROR(__xludf.DUMMYFUNCTION("IF(H3654="""","""",
SUM(
ARRAYFORMULA(
IF(
REGEXMATCH(
"" ""&amp;H3654&amp;"" "",
"" ""&amp;Sentiment_Words!A$2:A3730&amp;"" ""
),
1,
0
)
)
)
)"),1.0)</f>
        <v>1</v>
      </c>
      <c r="K3654" s="4">
        <f>IFERROR(__xludf.DUMMYFUNCTION("IF(H3654="""","""",
SUM(
ARRAYFORMULA(
IF(
REGEXMATCH(
"" ""&amp;H3654&amp;"" "",
"" ""&amp;Sentiment_Words!B$2:B3730&amp;"" ""
),
1,
0
)
)
)
)"),0.0)</f>
        <v>0</v>
      </c>
      <c r="L3654" s="7" t="str">
        <f t="shared" si="3"/>
        <v>Fulfillment &amp; Shipping</v>
      </c>
      <c r="M3654" s="7" t="str">
        <f t="shared" si="4"/>
        <v>Positive</v>
      </c>
      <c r="N3654" s="7" t="str">
        <f>IFERROR(__xludf.DUMMYFUNCTION("LOWER(
TRIM(
REGEXREPLACE(B3654,""[^a-zA-Z\s]"","""")
)
)
"),"gazlene hatfeld")</f>
        <v>gazlene hatfeld</v>
      </c>
      <c r="O3654" s="7">
        <f t="shared" si="5"/>
        <v>1</v>
      </c>
      <c r="P3654" s="8" t="str">
        <f t="shared" si="6"/>
        <v>No</v>
      </c>
    </row>
    <row r="3655">
      <c r="A3655" s="4" t="s">
        <v>16</v>
      </c>
      <c r="B3655" s="4" t="s">
        <v>10117</v>
      </c>
      <c r="C3655" s="5">
        <v>44482.0</v>
      </c>
      <c r="D3655" s="10">
        <v>44482.0</v>
      </c>
      <c r="E3655" s="4" t="s">
        <v>10118</v>
      </c>
      <c r="F3655" s="4" t="s">
        <v>10119</v>
      </c>
      <c r="G3655" s="6" t="str">
        <f>IFERROR(__xludf.DUMMYFUNCTION("REGEXREPLACE(LOWER(F3655),""[^a-z\s]"","""")"),"overall the service is good but i have a routine shipping monthly on the th unfortunately my order of prescription dog food was not picked up by fedex until the th and not shipped until the th now it looks like i will run out of food a day early not good")</f>
        <v>overall the service is good but i have a routine shipping monthly on the th unfortunately my order of prescription dog food was not picked up by fedex until the th and not shipped until the th now it looks like i will run out of food a day early not good</v>
      </c>
      <c r="H3655" s="4" t="str">
        <f t="shared" si="1"/>
        <v>overall service good but i have a routine shipping monthly on th unfortunately my order of prescription dog food was not picked up by fedex until th not shipped until th now it looks like i will run out of food a day early not good</v>
      </c>
      <c r="I3655" s="6">
        <f t="shared" si="2"/>
        <v>46</v>
      </c>
      <c r="J3655" s="6">
        <f>IFERROR(__xludf.DUMMYFUNCTION("IF(H3655="""","""",
SUM(
ARRAYFORMULA(
IF(
REGEXMATCH(
"" ""&amp;H3655&amp;"" "",
"" ""&amp;Sentiment_Words!A$2:A3730&amp;"" ""
),
1,
0
)
)
)
)"),1.0)</f>
        <v>1</v>
      </c>
      <c r="K3655" s="4">
        <f>IFERROR(__xludf.DUMMYFUNCTION("IF(H3655="""","""",
SUM(
ARRAYFORMULA(
IF(
REGEXMATCH(
"" ""&amp;H3655&amp;"" "",
"" ""&amp;Sentiment_Words!B$2:B3730&amp;"" ""
),
1,
0
)
)
)
)"),0.0)</f>
        <v>0</v>
      </c>
      <c r="L3655" s="7" t="str">
        <f t="shared" si="3"/>
        <v>Customer Support</v>
      </c>
      <c r="M3655" s="7" t="str">
        <f t="shared" si="4"/>
        <v>Positive</v>
      </c>
      <c r="N3655" s="7" t="str">
        <f>IFERROR(__xludf.DUMMYFUNCTION("LOWER(
TRIM(
REGEXREPLACE(B3655,""[^a-zA-Z\s]"","""")
)
)
"),"james")</f>
        <v>james</v>
      </c>
      <c r="O3655" s="7">
        <f t="shared" si="5"/>
        <v>5</v>
      </c>
      <c r="P3655" s="8" t="str">
        <f t="shared" si="6"/>
        <v>Yes</v>
      </c>
    </row>
    <row r="3656">
      <c r="A3656" s="4" t="s">
        <v>16</v>
      </c>
      <c r="B3656" s="4" t="s">
        <v>10120</v>
      </c>
      <c r="C3656" s="5">
        <v>44482.0</v>
      </c>
      <c r="D3656" s="10">
        <v>44482.0</v>
      </c>
      <c r="E3656" s="4" t="s">
        <v>1442</v>
      </c>
      <c r="F3656" s="4" t="s">
        <v>10121</v>
      </c>
      <c r="G3656" s="6" t="str">
        <f>IFERROR(__xludf.DUMMYFUNCTION("REGEXREPLACE(LOWER(F3656),""[^a-z\s]"","""")"),"prices are good however shipping time not so good my items took about  days to arrive when using other company  days tops this probably why i will not shop with pet flow again")</f>
        <v>prices are good however shipping time not so good my items took about  days to arrive when using other company  days tops this probably why i will not shop with pet flow again</v>
      </c>
      <c r="H3656" s="4" t="str">
        <f t="shared" si="1"/>
        <v>prices are good however shipping time not so good my items took about days arrive when using other company days tops this probably why i will not shop with pet flow again</v>
      </c>
      <c r="I3656" s="6">
        <f t="shared" si="2"/>
        <v>32</v>
      </c>
      <c r="J3656" s="6">
        <f>IFERROR(__xludf.DUMMYFUNCTION("IF(H3656="""","""",
SUM(
ARRAYFORMULA(
IF(
REGEXMATCH(
"" ""&amp;H3656&amp;"" "",
"" ""&amp;Sentiment_Words!A$2:A3730&amp;"" ""
),
1,
0
)
)
)
)"),1.0)</f>
        <v>1</v>
      </c>
      <c r="K3656" s="4">
        <f>IFERROR(__xludf.DUMMYFUNCTION("IF(H3656="""","""",
SUM(
ARRAYFORMULA(
IF(
REGEXMATCH(
"" ""&amp;H3656&amp;"" "",
"" ""&amp;Sentiment_Words!B$2:B3730&amp;"" ""
),
1,
0
)
)
)
)"),0.0)</f>
        <v>0</v>
      </c>
      <c r="L3656" s="7" t="str">
        <f t="shared" si="3"/>
        <v>Other</v>
      </c>
      <c r="M3656" s="7" t="str">
        <f t="shared" si="4"/>
        <v>Positive</v>
      </c>
      <c r="N3656" s="7" t="str">
        <f>IFERROR(__xludf.DUMMYFUNCTION("LOWER(
TRIM(
REGEXREPLACE(B3656,""[^a-zA-Z\s]"","""")
)
)
"),"love my dog")</f>
        <v>love my dog</v>
      </c>
      <c r="O3656" s="7">
        <f t="shared" si="5"/>
        <v>1</v>
      </c>
      <c r="P3656" s="8" t="str">
        <f t="shared" si="6"/>
        <v>No</v>
      </c>
    </row>
    <row r="3657">
      <c r="A3657" s="4" t="s">
        <v>16</v>
      </c>
      <c r="B3657" s="4" t="s">
        <v>10122</v>
      </c>
      <c r="C3657" s="5">
        <v>44482.0</v>
      </c>
      <c r="D3657" s="10">
        <v>44482.0</v>
      </c>
      <c r="E3657" s="4" t="s">
        <v>10123</v>
      </c>
      <c r="F3657" s="4" t="s">
        <v>10124</v>
      </c>
      <c r="G3657" s="6" t="str">
        <f>IFERROR(__xludf.DUMMYFUNCTION("REGEXREPLACE(LOWER(F3657),""[^a-z\s]"","""")"),"love the delivery its heavy for me to carry to the trunk and then into my house plus the food is great and so are the treats thanks")</f>
        <v>love the delivery its heavy for me to carry to the trunk and then into my house plus the food is great and so are the treats thanks</v>
      </c>
      <c r="H3657" s="4" t="str">
        <f t="shared" si="1"/>
        <v>love delivery its heavy me carry trunk then into my house plus food great so are treats thanks</v>
      </c>
      <c r="I3657" s="6">
        <f t="shared" si="2"/>
        <v>18</v>
      </c>
      <c r="J3657" s="6">
        <f>IFERROR(__xludf.DUMMYFUNCTION("IF(H3657="""","""",
SUM(
ARRAYFORMULA(
IF(
REGEXMATCH(
"" ""&amp;H3657&amp;"" "",
"" ""&amp;Sentiment_Words!A$2:A3730&amp;"" ""
),
1,
0
)
)
)
)"),2.0)</f>
        <v>2</v>
      </c>
      <c r="K3657" s="4">
        <f>IFERROR(__xludf.DUMMYFUNCTION("IF(H3657="""","""",
SUM(
ARRAYFORMULA(
IF(
REGEXMATCH(
"" ""&amp;H3657&amp;"" "",
"" ""&amp;Sentiment_Words!B$2:B3730&amp;"" ""
),
1,
0
)
)
)
)"),0.0)</f>
        <v>0</v>
      </c>
      <c r="L3657" s="7" t="str">
        <f t="shared" si="3"/>
        <v>Other</v>
      </c>
      <c r="M3657" s="7" t="str">
        <f t="shared" si="4"/>
        <v>Positive</v>
      </c>
      <c r="N3657" s="7" t="str">
        <f>IFERROR(__xludf.DUMMYFUNCTION("LOWER(
TRIM(
REGEXREPLACE(B3657,""[^a-zA-Z\s]"","""")
)
)
"),"michele decrescenzo")</f>
        <v>michele decrescenzo</v>
      </c>
      <c r="O3657" s="7">
        <f t="shared" si="5"/>
        <v>1</v>
      </c>
      <c r="P3657" s="8" t="str">
        <f t="shared" si="6"/>
        <v>No</v>
      </c>
    </row>
    <row r="3658">
      <c r="A3658" s="4" t="s">
        <v>16</v>
      </c>
      <c r="B3658" s="4" t="s">
        <v>10125</v>
      </c>
      <c r="C3658" s="5">
        <v>44482.0</v>
      </c>
      <c r="D3658" s="10">
        <v>44482.0</v>
      </c>
      <c r="E3658" s="4" t="s">
        <v>10126</v>
      </c>
      <c r="F3658" s="4" t="s">
        <v>10127</v>
      </c>
      <c r="G3658" s="6" t="str">
        <f>IFERROR(__xludf.DUMMYFUNCTION("REGEXREPLACE(LOWER(F3658),""[^a-z\s]"","""")"),"ordered several teddy bear toys  enough to get free shipping arrived so quick my dog loves these toys  they are quite durable and shes quite a chewer ive got enough to last for a while got a good price too not dependent upon quantity  better than petsmart"&amp;" highly recommend")</f>
        <v>ordered several teddy bear toys  enough to get free shipping arrived so quick my dog loves these toys  they are quite durable and shes quite a chewer ive got enough to last for a while got a good price too not dependent upon quantity  better than petsmart highly recommend</v>
      </c>
      <c r="H3658" s="4" t="str">
        <f t="shared" si="1"/>
        <v>ordered several teddy bear toys enough get free shipping arrived so quick my dog loves these toys they are quite durable shes quite a chewer ive got enough last a while got a good price too not dependent upon quantity better than petsmart highly recommend</v>
      </c>
      <c r="I3658" s="6">
        <f t="shared" si="2"/>
        <v>45</v>
      </c>
      <c r="J3658" s="6">
        <f>IFERROR(__xludf.DUMMYFUNCTION("IF(H3658="""","""",
SUM(
ARRAYFORMULA(
IF(
REGEXMATCH(
"" ""&amp;H3658&amp;"" "",
"" ""&amp;Sentiment_Words!A$2:A3730&amp;"" ""
),
1,
0
)
)
)
)"),1.0)</f>
        <v>1</v>
      </c>
      <c r="K3658" s="4">
        <f>IFERROR(__xludf.DUMMYFUNCTION("IF(H3658="""","""",
SUM(
ARRAYFORMULA(
IF(
REGEXMATCH(
"" ""&amp;H3658&amp;"" "",
"" ""&amp;Sentiment_Words!B$2:B3730&amp;"" ""
),
1,
0
)
)
)
)"),0.0)</f>
        <v>0</v>
      </c>
      <c r="L3658" s="7" t="str">
        <f t="shared" si="3"/>
        <v>Other</v>
      </c>
      <c r="M3658" s="7" t="str">
        <f t="shared" si="4"/>
        <v>Positive</v>
      </c>
      <c r="N3658" s="7" t="str">
        <f>IFERROR(__xludf.DUMMYFUNCTION("LOWER(
TRIM(
REGEXREPLACE(B3658,""[^a-zA-Z\s]"","""")
)
)
"),"joan dam")</f>
        <v>joan dam</v>
      </c>
      <c r="O3658" s="7">
        <f t="shared" si="5"/>
        <v>1</v>
      </c>
      <c r="P3658" s="8" t="str">
        <f t="shared" si="6"/>
        <v>No</v>
      </c>
    </row>
    <row r="3659">
      <c r="A3659" s="4" t="s">
        <v>16</v>
      </c>
      <c r="B3659" s="4" t="s">
        <v>10128</v>
      </c>
      <c r="C3659" s="5">
        <v>44482.0</v>
      </c>
      <c r="D3659" s="10">
        <v>44482.0</v>
      </c>
      <c r="E3659" s="4" t="s">
        <v>10129</v>
      </c>
      <c r="F3659" s="4" t="s">
        <v>10130</v>
      </c>
      <c r="G3659" s="6" t="str">
        <f>IFERROR(__xludf.DUMMYFUNCTION("REGEXREPLACE(LOWER(F3659),""[^a-z\s]"","""")"),"ordered fromms pate canned food for my dogs upcoming surgery promptly shipped but delivery was held up with no updates contacted pet flow to see if they could get any information aimee quickly responded that she would contact the shipper and would get a f"&amp;"ree replacement order in time for next weeks surgery luckily the shipment finally arrived today but i really appreciated how attentive and caring aimee was thanks aimee")</f>
        <v>ordered fromms pate canned food for my dogs upcoming surgery promptly shipped but delivery was held up with no updates contacted pet flow to see if they could get any information aimee quickly responded that she would contact the shipper and would get a free replacement order in time for next weeks surgery luckily the shipment finally arrived today but i really appreciated how attentive and caring aimee was thanks aimee</v>
      </c>
      <c r="H3659" s="4" t="str">
        <f t="shared" si="1"/>
        <v>ordered fromms pate canned food my dogs upcoming surgery promptly shipped but delivery was held up with no updates contacted pet flow see if they could get any information aimee quickly responded that she would contact shipper would get a free replacement order in time next weeks surgery luckily shipment finally arrived today but i really appreciated how attentive caring aimee was thanks aimee</v>
      </c>
      <c r="I3659" s="6">
        <f t="shared" si="2"/>
        <v>64</v>
      </c>
      <c r="J3659" s="6">
        <f>IFERROR(__xludf.DUMMYFUNCTION("IF(H3659="""","""",
SUM(
ARRAYFORMULA(
IF(
REGEXMATCH(
"" ""&amp;H3659&amp;"" "",
"" ""&amp;Sentiment_Words!A$2:A3730&amp;"" ""
),
1,
0
)
)
)
)"),0.0)</f>
        <v>0</v>
      </c>
      <c r="K3659" s="4">
        <f>IFERROR(__xludf.DUMMYFUNCTION("IF(H3659="""","""",
SUM(
ARRAYFORMULA(
IF(
REGEXMATCH(
"" ""&amp;H3659&amp;"" "",
"" ""&amp;Sentiment_Words!B$2:B3730&amp;"" ""
),
1,
0
)
)
)
)"),0.0)</f>
        <v>0</v>
      </c>
      <c r="L3659" s="7" t="str">
        <f t="shared" si="3"/>
        <v>Other</v>
      </c>
      <c r="M3659" s="7" t="str">
        <f t="shared" si="4"/>
        <v>Neutral</v>
      </c>
      <c r="N3659" s="7" t="str">
        <f>IFERROR(__xludf.DUMMYFUNCTION("LOWER(
TRIM(
REGEXREPLACE(B3659,""[^a-zA-Z\s]"","""")
)
)
"),"lonnie scutella")</f>
        <v>lonnie scutella</v>
      </c>
      <c r="O3659" s="7">
        <f t="shared" si="5"/>
        <v>1</v>
      </c>
      <c r="P3659" s="8" t="str">
        <f t="shared" si="6"/>
        <v>No</v>
      </c>
    </row>
    <row r="3660">
      <c r="A3660" s="4" t="s">
        <v>16</v>
      </c>
      <c r="B3660" s="4" t="s">
        <v>10131</v>
      </c>
      <c r="C3660" s="5">
        <v>44482.0</v>
      </c>
      <c r="D3660" s="10">
        <v>44482.0</v>
      </c>
      <c r="E3660" s="4" t="s">
        <v>10132</v>
      </c>
      <c r="F3660" s="4" t="s">
        <v>10133</v>
      </c>
      <c r="G3660" s="6" t="str">
        <f>IFERROR(__xludf.DUMMYFUNCTION("REGEXREPLACE(LOWER(F3660),""[^a-z\s]"","""")"),"great service reasonable prices good quality will definitely buy again")</f>
        <v>great service reasonable prices good quality will definitely buy again</v>
      </c>
      <c r="H3660" s="4" t="str">
        <f t="shared" si="1"/>
        <v>great service reasonable prices good quality will definitely buy again</v>
      </c>
      <c r="I3660" s="6">
        <f t="shared" si="2"/>
        <v>10</v>
      </c>
      <c r="J3660" s="6">
        <f>IFERROR(__xludf.DUMMYFUNCTION("IF(H3660="""","""",
SUM(
ARRAYFORMULA(
IF(
REGEXMATCH(
"" ""&amp;H3660&amp;"" "",
"" ""&amp;Sentiment_Words!A$2:A3730&amp;"" ""
),
1,
0
)
)
)
)"),2.0)</f>
        <v>2</v>
      </c>
      <c r="K3660" s="4">
        <f>IFERROR(__xludf.DUMMYFUNCTION("IF(H3660="""","""",
SUM(
ARRAYFORMULA(
IF(
REGEXMATCH(
"" ""&amp;H3660&amp;"" "",
"" ""&amp;Sentiment_Words!B$2:B3730&amp;"" ""
),
1,
0
)
)
)
)"),0.0)</f>
        <v>0</v>
      </c>
      <c r="L3660" s="7" t="str">
        <f t="shared" si="3"/>
        <v>Customer Support</v>
      </c>
      <c r="M3660" s="7" t="str">
        <f t="shared" si="4"/>
        <v>Positive</v>
      </c>
      <c r="N3660" s="7" t="str">
        <f>IFERROR(__xludf.DUMMYFUNCTION("LOWER(
TRIM(
REGEXREPLACE(B3660,""[^a-zA-Z\s]"","""")
)
)
"),"koren slone")</f>
        <v>koren slone</v>
      </c>
      <c r="O3660" s="7">
        <f t="shared" si="5"/>
        <v>1</v>
      </c>
      <c r="P3660" s="8" t="str">
        <f t="shared" si="6"/>
        <v>No</v>
      </c>
    </row>
    <row r="3661">
      <c r="A3661" s="4" t="s">
        <v>16</v>
      </c>
      <c r="B3661" s="4" t="s">
        <v>10134</v>
      </c>
      <c r="C3661" s="5">
        <v>44481.0</v>
      </c>
      <c r="D3661" s="10">
        <v>44482.0</v>
      </c>
      <c r="E3661" s="4" t="s">
        <v>623</v>
      </c>
      <c r="F3661" s="4" t="s">
        <v>10135</v>
      </c>
      <c r="G3661" s="6" t="str">
        <f>IFERROR(__xludf.DUMMYFUNCTION("REGEXREPLACE(LOWER(F3661),""[^a-z\s]"","""")"),"usually we have a great experience with petflow this time however was a real struggle i was told over and over by petflow that they reached out to our vet for food approval but my vet told me they never received any contact from them i even went to my vet"&amp;" twice to get them to help my dog didnt have food for three days and we had to figure something else for her special diet")</f>
        <v>usually we have a great experience with petflow this time however was a real struggle i was told over and over by petflow that they reached out to our vet for food approval but my vet told me they never received any contact from them i even went to my vet twice to get them to help my dog didnt have food for three days and we had to figure something else for her special diet</v>
      </c>
      <c r="H3661" s="4" t="str">
        <f t="shared" si="1"/>
        <v>usually we have a great experience with petflow this time however was a real struggle i was told over over by petflow that they reached out our vet food approval but my vet told me they never received any contact from them i even went my vet twice get them help my dog didnt have food three days we had figure something else her special diet</v>
      </c>
      <c r="I3661" s="6">
        <f t="shared" si="2"/>
        <v>66</v>
      </c>
      <c r="J3661" s="6">
        <f>IFERROR(__xludf.DUMMYFUNCTION("IF(H3661="""","""",
SUM(
ARRAYFORMULA(
IF(
REGEXMATCH(
"" ""&amp;H3661&amp;"" "",
"" ""&amp;Sentiment_Words!A$2:A3730&amp;"" ""
),
1,
0
)
)
)
)"),1.0)</f>
        <v>1</v>
      </c>
      <c r="K3661" s="4">
        <f>IFERROR(__xludf.DUMMYFUNCTION("IF(H3661="""","""",
SUM(
ARRAYFORMULA(
IF(
REGEXMATCH(
"" ""&amp;H3661&amp;"" "",
"" ""&amp;Sentiment_Words!B$2:B3730&amp;"" ""
),
1,
0
)
)
)
)"),0.0)</f>
        <v>0</v>
      </c>
      <c r="L3661" s="7" t="str">
        <f t="shared" si="3"/>
        <v>Other</v>
      </c>
      <c r="M3661" s="7" t="str">
        <f t="shared" si="4"/>
        <v>Positive</v>
      </c>
      <c r="N3661" s="7" t="str">
        <f>IFERROR(__xludf.DUMMYFUNCTION("LOWER(
TRIM(
REGEXREPLACE(B3661,""[^a-zA-Z\s]"","""")
)
)
"),"sfsanibel")</f>
        <v>sfsanibel</v>
      </c>
      <c r="O3661" s="7">
        <f t="shared" si="5"/>
        <v>1</v>
      </c>
      <c r="P3661" s="8" t="str">
        <f t="shared" si="6"/>
        <v>No</v>
      </c>
    </row>
    <row r="3662">
      <c r="A3662" s="4" t="s">
        <v>16</v>
      </c>
      <c r="B3662" s="4" t="s">
        <v>10136</v>
      </c>
      <c r="C3662" s="5">
        <v>44481.0</v>
      </c>
      <c r="D3662" s="10">
        <v>44481.0</v>
      </c>
      <c r="E3662" s="4" t="s">
        <v>10137</v>
      </c>
      <c r="F3662" s="4" t="s">
        <v>10138</v>
      </c>
      <c r="G3662" s="6" t="str">
        <f>IFERROR(__xludf.DUMMYFUNCTION("REGEXREPLACE(LOWER(F3662),""[^a-z\s]"","""")"),"i contacted customer service because i received the wrong dog food and they immediately resolved the situation and sent me a return shipping label this company has some of the best and quickest customer service agents ive ever dealt with")</f>
        <v>i contacted customer service because i received the wrong dog food and they immediately resolved the situation and sent me a return shipping label this company has some of the best and quickest customer service agents ive ever dealt with</v>
      </c>
      <c r="H3662" s="4" t="str">
        <f t="shared" si="1"/>
        <v>i contacted customer service because i received wrong dog food they immediately resolved situation sent me a return shipping label this company has some of best quickest customer service agents ive ever dealt with</v>
      </c>
      <c r="I3662" s="6">
        <f t="shared" si="2"/>
        <v>34</v>
      </c>
      <c r="J3662" s="6">
        <f>IFERROR(__xludf.DUMMYFUNCTION("IF(H3662="""","""",
SUM(
ARRAYFORMULA(
IF(
REGEXMATCH(
"" ""&amp;H3662&amp;"" "",
"" ""&amp;Sentiment_Words!A$2:A3730&amp;"" ""
),
1,
0
)
)
)
)"),2.0)</f>
        <v>2</v>
      </c>
      <c r="K3662" s="4">
        <f>IFERROR(__xludf.DUMMYFUNCTION("IF(H3662="""","""",
SUM(
ARRAYFORMULA(
IF(
REGEXMATCH(
"" ""&amp;H3662&amp;"" "",
"" ""&amp;Sentiment_Words!B$2:B3730&amp;"" ""
),
1,
0
)
)
)
)"),2.0)</f>
        <v>2</v>
      </c>
      <c r="L3662" s="7" t="str">
        <f t="shared" si="3"/>
        <v>Customer Support</v>
      </c>
      <c r="M3662" s="7" t="str">
        <f t="shared" si="4"/>
        <v>Neutral</v>
      </c>
      <c r="N3662" s="7" t="str">
        <f>IFERROR(__xludf.DUMMYFUNCTION("LOWER(
TRIM(
REGEXREPLACE(B3662,""[^a-zA-Z\s]"","""")
)
)
"),"michelle hines")</f>
        <v>michelle hines</v>
      </c>
      <c r="O3662" s="7">
        <f t="shared" si="5"/>
        <v>1</v>
      </c>
      <c r="P3662" s="8" t="str">
        <f t="shared" si="6"/>
        <v>No</v>
      </c>
    </row>
    <row r="3663">
      <c r="A3663" s="4" t="s">
        <v>16</v>
      </c>
      <c r="B3663" s="4" t="s">
        <v>10139</v>
      </c>
      <c r="C3663" s="5">
        <v>44481.0</v>
      </c>
      <c r="D3663" s="10">
        <v>44481.0</v>
      </c>
      <c r="E3663" s="4" t="s">
        <v>10140</v>
      </c>
      <c r="F3663" s="4" t="s">
        <v>10141</v>
      </c>
      <c r="G3663" s="6" t="str">
        <f>IFERROR(__xludf.DUMMYFUNCTION("REGEXREPLACE(LOWER(F3663),""[^a-z\s]"","""")"),"excellent fast service")</f>
        <v>excellent fast service</v>
      </c>
      <c r="H3663" s="4" t="str">
        <f t="shared" si="1"/>
        <v>excellent fast service</v>
      </c>
      <c r="I3663" s="6">
        <f t="shared" si="2"/>
        <v>3</v>
      </c>
      <c r="J3663" s="6">
        <f>IFERROR(__xludf.DUMMYFUNCTION("IF(H3663="""","""",
SUM(
ARRAYFORMULA(
IF(
REGEXMATCH(
"" ""&amp;H3663&amp;"" "",
"" ""&amp;Sentiment_Words!A$2:A3730&amp;"" ""
),
1,
0
)
)
)
)"),1.0)</f>
        <v>1</v>
      </c>
      <c r="K3663" s="4">
        <f>IFERROR(__xludf.DUMMYFUNCTION("IF(H3663="""","""",
SUM(
ARRAYFORMULA(
IF(
REGEXMATCH(
"" ""&amp;H3663&amp;"" "",
"" ""&amp;Sentiment_Words!B$2:B3730&amp;"" ""
),
1,
0
)
)
)
)"),0.0)</f>
        <v>0</v>
      </c>
      <c r="L3663" s="7" t="str">
        <f t="shared" si="3"/>
        <v>Customer Support</v>
      </c>
      <c r="M3663" s="7" t="str">
        <f t="shared" si="4"/>
        <v>Positive</v>
      </c>
      <c r="N3663" s="7" t="str">
        <f>IFERROR(__xludf.DUMMYFUNCTION("LOWER(
TRIM(
REGEXREPLACE(B3663,""[^a-zA-Z\s]"","""")
)
)
"),"nikki tucek")</f>
        <v>nikki tucek</v>
      </c>
      <c r="O3663" s="7">
        <f t="shared" si="5"/>
        <v>1</v>
      </c>
      <c r="P3663" s="8" t="str">
        <f t="shared" si="6"/>
        <v>No</v>
      </c>
    </row>
    <row r="3664">
      <c r="A3664" s="4" t="s">
        <v>16</v>
      </c>
      <c r="B3664" s="4" t="s">
        <v>6268</v>
      </c>
      <c r="C3664" s="5">
        <v>44481.0</v>
      </c>
      <c r="D3664" s="10">
        <v>44481.0</v>
      </c>
      <c r="E3664" s="4" t="s">
        <v>2524</v>
      </c>
      <c r="F3664" s="4" t="s">
        <v>10142</v>
      </c>
      <c r="G3664" s="6" t="str">
        <f>IFERROR(__xludf.DUMMYFUNCTION("REGEXREPLACE(LOWER(F3664),""[^a-z\s]"","""")"),"very easy ordering only site that had the wet food i needed took a little longer to ship but was received in an acceptable period of time")</f>
        <v>very easy ordering only site that had the wet food i needed took a little longer to ship but was received in an acceptable period of time</v>
      </c>
      <c r="H3664" s="4" t="str">
        <f t="shared" si="1"/>
        <v>very easy ordering only site that had wet food i needed took a little longer ship but was received in an acceptable period of time</v>
      </c>
      <c r="I3664" s="6">
        <f t="shared" si="2"/>
        <v>25</v>
      </c>
      <c r="J3664" s="6">
        <f>IFERROR(__xludf.DUMMYFUNCTION("IF(H3664="""","""",
SUM(
ARRAYFORMULA(
IF(
REGEXMATCH(
"" ""&amp;H3664&amp;"" "",
"" ""&amp;Sentiment_Words!A$2:A3730&amp;"" ""
),
1,
0
)
)
)
)"),1.0)</f>
        <v>1</v>
      </c>
      <c r="K3664" s="4">
        <f>IFERROR(__xludf.DUMMYFUNCTION("IF(H3664="""","""",
SUM(
ARRAYFORMULA(
IF(
REGEXMATCH(
"" ""&amp;H3664&amp;"" "",
"" ""&amp;Sentiment_Words!B$2:B3730&amp;"" ""
),
1,
0
)
)
)
)"),0.0)</f>
        <v>0</v>
      </c>
      <c r="L3664" s="7" t="str">
        <f t="shared" si="3"/>
        <v>Other</v>
      </c>
      <c r="M3664" s="7" t="str">
        <f t="shared" si="4"/>
        <v>Positive</v>
      </c>
      <c r="N3664" s="7" t="str">
        <f>IFERROR(__xludf.DUMMYFUNCTION("LOWER(
TRIM(
REGEXREPLACE(B3664,""[^a-zA-Z\s]"","""")
)
)
"),"jennifer")</f>
        <v>jennifer</v>
      </c>
      <c r="O3664" s="7">
        <f t="shared" si="5"/>
        <v>5</v>
      </c>
      <c r="P3664" s="8" t="str">
        <f t="shared" si="6"/>
        <v>Yes</v>
      </c>
    </row>
    <row r="3665">
      <c r="A3665" s="4" t="s">
        <v>16</v>
      </c>
      <c r="B3665" s="4" t="s">
        <v>10143</v>
      </c>
      <c r="C3665" s="5">
        <v>44481.0</v>
      </c>
      <c r="D3665" s="10">
        <v>44481.0</v>
      </c>
      <c r="E3665" s="4" t="s">
        <v>10144</v>
      </c>
      <c r="F3665" s="4" t="s">
        <v>10145</v>
      </c>
      <c r="G3665" s="6" t="str">
        <f>IFERROR(__xludf.DUMMYFUNCTION("REGEXREPLACE(LOWER(F3665),""[^a-z\s]"","""")"),"i have been a returning customer for a while now petflow has always had excellent service it is most appreciated thank you")</f>
        <v>i have been a returning customer for a while now petflow has always had excellent service it is most appreciated thank you</v>
      </c>
      <c r="H3665" s="4" t="str">
        <f t="shared" si="1"/>
        <v>i have been a returning customer a while now petflow has always had excellent service it most appreciated thank you</v>
      </c>
      <c r="I3665" s="6">
        <f t="shared" si="2"/>
        <v>20</v>
      </c>
      <c r="J3665" s="6">
        <f>IFERROR(__xludf.DUMMYFUNCTION("IF(H3665="""","""",
SUM(
ARRAYFORMULA(
IF(
REGEXMATCH(
"" ""&amp;H3665&amp;"" "",
"" ""&amp;Sentiment_Words!A$2:A3730&amp;"" ""
),
1,
0
)
)
)
)"),0.0)</f>
        <v>0</v>
      </c>
      <c r="K3665" s="4">
        <f>IFERROR(__xludf.DUMMYFUNCTION("IF(H3665="""","""",
SUM(
ARRAYFORMULA(
IF(
REGEXMATCH(
"" ""&amp;H3665&amp;"" "",
"" ""&amp;Sentiment_Words!B$2:B3730&amp;"" ""
),
1,
0
)
)
)
)"),0.0)</f>
        <v>0</v>
      </c>
      <c r="L3665" s="7" t="str">
        <f t="shared" si="3"/>
        <v>Customer Support</v>
      </c>
      <c r="M3665" s="7" t="str">
        <f t="shared" si="4"/>
        <v>Neutral</v>
      </c>
      <c r="N3665" s="7" t="str">
        <f>IFERROR(__xludf.DUMMYFUNCTION("LOWER(
TRIM(
REGEXREPLACE(B3665,""[^a-zA-Z\s]"","""")
)
)
"),"mary k")</f>
        <v>mary k</v>
      </c>
      <c r="O3665" s="7">
        <f t="shared" si="5"/>
        <v>1</v>
      </c>
      <c r="P3665" s="8" t="str">
        <f t="shared" si="6"/>
        <v>No</v>
      </c>
    </row>
    <row r="3666">
      <c r="A3666" s="4" t="s">
        <v>16</v>
      </c>
      <c r="B3666" s="4" t="s">
        <v>349</v>
      </c>
      <c r="C3666" s="5">
        <v>44481.0</v>
      </c>
      <c r="D3666" s="10">
        <v>44481.0</v>
      </c>
      <c r="E3666" s="4" t="s">
        <v>10146</v>
      </c>
      <c r="F3666" s="4" t="s">
        <v>331</v>
      </c>
      <c r="G3666" s="6" t="str">
        <f>IFERROR(__xludf.DUMMYFUNCTION("REGEXREPLACE(LOWER(F3666),""[^a-z\s]"","""")"),"none")</f>
        <v>none</v>
      </c>
      <c r="H3666" s="4" t="str">
        <f t="shared" si="1"/>
        <v>none</v>
      </c>
      <c r="I3666" s="6">
        <f t="shared" si="2"/>
        <v>1</v>
      </c>
      <c r="J3666" s="6">
        <f>IFERROR(__xludf.DUMMYFUNCTION("IF(H3666="""","""",
SUM(
ARRAYFORMULA(
IF(
REGEXMATCH(
"" ""&amp;H3666&amp;"" "",
"" ""&amp;Sentiment_Words!A$2:A3730&amp;"" ""
),
1,
0
)
)
)
)"),0.0)</f>
        <v>0</v>
      </c>
      <c r="K3666" s="4">
        <f>IFERROR(__xludf.DUMMYFUNCTION("IF(H3666="""","""",
SUM(
ARRAYFORMULA(
IF(
REGEXMATCH(
"" ""&amp;H3666&amp;"" "",
"" ""&amp;Sentiment_Words!B$2:B3730&amp;"" ""
),
1,
0
)
)
)
)"),0.0)</f>
        <v>0</v>
      </c>
      <c r="L3666" s="7" t="str">
        <f t="shared" si="3"/>
        <v>Other</v>
      </c>
      <c r="M3666" s="7" t="str">
        <f t="shared" si="4"/>
        <v>Neutral</v>
      </c>
      <c r="N3666" s="7" t="str">
        <f>IFERROR(__xludf.DUMMYFUNCTION("LOWER(
TRIM(
REGEXREPLACE(B3666,""[^a-zA-Z\s]"","""")
)
)
"),"kelly")</f>
        <v>kelly</v>
      </c>
      <c r="O3666" s="7">
        <f t="shared" si="5"/>
        <v>3</v>
      </c>
      <c r="P3666" s="8" t="str">
        <f t="shared" si="6"/>
        <v>Yes</v>
      </c>
    </row>
    <row r="3667">
      <c r="A3667" s="4" t="s">
        <v>16</v>
      </c>
      <c r="B3667" s="4" t="s">
        <v>10147</v>
      </c>
      <c r="C3667" s="5">
        <v>44481.0</v>
      </c>
      <c r="D3667" s="10">
        <v>44481.0</v>
      </c>
      <c r="E3667" s="4" t="s">
        <v>10148</v>
      </c>
      <c r="F3667" s="4" t="s">
        <v>10149</v>
      </c>
      <c r="G3667" s="6" t="str">
        <f>IFERROR(__xludf.DUMMYFUNCTION("REGEXREPLACE(LOWER(F3667),""[^a-z\s]"","""")"),"petflow had the specialty prescription dog food my vet could not get they made the buying process easy and shipped quickly i will keep shopping with petflow")</f>
        <v>petflow had the specialty prescription dog food my vet could not get they made the buying process easy and shipped quickly i will keep shopping with petflow</v>
      </c>
      <c r="H3667" s="4" t="str">
        <f t="shared" si="1"/>
        <v>petflow had specialty prescription dog food my vet could not get they made buying process easy shipped quickly i will keep shopping with petflow</v>
      </c>
      <c r="I3667" s="6">
        <f t="shared" si="2"/>
        <v>24</v>
      </c>
      <c r="J3667" s="6">
        <f>IFERROR(__xludf.DUMMYFUNCTION("IF(H3667="""","""",
SUM(
ARRAYFORMULA(
IF(
REGEXMATCH(
"" ""&amp;H3667&amp;"" "",
"" ""&amp;Sentiment_Words!A$2:A3730&amp;"" ""
),
1,
0
)
)
)
)"),2.0)</f>
        <v>2</v>
      </c>
      <c r="K3667" s="4">
        <f>IFERROR(__xludf.DUMMYFUNCTION("IF(H3667="""","""",
SUM(
ARRAYFORMULA(
IF(
REGEXMATCH(
"" ""&amp;H3667&amp;"" "",
"" ""&amp;Sentiment_Words!B$2:B3730&amp;"" ""
),
1,
0
)
)
)
)"),0.0)</f>
        <v>0</v>
      </c>
      <c r="L3667" s="7" t="str">
        <f t="shared" si="3"/>
        <v>Other</v>
      </c>
      <c r="M3667" s="7" t="str">
        <f t="shared" si="4"/>
        <v>Positive</v>
      </c>
      <c r="N3667" s="7" t="str">
        <f>IFERROR(__xludf.DUMMYFUNCTION("LOWER(
TRIM(
REGEXREPLACE(B3667,""[^a-zA-Z\s]"","""")
)
)
"),"greg morris")</f>
        <v>greg morris</v>
      </c>
      <c r="O3667" s="7">
        <f t="shared" si="5"/>
        <v>1</v>
      </c>
      <c r="P3667" s="8" t="str">
        <f t="shared" si="6"/>
        <v>No</v>
      </c>
    </row>
    <row r="3668">
      <c r="A3668" s="4" t="s">
        <v>16</v>
      </c>
      <c r="B3668" s="4" t="s">
        <v>10150</v>
      </c>
      <c r="C3668" s="5">
        <v>44480.0</v>
      </c>
      <c r="D3668" s="10">
        <v>44480.0</v>
      </c>
      <c r="E3668" s="4" t="s">
        <v>190</v>
      </c>
      <c r="F3668" s="4" t="s">
        <v>10151</v>
      </c>
      <c r="G3668" s="6" t="str">
        <f>IFERROR(__xludf.DUMMYFUNCTION("REGEXREPLACE(LOWER(F3668),""[^a-z\s]"","""")"),"great customer service their text option is awesome")</f>
        <v>great customer service their text option is awesome</v>
      </c>
      <c r="H3668" s="4" t="str">
        <f t="shared" si="1"/>
        <v>great customer service their text option awesome</v>
      </c>
      <c r="I3668" s="6">
        <f t="shared" si="2"/>
        <v>7</v>
      </c>
      <c r="J3668" s="6">
        <f>IFERROR(__xludf.DUMMYFUNCTION("IF(H3668="""","""",
SUM(
ARRAYFORMULA(
IF(
REGEXMATCH(
"" ""&amp;H3668&amp;"" "",
"" ""&amp;Sentiment_Words!A$2:A3730&amp;"" ""
),
1,
0
)
)
)
)"),2.0)</f>
        <v>2</v>
      </c>
      <c r="K3668" s="4">
        <f>IFERROR(__xludf.DUMMYFUNCTION("IF(H3668="""","""",
SUM(
ARRAYFORMULA(
IF(
REGEXMATCH(
"" ""&amp;H3668&amp;"" "",
"" ""&amp;Sentiment_Words!B$2:B3730&amp;"" ""
),
1,
0
)
)
)
)"),1.0)</f>
        <v>1</v>
      </c>
      <c r="L3668" s="7" t="str">
        <f t="shared" si="3"/>
        <v>Customer Support</v>
      </c>
      <c r="M3668" s="7" t="str">
        <f t="shared" si="4"/>
        <v>Positive</v>
      </c>
      <c r="N3668" s="7" t="str">
        <f>IFERROR(__xludf.DUMMYFUNCTION("LOWER(
TRIM(
REGEXREPLACE(B3668,""[^a-zA-Z\s]"","""")
)
)
"),"paige martin")</f>
        <v>paige martin</v>
      </c>
      <c r="O3668" s="7">
        <f t="shared" si="5"/>
        <v>1</v>
      </c>
      <c r="P3668" s="8" t="str">
        <f t="shared" si="6"/>
        <v>No</v>
      </c>
    </row>
    <row r="3669">
      <c r="A3669" s="4" t="s">
        <v>16</v>
      </c>
      <c r="B3669" s="4" t="s">
        <v>10152</v>
      </c>
      <c r="C3669" s="5">
        <v>44480.0</v>
      </c>
      <c r="D3669" s="10">
        <v>44480.0</v>
      </c>
      <c r="E3669" s="4" t="s">
        <v>10153</v>
      </c>
      <c r="F3669" s="4" t="s">
        <v>10154</v>
      </c>
      <c r="G3669" s="6" t="str">
        <f>IFERROR(__xludf.DUMMYFUNCTION("REGEXREPLACE(LOWER(F3669),""[^a-z\s]"","""")"),"my order was well wrapped and delivered in a timely fashion i will continue to use pet flow and highly recommend them")</f>
        <v>my order was well wrapped and delivered in a timely fashion i will continue to use pet flow and highly recommend them</v>
      </c>
      <c r="H3669" s="4" t="str">
        <f t="shared" si="1"/>
        <v>my order was well wrapped delivered in a timely fashion i will continue use pet flow highly recommend them</v>
      </c>
      <c r="I3669" s="6">
        <f t="shared" si="2"/>
        <v>19</v>
      </c>
      <c r="J3669" s="6">
        <f>IFERROR(__xludf.DUMMYFUNCTION("IF(H3669="""","""",
SUM(
ARRAYFORMULA(
IF(
REGEXMATCH(
"" ""&amp;H3669&amp;"" "",
"" ""&amp;Sentiment_Words!A$2:A3730&amp;"" ""
),
1,
0
)
)
)
)"),1.0)</f>
        <v>1</v>
      </c>
      <c r="K3669" s="4">
        <f>IFERROR(__xludf.DUMMYFUNCTION("IF(H3669="""","""",
SUM(
ARRAYFORMULA(
IF(
REGEXMATCH(
"" ""&amp;H3669&amp;"" "",
"" ""&amp;Sentiment_Words!B$2:B3730&amp;"" ""
),
1,
0
)
)
)
)"),0.0)</f>
        <v>0</v>
      </c>
      <c r="L3669" s="7" t="str">
        <f t="shared" si="3"/>
        <v>Other</v>
      </c>
      <c r="M3669" s="7" t="str">
        <f t="shared" si="4"/>
        <v>Positive</v>
      </c>
      <c r="N3669" s="7" t="str">
        <f>IFERROR(__xludf.DUMMYFUNCTION("LOWER(
TRIM(
REGEXREPLACE(B3669,""[^a-zA-Z\s]"","""")
)
)
"),"frederick raymond")</f>
        <v>frederick raymond</v>
      </c>
      <c r="O3669" s="7">
        <f t="shared" si="5"/>
        <v>1</v>
      </c>
      <c r="P3669" s="8" t="str">
        <f t="shared" si="6"/>
        <v>No</v>
      </c>
    </row>
    <row r="3670">
      <c r="A3670" s="4" t="s">
        <v>16</v>
      </c>
      <c r="B3670" s="4" t="s">
        <v>10155</v>
      </c>
      <c r="C3670" s="5">
        <v>44480.0</v>
      </c>
      <c r="D3670" s="10">
        <v>44480.0</v>
      </c>
      <c r="E3670" s="4" t="s">
        <v>9379</v>
      </c>
      <c r="F3670" s="4" t="s">
        <v>10156</v>
      </c>
      <c r="G3670" s="6" t="str">
        <f>IFERROR(__xludf.DUMMYFUNCTION("REGEXREPLACE(LOWER(F3670),""[^a-z\s]"","""")"),"love this company so easy to work with")</f>
        <v>love this company so easy to work with</v>
      </c>
      <c r="H3670" s="4" t="str">
        <f t="shared" si="1"/>
        <v>love this company so easy work with</v>
      </c>
      <c r="I3670" s="6">
        <f t="shared" si="2"/>
        <v>7</v>
      </c>
      <c r="J3670" s="6">
        <f>IFERROR(__xludf.DUMMYFUNCTION("IF(H3670="""","""",
SUM(
ARRAYFORMULA(
IF(
REGEXMATCH(
"" ""&amp;H3670&amp;"" "",
"" ""&amp;Sentiment_Words!A$2:A3730&amp;"" ""
),
1,
0
)
)
)
)"),2.0)</f>
        <v>2</v>
      </c>
      <c r="K3670" s="4">
        <f>IFERROR(__xludf.DUMMYFUNCTION("IF(H3670="""","""",
SUM(
ARRAYFORMULA(
IF(
REGEXMATCH(
"" ""&amp;H3670&amp;"" "",
"" ""&amp;Sentiment_Words!B$2:B3730&amp;"" ""
),
1,
0
)
)
)
)"),0.0)</f>
        <v>0</v>
      </c>
      <c r="L3670" s="7" t="str">
        <f t="shared" si="3"/>
        <v>Other</v>
      </c>
      <c r="M3670" s="7" t="str">
        <f t="shared" si="4"/>
        <v>Positive</v>
      </c>
      <c r="N3670" s="7" t="str">
        <f>IFERROR(__xludf.DUMMYFUNCTION("LOWER(
TRIM(
REGEXREPLACE(B3670,""[^a-zA-Z\s]"","""")
)
)
"),"lauri maynard")</f>
        <v>lauri maynard</v>
      </c>
      <c r="O3670" s="7">
        <f t="shared" si="5"/>
        <v>1</v>
      </c>
      <c r="P3670" s="8" t="str">
        <f t="shared" si="6"/>
        <v>No</v>
      </c>
    </row>
    <row r="3671">
      <c r="A3671" s="4" t="s">
        <v>16</v>
      </c>
      <c r="B3671" s="4" t="s">
        <v>10157</v>
      </c>
      <c r="C3671" s="5">
        <v>44480.0</v>
      </c>
      <c r="D3671" s="10">
        <v>44480.0</v>
      </c>
      <c r="E3671" s="4" t="s">
        <v>1319</v>
      </c>
      <c r="F3671" s="4" t="s">
        <v>10158</v>
      </c>
      <c r="G3671" s="6" t="str">
        <f>IFERROR(__xludf.DUMMYFUNCTION("REGEXREPLACE(LOWER(F3671),""[^a-z\s]"","""")"),"excellent service i would recommend")</f>
        <v>excellent service i would recommend</v>
      </c>
      <c r="H3671" s="4" t="str">
        <f t="shared" si="1"/>
        <v>excellent service i would recommend</v>
      </c>
      <c r="I3671" s="6">
        <f t="shared" si="2"/>
        <v>5</v>
      </c>
      <c r="J3671" s="6">
        <f>IFERROR(__xludf.DUMMYFUNCTION("IF(H3671="""","""",
SUM(
ARRAYFORMULA(
IF(
REGEXMATCH(
"" ""&amp;H3671&amp;"" "",
"" ""&amp;Sentiment_Words!A$2:A3730&amp;"" ""
),
1,
0
)
)
)
)"),0.0)</f>
        <v>0</v>
      </c>
      <c r="K3671" s="4">
        <f>IFERROR(__xludf.DUMMYFUNCTION("IF(H3671="""","""",
SUM(
ARRAYFORMULA(
IF(
REGEXMATCH(
"" ""&amp;H3671&amp;"" "",
"" ""&amp;Sentiment_Words!B$2:B3730&amp;"" ""
),
1,
0
)
)
)
)"),0.0)</f>
        <v>0</v>
      </c>
      <c r="L3671" s="7" t="str">
        <f t="shared" si="3"/>
        <v>Customer Support</v>
      </c>
      <c r="M3671" s="7" t="str">
        <f t="shared" si="4"/>
        <v>Neutral</v>
      </c>
      <c r="N3671" s="7" t="str">
        <f>IFERROR(__xludf.DUMMYFUNCTION("LOWER(
TRIM(
REGEXREPLACE(B3671,""[^a-zA-Z\s]"","""")
)
)
"),"halo")</f>
        <v>halo</v>
      </c>
      <c r="O3671" s="7">
        <f t="shared" si="5"/>
        <v>1</v>
      </c>
      <c r="P3671" s="8" t="str">
        <f t="shared" si="6"/>
        <v>No</v>
      </c>
    </row>
    <row r="3672">
      <c r="A3672" s="4" t="s">
        <v>16</v>
      </c>
      <c r="B3672" s="4" t="s">
        <v>10159</v>
      </c>
      <c r="C3672" s="5">
        <v>44480.0</v>
      </c>
      <c r="D3672" s="10">
        <v>44480.0</v>
      </c>
      <c r="E3672" s="4" t="s">
        <v>10160</v>
      </c>
      <c r="F3672" s="4" t="s">
        <v>10161</v>
      </c>
      <c r="G3672" s="6" t="str">
        <f>IFERROR(__xludf.DUMMYFUNCTION("REGEXREPLACE(LOWER(F3672),""[^a-z\s]"","""")"),"amazing service the prescription dog food i needed was back ordered by the manufacturer i explained to the petflow customer service that that was the only food my dog could eat they did an online search and found it and had it shipped to me this was not t"&amp;"he service i was expecting due to the lack of service from other suppliers
petflow is now my new source for dog supplies and food")</f>
        <v>amazing service the prescription dog food i needed was back ordered by the manufacturer i explained to the petflow customer service that that was the only food my dog could eat they did an online search and found it and had it shipped to me this was not the service i was expecting due to the lack of service from other suppliers
petflow is now my new source for dog supplies and food</v>
      </c>
      <c r="H3672" s="4" t="str">
        <f t="shared" si="1"/>
        <v>amazing service prescription dog food i needed was back ordered by manufacturer i explained petflow customer service that that was only food my dog could eat they did an online search found it had it shipped me this was not service i was expecting due lack of service from other suppliers
petflow now my new source dog supplies food</v>
      </c>
      <c r="I3672" s="6">
        <f t="shared" si="2"/>
        <v>58</v>
      </c>
      <c r="J3672" s="6">
        <f>IFERROR(__xludf.DUMMYFUNCTION("IF(H3672="""","""",
SUM(
ARRAYFORMULA(
IF(
REGEXMATCH(
"" ""&amp;H3672&amp;"" "",
"" ""&amp;Sentiment_Words!A$2:A3730&amp;"" ""
),
1,
0
)
)
)
)"),1.0)</f>
        <v>1</v>
      </c>
      <c r="K3672" s="4">
        <f>IFERROR(__xludf.DUMMYFUNCTION("IF(H3672="""","""",
SUM(
ARRAYFORMULA(
IF(
REGEXMATCH(
"" ""&amp;H3672&amp;"" "",
"" ""&amp;Sentiment_Words!B$2:B3730&amp;"" ""
),
1,
0
)
)
)
)"),1.0)</f>
        <v>1</v>
      </c>
      <c r="L3672" s="7" t="str">
        <f t="shared" si="3"/>
        <v>Customer Support</v>
      </c>
      <c r="M3672" s="7" t="str">
        <f t="shared" si="4"/>
        <v>Neutral</v>
      </c>
      <c r="N3672" s="7" t="str">
        <f>IFERROR(__xludf.DUMMYFUNCTION("LOWER(
TRIM(
REGEXREPLACE(B3672,""[^a-zA-Z\s]"","""")
)
)
"),"jerry farris")</f>
        <v>jerry farris</v>
      </c>
      <c r="O3672" s="7">
        <f t="shared" si="5"/>
        <v>1</v>
      </c>
      <c r="P3672" s="8" t="str">
        <f t="shared" si="6"/>
        <v>No</v>
      </c>
    </row>
    <row r="3673">
      <c r="A3673" s="4" t="s">
        <v>16</v>
      </c>
      <c r="B3673" s="4" t="s">
        <v>10162</v>
      </c>
      <c r="C3673" s="5">
        <v>44479.0</v>
      </c>
      <c r="D3673" s="10">
        <v>44479.0</v>
      </c>
      <c r="E3673" s="4" t="s">
        <v>10163</v>
      </c>
      <c r="F3673" s="4" t="s">
        <v>10164</v>
      </c>
      <c r="G3673" s="6" t="str">
        <f>IFERROR(__xludf.DUMMYFUNCTION("REGEXREPLACE(LOWER(F3673),""[^a-z\s]"","""")"),"i appreciate how fast my orders are delivered and that they have exactly what i am looking for")</f>
        <v>i appreciate how fast my orders are delivered and that they have exactly what i am looking for</v>
      </c>
      <c r="H3673" s="4" t="str">
        <f t="shared" si="1"/>
        <v>i appreciate how fast my orders are delivered that they have exactly what i am looking</v>
      </c>
      <c r="I3673" s="6">
        <f t="shared" si="2"/>
        <v>16</v>
      </c>
      <c r="J3673" s="6">
        <f>IFERROR(__xludf.DUMMYFUNCTION("IF(H3673="""","""",
SUM(
ARRAYFORMULA(
IF(
REGEXMATCH(
"" ""&amp;H3673&amp;"" "",
"" ""&amp;Sentiment_Words!A$2:A3730&amp;"" ""
),
1,
0
)
)
)
)"),2.0)</f>
        <v>2</v>
      </c>
      <c r="K3673" s="4">
        <f>IFERROR(__xludf.DUMMYFUNCTION("IF(H3673="""","""",
SUM(
ARRAYFORMULA(
IF(
REGEXMATCH(
"" ""&amp;H3673&amp;"" "",
"" ""&amp;Sentiment_Words!B$2:B3730&amp;"" ""
),
1,
0
)
)
)
)"),0.0)</f>
        <v>0</v>
      </c>
      <c r="L3673" s="7" t="str">
        <f t="shared" si="3"/>
        <v>Other</v>
      </c>
      <c r="M3673" s="7" t="str">
        <f t="shared" si="4"/>
        <v>Positive</v>
      </c>
      <c r="N3673" s="7" t="str">
        <f>IFERROR(__xludf.DUMMYFUNCTION("LOWER(
TRIM(
REGEXREPLACE(B3673,""[^a-zA-Z\s]"","""")
)
)
"),"betsy")</f>
        <v>betsy</v>
      </c>
      <c r="O3673" s="7">
        <f t="shared" si="5"/>
        <v>2</v>
      </c>
      <c r="P3673" s="8" t="str">
        <f t="shared" si="6"/>
        <v>Yes</v>
      </c>
    </row>
    <row r="3674">
      <c r="A3674" s="4" t="s">
        <v>16</v>
      </c>
      <c r="B3674" s="4" t="s">
        <v>10165</v>
      </c>
      <c r="C3674" s="5">
        <v>44479.0</v>
      </c>
      <c r="D3674" s="10">
        <v>44479.0</v>
      </c>
      <c r="E3674" s="4" t="s">
        <v>10166</v>
      </c>
      <c r="F3674" s="4" t="s">
        <v>10167</v>
      </c>
      <c r="G3674" s="6" t="str">
        <f>IFERROR(__xludf.DUMMYFUNCTION("REGEXREPLACE(LOWER(F3674),""[^a-z\s]"","""")"),"see csr file")</f>
        <v>see csr file</v>
      </c>
      <c r="H3674" s="4" t="str">
        <f t="shared" si="1"/>
        <v>see csr file</v>
      </c>
      <c r="I3674" s="6">
        <f t="shared" si="2"/>
        <v>3</v>
      </c>
      <c r="J3674" s="6">
        <f>IFERROR(__xludf.DUMMYFUNCTION("IF(H3674="""","""",
SUM(
ARRAYFORMULA(
IF(
REGEXMATCH(
"" ""&amp;H3674&amp;"" "",
"" ""&amp;Sentiment_Words!A$2:A3730&amp;"" ""
),
1,
0
)
)
)
)"),0.0)</f>
        <v>0</v>
      </c>
      <c r="K3674" s="4">
        <f>IFERROR(__xludf.DUMMYFUNCTION("IF(H3674="""","""",
SUM(
ARRAYFORMULA(
IF(
REGEXMATCH(
"" ""&amp;H3674&amp;"" "",
"" ""&amp;Sentiment_Words!B$2:B3730&amp;"" ""
),
1,
0
)
)
)
)"),0.0)</f>
        <v>0</v>
      </c>
      <c r="L3674" s="7" t="str">
        <f t="shared" si="3"/>
        <v>Other</v>
      </c>
      <c r="M3674" s="7" t="str">
        <f t="shared" si="4"/>
        <v>Neutral</v>
      </c>
      <c r="N3674" s="7" t="str">
        <f>IFERROR(__xludf.DUMMYFUNCTION("LOWER(
TRIM(
REGEXREPLACE(B3674,""[^a-zA-Z\s]"","""")
)
)
"),"timothy panichi")</f>
        <v>timothy panichi</v>
      </c>
      <c r="O3674" s="7">
        <f t="shared" si="5"/>
        <v>1</v>
      </c>
      <c r="P3674" s="8" t="str">
        <f t="shared" si="6"/>
        <v>No</v>
      </c>
    </row>
    <row r="3675">
      <c r="A3675" s="4" t="s">
        <v>16</v>
      </c>
      <c r="B3675" s="4" t="s">
        <v>10168</v>
      </c>
      <c r="C3675" s="5">
        <v>44479.0</v>
      </c>
      <c r="D3675" s="10">
        <v>44479.0</v>
      </c>
      <c r="E3675" s="4" t="s">
        <v>10169</v>
      </c>
      <c r="F3675" s="4" t="s">
        <v>10170</v>
      </c>
      <c r="G3675" s="6" t="str">
        <f>IFERROR(__xludf.DUMMYFUNCTION("REGEXREPLACE(LOWER(F3675),""[^a-z\s]"","""")"),"easy to order form the site order shipped and arrived quickly")</f>
        <v>easy to order form the site order shipped and arrived quickly</v>
      </c>
      <c r="H3675" s="4" t="str">
        <f t="shared" si="1"/>
        <v>easy order form site order shipped arrived quickly</v>
      </c>
      <c r="I3675" s="6">
        <f t="shared" si="2"/>
        <v>8</v>
      </c>
      <c r="J3675" s="6">
        <f>IFERROR(__xludf.DUMMYFUNCTION("IF(H3675="""","""",
SUM(
ARRAYFORMULA(
IF(
REGEXMATCH(
"" ""&amp;H3675&amp;"" "",
"" ""&amp;Sentiment_Words!A$2:A3730&amp;"" ""
),
1,
0
)
)
)
)"),1.0)</f>
        <v>1</v>
      </c>
      <c r="K3675" s="4">
        <f>IFERROR(__xludf.DUMMYFUNCTION("IF(H3675="""","""",
SUM(
ARRAYFORMULA(
IF(
REGEXMATCH(
"" ""&amp;H3675&amp;"" "",
"" ""&amp;Sentiment_Words!B$2:B3730&amp;"" ""
),
1,
0
)
)
)
)"),0.0)</f>
        <v>0</v>
      </c>
      <c r="L3675" s="7" t="str">
        <f t="shared" si="3"/>
        <v>Other</v>
      </c>
      <c r="M3675" s="7" t="str">
        <f t="shared" si="4"/>
        <v>Positive</v>
      </c>
      <c r="N3675" s="7" t="str">
        <f>IFERROR(__xludf.DUMMYFUNCTION("LOWER(
TRIM(
REGEXREPLACE(B3675,""[^a-zA-Z\s]"","""")
)
)
"),"jennifer jedynak")</f>
        <v>jennifer jedynak</v>
      </c>
      <c r="O3675" s="7">
        <f t="shared" si="5"/>
        <v>1</v>
      </c>
      <c r="P3675" s="8" t="str">
        <f t="shared" si="6"/>
        <v>No</v>
      </c>
    </row>
    <row r="3676">
      <c r="A3676" s="4" t="s">
        <v>16</v>
      </c>
      <c r="B3676" s="4" t="s">
        <v>10171</v>
      </c>
      <c r="C3676" s="5">
        <v>44479.0</v>
      </c>
      <c r="D3676" s="10">
        <v>44479.0</v>
      </c>
      <c r="E3676" s="4" t="s">
        <v>10172</v>
      </c>
      <c r="F3676" s="4" t="s">
        <v>10173</v>
      </c>
      <c r="G3676" s="6" t="str">
        <f>IFERROR(__xludf.DUMMYFUNCTION("REGEXREPLACE(LOWER(F3676),""[^a-z\s]"","""")"),"ordered lb bag of dog food and order was processed immediately and delivery was quick")</f>
        <v>ordered lb bag of dog food and order was processed immediately and delivery was quick</v>
      </c>
      <c r="H3676" s="4" t="str">
        <f t="shared" si="1"/>
        <v>ordered lb bag of dog food order was processed immediately delivery was quick</v>
      </c>
      <c r="I3676" s="6">
        <f t="shared" si="2"/>
        <v>13</v>
      </c>
      <c r="J3676" s="6">
        <f>IFERROR(__xludf.DUMMYFUNCTION("IF(H3676="""","""",
SUM(
ARRAYFORMULA(
IF(
REGEXMATCH(
"" ""&amp;H3676&amp;"" "",
"" ""&amp;Sentiment_Words!A$2:A3730&amp;"" ""
),
1,
0
)
)
)
)"),1.0)</f>
        <v>1</v>
      </c>
      <c r="K3676" s="4">
        <f>IFERROR(__xludf.DUMMYFUNCTION("IF(H3676="""","""",
SUM(
ARRAYFORMULA(
IF(
REGEXMATCH(
"" ""&amp;H3676&amp;"" "",
"" ""&amp;Sentiment_Words!B$2:B3730&amp;"" ""
),
1,
0
)
)
)
)"),0.0)</f>
        <v>0</v>
      </c>
      <c r="L3676" s="7" t="str">
        <f t="shared" si="3"/>
        <v>Other</v>
      </c>
      <c r="M3676" s="7" t="str">
        <f t="shared" si="4"/>
        <v>Positive</v>
      </c>
      <c r="N3676" s="7" t="str">
        <f>IFERROR(__xludf.DUMMYFUNCTION("LOWER(
TRIM(
REGEXREPLACE(B3676,""[^a-zA-Z\s]"","""")
)
)
"),"ross")</f>
        <v>ross</v>
      </c>
      <c r="O3676" s="7">
        <f t="shared" si="5"/>
        <v>1</v>
      </c>
      <c r="P3676" s="8" t="str">
        <f t="shared" si="6"/>
        <v>No</v>
      </c>
    </row>
    <row r="3677">
      <c r="A3677" s="4" t="s">
        <v>16</v>
      </c>
      <c r="B3677" s="4" t="s">
        <v>10174</v>
      </c>
      <c r="C3677" s="5">
        <v>44479.0</v>
      </c>
      <c r="D3677" s="10">
        <v>44479.0</v>
      </c>
      <c r="E3677" s="4" t="s">
        <v>10175</v>
      </c>
      <c r="F3677" s="4" t="s">
        <v>10176</v>
      </c>
      <c r="G3677" s="6" t="str">
        <f>IFERROR(__xludf.DUMMYFUNCTION("REGEXREPLACE(LOWER(F3677),""[^a-z\s]"","""")"),"found this vendor on line  they were one of the only sites that had the prescription dog food i needed none of the local pet stores had this food in stock i ordered the food from them at a reasonable price and received the shipment in a timely manner well"&amp;" done")</f>
        <v>found this vendor on line  they were one of the only sites that had the prescription dog food i needed none of the local pet stores had this food in stock i ordered the food from them at a reasonable price and received the shipment in a timely manner well done</v>
      </c>
      <c r="H3677" s="4" t="str">
        <f t="shared" si="1"/>
        <v>found this vendor on line they were one of only sites that had prescription dog food i needed none of local pet stores had this food in stock i ordered food from them at a reasonable price received shipment in a timely manner well done</v>
      </c>
      <c r="I3677" s="6">
        <f t="shared" si="2"/>
        <v>45</v>
      </c>
      <c r="J3677" s="6">
        <f>IFERROR(__xludf.DUMMYFUNCTION("IF(H3677="""","""",
SUM(
ARRAYFORMULA(
IF(
REGEXMATCH(
"" ""&amp;H3677&amp;"" "",
"" ""&amp;Sentiment_Words!A$2:A3730&amp;"" ""
),
1,
0
)
)
)
)"),1.0)</f>
        <v>1</v>
      </c>
      <c r="K3677" s="4">
        <f>IFERROR(__xludf.DUMMYFUNCTION("IF(H3677="""","""",
SUM(
ARRAYFORMULA(
IF(
REGEXMATCH(
"" ""&amp;H3677&amp;"" "",
"" ""&amp;Sentiment_Words!B$2:B3730&amp;"" ""
),
1,
0
)
)
)
)"),0.0)</f>
        <v>0</v>
      </c>
      <c r="L3677" s="7" t="str">
        <f t="shared" si="3"/>
        <v>Other</v>
      </c>
      <c r="M3677" s="7" t="str">
        <f t="shared" si="4"/>
        <v>Positive</v>
      </c>
      <c r="N3677" s="7" t="str">
        <f>IFERROR(__xludf.DUMMYFUNCTION("LOWER(
TRIM(
REGEXREPLACE(B3677,""[^a-zA-Z\s]"","""")
)
)
"),"paul moore")</f>
        <v>paul moore</v>
      </c>
      <c r="O3677" s="7">
        <f t="shared" si="5"/>
        <v>1</v>
      </c>
      <c r="P3677" s="8" t="str">
        <f t="shared" si="6"/>
        <v>No</v>
      </c>
    </row>
    <row r="3678">
      <c r="A3678" s="4" t="s">
        <v>16</v>
      </c>
      <c r="B3678" s="4" t="s">
        <v>10177</v>
      </c>
      <c r="C3678" s="9">
        <v>44478.0</v>
      </c>
      <c r="D3678" s="10">
        <v>44479.0</v>
      </c>
      <c r="E3678" s="4" t="s">
        <v>10178</v>
      </c>
      <c r="F3678" s="4" t="s">
        <v>10179</v>
      </c>
      <c r="G3678" s="6" t="str">
        <f>IFERROR(__xludf.DUMMYFUNCTION("REGEXREPLACE(LOWER(F3678),""[^a-z\s]"","""")"),"i have no idea what i bought from your site but all my online cat food orders have been prompt and the requested product was the one i received but if this was the royal canin cat food order  my god the price not you the manufacturer lee hoffman")</f>
        <v>i have no idea what i bought from your site but all my online cat food orders have been prompt and the requested product was the one i received but if this was the royal canin cat food order  my god the price not you the manufacturer lee hoffman</v>
      </c>
      <c r="H3678" s="4" t="str">
        <f t="shared" si="1"/>
        <v>i have no idea what i bought from your site but all my online cat food orders have been prompt requested product was one i received but if this was royal canin cat food order my god price not you manufacturer lee hoffman</v>
      </c>
      <c r="I3678" s="6">
        <f t="shared" si="2"/>
        <v>43</v>
      </c>
      <c r="J3678" s="6">
        <f>IFERROR(__xludf.DUMMYFUNCTION("IF(H3678="""","""",
SUM(
ARRAYFORMULA(
IF(
REGEXMATCH(
"" ""&amp;H3678&amp;"" "",
"" ""&amp;Sentiment_Words!A$2:A3730&amp;"" ""
),
1,
0
)
)
)
)"),1.0)</f>
        <v>1</v>
      </c>
      <c r="K3678" s="4">
        <f>IFERROR(__xludf.DUMMYFUNCTION("IF(H3678="""","""",
SUM(
ARRAYFORMULA(
IF(
REGEXMATCH(
"" ""&amp;H3678&amp;"" "",
"" ""&amp;Sentiment_Words!B$2:B3730&amp;"" ""
),
1,
0
)
)
)
)"),0.0)</f>
        <v>0</v>
      </c>
      <c r="L3678" s="7" t="str">
        <f t="shared" si="3"/>
        <v>Other</v>
      </c>
      <c r="M3678" s="7" t="str">
        <f t="shared" si="4"/>
        <v>Positive</v>
      </c>
      <c r="N3678" s="7" t="str">
        <f>IFERROR(__xludf.DUMMYFUNCTION("LOWER(
TRIM(
REGEXREPLACE(B3678,""[^a-zA-Z\s]"","""")
)
)
"),"lee hoffman")</f>
        <v>lee hoffman</v>
      </c>
      <c r="O3678" s="7">
        <f t="shared" si="5"/>
        <v>1</v>
      </c>
      <c r="P3678" s="8" t="str">
        <f t="shared" si="6"/>
        <v>No</v>
      </c>
    </row>
    <row r="3679">
      <c r="A3679" s="4" t="s">
        <v>16</v>
      </c>
      <c r="B3679" s="4" t="s">
        <v>10180</v>
      </c>
      <c r="C3679" s="9">
        <v>44478.0</v>
      </c>
      <c r="D3679" s="10">
        <v>44479.0</v>
      </c>
      <c r="E3679" s="4" t="s">
        <v>10181</v>
      </c>
      <c r="F3679" s="4" t="s">
        <v>10182</v>
      </c>
      <c r="G3679" s="6" t="str">
        <f>IFERROR(__xludf.DUMMYFUNCTION("REGEXREPLACE(LOWER(F3679),""[^a-z\s]"","""")"),"my cats eat a pretty particular food that can be hard to find found it on petflow and for an affordable price everything arrived safely and quickly you can contact them directly by text and email i did to check on shipment status and a real person got bac"&amp;"k to me quickly ill definitely be using them to order food and snacks in the future")</f>
        <v>my cats eat a pretty particular food that can be hard to find found it on petflow and for an affordable price everything arrived safely and quickly you can contact them directly by text and email i did to check on shipment status and a real person got back to me quickly ill definitely be using them to order food and snacks in the future</v>
      </c>
      <c r="H3679" s="4" t="str">
        <f t="shared" si="1"/>
        <v>my cats eat a pretty particular food that can be hard find found it on petflow an affordable price everything arrived safely quickly you can contact them directly by text email i did check on shipment status a real person got back me quickly ill definitely be using them order food snacks in future</v>
      </c>
      <c r="I3679" s="6">
        <f t="shared" si="2"/>
        <v>54</v>
      </c>
      <c r="J3679" s="6">
        <f>IFERROR(__xludf.DUMMYFUNCTION("IF(H3679="""","""",
SUM(
ARRAYFORMULA(
IF(
REGEXMATCH(
"" ""&amp;H3679&amp;"" "",
"" ""&amp;Sentiment_Words!A$2:A3730&amp;"" ""
),
1,
0
)
)
)
)"),2.0)</f>
        <v>2</v>
      </c>
      <c r="K3679" s="4">
        <f>IFERROR(__xludf.DUMMYFUNCTION("IF(H3679="""","""",
SUM(
ARRAYFORMULA(
IF(
REGEXMATCH(
"" ""&amp;H3679&amp;"" "",
"" ""&amp;Sentiment_Words!B$2:B3730&amp;"" ""
),
1,
0
)
)
)
)"),0.0)</f>
        <v>0</v>
      </c>
      <c r="L3679" s="7" t="str">
        <f t="shared" si="3"/>
        <v>Other</v>
      </c>
      <c r="M3679" s="7" t="str">
        <f t="shared" si="4"/>
        <v>Positive</v>
      </c>
      <c r="N3679" s="7" t="str">
        <f>IFERROR(__xludf.DUMMYFUNCTION("LOWER(
TRIM(
REGEXREPLACE(B3679,""[^a-zA-Z\s]"","""")
)
)
"),"mewithme")</f>
        <v>mewithme</v>
      </c>
      <c r="O3679" s="7">
        <f t="shared" si="5"/>
        <v>1</v>
      </c>
      <c r="P3679" s="8" t="str">
        <f t="shared" si="6"/>
        <v>No</v>
      </c>
    </row>
    <row r="3680">
      <c r="A3680" s="4" t="s">
        <v>16</v>
      </c>
      <c r="B3680" s="4" t="s">
        <v>10183</v>
      </c>
      <c r="C3680" s="9">
        <v>44478.0</v>
      </c>
      <c r="D3680" s="10">
        <v>44478.0</v>
      </c>
      <c r="E3680" s="4" t="s">
        <v>10184</v>
      </c>
      <c r="F3680" s="4" t="s">
        <v>10185</v>
      </c>
      <c r="G3680" s="6" t="str">
        <f>IFERROR(__xludf.DUMMYFUNCTION("REGEXREPLACE(LOWER(F3680),""[^a-z\s]"","""")"),"ordered dog food which they said was in stock  prescription food for my dog after paying for it the next day they tell me  oh we are out of that this is the only food he can eat prescribed ")</f>
        <v>ordered dog food which they said was in stock  prescription food for my dog after paying for it the next day they tell me  oh we are out of that this is the only food he can eat prescribed </v>
      </c>
      <c r="H3680" s="4" t="str">
        <f t="shared" si="1"/>
        <v>ordered dog food which they said was in stock prescription food my dog after paying it next day they tell me oh we are out of that this only food he can eat prescribed</v>
      </c>
      <c r="I3680" s="6">
        <f t="shared" si="2"/>
        <v>34</v>
      </c>
      <c r="J3680" s="6">
        <f>IFERROR(__xludf.DUMMYFUNCTION("IF(H3680="""","""",
SUM(
ARRAYFORMULA(
IF(
REGEXMATCH(
"" ""&amp;H3680&amp;"" "",
"" ""&amp;Sentiment_Words!A$2:A3730&amp;"" ""
),
1,
0
)
)
)
)"),0.0)</f>
        <v>0</v>
      </c>
      <c r="K3680" s="4">
        <f>IFERROR(__xludf.DUMMYFUNCTION("IF(H3680="""","""",
SUM(
ARRAYFORMULA(
IF(
REGEXMATCH(
"" ""&amp;H3680&amp;"" "",
"" ""&amp;Sentiment_Words!B$2:B3730&amp;"" ""
),
1,
0
)
)
)
)"),0.0)</f>
        <v>0</v>
      </c>
      <c r="L3680" s="7" t="str">
        <f t="shared" si="3"/>
        <v>Other</v>
      </c>
      <c r="M3680" s="7" t="str">
        <f t="shared" si="4"/>
        <v>Neutral</v>
      </c>
      <c r="N3680" s="7" t="str">
        <f>IFERROR(__xludf.DUMMYFUNCTION("LOWER(
TRIM(
REGEXREPLACE(B3680,""[^a-zA-Z\s]"","""")
)
)
"),"chris benson")</f>
        <v>chris benson</v>
      </c>
      <c r="O3680" s="7">
        <f t="shared" si="5"/>
        <v>1</v>
      </c>
      <c r="P3680" s="8" t="str">
        <f t="shared" si="6"/>
        <v>No</v>
      </c>
    </row>
    <row r="3681">
      <c r="A3681" s="4" t="s">
        <v>16</v>
      </c>
      <c r="B3681" s="4" t="s">
        <v>1468</v>
      </c>
      <c r="C3681" s="9">
        <v>44478.0</v>
      </c>
      <c r="D3681" s="10">
        <v>44478.0</v>
      </c>
      <c r="E3681" s="4" t="s">
        <v>623</v>
      </c>
      <c r="F3681" s="4" t="s">
        <v>10186</v>
      </c>
      <c r="G3681" s="6" t="str">
        <f>IFERROR(__xludf.DUMMYFUNCTION("REGEXREPLACE(LOWER(F3681),""[^a-z\s]"","""")"),"great service great value")</f>
        <v>great service great value</v>
      </c>
      <c r="H3681" s="4" t="str">
        <f t="shared" si="1"/>
        <v>great service great value</v>
      </c>
      <c r="I3681" s="6">
        <f t="shared" si="2"/>
        <v>4</v>
      </c>
      <c r="J3681" s="6">
        <f>IFERROR(__xludf.DUMMYFUNCTION("IF(H3681="""","""",
SUM(
ARRAYFORMULA(
IF(
REGEXMATCH(
"" ""&amp;H3681&amp;"" "",
"" ""&amp;Sentiment_Words!A$2:A3730&amp;"" ""
),
1,
0
)
)
)
)"),2.0)</f>
        <v>2</v>
      </c>
      <c r="K3681" s="4">
        <f>IFERROR(__xludf.DUMMYFUNCTION("IF(H3681="""","""",
SUM(
ARRAYFORMULA(
IF(
REGEXMATCH(
"" ""&amp;H3681&amp;"" "",
"" ""&amp;Sentiment_Words!B$2:B3730&amp;"" ""
),
1,
0
)
)
)
)"),0.0)</f>
        <v>0</v>
      </c>
      <c r="L3681" s="7" t="str">
        <f t="shared" si="3"/>
        <v>Customer Support</v>
      </c>
      <c r="M3681" s="7" t="str">
        <f t="shared" si="4"/>
        <v>Positive</v>
      </c>
      <c r="N3681" s="7" t="str">
        <f>IFERROR(__xludf.DUMMYFUNCTION("LOWER(
TRIM(
REGEXREPLACE(B3681,""[^a-zA-Z\s]"","""")
)
)
"),"john")</f>
        <v>john</v>
      </c>
      <c r="O3681" s="7">
        <f t="shared" si="5"/>
        <v>7</v>
      </c>
      <c r="P3681" s="8" t="str">
        <f t="shared" si="6"/>
        <v>Yes</v>
      </c>
    </row>
    <row r="3682">
      <c r="A3682" s="4" t="s">
        <v>16</v>
      </c>
      <c r="B3682" s="4" t="s">
        <v>10187</v>
      </c>
      <c r="C3682" s="9">
        <v>44478.0</v>
      </c>
      <c r="D3682" s="10">
        <v>44478.0</v>
      </c>
      <c r="E3682" s="4" t="s">
        <v>10188</v>
      </c>
      <c r="F3682" s="4" t="s">
        <v>10189</v>
      </c>
      <c r="G3682" s="6" t="str">
        <f>IFERROR(__xludf.DUMMYFUNCTION("REGEXREPLACE(LOWER(F3682),""[^a-z\s]"","""")"),"great selection of in stock items and shipping is quick and dependable")</f>
        <v>great selection of in stock items and shipping is quick and dependable</v>
      </c>
      <c r="H3682" s="4" t="str">
        <f t="shared" si="1"/>
        <v>great selection of in stock items shipping quick dependable</v>
      </c>
      <c r="I3682" s="6">
        <f t="shared" si="2"/>
        <v>9</v>
      </c>
      <c r="J3682" s="6">
        <f>IFERROR(__xludf.DUMMYFUNCTION("IF(H3682="""","""",
SUM(
ARRAYFORMULA(
IF(
REGEXMATCH(
"" ""&amp;H3682&amp;"" "",
"" ""&amp;Sentiment_Words!A$2:A3730&amp;"" ""
),
1,
0
)
)
)
)"),1.0)</f>
        <v>1</v>
      </c>
      <c r="K3682" s="4">
        <f>IFERROR(__xludf.DUMMYFUNCTION("IF(H3682="""","""",
SUM(
ARRAYFORMULA(
IF(
REGEXMATCH(
"" ""&amp;H3682&amp;"" "",
"" ""&amp;Sentiment_Words!B$2:B3730&amp;"" ""
),
1,
0
)
)
)
)"),0.0)</f>
        <v>0</v>
      </c>
      <c r="L3682" s="7" t="str">
        <f t="shared" si="3"/>
        <v>Other</v>
      </c>
      <c r="M3682" s="7" t="str">
        <f t="shared" si="4"/>
        <v>Positive</v>
      </c>
      <c r="N3682" s="7" t="str">
        <f>IFERROR(__xludf.DUMMYFUNCTION("LOWER(
TRIM(
REGEXREPLACE(B3682,""[^a-zA-Z\s]"","""")
)
)
"),"dianne mullenhour")</f>
        <v>dianne mullenhour</v>
      </c>
      <c r="O3682" s="7">
        <f t="shared" si="5"/>
        <v>1</v>
      </c>
      <c r="P3682" s="8" t="str">
        <f t="shared" si="6"/>
        <v>No</v>
      </c>
    </row>
    <row r="3683">
      <c r="A3683" s="4" t="s">
        <v>16</v>
      </c>
      <c r="B3683" s="4" t="s">
        <v>10190</v>
      </c>
      <c r="C3683" s="9">
        <v>44478.0</v>
      </c>
      <c r="D3683" s="10">
        <v>44478.0</v>
      </c>
      <c r="E3683" s="4" t="s">
        <v>10191</v>
      </c>
      <c r="F3683" s="4" t="s">
        <v>10192</v>
      </c>
      <c r="G3683" s="6" t="str">
        <f>IFERROR(__xludf.DUMMYFUNCTION("REGEXREPLACE(LOWER(F3683),""[^a-z\s]"","""")"),"petflow had what i needed in cat food that i couldnt find anywhere else however it took nearly a week to ship although they were several days ahead of their shipping estimate the long shipping may be mostly due to supply chain problemshard to tell now")</f>
        <v>petflow had what i needed in cat food that i couldnt find anywhere else however it took nearly a week to ship although they were several days ahead of their shipping estimate the long shipping may be mostly due to supply chain problemshard to tell now</v>
      </c>
      <c r="H3683" s="4" t="str">
        <f t="shared" si="1"/>
        <v>petflow had what i needed in cat food that i couldnt find anywhere else however it took nearly a week ship although they were several days ahead of their shipping estimate long shipping may be mostly due supply chain problemshard tell now</v>
      </c>
      <c r="I3683" s="6">
        <f t="shared" si="2"/>
        <v>42</v>
      </c>
      <c r="J3683" s="6">
        <f>IFERROR(__xludf.DUMMYFUNCTION("IF(H3683="""","""",
SUM(
ARRAYFORMULA(
IF(
REGEXMATCH(
"" ""&amp;H3683&amp;"" "",
"" ""&amp;Sentiment_Words!A$2:A3730&amp;"" ""
),
1,
0
)
)
)
)"),0.0)</f>
        <v>0</v>
      </c>
      <c r="K3683" s="4">
        <f>IFERROR(__xludf.DUMMYFUNCTION("IF(H3683="""","""",
SUM(
ARRAYFORMULA(
IF(
REGEXMATCH(
"" ""&amp;H3683&amp;"" "",
"" ""&amp;Sentiment_Words!B$2:B3730&amp;"" ""
),
1,
0
)
)
)
)"),0.0)</f>
        <v>0</v>
      </c>
      <c r="L3683" s="7" t="str">
        <f t="shared" si="3"/>
        <v>Other</v>
      </c>
      <c r="M3683" s="7" t="str">
        <f t="shared" si="4"/>
        <v>Neutral</v>
      </c>
      <c r="N3683" s="7" t="str">
        <f>IFERROR(__xludf.DUMMYFUNCTION("LOWER(
TRIM(
REGEXREPLACE(B3683,""[^a-zA-Z\s]"","""")
)
)
"),"martin")</f>
        <v>martin</v>
      </c>
      <c r="O3683" s="7">
        <f t="shared" si="5"/>
        <v>1</v>
      </c>
      <c r="P3683" s="8" t="str">
        <f t="shared" si="6"/>
        <v>No</v>
      </c>
    </row>
    <row r="3684">
      <c r="A3684" s="4" t="s">
        <v>16</v>
      </c>
      <c r="B3684" s="4" t="s">
        <v>10193</v>
      </c>
      <c r="C3684" s="9">
        <v>44478.0</v>
      </c>
      <c r="D3684" s="10">
        <v>44478.0</v>
      </c>
      <c r="E3684" s="4" t="s">
        <v>4686</v>
      </c>
      <c r="F3684" s="4" t="s">
        <v>10194</v>
      </c>
      <c r="G3684" s="6" t="str">
        <f>IFERROR(__xludf.DUMMYFUNCTION("REGEXREPLACE(LOWER(F3684),""[^a-z\s]"","""")"),"when our vet said he wanted our aussies food changed i had to cancel our standing order  order the new food i contacted petflow by email  received an immediate reply i am so impressed by the ease  speed with which my problem was handled thanks for the gre"&amp;"at customer service")</f>
        <v>when our vet said he wanted our aussies food changed i had to cancel our standing order  order the new food i contacted petflow by email  received an immediate reply i am so impressed by the ease  speed with which my problem was handled thanks for the great customer service</v>
      </c>
      <c r="H3684" s="4" t="str">
        <f t="shared" si="1"/>
        <v>when our vet said he wanted our aussies food changed i had cancel our standing order order new food i contacted petflow by email received an immediate reply i am so impressed by ease speed with which my problem was handled thanks great customer service</v>
      </c>
      <c r="I3684" s="6">
        <f t="shared" si="2"/>
        <v>45</v>
      </c>
      <c r="J3684" s="6">
        <f>IFERROR(__xludf.DUMMYFUNCTION("IF(H3684="""","""",
SUM(
ARRAYFORMULA(
IF(
REGEXMATCH(
"" ""&amp;H3684&amp;"" "",
"" ""&amp;Sentiment_Words!A$2:A3730&amp;"" ""
),
1,
0
)
)
)
)"),3.0)</f>
        <v>3</v>
      </c>
      <c r="K3684" s="4">
        <f>IFERROR(__xludf.DUMMYFUNCTION("IF(H3684="""","""",
SUM(
ARRAYFORMULA(
IF(
REGEXMATCH(
"" ""&amp;H3684&amp;"" "",
"" ""&amp;Sentiment_Words!B$2:B3730&amp;"" ""
),
1,
0
)
)
)
)"),2.0)</f>
        <v>2</v>
      </c>
      <c r="L3684" s="7" t="str">
        <f t="shared" si="3"/>
        <v>Customer Support</v>
      </c>
      <c r="M3684" s="7" t="str">
        <f t="shared" si="4"/>
        <v>Positive</v>
      </c>
      <c r="N3684" s="7" t="str">
        <f>IFERROR(__xludf.DUMMYFUNCTION("LOWER(
TRIM(
REGEXREPLACE(B3684,""[^a-zA-Z\s]"","""")
)
)
"),"laura beckendorf")</f>
        <v>laura beckendorf</v>
      </c>
      <c r="O3684" s="7">
        <f t="shared" si="5"/>
        <v>1</v>
      </c>
      <c r="P3684" s="8" t="str">
        <f t="shared" si="6"/>
        <v>No</v>
      </c>
    </row>
    <row r="3685">
      <c r="A3685" s="4" t="s">
        <v>16</v>
      </c>
      <c r="B3685" s="4" t="s">
        <v>10195</v>
      </c>
      <c r="C3685" s="9">
        <v>44478.0</v>
      </c>
      <c r="D3685" s="10">
        <v>44478.0</v>
      </c>
      <c r="E3685" s="4" t="s">
        <v>10196</v>
      </c>
      <c r="F3685" s="4" t="s">
        <v>10197</v>
      </c>
      <c r="G3685" s="6" t="str">
        <f>IFERROR(__xludf.DUMMYFUNCTION("REGEXREPLACE(LOWER(F3685),""[^a-z\s]"","""")"),"you need to allow electronic upload of prescriptions for pet food i had to mail the hard copy and then wait for you to get approval from my vet after you received it this took about  days and why would you even need approval when i mailed you the actual o"&amp;"riginal script anyway the whole process of ordering muchneeded prescription food was ridiculously long i probably wont buy from your company again")</f>
        <v>you need to allow electronic upload of prescriptions for pet food i had to mail the hard copy and then wait for you to get approval from my vet after you received it this took about  days and why would you even need approval when i mailed you the actual original script anyway the whole process of ordering muchneeded prescription food was ridiculously long i probably wont buy from your company again</v>
      </c>
      <c r="H3685" s="4" t="str">
        <f t="shared" si="1"/>
        <v>you need allow electronic upload of prescriptions pet food i had mail hard copy then wait you get approval from my vet after you received it this took about days why would you even need approval when i mailed you actual original script anyway whole process of ordering muchneeded prescription food was ridiculously long i probably wont buy from your company again</v>
      </c>
      <c r="I3685" s="6">
        <f t="shared" si="2"/>
        <v>62</v>
      </c>
      <c r="J3685" s="6">
        <f>IFERROR(__xludf.DUMMYFUNCTION("IF(H3685="""","""",
SUM(
ARRAYFORMULA(
IF(
REGEXMATCH(
"" ""&amp;H3685&amp;"" "",
"" ""&amp;Sentiment_Words!A$2:A3730&amp;"" ""
),
1,
0
)
)
)
)"),0.0)</f>
        <v>0</v>
      </c>
      <c r="K3685" s="4">
        <f>IFERROR(__xludf.DUMMYFUNCTION("IF(H3685="""","""",
SUM(
ARRAYFORMULA(
IF(
REGEXMATCH(
"" ""&amp;H3685&amp;"" "",
"" ""&amp;Sentiment_Words!B$2:B3730&amp;"" ""
),
1,
0
)
)
)
)"),0.0)</f>
        <v>0</v>
      </c>
      <c r="L3685" s="7" t="str">
        <f t="shared" si="3"/>
        <v>Other</v>
      </c>
      <c r="M3685" s="7" t="str">
        <f t="shared" si="4"/>
        <v>Neutral</v>
      </c>
      <c r="N3685" s="7" t="str">
        <f>IFERROR(__xludf.DUMMYFUNCTION("LOWER(
TRIM(
REGEXREPLACE(B3685,""[^a-zA-Z\s]"","""")
)
)
"),"donna rickford")</f>
        <v>donna rickford</v>
      </c>
      <c r="O3685" s="7">
        <f t="shared" si="5"/>
        <v>1</v>
      </c>
      <c r="P3685" s="8" t="str">
        <f t="shared" si="6"/>
        <v>No</v>
      </c>
    </row>
    <row r="3686">
      <c r="A3686" s="4" t="s">
        <v>16</v>
      </c>
      <c r="B3686" s="4" t="s">
        <v>10198</v>
      </c>
      <c r="C3686" s="9">
        <v>44478.0</v>
      </c>
      <c r="D3686" s="10">
        <v>44478.0</v>
      </c>
      <c r="E3686" s="4" t="s">
        <v>10199</v>
      </c>
      <c r="F3686" s="4" t="s">
        <v>331</v>
      </c>
      <c r="G3686" s="6" t="str">
        <f>IFERROR(__xludf.DUMMYFUNCTION("REGEXREPLACE(LOWER(F3686),""[^a-z\s]"","""")"),"none")</f>
        <v>none</v>
      </c>
      <c r="H3686" s="4" t="str">
        <f t="shared" si="1"/>
        <v>none</v>
      </c>
      <c r="I3686" s="6">
        <f t="shared" si="2"/>
        <v>1</v>
      </c>
      <c r="J3686" s="6">
        <f>IFERROR(__xludf.DUMMYFUNCTION("IF(H3686="""","""",
SUM(
ARRAYFORMULA(
IF(
REGEXMATCH(
"" ""&amp;H3686&amp;"" "",
"" ""&amp;Sentiment_Words!A$2:A3730&amp;"" ""
),
1,
0
)
)
)
)"),0.0)</f>
        <v>0</v>
      </c>
      <c r="K3686" s="4">
        <f>IFERROR(__xludf.DUMMYFUNCTION("IF(H3686="""","""",
SUM(
ARRAYFORMULA(
IF(
REGEXMATCH(
"" ""&amp;H3686&amp;"" "",
"" ""&amp;Sentiment_Words!B$2:B3730&amp;"" ""
),
1,
0
)
)
)
)"),0.0)</f>
        <v>0</v>
      </c>
      <c r="L3686" s="7" t="str">
        <f t="shared" si="3"/>
        <v>Other</v>
      </c>
      <c r="M3686" s="7" t="str">
        <f t="shared" si="4"/>
        <v>Neutral</v>
      </c>
      <c r="N3686" s="7" t="str">
        <f>IFERROR(__xludf.DUMMYFUNCTION("LOWER(
TRIM(
REGEXREPLACE(B3686,""[^a-zA-Z\s]"","""")
)
)
"),"r geibel")</f>
        <v>r geibel</v>
      </c>
      <c r="O3686" s="7">
        <f t="shared" si="5"/>
        <v>1</v>
      </c>
      <c r="P3686" s="8" t="str">
        <f t="shared" si="6"/>
        <v>No</v>
      </c>
    </row>
    <row r="3687">
      <c r="A3687" s="4" t="s">
        <v>16</v>
      </c>
      <c r="B3687" s="4" t="s">
        <v>10200</v>
      </c>
      <c r="C3687" s="9">
        <v>44478.0</v>
      </c>
      <c r="D3687" s="10">
        <v>44478.0</v>
      </c>
      <c r="E3687" s="4" t="s">
        <v>10201</v>
      </c>
      <c r="F3687" s="4" t="s">
        <v>10202</v>
      </c>
      <c r="G3687" s="6" t="str">
        <f>IFERROR(__xludf.DUMMYFUNCTION("REGEXREPLACE(LOWER(F3687),""[^a-z\s]"","""")"),"this place is da bomb they have very fast very nice customer service and that is far and few between these days do not hesitate do it do it u will not regret i was using chewy and pet smart and im out with those as long as they keep my dogs in stock im a "&amp;"life long petflow customer")</f>
        <v>this place is da bomb they have very fast very nice customer service and that is far and few between these days do not hesitate do it do it u will not regret i was using chewy and pet smart and im out with those as long as they keep my dogs in stock im a life long petflow customer</v>
      </c>
      <c r="H3687" s="4" t="str">
        <f t="shared" si="1"/>
        <v>this place da bomb they have very fast very nice customer service that far few between these days do not hesitate do it do it u will not regret i was using chewy pet smart im out with those as long as they keep my dogs in stock im a life long petflow customer</v>
      </c>
      <c r="I3687" s="6">
        <f t="shared" si="2"/>
        <v>54</v>
      </c>
      <c r="J3687" s="6">
        <f>IFERROR(__xludf.DUMMYFUNCTION("IF(H3687="""","""",
SUM(
ARRAYFORMULA(
IF(
REGEXMATCH(
"" ""&amp;H3687&amp;"" "",
"" ""&amp;Sentiment_Words!A$2:A3730&amp;"" ""
),
1,
0
)
)
)
)"),1.0)</f>
        <v>1</v>
      </c>
      <c r="K3687" s="4">
        <f>IFERROR(__xludf.DUMMYFUNCTION("IF(H3687="""","""",
SUM(
ARRAYFORMULA(
IF(
REGEXMATCH(
"" ""&amp;H3687&amp;"" "",
"" ""&amp;Sentiment_Words!B$2:B3730&amp;"" ""
),
1,
0
)
)
)
)"),1.0)</f>
        <v>1</v>
      </c>
      <c r="L3687" s="7" t="str">
        <f t="shared" si="3"/>
        <v>Customer Support</v>
      </c>
      <c r="M3687" s="7" t="str">
        <f t="shared" si="4"/>
        <v>Neutral</v>
      </c>
      <c r="N3687" s="7" t="str">
        <f>IFERROR(__xludf.DUMMYFUNCTION("LOWER(
TRIM(
REGEXREPLACE(B3687,""[^a-zA-Z\s]"","""")
)
)
"),"m j")</f>
        <v>m j</v>
      </c>
      <c r="O3687" s="7">
        <f t="shared" si="5"/>
        <v>1</v>
      </c>
      <c r="P3687" s="8" t="str">
        <f t="shared" si="6"/>
        <v>No</v>
      </c>
    </row>
    <row r="3688">
      <c r="A3688" s="4" t="s">
        <v>16</v>
      </c>
      <c r="B3688" s="4" t="s">
        <v>10203</v>
      </c>
      <c r="C3688" s="9">
        <v>44477.0</v>
      </c>
      <c r="D3688" s="10">
        <v>44477.0</v>
      </c>
      <c r="E3688" s="4" t="s">
        <v>1440</v>
      </c>
      <c r="F3688" s="4" t="s">
        <v>10204</v>
      </c>
      <c r="G3688" s="6" t="str">
        <f>IFERROR(__xludf.DUMMYFUNCTION("REGEXREPLACE(LOWER(F3688),""[^a-z\s]"","""")"),"great experience will use them again")</f>
        <v>great experience will use them again</v>
      </c>
      <c r="H3688" s="4" t="str">
        <f t="shared" si="1"/>
        <v>great experience will use them again</v>
      </c>
      <c r="I3688" s="6">
        <f t="shared" si="2"/>
        <v>6</v>
      </c>
      <c r="J3688" s="6">
        <f>IFERROR(__xludf.DUMMYFUNCTION("IF(H3688="""","""",
SUM(
ARRAYFORMULA(
IF(
REGEXMATCH(
"" ""&amp;H3688&amp;"" "",
"" ""&amp;Sentiment_Words!A$2:A3730&amp;"" ""
),
1,
0
)
)
)
)"),1.0)</f>
        <v>1</v>
      </c>
      <c r="K3688" s="4">
        <f>IFERROR(__xludf.DUMMYFUNCTION("IF(H3688="""","""",
SUM(
ARRAYFORMULA(
IF(
REGEXMATCH(
"" ""&amp;H3688&amp;"" "",
"" ""&amp;Sentiment_Words!B$2:B3730&amp;"" ""
),
1,
0
)
)
)
)"),0.0)</f>
        <v>0</v>
      </c>
      <c r="L3688" s="7" t="str">
        <f t="shared" si="3"/>
        <v>Other</v>
      </c>
      <c r="M3688" s="7" t="str">
        <f t="shared" si="4"/>
        <v>Positive</v>
      </c>
      <c r="N3688" s="7" t="str">
        <f>IFERROR(__xludf.DUMMYFUNCTION("LOWER(
TRIM(
REGEXREPLACE(B3688,""[^a-zA-Z\s]"","""")
)
)
"),"patricia")</f>
        <v>patricia</v>
      </c>
      <c r="O3688" s="7">
        <f t="shared" si="5"/>
        <v>5</v>
      </c>
      <c r="P3688" s="8" t="str">
        <f t="shared" si="6"/>
        <v>Yes</v>
      </c>
    </row>
    <row r="3689">
      <c r="A3689" s="4" t="s">
        <v>16</v>
      </c>
      <c r="B3689" s="4" t="s">
        <v>10205</v>
      </c>
      <c r="C3689" s="9">
        <v>44477.0</v>
      </c>
      <c r="D3689" s="10">
        <v>44477.0</v>
      </c>
      <c r="E3689" s="4" t="s">
        <v>10206</v>
      </c>
      <c r="F3689" s="4" t="s">
        <v>10207</v>
      </c>
      <c r="G3689" s="6" t="str">
        <f>IFERROR(__xludf.DUMMYFUNCTION("REGEXREPLACE(LOWER(F3689),""[^a-z\s]"","""")"),"easy to find exactly what i was looking for quick delivery")</f>
        <v>easy to find exactly what i was looking for quick delivery</v>
      </c>
      <c r="H3689" s="4" t="str">
        <f t="shared" si="1"/>
        <v>easy find exactly what i was looking quick delivery</v>
      </c>
      <c r="I3689" s="6">
        <f t="shared" si="2"/>
        <v>9</v>
      </c>
      <c r="J3689" s="6">
        <f>IFERROR(__xludf.DUMMYFUNCTION("IF(H3689="""","""",
SUM(
ARRAYFORMULA(
IF(
REGEXMATCH(
"" ""&amp;H3689&amp;"" "",
"" ""&amp;Sentiment_Words!A$2:A3730&amp;"" ""
),
1,
0
)
)
)
)"),2.0)</f>
        <v>2</v>
      </c>
      <c r="K3689" s="4">
        <f>IFERROR(__xludf.DUMMYFUNCTION("IF(H3689="""","""",
SUM(
ARRAYFORMULA(
IF(
REGEXMATCH(
"" ""&amp;H3689&amp;"" "",
"" ""&amp;Sentiment_Words!B$2:B3730&amp;"" ""
),
1,
0
)
)
)
)"),0.0)</f>
        <v>0</v>
      </c>
      <c r="L3689" s="7" t="str">
        <f t="shared" si="3"/>
        <v>Other</v>
      </c>
      <c r="M3689" s="7" t="str">
        <f t="shared" si="4"/>
        <v>Positive</v>
      </c>
      <c r="N3689" s="7" t="str">
        <f>IFERROR(__xludf.DUMMYFUNCTION("LOWER(
TRIM(
REGEXREPLACE(B3689,""[^a-zA-Z\s]"","""")
)
)
"),"stacie mcclain")</f>
        <v>stacie mcclain</v>
      </c>
      <c r="O3689" s="7">
        <f t="shared" si="5"/>
        <v>1</v>
      </c>
      <c r="P3689" s="8" t="str">
        <f t="shared" si="6"/>
        <v>No</v>
      </c>
    </row>
    <row r="3690">
      <c r="A3690" s="4" t="s">
        <v>16</v>
      </c>
      <c r="B3690" s="4" t="s">
        <v>10208</v>
      </c>
      <c r="C3690" s="9">
        <v>44477.0</v>
      </c>
      <c r="D3690" s="10">
        <v>44477.0</v>
      </c>
      <c r="E3690" s="4" t="s">
        <v>10209</v>
      </c>
      <c r="F3690" s="4" t="s">
        <v>10210</v>
      </c>
      <c r="G3690" s="6" t="str">
        <f>IFERROR(__xludf.DUMMYFUNCTION("REGEXREPLACE(LOWER(F3690),""[^a-z\s]"","""")"),"i was very happy with my experience i placed an order for my cats food it shipped quickly and i got it within two days of being shipped the cans were excellently packed and the price for food was great i was and am satisfied with my experience and will co"&amp;"ntinue to shop here")</f>
        <v>i was very happy with my experience i placed an order for my cats food it shipped quickly and i got it within two days of being shipped the cans were excellently packed and the price for food was great i was and am satisfied with my experience and will continue to shop here</v>
      </c>
      <c r="H3690" s="4" t="str">
        <f t="shared" si="1"/>
        <v>i was very happy with my experience i placed an order my cats food it shipped quickly i got it within two days of being shipped cans were excellently packed price food was great i was am satisfied with my experience will continue shop here</v>
      </c>
      <c r="I3690" s="6">
        <f t="shared" si="2"/>
        <v>45</v>
      </c>
      <c r="J3690" s="6">
        <f>IFERROR(__xludf.DUMMYFUNCTION("IF(H3690="""","""",
SUM(
ARRAYFORMULA(
IF(
REGEXMATCH(
"" ""&amp;H3690&amp;"" "",
"" ""&amp;Sentiment_Words!A$2:A3730&amp;"" ""
),
1,
0
)
)
)
)"),4.0)</f>
        <v>4</v>
      </c>
      <c r="K3690" s="4">
        <f>IFERROR(__xludf.DUMMYFUNCTION("IF(H3690="""","""",
SUM(
ARRAYFORMULA(
IF(
REGEXMATCH(
"" ""&amp;H3690&amp;"" "",
"" ""&amp;Sentiment_Words!B$2:B3730&amp;"" ""
),
1,
0
)
)
)
)"),0.0)</f>
        <v>0</v>
      </c>
      <c r="L3690" s="7" t="str">
        <f t="shared" si="3"/>
        <v>Other</v>
      </c>
      <c r="M3690" s="7" t="str">
        <f t="shared" si="4"/>
        <v>Positive</v>
      </c>
      <c r="N3690" s="7" t="str">
        <f>IFERROR(__xludf.DUMMYFUNCTION("LOWER(
TRIM(
REGEXREPLACE(B3690,""[^a-zA-Z\s]"","""")
)
)
"),"melanie")</f>
        <v>melanie</v>
      </c>
      <c r="O3690" s="7">
        <f t="shared" si="5"/>
        <v>1</v>
      </c>
      <c r="P3690" s="8" t="str">
        <f t="shared" si="6"/>
        <v>No</v>
      </c>
    </row>
    <row r="3691">
      <c r="A3691" s="4" t="s">
        <v>16</v>
      </c>
      <c r="B3691" s="4" t="s">
        <v>10211</v>
      </c>
      <c r="C3691" s="9">
        <v>44477.0</v>
      </c>
      <c r="D3691" s="10">
        <v>44477.0</v>
      </c>
      <c r="E3691" s="4" t="s">
        <v>10212</v>
      </c>
      <c r="F3691" s="4" t="s">
        <v>10213</v>
      </c>
      <c r="G3691" s="6" t="str">
        <f>IFERROR(__xludf.DUMMYFUNCTION("REGEXREPLACE(LOWER(F3691),""[^a-z\s]"","""")"),"friendly staff good selection of dog food")</f>
        <v>friendly staff good selection of dog food</v>
      </c>
      <c r="H3691" s="4" t="str">
        <f t="shared" si="1"/>
        <v>friendly staff good selection of dog food</v>
      </c>
      <c r="I3691" s="6">
        <f t="shared" si="2"/>
        <v>7</v>
      </c>
      <c r="J3691" s="6">
        <f>IFERROR(__xludf.DUMMYFUNCTION("IF(H3691="""","""",
SUM(
ARRAYFORMULA(
IF(
REGEXMATCH(
"" ""&amp;H3691&amp;"" "",
"" ""&amp;Sentiment_Words!A$2:A3730&amp;"" ""
),
1,
0
)
)
)
)"),1.0)</f>
        <v>1</v>
      </c>
      <c r="K3691" s="4">
        <f>IFERROR(__xludf.DUMMYFUNCTION("IF(H3691="""","""",
SUM(
ARRAYFORMULA(
IF(
REGEXMATCH(
"" ""&amp;H3691&amp;"" "",
"" ""&amp;Sentiment_Words!B$2:B3730&amp;"" ""
),
1,
0
)
)
)
)"),0.0)</f>
        <v>0</v>
      </c>
      <c r="L3691" s="7" t="str">
        <f t="shared" si="3"/>
        <v>Other</v>
      </c>
      <c r="M3691" s="7" t="str">
        <f t="shared" si="4"/>
        <v>Positive</v>
      </c>
      <c r="N3691" s="7" t="str">
        <f>IFERROR(__xludf.DUMMYFUNCTION("LOWER(
TRIM(
REGEXREPLACE(B3691,""[^a-zA-Z\s]"","""")
)
)
"),"saya")</f>
        <v>saya</v>
      </c>
      <c r="O3691" s="7">
        <f t="shared" si="5"/>
        <v>1</v>
      </c>
      <c r="P3691" s="8" t="str">
        <f t="shared" si="6"/>
        <v>No</v>
      </c>
    </row>
    <row r="3692">
      <c r="A3692" s="4" t="s">
        <v>16</v>
      </c>
      <c r="B3692" s="4" t="s">
        <v>631</v>
      </c>
      <c r="C3692" s="9">
        <v>44477.0</v>
      </c>
      <c r="D3692" s="10">
        <v>44477.0</v>
      </c>
      <c r="E3692" s="4" t="s">
        <v>10214</v>
      </c>
      <c r="F3692" s="4" t="s">
        <v>10215</v>
      </c>
      <c r="G3692" s="6" t="str">
        <f>IFERROR(__xludf.DUMMYFUNCTION("REGEXREPLACE(LOWER(F3692),""[^a-z\s]"","""")"),"wrong food sent now i have to return it
redbox it drive to fedx haul in in")</f>
        <v>wrong food sent now i have to return it
redbox it drive to fedx haul in in</v>
      </c>
      <c r="H3692" s="4" t="str">
        <f t="shared" si="1"/>
        <v>wrong food sent now i have return it
redbox it drive fedx haul in in</v>
      </c>
      <c r="I3692" s="6">
        <f t="shared" si="2"/>
        <v>14</v>
      </c>
      <c r="J3692" s="6">
        <f>IFERROR(__xludf.DUMMYFUNCTION("IF(H3692="""","""",
SUM(
ARRAYFORMULA(
IF(
REGEXMATCH(
"" ""&amp;H3692&amp;"" "",
"" ""&amp;Sentiment_Words!A$2:A3730&amp;"" ""
),
1,
0
)
)
)
)"),0.0)</f>
        <v>0</v>
      </c>
      <c r="K3692" s="4">
        <f>IFERROR(__xludf.DUMMYFUNCTION("IF(H3692="""","""",
SUM(
ARRAYFORMULA(
IF(
REGEXMATCH(
"" ""&amp;H3692&amp;"" "",
"" ""&amp;Sentiment_Words!B$2:B3730&amp;"" ""
),
1,
0
)
)
)
)"),1.0)</f>
        <v>1</v>
      </c>
      <c r="L3692" s="7" t="str">
        <f t="shared" si="3"/>
        <v>Fulfillment &amp; Shipping</v>
      </c>
      <c r="M3692" s="7" t="str">
        <f t="shared" si="4"/>
        <v>Negative</v>
      </c>
      <c r="N3692" s="7" t="str">
        <f>IFERROR(__xludf.DUMMYFUNCTION("LOWER(
TRIM(
REGEXREPLACE(B3692,""[^a-zA-Z\s]"","""")
)
)
"),"mary")</f>
        <v>mary</v>
      </c>
      <c r="O3692" s="7">
        <f t="shared" si="5"/>
        <v>8</v>
      </c>
      <c r="P3692" s="8" t="str">
        <f t="shared" si="6"/>
        <v>Yes</v>
      </c>
    </row>
    <row r="3693">
      <c r="A3693" s="4" t="s">
        <v>16</v>
      </c>
      <c r="B3693" s="4" t="s">
        <v>10216</v>
      </c>
      <c r="C3693" s="9">
        <v>44477.0</v>
      </c>
      <c r="D3693" s="10">
        <v>44477.0</v>
      </c>
      <c r="E3693" s="4" t="s">
        <v>10217</v>
      </c>
      <c r="F3693" s="4" t="s">
        <v>10218</v>
      </c>
      <c r="G3693" s="6" t="str">
        <f>IFERROR(__xludf.DUMMYFUNCTION("REGEXREPLACE(LOWER(F3693),""[^a-z\s]"","""")"),"we and our  german shorthair pups think your quick service and price are excellent")</f>
        <v>we and our  german shorthair pups think your quick service and price are excellent</v>
      </c>
      <c r="H3693" s="4" t="str">
        <f t="shared" si="1"/>
        <v>we our german shorthair pups think your quick service price are excellent</v>
      </c>
      <c r="I3693" s="6">
        <f t="shared" si="2"/>
        <v>12</v>
      </c>
      <c r="J3693" s="6">
        <f>IFERROR(__xludf.DUMMYFUNCTION("IF(H3693="""","""",
SUM(
ARRAYFORMULA(
IF(
REGEXMATCH(
"" ""&amp;H3693&amp;"" "",
"" ""&amp;Sentiment_Words!A$2:A3730&amp;"" ""
),
1,
0
)
)
)
)"),0.0)</f>
        <v>0</v>
      </c>
      <c r="K3693" s="4">
        <f>IFERROR(__xludf.DUMMYFUNCTION("IF(H3693="""","""",
SUM(
ARRAYFORMULA(
IF(
REGEXMATCH(
"" ""&amp;H3693&amp;"" "",
"" ""&amp;Sentiment_Words!B$2:B3730&amp;"" ""
),
1,
0
)
)
)
)"),0.0)</f>
        <v>0</v>
      </c>
      <c r="L3693" s="7" t="str">
        <f t="shared" si="3"/>
        <v>Customer Support</v>
      </c>
      <c r="M3693" s="7" t="str">
        <f t="shared" si="4"/>
        <v>Neutral</v>
      </c>
      <c r="N3693" s="7" t="str">
        <f>IFERROR(__xludf.DUMMYFUNCTION("LOWER(
TRIM(
REGEXREPLACE(B3693,""[^a-zA-Z\s]"","""")
)
)
"),"louise")</f>
        <v>louise</v>
      </c>
      <c r="O3693" s="7">
        <f t="shared" si="5"/>
        <v>1</v>
      </c>
      <c r="P3693" s="8" t="str">
        <f t="shared" si="6"/>
        <v>No</v>
      </c>
    </row>
    <row r="3694">
      <c r="A3694" s="4" t="s">
        <v>16</v>
      </c>
      <c r="B3694" s="4" t="s">
        <v>10219</v>
      </c>
      <c r="C3694" s="9">
        <v>44476.0</v>
      </c>
      <c r="D3694" s="10">
        <v>44476.0</v>
      </c>
      <c r="E3694" s="4" t="s">
        <v>10220</v>
      </c>
      <c r="F3694" s="4" t="s">
        <v>10221</v>
      </c>
      <c r="G3694" s="6" t="str">
        <f>IFERROR(__xludf.DUMMYFUNCTION("REGEXREPLACE(LOWER(F3694),""[^a-z\s]"","""")"),"i ordered id chicken stew after two weeks i called you and you said your order is out of stock but still shows available")</f>
        <v>i ordered id chicken stew after two weeks i called you and you said your order is out of stock but still shows available</v>
      </c>
      <c r="H3694" s="4" t="str">
        <f t="shared" si="1"/>
        <v>i ordered id chicken stew after two weeks i called you you said your order out of stock but still shows available</v>
      </c>
      <c r="I3694" s="6">
        <f t="shared" si="2"/>
        <v>22</v>
      </c>
      <c r="J3694" s="6">
        <f>IFERROR(__xludf.DUMMYFUNCTION("IF(H3694="""","""",
SUM(
ARRAYFORMULA(
IF(
REGEXMATCH(
"" ""&amp;H3694&amp;"" "",
"" ""&amp;Sentiment_Words!A$2:A3730&amp;"" ""
),
1,
0
)
)
)
)"),1.0)</f>
        <v>1</v>
      </c>
      <c r="K3694" s="4">
        <f>IFERROR(__xludf.DUMMYFUNCTION("IF(H3694="""","""",
SUM(
ARRAYFORMULA(
IF(
REGEXMATCH(
"" ""&amp;H3694&amp;"" "",
"" ""&amp;Sentiment_Words!B$2:B3730&amp;"" ""
),
1,
0
)
)
)
)"),1.0)</f>
        <v>1</v>
      </c>
      <c r="L3694" s="7" t="str">
        <f t="shared" si="3"/>
        <v>Availability</v>
      </c>
      <c r="M3694" s="7" t="str">
        <f t="shared" si="4"/>
        <v>Neutral</v>
      </c>
      <c r="N3694" s="7" t="str">
        <f>IFERROR(__xludf.DUMMYFUNCTION("LOWER(
TRIM(
REGEXREPLACE(B3694,""[^a-zA-Z\s]"","""")
)
)
"),"sororu karami")</f>
        <v>sororu karami</v>
      </c>
      <c r="O3694" s="7">
        <f t="shared" si="5"/>
        <v>1</v>
      </c>
      <c r="P3694" s="8" t="str">
        <f t="shared" si="6"/>
        <v>No</v>
      </c>
    </row>
    <row r="3695">
      <c r="A3695" s="4" t="s">
        <v>16</v>
      </c>
      <c r="B3695" s="4" t="s">
        <v>10222</v>
      </c>
      <c r="C3695" s="9">
        <v>44476.0</v>
      </c>
      <c r="D3695" s="10">
        <v>44476.0</v>
      </c>
      <c r="E3695" s="4" t="s">
        <v>10223</v>
      </c>
      <c r="F3695" s="4" t="s">
        <v>10224</v>
      </c>
      <c r="G3695" s="6" t="str">
        <f>IFERROR(__xludf.DUMMYFUNCTION("REGEXREPLACE(LOWER(F3695),""[^a-z\s]"","""")"),"i always feel as though they truly want to make their customers feel satisfied i appreciate that very much")</f>
        <v>i always feel as though they truly want to make their customers feel satisfied i appreciate that very much</v>
      </c>
      <c r="H3695" s="4" t="str">
        <f t="shared" si="1"/>
        <v>i always feel as though they truly want make their customers feel satisfied i appreciate that very much</v>
      </c>
      <c r="I3695" s="6">
        <f t="shared" si="2"/>
        <v>18</v>
      </c>
      <c r="J3695" s="6">
        <f>IFERROR(__xludf.DUMMYFUNCTION("IF(H3695="""","""",
SUM(
ARRAYFORMULA(
IF(
REGEXMATCH(
"" ""&amp;H3695&amp;"" "",
"" ""&amp;Sentiment_Words!A$2:A3730&amp;"" ""
),
1,
0
)
)
)
)"),1.0)</f>
        <v>1</v>
      </c>
      <c r="K3695" s="4">
        <f>IFERROR(__xludf.DUMMYFUNCTION("IF(H3695="""","""",
SUM(
ARRAYFORMULA(
IF(
REGEXMATCH(
"" ""&amp;H3695&amp;"" "",
"" ""&amp;Sentiment_Words!B$2:B3730&amp;"" ""
),
1,
0
)
)
)
)"),0.0)</f>
        <v>0</v>
      </c>
      <c r="L3695" s="7" t="str">
        <f t="shared" si="3"/>
        <v>Other</v>
      </c>
      <c r="M3695" s="7" t="str">
        <f t="shared" si="4"/>
        <v>Positive</v>
      </c>
      <c r="N3695" s="7" t="str">
        <f>IFERROR(__xludf.DUMMYFUNCTION("LOWER(
TRIM(
REGEXREPLACE(B3695,""[^a-zA-Z\s]"","""")
)
)
"),"f w")</f>
        <v>f w</v>
      </c>
      <c r="O3695" s="7">
        <f t="shared" si="5"/>
        <v>1</v>
      </c>
      <c r="P3695" s="8" t="str">
        <f t="shared" si="6"/>
        <v>No</v>
      </c>
    </row>
    <row r="3696">
      <c r="A3696" s="4" t="s">
        <v>16</v>
      </c>
      <c r="B3696" s="4" t="s">
        <v>10225</v>
      </c>
      <c r="C3696" s="9">
        <v>44476.0</v>
      </c>
      <c r="D3696" s="10">
        <v>44476.0</v>
      </c>
      <c r="E3696" s="4" t="s">
        <v>10226</v>
      </c>
      <c r="F3696" s="4" t="s">
        <v>10227</v>
      </c>
      <c r="G3696" s="6" t="str">
        <f>IFERROR(__xludf.DUMMYFUNCTION("REGEXREPLACE(LOWER(F3696),""[^a-z\s]"","""")"),"rder email confirmation was delayed and the email notification that shipment will be delayed was also late customer service needs improvement")</f>
        <v>rder email confirmation was delayed and the email notification that shipment will be delayed was also late customer service needs improvement</v>
      </c>
      <c r="H3696" s="4" t="str">
        <f t="shared" si="1"/>
        <v>rder email confirmation was delayed email notification that shipment will be delayed was also late customer service needs improvement</v>
      </c>
      <c r="I3696" s="6">
        <f t="shared" si="2"/>
        <v>19</v>
      </c>
      <c r="J3696" s="6">
        <f>IFERROR(__xludf.DUMMYFUNCTION("IF(H3696="""","""",
SUM(
ARRAYFORMULA(
IF(
REGEXMATCH(
"" ""&amp;H3696&amp;"" "",
"" ""&amp;Sentiment_Words!A$2:A3730&amp;"" ""
),
1,
0
)
)
)
)"),0.0)</f>
        <v>0</v>
      </c>
      <c r="K3696" s="4">
        <f>IFERROR(__xludf.DUMMYFUNCTION("IF(H3696="""","""",
SUM(
ARRAYFORMULA(
IF(
REGEXMATCH(
"" ""&amp;H3696&amp;"" "",
"" ""&amp;Sentiment_Words!B$2:B3730&amp;"" ""
),
1,
0
)
)
)
)"),2.0)</f>
        <v>2</v>
      </c>
      <c r="L3696" s="7" t="str">
        <f t="shared" si="3"/>
        <v>Customer Support</v>
      </c>
      <c r="M3696" s="7" t="str">
        <f t="shared" si="4"/>
        <v>Negative</v>
      </c>
      <c r="N3696" s="7" t="str">
        <f>IFERROR(__xludf.DUMMYFUNCTION("LOWER(
TRIM(
REGEXREPLACE(B3696,""[^a-zA-Z\s]"","""")
)
)
"),"deana madsen")</f>
        <v>deana madsen</v>
      </c>
      <c r="O3696" s="7">
        <f t="shared" si="5"/>
        <v>1</v>
      </c>
      <c r="P3696" s="8" t="str">
        <f t="shared" si="6"/>
        <v>No</v>
      </c>
    </row>
    <row r="3697">
      <c r="A3697" s="4" t="s">
        <v>16</v>
      </c>
      <c r="B3697" s="4" t="s">
        <v>10228</v>
      </c>
      <c r="C3697" s="9">
        <v>44476.0</v>
      </c>
      <c r="D3697" s="10">
        <v>44476.0</v>
      </c>
      <c r="E3697" s="4" t="s">
        <v>10229</v>
      </c>
      <c r="F3697" s="4" t="s">
        <v>10230</v>
      </c>
      <c r="G3697" s="6" t="str">
        <f>IFERROR(__xludf.DUMMYFUNCTION("REGEXREPLACE(LOWER(F3697),""[^a-z\s]"","""")"),"super convenient great selection of grain free options prompt delivery")</f>
        <v>super convenient great selection of grain free options prompt delivery</v>
      </c>
      <c r="H3697" s="4" t="str">
        <f t="shared" si="1"/>
        <v>super convenient great selection of grain free options prompt delivery</v>
      </c>
      <c r="I3697" s="6">
        <f t="shared" si="2"/>
        <v>10</v>
      </c>
      <c r="J3697" s="6">
        <f>IFERROR(__xludf.DUMMYFUNCTION("IF(H3697="""","""",
SUM(
ARRAYFORMULA(
IF(
REGEXMATCH(
"" ""&amp;H3697&amp;"" "",
"" ""&amp;Sentiment_Words!A$2:A3730&amp;"" ""
),
1,
0
)
)
)
)"),3.0)</f>
        <v>3</v>
      </c>
      <c r="K3697" s="4">
        <f>IFERROR(__xludf.DUMMYFUNCTION("IF(H3697="""","""",
SUM(
ARRAYFORMULA(
IF(
REGEXMATCH(
"" ""&amp;H3697&amp;"" "",
"" ""&amp;Sentiment_Words!B$2:B3730&amp;"" ""
),
1,
0
)
)
)
)"),0.0)</f>
        <v>0</v>
      </c>
      <c r="L3697" s="7" t="str">
        <f t="shared" si="3"/>
        <v>Value &amp; Convenience</v>
      </c>
      <c r="M3697" s="7" t="str">
        <f t="shared" si="4"/>
        <v>Positive</v>
      </c>
      <c r="N3697" s="7" t="str">
        <f>IFERROR(__xludf.DUMMYFUNCTION("LOWER(
TRIM(
REGEXREPLACE(B3697,""[^a-zA-Z\s]"","""")
)
)
"),"mermaid")</f>
        <v>mermaid</v>
      </c>
      <c r="O3697" s="7">
        <f t="shared" si="5"/>
        <v>1</v>
      </c>
      <c r="P3697" s="8" t="str">
        <f t="shared" si="6"/>
        <v>No</v>
      </c>
    </row>
    <row r="3698">
      <c r="A3698" s="4" t="s">
        <v>16</v>
      </c>
      <c r="B3698" s="4" t="s">
        <v>10231</v>
      </c>
      <c r="C3698" s="9">
        <v>44476.0</v>
      </c>
      <c r="D3698" s="10">
        <v>44476.0</v>
      </c>
      <c r="E3698" s="4" t="s">
        <v>10232</v>
      </c>
      <c r="F3698" s="4" t="s">
        <v>10233</v>
      </c>
      <c r="G3698" s="6" t="str">
        <f>IFERROR(__xludf.DUMMYFUNCTION("REGEXREPLACE(LOWER(F3698),""[^a-z\s]"","""")"),"couldnt locate my brand of food in new state n city where i now reside found your website and luckily i now have my dogs favorite brands of food best part same price as it was in minnesota at chuck n dons store better it was delivered to my door i will be"&amp;" ordering again")</f>
        <v>couldnt locate my brand of food in new state n city where i now reside found your website and luckily i now have my dogs favorite brands of food best part same price as it was in minnesota at chuck n dons store better it was delivered to my door i will be ordering again</v>
      </c>
      <c r="H3698" s="4" t="str">
        <f t="shared" si="1"/>
        <v>couldnt locate my brand of food in new state n city where i now reside found your website luckily i now have my dogs favorite brands of food best part same price as it was in minnesota at chuck n dons store better it was delivered my door i will be ordering again</v>
      </c>
      <c r="I3698" s="6">
        <f t="shared" si="2"/>
        <v>53</v>
      </c>
      <c r="J3698" s="6">
        <f>IFERROR(__xludf.DUMMYFUNCTION("IF(H3698="""","""",
SUM(
ARRAYFORMULA(
IF(
REGEXMATCH(
"" ""&amp;H3698&amp;"" "",
"" ""&amp;Sentiment_Words!A$2:A3730&amp;"" ""
),
1,
0
)
)
)
)"),2.0)</f>
        <v>2</v>
      </c>
      <c r="K3698" s="4">
        <f>IFERROR(__xludf.DUMMYFUNCTION("IF(H3698="""","""",
SUM(
ARRAYFORMULA(
IF(
REGEXMATCH(
"" ""&amp;H3698&amp;"" "",
"" ""&amp;Sentiment_Words!B$2:B3730&amp;"" ""
),
1,
0
)
)
)
)"),0.0)</f>
        <v>0</v>
      </c>
      <c r="L3698" s="7" t="str">
        <f t="shared" si="3"/>
        <v>Account &amp; Website</v>
      </c>
      <c r="M3698" s="7" t="str">
        <f t="shared" si="4"/>
        <v>Positive</v>
      </c>
      <c r="N3698" s="7" t="str">
        <f>IFERROR(__xludf.DUMMYFUNCTION("LOWER(
TRIM(
REGEXREPLACE(B3698,""[^a-zA-Z\s]"","""")
)
)
"),"debra neil")</f>
        <v>debra neil</v>
      </c>
      <c r="O3698" s="7">
        <f t="shared" si="5"/>
        <v>1</v>
      </c>
      <c r="P3698" s="8" t="str">
        <f t="shared" si="6"/>
        <v>No</v>
      </c>
    </row>
    <row r="3699">
      <c r="A3699" s="4" t="s">
        <v>16</v>
      </c>
      <c r="B3699" s="4" t="s">
        <v>10234</v>
      </c>
      <c r="C3699" s="9">
        <v>44476.0</v>
      </c>
      <c r="D3699" s="10">
        <v>44476.0</v>
      </c>
      <c r="E3699" s="4" t="s">
        <v>10235</v>
      </c>
      <c r="F3699" s="4" t="s">
        <v>10236</v>
      </c>
      <c r="G3699" s="6" t="str">
        <f>IFERROR(__xludf.DUMMYFUNCTION("REGEXREPLACE(LOWER(F3699),""[^a-z\s]"","""")"),"i was forced to buy two items to get to the minimal amount only one was shipped not the one i wanted")</f>
        <v>i was forced to buy two items to get to the minimal amount only one was shipped not the one i wanted</v>
      </c>
      <c r="H3699" s="4" t="str">
        <f t="shared" si="1"/>
        <v>i was forced buy two items get minimal amount only one was shipped not one i wanted</v>
      </c>
      <c r="I3699" s="6">
        <f t="shared" si="2"/>
        <v>17</v>
      </c>
      <c r="J3699" s="6">
        <f>IFERROR(__xludf.DUMMYFUNCTION("IF(H3699="""","""",
SUM(
ARRAYFORMULA(
IF(
REGEXMATCH(
"" ""&amp;H3699&amp;"" "",
"" ""&amp;Sentiment_Words!A$2:A3730&amp;"" ""
),
1,
0
)
)
)
)"),0.0)</f>
        <v>0</v>
      </c>
      <c r="K3699" s="4">
        <f>IFERROR(__xludf.DUMMYFUNCTION("IF(H3699="""","""",
SUM(
ARRAYFORMULA(
IF(
REGEXMATCH(
"" ""&amp;H3699&amp;"" "",
"" ""&amp;Sentiment_Words!B$2:B3730&amp;"" ""
),
1,
0
)
)
)
)"),0.0)</f>
        <v>0</v>
      </c>
      <c r="L3699" s="7" t="str">
        <f t="shared" si="3"/>
        <v>Other</v>
      </c>
      <c r="M3699" s="7" t="str">
        <f t="shared" si="4"/>
        <v>Neutral</v>
      </c>
      <c r="N3699" s="7" t="str">
        <f>IFERROR(__xludf.DUMMYFUNCTION("LOWER(
TRIM(
REGEXREPLACE(B3699,""[^a-zA-Z\s]"","""")
)
)
"),"james s")</f>
        <v>james s</v>
      </c>
      <c r="O3699" s="7">
        <f t="shared" si="5"/>
        <v>1</v>
      </c>
      <c r="P3699" s="8" t="str">
        <f t="shared" si="6"/>
        <v>No</v>
      </c>
    </row>
    <row r="3700">
      <c r="A3700" s="4" t="s">
        <v>16</v>
      </c>
      <c r="B3700" s="4" t="s">
        <v>10237</v>
      </c>
      <c r="C3700" s="9">
        <v>44476.0</v>
      </c>
      <c r="D3700" s="10">
        <v>44476.0</v>
      </c>
      <c r="E3700" s="4" t="s">
        <v>10238</v>
      </c>
      <c r="F3700" s="4" t="s">
        <v>10239</v>
      </c>
      <c r="G3700" s="6" t="str">
        <f>IFERROR(__xludf.DUMMYFUNCTION("REGEXREPLACE(LOWER(F3700),""[^a-z\s]"","""")"),"couldnt find our dogs food anywhere you were the only place we found and you got it to us so fast and even contacted our vet for approval")</f>
        <v>couldnt find our dogs food anywhere you were the only place we found and you got it to us so fast and even contacted our vet for approval</v>
      </c>
      <c r="H3700" s="4" t="str">
        <f t="shared" si="1"/>
        <v>couldnt find our dogs food anywhere you were only place we found you got it us so fast even contacted our vet approval</v>
      </c>
      <c r="I3700" s="6">
        <f t="shared" si="2"/>
        <v>23</v>
      </c>
      <c r="J3700" s="6">
        <f>IFERROR(__xludf.DUMMYFUNCTION("IF(H3700="""","""",
SUM(
ARRAYFORMULA(
IF(
REGEXMATCH(
"" ""&amp;H3700&amp;"" "",
"" ""&amp;Sentiment_Words!A$2:A3730&amp;"" ""
),
1,
0
)
)
)
)"),2.0)</f>
        <v>2</v>
      </c>
      <c r="K3700" s="4">
        <f>IFERROR(__xludf.DUMMYFUNCTION("IF(H3700="""","""",
SUM(
ARRAYFORMULA(
IF(
REGEXMATCH(
"" ""&amp;H3700&amp;"" "",
"" ""&amp;Sentiment_Words!B$2:B3730&amp;"" ""
),
1,
0
)
)
)
)"),0.0)</f>
        <v>0</v>
      </c>
      <c r="L3700" s="7" t="str">
        <f t="shared" si="3"/>
        <v>Other</v>
      </c>
      <c r="M3700" s="7" t="str">
        <f t="shared" si="4"/>
        <v>Positive</v>
      </c>
      <c r="N3700" s="7" t="str">
        <f>IFERROR(__xludf.DUMMYFUNCTION("LOWER(
TRIM(
REGEXREPLACE(B3700,""[^a-zA-Z\s]"","""")
)
)
"),"lauren")</f>
        <v>lauren</v>
      </c>
      <c r="O3700" s="7">
        <f t="shared" si="5"/>
        <v>1</v>
      </c>
      <c r="P3700" s="8" t="str">
        <f t="shared" si="6"/>
        <v>No</v>
      </c>
    </row>
    <row r="3701">
      <c r="A3701" s="4" t="s">
        <v>16</v>
      </c>
      <c r="B3701" s="4" t="s">
        <v>10240</v>
      </c>
      <c r="C3701" s="9">
        <v>44476.0</v>
      </c>
      <c r="D3701" s="10">
        <v>44476.0</v>
      </c>
      <c r="E3701" s="4" t="s">
        <v>10241</v>
      </c>
      <c r="F3701" s="4" t="s">
        <v>10242</v>
      </c>
      <c r="G3701" s="6" t="str">
        <f>IFERROR(__xludf.DUMMYFUNCTION("REGEXREPLACE(LOWER(F3701),""[^a-z\s]"","""")"),"i have been ordering from petflow for several years now and have always been satisfied with the products and the delivery recently they went above and beyond on an order that was delivered damaged the customer service was excellent and i was totally satis"&amp;"fied with how quickly and completely the order was replaced")</f>
        <v>i have been ordering from petflow for several years now and have always been satisfied with the products and the delivery recently they went above and beyond on an order that was delivered damaged the customer service was excellent and i was totally satisfied with how quickly and completely the order was replaced</v>
      </c>
      <c r="H3701" s="4" t="str">
        <f t="shared" si="1"/>
        <v>i have been ordering from petflow several years now have always been satisfied with products delivery recently they went above beyond on an order that was delivered damaged customer service was excellent i was totally satisfied with how quickly completely order was replaced</v>
      </c>
      <c r="I3701" s="6">
        <f t="shared" si="2"/>
        <v>43</v>
      </c>
      <c r="J3701" s="6">
        <f>IFERROR(__xludf.DUMMYFUNCTION("IF(H3701="""","""",
SUM(
ARRAYFORMULA(
IF(
REGEXMATCH(
"" ""&amp;H3701&amp;"" "",
"" ""&amp;Sentiment_Words!A$2:A3730&amp;"" ""
),
1,
0
)
)
)
)"),3.0)</f>
        <v>3</v>
      </c>
      <c r="K3701" s="4">
        <f>IFERROR(__xludf.DUMMYFUNCTION("IF(H3701="""","""",
SUM(
ARRAYFORMULA(
IF(
REGEXMATCH(
"" ""&amp;H3701&amp;"" "",
"" ""&amp;Sentiment_Words!B$2:B3730&amp;"" ""
),
1,
0
)
)
)
)"),1.0)</f>
        <v>1</v>
      </c>
      <c r="L3701" s="7" t="str">
        <f t="shared" si="3"/>
        <v>Customer Support</v>
      </c>
      <c r="M3701" s="7" t="str">
        <f t="shared" si="4"/>
        <v>Positive</v>
      </c>
      <c r="N3701" s="7" t="str">
        <f>IFERROR(__xludf.DUMMYFUNCTION("LOWER(
TRIM(
REGEXREPLACE(B3701,""[^a-zA-Z\s]"","""")
)
)
"),"r elliott")</f>
        <v>r elliott</v>
      </c>
      <c r="O3701" s="7">
        <f t="shared" si="5"/>
        <v>1</v>
      </c>
      <c r="P3701" s="8" t="str">
        <f t="shared" si="6"/>
        <v>No</v>
      </c>
    </row>
    <row r="3702">
      <c r="A3702" s="4" t="s">
        <v>16</v>
      </c>
      <c r="B3702" s="4" t="s">
        <v>10243</v>
      </c>
      <c r="C3702" s="9">
        <v>44476.0</v>
      </c>
      <c r="D3702" s="10">
        <v>44476.0</v>
      </c>
      <c r="E3702" s="4" t="s">
        <v>10244</v>
      </c>
      <c r="F3702" s="4" t="s">
        <v>10245</v>
      </c>
      <c r="G3702" s="6" t="str">
        <f>IFERROR(__xludf.DUMMYFUNCTION("REGEXREPLACE(LOWER(F3702),""[^a-z\s]"","""")"),"great phone help on getting oscars rx for science diet in and the food shipped quickly")</f>
        <v>great phone help on getting oscars rx for science diet in and the food shipped quickly</v>
      </c>
      <c r="H3702" s="4" t="str">
        <f t="shared" si="1"/>
        <v>great phone help on getting oscars rx science diet in food shipped quickly</v>
      </c>
      <c r="I3702" s="6">
        <f t="shared" si="2"/>
        <v>13</v>
      </c>
      <c r="J3702" s="6">
        <f>IFERROR(__xludf.DUMMYFUNCTION("IF(H3702="""","""",
SUM(
ARRAYFORMULA(
IF(
REGEXMATCH(
"" ""&amp;H3702&amp;"" "",
"" ""&amp;Sentiment_Words!A$2:A3730&amp;"" ""
),
1,
0
)
)
)
)"),2.0)</f>
        <v>2</v>
      </c>
      <c r="K3702" s="4">
        <f>IFERROR(__xludf.DUMMYFUNCTION("IF(H3702="""","""",
SUM(
ARRAYFORMULA(
IF(
REGEXMATCH(
"" ""&amp;H3702&amp;"" "",
"" ""&amp;Sentiment_Words!B$2:B3730&amp;"" ""
),
1,
0
)
)
)
)"),0.0)</f>
        <v>0</v>
      </c>
      <c r="L3702" s="7" t="str">
        <f t="shared" si="3"/>
        <v>Other</v>
      </c>
      <c r="M3702" s="7" t="str">
        <f t="shared" si="4"/>
        <v>Positive</v>
      </c>
      <c r="N3702" s="7" t="str">
        <f>IFERROR(__xludf.DUMMYFUNCTION("LOWER(
TRIM(
REGEXREPLACE(B3702,""[^a-zA-Z\s]"","""")
)
)
"),"james gilbert")</f>
        <v>james gilbert</v>
      </c>
      <c r="O3702" s="7">
        <f t="shared" si="5"/>
        <v>1</v>
      </c>
      <c r="P3702" s="8" t="str">
        <f t="shared" si="6"/>
        <v>No</v>
      </c>
    </row>
    <row r="3703">
      <c r="A3703" s="4" t="s">
        <v>16</v>
      </c>
      <c r="B3703" s="4" t="s">
        <v>6539</v>
      </c>
      <c r="C3703" s="9">
        <v>44475.0</v>
      </c>
      <c r="D3703" s="10">
        <v>44476.0</v>
      </c>
      <c r="E3703" s="4" t="s">
        <v>10246</v>
      </c>
      <c r="F3703" s="4" t="s">
        <v>10247</v>
      </c>
      <c r="G3703" s="6" t="str">
        <f>IFERROR(__xludf.DUMMYFUNCTION("REGEXREPLACE(LOWER(F3703),""[^a-z\s]"","""")"),"petflow had a prescription food in stock for my pet that other sites did not they also had a great promotion for new autoship customers and a separate promotion that saved me money on my prescription food when i had trouble applying the coupon code at che"&amp;"ckout due to a system glitch i was able to text their customer support who applied the code for me so i was able to get the discount they were also super fast at verifying my pet food prescription with my vet so there was no delay in shipping my order pet"&amp;"flow may not be as well known as other online pet food and supply providers but i would recommend them to anyone their service is exceptional")</f>
        <v>petflow had a prescription food in stock for my pet that other sites did not they also had a great promotion for new autoship customers and a separate promotion that saved me money on my prescription food when i had trouble applying the coupon code at checkout due to a system glitch i was able to text their customer support who applied the code for me so i was able to get the discount they were also super fast at verifying my pet food prescription with my vet so there was no delay in shipping my order petflow may not be as well known as other online pet food and supply providers but i would recommend them to anyone their service is exceptional</v>
      </c>
      <c r="H3703" s="4" t="str">
        <f t="shared" si="1"/>
        <v>petflow had a prescription food in stock my pet that other sites did not they also had a great promotion new autoship customers a separate promotion that saved me money on my prescription food when i had trouble applying coupon code at checkout due a system glitch i was able text their customer support who applied code me so i was able get discount they were also super fast at verifying my pet food prescription with my vet so there was no delay in shipping my order petflow may not be as well known as other online pet food supply providers but i would recommend them anyone their service exceptional</v>
      </c>
      <c r="I3703" s="6">
        <f t="shared" si="2"/>
        <v>110</v>
      </c>
      <c r="J3703" s="6">
        <f>IFERROR(__xludf.DUMMYFUNCTION("IF(H3703="""","""",
SUM(
ARRAYFORMULA(
IF(
REGEXMATCH(
"" ""&amp;H3703&amp;"" "",
"" ""&amp;Sentiment_Words!A$2:A3730&amp;"" ""
),
1,
0
)
)
)
)"),3.0)</f>
        <v>3</v>
      </c>
      <c r="K3703" s="4">
        <f>IFERROR(__xludf.DUMMYFUNCTION("IF(H3703="""","""",
SUM(
ARRAYFORMULA(
IF(
REGEXMATCH(
"" ""&amp;H3703&amp;"" "",
"" ""&amp;Sentiment_Words!B$2:B3730&amp;"" ""
),
1,
0
)
)
)
)"),1.0)</f>
        <v>1</v>
      </c>
      <c r="L3703" s="7" t="str">
        <f t="shared" si="3"/>
        <v>Customer Support</v>
      </c>
      <c r="M3703" s="7" t="str">
        <f t="shared" si="4"/>
        <v>Positive</v>
      </c>
      <c r="N3703" s="7" t="str">
        <f>IFERROR(__xludf.DUMMYFUNCTION("LOWER(
TRIM(
REGEXREPLACE(B3703,""[^a-zA-Z\s]"","""")
)
)
"),"amy")</f>
        <v>amy</v>
      </c>
      <c r="O3703" s="7">
        <f t="shared" si="5"/>
        <v>4</v>
      </c>
      <c r="P3703" s="8" t="str">
        <f t="shared" si="6"/>
        <v>Yes</v>
      </c>
    </row>
    <row r="3704">
      <c r="A3704" s="4" t="s">
        <v>16</v>
      </c>
      <c r="B3704" s="4" t="s">
        <v>10248</v>
      </c>
      <c r="C3704" s="9">
        <v>44475.0</v>
      </c>
      <c r="D3704" s="10">
        <v>44475.0</v>
      </c>
      <c r="E3704" s="4" t="s">
        <v>10249</v>
      </c>
      <c r="F3704" s="4" t="s">
        <v>10250</v>
      </c>
      <c r="G3704" s="6" t="str">
        <f>IFERROR(__xludf.DUMMYFUNCTION("REGEXREPLACE(LOWER(F3704),""[^a-z\s]"","""")"),"petflow has excellent prices and a great variety of items their customer service is exellent also however it does take a bit longer than competitors to receive the ordered items and they shipped us the wrong item twice they did pay for the returned shippi"&amp;"ng and made arrangements for the items to be picked up by fedex from our home it was a warehouse mistake of restocking shelves and the listing of a discontinued item on their website the did rectify both we will definitely purchase from them again and we "&amp;"recommend them for your pet needs")</f>
        <v>petflow has excellent prices and a great variety of items their customer service is exellent also however it does take a bit longer than competitors to receive the ordered items and they shipped us the wrong item twice they did pay for the returned shipping and made arrangements for the items to be picked up by fedex from our home it was a warehouse mistake of restocking shelves and the listing of a discontinued item on their website the did rectify both we will definitely purchase from them again and we recommend them for your pet needs</v>
      </c>
      <c r="H3704" s="4" t="str">
        <f t="shared" si="1"/>
        <v>petflow has excellent prices a great variety of items their customer service exellent also however it does take a bit longer than competitors receive ordered items they shipped us wrong item twice they did pay returned shipping made arrangements items be picked up by fedex from our home it was a warehouse mistake of restocking shelves listing of a discontinued item on their website did rectify both we will definitely purchase from them again we recommend them your pet needs</v>
      </c>
      <c r="I3704" s="6">
        <f t="shared" si="2"/>
        <v>80</v>
      </c>
      <c r="J3704" s="6">
        <f>IFERROR(__xludf.DUMMYFUNCTION("IF(H3704="""","""",
SUM(
ARRAYFORMULA(
IF(
REGEXMATCH(
"" ""&amp;H3704&amp;"" "",
"" ""&amp;Sentiment_Words!A$2:A3730&amp;"" ""
),
1,
0
)
)
)
)"),1.0)</f>
        <v>1</v>
      </c>
      <c r="K3704" s="4">
        <f>IFERROR(__xludf.DUMMYFUNCTION("IF(H3704="""","""",
SUM(
ARRAYFORMULA(
IF(
REGEXMATCH(
"" ""&amp;H3704&amp;"" "",
"" ""&amp;Sentiment_Words!B$2:B3730&amp;"" ""
),
1,
0
)
)
)
)"),4.0)</f>
        <v>4</v>
      </c>
      <c r="L3704" s="7" t="str">
        <f t="shared" si="3"/>
        <v>Customer Support</v>
      </c>
      <c r="M3704" s="7" t="str">
        <f t="shared" si="4"/>
        <v>Negative</v>
      </c>
      <c r="N3704" s="7" t="str">
        <f>IFERROR(__xludf.DUMMYFUNCTION("LOWER(
TRIM(
REGEXREPLACE(B3704,""[^a-zA-Z\s]"","""")
)
)
"),"dawn long")</f>
        <v>dawn long</v>
      </c>
      <c r="O3704" s="7">
        <f t="shared" si="5"/>
        <v>1</v>
      </c>
      <c r="P3704" s="8" t="str">
        <f t="shared" si="6"/>
        <v>No</v>
      </c>
    </row>
    <row r="3705">
      <c r="A3705" s="4" t="s">
        <v>16</v>
      </c>
      <c r="B3705" s="4" t="s">
        <v>10251</v>
      </c>
      <c r="C3705" s="9">
        <v>44475.0</v>
      </c>
      <c r="D3705" s="10">
        <v>44475.0</v>
      </c>
      <c r="E3705" s="4" t="s">
        <v>10252</v>
      </c>
      <c r="F3705" s="4" t="s">
        <v>10253</v>
      </c>
      <c r="G3705" s="6" t="str">
        <f>IFERROR(__xludf.DUMMYFUNCTION("REGEXREPLACE(LOWER(F3705),""[^a-z\s]"","""")"),"petflow was a great find with all the shortages and difficulties getting our cats hills science diet and with the price gouging at competitor sites it was certainly gratifying to find what i was looking for at petflow our cats are finicky and spoiled and "&amp;"they love their hills the pandemic has been hard on them too finding the food we were looking for at petflow made our household very happy")</f>
        <v>petflow was a great find with all the shortages and difficulties getting our cats hills science diet and with the price gouging at competitor sites it was certainly gratifying to find what i was looking for at petflow our cats are finicky and spoiled and they love their hills the pandemic has been hard on them too finding the food we were looking for at petflow made our household very happy</v>
      </c>
      <c r="H3705" s="4" t="str">
        <f t="shared" si="1"/>
        <v>petflow was a great find with all shortages difficulties getting our cats hills science diet with price gouging at competitor sites it was certainly gratifying find what i was looking at petflow our cats are finicky spoiled they love their hills pandemic has been hard on them too finding food we were looking at petflow made our household very happy</v>
      </c>
      <c r="I3705" s="6">
        <f t="shared" si="2"/>
        <v>60</v>
      </c>
      <c r="J3705" s="6">
        <f>IFERROR(__xludf.DUMMYFUNCTION("IF(H3705="""","""",
SUM(
ARRAYFORMULA(
IF(
REGEXMATCH(
"" ""&amp;H3705&amp;"" "",
"" ""&amp;Sentiment_Words!A$2:A3730&amp;"" ""
),
1,
0
)
)
)
)"),3.0)</f>
        <v>3</v>
      </c>
      <c r="K3705" s="4">
        <f>IFERROR(__xludf.DUMMYFUNCTION("IF(H3705="""","""",
SUM(
ARRAYFORMULA(
IF(
REGEXMATCH(
"" ""&amp;H3705&amp;"" "",
"" ""&amp;Sentiment_Words!B$2:B3730&amp;"" ""
),
1,
0
)
)
)
)"),1.0)</f>
        <v>1</v>
      </c>
      <c r="L3705" s="7" t="str">
        <f t="shared" si="3"/>
        <v>Food Safety</v>
      </c>
      <c r="M3705" s="7" t="str">
        <f t="shared" si="4"/>
        <v>Positive</v>
      </c>
      <c r="N3705" s="7" t="str">
        <f>IFERROR(__xludf.DUMMYFUNCTION("LOWER(
TRIM(
REGEXREPLACE(B3705,""[^a-zA-Z\s]"","""")
)
)
"),"alan fertel")</f>
        <v>alan fertel</v>
      </c>
      <c r="O3705" s="7">
        <f t="shared" si="5"/>
        <v>1</v>
      </c>
      <c r="P3705" s="8" t="str">
        <f t="shared" si="6"/>
        <v>No</v>
      </c>
    </row>
    <row r="3706">
      <c r="A3706" s="4" t="s">
        <v>16</v>
      </c>
      <c r="B3706" s="4" t="s">
        <v>10254</v>
      </c>
      <c r="C3706" s="9">
        <v>44475.0</v>
      </c>
      <c r="D3706" s="10">
        <v>44475.0</v>
      </c>
      <c r="E3706" s="4" t="s">
        <v>10255</v>
      </c>
      <c r="F3706" s="4" t="s">
        <v>10256</v>
      </c>
      <c r="G3706" s="6" t="str">
        <f>IFERROR(__xludf.DUMMYFUNCTION("REGEXREPLACE(LOWER(F3706),""[^a-z\s]"","""")"),"each time i placed an order of what was supposed to be in stock the company took my order and my credit card information and then days later told me the product was no longer available it really felt like a bait and switch after it happened  times really "&amp;"bad business practices")</f>
        <v>each time i placed an order of what was supposed to be in stock the company took my order and my credit card information and then days later told me the product was no longer available it really felt like a bait and switch after it happened  times really bad business practices</v>
      </c>
      <c r="H3706" s="4" t="str">
        <f t="shared" si="1"/>
        <v>each time i placed an order of what was supposed be in stock company took my order my credit card information then days later told me product was no longer available it really felt like a bait switch after it happened times really bad business practices</v>
      </c>
      <c r="I3706" s="6">
        <f t="shared" si="2"/>
        <v>46</v>
      </c>
      <c r="J3706" s="6">
        <f>IFERROR(__xludf.DUMMYFUNCTION("IF(H3706="""","""",
SUM(
ARRAYFORMULA(
IF(
REGEXMATCH(
"" ""&amp;H3706&amp;"" "",
"" ""&amp;Sentiment_Words!A$2:A3730&amp;"" ""
),
1,
0
)
)
)
)"),1.0)</f>
        <v>1</v>
      </c>
      <c r="K3706" s="4">
        <f>IFERROR(__xludf.DUMMYFUNCTION("IF(H3706="""","""",
SUM(
ARRAYFORMULA(
IF(
REGEXMATCH(
"" ""&amp;H3706&amp;"" "",
"" ""&amp;Sentiment_Words!B$2:B3730&amp;"" ""
),
1,
0
)
)
)
)"),0.0)</f>
        <v>0</v>
      </c>
      <c r="L3706" s="7" t="str">
        <f t="shared" si="3"/>
        <v>Fulfillment &amp; Shipping</v>
      </c>
      <c r="M3706" s="7" t="str">
        <f t="shared" si="4"/>
        <v>Positive</v>
      </c>
      <c r="N3706" s="7" t="str">
        <f>IFERROR(__xludf.DUMMYFUNCTION("LOWER(
TRIM(
REGEXREPLACE(B3706,""[^a-zA-Z\s]"","""")
)
)
"),"sheri")</f>
        <v>sheri</v>
      </c>
      <c r="O3706" s="7">
        <f t="shared" si="5"/>
        <v>1</v>
      </c>
      <c r="P3706" s="8" t="str">
        <f t="shared" si="6"/>
        <v>No</v>
      </c>
    </row>
    <row r="3707">
      <c r="A3707" s="4" t="s">
        <v>16</v>
      </c>
      <c r="B3707" s="4" t="s">
        <v>10257</v>
      </c>
      <c r="C3707" s="9">
        <v>44475.0</v>
      </c>
      <c r="D3707" s="10">
        <v>44475.0</v>
      </c>
      <c r="E3707" s="4" t="s">
        <v>10258</v>
      </c>
      <c r="F3707" s="4" t="s">
        <v>10259</v>
      </c>
      <c r="G3707" s="6" t="str">
        <f>IFERROR(__xludf.DUMMYFUNCTION("REGEXREPLACE(LOWER(F3707),""[^a-z\s]"","""")"),"specialty food said available on website called to be sure available too emailed a week later on backorder very poor customer service")</f>
        <v>specialty food said available on website called to be sure available too emailed a week later on backorder very poor customer service</v>
      </c>
      <c r="H3707" s="4" t="str">
        <f t="shared" si="1"/>
        <v>specialty food said available on website called be sure available too emailed a week later on backorder very poor customer service</v>
      </c>
      <c r="I3707" s="6">
        <f t="shared" si="2"/>
        <v>21</v>
      </c>
      <c r="J3707" s="6">
        <f>IFERROR(__xludf.DUMMYFUNCTION("IF(H3707="""","""",
SUM(
ARRAYFORMULA(
IF(
REGEXMATCH(
"" ""&amp;H3707&amp;"" "",
"" ""&amp;Sentiment_Words!A$2:A3730&amp;"" ""
),
1,
0
)
)
)
)"),1.0)</f>
        <v>1</v>
      </c>
      <c r="K3707" s="4">
        <f>IFERROR(__xludf.DUMMYFUNCTION("IF(H3707="""","""",
SUM(
ARRAYFORMULA(
IF(
REGEXMATCH(
"" ""&amp;H3707&amp;"" "",
"" ""&amp;Sentiment_Words!B$2:B3730&amp;"" ""
),
1,
0
)
)
)
)"),1.0)</f>
        <v>1</v>
      </c>
      <c r="L3707" s="7" t="str">
        <f t="shared" si="3"/>
        <v>Customer Support</v>
      </c>
      <c r="M3707" s="7" t="str">
        <f t="shared" si="4"/>
        <v>Neutral</v>
      </c>
      <c r="N3707" s="7" t="str">
        <f>IFERROR(__xludf.DUMMYFUNCTION("LOWER(
TRIM(
REGEXREPLACE(B3707,""[^a-zA-Z\s]"","""")
)
)
"),"mary anne")</f>
        <v>mary anne</v>
      </c>
      <c r="O3707" s="7">
        <f t="shared" si="5"/>
        <v>1</v>
      </c>
      <c r="P3707" s="8" t="str">
        <f t="shared" si="6"/>
        <v>No</v>
      </c>
    </row>
    <row r="3708">
      <c r="A3708" s="4" t="s">
        <v>16</v>
      </c>
      <c r="B3708" s="4" t="s">
        <v>10260</v>
      </c>
      <c r="C3708" s="9">
        <v>44475.0</v>
      </c>
      <c r="D3708" s="10">
        <v>44475.0</v>
      </c>
      <c r="E3708" s="4" t="s">
        <v>10261</v>
      </c>
      <c r="F3708" s="4" t="s">
        <v>10262</v>
      </c>
      <c r="G3708" s="6" t="str">
        <f>IFERROR(__xludf.DUMMYFUNCTION("REGEXREPLACE(LOWER(F3708),""[^a-z\s]"","""")"),"i still havent received my dog food fedex keeps saying exception and attempted delivery that never occurred")</f>
        <v>i still havent received my dog food fedex keeps saying exception and attempted delivery that never occurred</v>
      </c>
      <c r="H3708" s="4" t="str">
        <f t="shared" si="1"/>
        <v>i still havent received my dog food fedex keeps saying exception attempted delivery that never occurred</v>
      </c>
      <c r="I3708" s="6">
        <f t="shared" si="2"/>
        <v>16</v>
      </c>
      <c r="J3708" s="6">
        <f>IFERROR(__xludf.DUMMYFUNCTION("IF(H3708="""","""",
SUM(
ARRAYFORMULA(
IF(
REGEXMATCH(
"" ""&amp;H3708&amp;"" "",
"" ""&amp;Sentiment_Words!A$2:A3730&amp;"" ""
),
1,
0
)
)
)
)"),0.0)</f>
        <v>0</v>
      </c>
      <c r="K3708" s="4">
        <f>IFERROR(__xludf.DUMMYFUNCTION("IF(H3708="""","""",
SUM(
ARRAYFORMULA(
IF(
REGEXMATCH(
"" ""&amp;H3708&amp;"" "",
"" ""&amp;Sentiment_Words!B$2:B3730&amp;"" ""
),
1,
0
)
)
)
)"),0.0)</f>
        <v>0</v>
      </c>
      <c r="L3708" s="7" t="str">
        <f t="shared" si="3"/>
        <v>Other</v>
      </c>
      <c r="M3708" s="7" t="str">
        <f t="shared" si="4"/>
        <v>Neutral</v>
      </c>
      <c r="N3708" s="7" t="str">
        <f>IFERROR(__xludf.DUMMYFUNCTION("LOWER(
TRIM(
REGEXREPLACE(B3708,""[^a-zA-Z\s]"","""")
)
)
"),"tammy h")</f>
        <v>tammy h</v>
      </c>
      <c r="O3708" s="7">
        <f t="shared" si="5"/>
        <v>1</v>
      </c>
      <c r="P3708" s="8" t="str">
        <f t="shared" si="6"/>
        <v>No</v>
      </c>
    </row>
    <row r="3709">
      <c r="A3709" s="4" t="s">
        <v>16</v>
      </c>
      <c r="B3709" s="4" t="s">
        <v>10263</v>
      </c>
      <c r="C3709" s="9">
        <v>44475.0</v>
      </c>
      <c r="D3709" s="10">
        <v>44475.0</v>
      </c>
      <c r="E3709" s="4" t="s">
        <v>10264</v>
      </c>
      <c r="F3709" s="4" t="s">
        <v>10265</v>
      </c>
      <c r="G3709" s="6" t="str">
        <f>IFERROR(__xludf.DUMMYFUNCTION("REGEXREPLACE(LOWER(F3709),""[^a-z\s]"","""")"),"i couldnt find this prescription treat for my dog anywhere but petflow had it in stock my dog is happy she can have a couple of treats a day now thanks to petflow")</f>
        <v>i couldnt find this prescription treat for my dog anywhere but petflow had it in stock my dog is happy she can have a couple of treats a day now thanks to petflow</v>
      </c>
      <c r="H3709" s="4" t="str">
        <f t="shared" si="1"/>
        <v>i couldnt find this prescription treat my dog anywhere but petflow had it in stock my dog happy she can have a couple of treats a day now thanks petflow</v>
      </c>
      <c r="I3709" s="6">
        <f t="shared" si="2"/>
        <v>30</v>
      </c>
      <c r="J3709" s="6">
        <f>IFERROR(__xludf.DUMMYFUNCTION("IF(H3709="""","""",
SUM(
ARRAYFORMULA(
IF(
REGEXMATCH(
"" ""&amp;H3709&amp;"" "",
"" ""&amp;Sentiment_Words!A$2:A3730&amp;"" ""
),
1,
0
)
)
)
)"),1.0)</f>
        <v>1</v>
      </c>
      <c r="K3709" s="4">
        <f>IFERROR(__xludf.DUMMYFUNCTION("IF(H3709="""","""",
SUM(
ARRAYFORMULA(
IF(
REGEXMATCH(
"" ""&amp;H3709&amp;"" "",
"" ""&amp;Sentiment_Words!B$2:B3730&amp;"" ""
),
1,
0
)
)
)
)"),0.0)</f>
        <v>0</v>
      </c>
      <c r="L3709" s="7" t="str">
        <f t="shared" si="3"/>
        <v>Other</v>
      </c>
      <c r="M3709" s="7" t="str">
        <f t="shared" si="4"/>
        <v>Positive</v>
      </c>
      <c r="N3709" s="7" t="str">
        <f>IFERROR(__xludf.DUMMYFUNCTION("LOWER(
TRIM(
REGEXREPLACE(B3709,""[^a-zA-Z\s]"","""")
)
)
"),"christy jones")</f>
        <v>christy jones</v>
      </c>
      <c r="O3709" s="7">
        <f t="shared" si="5"/>
        <v>1</v>
      </c>
      <c r="P3709" s="8" t="str">
        <f t="shared" si="6"/>
        <v>No</v>
      </c>
    </row>
    <row r="3710">
      <c r="A3710" s="4" t="s">
        <v>16</v>
      </c>
      <c r="B3710" s="4" t="s">
        <v>4282</v>
      </c>
      <c r="C3710" s="9">
        <v>44475.0</v>
      </c>
      <c r="D3710" s="10">
        <v>44475.0</v>
      </c>
      <c r="E3710" s="4" t="s">
        <v>10266</v>
      </c>
      <c r="F3710" s="4" t="s">
        <v>10267</v>
      </c>
      <c r="G3710" s="6" t="str">
        <f>IFERROR(__xludf.DUMMYFUNCTION("REGEXREPLACE(LOWER(F3710),""[^a-z\s]"","""")"),"fast delivery  easy to use website
thank you
laura")</f>
        <v>fast delivery  easy to use website
thank you
laura</v>
      </c>
      <c r="H3710" s="4" t="str">
        <f t="shared" si="1"/>
        <v>fast delivery easy use website
thank you
laura</v>
      </c>
      <c r="I3710" s="6">
        <f t="shared" si="2"/>
        <v>6</v>
      </c>
      <c r="J3710" s="6">
        <f>IFERROR(__xludf.DUMMYFUNCTION("IF(H3710="""","""",
SUM(
ARRAYFORMULA(
IF(
REGEXMATCH(
"" ""&amp;H3710&amp;"" "",
"" ""&amp;Sentiment_Words!A$2:A3730&amp;"" ""
),
1,
0
)
)
)
)"),3.0)</f>
        <v>3</v>
      </c>
      <c r="K3710" s="4">
        <f>IFERROR(__xludf.DUMMYFUNCTION("IF(H3710="""","""",
SUM(
ARRAYFORMULA(
IF(
REGEXMATCH(
"" ""&amp;H3710&amp;"" "",
"" ""&amp;Sentiment_Words!B$2:B3730&amp;"" ""
),
1,
0
)
)
)
)"),0.0)</f>
        <v>0</v>
      </c>
      <c r="L3710" s="7" t="str">
        <f t="shared" si="3"/>
        <v>Account &amp; Website</v>
      </c>
      <c r="M3710" s="7" t="str">
        <f t="shared" si="4"/>
        <v>Positive</v>
      </c>
      <c r="N3710" s="7" t="str">
        <f>IFERROR(__xludf.DUMMYFUNCTION("LOWER(
TRIM(
REGEXREPLACE(B3710,""[^a-zA-Z\s]"","""")
)
)
"),"laura")</f>
        <v>laura</v>
      </c>
      <c r="O3710" s="7">
        <f t="shared" si="5"/>
        <v>3</v>
      </c>
      <c r="P3710" s="8" t="str">
        <f t="shared" si="6"/>
        <v>Yes</v>
      </c>
    </row>
    <row r="3711">
      <c r="A3711" s="4" t="s">
        <v>16</v>
      </c>
      <c r="B3711" s="4" t="s">
        <v>10268</v>
      </c>
      <c r="C3711" s="9">
        <v>44474.0</v>
      </c>
      <c r="D3711" s="10">
        <v>44474.0</v>
      </c>
      <c r="E3711" s="4" t="s">
        <v>10269</v>
      </c>
      <c r="F3711" s="4" t="s">
        <v>10270</v>
      </c>
      <c r="G3711" s="6" t="str">
        <f>IFERROR(__xludf.DUMMYFUNCTION("REGEXREPLACE(LOWER(F3711),""[^a-z\s]"","""")"),"fast service as usual product in good condition well packaged")</f>
        <v>fast service as usual product in good condition well packaged</v>
      </c>
      <c r="H3711" s="4" t="str">
        <f t="shared" si="1"/>
        <v>fast service as usual product in good condition well packaged</v>
      </c>
      <c r="I3711" s="6">
        <f t="shared" si="2"/>
        <v>10</v>
      </c>
      <c r="J3711" s="6">
        <f>IFERROR(__xludf.DUMMYFUNCTION("IF(H3711="""","""",
SUM(
ARRAYFORMULA(
IF(
REGEXMATCH(
"" ""&amp;H3711&amp;"" "",
"" ""&amp;Sentiment_Words!A$2:A3730&amp;"" ""
),
1,
0
)
)
)
)"),2.0)</f>
        <v>2</v>
      </c>
      <c r="K3711" s="4">
        <f>IFERROR(__xludf.DUMMYFUNCTION("IF(H3711="""","""",
SUM(
ARRAYFORMULA(
IF(
REGEXMATCH(
"" ""&amp;H3711&amp;"" "",
"" ""&amp;Sentiment_Words!B$2:B3730&amp;"" ""
),
1,
0
)
)
)
)"),0.0)</f>
        <v>0</v>
      </c>
      <c r="L3711" s="7" t="str">
        <f t="shared" si="3"/>
        <v>Customer Support</v>
      </c>
      <c r="M3711" s="7" t="str">
        <f t="shared" si="4"/>
        <v>Positive</v>
      </c>
      <c r="N3711" s="7" t="str">
        <f>IFERROR(__xludf.DUMMYFUNCTION("LOWER(
TRIM(
REGEXREPLACE(B3711,""[^a-zA-Z\s]"","""")
)
)
"),"morris")</f>
        <v>morris</v>
      </c>
      <c r="O3711" s="7">
        <f t="shared" si="5"/>
        <v>1</v>
      </c>
      <c r="P3711" s="8" t="str">
        <f t="shared" si="6"/>
        <v>No</v>
      </c>
    </row>
    <row r="3712">
      <c r="A3712" s="4" t="s">
        <v>16</v>
      </c>
      <c r="B3712" s="4" t="s">
        <v>10271</v>
      </c>
      <c r="C3712" s="9">
        <v>44474.0</v>
      </c>
      <c r="D3712" s="10">
        <v>44474.0</v>
      </c>
      <c r="E3712" s="4" t="s">
        <v>10272</v>
      </c>
      <c r="F3712" s="4" t="s">
        <v>10273</v>
      </c>
      <c r="G3712" s="6" t="str">
        <f>IFERROR(__xludf.DUMMYFUNCTION("REGEXREPLACE(LOWER(F3712),""[^a-z\s]"","""")"),"wonderful product arrived as promised good company to do business with")</f>
        <v>wonderful product arrived as promised good company to do business with</v>
      </c>
      <c r="H3712" s="4" t="str">
        <f t="shared" si="1"/>
        <v>wonderful product arrived as promised good company do business with</v>
      </c>
      <c r="I3712" s="6">
        <f t="shared" si="2"/>
        <v>10</v>
      </c>
      <c r="J3712" s="6">
        <f>IFERROR(__xludf.DUMMYFUNCTION("IF(H3712="""","""",
SUM(
ARRAYFORMULA(
IF(
REGEXMATCH(
"" ""&amp;H3712&amp;"" "",
"" ""&amp;Sentiment_Words!A$2:A3730&amp;"" ""
),
1,
0
)
)
)
)"),2.0)</f>
        <v>2</v>
      </c>
      <c r="K3712" s="4">
        <f>IFERROR(__xludf.DUMMYFUNCTION("IF(H3712="""","""",
SUM(
ARRAYFORMULA(
IF(
REGEXMATCH(
"" ""&amp;H3712&amp;"" "",
"" ""&amp;Sentiment_Words!B$2:B3730&amp;"" ""
),
1,
0
)
)
)
)"),0.0)</f>
        <v>0</v>
      </c>
      <c r="L3712" s="7" t="str">
        <f t="shared" si="3"/>
        <v>Other</v>
      </c>
      <c r="M3712" s="7" t="str">
        <f t="shared" si="4"/>
        <v>Positive</v>
      </c>
      <c r="N3712" s="7" t="str">
        <f>IFERROR(__xludf.DUMMYFUNCTION("LOWER(
TRIM(
REGEXREPLACE(B3712,""[^a-zA-Z\s]"","""")
)
)
"),"ms dehn")</f>
        <v>ms dehn</v>
      </c>
      <c r="O3712" s="7">
        <f t="shared" si="5"/>
        <v>1</v>
      </c>
      <c r="P3712" s="8" t="str">
        <f t="shared" si="6"/>
        <v>No</v>
      </c>
    </row>
    <row r="3713">
      <c r="A3713" s="4" t="s">
        <v>16</v>
      </c>
      <c r="B3713" s="4" t="s">
        <v>10274</v>
      </c>
      <c r="C3713" s="9">
        <v>44473.0</v>
      </c>
      <c r="D3713" s="10">
        <v>44474.0</v>
      </c>
      <c r="E3713" s="4" t="s">
        <v>10275</v>
      </c>
      <c r="F3713" s="4" t="s">
        <v>10276</v>
      </c>
      <c r="G3713" s="6" t="str">
        <f>IFERROR(__xludf.DUMMYFUNCTION("REGEXREPLACE(LOWER(F3713),""[^a-z\s]"","""")"),"ordered rx catcase cansblue wu on  vet contacted on  responded same day on  still no confirmation that order had shipped
  had made calls earlyon to check to see if everything had been approved processed and had specifically asked when placing the order "&amp;"having any issues with inventory or getting the diets their answer was no not at all
  you can not be connected to any type of supervisor we dont have the ability to transfer a call we can email them and they will call you
when might that be sometimes th"&amp;"e same day most likely the next day would you like me to send that request yes  spoke with a supervisor on the th cancelled my order
in between those times i had spoken with csrs  they were nice and tried to be helpful but gave conflicting information i "&amp;"was told on  occasions everything was fine and the customer service reps didnt know why things werent moving along but assured me it should be any time another said he would look into it and call or email me back  nope  on another call i was told there wa"&amp;"s now difficulty from the manufacturers with their ability to make and ship the product
sadly the first taught rule of thumb is to shift or pass the responsibilityblame of an issue onto something or someone else especially if you dont have an adequate ans"&amp;"wer or explanation and it is or was most likely your mistake
im pretty sure blue didnt call petflow just that very day and say oops no shipments also no capabilities for transfer to a supervisor these dayscomon
on the th i did have amy pick up my call s"&amp;"he recognized my  or name and identified herself as the supervisor that was supposed to have called me she explained she tried to call and my phone number would not let her go through okayim not really sure what that means buto
i asked her about the produ"&amp;"ction issues with blue she told me there werent any i gave her the information i was given and she said no no problems that shed been informed of or aware of thats when i decided itd be easier to just cancel the order
after i hungup i called a company on"&amp;" the west coast a family owned business and excellent communicators their annex that their rx food orders go to are also closed on sat  sun just like petflows
i ordered on  approved  shipped today   now thats how to do it will receive by    bea  u  ti  f"&amp;"ul")</f>
        <v>ordered rx catcase cansblue wu on  vet contacted on  responded same day on  still no confirmation that order had shipped
  had made calls earlyon to check to see if everything had been approved processed and had specifically asked when placing the order having any issues with inventory or getting the diets their answer was no not at all
  you can not be connected to any type of supervisor we dont have the ability to transfer a call we can email them and they will call you
when might that be sometimes the same day most likely the next day would you like me to send that request yes  spoke with a supervisor on the th cancelled my order
in between those times i had spoken with csrs  they were nice and tried to be helpful but gave conflicting information i was told on  occasions everything was fine and the customer service reps didnt know why things werent moving along but assured me it should be any time another said he would look into it and call or email me back  nope  on another call i was told there was now difficulty from the manufacturers with their ability to make and ship the product
sadly the first taught rule of thumb is to shift or pass the responsibilityblame of an issue onto something or someone else especially if you dont have an adequate answer or explanation and it is or was most likely your mistake
im pretty sure blue didnt call petflow just that very day and say oops no shipments also no capabilities for transfer to a supervisor these dayscomon
on the th i did have amy pick up my call she recognized my  or name and identified herself as the supervisor that was supposed to have called me she explained she tried to call and my phone number would not let her go through okayim not really sure what that means buto
i asked her about the production issues with blue she told me there werent any i gave her the information i was given and she said no no problems that shed been informed of or aware of thats when i decided itd be easier to just cancel the order
after i hungup i called a company on the west coast a family owned business and excellent communicators their annex that their rx food orders go to are also closed on sat  sun just like petflows
i ordered on  approved  shipped today   now thats how to do it will receive by    bea  u  ti  ful</v>
      </c>
      <c r="H3713" s="4" t="str">
        <f t="shared" si="1"/>
        <v>ordered rx catcase cansblue wu on vet contacted on responded same day on still no confirmation that order had shipped
 had made calls earlyon check see if everything had been approved processed had specifically asked when placing order having any issues with inventory or getting diets their answer was no not at all
 you can not be connected any type of supervisor we dont have ability transfer a call we can email them they will call you
when might that be sometimes same day most likely next day would you like me send that request yes spoke with a supervisor on th cancelled my order
in between those times i had spoken with csrs they were nice tried be helpful but gave conflicting information i was told on occasions everything was fine customer service reps didnt know why things werent moving along but assured me it should be any time another said he would look into it call or email me back nope on another call i was told there was now difficulty from manufacturers with their ability make ship product
sadly first taught rule of thumb shift or pass responsibilityblame of an issue onto something or someone else especially if you dont have an adequate answer or explanation it or was most likely your mistake
im pretty sure blue didnt call petflow just that very day say oops no shipments also no capabilities transfer a supervisor these dayscomon
on th i did have amy pick up my call she recognized my or name identified herself as supervisor that was supposed have called me she explained she tried call my phone number would not let her go through okayim not really sure what that means buto
i asked her about production issues with blue she told me there werent any i gave her information i was given she said no no problems that shed been informed of or aware of thats when i decided itd be easier just cancel order
after i hungup i called a company on west coast a family owned business excellent communicators their annex that their rx food orders go are also closed on sat sun just like petflows
i ordered on approved shipped today now thats how do it will receive by bea u ti ful</v>
      </c>
      <c r="I3713" s="6">
        <f t="shared" si="2"/>
        <v>373</v>
      </c>
      <c r="J3713" s="6">
        <f>IFERROR(__xludf.DUMMYFUNCTION("IF(H3713="""","""",
SUM(
ARRAYFORMULA(
IF(
REGEXMATCH(
"" ""&amp;H3713&amp;"" "",
"" ""&amp;Sentiment_Words!A$2:A3730&amp;"" ""
),
1,
0
)
)
)
)"),2.0)</f>
        <v>2</v>
      </c>
      <c r="K3713" s="4">
        <f>IFERROR(__xludf.DUMMYFUNCTION("IF(H3713="""","""",
SUM(
ARRAYFORMULA(
IF(
REGEXMATCH(
"" ""&amp;H3713&amp;"" "",
"" ""&amp;Sentiment_Words!B$2:B3730&amp;"" ""
),
1,
0
)
)
)
)"),3.0)</f>
        <v>3</v>
      </c>
      <c r="L3713" s="7" t="str">
        <f t="shared" si="3"/>
        <v>Customer Support</v>
      </c>
      <c r="M3713" s="7" t="str">
        <f t="shared" si="4"/>
        <v>Negative</v>
      </c>
      <c r="N3713" s="7" t="str">
        <f>IFERROR(__xludf.DUMMYFUNCTION("LOWER(
TRIM(
REGEXREPLACE(B3713,""[^a-zA-Z\s]"","""")
)
)
"),"d prof")</f>
        <v>d prof</v>
      </c>
      <c r="O3713" s="7">
        <f t="shared" si="5"/>
        <v>1</v>
      </c>
      <c r="P3713" s="8" t="str">
        <f t="shared" si="6"/>
        <v>No</v>
      </c>
    </row>
    <row r="3714">
      <c r="A3714" s="4" t="s">
        <v>16</v>
      </c>
      <c r="B3714" s="4" t="s">
        <v>431</v>
      </c>
      <c r="C3714" s="9">
        <v>44473.0</v>
      </c>
      <c r="D3714" s="10">
        <v>44473.0</v>
      </c>
      <c r="E3714" s="4" t="s">
        <v>10277</v>
      </c>
      <c r="F3714" s="4" t="s">
        <v>10278</v>
      </c>
      <c r="G3714" s="6" t="str">
        <f>IFERROR(__xludf.DUMMYFUNCTION("REGEXREPLACE(LOWER(F3714),""[^a-z\s]"","""")"),"as usual everything arrived timely and accurately")</f>
        <v>as usual everything arrived timely and accurately</v>
      </c>
      <c r="H3714" s="4" t="str">
        <f t="shared" si="1"/>
        <v>as usual everything arrived timely accurately</v>
      </c>
      <c r="I3714" s="6">
        <f t="shared" si="2"/>
        <v>6</v>
      </c>
      <c r="J3714" s="6">
        <f>IFERROR(__xludf.DUMMYFUNCTION("IF(H3714="""","""",
SUM(
ARRAYFORMULA(
IF(
REGEXMATCH(
"" ""&amp;H3714&amp;"" "",
"" ""&amp;Sentiment_Words!A$2:A3730&amp;"" ""
),
1,
0
)
)
)
)"),0.0)</f>
        <v>0</v>
      </c>
      <c r="K3714" s="4">
        <f>IFERROR(__xludf.DUMMYFUNCTION("IF(H3714="""","""",
SUM(
ARRAYFORMULA(
IF(
REGEXMATCH(
"" ""&amp;H3714&amp;"" "",
"" ""&amp;Sentiment_Words!B$2:B3730&amp;"" ""
),
1,
0
)
)
)
)"),0.0)</f>
        <v>0</v>
      </c>
      <c r="L3714" s="7" t="str">
        <f t="shared" si="3"/>
        <v>Other</v>
      </c>
      <c r="M3714" s="7" t="str">
        <f t="shared" si="4"/>
        <v>Neutral</v>
      </c>
      <c r="N3714" s="7" t="str">
        <f>IFERROR(__xludf.DUMMYFUNCTION("LOWER(
TRIM(
REGEXREPLACE(B3714,""[^a-zA-Z\s]"","""")
)
)
"),"happy customer")</f>
        <v>happy customer</v>
      </c>
      <c r="O3714" s="7">
        <f t="shared" si="5"/>
        <v>2</v>
      </c>
      <c r="P3714" s="8" t="str">
        <f t="shared" si="6"/>
        <v>Yes</v>
      </c>
    </row>
    <row r="3715">
      <c r="A3715" s="4" t="s">
        <v>16</v>
      </c>
      <c r="B3715" s="4" t="s">
        <v>6832</v>
      </c>
      <c r="C3715" s="9">
        <v>44473.0</v>
      </c>
      <c r="D3715" s="10">
        <v>44473.0</v>
      </c>
      <c r="E3715" s="4" t="s">
        <v>10279</v>
      </c>
      <c r="F3715" s="4" t="s">
        <v>10280</v>
      </c>
      <c r="G3715" s="6" t="str">
        <f>IFERROR(__xludf.DUMMYFUNCTION("REGEXREPLACE(LOWER(F3715),""[^a-z\s]"","""")"),"i ordered the prescription dogfood i needed nothing happened i called customer service and they told me they would expedite getting it shipped
a day later i got an email saying it was out of stock this should not have happened now i am hunting for the foo"&amp;"d my dog needs")</f>
        <v>i ordered the prescription dogfood i needed nothing happened i called customer service and they told me they would expedite getting it shipped
a day later i got an email saying it was out of stock this should not have happened now i am hunting for the food my dog needs</v>
      </c>
      <c r="H3715" s="4" t="str">
        <f t="shared" si="1"/>
        <v>i ordered prescription dogfood i needed nothing happened i called customer service they told me they would expedite getting it shipped
a day later i got an email saying it was out of stock this should not have happened now i am hunting food my dog needs</v>
      </c>
      <c r="I3715" s="6">
        <f t="shared" si="2"/>
        <v>46</v>
      </c>
      <c r="J3715" s="6">
        <f>IFERROR(__xludf.DUMMYFUNCTION("IF(H3715="""","""",
SUM(
ARRAYFORMULA(
IF(
REGEXMATCH(
"" ""&amp;H3715&amp;"" "",
"" ""&amp;Sentiment_Words!A$2:A3730&amp;"" ""
),
1,
0
)
)
)
)"),0.0)</f>
        <v>0</v>
      </c>
      <c r="K3715" s="4">
        <f>IFERROR(__xludf.DUMMYFUNCTION("IF(H3715="""","""",
SUM(
ARRAYFORMULA(
IF(
REGEXMATCH(
"" ""&amp;H3715&amp;"" "",
"" ""&amp;Sentiment_Words!B$2:B3730&amp;"" ""
),
1,
0
)
)
)
)"),2.0)</f>
        <v>2</v>
      </c>
      <c r="L3715" s="7" t="str">
        <f t="shared" si="3"/>
        <v>Customer Support</v>
      </c>
      <c r="M3715" s="7" t="str">
        <f t="shared" si="4"/>
        <v>Negative</v>
      </c>
      <c r="N3715" s="7" t="str">
        <f>IFERROR(__xludf.DUMMYFUNCTION("LOWER(
TRIM(
REGEXREPLACE(B3715,""[^a-zA-Z\s]"","""")
)
)
"),"jane")</f>
        <v>jane</v>
      </c>
      <c r="O3715" s="7">
        <f t="shared" si="5"/>
        <v>4</v>
      </c>
      <c r="P3715" s="8" t="str">
        <f t="shared" si="6"/>
        <v>Yes</v>
      </c>
    </row>
    <row r="3716">
      <c r="A3716" s="4" t="s">
        <v>16</v>
      </c>
      <c r="B3716" s="4" t="s">
        <v>10117</v>
      </c>
      <c r="C3716" s="9">
        <v>44473.0</v>
      </c>
      <c r="D3716" s="10">
        <v>44473.0</v>
      </c>
      <c r="E3716" s="4" t="s">
        <v>10281</v>
      </c>
      <c r="F3716" s="4" t="s">
        <v>10282</v>
      </c>
      <c r="G3716" s="6" t="str">
        <f>IFERROR(__xludf.DUMMYFUNCTION("REGEXREPLACE(LOWER(F3716),""[^a-z\s]"","""")"),"discount was removed by site after checkout ordered from different supplier will not buy from petflow again")</f>
        <v>discount was removed by site after checkout ordered from different supplier will not buy from petflow again</v>
      </c>
      <c r="H3716" s="4" t="str">
        <f t="shared" si="1"/>
        <v>discount was removed by site after checkout ordered from different supplier will not buy from petflow again</v>
      </c>
      <c r="I3716" s="6">
        <f t="shared" si="2"/>
        <v>17</v>
      </c>
      <c r="J3716" s="6">
        <f>IFERROR(__xludf.DUMMYFUNCTION("IF(H3716="""","""",
SUM(
ARRAYFORMULA(
IF(
REGEXMATCH(
"" ""&amp;H3716&amp;"" "",
"" ""&amp;Sentiment_Words!A$2:A3730&amp;"" ""
),
1,
0
)
)
)
)"),0.0)</f>
        <v>0</v>
      </c>
      <c r="K3716" s="4">
        <f>IFERROR(__xludf.DUMMYFUNCTION("IF(H3716="""","""",
SUM(
ARRAYFORMULA(
IF(
REGEXMATCH(
"" ""&amp;H3716&amp;"" "",
"" ""&amp;Sentiment_Words!B$2:B3730&amp;"" ""
),
1,
0
)
)
)
)"),0.0)</f>
        <v>0</v>
      </c>
      <c r="L3716" s="7" t="str">
        <f t="shared" si="3"/>
        <v>Other</v>
      </c>
      <c r="M3716" s="7" t="str">
        <f t="shared" si="4"/>
        <v>Neutral</v>
      </c>
      <c r="N3716" s="7" t="str">
        <f>IFERROR(__xludf.DUMMYFUNCTION("LOWER(
TRIM(
REGEXREPLACE(B3716,""[^a-zA-Z\s]"","""")
)
)
"),"james")</f>
        <v>james</v>
      </c>
      <c r="O3716" s="7">
        <f t="shared" si="5"/>
        <v>5</v>
      </c>
      <c r="P3716" s="8" t="str">
        <f t="shared" si="6"/>
        <v>Yes</v>
      </c>
    </row>
    <row r="3717">
      <c r="A3717" s="4" t="s">
        <v>16</v>
      </c>
      <c r="B3717" s="4" t="s">
        <v>56</v>
      </c>
      <c r="C3717" s="9">
        <v>44473.0</v>
      </c>
      <c r="D3717" s="10">
        <v>44473.0</v>
      </c>
      <c r="E3717" s="4" t="s">
        <v>10283</v>
      </c>
      <c r="F3717" s="4" t="s">
        <v>10284</v>
      </c>
      <c r="G3717" s="6" t="str">
        <f>IFERROR(__xludf.DUMMYFUNCTION("REGEXREPLACE(LOWER(F3717),""[^a-z\s]"","""")"),"i have been satisfied with all orders placed")</f>
        <v>i have been satisfied with all orders placed</v>
      </c>
      <c r="H3717" s="4" t="str">
        <f t="shared" si="1"/>
        <v>i have been satisfied with all orders placed</v>
      </c>
      <c r="I3717" s="6">
        <f t="shared" si="2"/>
        <v>8</v>
      </c>
      <c r="J3717" s="6">
        <f>IFERROR(__xludf.DUMMYFUNCTION("IF(H3717="""","""",
SUM(
ARRAYFORMULA(
IF(
REGEXMATCH(
"" ""&amp;H3717&amp;"" "",
"" ""&amp;Sentiment_Words!A$2:A3730&amp;"" ""
),
1,
0
)
)
)
)"),1.0)</f>
        <v>1</v>
      </c>
      <c r="K3717" s="4">
        <f>IFERROR(__xludf.DUMMYFUNCTION("IF(H3717="""","""",
SUM(
ARRAYFORMULA(
IF(
REGEXMATCH(
"" ""&amp;H3717&amp;"" "",
"" ""&amp;Sentiment_Words!B$2:B3730&amp;"" ""
),
1,
0
)
)
)
)"),0.0)</f>
        <v>0</v>
      </c>
      <c r="L3717" s="7" t="str">
        <f t="shared" si="3"/>
        <v>Other</v>
      </c>
      <c r="M3717" s="7" t="str">
        <f t="shared" si="4"/>
        <v>Positive</v>
      </c>
      <c r="N3717" s="7" t="str">
        <f>IFERROR(__xludf.DUMMYFUNCTION("LOWER(
TRIM(
REGEXREPLACE(B3717,""[^a-zA-Z\s]"","""")
)
)
"),"customer")</f>
        <v>customer</v>
      </c>
      <c r="O3717" s="7">
        <f t="shared" si="5"/>
        <v>54</v>
      </c>
      <c r="P3717" s="8" t="str">
        <f t="shared" si="6"/>
        <v>Yes</v>
      </c>
    </row>
    <row r="3718">
      <c r="A3718" s="4" t="s">
        <v>16</v>
      </c>
      <c r="B3718" s="4" t="s">
        <v>10285</v>
      </c>
      <c r="C3718" s="9">
        <v>44473.0</v>
      </c>
      <c r="D3718" s="10">
        <v>44473.0</v>
      </c>
      <c r="E3718" s="4" t="s">
        <v>10286</v>
      </c>
      <c r="F3718" s="4" t="s">
        <v>10287</v>
      </c>
      <c r="G3718" s="6" t="str">
        <f>IFERROR(__xludf.DUMMYFUNCTION("REGEXREPLACE(LOWER(F3718),""[^a-z\s]"","""")"),"received my delivery on the day it was promised")</f>
        <v>received my delivery on the day it was promised</v>
      </c>
      <c r="H3718" s="4" t="str">
        <f t="shared" si="1"/>
        <v>received my delivery on day it was promised</v>
      </c>
      <c r="I3718" s="6">
        <f t="shared" si="2"/>
        <v>8</v>
      </c>
      <c r="J3718" s="6">
        <f>IFERROR(__xludf.DUMMYFUNCTION("IF(H3718="""","""",
SUM(
ARRAYFORMULA(
IF(
REGEXMATCH(
"" ""&amp;H3718&amp;"" "",
"" ""&amp;Sentiment_Words!A$2:A3730&amp;"" ""
),
1,
0
)
)
)
)"),0.0)</f>
        <v>0</v>
      </c>
      <c r="K3718" s="4">
        <f>IFERROR(__xludf.DUMMYFUNCTION("IF(H3718="""","""",
SUM(
ARRAYFORMULA(
IF(
REGEXMATCH(
"" ""&amp;H3718&amp;"" "",
"" ""&amp;Sentiment_Words!B$2:B3730&amp;"" ""
),
1,
0
)
)
)
)"),0.0)</f>
        <v>0</v>
      </c>
      <c r="L3718" s="7" t="str">
        <f t="shared" si="3"/>
        <v>Other</v>
      </c>
      <c r="M3718" s="7" t="str">
        <f t="shared" si="4"/>
        <v>Neutral</v>
      </c>
      <c r="N3718" s="7" t="str">
        <f>IFERROR(__xludf.DUMMYFUNCTION("LOWER(
TRIM(
REGEXREPLACE(B3718,""[^a-zA-Z\s]"","""")
)
)
"),"jane funk")</f>
        <v>jane funk</v>
      </c>
      <c r="O3718" s="7">
        <f t="shared" si="5"/>
        <v>1</v>
      </c>
      <c r="P3718" s="8" t="str">
        <f t="shared" si="6"/>
        <v>No</v>
      </c>
    </row>
    <row r="3719">
      <c r="A3719" s="4" t="s">
        <v>16</v>
      </c>
      <c r="B3719" s="4" t="s">
        <v>10288</v>
      </c>
      <c r="C3719" s="9">
        <v>44473.0</v>
      </c>
      <c r="D3719" s="10">
        <v>44473.0</v>
      </c>
      <c r="E3719" s="4" t="s">
        <v>10289</v>
      </c>
      <c r="F3719" s="4" t="s">
        <v>10290</v>
      </c>
      <c r="G3719" s="6" t="str">
        <f>IFERROR(__xludf.DUMMYFUNCTION("REGEXREPLACE(LOWER(F3719),""[^a-z\s]"","""")"),"the quality if your products is what keeps me coming back also you have a few things i have never seen anywhere else i would purchase a lot more from petflow if you had discounts or rewards for loyal customers i spend a ton of money on my dogs most of it "&amp;"is spent at chewy or amazon")</f>
        <v>the quality if your products is what keeps me coming back also you have a few things i have never seen anywhere else i would purchase a lot more from petflow if you had discounts or rewards for loyal customers i spend a ton of money on my dogs most of it is spent at chewy or amazon</v>
      </c>
      <c r="H3719" s="4" t="str">
        <f t="shared" si="1"/>
        <v>quality if your products what keeps me coming back also you have a few things i have never seen anywhere else i would purchase a lot more from petflow if you had discounts or rewards loyal customers i spend a ton of money on my dogs most of it spent at chewy or amazon</v>
      </c>
      <c r="I3719" s="6">
        <f t="shared" si="2"/>
        <v>54</v>
      </c>
      <c r="J3719" s="6">
        <f>IFERROR(__xludf.DUMMYFUNCTION("IF(H3719="""","""",
SUM(
ARRAYFORMULA(
IF(
REGEXMATCH(
"" ""&amp;H3719&amp;"" "",
"" ""&amp;Sentiment_Words!A$2:A3730&amp;"" ""
),
1,
0
)
)
)
)"),0.0)</f>
        <v>0</v>
      </c>
      <c r="K3719" s="4">
        <f>IFERROR(__xludf.DUMMYFUNCTION("IF(H3719="""","""",
SUM(
ARRAYFORMULA(
IF(
REGEXMATCH(
"" ""&amp;H3719&amp;"" "",
"" ""&amp;Sentiment_Words!B$2:B3730&amp;"" ""
),
1,
0
)
)
)
)"),0.0)</f>
        <v>0</v>
      </c>
      <c r="L3719" s="7" t="str">
        <f t="shared" si="3"/>
        <v>Other</v>
      </c>
      <c r="M3719" s="7" t="str">
        <f t="shared" si="4"/>
        <v>Neutral</v>
      </c>
      <c r="N3719" s="7" t="str">
        <f>IFERROR(__xludf.DUMMYFUNCTION("LOWER(
TRIM(
REGEXREPLACE(B3719,""[^a-zA-Z\s]"","""")
)
)
"),"judith hatfeild")</f>
        <v>judith hatfeild</v>
      </c>
      <c r="O3719" s="7">
        <f t="shared" si="5"/>
        <v>1</v>
      </c>
      <c r="P3719" s="8" t="str">
        <f t="shared" si="6"/>
        <v>No</v>
      </c>
    </row>
    <row r="3720">
      <c r="A3720" s="4" t="s">
        <v>16</v>
      </c>
      <c r="B3720" s="4" t="s">
        <v>10291</v>
      </c>
      <c r="C3720" s="9">
        <v>44473.0</v>
      </c>
      <c r="D3720" s="10">
        <v>44473.0</v>
      </c>
      <c r="E3720" s="4" t="s">
        <v>10292</v>
      </c>
      <c r="F3720" s="4" t="s">
        <v>10293</v>
      </c>
      <c r="G3720" s="6" t="str">
        <f>IFERROR(__xludf.DUMMYFUNCTION("REGEXREPLACE(LOWER(F3720),""[^a-z\s]"","""")"),"love the service they try to make sure my order is filled every month")</f>
        <v>love the service they try to make sure my order is filled every month</v>
      </c>
      <c r="H3720" s="4" t="str">
        <f t="shared" si="1"/>
        <v>love service they try make sure my order filled every month</v>
      </c>
      <c r="I3720" s="6">
        <f t="shared" si="2"/>
        <v>11</v>
      </c>
      <c r="J3720" s="6">
        <f>IFERROR(__xludf.DUMMYFUNCTION("IF(H3720="""","""",
SUM(
ARRAYFORMULA(
IF(
REGEXMATCH(
"" ""&amp;H3720&amp;"" "",
"" ""&amp;Sentiment_Words!A$2:A3730&amp;"" ""
),
1,
0
)
)
)
)"),1.0)</f>
        <v>1</v>
      </c>
      <c r="K3720" s="4">
        <f>IFERROR(__xludf.DUMMYFUNCTION("IF(H3720="""","""",
SUM(
ARRAYFORMULA(
IF(
REGEXMATCH(
"" ""&amp;H3720&amp;"" "",
"" ""&amp;Sentiment_Words!B$2:B3730&amp;"" ""
),
1,
0
)
)
)
)"),0.0)</f>
        <v>0</v>
      </c>
      <c r="L3720" s="7" t="str">
        <f t="shared" si="3"/>
        <v>Customer Support</v>
      </c>
      <c r="M3720" s="7" t="str">
        <f t="shared" si="4"/>
        <v>Positive</v>
      </c>
      <c r="N3720" s="7" t="str">
        <f>IFERROR(__xludf.DUMMYFUNCTION("LOWER(
TRIM(
REGEXREPLACE(B3720,""[^a-zA-Z\s]"","""")
)
)
"),"troopermama")</f>
        <v>troopermama</v>
      </c>
      <c r="O3720" s="7">
        <f t="shared" si="5"/>
        <v>1</v>
      </c>
      <c r="P3720" s="8" t="str">
        <f t="shared" si="6"/>
        <v>No</v>
      </c>
    </row>
    <row r="3721">
      <c r="A3721" s="4" t="s">
        <v>16</v>
      </c>
      <c r="B3721" s="4" t="s">
        <v>10294</v>
      </c>
      <c r="C3721" s="9">
        <v>44473.0</v>
      </c>
      <c r="D3721" s="10">
        <v>44473.0</v>
      </c>
      <c r="E3721" s="4" t="s">
        <v>10295</v>
      </c>
      <c r="F3721" s="4" t="s">
        <v>10296</v>
      </c>
      <c r="G3721" s="6" t="str">
        <f>IFERROR(__xludf.DUMMYFUNCTION("REGEXREPLACE(LOWER(F3721),""[^a-z\s]"","""")"),"i ordered online a specialty food product that generally has been in short supply but the order was canceled soon after i placed it when i called customer service to clarify the rep did a search of warehouse inventory and at first found the product was ou"&amp;"t of stock and it was unknown when it would be available ten minutes later he called back to tell me he had found half of the amount i needed and had it shipped right away great service")</f>
        <v>i ordered online a specialty food product that generally has been in short supply but the order was canceled soon after i placed it when i called customer service to clarify the rep did a search of warehouse inventory and at first found the product was out of stock and it was unknown when it would be available ten minutes later he called back to tell me he had found half of the amount i needed and had it shipped right away great service</v>
      </c>
      <c r="H3721" s="4" t="str">
        <f t="shared" si="1"/>
        <v>i ordered online a specialty food product that generally has been in short supply but order was canceled soon after i placed it when i called customer service clarify rep did a search of warehouse inventory at first found product was out of stock it was unknown when it would be available ten minutes later he called back tell me he had found half of amount i needed had it shipped right away great service</v>
      </c>
      <c r="I3721" s="6">
        <f t="shared" si="2"/>
        <v>75</v>
      </c>
      <c r="J3721" s="6">
        <f>IFERROR(__xludf.DUMMYFUNCTION("IF(H3721="""","""",
SUM(
ARRAYFORMULA(
IF(
REGEXMATCH(
"" ""&amp;H3721&amp;"" "",
"" ""&amp;Sentiment_Words!A$2:A3730&amp;"" ""
),
1,
0
)
)
)
)"),3.0)</f>
        <v>3</v>
      </c>
      <c r="K3721" s="4">
        <f>IFERROR(__xludf.DUMMYFUNCTION("IF(H3721="""","""",
SUM(
ARRAYFORMULA(
IF(
REGEXMATCH(
"" ""&amp;H3721&amp;"" "",
"" ""&amp;Sentiment_Words!B$2:B3730&amp;"" ""
),
1,
0
)
)
)
)"),2.0)</f>
        <v>2</v>
      </c>
      <c r="L3721" s="7" t="str">
        <f t="shared" si="3"/>
        <v>Customer Support</v>
      </c>
      <c r="M3721" s="7" t="str">
        <f t="shared" si="4"/>
        <v>Positive</v>
      </c>
      <c r="N3721" s="7" t="str">
        <f>IFERROR(__xludf.DUMMYFUNCTION("LOWER(
TRIM(
REGEXREPLACE(B3721,""[^a-zA-Z\s]"","""")
)
)
"),"gerlyn")</f>
        <v>gerlyn</v>
      </c>
      <c r="O3721" s="7">
        <f t="shared" si="5"/>
        <v>1</v>
      </c>
      <c r="P3721" s="8" t="str">
        <f t="shared" si="6"/>
        <v>No</v>
      </c>
    </row>
    <row r="3722">
      <c r="A3722" s="4" t="s">
        <v>16</v>
      </c>
      <c r="B3722" s="4" t="s">
        <v>10297</v>
      </c>
      <c r="C3722" s="9">
        <v>44472.0</v>
      </c>
      <c r="D3722" s="10">
        <v>44473.0</v>
      </c>
      <c r="E3722" s="4" t="s">
        <v>725</v>
      </c>
      <c r="F3722" s="4" t="s">
        <v>10298</v>
      </c>
      <c r="G3722" s="6" t="str">
        <f>IFERROR(__xludf.DUMMYFUNCTION("REGEXREPLACE(LOWER(F3722),""[^a-z\s]"","""")"),"products are good just shipping a heavy bag of aquarium gravel with a plastic container of cat food in the same package is asking for disaster i understand it saves on shipping costs but its inconvenient to pickup hundreds of food pebbles")</f>
        <v>products are good just shipping a heavy bag of aquarium gravel with a plastic container of cat food in the same package is asking for disaster i understand it saves on shipping costs but its inconvenient to pickup hundreds of food pebbles</v>
      </c>
      <c r="H3722" s="4" t="str">
        <f t="shared" si="1"/>
        <v>products are good just shipping a heavy bag of aquarium gravel with a plastic container of cat food in same package asking disaster i understand it saves on shipping costs but its inconvenient pickup hundreds of food pebbles</v>
      </c>
      <c r="I3722" s="6">
        <f t="shared" si="2"/>
        <v>38</v>
      </c>
      <c r="J3722" s="6">
        <f>IFERROR(__xludf.DUMMYFUNCTION("IF(H3722="""","""",
SUM(
ARRAYFORMULA(
IF(
REGEXMATCH(
"" ""&amp;H3722&amp;"" "",
"" ""&amp;Sentiment_Words!A$2:A3730&amp;"" ""
),
1,
0
)
)
)
)"),1.0)</f>
        <v>1</v>
      </c>
      <c r="K3722" s="4">
        <f>IFERROR(__xludf.DUMMYFUNCTION("IF(H3722="""","""",
SUM(
ARRAYFORMULA(
IF(
REGEXMATCH(
"" ""&amp;H3722&amp;"" "",
"" ""&amp;Sentiment_Words!B$2:B3730&amp;"" ""
),
1,
0
)
)
)
)"),0.0)</f>
        <v>0</v>
      </c>
      <c r="L3722" s="7" t="str">
        <f t="shared" si="3"/>
        <v>Value &amp; Convenience</v>
      </c>
      <c r="M3722" s="7" t="str">
        <f t="shared" si="4"/>
        <v>Positive</v>
      </c>
      <c r="N3722" s="7" t="str">
        <f>IFERROR(__xludf.DUMMYFUNCTION("LOWER(
TRIM(
REGEXREPLACE(B3722,""[^a-zA-Z\s]"","""")
)
)
"),"bryan kortis")</f>
        <v>bryan kortis</v>
      </c>
      <c r="O3722" s="7">
        <f t="shared" si="5"/>
        <v>1</v>
      </c>
      <c r="P3722" s="8" t="str">
        <f t="shared" si="6"/>
        <v>No</v>
      </c>
    </row>
    <row r="3723">
      <c r="A3723" s="4" t="s">
        <v>16</v>
      </c>
      <c r="B3723" s="4" t="s">
        <v>10299</v>
      </c>
      <c r="C3723" s="9">
        <v>44472.0</v>
      </c>
      <c r="D3723" s="10">
        <v>44472.0</v>
      </c>
      <c r="E3723" s="4" t="s">
        <v>10300</v>
      </c>
      <c r="F3723" s="4" t="s">
        <v>10301</v>
      </c>
      <c r="G3723" s="6" t="str">
        <f>IFERROR(__xludf.DUMMYFUNCTION("REGEXREPLACE(LOWER(F3723),""[^a-z\s]"","""")"),"they advertised a product that they never had
i paid for it and waited along time for responses")</f>
        <v>they advertised a product that they never had
i paid for it and waited along time for responses</v>
      </c>
      <c r="H3723" s="4" t="str">
        <f t="shared" si="1"/>
        <v>they advertised a product that they never had
i paid it waited along time responses</v>
      </c>
      <c r="I3723" s="6">
        <f t="shared" si="2"/>
        <v>14</v>
      </c>
      <c r="J3723" s="6">
        <f>IFERROR(__xludf.DUMMYFUNCTION("IF(H3723="""","""",
SUM(
ARRAYFORMULA(
IF(
REGEXMATCH(
"" ""&amp;H3723&amp;"" "",
"" ""&amp;Sentiment_Words!A$2:A3730&amp;"" ""
),
1,
0
)
)
)
)"),0.0)</f>
        <v>0</v>
      </c>
      <c r="K3723" s="4">
        <f>IFERROR(__xludf.DUMMYFUNCTION("IF(H3723="""","""",
SUM(
ARRAYFORMULA(
IF(
REGEXMATCH(
"" ""&amp;H3723&amp;"" "",
"" ""&amp;Sentiment_Words!B$2:B3730&amp;"" ""
),
1,
0
)
)
)
)"),0.0)</f>
        <v>0</v>
      </c>
      <c r="L3723" s="7" t="str">
        <f t="shared" si="3"/>
        <v>Other</v>
      </c>
      <c r="M3723" s="7" t="str">
        <f t="shared" si="4"/>
        <v>Neutral</v>
      </c>
      <c r="N3723" s="7" t="str">
        <f>IFERROR(__xludf.DUMMYFUNCTION("LOWER(
TRIM(
REGEXREPLACE(B3723,""[^a-zA-Z\s]"","""")
)
)
"),"bryan schwartzwalder")</f>
        <v>bryan schwartzwalder</v>
      </c>
      <c r="O3723" s="7">
        <f t="shared" si="5"/>
        <v>1</v>
      </c>
      <c r="P3723" s="8" t="str">
        <f t="shared" si="6"/>
        <v>No</v>
      </c>
    </row>
    <row r="3724">
      <c r="A3724" s="4" t="s">
        <v>16</v>
      </c>
      <c r="B3724" s="4" t="s">
        <v>5854</v>
      </c>
      <c r="C3724" s="9">
        <v>44472.0</v>
      </c>
      <c r="D3724" s="10">
        <v>44472.0</v>
      </c>
      <c r="E3724" s="4" t="s">
        <v>10302</v>
      </c>
      <c r="F3724" s="4" t="s">
        <v>10303</v>
      </c>
      <c r="G3724" s="6" t="str">
        <f>IFERROR(__xludf.DUMMYFUNCTION("REGEXREPLACE(LOWER(F3724),""[^a-z\s]"","""")"),"i ordered food for my dog almost  weeks ago and have never received it i called  todays after placing the order and was told it would be shipped out the next day that was two weeks ago friday i called back again and was told they were looking into it and "&amp;"would receive and email or a call im still waiting for both")</f>
        <v>i ordered food for my dog almost  weeks ago and have never received it i called  todays after placing the order and was told it would be shipped out the next day that was two weeks ago friday i called back again and was told they were looking into it and would receive and email or a call im still waiting for both</v>
      </c>
      <c r="H3724" s="4" t="str">
        <f t="shared" si="1"/>
        <v>i ordered food my dog almost weeks ago have never received it i called todays after placing order was told it would be shipped out next day that was two weeks ago friday i called back again was told they were looking into it would receive email or a call im still waiting both</v>
      </c>
      <c r="I3724" s="6">
        <f t="shared" si="2"/>
        <v>54</v>
      </c>
      <c r="J3724" s="6">
        <f>IFERROR(__xludf.DUMMYFUNCTION("IF(H3724="""","""",
SUM(
ARRAYFORMULA(
IF(
REGEXMATCH(
"" ""&amp;H3724&amp;"" "",
"" ""&amp;Sentiment_Words!A$2:A3730&amp;"" ""
),
1,
0
)
)
)
)"),0.0)</f>
        <v>0</v>
      </c>
      <c r="K3724" s="4">
        <f>IFERROR(__xludf.DUMMYFUNCTION("IF(H3724="""","""",
SUM(
ARRAYFORMULA(
IF(
REGEXMATCH(
"" ""&amp;H3724&amp;"" "",
"" ""&amp;Sentiment_Words!B$2:B3730&amp;"" ""
),
1,
0
)
)
)
)"),0.0)</f>
        <v>0</v>
      </c>
      <c r="L3724" s="7" t="str">
        <f t="shared" si="3"/>
        <v>Other</v>
      </c>
      <c r="M3724" s="7" t="str">
        <f t="shared" si="4"/>
        <v>Neutral</v>
      </c>
      <c r="N3724" s="7" t="str">
        <f>IFERROR(__xludf.DUMMYFUNCTION("LOWER(
TRIM(
REGEXREPLACE(B3724,""[^a-zA-Z\s]"","""")
)
)
"),"chris")</f>
        <v>chris</v>
      </c>
      <c r="O3724" s="7">
        <f t="shared" si="5"/>
        <v>5</v>
      </c>
      <c r="P3724" s="8" t="str">
        <f t="shared" si="6"/>
        <v>Yes</v>
      </c>
    </row>
    <row r="3725">
      <c r="A3725" s="4" t="s">
        <v>16</v>
      </c>
      <c r="B3725" s="4" t="s">
        <v>10304</v>
      </c>
      <c r="C3725" s="9">
        <v>44472.0</v>
      </c>
      <c r="D3725" s="10">
        <v>44472.0</v>
      </c>
      <c r="E3725" s="4" t="s">
        <v>10305</v>
      </c>
      <c r="F3725" s="4" t="s">
        <v>331</v>
      </c>
      <c r="G3725" s="6" t="str">
        <f>IFERROR(__xludf.DUMMYFUNCTION("REGEXREPLACE(LOWER(F3725),""[^a-z\s]"","""")"),"none")</f>
        <v>none</v>
      </c>
      <c r="H3725" s="4" t="str">
        <f t="shared" si="1"/>
        <v>none</v>
      </c>
      <c r="I3725" s="6">
        <f t="shared" si="2"/>
        <v>1</v>
      </c>
      <c r="J3725" s="6">
        <f>IFERROR(__xludf.DUMMYFUNCTION("IF(H3725="""","""",
SUM(
ARRAYFORMULA(
IF(
REGEXMATCH(
"" ""&amp;H3725&amp;"" "",
"" ""&amp;Sentiment_Words!A$2:A3730&amp;"" ""
),
1,
0
)
)
)
)"),0.0)</f>
        <v>0</v>
      </c>
      <c r="K3725" s="4">
        <f>IFERROR(__xludf.DUMMYFUNCTION("IF(H3725="""","""",
SUM(
ARRAYFORMULA(
IF(
REGEXMATCH(
"" ""&amp;H3725&amp;"" "",
"" ""&amp;Sentiment_Words!B$2:B3730&amp;"" ""
),
1,
0
)
)
)
)"),0.0)</f>
        <v>0</v>
      </c>
      <c r="L3725" s="7" t="str">
        <f t="shared" si="3"/>
        <v>Other</v>
      </c>
      <c r="M3725" s="7" t="str">
        <f t="shared" si="4"/>
        <v>Neutral</v>
      </c>
      <c r="N3725" s="7" t="str">
        <f>IFERROR(__xludf.DUMMYFUNCTION("LOWER(
TRIM(
REGEXREPLACE(B3725,""[^a-zA-Z\s]"","""")
)
)
"),"karen cusick")</f>
        <v>karen cusick</v>
      </c>
      <c r="O3725" s="7">
        <f t="shared" si="5"/>
        <v>1</v>
      </c>
      <c r="P3725" s="8" t="str">
        <f t="shared" si="6"/>
        <v>No</v>
      </c>
    </row>
    <row r="3726">
      <c r="A3726" s="4" t="s">
        <v>16</v>
      </c>
      <c r="B3726" s="4" t="s">
        <v>10306</v>
      </c>
      <c r="C3726" s="9">
        <v>44472.0</v>
      </c>
      <c r="D3726" s="10">
        <v>44472.0</v>
      </c>
      <c r="E3726" s="4" t="s">
        <v>10307</v>
      </c>
      <c r="F3726" s="4" t="s">
        <v>331</v>
      </c>
      <c r="G3726" s="6" t="str">
        <f>IFERROR(__xludf.DUMMYFUNCTION("REGEXREPLACE(LOWER(F3726),""[^a-z\s]"","""")"),"none")</f>
        <v>none</v>
      </c>
      <c r="H3726" s="4" t="str">
        <f t="shared" si="1"/>
        <v>none</v>
      </c>
      <c r="I3726" s="6">
        <f t="shared" si="2"/>
        <v>1</v>
      </c>
      <c r="J3726" s="6">
        <f>IFERROR(__xludf.DUMMYFUNCTION("IF(H3726="""","""",
SUM(
ARRAYFORMULA(
IF(
REGEXMATCH(
"" ""&amp;H3726&amp;"" "",
"" ""&amp;Sentiment_Words!A$2:A3730&amp;"" ""
),
1,
0
)
)
)
)"),0.0)</f>
        <v>0</v>
      </c>
      <c r="K3726" s="4">
        <f>IFERROR(__xludf.DUMMYFUNCTION("IF(H3726="""","""",
SUM(
ARRAYFORMULA(
IF(
REGEXMATCH(
"" ""&amp;H3726&amp;"" "",
"" ""&amp;Sentiment_Words!B$2:B3730&amp;"" ""
),
1,
0
)
)
)
)"),0.0)</f>
        <v>0</v>
      </c>
      <c r="L3726" s="7" t="str">
        <f t="shared" si="3"/>
        <v>Other</v>
      </c>
      <c r="M3726" s="7" t="str">
        <f t="shared" si="4"/>
        <v>Neutral</v>
      </c>
      <c r="N3726" s="7" t="str">
        <f>IFERROR(__xludf.DUMMYFUNCTION("LOWER(
TRIM(
REGEXREPLACE(B3726,""[^a-zA-Z\s]"","""")
)
)
"),"heather fuhrman")</f>
        <v>heather fuhrman</v>
      </c>
      <c r="O3726" s="7">
        <f t="shared" si="5"/>
        <v>1</v>
      </c>
      <c r="P3726" s="8" t="str">
        <f t="shared" si="6"/>
        <v>No</v>
      </c>
    </row>
    <row r="3727">
      <c r="A3727" s="4" t="s">
        <v>16</v>
      </c>
      <c r="B3727" s="4" t="s">
        <v>10308</v>
      </c>
      <c r="C3727" s="9">
        <v>44472.0</v>
      </c>
      <c r="D3727" s="10">
        <v>44472.0</v>
      </c>
      <c r="E3727" s="4" t="s">
        <v>10309</v>
      </c>
      <c r="F3727" s="4" t="s">
        <v>10310</v>
      </c>
      <c r="G3727" s="6" t="str">
        <f>IFERROR(__xludf.DUMMYFUNCTION("REGEXREPLACE(LOWER(F3727),""[^a-z\s]"","""")"),"i was told by hills prescriptions dog food that you had id chicken stew  ounces on your website for delivery i ordered  cases and had my vet send a prescription to your company after not receiving my food after  days i called your customer service dept wh"&amp;"o told be you do not stock this food and it gets shipped from the manufacturer the manufacturer has not had the food in stock since july why would you advertise the product knowing very well you could not supply it i feel your company cant be trusted and "&amp;"advertises a product that is out of stock")</f>
        <v>i was told by hills prescriptions dog food that you had id chicken stew  ounces on your website for delivery i ordered  cases and had my vet send a prescription to your company after not receiving my food after  days i called your customer service dept who told be you do not stock this food and it gets shipped from the manufacturer the manufacturer has not had the food in stock since july why would you advertise the product knowing very well you could not supply it i feel your company cant be trusted and advertises a product that is out of stock</v>
      </c>
      <c r="H3727" s="4" t="str">
        <f t="shared" si="1"/>
        <v>i was told by hills prescriptions dog food that you had id chicken stew ounces on your website delivery i ordered cases had my vet send a prescription your company after not receiving my food after days i called your customer service dept who told be you do not stock this food it gets shipped from manufacturer manufacturer has not had food in stock since july why would you advertise product knowing very well you could not supply it i feel your company cant be trusted advertises a product that out of stock</v>
      </c>
      <c r="I3727" s="6">
        <f t="shared" si="2"/>
        <v>93</v>
      </c>
      <c r="J3727" s="6">
        <f>IFERROR(__xludf.DUMMYFUNCTION("IF(H3727="""","""",
SUM(
ARRAYFORMULA(
IF(
REGEXMATCH(
"" ""&amp;H3727&amp;"" "",
"" ""&amp;Sentiment_Words!A$2:A3730&amp;"" ""
),
1,
0
)
)
)
)"),0.0)</f>
        <v>0</v>
      </c>
      <c r="K3727" s="4">
        <f>IFERROR(__xludf.DUMMYFUNCTION("IF(H3727="""","""",
SUM(
ARRAYFORMULA(
IF(
REGEXMATCH(
"" ""&amp;H3727&amp;"" "",
"" ""&amp;Sentiment_Words!B$2:B3730&amp;"" ""
),
1,
0
)
)
)
)"),2.0)</f>
        <v>2</v>
      </c>
      <c r="L3727" s="7" t="str">
        <f t="shared" si="3"/>
        <v>Customer Support</v>
      </c>
      <c r="M3727" s="7" t="str">
        <f t="shared" si="4"/>
        <v>Negative</v>
      </c>
      <c r="N3727" s="7" t="str">
        <f>IFERROR(__xludf.DUMMYFUNCTION("LOWER(
TRIM(
REGEXREPLACE(B3727,""[^a-zA-Z\s]"","""")
)
)
"),"wayne silverman")</f>
        <v>wayne silverman</v>
      </c>
      <c r="O3727" s="7">
        <f t="shared" si="5"/>
        <v>1</v>
      </c>
      <c r="P3727" s="8" t="str">
        <f t="shared" si="6"/>
        <v>No</v>
      </c>
    </row>
    <row r="3728">
      <c r="A3728" s="4" t="s">
        <v>16</v>
      </c>
      <c r="B3728" s="4" t="s">
        <v>10311</v>
      </c>
      <c r="C3728" s="9">
        <v>44472.0</v>
      </c>
      <c r="D3728" s="10">
        <v>44472.0</v>
      </c>
      <c r="E3728" s="4" t="s">
        <v>10312</v>
      </c>
      <c r="F3728" s="6"/>
      <c r="G3728" s="6"/>
      <c r="H3728" s="6"/>
      <c r="I3728" s="6">
        <f t="shared" si="2"/>
        <v>1</v>
      </c>
      <c r="J3728" s="6" t="str">
        <f>IFERROR(__xludf.DUMMYFUNCTION("IF(H3728="""","""",
SUM(
ARRAYFORMULA(
IF(
REGEXMATCH(
"" ""&amp;H3728&amp;"" "",
"" ""&amp;Sentiment_Words!A$2:A3730&amp;"" ""
),
1,
0
)
)
)
)"),"")</f>
        <v/>
      </c>
      <c r="K3728" s="4" t="str">
        <f>IFERROR(__xludf.DUMMYFUNCTION("IF(H3728="""","""",
SUM(
ARRAYFORMULA(
IF(
REGEXMATCH(
"" ""&amp;H3728&amp;"" "",
"" ""&amp;Sentiment_Words!B$2:B3730&amp;"" ""
),
1,
0
)
)
)
)"),"")</f>
        <v/>
      </c>
      <c r="L3728" s="7" t="str">
        <f t="shared" si="3"/>
        <v>Other</v>
      </c>
      <c r="M3728" s="7" t="str">
        <f t="shared" si="4"/>
        <v>Neutral</v>
      </c>
      <c r="N3728" s="7" t="str">
        <f>IFERROR(__xludf.DUMMYFUNCTION("LOWER(
TRIM(
REGEXREPLACE(B3728,""[^a-zA-Z\s]"","""")
)
)
"),"murphy")</f>
        <v>murphy</v>
      </c>
      <c r="O3728" s="7">
        <f t="shared" si="5"/>
        <v>1</v>
      </c>
      <c r="P3728" s="8" t="str">
        <f t="shared" si="6"/>
        <v>No</v>
      </c>
    </row>
    <row r="3729">
      <c r="A3729" s="6"/>
      <c r="B3729" s="6"/>
      <c r="C3729" s="6"/>
      <c r="D3729" s="6"/>
      <c r="E3729" s="6"/>
      <c r="F3729" s="6"/>
      <c r="G3729" s="6"/>
      <c r="H3729" s="6"/>
      <c r="I3729" s="6"/>
      <c r="J3729" s="6"/>
      <c r="K3729" s="6"/>
    </row>
    <row r="3730">
      <c r="A3730" s="6"/>
      <c r="B3730" s="6"/>
      <c r="C3730" s="6"/>
      <c r="D3730" s="6"/>
      <c r="E3730" s="6"/>
      <c r="F3730" s="6"/>
      <c r="G3730" s="6"/>
      <c r="H3730" s="6"/>
      <c r="I3730" s="6"/>
      <c r="J3730" s="6"/>
      <c r="K3730" s="6"/>
    </row>
  </sheetData>
  <autoFilter ref="$A$1:$BU$372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18.75" customHeight="1">
      <c r="A1" s="2" t="s">
        <v>10313</v>
      </c>
      <c r="B1" s="2" t="s">
        <v>10314</v>
      </c>
      <c r="C1" s="12"/>
      <c r="D1" s="12"/>
      <c r="E1" s="12"/>
      <c r="F1" s="12"/>
      <c r="G1" s="12"/>
      <c r="H1" s="12"/>
      <c r="I1" s="12"/>
      <c r="J1" s="12"/>
      <c r="K1" s="12"/>
      <c r="L1" s="12"/>
      <c r="M1" s="12"/>
      <c r="N1" s="12"/>
      <c r="O1" s="12"/>
      <c r="P1" s="12"/>
      <c r="Q1" s="12"/>
      <c r="R1" s="12"/>
      <c r="S1" s="12"/>
      <c r="T1" s="12"/>
      <c r="U1" s="12"/>
      <c r="V1" s="12"/>
      <c r="W1" s="12"/>
      <c r="X1" s="12"/>
      <c r="Y1" s="12"/>
      <c r="Z1" s="12"/>
    </row>
    <row r="2">
      <c r="A2" s="8" t="s">
        <v>10315</v>
      </c>
      <c r="B2" s="8" t="s">
        <v>10316</v>
      </c>
    </row>
    <row r="3">
      <c r="A3" s="8" t="s">
        <v>10317</v>
      </c>
      <c r="B3" s="8" t="s">
        <v>10318</v>
      </c>
    </row>
    <row r="4">
      <c r="A4" s="8" t="s">
        <v>10319</v>
      </c>
      <c r="B4" s="8" t="s">
        <v>10320</v>
      </c>
    </row>
    <row r="5">
      <c r="A5" s="8" t="s">
        <v>10321</v>
      </c>
      <c r="B5" s="8" t="s">
        <v>10322</v>
      </c>
    </row>
    <row r="6">
      <c r="A6" s="8" t="s">
        <v>10323</v>
      </c>
      <c r="B6" s="8" t="s">
        <v>10324</v>
      </c>
    </row>
    <row r="7">
      <c r="A7" s="8" t="s">
        <v>10325</v>
      </c>
      <c r="B7" s="8" t="s">
        <v>10326</v>
      </c>
    </row>
    <row r="8">
      <c r="A8" s="8" t="s">
        <v>10327</v>
      </c>
      <c r="B8" s="8" t="s">
        <v>10328</v>
      </c>
    </row>
    <row r="9">
      <c r="A9" s="8" t="s">
        <v>10329</v>
      </c>
      <c r="B9" s="8" t="s">
        <v>10330</v>
      </c>
    </row>
    <row r="10">
      <c r="A10" s="8" t="s">
        <v>10331</v>
      </c>
      <c r="B10" s="8" t="s">
        <v>10332</v>
      </c>
    </row>
    <row r="11">
      <c r="A11" s="8" t="s">
        <v>10333</v>
      </c>
      <c r="B11" s="8" t="s">
        <v>10334</v>
      </c>
    </row>
    <row r="12">
      <c r="A12" s="8" t="s">
        <v>10335</v>
      </c>
      <c r="B12" s="8" t="s">
        <v>10336</v>
      </c>
    </row>
    <row r="13">
      <c r="A13" s="8" t="s">
        <v>10337</v>
      </c>
      <c r="B13" s="8" t="s">
        <v>10338</v>
      </c>
    </row>
    <row r="14">
      <c r="A14" s="8" t="s">
        <v>10339</v>
      </c>
      <c r="B14" s="8" t="s">
        <v>10340</v>
      </c>
    </row>
    <row r="15">
      <c r="A15" s="8" t="s">
        <v>10341</v>
      </c>
      <c r="B15" s="8" t="s">
        <v>10342</v>
      </c>
    </row>
    <row r="16">
      <c r="A16" s="8" t="s">
        <v>10343</v>
      </c>
      <c r="B16" s="8" t="s">
        <v>10344</v>
      </c>
    </row>
    <row r="17">
      <c r="A17" s="8" t="s">
        <v>10345</v>
      </c>
      <c r="B17" s="8" t="s">
        <v>10346</v>
      </c>
    </row>
    <row r="18">
      <c r="A18" s="8" t="s">
        <v>10347</v>
      </c>
      <c r="B18" s="8" t="s">
        <v>10348</v>
      </c>
    </row>
    <row r="19">
      <c r="A19" s="8" t="s">
        <v>10349</v>
      </c>
      <c r="B19" s="8" t="s">
        <v>10350</v>
      </c>
    </row>
    <row r="20">
      <c r="A20" s="8" t="s">
        <v>10351</v>
      </c>
      <c r="B20" s="8" t="s">
        <v>10352</v>
      </c>
    </row>
    <row r="21">
      <c r="A21" s="8" t="s">
        <v>10353</v>
      </c>
      <c r="B21" s="8" t="s">
        <v>10354</v>
      </c>
    </row>
    <row r="22">
      <c r="A22" s="8" t="s">
        <v>10355</v>
      </c>
      <c r="B22" s="8" t="s">
        <v>10356</v>
      </c>
    </row>
    <row r="23">
      <c r="A23" s="8" t="s">
        <v>10357</v>
      </c>
      <c r="B23" s="8" t="s">
        <v>10358</v>
      </c>
    </row>
    <row r="24">
      <c r="A24" s="8" t="s">
        <v>2741</v>
      </c>
      <c r="B24" s="8" t="s">
        <v>10359</v>
      </c>
    </row>
    <row r="25">
      <c r="A25" s="8" t="s">
        <v>10360</v>
      </c>
      <c r="B25" s="8" t="s">
        <v>10361</v>
      </c>
    </row>
    <row r="26">
      <c r="A26" s="8" t="s">
        <v>10362</v>
      </c>
      <c r="B26" s="8" t="s">
        <v>10363</v>
      </c>
    </row>
    <row r="27">
      <c r="A27" s="8" t="s">
        <v>10364</v>
      </c>
      <c r="B27" s="8" t="s">
        <v>10365</v>
      </c>
    </row>
    <row r="28">
      <c r="A28" s="8" t="s">
        <v>10366</v>
      </c>
      <c r="B28" s="8" t="s">
        <v>10367</v>
      </c>
    </row>
    <row r="29">
      <c r="A29" s="8" t="s">
        <v>10368</v>
      </c>
      <c r="B29" s="8" t="s">
        <v>10369</v>
      </c>
    </row>
    <row r="30">
      <c r="A30" s="8" t="s">
        <v>10370</v>
      </c>
      <c r="B30" s="8" t="s">
        <v>10371</v>
      </c>
    </row>
    <row r="31">
      <c r="A31" s="8" t="s">
        <v>10372</v>
      </c>
      <c r="B31" s="8" t="s">
        <v>10373</v>
      </c>
    </row>
    <row r="32">
      <c r="A32" s="8" t="s">
        <v>10374</v>
      </c>
      <c r="B32" s="8" t="s">
        <v>10375</v>
      </c>
    </row>
    <row r="33">
      <c r="A33" s="8" t="s">
        <v>10376</v>
      </c>
      <c r="B33" s="8" t="s">
        <v>10377</v>
      </c>
    </row>
    <row r="34">
      <c r="A34" s="8" t="s">
        <v>10378</v>
      </c>
      <c r="B34" s="8" t="s">
        <v>10379</v>
      </c>
    </row>
    <row r="35">
      <c r="A35" s="8" t="s">
        <v>10380</v>
      </c>
      <c r="B35" s="8" t="s">
        <v>10381</v>
      </c>
    </row>
    <row r="36">
      <c r="A36" s="8" t="s">
        <v>10382</v>
      </c>
      <c r="B36" s="8" t="s">
        <v>10383</v>
      </c>
    </row>
    <row r="37">
      <c r="A37" s="8" t="s">
        <v>10384</v>
      </c>
      <c r="B37" s="8" t="s">
        <v>10385</v>
      </c>
    </row>
    <row r="38">
      <c r="A38" s="8" t="s">
        <v>10386</v>
      </c>
      <c r="B38" s="8" t="s">
        <v>10387</v>
      </c>
    </row>
    <row r="39">
      <c r="A39" s="8" t="s">
        <v>10388</v>
      </c>
      <c r="B39" s="8" t="s">
        <v>10389</v>
      </c>
    </row>
    <row r="40">
      <c r="A40" s="8" t="s">
        <v>10390</v>
      </c>
      <c r="B40" s="8" t="s">
        <v>10391</v>
      </c>
    </row>
    <row r="41">
      <c r="A41" s="8" t="s">
        <v>10392</v>
      </c>
    </row>
    <row r="42">
      <c r="A42" s="8" t="s">
        <v>10393</v>
      </c>
    </row>
    <row r="43">
      <c r="A43" s="8" t="s">
        <v>10394</v>
      </c>
    </row>
    <row r="44">
      <c r="A44" s="8" t="s">
        <v>10395</v>
      </c>
    </row>
    <row r="45">
      <c r="A45" s="8" t="s">
        <v>10396</v>
      </c>
    </row>
    <row r="46">
      <c r="A46" s="8" t="s">
        <v>10397</v>
      </c>
    </row>
    <row r="47">
      <c r="A47" s="8" t="s">
        <v>10398</v>
      </c>
    </row>
    <row r="48">
      <c r="A48" s="8" t="s">
        <v>10399</v>
      </c>
    </row>
    <row r="49">
      <c r="A49" s="8" t="s">
        <v>10400</v>
      </c>
    </row>
    <row r="50">
      <c r="A50" s="8" t="s">
        <v>10401</v>
      </c>
    </row>
    <row r="51">
      <c r="A51" s="8" t="s">
        <v>10402</v>
      </c>
    </row>
    <row r="52">
      <c r="A52" s="8" t="s">
        <v>10403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13"/>
    <col customWidth="1" min="2" max="2" width="23.0"/>
  </cols>
  <sheetData>
    <row r="1"/>
    <row r="2"/>
    <row r="3"/>
    <row r="4"/>
    <row r="5"/>
    <row r="6"/>
    <row r="7"/>
    <row r="8"/>
    <row r="9"/>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38"/>
    <col customWidth="1" min="2" max="2" width="17.13"/>
    <col customWidth="1" min="3" max="3" width="23.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sheetData>
  <drawing r:id="rId2"/>
</worksheet>
</file>